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mitriypushin/Yandex.Disk.localized/01 Работа/Инвест анализ/"/>
    </mc:Choice>
  </mc:AlternateContent>
  <xr:revisionPtr revIDLastSave="0" documentId="13_ncr:1_{30EC9BD0-F9D5-E846-AD7B-AB0D925750D5}" xr6:coauthVersionLast="47" xr6:coauthVersionMax="47" xr10:uidLastSave="{00000000-0000-0000-0000-000000000000}"/>
  <bookViews>
    <workbookView xWindow="620" yWindow="680" windowWidth="32900" windowHeight="19640" activeTab="1" xr2:uid="{F5F1002D-11C1-DC46-9BEA-2065EFE17D24}"/>
  </bookViews>
  <sheets>
    <sheet name="Инструкция" sheetId="19" r:id="rId1"/>
    <sheet name="Исходные данные" sheetId="20" r:id="rId2"/>
    <sheet name="Инвестиционный расчет" sheetId="21" r:id="rId3"/>
    <sheet name="Сценарный анализ" sheetId="22" r:id="rId4"/>
    <sheet name="Расчёты" sheetId="23" state="hidden" r:id="rId5"/>
    <sheet name="Сценарии_расчёт" sheetId="24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" i="19" l="1"/>
  <c r="P10" i="20"/>
  <c r="O10" i="20"/>
  <c r="N10" i="20"/>
  <c r="N6" i="20"/>
  <c r="P6" i="20" s="1"/>
  <c r="B26" i="20"/>
  <c r="B13" i="20"/>
  <c r="B10" i="20"/>
  <c r="O9" i="20" s="1"/>
  <c r="D21" i="22"/>
  <c r="B21" i="22"/>
  <c r="M7" i="22"/>
  <c r="M5" i="22"/>
  <c r="B11" i="21"/>
  <c r="A362" i="24"/>
  <c r="J362" i="24"/>
  <c r="N362" i="24"/>
  <c r="O362" i="24"/>
  <c r="P362" i="24"/>
  <c r="AG362" i="24"/>
  <c r="AK362" i="24"/>
  <c r="AL362" i="24"/>
  <c r="AM362" i="24"/>
  <c r="BD362" i="24"/>
  <c r="BH362" i="24"/>
  <c r="BI362" i="24"/>
  <c r="BJ362" i="24"/>
  <c r="B362" i="23"/>
  <c r="B362" i="24" s="1"/>
  <c r="M362" i="23"/>
  <c r="P362" i="23"/>
  <c r="Q362" i="23"/>
  <c r="R362" i="23" s="1"/>
  <c r="T362" i="23"/>
  <c r="U362" i="23"/>
  <c r="V362" i="23" s="1"/>
  <c r="AC362" i="23"/>
  <c r="AP362" i="23"/>
  <c r="AQ362" i="23"/>
  <c r="AR362" i="23"/>
  <c r="A195" i="24"/>
  <c r="J195" i="24"/>
  <c r="N195" i="24"/>
  <c r="O195" i="24"/>
  <c r="M196" i="24" s="1"/>
  <c r="P195" i="24"/>
  <c r="AG195" i="24"/>
  <c r="AK195" i="24"/>
  <c r="AL195" i="24"/>
  <c r="AJ196" i="24" s="1"/>
  <c r="AM195" i="24"/>
  <c r="BD195" i="24"/>
  <c r="BH195" i="24"/>
  <c r="BI195" i="24"/>
  <c r="BG196" i="24" s="1"/>
  <c r="BJ195" i="24"/>
  <c r="A196" i="24"/>
  <c r="J196" i="24"/>
  <c r="N196" i="24"/>
  <c r="O196" i="24"/>
  <c r="P196" i="24"/>
  <c r="AG196" i="24"/>
  <c r="AK196" i="24"/>
  <c r="AL196" i="24"/>
  <c r="AJ197" i="24" s="1"/>
  <c r="AM196" i="24"/>
  <c r="BD196" i="24"/>
  <c r="BH196" i="24"/>
  <c r="BI196" i="24"/>
  <c r="BJ196" i="24"/>
  <c r="A197" i="24"/>
  <c r="J197" i="24"/>
  <c r="M197" i="24"/>
  <c r="N197" i="24"/>
  <c r="O197" i="24"/>
  <c r="M198" i="24" s="1"/>
  <c r="P197" i="24"/>
  <c r="AG197" i="24"/>
  <c r="AK197" i="24"/>
  <c r="AL197" i="24"/>
  <c r="AJ198" i="24" s="1"/>
  <c r="AM197" i="24"/>
  <c r="BD197" i="24"/>
  <c r="BG197" i="24"/>
  <c r="BH197" i="24"/>
  <c r="BI197" i="24"/>
  <c r="BG198" i="24" s="1"/>
  <c r="BJ197" i="24"/>
  <c r="A198" i="24"/>
  <c r="J198" i="24"/>
  <c r="N198" i="24"/>
  <c r="O198" i="24"/>
  <c r="M199" i="24" s="1"/>
  <c r="P198" i="24"/>
  <c r="AG198" i="24"/>
  <c r="AK198" i="24"/>
  <c r="AL198" i="24"/>
  <c r="AJ199" i="24" s="1"/>
  <c r="AM198" i="24"/>
  <c r="BD198" i="24"/>
  <c r="BH198" i="24"/>
  <c r="BI198" i="24"/>
  <c r="BG199" i="24" s="1"/>
  <c r="BJ198" i="24"/>
  <c r="A199" i="24"/>
  <c r="J199" i="24"/>
  <c r="N199" i="24"/>
  <c r="O199" i="24"/>
  <c r="M200" i="24" s="1"/>
  <c r="P199" i="24"/>
  <c r="AG199" i="24"/>
  <c r="AK199" i="24"/>
  <c r="AL199" i="24"/>
  <c r="AJ200" i="24" s="1"/>
  <c r="AM199" i="24"/>
  <c r="BD199" i="24"/>
  <c r="BH199" i="24"/>
  <c r="BI199" i="24"/>
  <c r="BG200" i="24" s="1"/>
  <c r="BJ199" i="24"/>
  <c r="A200" i="24"/>
  <c r="J200" i="24"/>
  <c r="N200" i="24"/>
  <c r="O200" i="24"/>
  <c r="M201" i="24" s="1"/>
  <c r="P200" i="24"/>
  <c r="AG200" i="24"/>
  <c r="AK200" i="24"/>
  <c r="AL200" i="24"/>
  <c r="AJ201" i="24" s="1"/>
  <c r="AM200" i="24"/>
  <c r="BD200" i="24"/>
  <c r="BH200" i="24"/>
  <c r="BI200" i="24"/>
  <c r="BG201" i="24" s="1"/>
  <c r="BJ200" i="24"/>
  <c r="A201" i="24"/>
  <c r="J201" i="24"/>
  <c r="N201" i="24"/>
  <c r="O201" i="24"/>
  <c r="M202" i="24" s="1"/>
  <c r="P201" i="24"/>
  <c r="AG201" i="24"/>
  <c r="AK201" i="24"/>
  <c r="AL201" i="24"/>
  <c r="AJ202" i="24" s="1"/>
  <c r="AM201" i="24"/>
  <c r="BD201" i="24"/>
  <c r="BH201" i="24"/>
  <c r="BI201" i="24"/>
  <c r="BG202" i="24" s="1"/>
  <c r="BJ201" i="24"/>
  <c r="A202" i="24"/>
  <c r="J202" i="24"/>
  <c r="N202" i="24"/>
  <c r="O202" i="24"/>
  <c r="M203" i="24" s="1"/>
  <c r="P202" i="24"/>
  <c r="AG202" i="24"/>
  <c r="AK202" i="24"/>
  <c r="AL202" i="24"/>
  <c r="AM202" i="24"/>
  <c r="BD202" i="24"/>
  <c r="BH202" i="24"/>
  <c r="BI202" i="24"/>
  <c r="BG203" i="24" s="1"/>
  <c r="BJ202" i="24"/>
  <c r="A203" i="24"/>
  <c r="J203" i="24"/>
  <c r="N203" i="24"/>
  <c r="O203" i="24"/>
  <c r="M204" i="24" s="1"/>
  <c r="P203" i="24"/>
  <c r="AG203" i="24"/>
  <c r="AJ203" i="24"/>
  <c r="AK203" i="24"/>
  <c r="AL203" i="24"/>
  <c r="AJ204" i="24" s="1"/>
  <c r="AM203" i="24"/>
  <c r="BD203" i="24"/>
  <c r="BH203" i="24"/>
  <c r="BI203" i="24"/>
  <c r="BG204" i="24" s="1"/>
  <c r="BJ203" i="24"/>
  <c r="A204" i="24"/>
  <c r="J204" i="24"/>
  <c r="N204" i="24"/>
  <c r="O204" i="24"/>
  <c r="M205" i="24" s="1"/>
  <c r="P204" i="24"/>
  <c r="AG204" i="24"/>
  <c r="AK204" i="24"/>
  <c r="AL204" i="24"/>
  <c r="AJ205" i="24" s="1"/>
  <c r="AM204" i="24"/>
  <c r="BD204" i="24"/>
  <c r="BH204" i="24"/>
  <c r="BI204" i="24"/>
  <c r="BG205" i="24" s="1"/>
  <c r="BJ204" i="24"/>
  <c r="A205" i="24"/>
  <c r="J205" i="24"/>
  <c r="N205" i="24"/>
  <c r="O205" i="24"/>
  <c r="M206" i="24" s="1"/>
  <c r="P205" i="24"/>
  <c r="AG205" i="24"/>
  <c r="AK205" i="24"/>
  <c r="AL205" i="24"/>
  <c r="AM205" i="24"/>
  <c r="BD205" i="24"/>
  <c r="BH205" i="24"/>
  <c r="BI205" i="24"/>
  <c r="BG206" i="24" s="1"/>
  <c r="BJ205" i="24"/>
  <c r="A206" i="24"/>
  <c r="J206" i="24"/>
  <c r="N206" i="24"/>
  <c r="O206" i="24"/>
  <c r="M207" i="24" s="1"/>
  <c r="P206" i="24"/>
  <c r="AG206" i="24"/>
  <c r="AJ206" i="24"/>
  <c r="AK206" i="24"/>
  <c r="AL206" i="24"/>
  <c r="AJ207" i="24" s="1"/>
  <c r="AM206" i="24"/>
  <c r="BD206" i="24"/>
  <c r="BH206" i="24"/>
  <c r="BI206" i="24"/>
  <c r="BJ206" i="24"/>
  <c r="A207" i="24"/>
  <c r="J207" i="24"/>
  <c r="N207" i="24"/>
  <c r="O207" i="24"/>
  <c r="M208" i="24" s="1"/>
  <c r="P207" i="24"/>
  <c r="AG207" i="24"/>
  <c r="AK207" i="24"/>
  <c r="AL207" i="24"/>
  <c r="AJ208" i="24" s="1"/>
  <c r="AM207" i="24"/>
  <c r="BD207" i="24"/>
  <c r="BG207" i="24"/>
  <c r="BH207" i="24"/>
  <c r="BI207" i="24"/>
  <c r="BJ207" i="24"/>
  <c r="A208" i="24"/>
  <c r="J208" i="24"/>
  <c r="N208" i="24"/>
  <c r="O208" i="24"/>
  <c r="M209" i="24" s="1"/>
  <c r="P208" i="24"/>
  <c r="AG208" i="24"/>
  <c r="AK208" i="24"/>
  <c r="AL208" i="24"/>
  <c r="AJ209" i="24" s="1"/>
  <c r="AM208" i="24"/>
  <c r="BD208" i="24"/>
  <c r="BG208" i="24"/>
  <c r="BH208" i="24"/>
  <c r="BI208" i="24"/>
  <c r="BG209" i="24" s="1"/>
  <c r="BJ208" i="24"/>
  <c r="A209" i="24"/>
  <c r="J209" i="24"/>
  <c r="N209" i="24"/>
  <c r="O209" i="24"/>
  <c r="M210" i="24" s="1"/>
  <c r="P209" i="24"/>
  <c r="AG209" i="24"/>
  <c r="AK209" i="24"/>
  <c r="AL209" i="24"/>
  <c r="AJ210" i="24" s="1"/>
  <c r="AM209" i="24"/>
  <c r="BD209" i="24"/>
  <c r="BH209" i="24"/>
  <c r="BI209" i="24"/>
  <c r="BJ209" i="24"/>
  <c r="A210" i="24"/>
  <c r="J210" i="24"/>
  <c r="N210" i="24"/>
  <c r="O210" i="24"/>
  <c r="M211" i="24" s="1"/>
  <c r="P210" i="24"/>
  <c r="AG210" i="24"/>
  <c r="AK210" i="24"/>
  <c r="AL210" i="24"/>
  <c r="AM210" i="24"/>
  <c r="BD210" i="24"/>
  <c r="BG210" i="24"/>
  <c r="BH210" i="24"/>
  <c r="BI210" i="24"/>
  <c r="BG211" i="24" s="1"/>
  <c r="BJ210" i="24"/>
  <c r="A211" i="24"/>
  <c r="J211" i="24"/>
  <c r="N211" i="24"/>
  <c r="O211" i="24"/>
  <c r="M212" i="24" s="1"/>
  <c r="P211" i="24"/>
  <c r="AG211" i="24"/>
  <c r="AJ211" i="24"/>
  <c r="AK211" i="24"/>
  <c r="AL211" i="24"/>
  <c r="AJ212" i="24" s="1"/>
  <c r="AM211" i="24"/>
  <c r="BD211" i="24"/>
  <c r="BH211" i="24"/>
  <c r="BI211" i="24"/>
  <c r="BG212" i="24" s="1"/>
  <c r="BJ211" i="24"/>
  <c r="A212" i="24"/>
  <c r="J212" i="24"/>
  <c r="N212" i="24"/>
  <c r="O212" i="24"/>
  <c r="M213" i="24" s="1"/>
  <c r="P212" i="24"/>
  <c r="AG212" i="24"/>
  <c r="AK212" i="24"/>
  <c r="AL212" i="24"/>
  <c r="AJ213" i="24" s="1"/>
  <c r="AM212" i="24"/>
  <c r="BD212" i="24"/>
  <c r="BH212" i="24"/>
  <c r="BI212" i="24"/>
  <c r="BG213" i="24" s="1"/>
  <c r="BJ212" i="24"/>
  <c r="A213" i="24"/>
  <c r="J213" i="24"/>
  <c r="N213" i="24"/>
  <c r="O213" i="24"/>
  <c r="M214" i="24" s="1"/>
  <c r="P213" i="24"/>
  <c r="AG213" i="24"/>
  <c r="AK213" i="24"/>
  <c r="AL213" i="24"/>
  <c r="AJ214" i="24" s="1"/>
  <c r="AM213" i="24"/>
  <c r="BD213" i="24"/>
  <c r="BH213" i="24"/>
  <c r="BI213" i="24"/>
  <c r="BG214" i="24" s="1"/>
  <c r="BJ213" i="24"/>
  <c r="A214" i="24"/>
  <c r="J214" i="24"/>
  <c r="N214" i="24"/>
  <c r="O214" i="24"/>
  <c r="M215" i="24" s="1"/>
  <c r="P214" i="24"/>
  <c r="AG214" i="24"/>
  <c r="AK214" i="24"/>
  <c r="AL214" i="24"/>
  <c r="AM214" i="24"/>
  <c r="BD214" i="24"/>
  <c r="BH214" i="24"/>
  <c r="BI214" i="24"/>
  <c r="BG215" i="24" s="1"/>
  <c r="BJ214" i="24"/>
  <c r="A215" i="24"/>
  <c r="J215" i="24"/>
  <c r="N215" i="24"/>
  <c r="O215" i="24"/>
  <c r="M216" i="24" s="1"/>
  <c r="P215" i="24"/>
  <c r="AG215" i="24"/>
  <c r="AJ215" i="24"/>
  <c r="AK215" i="24"/>
  <c r="AL215" i="24"/>
  <c r="AJ216" i="24" s="1"/>
  <c r="AM215" i="24"/>
  <c r="BD215" i="24"/>
  <c r="BH215" i="24"/>
  <c r="BI215" i="24"/>
  <c r="BG216" i="24" s="1"/>
  <c r="BJ215" i="24"/>
  <c r="A216" i="24"/>
  <c r="J216" i="24"/>
  <c r="N216" i="24"/>
  <c r="O216" i="24"/>
  <c r="P216" i="24"/>
  <c r="AG216" i="24"/>
  <c r="AK216" i="24"/>
  <c r="AL216" i="24"/>
  <c r="AJ217" i="24" s="1"/>
  <c r="AM216" i="24"/>
  <c r="BD216" i="24"/>
  <c r="BH216" i="24"/>
  <c r="BI216" i="24"/>
  <c r="BG217" i="24" s="1"/>
  <c r="BJ216" i="24"/>
  <c r="A217" i="24"/>
  <c r="J217" i="24"/>
  <c r="M217" i="24"/>
  <c r="N217" i="24"/>
  <c r="O217" i="24"/>
  <c r="P217" i="24"/>
  <c r="AG217" i="24"/>
  <c r="AK217" i="24"/>
  <c r="AL217" i="24"/>
  <c r="AJ218" i="24" s="1"/>
  <c r="AM217" i="24"/>
  <c r="BD217" i="24"/>
  <c r="BH217" i="24"/>
  <c r="BI217" i="24"/>
  <c r="BG218" i="24" s="1"/>
  <c r="BJ217" i="24"/>
  <c r="A218" i="24"/>
  <c r="J218" i="24"/>
  <c r="M218" i="24"/>
  <c r="N218" i="24"/>
  <c r="O218" i="24"/>
  <c r="M219" i="24" s="1"/>
  <c r="P218" i="24"/>
  <c r="AG218" i="24"/>
  <c r="AK218" i="24"/>
  <c r="AL218" i="24"/>
  <c r="AJ219" i="24" s="1"/>
  <c r="AM218" i="24"/>
  <c r="BD218" i="24"/>
  <c r="BH218" i="24"/>
  <c r="BI218" i="24"/>
  <c r="BJ218" i="24"/>
  <c r="A219" i="24"/>
  <c r="J219" i="24"/>
  <c r="N219" i="24"/>
  <c r="O219" i="24"/>
  <c r="M220" i="24" s="1"/>
  <c r="P219" i="24"/>
  <c r="AG219" i="24"/>
  <c r="AK219" i="24"/>
  <c r="AL219" i="24"/>
  <c r="AM219" i="24"/>
  <c r="BD219" i="24"/>
  <c r="BG219" i="24"/>
  <c r="BH219" i="24"/>
  <c r="BI219" i="24"/>
  <c r="BG220" i="24" s="1"/>
  <c r="BJ219" i="24"/>
  <c r="A220" i="24"/>
  <c r="J220" i="24"/>
  <c r="N220" i="24"/>
  <c r="O220" i="24"/>
  <c r="P220" i="24"/>
  <c r="AG220" i="24"/>
  <c r="AJ220" i="24"/>
  <c r="AK220" i="24"/>
  <c r="AL220" i="24"/>
  <c r="AJ221" i="24" s="1"/>
  <c r="AM220" i="24"/>
  <c r="BD220" i="24"/>
  <c r="BH220" i="24"/>
  <c r="BI220" i="24"/>
  <c r="BG221" i="24" s="1"/>
  <c r="BJ220" i="24"/>
  <c r="A221" i="24"/>
  <c r="J221" i="24"/>
  <c r="M221" i="24"/>
  <c r="N221" i="24"/>
  <c r="O221" i="24"/>
  <c r="M222" i="24" s="1"/>
  <c r="P221" i="24"/>
  <c r="AG221" i="24"/>
  <c r="AK221" i="24"/>
  <c r="AL221" i="24"/>
  <c r="AJ222" i="24" s="1"/>
  <c r="AM221" i="24"/>
  <c r="BD221" i="24"/>
  <c r="BH221" i="24"/>
  <c r="BI221" i="24"/>
  <c r="BG222" i="24" s="1"/>
  <c r="BJ221" i="24"/>
  <c r="A222" i="24"/>
  <c r="J222" i="24"/>
  <c r="N222" i="24"/>
  <c r="O222" i="24"/>
  <c r="M223" i="24" s="1"/>
  <c r="P222" i="24"/>
  <c r="AG222" i="24"/>
  <c r="AK222" i="24"/>
  <c r="AL222" i="24"/>
  <c r="AJ223" i="24" s="1"/>
  <c r="AM222" i="24"/>
  <c r="BD222" i="24"/>
  <c r="BH222" i="24"/>
  <c r="BI222" i="24"/>
  <c r="BG223" i="24" s="1"/>
  <c r="BJ222" i="24"/>
  <c r="A223" i="24"/>
  <c r="J223" i="24"/>
  <c r="N223" i="24"/>
  <c r="O223" i="24"/>
  <c r="M224" i="24" s="1"/>
  <c r="P223" i="24"/>
  <c r="AG223" i="24"/>
  <c r="AK223" i="24"/>
  <c r="AL223" i="24"/>
  <c r="AJ224" i="24" s="1"/>
  <c r="AM223" i="24"/>
  <c r="BD223" i="24"/>
  <c r="BH223" i="24"/>
  <c r="BI223" i="24"/>
  <c r="BJ223" i="24"/>
  <c r="A224" i="24"/>
  <c r="J224" i="24"/>
  <c r="N224" i="24"/>
  <c r="O224" i="24"/>
  <c r="M225" i="24" s="1"/>
  <c r="P224" i="24"/>
  <c r="AG224" i="24"/>
  <c r="AK224" i="24"/>
  <c r="AL224" i="24"/>
  <c r="AJ225" i="24" s="1"/>
  <c r="AM224" i="24"/>
  <c r="BD224" i="24"/>
  <c r="BG224" i="24"/>
  <c r="BH224" i="24"/>
  <c r="BI224" i="24"/>
  <c r="BG225" i="24" s="1"/>
  <c r="BJ224" i="24"/>
  <c r="A225" i="24"/>
  <c r="J225" i="24"/>
  <c r="N225" i="24"/>
  <c r="O225" i="24"/>
  <c r="P225" i="24"/>
  <c r="AG225" i="24"/>
  <c r="AK225" i="24"/>
  <c r="AL225" i="24"/>
  <c r="AJ226" i="24" s="1"/>
  <c r="AM225" i="24"/>
  <c r="BD225" i="24"/>
  <c r="BH225" i="24"/>
  <c r="BI225" i="24"/>
  <c r="BJ225" i="24"/>
  <c r="A226" i="24"/>
  <c r="J226" i="24"/>
  <c r="M226" i="24"/>
  <c r="N226" i="24"/>
  <c r="O226" i="24"/>
  <c r="M227" i="24" s="1"/>
  <c r="P226" i="24"/>
  <c r="AG226" i="24"/>
  <c r="AK226" i="24"/>
  <c r="AL226" i="24"/>
  <c r="AJ227" i="24" s="1"/>
  <c r="AM226" i="24"/>
  <c r="BD226" i="24"/>
  <c r="BG226" i="24"/>
  <c r="BH226" i="24"/>
  <c r="BI226" i="24"/>
  <c r="BG227" i="24" s="1"/>
  <c r="BJ226" i="24"/>
  <c r="A227" i="24"/>
  <c r="J227" i="24"/>
  <c r="N227" i="24"/>
  <c r="O227" i="24"/>
  <c r="M228" i="24" s="1"/>
  <c r="P227" i="24"/>
  <c r="AG227" i="24"/>
  <c r="AK227" i="24"/>
  <c r="AL227" i="24"/>
  <c r="AJ228" i="24" s="1"/>
  <c r="AM227" i="24"/>
  <c r="BD227" i="24"/>
  <c r="BH227" i="24"/>
  <c r="BI227" i="24"/>
  <c r="BJ227" i="24"/>
  <c r="A228" i="24"/>
  <c r="J228" i="24"/>
  <c r="N228" i="24"/>
  <c r="O228" i="24"/>
  <c r="M229" i="24" s="1"/>
  <c r="P228" i="24"/>
  <c r="AG228" i="24"/>
  <c r="AK228" i="24"/>
  <c r="AL228" i="24"/>
  <c r="AJ229" i="24" s="1"/>
  <c r="AM228" i="24"/>
  <c r="BD228" i="24"/>
  <c r="BG228" i="24"/>
  <c r="BH228" i="24"/>
  <c r="BI228" i="24"/>
  <c r="BG229" i="24" s="1"/>
  <c r="BJ228" i="24"/>
  <c r="A229" i="24"/>
  <c r="J229" i="24"/>
  <c r="N229" i="24"/>
  <c r="O229" i="24"/>
  <c r="M230" i="24" s="1"/>
  <c r="P229" i="24"/>
  <c r="AG229" i="24"/>
  <c r="AK229" i="24"/>
  <c r="AL229" i="24"/>
  <c r="AJ230" i="24" s="1"/>
  <c r="AM229" i="24"/>
  <c r="BD229" i="24"/>
  <c r="BH229" i="24"/>
  <c r="BI229" i="24"/>
  <c r="BG230" i="24" s="1"/>
  <c r="BJ229" i="24"/>
  <c r="A230" i="24"/>
  <c r="J230" i="24"/>
  <c r="N230" i="24"/>
  <c r="O230" i="24"/>
  <c r="M231" i="24" s="1"/>
  <c r="P230" i="24"/>
  <c r="AG230" i="24"/>
  <c r="AK230" i="24"/>
  <c r="AL230" i="24"/>
  <c r="AJ231" i="24" s="1"/>
  <c r="AM230" i="24"/>
  <c r="BD230" i="24"/>
  <c r="BH230" i="24"/>
  <c r="BI230" i="24"/>
  <c r="BG231" i="24" s="1"/>
  <c r="BJ230" i="24"/>
  <c r="A231" i="24"/>
  <c r="J231" i="24"/>
  <c r="N231" i="24"/>
  <c r="O231" i="24"/>
  <c r="M232" i="24" s="1"/>
  <c r="P231" i="24"/>
  <c r="AG231" i="24"/>
  <c r="AK231" i="24"/>
  <c r="AL231" i="24"/>
  <c r="AJ232" i="24" s="1"/>
  <c r="AM231" i="24"/>
  <c r="BD231" i="24"/>
  <c r="BH231" i="24"/>
  <c r="BI231" i="24"/>
  <c r="BG232" i="24" s="1"/>
  <c r="BJ231" i="24"/>
  <c r="A232" i="24"/>
  <c r="J232" i="24"/>
  <c r="N232" i="24"/>
  <c r="O232" i="24"/>
  <c r="M233" i="24" s="1"/>
  <c r="P232" i="24"/>
  <c r="AG232" i="24"/>
  <c r="AK232" i="24"/>
  <c r="AL232" i="24"/>
  <c r="AJ233" i="24" s="1"/>
  <c r="AM232" i="24"/>
  <c r="BD232" i="24"/>
  <c r="BH232" i="24"/>
  <c r="BI232" i="24"/>
  <c r="BJ232" i="24"/>
  <c r="A233" i="24"/>
  <c r="J233" i="24"/>
  <c r="N233" i="24"/>
  <c r="O233" i="24"/>
  <c r="M234" i="24" s="1"/>
  <c r="P233" i="24"/>
  <c r="AG233" i="24"/>
  <c r="AK233" i="24"/>
  <c r="AL233" i="24"/>
  <c r="AJ234" i="24" s="1"/>
  <c r="AM233" i="24"/>
  <c r="BD233" i="24"/>
  <c r="BG233" i="24"/>
  <c r="BH233" i="24"/>
  <c r="BI233" i="24"/>
  <c r="BG234" i="24" s="1"/>
  <c r="BJ233" i="24"/>
  <c r="A234" i="24"/>
  <c r="J234" i="24"/>
  <c r="N234" i="24"/>
  <c r="O234" i="24"/>
  <c r="M235" i="24" s="1"/>
  <c r="P234" i="24"/>
  <c r="AG234" i="24"/>
  <c r="AK234" i="24"/>
  <c r="AL234" i="24"/>
  <c r="AJ235" i="24" s="1"/>
  <c r="AM234" i="24"/>
  <c r="BD234" i="24"/>
  <c r="BH234" i="24"/>
  <c r="BI234" i="24"/>
  <c r="BG235" i="24" s="1"/>
  <c r="BJ234" i="24"/>
  <c r="A235" i="24"/>
  <c r="J235" i="24"/>
  <c r="N235" i="24"/>
  <c r="O235" i="24"/>
  <c r="M236" i="24" s="1"/>
  <c r="P235" i="24"/>
  <c r="AG235" i="24"/>
  <c r="AK235" i="24"/>
  <c r="AL235" i="24"/>
  <c r="AM235" i="24"/>
  <c r="BD235" i="24"/>
  <c r="BH235" i="24"/>
  <c r="BI235" i="24"/>
  <c r="BG236" i="24" s="1"/>
  <c r="BJ235" i="24"/>
  <c r="A236" i="24"/>
  <c r="J236" i="24"/>
  <c r="N236" i="24"/>
  <c r="O236" i="24"/>
  <c r="M237" i="24" s="1"/>
  <c r="P236" i="24"/>
  <c r="AG236" i="24"/>
  <c r="AJ236" i="24"/>
  <c r="AK236" i="24"/>
  <c r="AL236" i="24"/>
  <c r="AJ237" i="24" s="1"/>
  <c r="AM236" i="24"/>
  <c r="BD236" i="24"/>
  <c r="BH236" i="24"/>
  <c r="BI236" i="24"/>
  <c r="BG237" i="24" s="1"/>
  <c r="BJ236" i="24"/>
  <c r="A237" i="24"/>
  <c r="J237" i="24"/>
  <c r="N237" i="24"/>
  <c r="O237" i="24"/>
  <c r="P237" i="24"/>
  <c r="AG237" i="24"/>
  <c r="AK237" i="24"/>
  <c r="AL237" i="24"/>
  <c r="AJ238" i="24" s="1"/>
  <c r="AM237" i="24"/>
  <c r="BD237" i="24"/>
  <c r="BH237" i="24"/>
  <c r="BI237" i="24"/>
  <c r="BG238" i="24" s="1"/>
  <c r="BJ237" i="24"/>
  <c r="A238" i="24"/>
  <c r="J238" i="24"/>
  <c r="M238" i="24"/>
  <c r="N238" i="24"/>
  <c r="O238" i="24"/>
  <c r="M239" i="24" s="1"/>
  <c r="P238" i="24"/>
  <c r="AG238" i="24"/>
  <c r="AK238" i="24"/>
  <c r="AL238" i="24"/>
  <c r="AJ239" i="24" s="1"/>
  <c r="AM238" i="24"/>
  <c r="BD238" i="24"/>
  <c r="BH238" i="24"/>
  <c r="BI238" i="24"/>
  <c r="BG239" i="24" s="1"/>
  <c r="BJ238" i="24"/>
  <c r="A239" i="24"/>
  <c r="J239" i="24"/>
  <c r="N239" i="24"/>
  <c r="O239" i="24"/>
  <c r="M240" i="24" s="1"/>
  <c r="P239" i="24"/>
  <c r="AG239" i="24"/>
  <c r="AK239" i="24"/>
  <c r="AL239" i="24"/>
  <c r="AJ240" i="24" s="1"/>
  <c r="AM239" i="24"/>
  <c r="BD239" i="24"/>
  <c r="BH239" i="24"/>
  <c r="BI239" i="24"/>
  <c r="BJ239" i="24"/>
  <c r="A240" i="24"/>
  <c r="J240" i="24"/>
  <c r="N240" i="24"/>
  <c r="O240" i="24"/>
  <c r="M241" i="24" s="1"/>
  <c r="P240" i="24"/>
  <c r="AG240" i="24"/>
  <c r="AK240" i="24"/>
  <c r="AL240" i="24"/>
  <c r="AJ241" i="24" s="1"/>
  <c r="AM240" i="24"/>
  <c r="BD240" i="24"/>
  <c r="BG240" i="24"/>
  <c r="BH240" i="24"/>
  <c r="BI240" i="24"/>
  <c r="BG241" i="24" s="1"/>
  <c r="BJ240" i="24"/>
  <c r="A241" i="24"/>
  <c r="J241" i="24"/>
  <c r="N241" i="24"/>
  <c r="O241" i="24"/>
  <c r="M242" i="24" s="1"/>
  <c r="P241" i="24"/>
  <c r="AG241" i="24"/>
  <c r="AK241" i="24"/>
  <c r="AL241" i="24"/>
  <c r="AJ242" i="24" s="1"/>
  <c r="AM241" i="24"/>
  <c r="BD241" i="24"/>
  <c r="BH241" i="24"/>
  <c r="BI241" i="24"/>
  <c r="BJ241" i="24"/>
  <c r="A242" i="24"/>
  <c r="J242" i="24"/>
  <c r="N242" i="24"/>
  <c r="O242" i="24"/>
  <c r="M243" i="24" s="1"/>
  <c r="P242" i="24"/>
  <c r="AG242" i="24"/>
  <c r="AK242" i="24"/>
  <c r="AL242" i="24"/>
  <c r="AJ243" i="24" s="1"/>
  <c r="AM242" i="24"/>
  <c r="BD242" i="24"/>
  <c r="BG242" i="24"/>
  <c r="BH242" i="24"/>
  <c r="BI242" i="24"/>
  <c r="BG243" i="24" s="1"/>
  <c r="BJ242" i="24"/>
  <c r="A243" i="24"/>
  <c r="J243" i="24"/>
  <c r="N243" i="24"/>
  <c r="O243" i="24"/>
  <c r="P243" i="24"/>
  <c r="AG243" i="24"/>
  <c r="AK243" i="24"/>
  <c r="AL243" i="24"/>
  <c r="AJ244" i="24" s="1"/>
  <c r="AM243" i="24"/>
  <c r="BD243" i="24"/>
  <c r="BH243" i="24"/>
  <c r="BI243" i="24"/>
  <c r="BG244" i="24" s="1"/>
  <c r="BJ243" i="24"/>
  <c r="A244" i="24"/>
  <c r="J244" i="24"/>
  <c r="M244" i="24"/>
  <c r="N244" i="24"/>
  <c r="O244" i="24"/>
  <c r="M245" i="24" s="1"/>
  <c r="P244" i="24"/>
  <c r="AG244" i="24"/>
  <c r="AK244" i="24"/>
  <c r="AL244" i="24"/>
  <c r="AJ245" i="24" s="1"/>
  <c r="AM244" i="24"/>
  <c r="BD244" i="24"/>
  <c r="BH244" i="24"/>
  <c r="BI244" i="24"/>
  <c r="BG245" i="24" s="1"/>
  <c r="BJ244" i="24"/>
  <c r="A245" i="24"/>
  <c r="J245" i="24"/>
  <c r="N245" i="24"/>
  <c r="O245" i="24"/>
  <c r="M246" i="24" s="1"/>
  <c r="P245" i="24"/>
  <c r="AG245" i="24"/>
  <c r="AK245" i="24"/>
  <c r="AL245" i="24"/>
  <c r="AM245" i="24"/>
  <c r="BD245" i="24"/>
  <c r="BH245" i="24"/>
  <c r="BI245" i="24"/>
  <c r="BG246" i="24" s="1"/>
  <c r="BJ245" i="24"/>
  <c r="A246" i="24"/>
  <c r="J246" i="24"/>
  <c r="N246" i="24"/>
  <c r="O246" i="24"/>
  <c r="M247" i="24" s="1"/>
  <c r="P246" i="24"/>
  <c r="AG246" i="24"/>
  <c r="AJ246" i="24"/>
  <c r="AK246" i="24"/>
  <c r="AL246" i="24"/>
  <c r="AJ247" i="24" s="1"/>
  <c r="AM246" i="24"/>
  <c r="BD246" i="24"/>
  <c r="BH246" i="24"/>
  <c r="BI246" i="24"/>
  <c r="BJ246" i="24"/>
  <c r="A247" i="24"/>
  <c r="J247" i="24"/>
  <c r="N247" i="24"/>
  <c r="O247" i="24"/>
  <c r="M248" i="24" s="1"/>
  <c r="P247" i="24"/>
  <c r="AG247" i="24"/>
  <c r="AK247" i="24"/>
  <c r="AL247" i="24"/>
  <c r="AJ248" i="24" s="1"/>
  <c r="AM247" i="24"/>
  <c r="BD247" i="24"/>
  <c r="BG247" i="24"/>
  <c r="BH247" i="24"/>
  <c r="BI247" i="24"/>
  <c r="BG248" i="24" s="1"/>
  <c r="BJ247" i="24"/>
  <c r="A248" i="24"/>
  <c r="J248" i="24"/>
  <c r="N248" i="24"/>
  <c r="O248" i="24"/>
  <c r="M249" i="24" s="1"/>
  <c r="P248" i="24"/>
  <c r="AG248" i="24"/>
  <c r="AK248" i="24"/>
  <c r="AL248" i="24"/>
  <c r="AJ249" i="24" s="1"/>
  <c r="AM248" i="24"/>
  <c r="BD248" i="24"/>
  <c r="BH248" i="24"/>
  <c r="BI248" i="24"/>
  <c r="BJ248" i="24"/>
  <c r="A249" i="24"/>
  <c r="J249" i="24"/>
  <c r="N249" i="24"/>
  <c r="O249" i="24"/>
  <c r="M250" i="24" s="1"/>
  <c r="P249" i="24"/>
  <c r="AG249" i="24"/>
  <c r="AK249" i="24"/>
  <c r="AL249" i="24"/>
  <c r="AJ250" i="24" s="1"/>
  <c r="AM249" i="24"/>
  <c r="BD249" i="24"/>
  <c r="BG249" i="24"/>
  <c r="BH249" i="24"/>
  <c r="BI249" i="24"/>
  <c r="BG250" i="24" s="1"/>
  <c r="BJ249" i="24"/>
  <c r="A250" i="24"/>
  <c r="J250" i="24"/>
  <c r="N250" i="24"/>
  <c r="O250" i="24"/>
  <c r="M251" i="24" s="1"/>
  <c r="P250" i="24"/>
  <c r="AG250" i="24"/>
  <c r="AK250" i="24"/>
  <c r="AL250" i="24"/>
  <c r="AM250" i="24"/>
  <c r="BD250" i="24"/>
  <c r="BH250" i="24"/>
  <c r="BI250" i="24"/>
  <c r="BG251" i="24" s="1"/>
  <c r="BJ250" i="24"/>
  <c r="A251" i="24"/>
  <c r="J251" i="24"/>
  <c r="N251" i="24"/>
  <c r="O251" i="24"/>
  <c r="P251" i="24"/>
  <c r="AG251" i="24"/>
  <c r="AJ251" i="24"/>
  <c r="AK251" i="24"/>
  <c r="AL251" i="24"/>
  <c r="AJ252" i="24" s="1"/>
  <c r="AM251" i="24"/>
  <c r="BD251" i="24"/>
  <c r="BH251" i="24"/>
  <c r="BI251" i="24"/>
  <c r="BG252" i="24" s="1"/>
  <c r="BJ251" i="24"/>
  <c r="A252" i="24"/>
  <c r="J252" i="24"/>
  <c r="M252" i="24"/>
  <c r="N252" i="24"/>
  <c r="O252" i="24"/>
  <c r="M253" i="24" s="1"/>
  <c r="P252" i="24"/>
  <c r="AG252" i="24"/>
  <c r="AK252" i="24"/>
  <c r="AL252" i="24"/>
  <c r="AJ253" i="24" s="1"/>
  <c r="AM252" i="24"/>
  <c r="BD252" i="24"/>
  <c r="BH252" i="24"/>
  <c r="BI252" i="24"/>
  <c r="BG253" i="24" s="1"/>
  <c r="BJ252" i="24"/>
  <c r="A253" i="24"/>
  <c r="J253" i="24"/>
  <c r="N253" i="24"/>
  <c r="O253" i="24"/>
  <c r="M254" i="24" s="1"/>
  <c r="P253" i="24"/>
  <c r="AG253" i="24"/>
  <c r="AK253" i="24"/>
  <c r="AL253" i="24"/>
  <c r="AJ254" i="24" s="1"/>
  <c r="AM253" i="24"/>
  <c r="BD253" i="24"/>
  <c r="BH253" i="24"/>
  <c r="BI253" i="24"/>
  <c r="BJ253" i="24"/>
  <c r="A254" i="24"/>
  <c r="J254" i="24"/>
  <c r="N254" i="24"/>
  <c r="O254" i="24"/>
  <c r="M255" i="24" s="1"/>
  <c r="P254" i="24"/>
  <c r="AG254" i="24"/>
  <c r="AK254" i="24"/>
  <c r="AL254" i="24"/>
  <c r="AJ255" i="24" s="1"/>
  <c r="AM254" i="24"/>
  <c r="BD254" i="24"/>
  <c r="BG254" i="24"/>
  <c r="BH254" i="24"/>
  <c r="BI254" i="24"/>
  <c r="BG255" i="24" s="1"/>
  <c r="BJ254" i="24"/>
  <c r="A255" i="24"/>
  <c r="J255" i="24"/>
  <c r="N255" i="24"/>
  <c r="O255" i="24"/>
  <c r="M256" i="24" s="1"/>
  <c r="P255" i="24"/>
  <c r="AG255" i="24"/>
  <c r="AK255" i="24"/>
  <c r="AL255" i="24"/>
  <c r="AJ256" i="24" s="1"/>
  <c r="AM255" i="24"/>
  <c r="BD255" i="24"/>
  <c r="BH255" i="24"/>
  <c r="BI255" i="24"/>
  <c r="BG256" i="24" s="1"/>
  <c r="BJ255" i="24"/>
  <c r="A256" i="24"/>
  <c r="J256" i="24"/>
  <c r="N256" i="24"/>
  <c r="O256" i="24"/>
  <c r="M257" i="24" s="1"/>
  <c r="P256" i="24"/>
  <c r="AG256" i="24"/>
  <c r="AK256" i="24"/>
  <c r="AL256" i="24"/>
  <c r="AJ257" i="24" s="1"/>
  <c r="AM256" i="24"/>
  <c r="BD256" i="24"/>
  <c r="BH256" i="24"/>
  <c r="BI256" i="24"/>
  <c r="BG257" i="24" s="1"/>
  <c r="BJ256" i="24"/>
  <c r="A257" i="24"/>
  <c r="J257" i="24"/>
  <c r="N257" i="24"/>
  <c r="O257" i="24"/>
  <c r="P257" i="24"/>
  <c r="AG257" i="24"/>
  <c r="AK257" i="24"/>
  <c r="AL257" i="24"/>
  <c r="AJ258" i="24" s="1"/>
  <c r="AM257" i="24"/>
  <c r="BD257" i="24"/>
  <c r="BH257" i="24"/>
  <c r="BI257" i="24"/>
  <c r="BJ257" i="24"/>
  <c r="A258" i="24"/>
  <c r="J258" i="24"/>
  <c r="M258" i="24"/>
  <c r="N258" i="24"/>
  <c r="O258" i="24"/>
  <c r="M259" i="24" s="1"/>
  <c r="P258" i="24"/>
  <c r="AG258" i="24"/>
  <c r="AK258" i="24"/>
  <c r="AL258" i="24"/>
  <c r="AJ259" i="24" s="1"/>
  <c r="AM258" i="24"/>
  <c r="BD258" i="24"/>
  <c r="BG258" i="24"/>
  <c r="BH258" i="24"/>
  <c r="BI258" i="24"/>
  <c r="BG259" i="24" s="1"/>
  <c r="BJ258" i="24"/>
  <c r="A259" i="24"/>
  <c r="J259" i="24"/>
  <c r="N259" i="24"/>
  <c r="O259" i="24"/>
  <c r="M260" i="24" s="1"/>
  <c r="P259" i="24"/>
  <c r="AG259" i="24"/>
  <c r="AK259" i="24"/>
  <c r="AL259" i="24"/>
  <c r="AJ260" i="24" s="1"/>
  <c r="AM259" i="24"/>
  <c r="BD259" i="24"/>
  <c r="BH259" i="24"/>
  <c r="BI259" i="24"/>
  <c r="BG260" i="24" s="1"/>
  <c r="BJ259" i="24"/>
  <c r="A260" i="24"/>
  <c r="J260" i="24"/>
  <c r="N260" i="24"/>
  <c r="O260" i="24"/>
  <c r="M261" i="24" s="1"/>
  <c r="P260" i="24"/>
  <c r="AG260" i="24"/>
  <c r="AK260" i="24"/>
  <c r="AL260" i="24"/>
  <c r="AM260" i="24"/>
  <c r="BD260" i="24"/>
  <c r="BH260" i="24"/>
  <c r="BI260" i="24"/>
  <c r="BG261" i="24" s="1"/>
  <c r="BJ260" i="24"/>
  <c r="A261" i="24"/>
  <c r="J261" i="24"/>
  <c r="N261" i="24"/>
  <c r="O261" i="24"/>
  <c r="P261" i="24"/>
  <c r="AG261" i="24"/>
  <c r="AJ261" i="24"/>
  <c r="AK261" i="24"/>
  <c r="AL261" i="24"/>
  <c r="AJ262" i="24" s="1"/>
  <c r="AM261" i="24"/>
  <c r="BD261" i="24"/>
  <c r="BH261" i="24"/>
  <c r="BI261" i="24"/>
  <c r="BG262" i="24" s="1"/>
  <c r="BJ261" i="24"/>
  <c r="A262" i="24"/>
  <c r="J262" i="24"/>
  <c r="M262" i="24"/>
  <c r="N262" i="24"/>
  <c r="O262" i="24"/>
  <c r="M263" i="24" s="1"/>
  <c r="P262" i="24"/>
  <c r="AG262" i="24"/>
  <c r="AK262" i="24"/>
  <c r="AL262" i="24"/>
  <c r="AM262" i="24"/>
  <c r="BD262" i="24"/>
  <c r="BH262" i="24"/>
  <c r="BI262" i="24"/>
  <c r="BG263" i="24" s="1"/>
  <c r="BJ262" i="24"/>
  <c r="A263" i="24"/>
  <c r="J263" i="24"/>
  <c r="N263" i="24"/>
  <c r="O263" i="24"/>
  <c r="M264" i="24" s="1"/>
  <c r="P263" i="24"/>
  <c r="AG263" i="24"/>
  <c r="AJ263" i="24"/>
  <c r="AK263" i="24"/>
  <c r="AL263" i="24"/>
  <c r="AJ264" i="24" s="1"/>
  <c r="AM263" i="24"/>
  <c r="BD263" i="24"/>
  <c r="BH263" i="24"/>
  <c r="BI263" i="24"/>
  <c r="BJ263" i="24"/>
  <c r="A264" i="24"/>
  <c r="J264" i="24"/>
  <c r="N264" i="24"/>
  <c r="O264" i="24"/>
  <c r="M265" i="24" s="1"/>
  <c r="P264" i="24"/>
  <c r="AG264" i="24"/>
  <c r="AK264" i="24"/>
  <c r="AL264" i="24"/>
  <c r="AJ265" i="24" s="1"/>
  <c r="AM264" i="24"/>
  <c r="BD264" i="24"/>
  <c r="BG264" i="24"/>
  <c r="BH264" i="24"/>
  <c r="BI264" i="24"/>
  <c r="BG265" i="24" s="1"/>
  <c r="BJ264" i="24"/>
  <c r="A265" i="24"/>
  <c r="J265" i="24"/>
  <c r="N265" i="24"/>
  <c r="O265" i="24"/>
  <c r="P265" i="24"/>
  <c r="AG265" i="24"/>
  <c r="AK265" i="24"/>
  <c r="AL265" i="24"/>
  <c r="AM265" i="24"/>
  <c r="BD265" i="24"/>
  <c r="BH265" i="24"/>
  <c r="BI265" i="24"/>
  <c r="BJ265" i="24"/>
  <c r="A266" i="24"/>
  <c r="J266" i="24"/>
  <c r="M266" i="24"/>
  <c r="N266" i="24"/>
  <c r="O266" i="24"/>
  <c r="M267" i="24" s="1"/>
  <c r="P266" i="24"/>
  <c r="AG266" i="24"/>
  <c r="AJ266" i="24"/>
  <c r="AK266" i="24"/>
  <c r="AL266" i="24"/>
  <c r="AJ267" i="24" s="1"/>
  <c r="AM266" i="24"/>
  <c r="BD266" i="24"/>
  <c r="BG266" i="24"/>
  <c r="BH266" i="24"/>
  <c r="BI266" i="24"/>
  <c r="BJ266" i="24"/>
  <c r="A267" i="24"/>
  <c r="J267" i="24"/>
  <c r="N267" i="24"/>
  <c r="O267" i="24"/>
  <c r="P267" i="24"/>
  <c r="AG267" i="24"/>
  <c r="AK267" i="24"/>
  <c r="AL267" i="24"/>
  <c r="AJ268" i="24" s="1"/>
  <c r="AM267" i="24"/>
  <c r="BD267" i="24"/>
  <c r="BG267" i="24"/>
  <c r="BH267" i="24"/>
  <c r="BI267" i="24"/>
  <c r="BG268" i="24" s="1"/>
  <c r="BJ267" i="24"/>
  <c r="A268" i="24"/>
  <c r="J268" i="24"/>
  <c r="M268" i="24"/>
  <c r="N268" i="24"/>
  <c r="O268" i="24"/>
  <c r="M269" i="24" s="1"/>
  <c r="P268" i="24"/>
  <c r="AG268" i="24"/>
  <c r="AK268" i="24"/>
  <c r="AL268" i="24"/>
  <c r="AJ269" i="24" s="1"/>
  <c r="AM268" i="24"/>
  <c r="BD268" i="24"/>
  <c r="BH268" i="24"/>
  <c r="BI268" i="24"/>
  <c r="BG269" i="24" s="1"/>
  <c r="BJ268" i="24"/>
  <c r="A269" i="24"/>
  <c r="J269" i="24"/>
  <c r="N269" i="24"/>
  <c r="O269" i="24"/>
  <c r="M270" i="24" s="1"/>
  <c r="P269" i="24"/>
  <c r="AG269" i="24"/>
  <c r="AK269" i="24"/>
  <c r="AL269" i="24"/>
  <c r="AJ270" i="24" s="1"/>
  <c r="AM269" i="24"/>
  <c r="BD269" i="24"/>
  <c r="BH269" i="24"/>
  <c r="BI269" i="24"/>
  <c r="BG270" i="24" s="1"/>
  <c r="BJ269" i="24"/>
  <c r="A270" i="24"/>
  <c r="J270" i="24"/>
  <c r="N270" i="24"/>
  <c r="O270" i="24"/>
  <c r="P270" i="24"/>
  <c r="AG270" i="24"/>
  <c r="AK270" i="24"/>
  <c r="AL270" i="24"/>
  <c r="AJ271" i="24" s="1"/>
  <c r="AM270" i="24"/>
  <c r="BD270" i="24"/>
  <c r="BH270" i="24"/>
  <c r="BI270" i="24"/>
  <c r="BG271" i="24" s="1"/>
  <c r="BJ270" i="24"/>
  <c r="A271" i="24"/>
  <c r="J271" i="24"/>
  <c r="M271" i="24"/>
  <c r="N271" i="24"/>
  <c r="O271" i="24"/>
  <c r="M272" i="24" s="1"/>
  <c r="P271" i="24"/>
  <c r="AG271" i="24"/>
  <c r="AK271" i="24"/>
  <c r="AL271" i="24"/>
  <c r="AJ272" i="24" s="1"/>
  <c r="AM271" i="24"/>
  <c r="BD271" i="24"/>
  <c r="BH271" i="24"/>
  <c r="BI271" i="24"/>
  <c r="BJ271" i="24"/>
  <c r="A272" i="24"/>
  <c r="J272" i="24"/>
  <c r="N272" i="24"/>
  <c r="O272" i="24"/>
  <c r="M273" i="24" s="1"/>
  <c r="P272" i="24"/>
  <c r="AG272" i="24"/>
  <c r="AK272" i="24"/>
  <c r="AL272" i="24"/>
  <c r="AJ273" i="24" s="1"/>
  <c r="AM272" i="24"/>
  <c r="BD272" i="24"/>
  <c r="BG272" i="24"/>
  <c r="BH272" i="24"/>
  <c r="BI272" i="24"/>
  <c r="BG273" i="24" s="1"/>
  <c r="BJ272" i="24"/>
  <c r="A273" i="24"/>
  <c r="J273" i="24"/>
  <c r="N273" i="24"/>
  <c r="O273" i="24"/>
  <c r="M274" i="24" s="1"/>
  <c r="P273" i="24"/>
  <c r="AG273" i="24"/>
  <c r="AK273" i="24"/>
  <c r="AL273" i="24"/>
  <c r="AJ274" i="24" s="1"/>
  <c r="AM273" i="24"/>
  <c r="BD273" i="24"/>
  <c r="BH273" i="24"/>
  <c r="BI273" i="24"/>
  <c r="BJ273" i="24"/>
  <c r="A274" i="24"/>
  <c r="J274" i="24"/>
  <c r="N274" i="24"/>
  <c r="O274" i="24"/>
  <c r="M275" i="24" s="1"/>
  <c r="P274" i="24"/>
  <c r="AG274" i="24"/>
  <c r="AK274" i="24"/>
  <c r="AL274" i="24"/>
  <c r="AJ275" i="24" s="1"/>
  <c r="AM274" i="24"/>
  <c r="BD274" i="24"/>
  <c r="BG274" i="24"/>
  <c r="BH274" i="24"/>
  <c r="BI274" i="24"/>
  <c r="BG275" i="24" s="1"/>
  <c r="BJ274" i="24"/>
  <c r="A275" i="24"/>
  <c r="J275" i="24"/>
  <c r="N275" i="24"/>
  <c r="O275" i="24"/>
  <c r="M276" i="24" s="1"/>
  <c r="P275" i="24"/>
  <c r="AG275" i="24"/>
  <c r="AK275" i="24"/>
  <c r="AL275" i="24"/>
  <c r="AJ276" i="24" s="1"/>
  <c r="AM275" i="24"/>
  <c r="BD275" i="24"/>
  <c r="BH275" i="24"/>
  <c r="BI275" i="24"/>
  <c r="BG276" i="24" s="1"/>
  <c r="BJ275" i="24"/>
  <c r="A276" i="24"/>
  <c r="J276" i="24"/>
  <c r="N276" i="24"/>
  <c r="O276" i="24"/>
  <c r="M277" i="24" s="1"/>
  <c r="P276" i="24"/>
  <c r="AG276" i="24"/>
  <c r="AK276" i="24"/>
  <c r="AL276" i="24"/>
  <c r="AJ277" i="24" s="1"/>
  <c r="AM276" i="24"/>
  <c r="BD276" i="24"/>
  <c r="BH276" i="24"/>
  <c r="BI276" i="24"/>
  <c r="BG277" i="24" s="1"/>
  <c r="BJ276" i="24"/>
  <c r="A277" i="24"/>
  <c r="J277" i="24"/>
  <c r="N277" i="24"/>
  <c r="O277" i="24"/>
  <c r="P277" i="24"/>
  <c r="AG277" i="24"/>
  <c r="AK277" i="24"/>
  <c r="AL277" i="24"/>
  <c r="AJ278" i="24" s="1"/>
  <c r="AM277" i="24"/>
  <c r="BD277" i="24"/>
  <c r="BH277" i="24"/>
  <c r="BI277" i="24"/>
  <c r="BJ277" i="24"/>
  <c r="A278" i="24"/>
  <c r="J278" i="24"/>
  <c r="M278" i="24"/>
  <c r="N278" i="24"/>
  <c r="O278" i="24"/>
  <c r="M279" i="24" s="1"/>
  <c r="P278" i="24"/>
  <c r="AG278" i="24"/>
  <c r="AK278" i="24"/>
  <c r="AL278" i="24"/>
  <c r="AJ279" i="24" s="1"/>
  <c r="AM278" i="24"/>
  <c r="BD278" i="24"/>
  <c r="BG278" i="24"/>
  <c r="BH278" i="24"/>
  <c r="BI278" i="24"/>
  <c r="BG279" i="24" s="1"/>
  <c r="BJ278" i="24"/>
  <c r="A279" i="24"/>
  <c r="J279" i="24"/>
  <c r="N279" i="24"/>
  <c r="O279" i="24"/>
  <c r="P279" i="24"/>
  <c r="AG279" i="24"/>
  <c r="AK279" i="24"/>
  <c r="AL279" i="24"/>
  <c r="AJ280" i="24" s="1"/>
  <c r="AM279" i="24"/>
  <c r="BD279" i="24"/>
  <c r="BH279" i="24"/>
  <c r="BI279" i="24"/>
  <c r="BG280" i="24" s="1"/>
  <c r="BJ279" i="24"/>
  <c r="A280" i="24"/>
  <c r="J280" i="24"/>
  <c r="M280" i="24"/>
  <c r="N280" i="24"/>
  <c r="O280" i="24"/>
  <c r="P280" i="24"/>
  <c r="AG280" i="24"/>
  <c r="AK280" i="24"/>
  <c r="AL280" i="24"/>
  <c r="AJ281" i="24" s="1"/>
  <c r="AM280" i="24"/>
  <c r="BD280" i="24"/>
  <c r="BH280" i="24"/>
  <c r="BI280" i="24"/>
  <c r="BG281" i="24" s="1"/>
  <c r="BJ280" i="24"/>
  <c r="A281" i="24"/>
  <c r="J281" i="24"/>
  <c r="M281" i="24"/>
  <c r="N281" i="24"/>
  <c r="O281" i="24"/>
  <c r="M282" i="24" s="1"/>
  <c r="P281" i="24"/>
  <c r="AG281" i="24"/>
  <c r="AK281" i="24"/>
  <c r="AL281" i="24"/>
  <c r="AJ282" i="24" s="1"/>
  <c r="AM281" i="24"/>
  <c r="BD281" i="24"/>
  <c r="BH281" i="24"/>
  <c r="BI281" i="24"/>
  <c r="BG282" i="24" s="1"/>
  <c r="BJ281" i="24"/>
  <c r="A282" i="24"/>
  <c r="J282" i="24"/>
  <c r="N282" i="24"/>
  <c r="O282" i="24"/>
  <c r="M283" i="24" s="1"/>
  <c r="P282" i="24"/>
  <c r="AG282" i="24"/>
  <c r="AK282" i="24"/>
  <c r="AL282" i="24"/>
  <c r="AJ283" i="24" s="1"/>
  <c r="AM282" i="24"/>
  <c r="BD282" i="24"/>
  <c r="BH282" i="24"/>
  <c r="BI282" i="24"/>
  <c r="BG283" i="24" s="1"/>
  <c r="BJ282" i="24"/>
  <c r="A283" i="24"/>
  <c r="J283" i="24"/>
  <c r="N283" i="24"/>
  <c r="O283" i="24"/>
  <c r="P283" i="24"/>
  <c r="AG283" i="24"/>
  <c r="AK283" i="24"/>
  <c r="AL283" i="24"/>
  <c r="AJ284" i="24" s="1"/>
  <c r="AM283" i="24"/>
  <c r="BD283" i="24"/>
  <c r="BH283" i="24"/>
  <c r="BI283" i="24"/>
  <c r="BG284" i="24" s="1"/>
  <c r="BJ283" i="24"/>
  <c r="A284" i="24"/>
  <c r="J284" i="24"/>
  <c r="M284" i="24"/>
  <c r="N284" i="24"/>
  <c r="O284" i="24"/>
  <c r="M285" i="24" s="1"/>
  <c r="P284" i="24"/>
  <c r="AG284" i="24"/>
  <c r="AK284" i="24"/>
  <c r="AL284" i="24"/>
  <c r="AJ285" i="24" s="1"/>
  <c r="AM284" i="24"/>
  <c r="BD284" i="24"/>
  <c r="BH284" i="24"/>
  <c r="BI284" i="24"/>
  <c r="BG285" i="24" s="1"/>
  <c r="BJ284" i="24"/>
  <c r="A285" i="24"/>
  <c r="J285" i="24"/>
  <c r="N285" i="24"/>
  <c r="O285" i="24"/>
  <c r="M286" i="24" s="1"/>
  <c r="P285" i="24"/>
  <c r="AG285" i="24"/>
  <c r="AK285" i="24"/>
  <c r="AL285" i="24"/>
  <c r="AJ286" i="24" s="1"/>
  <c r="AM285" i="24"/>
  <c r="BD285" i="24"/>
  <c r="BH285" i="24"/>
  <c r="BI285" i="24"/>
  <c r="BG286" i="24" s="1"/>
  <c r="BJ285" i="24"/>
  <c r="A286" i="24"/>
  <c r="J286" i="24"/>
  <c r="N286" i="24"/>
  <c r="O286" i="24"/>
  <c r="M287" i="24" s="1"/>
  <c r="P286" i="24"/>
  <c r="AG286" i="24"/>
  <c r="AK286" i="24"/>
  <c r="AL286" i="24"/>
  <c r="AJ287" i="24" s="1"/>
  <c r="AM286" i="24"/>
  <c r="BD286" i="24"/>
  <c r="BH286" i="24"/>
  <c r="BI286" i="24"/>
  <c r="BJ286" i="24"/>
  <c r="A287" i="24"/>
  <c r="J287" i="24"/>
  <c r="N287" i="24"/>
  <c r="O287" i="24"/>
  <c r="M288" i="24" s="1"/>
  <c r="P287" i="24"/>
  <c r="AG287" i="24"/>
  <c r="AK287" i="24"/>
  <c r="AL287" i="24"/>
  <c r="AJ288" i="24" s="1"/>
  <c r="AM287" i="24"/>
  <c r="BD287" i="24"/>
  <c r="BG287" i="24"/>
  <c r="BH287" i="24"/>
  <c r="BI287" i="24"/>
  <c r="BG288" i="24" s="1"/>
  <c r="BJ287" i="24"/>
  <c r="A288" i="24"/>
  <c r="J288" i="24"/>
  <c r="N288" i="24"/>
  <c r="O288" i="24"/>
  <c r="P288" i="24"/>
  <c r="AG288" i="24"/>
  <c r="AK288" i="24"/>
  <c r="AL288" i="24"/>
  <c r="AM288" i="24"/>
  <c r="BD288" i="24"/>
  <c r="BH288" i="24"/>
  <c r="BI288" i="24"/>
  <c r="BJ288" i="24"/>
  <c r="A289" i="24"/>
  <c r="J289" i="24"/>
  <c r="M289" i="24"/>
  <c r="N289" i="24"/>
  <c r="O289" i="24"/>
  <c r="M290" i="24" s="1"/>
  <c r="P289" i="24"/>
  <c r="AG289" i="24"/>
  <c r="AJ289" i="24"/>
  <c r="AK289" i="24"/>
  <c r="AL289" i="24"/>
  <c r="AJ290" i="24" s="1"/>
  <c r="AM289" i="24"/>
  <c r="BD289" i="24"/>
  <c r="BG289" i="24"/>
  <c r="BH289" i="24"/>
  <c r="BI289" i="24"/>
  <c r="BG290" i="24" s="1"/>
  <c r="BJ289" i="24"/>
  <c r="A290" i="24"/>
  <c r="J290" i="24"/>
  <c r="N290" i="24"/>
  <c r="O290" i="24"/>
  <c r="M291" i="24" s="1"/>
  <c r="P290" i="24"/>
  <c r="AG290" i="24"/>
  <c r="AK290" i="24"/>
  <c r="AL290" i="24"/>
  <c r="AJ291" i="24" s="1"/>
  <c r="AM290" i="24"/>
  <c r="BD290" i="24"/>
  <c r="BH290" i="24"/>
  <c r="BI290" i="24"/>
  <c r="BG291" i="24" s="1"/>
  <c r="BJ290" i="24"/>
  <c r="A291" i="24"/>
  <c r="J291" i="24"/>
  <c r="N291" i="24"/>
  <c r="O291" i="24"/>
  <c r="M292" i="24" s="1"/>
  <c r="P291" i="24"/>
  <c r="AG291" i="24"/>
  <c r="AK291" i="24"/>
  <c r="AL291" i="24"/>
  <c r="AJ292" i="24" s="1"/>
  <c r="AM291" i="24"/>
  <c r="BD291" i="24"/>
  <c r="BH291" i="24"/>
  <c r="BI291" i="24"/>
  <c r="BG292" i="24" s="1"/>
  <c r="BJ291" i="24"/>
  <c r="A292" i="24"/>
  <c r="J292" i="24"/>
  <c r="N292" i="24"/>
  <c r="O292" i="24"/>
  <c r="M293" i="24" s="1"/>
  <c r="P292" i="24"/>
  <c r="AG292" i="24"/>
  <c r="AK292" i="24"/>
  <c r="AL292" i="24"/>
  <c r="AJ293" i="24" s="1"/>
  <c r="AM292" i="24"/>
  <c r="BD292" i="24"/>
  <c r="BH292" i="24"/>
  <c r="BI292" i="24"/>
  <c r="BG293" i="24" s="1"/>
  <c r="BJ292" i="24"/>
  <c r="A293" i="24"/>
  <c r="J293" i="24"/>
  <c r="N293" i="24"/>
  <c r="O293" i="24"/>
  <c r="M294" i="24" s="1"/>
  <c r="P293" i="24"/>
  <c r="AG293" i="24"/>
  <c r="AK293" i="24"/>
  <c r="AL293" i="24"/>
  <c r="AJ294" i="24" s="1"/>
  <c r="AM293" i="24"/>
  <c r="BD293" i="24"/>
  <c r="BH293" i="24"/>
  <c r="BI293" i="24"/>
  <c r="BG294" i="24" s="1"/>
  <c r="BJ293" i="24"/>
  <c r="A294" i="24"/>
  <c r="J294" i="24"/>
  <c r="N294" i="24"/>
  <c r="O294" i="24"/>
  <c r="M295" i="24" s="1"/>
  <c r="P294" i="24"/>
  <c r="AG294" i="24"/>
  <c r="AK294" i="24"/>
  <c r="AL294" i="24"/>
  <c r="AJ295" i="24" s="1"/>
  <c r="AM294" i="24"/>
  <c r="BD294" i="24"/>
  <c r="BH294" i="24"/>
  <c r="BI294" i="24"/>
  <c r="BJ294" i="24"/>
  <c r="A295" i="24"/>
  <c r="J295" i="24"/>
  <c r="N295" i="24"/>
  <c r="O295" i="24"/>
  <c r="M296" i="24" s="1"/>
  <c r="P295" i="24"/>
  <c r="AG295" i="24"/>
  <c r="AK295" i="24"/>
  <c r="AL295" i="24"/>
  <c r="AJ296" i="24" s="1"/>
  <c r="AM295" i="24"/>
  <c r="BD295" i="24"/>
  <c r="BG295" i="24"/>
  <c r="BH295" i="24"/>
  <c r="BI295" i="24"/>
  <c r="BJ295" i="24"/>
  <c r="A296" i="24"/>
  <c r="J296" i="24"/>
  <c r="N296" i="24"/>
  <c r="O296" i="24"/>
  <c r="M297" i="24" s="1"/>
  <c r="P296" i="24"/>
  <c r="AG296" i="24"/>
  <c r="AK296" i="24"/>
  <c r="AL296" i="24"/>
  <c r="AJ297" i="24" s="1"/>
  <c r="AM296" i="24"/>
  <c r="BD296" i="24"/>
  <c r="BG296" i="24"/>
  <c r="BH296" i="24"/>
  <c r="BI296" i="24"/>
  <c r="BG297" i="24" s="1"/>
  <c r="BJ296" i="24"/>
  <c r="A297" i="24"/>
  <c r="J297" i="24"/>
  <c r="N297" i="24"/>
  <c r="O297" i="24"/>
  <c r="M298" i="24" s="1"/>
  <c r="P297" i="24"/>
  <c r="AG297" i="24"/>
  <c r="AK297" i="24"/>
  <c r="AL297" i="24"/>
  <c r="AJ298" i="24" s="1"/>
  <c r="AM297" i="24"/>
  <c r="BD297" i="24"/>
  <c r="BH297" i="24"/>
  <c r="BI297" i="24"/>
  <c r="BJ297" i="24"/>
  <c r="A298" i="24"/>
  <c r="J298" i="24"/>
  <c r="N298" i="24"/>
  <c r="O298" i="24"/>
  <c r="P298" i="24"/>
  <c r="AG298" i="24"/>
  <c r="AK298" i="24"/>
  <c r="AL298" i="24"/>
  <c r="AJ299" i="24" s="1"/>
  <c r="AM298" i="24"/>
  <c r="BD298" i="24"/>
  <c r="BG298" i="24"/>
  <c r="BH298" i="24"/>
  <c r="BI298" i="24"/>
  <c r="BG299" i="24" s="1"/>
  <c r="BJ298" i="24"/>
  <c r="A299" i="24"/>
  <c r="J299" i="24"/>
  <c r="M299" i="24"/>
  <c r="N299" i="24"/>
  <c r="O299" i="24"/>
  <c r="P299" i="24"/>
  <c r="AG299" i="24"/>
  <c r="AK299" i="24"/>
  <c r="AL299" i="24"/>
  <c r="AJ300" i="24" s="1"/>
  <c r="AM299" i="24"/>
  <c r="BD299" i="24"/>
  <c r="BH299" i="24"/>
  <c r="BI299" i="24"/>
  <c r="BG300" i="24" s="1"/>
  <c r="BJ299" i="24"/>
  <c r="A300" i="24"/>
  <c r="J300" i="24"/>
  <c r="M300" i="24"/>
  <c r="N300" i="24"/>
  <c r="O300" i="24"/>
  <c r="M301" i="24" s="1"/>
  <c r="P300" i="24"/>
  <c r="AG300" i="24"/>
  <c r="AK300" i="24"/>
  <c r="AL300" i="24"/>
  <c r="AJ301" i="24" s="1"/>
  <c r="AM300" i="24"/>
  <c r="BD300" i="24"/>
  <c r="BH300" i="24"/>
  <c r="BI300" i="24"/>
  <c r="BG301" i="24" s="1"/>
  <c r="BJ300" i="24"/>
  <c r="A301" i="24"/>
  <c r="J301" i="24"/>
  <c r="N301" i="24"/>
  <c r="O301" i="24"/>
  <c r="M302" i="24" s="1"/>
  <c r="P301" i="24"/>
  <c r="AG301" i="24"/>
  <c r="AK301" i="24"/>
  <c r="AL301" i="24"/>
  <c r="AJ302" i="24" s="1"/>
  <c r="AM301" i="24"/>
  <c r="BD301" i="24"/>
  <c r="BH301" i="24"/>
  <c r="BI301" i="24"/>
  <c r="BG302" i="24" s="1"/>
  <c r="BJ301" i="24"/>
  <c r="A302" i="24"/>
  <c r="J302" i="24"/>
  <c r="N302" i="24"/>
  <c r="O302" i="24"/>
  <c r="P302" i="24"/>
  <c r="AG302" i="24"/>
  <c r="AK302" i="24"/>
  <c r="AL302" i="24"/>
  <c r="AJ303" i="24" s="1"/>
  <c r="AM302" i="24"/>
  <c r="BD302" i="24"/>
  <c r="BH302" i="24"/>
  <c r="BI302" i="24"/>
  <c r="BG303" i="24" s="1"/>
  <c r="BJ302" i="24"/>
  <c r="A303" i="24"/>
  <c r="J303" i="24"/>
  <c r="M303" i="24"/>
  <c r="N303" i="24"/>
  <c r="O303" i="24"/>
  <c r="P303" i="24"/>
  <c r="AG303" i="24"/>
  <c r="AK303" i="24"/>
  <c r="AL303" i="24"/>
  <c r="AM303" i="24"/>
  <c r="BD303" i="24"/>
  <c r="BH303" i="24"/>
  <c r="BI303" i="24"/>
  <c r="BG304" i="24" s="1"/>
  <c r="BJ303" i="24"/>
  <c r="A304" i="24"/>
  <c r="J304" i="24"/>
  <c r="M304" i="24"/>
  <c r="N304" i="24"/>
  <c r="O304" i="24"/>
  <c r="M305" i="24" s="1"/>
  <c r="P304" i="24"/>
  <c r="AG304" i="24"/>
  <c r="AJ304" i="24"/>
  <c r="AK304" i="24"/>
  <c r="AL304" i="24"/>
  <c r="AJ305" i="24" s="1"/>
  <c r="AM304" i="24"/>
  <c r="BD304" i="24"/>
  <c r="BH304" i="24"/>
  <c r="BI304" i="24"/>
  <c r="BJ304" i="24"/>
  <c r="A305" i="24"/>
  <c r="J305" i="24"/>
  <c r="N305" i="24"/>
  <c r="O305" i="24"/>
  <c r="M306" i="24" s="1"/>
  <c r="P305" i="24"/>
  <c r="AG305" i="24"/>
  <c r="AK305" i="24"/>
  <c r="AL305" i="24"/>
  <c r="AJ306" i="24" s="1"/>
  <c r="AM305" i="24"/>
  <c r="BD305" i="24"/>
  <c r="BG305" i="24"/>
  <c r="BH305" i="24"/>
  <c r="BI305" i="24"/>
  <c r="BG306" i="24" s="1"/>
  <c r="BJ305" i="24"/>
  <c r="A306" i="24"/>
  <c r="J306" i="24"/>
  <c r="N306" i="24"/>
  <c r="O306" i="24"/>
  <c r="M307" i="24" s="1"/>
  <c r="P306" i="24"/>
  <c r="AG306" i="24"/>
  <c r="AK306" i="24"/>
  <c r="AL306" i="24"/>
  <c r="AJ307" i="24" s="1"/>
  <c r="AM306" i="24"/>
  <c r="BD306" i="24"/>
  <c r="BH306" i="24"/>
  <c r="BI306" i="24"/>
  <c r="BJ306" i="24"/>
  <c r="A307" i="24"/>
  <c r="J307" i="24"/>
  <c r="N307" i="24"/>
  <c r="O307" i="24"/>
  <c r="M308" i="24" s="1"/>
  <c r="P307" i="24"/>
  <c r="AG307" i="24"/>
  <c r="AK307" i="24"/>
  <c r="AL307" i="24"/>
  <c r="AJ308" i="24" s="1"/>
  <c r="AM307" i="24"/>
  <c r="BD307" i="24"/>
  <c r="BG307" i="24"/>
  <c r="BH307" i="24"/>
  <c r="BI307" i="24"/>
  <c r="BG308" i="24" s="1"/>
  <c r="BJ307" i="24"/>
  <c r="A308" i="24"/>
  <c r="J308" i="24"/>
  <c r="N308" i="24"/>
  <c r="O308" i="24"/>
  <c r="M309" i="24" s="1"/>
  <c r="P308" i="24"/>
  <c r="AG308" i="24"/>
  <c r="AK308" i="24"/>
  <c r="AL308" i="24"/>
  <c r="AJ309" i="24" s="1"/>
  <c r="AM308" i="24"/>
  <c r="BD308" i="24"/>
  <c r="BH308" i="24"/>
  <c r="BI308" i="24"/>
  <c r="BG309" i="24" s="1"/>
  <c r="BJ308" i="24"/>
  <c r="A309" i="24"/>
  <c r="J309" i="24"/>
  <c r="N309" i="24"/>
  <c r="O309" i="24"/>
  <c r="P309" i="24"/>
  <c r="AG309" i="24"/>
  <c r="AK309" i="24"/>
  <c r="AL309" i="24"/>
  <c r="AJ310" i="24" s="1"/>
  <c r="AM309" i="24"/>
  <c r="BD309" i="24"/>
  <c r="BH309" i="24"/>
  <c r="BI309" i="24"/>
  <c r="BG310" i="24" s="1"/>
  <c r="BJ309" i="24"/>
  <c r="A310" i="24"/>
  <c r="J310" i="24"/>
  <c r="M310" i="24"/>
  <c r="N310" i="24"/>
  <c r="O310" i="24"/>
  <c r="M311" i="24" s="1"/>
  <c r="P310" i="24"/>
  <c r="AG310" i="24"/>
  <c r="AK310" i="24"/>
  <c r="AL310" i="24"/>
  <c r="AJ311" i="24" s="1"/>
  <c r="AM310" i="24"/>
  <c r="BD310" i="24"/>
  <c r="BH310" i="24"/>
  <c r="BI310" i="24"/>
  <c r="BG311" i="24" s="1"/>
  <c r="BJ310" i="24"/>
  <c r="A311" i="24"/>
  <c r="J311" i="24"/>
  <c r="N311" i="24"/>
  <c r="O311" i="24"/>
  <c r="M312" i="24" s="1"/>
  <c r="P311" i="24"/>
  <c r="AG311" i="24"/>
  <c r="AK311" i="24"/>
  <c r="AL311" i="24"/>
  <c r="AM311" i="24"/>
  <c r="BD311" i="24"/>
  <c r="BH311" i="24"/>
  <c r="BI311" i="24"/>
  <c r="BJ311" i="24"/>
  <c r="A312" i="24"/>
  <c r="J312" i="24"/>
  <c r="N312" i="24"/>
  <c r="O312" i="24"/>
  <c r="M313" i="24" s="1"/>
  <c r="P312" i="24"/>
  <c r="AG312" i="24"/>
  <c r="AJ312" i="24"/>
  <c r="AK312" i="24"/>
  <c r="AL312" i="24"/>
  <c r="AM312" i="24"/>
  <c r="BD312" i="24"/>
  <c r="BG312" i="24"/>
  <c r="BH312" i="24"/>
  <c r="BI312" i="24"/>
  <c r="BJ312" i="24"/>
  <c r="A313" i="24"/>
  <c r="J313" i="24"/>
  <c r="N313" i="24"/>
  <c r="O313" i="24"/>
  <c r="M314" i="24" s="1"/>
  <c r="P313" i="24"/>
  <c r="AG313" i="24"/>
  <c r="AJ313" i="24"/>
  <c r="AK313" i="24"/>
  <c r="AL313" i="24"/>
  <c r="AJ314" i="24" s="1"/>
  <c r="AM313" i="24"/>
  <c r="BD313" i="24"/>
  <c r="BG313" i="24"/>
  <c r="BH313" i="24"/>
  <c r="BI313" i="24"/>
  <c r="BG314" i="24" s="1"/>
  <c r="BJ313" i="24"/>
  <c r="A314" i="24"/>
  <c r="J314" i="24"/>
  <c r="N314" i="24"/>
  <c r="O314" i="24"/>
  <c r="M315" i="24" s="1"/>
  <c r="P314" i="24"/>
  <c r="AG314" i="24"/>
  <c r="AK314" i="24"/>
  <c r="AL314" i="24"/>
  <c r="AJ315" i="24" s="1"/>
  <c r="AM314" i="24"/>
  <c r="BD314" i="24"/>
  <c r="BH314" i="24"/>
  <c r="BI314" i="24"/>
  <c r="BG315" i="24" s="1"/>
  <c r="BJ314" i="24"/>
  <c r="A315" i="24"/>
  <c r="J315" i="24"/>
  <c r="N315" i="24"/>
  <c r="O315" i="24"/>
  <c r="M316" i="24" s="1"/>
  <c r="P315" i="24"/>
  <c r="AG315" i="24"/>
  <c r="AK315" i="24"/>
  <c r="AL315" i="24"/>
  <c r="AJ316" i="24" s="1"/>
  <c r="AM315" i="24"/>
  <c r="BD315" i="24"/>
  <c r="BH315" i="24"/>
  <c r="BI315" i="24"/>
  <c r="BG316" i="24" s="1"/>
  <c r="BJ315" i="24"/>
  <c r="A316" i="24"/>
  <c r="J316" i="24"/>
  <c r="N316" i="24"/>
  <c r="O316" i="24"/>
  <c r="M317" i="24" s="1"/>
  <c r="P316" i="24"/>
  <c r="AG316" i="24"/>
  <c r="AK316" i="24"/>
  <c r="AL316" i="24"/>
  <c r="AJ317" i="24" s="1"/>
  <c r="AM316" i="24"/>
  <c r="BD316" i="24"/>
  <c r="BH316" i="24"/>
  <c r="BI316" i="24"/>
  <c r="BG317" i="24" s="1"/>
  <c r="BJ316" i="24"/>
  <c r="A317" i="24"/>
  <c r="J317" i="24"/>
  <c r="N317" i="24"/>
  <c r="O317" i="24"/>
  <c r="M318" i="24" s="1"/>
  <c r="P317" i="24"/>
  <c r="AG317" i="24"/>
  <c r="AK317" i="24"/>
  <c r="AL317" i="24"/>
  <c r="AJ318" i="24" s="1"/>
  <c r="AM317" i="24"/>
  <c r="BD317" i="24"/>
  <c r="BH317" i="24"/>
  <c r="BI317" i="24"/>
  <c r="BG318" i="24" s="1"/>
  <c r="BJ317" i="24"/>
  <c r="A318" i="24"/>
  <c r="J318" i="24"/>
  <c r="N318" i="24"/>
  <c r="O318" i="24"/>
  <c r="M319" i="24" s="1"/>
  <c r="P318" i="24"/>
  <c r="AG318" i="24"/>
  <c r="AK318" i="24"/>
  <c r="AL318" i="24"/>
  <c r="AJ319" i="24" s="1"/>
  <c r="AM318" i="24"/>
  <c r="BD318" i="24"/>
  <c r="BH318" i="24"/>
  <c r="BI318" i="24"/>
  <c r="BJ318" i="24"/>
  <c r="A319" i="24"/>
  <c r="J319" i="24"/>
  <c r="N319" i="24"/>
  <c r="O319" i="24"/>
  <c r="M320" i="24" s="1"/>
  <c r="P319" i="24"/>
  <c r="AG319" i="24"/>
  <c r="AK319" i="24"/>
  <c r="AL319" i="24"/>
  <c r="AM319" i="24"/>
  <c r="BD319" i="24"/>
  <c r="BG319" i="24"/>
  <c r="BH319" i="24"/>
  <c r="BI319" i="24"/>
  <c r="BG320" i="24" s="1"/>
  <c r="BJ319" i="24"/>
  <c r="A320" i="24"/>
  <c r="J320" i="24"/>
  <c r="N320" i="24"/>
  <c r="O320" i="24"/>
  <c r="M321" i="24" s="1"/>
  <c r="P320" i="24"/>
  <c r="AG320" i="24"/>
  <c r="AJ320" i="24"/>
  <c r="AK320" i="24"/>
  <c r="AL320" i="24"/>
  <c r="AJ321" i="24" s="1"/>
  <c r="AM320" i="24"/>
  <c r="BD320" i="24"/>
  <c r="BH320" i="24"/>
  <c r="BI320" i="24"/>
  <c r="BJ320" i="24"/>
  <c r="A321" i="24"/>
  <c r="J321" i="24"/>
  <c r="N321" i="24"/>
  <c r="O321" i="24"/>
  <c r="P321" i="24"/>
  <c r="AG321" i="24"/>
  <c r="AK321" i="24"/>
  <c r="AL321" i="24"/>
  <c r="AJ322" i="24" s="1"/>
  <c r="AM321" i="24"/>
  <c r="BD321" i="24"/>
  <c r="BG321" i="24"/>
  <c r="BH321" i="24"/>
  <c r="BI321" i="24"/>
  <c r="BG322" i="24" s="1"/>
  <c r="BJ321" i="24"/>
  <c r="A322" i="24"/>
  <c r="J322" i="24"/>
  <c r="M322" i="24"/>
  <c r="N322" i="24"/>
  <c r="O322" i="24"/>
  <c r="P322" i="24"/>
  <c r="AG322" i="24"/>
  <c r="AK322" i="24"/>
  <c r="AL322" i="24"/>
  <c r="AJ323" i="24" s="1"/>
  <c r="AM322" i="24"/>
  <c r="BD322" i="24"/>
  <c r="BH322" i="24"/>
  <c r="BI322" i="24"/>
  <c r="BG323" i="24" s="1"/>
  <c r="BJ322" i="24"/>
  <c r="A323" i="24"/>
  <c r="J323" i="24"/>
  <c r="M323" i="24"/>
  <c r="N323" i="24"/>
  <c r="O323" i="24"/>
  <c r="M324" i="24" s="1"/>
  <c r="P323" i="24"/>
  <c r="AG323" i="24"/>
  <c r="AK323" i="24"/>
  <c r="AL323" i="24"/>
  <c r="AJ324" i="24" s="1"/>
  <c r="AM323" i="24"/>
  <c r="BD323" i="24"/>
  <c r="BH323" i="24"/>
  <c r="BI323" i="24"/>
  <c r="BG324" i="24" s="1"/>
  <c r="BJ323" i="24"/>
  <c r="A324" i="24"/>
  <c r="J324" i="24"/>
  <c r="N324" i="24"/>
  <c r="O324" i="24"/>
  <c r="M325" i="24" s="1"/>
  <c r="P324" i="24"/>
  <c r="AG324" i="24"/>
  <c r="AK324" i="24"/>
  <c r="AL324" i="24"/>
  <c r="AJ325" i="24" s="1"/>
  <c r="AM324" i="24"/>
  <c r="BD324" i="24"/>
  <c r="BH324" i="24"/>
  <c r="BI324" i="24"/>
  <c r="BJ324" i="24"/>
  <c r="A325" i="24"/>
  <c r="J325" i="24"/>
  <c r="N325" i="24"/>
  <c r="O325" i="24"/>
  <c r="M326" i="24" s="1"/>
  <c r="P325" i="24"/>
  <c r="AG325" i="24"/>
  <c r="AK325" i="24"/>
  <c r="AL325" i="24"/>
  <c r="AJ326" i="24" s="1"/>
  <c r="AM325" i="24"/>
  <c r="BD325" i="24"/>
  <c r="BG325" i="24"/>
  <c r="BH325" i="24"/>
  <c r="BI325" i="24"/>
  <c r="BJ325" i="24"/>
  <c r="A326" i="24"/>
  <c r="J326" i="24"/>
  <c r="N326" i="24"/>
  <c r="O326" i="24"/>
  <c r="M327" i="24" s="1"/>
  <c r="P326" i="24"/>
  <c r="AG326" i="24"/>
  <c r="AK326" i="24"/>
  <c r="AL326" i="24"/>
  <c r="AM326" i="24"/>
  <c r="BD326" i="24"/>
  <c r="BG326" i="24"/>
  <c r="BH326" i="24"/>
  <c r="BI326" i="24"/>
  <c r="BJ326" i="24"/>
  <c r="A327" i="24"/>
  <c r="J327" i="24"/>
  <c r="N327" i="24"/>
  <c r="O327" i="24"/>
  <c r="M328" i="24" s="1"/>
  <c r="P327" i="24"/>
  <c r="AG327" i="24"/>
  <c r="AJ327" i="24"/>
  <c r="AK327" i="24"/>
  <c r="AL327" i="24"/>
  <c r="AM327" i="24"/>
  <c r="BD327" i="24"/>
  <c r="BG327" i="24"/>
  <c r="BH327" i="24"/>
  <c r="BI327" i="24"/>
  <c r="BG328" i="24" s="1"/>
  <c r="BJ327" i="24"/>
  <c r="A328" i="24"/>
  <c r="J328" i="24"/>
  <c r="N328" i="24"/>
  <c r="O328" i="24"/>
  <c r="P328" i="24"/>
  <c r="AG328" i="24"/>
  <c r="AJ328" i="24"/>
  <c r="AK328" i="24"/>
  <c r="AL328" i="24"/>
  <c r="AJ329" i="24" s="1"/>
  <c r="AM328" i="24"/>
  <c r="BD328" i="24"/>
  <c r="BH328" i="24"/>
  <c r="BI328" i="24"/>
  <c r="BG329" i="24" s="1"/>
  <c r="BJ328" i="24"/>
  <c r="A329" i="24"/>
  <c r="J329" i="24"/>
  <c r="M329" i="24"/>
  <c r="N329" i="24"/>
  <c r="O329" i="24"/>
  <c r="M330" i="24" s="1"/>
  <c r="P329" i="24"/>
  <c r="AG329" i="24"/>
  <c r="AK329" i="24"/>
  <c r="AL329" i="24"/>
  <c r="AJ330" i="24" s="1"/>
  <c r="AM329" i="24"/>
  <c r="BD329" i="24"/>
  <c r="BH329" i="24"/>
  <c r="BI329" i="24"/>
  <c r="BJ329" i="24"/>
  <c r="A330" i="24"/>
  <c r="J330" i="24"/>
  <c r="N330" i="24"/>
  <c r="O330" i="24"/>
  <c r="M331" i="24" s="1"/>
  <c r="P330" i="24"/>
  <c r="AG330" i="24"/>
  <c r="AK330" i="24"/>
  <c r="AL330" i="24"/>
  <c r="AM330" i="24"/>
  <c r="BD330" i="24"/>
  <c r="BG330" i="24"/>
  <c r="BH330" i="24"/>
  <c r="BI330" i="24"/>
  <c r="BG331" i="24" s="1"/>
  <c r="BJ330" i="24"/>
  <c r="A331" i="24"/>
  <c r="J331" i="24"/>
  <c r="N331" i="24"/>
  <c r="O331" i="24"/>
  <c r="M332" i="24" s="1"/>
  <c r="P331" i="24"/>
  <c r="AG331" i="24"/>
  <c r="AJ331" i="24"/>
  <c r="AK331" i="24"/>
  <c r="AL331" i="24"/>
  <c r="AJ332" i="24" s="1"/>
  <c r="AM331" i="24"/>
  <c r="BD331" i="24"/>
  <c r="BH331" i="24"/>
  <c r="BI331" i="24"/>
  <c r="BG332" i="24" s="1"/>
  <c r="BJ331" i="24"/>
  <c r="A332" i="24"/>
  <c r="J332" i="24"/>
  <c r="N332" i="24"/>
  <c r="O332" i="24"/>
  <c r="M333" i="24" s="1"/>
  <c r="P332" i="24"/>
  <c r="AG332" i="24"/>
  <c r="AK332" i="24"/>
  <c r="AL332" i="24"/>
  <c r="AJ333" i="24" s="1"/>
  <c r="AM332" i="24"/>
  <c r="BD332" i="24"/>
  <c r="BH332" i="24"/>
  <c r="BI332" i="24"/>
  <c r="BG333" i="24" s="1"/>
  <c r="BJ332" i="24"/>
  <c r="A333" i="24"/>
  <c r="J333" i="24"/>
  <c r="N333" i="24"/>
  <c r="O333" i="24"/>
  <c r="M334" i="24" s="1"/>
  <c r="P333" i="24"/>
  <c r="AG333" i="24"/>
  <c r="AK333" i="24"/>
  <c r="AL333" i="24"/>
  <c r="AJ334" i="24" s="1"/>
  <c r="AM333" i="24"/>
  <c r="BD333" i="24"/>
  <c r="BH333" i="24"/>
  <c r="BI333" i="24"/>
  <c r="BG334" i="24" s="1"/>
  <c r="BJ333" i="24"/>
  <c r="A334" i="24"/>
  <c r="J334" i="24"/>
  <c r="N334" i="24"/>
  <c r="O334" i="24"/>
  <c r="P334" i="24"/>
  <c r="AG334" i="24"/>
  <c r="AK334" i="24"/>
  <c r="AL334" i="24"/>
  <c r="AM334" i="24"/>
  <c r="BD334" i="24"/>
  <c r="BH334" i="24"/>
  <c r="BI334" i="24"/>
  <c r="BJ334" i="24"/>
  <c r="A335" i="24"/>
  <c r="J335" i="24"/>
  <c r="M335" i="24"/>
  <c r="N335" i="24"/>
  <c r="O335" i="24"/>
  <c r="M336" i="24" s="1"/>
  <c r="P335" i="24"/>
  <c r="AG335" i="24"/>
  <c r="AJ335" i="24"/>
  <c r="AK335" i="24"/>
  <c r="AL335" i="24"/>
  <c r="AJ336" i="24" s="1"/>
  <c r="AM335" i="24"/>
  <c r="BD335" i="24"/>
  <c r="BG335" i="24"/>
  <c r="BH335" i="24"/>
  <c r="BI335" i="24"/>
  <c r="BG336" i="24" s="1"/>
  <c r="BJ335" i="24"/>
  <c r="A336" i="24"/>
  <c r="J336" i="24"/>
  <c r="N336" i="24"/>
  <c r="O336" i="24"/>
  <c r="M337" i="24" s="1"/>
  <c r="P336" i="24"/>
  <c r="AG336" i="24"/>
  <c r="AK336" i="24"/>
  <c r="AL336" i="24"/>
  <c r="AJ337" i="24" s="1"/>
  <c r="AM336" i="24"/>
  <c r="BD336" i="24"/>
  <c r="BH336" i="24"/>
  <c r="BI336" i="24"/>
  <c r="BJ336" i="24"/>
  <c r="A337" i="24"/>
  <c r="J337" i="24"/>
  <c r="N337" i="24"/>
  <c r="O337" i="24"/>
  <c r="M338" i="24" s="1"/>
  <c r="P337" i="24"/>
  <c r="AG337" i="24"/>
  <c r="AK337" i="24"/>
  <c r="AL337" i="24"/>
  <c r="AJ338" i="24" s="1"/>
  <c r="AM337" i="24"/>
  <c r="BD337" i="24"/>
  <c r="BG337" i="24"/>
  <c r="BH337" i="24"/>
  <c r="BI337" i="24"/>
  <c r="BG338" i="24" s="1"/>
  <c r="BJ337" i="24"/>
  <c r="A338" i="24"/>
  <c r="J338" i="24"/>
  <c r="N338" i="24"/>
  <c r="O338" i="24"/>
  <c r="M339" i="24" s="1"/>
  <c r="P338" i="24"/>
  <c r="AG338" i="24"/>
  <c r="AK338" i="24"/>
  <c r="AL338" i="24"/>
  <c r="AJ339" i="24" s="1"/>
  <c r="AM338" i="24"/>
  <c r="BD338" i="24"/>
  <c r="BH338" i="24"/>
  <c r="BI338" i="24"/>
  <c r="BJ338" i="24"/>
  <c r="A339" i="24"/>
  <c r="J339" i="24"/>
  <c r="N339" i="24"/>
  <c r="O339" i="24"/>
  <c r="M340" i="24" s="1"/>
  <c r="P339" i="24"/>
  <c r="AG339" i="24"/>
  <c r="AK339" i="24"/>
  <c r="AL339" i="24"/>
  <c r="AM339" i="24"/>
  <c r="BD339" i="24"/>
  <c r="BG339" i="24"/>
  <c r="BH339" i="24"/>
  <c r="BI339" i="24"/>
  <c r="BG340" i="24" s="1"/>
  <c r="BJ339" i="24"/>
  <c r="A340" i="24"/>
  <c r="J340" i="24"/>
  <c r="N340" i="24"/>
  <c r="O340" i="24"/>
  <c r="P340" i="24"/>
  <c r="AG340" i="24"/>
  <c r="AJ340" i="24"/>
  <c r="AK340" i="24"/>
  <c r="AL340" i="24"/>
  <c r="AJ341" i="24" s="1"/>
  <c r="AM340" i="24"/>
  <c r="BD340" i="24"/>
  <c r="BH340" i="24"/>
  <c r="BI340" i="24"/>
  <c r="BJ340" i="24"/>
  <c r="A341" i="24"/>
  <c r="J341" i="24"/>
  <c r="M341" i="24"/>
  <c r="N341" i="24"/>
  <c r="O341" i="24"/>
  <c r="M342" i="24" s="1"/>
  <c r="P341" i="24"/>
  <c r="AG341" i="24"/>
  <c r="AK341" i="24"/>
  <c r="AL341" i="24"/>
  <c r="AM341" i="24"/>
  <c r="BD341" i="24"/>
  <c r="BG341" i="24"/>
  <c r="BH341" i="24"/>
  <c r="BI341" i="24"/>
  <c r="BG342" i="24" s="1"/>
  <c r="BJ341" i="24"/>
  <c r="A342" i="24"/>
  <c r="J342" i="24"/>
  <c r="N342" i="24"/>
  <c r="O342" i="24"/>
  <c r="P342" i="24"/>
  <c r="AG342" i="24"/>
  <c r="AJ342" i="24"/>
  <c r="AK342" i="24"/>
  <c r="AL342" i="24"/>
  <c r="AJ343" i="24" s="1"/>
  <c r="AM342" i="24"/>
  <c r="BD342" i="24"/>
  <c r="BH342" i="24"/>
  <c r="BI342" i="24"/>
  <c r="BG343" i="24" s="1"/>
  <c r="BJ342" i="24"/>
  <c r="A343" i="24"/>
  <c r="J343" i="24"/>
  <c r="M343" i="24"/>
  <c r="N343" i="24"/>
  <c r="O343" i="24"/>
  <c r="M344" i="24" s="1"/>
  <c r="P343" i="24"/>
  <c r="AG343" i="24"/>
  <c r="AK343" i="24"/>
  <c r="AL343" i="24"/>
  <c r="AJ344" i="24" s="1"/>
  <c r="AM343" i="24"/>
  <c r="BD343" i="24"/>
  <c r="BH343" i="24"/>
  <c r="BI343" i="24"/>
  <c r="BG344" i="24" s="1"/>
  <c r="BJ343" i="24"/>
  <c r="A344" i="24"/>
  <c r="J344" i="24"/>
  <c r="N344" i="24"/>
  <c r="O344" i="24"/>
  <c r="M345" i="24" s="1"/>
  <c r="P344" i="24"/>
  <c r="AG344" i="24"/>
  <c r="AK344" i="24"/>
  <c r="AL344" i="24"/>
  <c r="AM344" i="24"/>
  <c r="BD344" i="24"/>
  <c r="BH344" i="24"/>
  <c r="BI344" i="24"/>
  <c r="BG345" i="24" s="1"/>
  <c r="BJ344" i="24"/>
  <c r="A345" i="24"/>
  <c r="J345" i="24"/>
  <c r="N345" i="24"/>
  <c r="O345" i="24"/>
  <c r="M346" i="24" s="1"/>
  <c r="P345" i="24"/>
  <c r="AG345" i="24"/>
  <c r="AJ345" i="24"/>
  <c r="AK345" i="24"/>
  <c r="AL345" i="24"/>
  <c r="AJ346" i="24" s="1"/>
  <c r="AM345" i="24"/>
  <c r="BD345" i="24"/>
  <c r="BH345" i="24"/>
  <c r="BI345" i="24"/>
  <c r="BG346" i="24" s="1"/>
  <c r="BJ345" i="24"/>
  <c r="A346" i="24"/>
  <c r="J346" i="24"/>
  <c r="N346" i="24"/>
  <c r="O346" i="24"/>
  <c r="M347" i="24" s="1"/>
  <c r="P346" i="24"/>
  <c r="AG346" i="24"/>
  <c r="AK346" i="24"/>
  <c r="AL346" i="24"/>
  <c r="AJ347" i="24" s="1"/>
  <c r="AM346" i="24"/>
  <c r="BD346" i="24"/>
  <c r="BH346" i="24"/>
  <c r="BI346" i="24"/>
  <c r="BG347" i="24" s="1"/>
  <c r="BJ346" i="24"/>
  <c r="A347" i="24"/>
  <c r="J347" i="24"/>
  <c r="N347" i="24"/>
  <c r="O347" i="24"/>
  <c r="P347" i="24"/>
  <c r="AG347" i="24"/>
  <c r="AK347" i="24"/>
  <c r="AL347" i="24"/>
  <c r="AJ348" i="24" s="1"/>
  <c r="AM347" i="24"/>
  <c r="BD347" i="24"/>
  <c r="BH347" i="24"/>
  <c r="BI347" i="24"/>
  <c r="BG348" i="24" s="1"/>
  <c r="BJ347" i="24"/>
  <c r="A348" i="24"/>
  <c r="J348" i="24"/>
  <c r="M348" i="24"/>
  <c r="N348" i="24"/>
  <c r="O348" i="24"/>
  <c r="M349" i="24" s="1"/>
  <c r="P348" i="24"/>
  <c r="AG348" i="24"/>
  <c r="AK348" i="24"/>
  <c r="AL348" i="24"/>
  <c r="AM348" i="24"/>
  <c r="BD348" i="24"/>
  <c r="BH348" i="24"/>
  <c r="BI348" i="24"/>
  <c r="BJ348" i="24"/>
  <c r="A349" i="24"/>
  <c r="J349" i="24"/>
  <c r="N349" i="24"/>
  <c r="O349" i="24"/>
  <c r="M350" i="24" s="1"/>
  <c r="P349" i="24"/>
  <c r="AG349" i="24"/>
  <c r="AJ349" i="24"/>
  <c r="AK349" i="24"/>
  <c r="AL349" i="24"/>
  <c r="AJ350" i="24" s="1"/>
  <c r="AM349" i="24"/>
  <c r="BD349" i="24"/>
  <c r="BG349" i="24"/>
  <c r="BH349" i="24"/>
  <c r="BI349" i="24"/>
  <c r="BG350" i="24" s="1"/>
  <c r="BJ349" i="24"/>
  <c r="A350" i="24"/>
  <c r="J350" i="24"/>
  <c r="N350" i="24"/>
  <c r="O350" i="24"/>
  <c r="P350" i="24"/>
  <c r="AG350" i="24"/>
  <c r="AK350" i="24"/>
  <c r="AL350" i="24"/>
  <c r="AJ351" i="24" s="1"/>
  <c r="AM350" i="24"/>
  <c r="BD350" i="24"/>
  <c r="BH350" i="24"/>
  <c r="BI350" i="24"/>
  <c r="BJ350" i="24"/>
  <c r="A351" i="24"/>
  <c r="J351" i="24"/>
  <c r="M351" i="24"/>
  <c r="N351" i="24"/>
  <c r="O351" i="24"/>
  <c r="P351" i="24"/>
  <c r="AG351" i="24"/>
  <c r="AK351" i="24"/>
  <c r="AL351" i="24"/>
  <c r="AM351" i="24"/>
  <c r="BD351" i="24"/>
  <c r="BG351" i="24"/>
  <c r="BH351" i="24"/>
  <c r="BI351" i="24"/>
  <c r="BG352" i="24" s="1"/>
  <c r="BJ351" i="24"/>
  <c r="A352" i="24"/>
  <c r="J352" i="24"/>
  <c r="M352" i="24"/>
  <c r="N352" i="24"/>
  <c r="O352" i="24"/>
  <c r="M353" i="24" s="1"/>
  <c r="P352" i="24"/>
  <c r="AG352" i="24"/>
  <c r="AJ352" i="24"/>
  <c r="AK352" i="24"/>
  <c r="AL352" i="24"/>
  <c r="AJ353" i="24" s="1"/>
  <c r="AM352" i="24"/>
  <c r="BD352" i="24"/>
  <c r="BH352" i="24"/>
  <c r="BI352" i="24"/>
  <c r="BJ352" i="24"/>
  <c r="A353" i="24"/>
  <c r="J353" i="24"/>
  <c r="N353" i="24"/>
  <c r="O353" i="24"/>
  <c r="M354" i="24" s="1"/>
  <c r="P353" i="24"/>
  <c r="AG353" i="24"/>
  <c r="AK353" i="24"/>
  <c r="AL353" i="24"/>
  <c r="AJ354" i="24" s="1"/>
  <c r="AM353" i="24"/>
  <c r="BD353" i="24"/>
  <c r="BG353" i="24"/>
  <c r="BH353" i="24"/>
  <c r="BI353" i="24"/>
  <c r="BG354" i="24" s="1"/>
  <c r="BJ353" i="24"/>
  <c r="A354" i="24"/>
  <c r="J354" i="24"/>
  <c r="N354" i="24"/>
  <c r="O354" i="24"/>
  <c r="M355" i="24" s="1"/>
  <c r="P354" i="24"/>
  <c r="AG354" i="24"/>
  <c r="AK354" i="24"/>
  <c r="AL354" i="24"/>
  <c r="AJ355" i="24" s="1"/>
  <c r="AM354" i="24"/>
  <c r="BD354" i="24"/>
  <c r="BH354" i="24"/>
  <c r="BI354" i="24"/>
  <c r="BG355" i="24" s="1"/>
  <c r="BJ354" i="24"/>
  <c r="A355" i="24"/>
  <c r="J355" i="24"/>
  <c r="N355" i="24"/>
  <c r="O355" i="24"/>
  <c r="P355" i="24"/>
  <c r="AG355" i="24"/>
  <c r="AK355" i="24"/>
  <c r="AL355" i="24"/>
  <c r="AM355" i="24"/>
  <c r="BD355" i="24"/>
  <c r="BH355" i="24"/>
  <c r="BI355" i="24"/>
  <c r="BJ355" i="24"/>
  <c r="A356" i="24"/>
  <c r="J356" i="24"/>
  <c r="M356" i="24"/>
  <c r="N356" i="24"/>
  <c r="O356" i="24"/>
  <c r="M357" i="24" s="1"/>
  <c r="P356" i="24"/>
  <c r="AG356" i="24"/>
  <c r="AJ356" i="24"/>
  <c r="AK356" i="24"/>
  <c r="AL356" i="24"/>
  <c r="AJ357" i="24" s="1"/>
  <c r="AM356" i="24"/>
  <c r="BD356" i="24"/>
  <c r="BG356" i="24"/>
  <c r="BH356" i="24"/>
  <c r="BI356" i="24"/>
  <c r="BG357" i="24" s="1"/>
  <c r="BJ356" i="24"/>
  <c r="A357" i="24"/>
  <c r="J357" i="24"/>
  <c r="N357" i="24"/>
  <c r="O357" i="24"/>
  <c r="P357" i="24"/>
  <c r="AG357" i="24"/>
  <c r="AK357" i="24"/>
  <c r="AL357" i="24"/>
  <c r="AJ358" i="24" s="1"/>
  <c r="AM357" i="24"/>
  <c r="BD357" i="24"/>
  <c r="BH357" i="24"/>
  <c r="BI357" i="24"/>
  <c r="BJ357" i="24"/>
  <c r="A358" i="24"/>
  <c r="J358" i="24"/>
  <c r="M358" i="24"/>
  <c r="N358" i="24"/>
  <c r="O358" i="24"/>
  <c r="M359" i="24" s="1"/>
  <c r="P358" i="24"/>
  <c r="AG358" i="24"/>
  <c r="AK358" i="24"/>
  <c r="AL358" i="24"/>
  <c r="AJ359" i="24" s="1"/>
  <c r="AM358" i="24"/>
  <c r="BD358" i="24"/>
  <c r="BG358" i="24"/>
  <c r="BH358" i="24"/>
  <c r="BI358" i="24"/>
  <c r="BG359" i="24" s="1"/>
  <c r="BJ358" i="24"/>
  <c r="A359" i="24"/>
  <c r="J359" i="24"/>
  <c r="N359" i="24"/>
  <c r="O359" i="24"/>
  <c r="P359" i="24"/>
  <c r="AG359" i="24"/>
  <c r="AK359" i="24"/>
  <c r="AL359" i="24"/>
  <c r="AJ360" i="24" s="1"/>
  <c r="AM359" i="24"/>
  <c r="BD359" i="24"/>
  <c r="BH359" i="24"/>
  <c r="BI359" i="24"/>
  <c r="BG360" i="24" s="1"/>
  <c r="BJ359" i="24"/>
  <c r="A360" i="24"/>
  <c r="J360" i="24"/>
  <c r="M360" i="24"/>
  <c r="N360" i="24"/>
  <c r="O360" i="24"/>
  <c r="M361" i="24" s="1"/>
  <c r="P360" i="24"/>
  <c r="AG360" i="24"/>
  <c r="AK360" i="24"/>
  <c r="AL360" i="24"/>
  <c r="AJ361" i="24" s="1"/>
  <c r="AM360" i="24"/>
  <c r="BD360" i="24"/>
  <c r="BH360" i="24"/>
  <c r="BI360" i="24"/>
  <c r="BG361" i="24" s="1"/>
  <c r="BJ360" i="24"/>
  <c r="A361" i="24"/>
  <c r="J361" i="24"/>
  <c r="N361" i="24"/>
  <c r="O361" i="24"/>
  <c r="M362" i="24" s="1"/>
  <c r="P361" i="24"/>
  <c r="AG361" i="24"/>
  <c r="AK361" i="24"/>
  <c r="AL361" i="24"/>
  <c r="AJ362" i="24" s="1"/>
  <c r="AM361" i="24"/>
  <c r="BD361" i="24"/>
  <c r="BH361" i="24"/>
  <c r="BI361" i="24"/>
  <c r="BG362" i="24" s="1"/>
  <c r="BJ361" i="24"/>
  <c r="B195" i="23"/>
  <c r="AD195" i="23" s="1"/>
  <c r="M195" i="23"/>
  <c r="P195" i="23"/>
  <c r="Q195" i="23"/>
  <c r="R195" i="23" s="1"/>
  <c r="T195" i="23"/>
  <c r="U195" i="23"/>
  <c r="V195" i="23" s="1"/>
  <c r="AC195" i="23"/>
  <c r="AL195" i="23"/>
  <c r="AP195" i="23"/>
  <c r="AQ195" i="23"/>
  <c r="AM196" i="23" s="1"/>
  <c r="AR195" i="23"/>
  <c r="AT195" i="23"/>
  <c r="AU195" i="23"/>
  <c r="B196" i="23"/>
  <c r="B196" i="24" s="1"/>
  <c r="BL196" i="24" s="1"/>
  <c r="M196" i="23"/>
  <c r="P196" i="23"/>
  <c r="Q196" i="23"/>
  <c r="R196" i="23" s="1"/>
  <c r="T196" i="23"/>
  <c r="U196" i="23"/>
  <c r="V196" i="23" s="1"/>
  <c r="AC196" i="23"/>
  <c r="AD196" i="23"/>
  <c r="AP196" i="23"/>
  <c r="AQ196" i="23"/>
  <c r="AM197" i="23" s="1"/>
  <c r="AR196" i="23"/>
  <c r="B197" i="23"/>
  <c r="B197" i="24" s="1"/>
  <c r="M197" i="23"/>
  <c r="P197" i="23"/>
  <c r="Q197" i="23"/>
  <c r="R197" i="23" s="1"/>
  <c r="T197" i="23"/>
  <c r="U197" i="23"/>
  <c r="V197" i="23" s="1"/>
  <c r="AC197" i="23"/>
  <c r="AP197" i="23"/>
  <c r="AQ197" i="23"/>
  <c r="AM198" i="23" s="1"/>
  <c r="AR197" i="23"/>
  <c r="B198" i="23"/>
  <c r="B198" i="24" s="1"/>
  <c r="M198" i="23"/>
  <c r="P198" i="23"/>
  <c r="Q198" i="23"/>
  <c r="R198" i="23" s="1"/>
  <c r="T198" i="23"/>
  <c r="U198" i="23"/>
  <c r="V198" i="23" s="1"/>
  <c r="AC198" i="23"/>
  <c r="AP198" i="23"/>
  <c r="AQ198" i="23"/>
  <c r="AM199" i="23" s="1"/>
  <c r="AR198" i="23"/>
  <c r="B199" i="23"/>
  <c r="B199" i="24" s="1"/>
  <c r="AO199" i="24" s="1"/>
  <c r="M199" i="23"/>
  <c r="P199" i="23"/>
  <c r="Q199" i="23"/>
  <c r="R199" i="23" s="1"/>
  <c r="T199" i="23"/>
  <c r="U199" i="23"/>
  <c r="V199" i="23" s="1"/>
  <c r="AC199" i="23"/>
  <c r="AP199" i="23"/>
  <c r="AQ199" i="23"/>
  <c r="AM200" i="23" s="1"/>
  <c r="AR199" i="23"/>
  <c r="AU199" i="23"/>
  <c r="B200" i="23"/>
  <c r="M200" i="23"/>
  <c r="P200" i="23"/>
  <c r="Q200" i="23"/>
  <c r="R200" i="23" s="1"/>
  <c r="T200" i="23"/>
  <c r="U200" i="23"/>
  <c r="V200" i="23" s="1"/>
  <c r="AC200" i="23"/>
  <c r="AP200" i="23"/>
  <c r="AQ200" i="23"/>
  <c r="AM201" i="23" s="1"/>
  <c r="AR200" i="23"/>
  <c r="B201" i="23"/>
  <c r="M201" i="23"/>
  <c r="P201" i="23"/>
  <c r="AO201" i="23" s="1"/>
  <c r="Q201" i="23"/>
  <c r="R201" i="23" s="1"/>
  <c r="T201" i="23"/>
  <c r="U201" i="23"/>
  <c r="V201" i="23" s="1"/>
  <c r="AC201" i="23"/>
  <c r="AP201" i="23"/>
  <c r="AQ201" i="23"/>
  <c r="AM202" i="23" s="1"/>
  <c r="AR201" i="23"/>
  <c r="B202" i="23"/>
  <c r="M202" i="23"/>
  <c r="P202" i="23"/>
  <c r="Q202" i="23"/>
  <c r="R202" i="23" s="1"/>
  <c r="T202" i="23"/>
  <c r="U202" i="23"/>
  <c r="V202" i="23"/>
  <c r="AC202" i="23"/>
  <c r="AL202" i="23"/>
  <c r="AP202" i="23"/>
  <c r="AQ202" i="23"/>
  <c r="AM203" i="23" s="1"/>
  <c r="AR202" i="23"/>
  <c r="B203" i="23"/>
  <c r="B203" i="24" s="1"/>
  <c r="M203" i="23"/>
  <c r="P203" i="23"/>
  <c r="Q203" i="23"/>
  <c r="R203" i="23" s="1"/>
  <c r="T203" i="23"/>
  <c r="U203" i="23"/>
  <c r="V203" i="23" s="1"/>
  <c r="AC203" i="23"/>
  <c r="AP203" i="23"/>
  <c r="AQ203" i="23"/>
  <c r="AM204" i="23" s="1"/>
  <c r="AR203" i="23"/>
  <c r="B204" i="23"/>
  <c r="M204" i="23"/>
  <c r="P204" i="23"/>
  <c r="AO204" i="23" s="1"/>
  <c r="Q204" i="23"/>
  <c r="R204" i="23" s="1"/>
  <c r="T204" i="23"/>
  <c r="U204" i="23"/>
  <c r="V204" i="23" s="1"/>
  <c r="AC204" i="23"/>
  <c r="AD204" i="23"/>
  <c r="AP204" i="23"/>
  <c r="AQ204" i="23"/>
  <c r="AM205" i="23" s="1"/>
  <c r="AR204" i="23"/>
  <c r="B205" i="23"/>
  <c r="AL205" i="23" s="1"/>
  <c r="D205" i="23"/>
  <c r="C205" i="24" s="1"/>
  <c r="M205" i="23"/>
  <c r="P205" i="23"/>
  <c r="Q205" i="23"/>
  <c r="R205" i="23" s="1"/>
  <c r="T205" i="23"/>
  <c r="U205" i="23"/>
  <c r="V205" i="23" s="1"/>
  <c r="AC205" i="23"/>
  <c r="AP205" i="23"/>
  <c r="AQ205" i="23"/>
  <c r="AM206" i="23" s="1"/>
  <c r="AR205" i="23"/>
  <c r="B206" i="23"/>
  <c r="AU206" i="23" s="1"/>
  <c r="M206" i="23"/>
  <c r="P206" i="23"/>
  <c r="Q206" i="23"/>
  <c r="R206" i="23" s="1"/>
  <c r="T206" i="23"/>
  <c r="U206" i="23"/>
  <c r="V206" i="23" s="1"/>
  <c r="AC206" i="23"/>
  <c r="AP206" i="23"/>
  <c r="AQ206" i="23"/>
  <c r="AM207" i="23" s="1"/>
  <c r="AR206" i="23"/>
  <c r="AT206" i="23"/>
  <c r="B207" i="23"/>
  <c r="M207" i="23"/>
  <c r="P207" i="23"/>
  <c r="Q207" i="23"/>
  <c r="R207" i="23" s="1"/>
  <c r="T207" i="23"/>
  <c r="U207" i="23"/>
  <c r="V207" i="23" s="1"/>
  <c r="AC207" i="23"/>
  <c r="AL207" i="23"/>
  <c r="AP207" i="23"/>
  <c r="AQ207" i="23"/>
  <c r="AM208" i="23" s="1"/>
  <c r="AR207" i="23"/>
  <c r="B208" i="23"/>
  <c r="B208" i="24" s="1"/>
  <c r="C208" i="23"/>
  <c r="D208" i="23"/>
  <c r="C208" i="24" s="1"/>
  <c r="M208" i="23"/>
  <c r="P208" i="23"/>
  <c r="Q208" i="23"/>
  <c r="R208" i="23" s="1"/>
  <c r="T208" i="23"/>
  <c r="U208" i="23"/>
  <c r="V208" i="23" s="1"/>
  <c r="AC208" i="23"/>
  <c r="AD208" i="23"/>
  <c r="AL208" i="23"/>
  <c r="AP208" i="23"/>
  <c r="AQ208" i="23"/>
  <c r="AM209" i="23" s="1"/>
  <c r="AR208" i="23"/>
  <c r="AT208" i="23"/>
  <c r="B209" i="23"/>
  <c r="AT209" i="23" s="1"/>
  <c r="D209" i="23"/>
  <c r="C209" i="24" s="1"/>
  <c r="M209" i="23"/>
  <c r="P209" i="23"/>
  <c r="Q209" i="23"/>
  <c r="R209" i="23" s="1"/>
  <c r="T209" i="23"/>
  <c r="U209" i="23"/>
  <c r="V209" i="23" s="1"/>
  <c r="AC209" i="23"/>
  <c r="AP209" i="23"/>
  <c r="AQ209" i="23"/>
  <c r="AR209" i="23"/>
  <c r="B210" i="23"/>
  <c r="M210" i="23"/>
  <c r="P210" i="23"/>
  <c r="Q210" i="23"/>
  <c r="R210" i="23" s="1"/>
  <c r="T210" i="23"/>
  <c r="U210" i="23"/>
  <c r="V210" i="23" s="1"/>
  <c r="AC210" i="23"/>
  <c r="AM210" i="23"/>
  <c r="AP210" i="23"/>
  <c r="AQ210" i="23"/>
  <c r="AM211" i="23" s="1"/>
  <c r="AR210" i="23"/>
  <c r="B211" i="23"/>
  <c r="B211" i="24" s="1"/>
  <c r="M211" i="23"/>
  <c r="P211" i="23"/>
  <c r="Q211" i="23"/>
  <c r="R211" i="23" s="1"/>
  <c r="T211" i="23"/>
  <c r="U211" i="23"/>
  <c r="V211" i="23" s="1"/>
  <c r="AC211" i="23"/>
  <c r="AP211" i="23"/>
  <c r="AQ211" i="23"/>
  <c r="AM212" i="23" s="1"/>
  <c r="AR211" i="23"/>
  <c r="B212" i="23"/>
  <c r="M212" i="23"/>
  <c r="P212" i="23"/>
  <c r="Q212" i="23"/>
  <c r="R212" i="23" s="1"/>
  <c r="T212" i="23"/>
  <c r="U212" i="23"/>
  <c r="V212" i="23" s="1"/>
  <c r="AC212" i="23"/>
  <c r="AP212" i="23"/>
  <c r="AQ212" i="23"/>
  <c r="AM213" i="23" s="1"/>
  <c r="AR212" i="23"/>
  <c r="AU212" i="23"/>
  <c r="B213" i="23"/>
  <c r="AU213" i="23" s="1"/>
  <c r="M213" i="23"/>
  <c r="P213" i="23"/>
  <c r="Q213" i="23"/>
  <c r="R213" i="23"/>
  <c r="T213" i="23"/>
  <c r="U213" i="23"/>
  <c r="V213" i="23" s="1"/>
  <c r="AC213" i="23"/>
  <c r="AP213" i="23"/>
  <c r="AQ213" i="23"/>
  <c r="AM214" i="23" s="1"/>
  <c r="AR213" i="23"/>
  <c r="B214" i="23"/>
  <c r="C214" i="23" s="1"/>
  <c r="X214" i="23" s="1"/>
  <c r="M214" i="23"/>
  <c r="P214" i="23"/>
  <c r="Q214" i="23"/>
  <c r="R214" i="23" s="1"/>
  <c r="T214" i="23"/>
  <c r="U214" i="23"/>
  <c r="V214" i="23" s="1"/>
  <c r="AC214" i="23"/>
  <c r="AD214" i="23"/>
  <c r="AP214" i="23"/>
  <c r="AQ214" i="23"/>
  <c r="AM215" i="23" s="1"/>
  <c r="AR214" i="23"/>
  <c r="B215" i="23"/>
  <c r="S215" i="23" s="1"/>
  <c r="C215" i="23"/>
  <c r="M215" i="23"/>
  <c r="P215" i="23"/>
  <c r="Q215" i="23"/>
  <c r="R215" i="23" s="1"/>
  <c r="T215" i="23"/>
  <c r="U215" i="23"/>
  <c r="V215" i="23" s="1"/>
  <c r="AC215" i="23"/>
  <c r="AL215" i="23"/>
  <c r="AP215" i="23"/>
  <c r="AQ215" i="23"/>
  <c r="AM216" i="23" s="1"/>
  <c r="AR215" i="23"/>
  <c r="B216" i="23"/>
  <c r="B216" i="24" s="1"/>
  <c r="M216" i="23"/>
  <c r="P216" i="23"/>
  <c r="Q216" i="23"/>
  <c r="R216" i="23" s="1"/>
  <c r="T216" i="23"/>
  <c r="U216" i="23"/>
  <c r="V216" i="23" s="1"/>
  <c r="AC216" i="23"/>
  <c r="AP216" i="23"/>
  <c r="AQ216" i="23"/>
  <c r="AM217" i="23" s="1"/>
  <c r="AR216" i="23"/>
  <c r="B217" i="23"/>
  <c r="M217" i="23"/>
  <c r="P217" i="23"/>
  <c r="Q217" i="23"/>
  <c r="R217" i="23" s="1"/>
  <c r="T217" i="23"/>
  <c r="U217" i="23"/>
  <c r="V217" i="23" s="1"/>
  <c r="AC217" i="23"/>
  <c r="AP217" i="23"/>
  <c r="AQ217" i="23"/>
  <c r="AM218" i="23" s="1"/>
  <c r="AR217" i="23"/>
  <c r="B218" i="23"/>
  <c r="D218" i="23" s="1"/>
  <c r="C218" i="24" s="1"/>
  <c r="M218" i="23"/>
  <c r="P218" i="23"/>
  <c r="Q218" i="23"/>
  <c r="R218" i="23" s="1"/>
  <c r="T218" i="23"/>
  <c r="AO218" i="23" s="1"/>
  <c r="U218" i="23"/>
  <c r="V218" i="23" s="1"/>
  <c r="AC218" i="23"/>
  <c r="AP218" i="23"/>
  <c r="AQ218" i="23"/>
  <c r="AM219" i="23" s="1"/>
  <c r="AR218" i="23"/>
  <c r="B219" i="23"/>
  <c r="B219" i="24" s="1"/>
  <c r="M219" i="23"/>
  <c r="P219" i="23"/>
  <c r="Q219" i="23"/>
  <c r="R219" i="23" s="1"/>
  <c r="T219" i="23"/>
  <c r="U219" i="23"/>
  <c r="V219" i="23"/>
  <c r="AC219" i="23"/>
  <c r="AP219" i="23"/>
  <c r="AQ219" i="23"/>
  <c r="AM220" i="23" s="1"/>
  <c r="AR219" i="23"/>
  <c r="B220" i="23"/>
  <c r="B220" i="24" s="1"/>
  <c r="AO220" i="24" s="1"/>
  <c r="M220" i="23"/>
  <c r="P220" i="23"/>
  <c r="Q220" i="23"/>
  <c r="R220" i="23" s="1"/>
  <c r="T220" i="23"/>
  <c r="U220" i="23"/>
  <c r="V220" i="23" s="1"/>
  <c r="AC220" i="23"/>
  <c r="AP220" i="23"/>
  <c r="AQ220" i="23"/>
  <c r="AM221" i="23" s="1"/>
  <c r="AR220" i="23"/>
  <c r="B221" i="23"/>
  <c r="B221" i="24" s="1"/>
  <c r="M221" i="23"/>
  <c r="P221" i="23"/>
  <c r="Q221" i="23"/>
  <c r="R221" i="23" s="1"/>
  <c r="T221" i="23"/>
  <c r="U221" i="23"/>
  <c r="V221" i="23" s="1"/>
  <c r="AC221" i="23"/>
  <c r="AP221" i="23"/>
  <c r="AQ221" i="23"/>
  <c r="AM222" i="23" s="1"/>
  <c r="AR221" i="23"/>
  <c r="B222" i="23"/>
  <c r="M222" i="23"/>
  <c r="P222" i="23"/>
  <c r="Q222" i="23"/>
  <c r="R222" i="23" s="1"/>
  <c r="T222" i="23"/>
  <c r="U222" i="23"/>
  <c r="V222" i="23" s="1"/>
  <c r="AC222" i="23"/>
  <c r="AP222" i="23"/>
  <c r="AQ222" i="23"/>
  <c r="AM223" i="23" s="1"/>
  <c r="AR222" i="23"/>
  <c r="AT222" i="23"/>
  <c r="B223" i="23"/>
  <c r="M223" i="23"/>
  <c r="P223" i="23"/>
  <c r="Q223" i="23"/>
  <c r="R223" i="23" s="1"/>
  <c r="T223" i="23"/>
  <c r="U223" i="23"/>
  <c r="V223" i="23" s="1"/>
  <c r="AC223" i="23"/>
  <c r="AP223" i="23"/>
  <c r="AQ223" i="23"/>
  <c r="AM224" i="23" s="1"/>
  <c r="AR223" i="23"/>
  <c r="B224" i="23"/>
  <c r="M224" i="23"/>
  <c r="P224" i="23"/>
  <c r="Q224" i="23"/>
  <c r="R224" i="23"/>
  <c r="T224" i="23"/>
  <c r="U224" i="23"/>
  <c r="V224" i="23"/>
  <c r="AC224" i="23"/>
  <c r="AP224" i="23"/>
  <c r="AQ224" i="23"/>
  <c r="AM225" i="23" s="1"/>
  <c r="AR224" i="23"/>
  <c r="B225" i="23"/>
  <c r="AT225" i="23" s="1"/>
  <c r="M225" i="23"/>
  <c r="P225" i="23"/>
  <c r="Q225" i="23"/>
  <c r="R225" i="23" s="1"/>
  <c r="T225" i="23"/>
  <c r="U225" i="23"/>
  <c r="V225" i="23" s="1"/>
  <c r="AC225" i="23"/>
  <c r="AP225" i="23"/>
  <c r="AQ225" i="23"/>
  <c r="AM226" i="23" s="1"/>
  <c r="AR225" i="23"/>
  <c r="B226" i="23"/>
  <c r="M226" i="23"/>
  <c r="P226" i="23"/>
  <c r="Q226" i="23"/>
  <c r="R226" i="23"/>
  <c r="T226" i="23"/>
  <c r="U226" i="23"/>
  <c r="V226" i="23" s="1"/>
  <c r="AC226" i="23"/>
  <c r="AP226" i="23"/>
  <c r="AQ226" i="23"/>
  <c r="AM227" i="23" s="1"/>
  <c r="AR226" i="23"/>
  <c r="AU226" i="23"/>
  <c r="B227" i="23"/>
  <c r="AD227" i="23" s="1"/>
  <c r="M227" i="23"/>
  <c r="P227" i="23"/>
  <c r="AO227" i="23" s="1"/>
  <c r="Q227" i="23"/>
  <c r="R227" i="23" s="1"/>
  <c r="T227" i="23"/>
  <c r="U227" i="23"/>
  <c r="V227" i="23" s="1"/>
  <c r="AC227" i="23"/>
  <c r="AP227" i="23"/>
  <c r="AQ227" i="23"/>
  <c r="AR227" i="23"/>
  <c r="B228" i="23"/>
  <c r="AT228" i="23" s="1"/>
  <c r="D228" i="23"/>
  <c r="C228" i="24" s="1"/>
  <c r="M228" i="23"/>
  <c r="P228" i="23"/>
  <c r="Q228" i="23"/>
  <c r="R228" i="23" s="1"/>
  <c r="T228" i="23"/>
  <c r="U228" i="23"/>
  <c r="V228" i="23"/>
  <c r="AC228" i="23"/>
  <c r="AM228" i="23"/>
  <c r="AP228" i="23"/>
  <c r="AQ228" i="23"/>
  <c r="AM229" i="23" s="1"/>
  <c r="AR228" i="23"/>
  <c r="B229" i="23"/>
  <c r="C229" i="23" s="1"/>
  <c r="O229" i="23" s="1"/>
  <c r="M229" i="23"/>
  <c r="P229" i="23"/>
  <c r="Q229" i="23"/>
  <c r="R229" i="23" s="1"/>
  <c r="T229" i="23"/>
  <c r="AO229" i="23" s="1"/>
  <c r="U229" i="23"/>
  <c r="V229" i="23" s="1"/>
  <c r="AC229" i="23"/>
  <c r="AL229" i="23"/>
  <c r="AP229" i="23"/>
  <c r="AQ229" i="23"/>
  <c r="AM230" i="23" s="1"/>
  <c r="AR229" i="23"/>
  <c r="B230" i="23"/>
  <c r="C230" i="23" s="1"/>
  <c r="M230" i="23"/>
  <c r="P230" i="23"/>
  <c r="Q230" i="23"/>
  <c r="R230" i="23" s="1"/>
  <c r="T230" i="23"/>
  <c r="U230" i="23"/>
  <c r="V230" i="23" s="1"/>
  <c r="AC230" i="23"/>
  <c r="AP230" i="23"/>
  <c r="AQ230" i="23"/>
  <c r="AM231" i="23" s="1"/>
  <c r="AR230" i="23"/>
  <c r="AT230" i="23"/>
  <c r="B231" i="23"/>
  <c r="B231" i="24" s="1"/>
  <c r="M231" i="23"/>
  <c r="P231" i="23"/>
  <c r="Q231" i="23"/>
  <c r="R231" i="23" s="1"/>
  <c r="T231" i="23"/>
  <c r="U231" i="23"/>
  <c r="V231" i="23" s="1"/>
  <c r="AC231" i="23"/>
  <c r="AP231" i="23"/>
  <c r="AQ231" i="23"/>
  <c r="AM232" i="23" s="1"/>
  <c r="AR231" i="23"/>
  <c r="B232" i="23"/>
  <c r="D232" i="23" s="1"/>
  <c r="C232" i="24" s="1"/>
  <c r="M232" i="23"/>
  <c r="P232" i="23"/>
  <c r="Q232" i="23"/>
  <c r="R232" i="23" s="1"/>
  <c r="T232" i="23"/>
  <c r="U232" i="23"/>
  <c r="V232" i="23" s="1"/>
  <c r="AC232" i="23"/>
  <c r="AP232" i="23"/>
  <c r="AQ232" i="23"/>
  <c r="AM233" i="23" s="1"/>
  <c r="AR232" i="23"/>
  <c r="B233" i="23"/>
  <c r="M233" i="23"/>
  <c r="P233" i="23"/>
  <c r="Q233" i="23"/>
  <c r="R233" i="23" s="1"/>
  <c r="T233" i="23"/>
  <c r="U233" i="23"/>
  <c r="V233" i="23" s="1"/>
  <c r="AC233" i="23"/>
  <c r="AP233" i="23"/>
  <c r="AQ233" i="23"/>
  <c r="AM234" i="23" s="1"/>
  <c r="AR233" i="23"/>
  <c r="B234" i="23"/>
  <c r="M234" i="23"/>
  <c r="P234" i="23"/>
  <c r="Q234" i="23"/>
  <c r="R234" i="23" s="1"/>
  <c r="T234" i="23"/>
  <c r="U234" i="23"/>
  <c r="V234" i="23" s="1"/>
  <c r="AC234" i="23"/>
  <c r="AO234" i="23"/>
  <c r="AP234" i="23"/>
  <c r="AQ234" i="23"/>
  <c r="AM235" i="23" s="1"/>
  <c r="AR234" i="23"/>
  <c r="B235" i="23"/>
  <c r="B235" i="24" s="1"/>
  <c r="M235" i="23"/>
  <c r="P235" i="23"/>
  <c r="Q235" i="23"/>
  <c r="R235" i="23"/>
  <c r="T235" i="23"/>
  <c r="U235" i="23"/>
  <c r="V235" i="23" s="1"/>
  <c r="AC235" i="23"/>
  <c r="AP235" i="23"/>
  <c r="AQ235" i="23"/>
  <c r="AM236" i="23" s="1"/>
  <c r="AR235" i="23"/>
  <c r="B236" i="23"/>
  <c r="C236" i="23" s="1"/>
  <c r="AF236" i="23" s="1"/>
  <c r="AH236" i="23" s="1"/>
  <c r="M236" i="23"/>
  <c r="P236" i="23"/>
  <c r="AO236" i="23" s="1"/>
  <c r="Q236" i="23"/>
  <c r="R236" i="23" s="1"/>
  <c r="AN236" i="23" s="1"/>
  <c r="T236" i="23"/>
  <c r="U236" i="23"/>
  <c r="V236" i="23" s="1"/>
  <c r="AC236" i="23"/>
  <c r="AP236" i="23"/>
  <c r="AQ236" i="23"/>
  <c r="AM237" i="23" s="1"/>
  <c r="AR236" i="23"/>
  <c r="B237" i="23"/>
  <c r="B237" i="24" s="1"/>
  <c r="M237" i="23"/>
  <c r="P237" i="23"/>
  <c r="Q237" i="23"/>
  <c r="R237" i="23"/>
  <c r="T237" i="23"/>
  <c r="U237" i="23"/>
  <c r="V237" i="23" s="1"/>
  <c r="AC237" i="23"/>
  <c r="AP237" i="23"/>
  <c r="AQ237" i="23"/>
  <c r="AM238" i="23" s="1"/>
  <c r="AR237" i="23"/>
  <c r="B238" i="23"/>
  <c r="B238" i="24" s="1"/>
  <c r="AO238" i="24" s="1"/>
  <c r="M238" i="23"/>
  <c r="P238" i="23"/>
  <c r="Q238" i="23"/>
  <c r="R238" i="23" s="1"/>
  <c r="T238" i="23"/>
  <c r="U238" i="23"/>
  <c r="V238" i="23" s="1"/>
  <c r="AC238" i="23"/>
  <c r="AP238" i="23"/>
  <c r="AQ238" i="23"/>
  <c r="AR238" i="23"/>
  <c r="B239" i="23"/>
  <c r="AL239" i="23" s="1"/>
  <c r="M239" i="23"/>
  <c r="P239" i="23"/>
  <c r="Q239" i="23"/>
  <c r="R239" i="23" s="1"/>
  <c r="AN239" i="23" s="1"/>
  <c r="T239" i="23"/>
  <c r="U239" i="23"/>
  <c r="V239" i="23" s="1"/>
  <c r="AC239" i="23"/>
  <c r="AM239" i="23"/>
  <c r="AP239" i="23"/>
  <c r="AQ239" i="23"/>
  <c r="AM240" i="23" s="1"/>
  <c r="AR239" i="23"/>
  <c r="B240" i="23"/>
  <c r="B240" i="24" s="1"/>
  <c r="R240" i="24" s="1"/>
  <c r="C240" i="23"/>
  <c r="F240" i="23" s="1"/>
  <c r="M240" i="23"/>
  <c r="P240" i="23"/>
  <c r="Q240" i="23"/>
  <c r="R240" i="23" s="1"/>
  <c r="T240" i="23"/>
  <c r="U240" i="23"/>
  <c r="V240" i="23" s="1"/>
  <c r="AC240" i="23"/>
  <c r="AD240" i="23"/>
  <c r="AL240" i="23"/>
  <c r="AP240" i="23"/>
  <c r="AQ240" i="23"/>
  <c r="AM241" i="23" s="1"/>
  <c r="AR240" i="23"/>
  <c r="B241" i="23"/>
  <c r="M241" i="23"/>
  <c r="P241" i="23"/>
  <c r="Q241" i="23"/>
  <c r="R241" i="23" s="1"/>
  <c r="T241" i="23"/>
  <c r="U241" i="23"/>
  <c r="V241" i="23" s="1"/>
  <c r="AC241" i="23"/>
  <c r="AP241" i="23"/>
  <c r="AQ241" i="23"/>
  <c r="AM242" i="23" s="1"/>
  <c r="AR241" i="23"/>
  <c r="B242" i="23"/>
  <c r="B242" i="24" s="1"/>
  <c r="M242" i="23"/>
  <c r="P242" i="23"/>
  <c r="Q242" i="23"/>
  <c r="R242" i="23" s="1"/>
  <c r="T242" i="23"/>
  <c r="U242" i="23"/>
  <c r="V242" i="23" s="1"/>
  <c r="AC242" i="23"/>
  <c r="AP242" i="23"/>
  <c r="AQ242" i="23"/>
  <c r="AM243" i="23" s="1"/>
  <c r="AR242" i="23"/>
  <c r="B243" i="23"/>
  <c r="B243" i="24" s="1"/>
  <c r="M243" i="23"/>
  <c r="P243" i="23"/>
  <c r="Q243" i="23"/>
  <c r="R243" i="23" s="1"/>
  <c r="AN243" i="23" s="1"/>
  <c r="T243" i="23"/>
  <c r="U243" i="23"/>
  <c r="V243" i="23" s="1"/>
  <c r="AC243" i="23"/>
  <c r="AL243" i="23"/>
  <c r="AP243" i="23"/>
  <c r="AQ243" i="23"/>
  <c r="AM244" i="23" s="1"/>
  <c r="AR243" i="23"/>
  <c r="B244" i="23"/>
  <c r="M244" i="23"/>
  <c r="P244" i="23"/>
  <c r="Q244" i="23"/>
  <c r="R244" i="23" s="1"/>
  <c r="T244" i="23"/>
  <c r="U244" i="23"/>
  <c r="V244" i="23" s="1"/>
  <c r="AC244" i="23"/>
  <c r="AP244" i="23"/>
  <c r="AQ244" i="23"/>
  <c r="AM245" i="23" s="1"/>
  <c r="AR244" i="23"/>
  <c r="B245" i="23"/>
  <c r="C245" i="23" s="1"/>
  <c r="M245" i="23"/>
  <c r="P245" i="23"/>
  <c r="Q245" i="23"/>
  <c r="R245" i="23" s="1"/>
  <c r="T245" i="23"/>
  <c r="U245" i="23"/>
  <c r="V245" i="23" s="1"/>
  <c r="AC245" i="23"/>
  <c r="AP245" i="23"/>
  <c r="AQ245" i="23"/>
  <c r="AM246" i="23" s="1"/>
  <c r="AR245" i="23"/>
  <c r="AT245" i="23"/>
  <c r="B246" i="23"/>
  <c r="AL246" i="23" s="1"/>
  <c r="D246" i="23"/>
  <c r="C246" i="24" s="1"/>
  <c r="M246" i="23"/>
  <c r="P246" i="23"/>
  <c r="Q246" i="23"/>
  <c r="R246" i="23" s="1"/>
  <c r="T246" i="23"/>
  <c r="U246" i="23"/>
  <c r="V246" i="23" s="1"/>
  <c r="AC246" i="23"/>
  <c r="AP246" i="23"/>
  <c r="AQ246" i="23"/>
  <c r="AR246" i="23"/>
  <c r="B247" i="23"/>
  <c r="B247" i="24" s="1"/>
  <c r="M247" i="23"/>
  <c r="AN247" i="23" s="1"/>
  <c r="P247" i="23"/>
  <c r="Q247" i="23"/>
  <c r="R247" i="23" s="1"/>
  <c r="T247" i="23"/>
  <c r="U247" i="23"/>
  <c r="V247" i="23" s="1"/>
  <c r="AC247" i="23"/>
  <c r="AM247" i="23"/>
  <c r="AP247" i="23"/>
  <c r="AQ247" i="23"/>
  <c r="AM248" i="23" s="1"/>
  <c r="AR247" i="23"/>
  <c r="B248" i="23"/>
  <c r="B248" i="24" s="1"/>
  <c r="M248" i="23"/>
  <c r="P248" i="23"/>
  <c r="Q248" i="23"/>
  <c r="R248" i="23"/>
  <c r="T248" i="23"/>
  <c r="U248" i="23"/>
  <c r="V248" i="23" s="1"/>
  <c r="AC248" i="23"/>
  <c r="AP248" i="23"/>
  <c r="AQ248" i="23"/>
  <c r="AR248" i="23"/>
  <c r="B249" i="23"/>
  <c r="B249" i="24" s="1"/>
  <c r="M249" i="23"/>
  <c r="P249" i="23"/>
  <c r="AO249" i="23" s="1"/>
  <c r="Q249" i="23"/>
  <c r="R249" i="23" s="1"/>
  <c r="T249" i="23"/>
  <c r="U249" i="23"/>
  <c r="V249" i="23" s="1"/>
  <c r="AC249" i="23"/>
  <c r="AM249" i="23"/>
  <c r="AP249" i="23"/>
  <c r="AQ249" i="23"/>
  <c r="AM250" i="23" s="1"/>
  <c r="AR249" i="23"/>
  <c r="AU249" i="23"/>
  <c r="B250" i="23"/>
  <c r="B250" i="24" s="1"/>
  <c r="C250" i="23"/>
  <c r="D250" i="23"/>
  <c r="C250" i="24" s="1"/>
  <c r="M250" i="23"/>
  <c r="P250" i="23"/>
  <c r="Q250" i="23"/>
  <c r="R250" i="23" s="1"/>
  <c r="T250" i="23"/>
  <c r="U250" i="23"/>
  <c r="V250" i="23" s="1"/>
  <c r="AC250" i="23"/>
  <c r="AD250" i="23"/>
  <c r="AL250" i="23"/>
  <c r="AP250" i="23"/>
  <c r="AQ250" i="23"/>
  <c r="AM251" i="23" s="1"/>
  <c r="AR250" i="23"/>
  <c r="AT250" i="23"/>
  <c r="AU250" i="23"/>
  <c r="B251" i="23"/>
  <c r="M251" i="23"/>
  <c r="P251" i="23"/>
  <c r="Q251" i="23"/>
  <c r="R251" i="23" s="1"/>
  <c r="T251" i="23"/>
  <c r="U251" i="23"/>
  <c r="V251" i="23" s="1"/>
  <c r="AC251" i="23"/>
  <c r="AP251" i="23"/>
  <c r="AQ251" i="23"/>
  <c r="AM252" i="23" s="1"/>
  <c r="AR251" i="23"/>
  <c r="B252" i="23"/>
  <c r="D252" i="23"/>
  <c r="C252" i="24" s="1"/>
  <c r="M252" i="23"/>
  <c r="P252" i="23"/>
  <c r="Q252" i="23"/>
  <c r="R252" i="23" s="1"/>
  <c r="T252" i="23"/>
  <c r="U252" i="23"/>
  <c r="V252" i="23" s="1"/>
  <c r="AC252" i="23"/>
  <c r="AP252" i="23"/>
  <c r="AQ252" i="23"/>
  <c r="AM253" i="23" s="1"/>
  <c r="AR252" i="23"/>
  <c r="B253" i="23"/>
  <c r="M253" i="23"/>
  <c r="P253" i="23"/>
  <c r="Q253" i="23"/>
  <c r="R253" i="23"/>
  <c r="T253" i="23"/>
  <c r="AO253" i="23" s="1"/>
  <c r="U253" i="23"/>
  <c r="V253" i="23" s="1"/>
  <c r="AN253" i="23" s="1"/>
  <c r="AC253" i="23"/>
  <c r="AL253" i="23"/>
  <c r="AP253" i="23"/>
  <c r="AQ253" i="23"/>
  <c r="AM254" i="23" s="1"/>
  <c r="AR253" i="23"/>
  <c r="B254" i="23"/>
  <c r="B254" i="24" s="1"/>
  <c r="M254" i="23"/>
  <c r="P254" i="23"/>
  <c r="Q254" i="23"/>
  <c r="R254" i="23"/>
  <c r="T254" i="23"/>
  <c r="U254" i="23"/>
  <c r="V254" i="23" s="1"/>
  <c r="AC254" i="23"/>
  <c r="AP254" i="23"/>
  <c r="AQ254" i="23"/>
  <c r="AR254" i="23"/>
  <c r="B255" i="23"/>
  <c r="M255" i="23"/>
  <c r="P255" i="23"/>
  <c r="Q255" i="23"/>
  <c r="R255" i="23" s="1"/>
  <c r="T255" i="23"/>
  <c r="U255" i="23"/>
  <c r="V255" i="23" s="1"/>
  <c r="AC255" i="23"/>
  <c r="AD255" i="23"/>
  <c r="AM255" i="23"/>
  <c r="AP255" i="23"/>
  <c r="AQ255" i="23"/>
  <c r="AM256" i="23" s="1"/>
  <c r="AR255" i="23"/>
  <c r="B256" i="23"/>
  <c r="M256" i="23"/>
  <c r="P256" i="23"/>
  <c r="Q256" i="23"/>
  <c r="R256" i="23" s="1"/>
  <c r="T256" i="23"/>
  <c r="U256" i="23"/>
  <c r="V256" i="23" s="1"/>
  <c r="AC256" i="23"/>
  <c r="AP256" i="23"/>
  <c r="AQ256" i="23"/>
  <c r="AM257" i="23" s="1"/>
  <c r="AR256" i="23"/>
  <c r="B257" i="23"/>
  <c r="AL257" i="23" s="1"/>
  <c r="M257" i="23"/>
  <c r="P257" i="23"/>
  <c r="Q257" i="23"/>
  <c r="R257" i="23" s="1"/>
  <c r="T257" i="23"/>
  <c r="U257" i="23"/>
  <c r="V257" i="23"/>
  <c r="AC257" i="23"/>
  <c r="AP257" i="23"/>
  <c r="AQ257" i="23"/>
  <c r="AM258" i="23" s="1"/>
  <c r="AR257" i="23"/>
  <c r="B258" i="23"/>
  <c r="B258" i="24" s="1"/>
  <c r="BL258" i="24" s="1"/>
  <c r="M258" i="23"/>
  <c r="P258" i="23"/>
  <c r="Q258" i="23"/>
  <c r="R258" i="23" s="1"/>
  <c r="T258" i="23"/>
  <c r="U258" i="23"/>
  <c r="V258" i="23" s="1"/>
  <c r="AC258" i="23"/>
  <c r="AP258" i="23"/>
  <c r="AQ258" i="23"/>
  <c r="AM259" i="23" s="1"/>
  <c r="AR258" i="23"/>
  <c r="AT258" i="23"/>
  <c r="B259" i="23"/>
  <c r="B259" i="24" s="1"/>
  <c r="C259" i="23"/>
  <c r="W259" i="23" s="1"/>
  <c r="M259" i="23"/>
  <c r="P259" i="23"/>
  <c r="Q259" i="23"/>
  <c r="R259" i="23" s="1"/>
  <c r="T259" i="23"/>
  <c r="U259" i="23"/>
  <c r="V259" i="23" s="1"/>
  <c r="AC259" i="23"/>
  <c r="AD259" i="23"/>
  <c r="AF259" i="23"/>
  <c r="AH259" i="23" s="1"/>
  <c r="AP259" i="23"/>
  <c r="AQ259" i="23"/>
  <c r="AM260" i="23" s="1"/>
  <c r="AR259" i="23"/>
  <c r="B260" i="23"/>
  <c r="AD260" i="23" s="1"/>
  <c r="M260" i="23"/>
  <c r="P260" i="23"/>
  <c r="Q260" i="23"/>
  <c r="R260" i="23" s="1"/>
  <c r="T260" i="23"/>
  <c r="U260" i="23"/>
  <c r="V260" i="23" s="1"/>
  <c r="AC260" i="23"/>
  <c r="AP260" i="23"/>
  <c r="AQ260" i="23"/>
  <c r="AM261" i="23" s="1"/>
  <c r="AR260" i="23"/>
  <c r="B261" i="23"/>
  <c r="M261" i="23"/>
  <c r="P261" i="23"/>
  <c r="Q261" i="23"/>
  <c r="R261" i="23" s="1"/>
  <c r="T261" i="23"/>
  <c r="U261" i="23"/>
  <c r="V261" i="23" s="1"/>
  <c r="AC261" i="23"/>
  <c r="AP261" i="23"/>
  <c r="AQ261" i="23"/>
  <c r="AM262" i="23" s="1"/>
  <c r="AR261" i="23"/>
  <c r="B262" i="23"/>
  <c r="M262" i="23"/>
  <c r="P262" i="23"/>
  <c r="Q262" i="23"/>
  <c r="R262" i="23" s="1"/>
  <c r="T262" i="23"/>
  <c r="U262" i="23"/>
  <c r="V262" i="23" s="1"/>
  <c r="AC262" i="23"/>
  <c r="AP262" i="23"/>
  <c r="AQ262" i="23"/>
  <c r="AM263" i="23" s="1"/>
  <c r="AR262" i="23"/>
  <c r="B263" i="23"/>
  <c r="B263" i="24" s="1"/>
  <c r="M263" i="23"/>
  <c r="P263" i="23"/>
  <c r="Q263" i="23"/>
  <c r="R263" i="23" s="1"/>
  <c r="T263" i="23"/>
  <c r="U263" i="23"/>
  <c r="V263" i="23" s="1"/>
  <c r="AC263" i="23"/>
  <c r="AP263" i="23"/>
  <c r="AQ263" i="23"/>
  <c r="AM264" i="23" s="1"/>
  <c r="AR263" i="23"/>
  <c r="AT263" i="23"/>
  <c r="B264" i="23"/>
  <c r="AD264" i="23" s="1"/>
  <c r="M264" i="23"/>
  <c r="P264" i="23"/>
  <c r="Q264" i="23"/>
  <c r="R264" i="23" s="1"/>
  <c r="T264" i="23"/>
  <c r="U264" i="23"/>
  <c r="V264" i="23" s="1"/>
  <c r="AC264" i="23"/>
  <c r="AP264" i="23"/>
  <c r="AQ264" i="23"/>
  <c r="AM265" i="23" s="1"/>
  <c r="AR264" i="23"/>
  <c r="B265" i="23"/>
  <c r="B265" i="24" s="1"/>
  <c r="M265" i="23"/>
  <c r="P265" i="23"/>
  <c r="AO265" i="23" s="1"/>
  <c r="Q265" i="23"/>
  <c r="R265" i="23" s="1"/>
  <c r="T265" i="23"/>
  <c r="U265" i="23"/>
  <c r="V265" i="23" s="1"/>
  <c r="AC265" i="23"/>
  <c r="AP265" i="23"/>
  <c r="AQ265" i="23"/>
  <c r="AM266" i="23" s="1"/>
  <c r="AR265" i="23"/>
  <c r="B266" i="23"/>
  <c r="M266" i="23"/>
  <c r="P266" i="23"/>
  <c r="Q266" i="23"/>
  <c r="R266" i="23"/>
  <c r="T266" i="23"/>
  <c r="U266" i="23"/>
  <c r="V266" i="23" s="1"/>
  <c r="AC266" i="23"/>
  <c r="AP266" i="23"/>
  <c r="AQ266" i="23"/>
  <c r="AM267" i="23" s="1"/>
  <c r="AR266" i="23"/>
  <c r="B267" i="23"/>
  <c r="M267" i="23"/>
  <c r="P267" i="23"/>
  <c r="Q267" i="23"/>
  <c r="R267" i="23" s="1"/>
  <c r="T267" i="23"/>
  <c r="AO267" i="23" s="1"/>
  <c r="U267" i="23"/>
  <c r="V267" i="23" s="1"/>
  <c r="AC267" i="23"/>
  <c r="AP267" i="23"/>
  <c r="AQ267" i="23"/>
  <c r="AM268" i="23" s="1"/>
  <c r="AR267" i="23"/>
  <c r="B268" i="23"/>
  <c r="C268" i="23" s="1"/>
  <c r="M268" i="23"/>
  <c r="P268" i="23"/>
  <c r="Q268" i="23"/>
  <c r="R268" i="23" s="1"/>
  <c r="T268" i="23"/>
  <c r="U268" i="23"/>
  <c r="V268" i="23" s="1"/>
  <c r="AC268" i="23"/>
  <c r="AD268" i="23"/>
  <c r="AL268" i="23"/>
  <c r="AP268" i="23"/>
  <c r="AQ268" i="23"/>
  <c r="AM269" i="23" s="1"/>
  <c r="AR268" i="23"/>
  <c r="AT268" i="23"/>
  <c r="AU268" i="23"/>
  <c r="B269" i="23"/>
  <c r="M269" i="23"/>
  <c r="P269" i="23"/>
  <c r="Q269" i="23"/>
  <c r="R269" i="23" s="1"/>
  <c r="T269" i="23"/>
  <c r="U269" i="23"/>
  <c r="V269" i="23" s="1"/>
  <c r="AC269" i="23"/>
  <c r="AP269" i="23"/>
  <c r="AQ269" i="23"/>
  <c r="AM270" i="23" s="1"/>
  <c r="AR269" i="23"/>
  <c r="B270" i="23"/>
  <c r="M270" i="23"/>
  <c r="P270" i="23"/>
  <c r="Q270" i="23"/>
  <c r="R270" i="23" s="1"/>
  <c r="T270" i="23"/>
  <c r="U270" i="23"/>
  <c r="V270" i="23" s="1"/>
  <c r="AC270" i="23"/>
  <c r="AP270" i="23"/>
  <c r="AQ270" i="23"/>
  <c r="AM271" i="23" s="1"/>
  <c r="AR270" i="23"/>
  <c r="B271" i="23"/>
  <c r="B271" i="24" s="1"/>
  <c r="M271" i="23"/>
  <c r="P271" i="23"/>
  <c r="Q271" i="23"/>
  <c r="R271" i="23" s="1"/>
  <c r="T271" i="23"/>
  <c r="U271" i="23"/>
  <c r="V271" i="23" s="1"/>
  <c r="AC271" i="23"/>
  <c r="AP271" i="23"/>
  <c r="AQ271" i="23"/>
  <c r="AM272" i="23" s="1"/>
  <c r="AR271" i="23"/>
  <c r="B272" i="23"/>
  <c r="M272" i="23"/>
  <c r="P272" i="23"/>
  <c r="Q272" i="23"/>
  <c r="R272" i="23" s="1"/>
  <c r="T272" i="23"/>
  <c r="U272" i="23"/>
  <c r="V272" i="23" s="1"/>
  <c r="AC272" i="23"/>
  <c r="AP272" i="23"/>
  <c r="AQ272" i="23"/>
  <c r="AM273" i="23" s="1"/>
  <c r="AR272" i="23"/>
  <c r="AT272" i="23"/>
  <c r="AU272" i="23"/>
  <c r="B273" i="23"/>
  <c r="M273" i="23"/>
  <c r="P273" i="23"/>
  <c r="Q273" i="23"/>
  <c r="R273" i="23"/>
  <c r="T273" i="23"/>
  <c r="U273" i="23"/>
  <c r="V273" i="23"/>
  <c r="AC273" i="23"/>
  <c r="AD273" i="23"/>
  <c r="AP273" i="23"/>
  <c r="AQ273" i="23"/>
  <c r="AM274" i="23" s="1"/>
  <c r="AR273" i="23"/>
  <c r="AT273" i="23"/>
  <c r="B274" i="23"/>
  <c r="D274" i="23"/>
  <c r="C274" i="24" s="1"/>
  <c r="M274" i="23"/>
  <c r="P274" i="23"/>
  <c r="Q274" i="23"/>
  <c r="R274" i="23" s="1"/>
  <c r="T274" i="23"/>
  <c r="U274" i="23"/>
  <c r="V274" i="23" s="1"/>
  <c r="AC274" i="23"/>
  <c r="AL274" i="23"/>
  <c r="AP274" i="23"/>
  <c r="AQ274" i="23"/>
  <c r="AM275" i="23" s="1"/>
  <c r="AR274" i="23"/>
  <c r="B275" i="23"/>
  <c r="D275" i="23"/>
  <c r="C275" i="24" s="1"/>
  <c r="M275" i="23"/>
  <c r="P275" i="23"/>
  <c r="Q275" i="23"/>
  <c r="R275" i="23" s="1"/>
  <c r="T275" i="23"/>
  <c r="U275" i="23"/>
  <c r="V275" i="23" s="1"/>
  <c r="AC275" i="23"/>
  <c r="AP275" i="23"/>
  <c r="AQ275" i="23"/>
  <c r="AM276" i="23" s="1"/>
  <c r="AR275" i="23"/>
  <c r="B276" i="23"/>
  <c r="B276" i="24" s="1"/>
  <c r="BL276" i="24" s="1"/>
  <c r="M276" i="23"/>
  <c r="P276" i="23"/>
  <c r="Q276" i="23"/>
  <c r="R276" i="23" s="1"/>
  <c r="T276" i="23"/>
  <c r="AO276" i="23" s="1"/>
  <c r="U276" i="23"/>
  <c r="V276" i="23" s="1"/>
  <c r="AC276" i="23"/>
  <c r="AD276" i="23"/>
  <c r="AL276" i="23"/>
  <c r="AP276" i="23"/>
  <c r="AQ276" i="23"/>
  <c r="AR276" i="23"/>
  <c r="B277" i="23"/>
  <c r="M277" i="23"/>
  <c r="P277" i="23"/>
  <c r="Q277" i="23"/>
  <c r="R277" i="23" s="1"/>
  <c r="T277" i="23"/>
  <c r="U277" i="23"/>
  <c r="V277" i="23"/>
  <c r="AC277" i="23"/>
  <c r="AM277" i="23"/>
  <c r="AP277" i="23"/>
  <c r="AQ277" i="23"/>
  <c r="AM278" i="23" s="1"/>
  <c r="AR277" i="23"/>
  <c r="B278" i="23"/>
  <c r="B278" i="24" s="1"/>
  <c r="D278" i="23"/>
  <c r="C278" i="24" s="1"/>
  <c r="M278" i="23"/>
  <c r="P278" i="23"/>
  <c r="Q278" i="23"/>
  <c r="R278" i="23" s="1"/>
  <c r="T278" i="23"/>
  <c r="U278" i="23"/>
  <c r="V278" i="23" s="1"/>
  <c r="AC278" i="23"/>
  <c r="AL278" i="23"/>
  <c r="AP278" i="23"/>
  <c r="AQ278" i="23"/>
  <c r="AM279" i="23" s="1"/>
  <c r="AR278" i="23"/>
  <c r="AT278" i="23"/>
  <c r="AU278" i="23"/>
  <c r="B279" i="23"/>
  <c r="M279" i="23"/>
  <c r="P279" i="23"/>
  <c r="Q279" i="23"/>
  <c r="R279" i="23" s="1"/>
  <c r="T279" i="23"/>
  <c r="U279" i="23"/>
  <c r="V279" i="23" s="1"/>
  <c r="AC279" i="23"/>
  <c r="AP279" i="23"/>
  <c r="AQ279" i="23"/>
  <c r="AM280" i="23" s="1"/>
  <c r="AR279" i="23"/>
  <c r="AU279" i="23"/>
  <c r="B280" i="23"/>
  <c r="M280" i="23"/>
  <c r="P280" i="23"/>
  <c r="Q280" i="23"/>
  <c r="R280" i="23" s="1"/>
  <c r="T280" i="23"/>
  <c r="U280" i="23"/>
  <c r="V280" i="23" s="1"/>
  <c r="AC280" i="23"/>
  <c r="AP280" i="23"/>
  <c r="AQ280" i="23"/>
  <c r="AM281" i="23" s="1"/>
  <c r="AR280" i="23"/>
  <c r="B281" i="23"/>
  <c r="M281" i="23"/>
  <c r="P281" i="23"/>
  <c r="Q281" i="23"/>
  <c r="R281" i="23"/>
  <c r="T281" i="23"/>
  <c r="U281" i="23"/>
  <c r="V281" i="23" s="1"/>
  <c r="AC281" i="23"/>
  <c r="AP281" i="23"/>
  <c r="AQ281" i="23"/>
  <c r="AR281" i="23"/>
  <c r="B282" i="23"/>
  <c r="B282" i="24" s="1"/>
  <c r="M282" i="23"/>
  <c r="P282" i="23"/>
  <c r="Q282" i="23"/>
  <c r="R282" i="23" s="1"/>
  <c r="T282" i="23"/>
  <c r="U282" i="23"/>
  <c r="V282" i="23" s="1"/>
  <c r="AC282" i="23"/>
  <c r="AM282" i="23"/>
  <c r="AP282" i="23"/>
  <c r="AQ282" i="23"/>
  <c r="AM283" i="23" s="1"/>
  <c r="AR282" i="23"/>
  <c r="B283" i="23"/>
  <c r="M283" i="23"/>
  <c r="P283" i="23"/>
  <c r="Q283" i="23"/>
  <c r="R283" i="23" s="1"/>
  <c r="T283" i="23"/>
  <c r="U283" i="23"/>
  <c r="V283" i="23" s="1"/>
  <c r="AC283" i="23"/>
  <c r="AP283" i="23"/>
  <c r="AQ283" i="23"/>
  <c r="AM284" i="23" s="1"/>
  <c r="AR283" i="23"/>
  <c r="AU283" i="23"/>
  <c r="B284" i="23"/>
  <c r="C284" i="23" s="1"/>
  <c r="AF284" i="23" s="1"/>
  <c r="AH284" i="23" s="1"/>
  <c r="D284" i="23"/>
  <c r="C284" i="24" s="1"/>
  <c r="M284" i="23"/>
  <c r="P284" i="23"/>
  <c r="Q284" i="23"/>
  <c r="R284" i="23" s="1"/>
  <c r="T284" i="23"/>
  <c r="U284" i="23"/>
  <c r="V284" i="23"/>
  <c r="AC284" i="23"/>
  <c r="AP284" i="23"/>
  <c r="AQ284" i="23"/>
  <c r="AM285" i="23" s="1"/>
  <c r="AR284" i="23"/>
  <c r="B285" i="23"/>
  <c r="M285" i="23"/>
  <c r="P285" i="23"/>
  <c r="Q285" i="23"/>
  <c r="R285" i="23" s="1"/>
  <c r="AN285" i="23" s="1"/>
  <c r="T285" i="23"/>
  <c r="U285" i="23"/>
  <c r="V285" i="23" s="1"/>
  <c r="AC285" i="23"/>
  <c r="AD285" i="23"/>
  <c r="AL285" i="23"/>
  <c r="AP285" i="23"/>
  <c r="AQ285" i="23"/>
  <c r="AM286" i="23" s="1"/>
  <c r="AR285" i="23"/>
  <c r="B286" i="23"/>
  <c r="B286" i="24" s="1"/>
  <c r="M286" i="23"/>
  <c r="P286" i="23"/>
  <c r="Q286" i="23"/>
  <c r="R286" i="23" s="1"/>
  <c r="T286" i="23"/>
  <c r="U286" i="23"/>
  <c r="V286" i="23"/>
  <c r="AC286" i="23"/>
  <c r="AP286" i="23"/>
  <c r="AQ286" i="23"/>
  <c r="AR286" i="23"/>
  <c r="B287" i="23"/>
  <c r="M287" i="23"/>
  <c r="P287" i="23"/>
  <c r="Q287" i="23"/>
  <c r="R287" i="23" s="1"/>
  <c r="T287" i="23"/>
  <c r="U287" i="23"/>
  <c r="V287" i="23" s="1"/>
  <c r="AC287" i="23"/>
  <c r="AM287" i="23"/>
  <c r="AP287" i="23"/>
  <c r="AQ287" i="23"/>
  <c r="AR287" i="23"/>
  <c r="B288" i="23"/>
  <c r="C288" i="23"/>
  <c r="W288" i="23" s="1"/>
  <c r="D288" i="23"/>
  <c r="C288" i="24" s="1"/>
  <c r="F288" i="23"/>
  <c r="G288" i="23" s="1"/>
  <c r="M288" i="23"/>
  <c r="P288" i="23"/>
  <c r="Q288" i="23"/>
  <c r="R288" i="23" s="1"/>
  <c r="T288" i="23"/>
  <c r="U288" i="23"/>
  <c r="V288" i="23"/>
  <c r="X288" i="23"/>
  <c r="AC288" i="23"/>
  <c r="AL288" i="23"/>
  <c r="AM288" i="23"/>
  <c r="AP288" i="23"/>
  <c r="AQ288" i="23"/>
  <c r="AM289" i="23" s="1"/>
  <c r="AR288" i="23"/>
  <c r="AT288" i="23"/>
  <c r="B289" i="23"/>
  <c r="B289" i="24" s="1"/>
  <c r="M289" i="23"/>
  <c r="P289" i="23"/>
  <c r="Q289" i="23"/>
  <c r="R289" i="23" s="1"/>
  <c r="T289" i="23"/>
  <c r="U289" i="23"/>
  <c r="V289" i="23" s="1"/>
  <c r="AC289" i="23"/>
  <c r="AP289" i="23"/>
  <c r="AQ289" i="23"/>
  <c r="AM290" i="23" s="1"/>
  <c r="AR289" i="23"/>
  <c r="B290" i="23"/>
  <c r="AL290" i="23" s="1"/>
  <c r="M290" i="23"/>
  <c r="P290" i="23"/>
  <c r="Q290" i="23"/>
  <c r="R290" i="23" s="1"/>
  <c r="T290" i="23"/>
  <c r="U290" i="23"/>
  <c r="V290" i="23" s="1"/>
  <c r="AC290" i="23"/>
  <c r="AP290" i="23"/>
  <c r="AQ290" i="23"/>
  <c r="AM291" i="23" s="1"/>
  <c r="AR290" i="23"/>
  <c r="B291" i="23"/>
  <c r="AD291" i="23" s="1"/>
  <c r="D291" i="23"/>
  <c r="C291" i="24" s="1"/>
  <c r="M291" i="23"/>
  <c r="P291" i="23"/>
  <c r="Q291" i="23"/>
  <c r="R291" i="23" s="1"/>
  <c r="T291" i="23"/>
  <c r="U291" i="23"/>
  <c r="V291" i="23" s="1"/>
  <c r="AC291" i="23"/>
  <c r="AP291" i="23"/>
  <c r="AQ291" i="23"/>
  <c r="AR291" i="23"/>
  <c r="AU291" i="23"/>
  <c r="B292" i="23"/>
  <c r="B292" i="24" s="1"/>
  <c r="D292" i="23"/>
  <c r="C292" i="24" s="1"/>
  <c r="M292" i="23"/>
  <c r="P292" i="23"/>
  <c r="Q292" i="23"/>
  <c r="R292" i="23" s="1"/>
  <c r="T292" i="23"/>
  <c r="U292" i="23"/>
  <c r="V292" i="23" s="1"/>
  <c r="AC292" i="23"/>
  <c r="AD292" i="23"/>
  <c r="AM292" i="23"/>
  <c r="AP292" i="23"/>
  <c r="AQ292" i="23"/>
  <c r="AM293" i="23" s="1"/>
  <c r="AR292" i="23"/>
  <c r="B293" i="23"/>
  <c r="M293" i="23"/>
  <c r="P293" i="23"/>
  <c r="Q293" i="23"/>
  <c r="R293" i="23" s="1"/>
  <c r="T293" i="23"/>
  <c r="U293" i="23"/>
  <c r="V293" i="23" s="1"/>
  <c r="AC293" i="23"/>
  <c r="AP293" i="23"/>
  <c r="AQ293" i="23"/>
  <c r="AM294" i="23" s="1"/>
  <c r="AR293" i="23"/>
  <c r="B294" i="23"/>
  <c r="M294" i="23"/>
  <c r="P294" i="23"/>
  <c r="Q294" i="23"/>
  <c r="R294" i="23" s="1"/>
  <c r="T294" i="23"/>
  <c r="U294" i="23"/>
  <c r="V294" i="23" s="1"/>
  <c r="AC294" i="23"/>
  <c r="AP294" i="23"/>
  <c r="AQ294" i="23"/>
  <c r="AM295" i="23" s="1"/>
  <c r="AR294" i="23"/>
  <c r="AU294" i="23"/>
  <c r="B295" i="23"/>
  <c r="M295" i="23"/>
  <c r="P295" i="23"/>
  <c r="AO295" i="23" s="1"/>
  <c r="Q295" i="23"/>
  <c r="R295" i="23" s="1"/>
  <c r="AN295" i="23" s="1"/>
  <c r="T295" i="23"/>
  <c r="U295" i="23"/>
  <c r="V295" i="23" s="1"/>
  <c r="AC295" i="23"/>
  <c r="AP295" i="23"/>
  <c r="AQ295" i="23"/>
  <c r="AR295" i="23"/>
  <c r="B296" i="23"/>
  <c r="B296" i="24" s="1"/>
  <c r="M296" i="23"/>
  <c r="P296" i="23"/>
  <c r="Q296" i="23"/>
  <c r="R296" i="23" s="1"/>
  <c r="T296" i="23"/>
  <c r="U296" i="23"/>
  <c r="V296" i="23" s="1"/>
  <c r="AC296" i="23"/>
  <c r="AM296" i="23"/>
  <c r="AP296" i="23"/>
  <c r="AQ296" i="23"/>
  <c r="AM297" i="23" s="1"/>
  <c r="AR296" i="23"/>
  <c r="B297" i="23"/>
  <c r="M297" i="23"/>
  <c r="P297" i="23"/>
  <c r="Q297" i="23"/>
  <c r="R297" i="23" s="1"/>
  <c r="T297" i="23"/>
  <c r="U297" i="23"/>
  <c r="V297" i="23" s="1"/>
  <c r="AC297" i="23"/>
  <c r="AP297" i="23"/>
  <c r="AQ297" i="23"/>
  <c r="AM298" i="23" s="1"/>
  <c r="AR297" i="23"/>
  <c r="B298" i="23"/>
  <c r="B298" i="24" s="1"/>
  <c r="M298" i="23"/>
  <c r="P298" i="23"/>
  <c r="Q298" i="23"/>
  <c r="R298" i="23" s="1"/>
  <c r="T298" i="23"/>
  <c r="U298" i="23"/>
  <c r="V298" i="23" s="1"/>
  <c r="AC298" i="23"/>
  <c r="AL298" i="23"/>
  <c r="AP298" i="23"/>
  <c r="AQ298" i="23"/>
  <c r="AM299" i="23" s="1"/>
  <c r="AR298" i="23"/>
  <c r="B299" i="23"/>
  <c r="M299" i="23"/>
  <c r="P299" i="23"/>
  <c r="Q299" i="23"/>
  <c r="R299" i="23" s="1"/>
  <c r="T299" i="23"/>
  <c r="U299" i="23"/>
  <c r="V299" i="23" s="1"/>
  <c r="AC299" i="23"/>
  <c r="AP299" i="23"/>
  <c r="AQ299" i="23"/>
  <c r="AM300" i="23" s="1"/>
  <c r="AR299" i="23"/>
  <c r="B300" i="23"/>
  <c r="D300" i="23"/>
  <c r="C300" i="24" s="1"/>
  <c r="M300" i="23"/>
  <c r="P300" i="23"/>
  <c r="AO300" i="23" s="1"/>
  <c r="Q300" i="23"/>
  <c r="R300" i="23" s="1"/>
  <c r="T300" i="23"/>
  <c r="U300" i="23"/>
  <c r="V300" i="23" s="1"/>
  <c r="AC300" i="23"/>
  <c r="AP300" i="23"/>
  <c r="AQ300" i="23"/>
  <c r="AM301" i="23" s="1"/>
  <c r="AR300" i="23"/>
  <c r="AU300" i="23"/>
  <c r="B301" i="23"/>
  <c r="AT301" i="23" s="1"/>
  <c r="M301" i="23"/>
  <c r="P301" i="23"/>
  <c r="Q301" i="23"/>
  <c r="R301" i="23" s="1"/>
  <c r="T301" i="23"/>
  <c r="U301" i="23"/>
  <c r="V301" i="23"/>
  <c r="AC301" i="23"/>
  <c r="AP301" i="23"/>
  <c r="AQ301" i="23"/>
  <c r="AM302" i="23" s="1"/>
  <c r="AR301" i="23"/>
  <c r="B302" i="23"/>
  <c r="B302" i="24" s="1"/>
  <c r="BL302" i="24" s="1"/>
  <c r="D302" i="23"/>
  <c r="C302" i="24" s="1"/>
  <c r="M302" i="23"/>
  <c r="P302" i="23"/>
  <c r="Q302" i="23"/>
  <c r="R302" i="23" s="1"/>
  <c r="T302" i="23"/>
  <c r="AO302" i="23" s="1"/>
  <c r="U302" i="23"/>
  <c r="V302" i="23" s="1"/>
  <c r="AC302" i="23"/>
  <c r="AD302" i="23"/>
  <c r="AP302" i="23"/>
  <c r="AQ302" i="23"/>
  <c r="AM303" i="23" s="1"/>
  <c r="AR302" i="23"/>
  <c r="B303" i="23"/>
  <c r="C303" i="23"/>
  <c r="AF303" i="23" s="1"/>
  <c r="M303" i="23"/>
  <c r="P303" i="23"/>
  <c r="AO303" i="23" s="1"/>
  <c r="Q303" i="23"/>
  <c r="R303" i="23" s="1"/>
  <c r="T303" i="23"/>
  <c r="U303" i="23"/>
  <c r="V303" i="23" s="1"/>
  <c r="AC303" i="23"/>
  <c r="AP303" i="23"/>
  <c r="AQ303" i="23"/>
  <c r="AM304" i="23" s="1"/>
  <c r="AR303" i="23"/>
  <c r="B304" i="23"/>
  <c r="AU304" i="23" s="1"/>
  <c r="D304" i="23"/>
  <c r="C304" i="24" s="1"/>
  <c r="M304" i="23"/>
  <c r="P304" i="23"/>
  <c r="Q304" i="23"/>
  <c r="R304" i="23" s="1"/>
  <c r="T304" i="23"/>
  <c r="U304" i="23"/>
  <c r="V304" i="23" s="1"/>
  <c r="AC304" i="23"/>
  <c r="AP304" i="23"/>
  <c r="AQ304" i="23"/>
  <c r="AM305" i="23" s="1"/>
  <c r="AR304" i="23"/>
  <c r="AT304" i="23"/>
  <c r="B305" i="23"/>
  <c r="AL305" i="23" s="1"/>
  <c r="M305" i="23"/>
  <c r="P305" i="23"/>
  <c r="Q305" i="23"/>
  <c r="R305" i="23" s="1"/>
  <c r="T305" i="23"/>
  <c r="U305" i="23"/>
  <c r="V305" i="23" s="1"/>
  <c r="AC305" i="23"/>
  <c r="AP305" i="23"/>
  <c r="AQ305" i="23"/>
  <c r="AM306" i="23" s="1"/>
  <c r="AR305" i="23"/>
  <c r="B306" i="23"/>
  <c r="AU306" i="23" s="1"/>
  <c r="D306" i="23"/>
  <c r="C306" i="24" s="1"/>
  <c r="M306" i="23"/>
  <c r="P306" i="23"/>
  <c r="AO306" i="23" s="1"/>
  <c r="Q306" i="23"/>
  <c r="R306" i="23" s="1"/>
  <c r="T306" i="23"/>
  <c r="U306" i="23"/>
  <c r="V306" i="23" s="1"/>
  <c r="AC306" i="23"/>
  <c r="AP306" i="23"/>
  <c r="AQ306" i="23"/>
  <c r="AM307" i="23" s="1"/>
  <c r="AR306" i="23"/>
  <c r="AT306" i="23"/>
  <c r="B307" i="23"/>
  <c r="AD307" i="23" s="1"/>
  <c r="M307" i="23"/>
  <c r="P307" i="23"/>
  <c r="Q307" i="23"/>
  <c r="R307" i="23" s="1"/>
  <c r="T307" i="23"/>
  <c r="U307" i="23"/>
  <c r="V307" i="23" s="1"/>
  <c r="AC307" i="23"/>
  <c r="AP307" i="23"/>
  <c r="AQ307" i="23"/>
  <c r="AM308" i="23" s="1"/>
  <c r="AR307" i="23"/>
  <c r="B308" i="23"/>
  <c r="M308" i="23"/>
  <c r="P308" i="23"/>
  <c r="Q308" i="23"/>
  <c r="R308" i="23" s="1"/>
  <c r="T308" i="23"/>
  <c r="U308" i="23"/>
  <c r="V308" i="23" s="1"/>
  <c r="AC308" i="23"/>
  <c r="AP308" i="23"/>
  <c r="AQ308" i="23"/>
  <c r="AM309" i="23" s="1"/>
  <c r="AR308" i="23"/>
  <c r="B309" i="23"/>
  <c r="C309" i="23" s="1"/>
  <c r="O309" i="23" s="1"/>
  <c r="M309" i="23"/>
  <c r="P309" i="23"/>
  <c r="Q309" i="23"/>
  <c r="R309" i="23" s="1"/>
  <c r="T309" i="23"/>
  <c r="U309" i="23"/>
  <c r="V309" i="23" s="1"/>
  <c r="AC309" i="23"/>
  <c r="AP309" i="23"/>
  <c r="AQ309" i="23"/>
  <c r="AM310" i="23" s="1"/>
  <c r="AR309" i="23"/>
  <c r="B310" i="23"/>
  <c r="C310" i="23"/>
  <c r="AF310" i="23" s="1"/>
  <c r="D310" i="23"/>
  <c r="C310" i="24" s="1"/>
  <c r="M310" i="23"/>
  <c r="P310" i="23"/>
  <c r="Q310" i="23"/>
  <c r="R310" i="23" s="1"/>
  <c r="T310" i="23"/>
  <c r="U310" i="23"/>
  <c r="V310" i="23" s="1"/>
  <c r="AC310" i="23"/>
  <c r="AL310" i="23"/>
  <c r="AP310" i="23"/>
  <c r="AQ310" i="23"/>
  <c r="AM311" i="23" s="1"/>
  <c r="AR310" i="23"/>
  <c r="AT310" i="23"/>
  <c r="AU310" i="23"/>
  <c r="B311" i="23"/>
  <c r="M311" i="23"/>
  <c r="P311" i="23"/>
  <c r="Q311" i="23"/>
  <c r="R311" i="23" s="1"/>
  <c r="T311" i="23"/>
  <c r="AO311" i="23" s="1"/>
  <c r="U311" i="23"/>
  <c r="V311" i="23" s="1"/>
  <c r="AC311" i="23"/>
  <c r="AP311" i="23"/>
  <c r="AQ311" i="23"/>
  <c r="AM312" i="23" s="1"/>
  <c r="AR311" i="23"/>
  <c r="B312" i="23"/>
  <c r="M312" i="23"/>
  <c r="P312" i="23"/>
  <c r="Q312" i="23"/>
  <c r="R312" i="23" s="1"/>
  <c r="T312" i="23"/>
  <c r="U312" i="23"/>
  <c r="V312" i="23" s="1"/>
  <c r="AC312" i="23"/>
  <c r="AP312" i="23"/>
  <c r="AQ312" i="23"/>
  <c r="AM313" i="23" s="1"/>
  <c r="AR312" i="23"/>
  <c r="B313" i="23"/>
  <c r="B313" i="24" s="1"/>
  <c r="M313" i="23"/>
  <c r="P313" i="23"/>
  <c r="Q313" i="23"/>
  <c r="R313" i="23" s="1"/>
  <c r="T313" i="23"/>
  <c r="U313" i="23"/>
  <c r="V313" i="23" s="1"/>
  <c r="AC313" i="23"/>
  <c r="AD313" i="23"/>
  <c r="AL313" i="23"/>
  <c r="AP313" i="23"/>
  <c r="AQ313" i="23"/>
  <c r="AM314" i="23" s="1"/>
  <c r="AR313" i="23"/>
  <c r="B314" i="23"/>
  <c r="B314" i="24" s="1"/>
  <c r="C314" i="23"/>
  <c r="W314" i="23" s="1"/>
  <c r="D314" i="23"/>
  <c r="C314" i="24" s="1"/>
  <c r="F314" i="23"/>
  <c r="M314" i="23"/>
  <c r="P314" i="23"/>
  <c r="Q314" i="23"/>
  <c r="R314" i="23" s="1"/>
  <c r="T314" i="23"/>
  <c r="U314" i="23"/>
  <c r="V314" i="23" s="1"/>
  <c r="AC314" i="23"/>
  <c r="AL314" i="23"/>
  <c r="AP314" i="23"/>
  <c r="AQ314" i="23"/>
  <c r="AM315" i="23" s="1"/>
  <c r="AR314" i="23"/>
  <c r="B315" i="23"/>
  <c r="C315" i="23"/>
  <c r="M315" i="23"/>
  <c r="P315" i="23"/>
  <c r="Q315" i="23"/>
  <c r="R315" i="23" s="1"/>
  <c r="T315" i="23"/>
  <c r="U315" i="23"/>
  <c r="V315" i="23" s="1"/>
  <c r="AC315" i="23"/>
  <c r="AL315" i="23"/>
  <c r="AP315" i="23"/>
  <c r="AQ315" i="23"/>
  <c r="AM316" i="23" s="1"/>
  <c r="AR315" i="23"/>
  <c r="B316" i="23"/>
  <c r="M316" i="23"/>
  <c r="P316" i="23"/>
  <c r="Q316" i="23"/>
  <c r="R316" i="23" s="1"/>
  <c r="T316" i="23"/>
  <c r="U316" i="23"/>
  <c r="V316" i="23" s="1"/>
  <c r="AC316" i="23"/>
  <c r="AP316" i="23"/>
  <c r="AQ316" i="23"/>
  <c r="AM317" i="23" s="1"/>
  <c r="AR316" i="23"/>
  <c r="AT316" i="23"/>
  <c r="B317" i="23"/>
  <c r="B317" i="24" s="1"/>
  <c r="M317" i="23"/>
  <c r="P317" i="23"/>
  <c r="Q317" i="23"/>
  <c r="R317" i="23" s="1"/>
  <c r="T317" i="23"/>
  <c r="U317" i="23"/>
  <c r="V317" i="23" s="1"/>
  <c r="AC317" i="23"/>
  <c r="AO317" i="23"/>
  <c r="AP317" i="23"/>
  <c r="AQ317" i="23"/>
  <c r="AM318" i="23" s="1"/>
  <c r="AR317" i="23"/>
  <c r="B318" i="23"/>
  <c r="B318" i="24" s="1"/>
  <c r="AO318" i="24" s="1"/>
  <c r="C318" i="23"/>
  <c r="S318" i="23" s="1"/>
  <c r="M318" i="23"/>
  <c r="P318" i="23"/>
  <c r="AO318" i="23" s="1"/>
  <c r="Q318" i="23"/>
  <c r="R318" i="23" s="1"/>
  <c r="T318" i="23"/>
  <c r="U318" i="23"/>
  <c r="V318" i="23" s="1"/>
  <c r="AC318" i="23"/>
  <c r="AD318" i="23"/>
  <c r="AF318" i="23"/>
  <c r="AP318" i="23"/>
  <c r="AQ318" i="23"/>
  <c r="AM319" i="23" s="1"/>
  <c r="AR318" i="23"/>
  <c r="B319" i="23"/>
  <c r="C319" i="23" s="1"/>
  <c r="D319" i="23"/>
  <c r="C319" i="24" s="1"/>
  <c r="M319" i="23"/>
  <c r="P319" i="23"/>
  <c r="Q319" i="23"/>
  <c r="R319" i="23" s="1"/>
  <c r="T319" i="23"/>
  <c r="U319" i="23"/>
  <c r="V319" i="23" s="1"/>
  <c r="AC319" i="23"/>
  <c r="AD319" i="23"/>
  <c r="AP319" i="23"/>
  <c r="AQ319" i="23"/>
  <c r="AM320" i="23" s="1"/>
  <c r="AR319" i="23"/>
  <c r="B320" i="23"/>
  <c r="M320" i="23"/>
  <c r="P320" i="23"/>
  <c r="Q320" i="23"/>
  <c r="R320" i="23"/>
  <c r="T320" i="23"/>
  <c r="U320" i="23"/>
  <c r="V320" i="23" s="1"/>
  <c r="AC320" i="23"/>
  <c r="AP320" i="23"/>
  <c r="AQ320" i="23"/>
  <c r="AR320" i="23"/>
  <c r="B321" i="23"/>
  <c r="D321" i="23"/>
  <c r="C321" i="24" s="1"/>
  <c r="M321" i="23"/>
  <c r="P321" i="23"/>
  <c r="Q321" i="23"/>
  <c r="R321" i="23" s="1"/>
  <c r="T321" i="23"/>
  <c r="U321" i="23"/>
  <c r="V321" i="23" s="1"/>
  <c r="AC321" i="23"/>
  <c r="AM321" i="23"/>
  <c r="AP321" i="23"/>
  <c r="AQ321" i="23"/>
  <c r="AM322" i="23" s="1"/>
  <c r="AR321" i="23"/>
  <c r="B322" i="23"/>
  <c r="B322" i="24" s="1"/>
  <c r="M322" i="23"/>
  <c r="P322" i="23"/>
  <c r="Q322" i="23"/>
  <c r="R322" i="23" s="1"/>
  <c r="T322" i="23"/>
  <c r="U322" i="23"/>
  <c r="V322" i="23" s="1"/>
  <c r="AC322" i="23"/>
  <c r="AP322" i="23"/>
  <c r="AQ322" i="23"/>
  <c r="AM323" i="23" s="1"/>
  <c r="AR322" i="23"/>
  <c r="B323" i="23"/>
  <c r="AT323" i="23" s="1"/>
  <c r="M323" i="23"/>
  <c r="P323" i="23"/>
  <c r="Q323" i="23"/>
  <c r="R323" i="23" s="1"/>
  <c r="T323" i="23"/>
  <c r="U323" i="23"/>
  <c r="V323" i="23"/>
  <c r="AC323" i="23"/>
  <c r="AD323" i="23"/>
  <c r="AP323" i="23"/>
  <c r="AQ323" i="23"/>
  <c r="AM324" i="23" s="1"/>
  <c r="AR323" i="23"/>
  <c r="B324" i="23"/>
  <c r="M324" i="23"/>
  <c r="P324" i="23"/>
  <c r="Q324" i="23"/>
  <c r="R324" i="23" s="1"/>
  <c r="T324" i="23"/>
  <c r="AO324" i="23" s="1"/>
  <c r="U324" i="23"/>
  <c r="V324" i="23" s="1"/>
  <c r="AC324" i="23"/>
  <c r="AP324" i="23"/>
  <c r="AQ324" i="23"/>
  <c r="AR324" i="23"/>
  <c r="B325" i="23"/>
  <c r="AD325" i="23" s="1"/>
  <c r="C325" i="23"/>
  <c r="F325" i="23" s="1"/>
  <c r="D325" i="23"/>
  <c r="C325" i="24" s="1"/>
  <c r="M325" i="23"/>
  <c r="P325" i="23"/>
  <c r="Q325" i="23"/>
  <c r="R325" i="23" s="1"/>
  <c r="T325" i="23"/>
  <c r="U325" i="23"/>
  <c r="V325" i="23" s="1"/>
  <c r="AC325" i="23"/>
  <c r="AM325" i="23"/>
  <c r="AP325" i="23"/>
  <c r="AQ325" i="23"/>
  <c r="AM326" i="23" s="1"/>
  <c r="AR325" i="23"/>
  <c r="B326" i="23"/>
  <c r="M326" i="23"/>
  <c r="P326" i="23"/>
  <c r="Q326" i="23"/>
  <c r="R326" i="23" s="1"/>
  <c r="T326" i="23"/>
  <c r="U326" i="23"/>
  <c r="V326" i="23" s="1"/>
  <c r="AC326" i="23"/>
  <c r="AP326" i="23"/>
  <c r="AQ326" i="23"/>
  <c r="AM327" i="23" s="1"/>
  <c r="AR326" i="23"/>
  <c r="B327" i="23"/>
  <c r="AL327" i="23" s="1"/>
  <c r="M327" i="23"/>
  <c r="P327" i="23"/>
  <c r="Q327" i="23"/>
  <c r="R327" i="23" s="1"/>
  <c r="T327" i="23"/>
  <c r="U327" i="23"/>
  <c r="V327" i="23" s="1"/>
  <c r="AC327" i="23"/>
  <c r="AP327" i="23"/>
  <c r="AQ327" i="23"/>
  <c r="AR327" i="23"/>
  <c r="B328" i="23"/>
  <c r="B328" i="24" s="1"/>
  <c r="M328" i="23"/>
  <c r="P328" i="23"/>
  <c r="Q328" i="23"/>
  <c r="R328" i="23" s="1"/>
  <c r="T328" i="23"/>
  <c r="U328" i="23"/>
  <c r="V328" i="23"/>
  <c r="AC328" i="23"/>
  <c r="AM328" i="23"/>
  <c r="AP328" i="23"/>
  <c r="AQ328" i="23"/>
  <c r="AM329" i="23" s="1"/>
  <c r="AR328" i="23"/>
  <c r="B329" i="23"/>
  <c r="B329" i="24" s="1"/>
  <c r="C329" i="23"/>
  <c r="X329" i="23" s="1"/>
  <c r="M329" i="23"/>
  <c r="P329" i="23"/>
  <c r="Q329" i="23"/>
  <c r="R329" i="23" s="1"/>
  <c r="T329" i="23"/>
  <c r="U329" i="23"/>
  <c r="V329" i="23"/>
  <c r="AC329" i="23"/>
  <c r="AP329" i="23"/>
  <c r="AQ329" i="23"/>
  <c r="AR329" i="23"/>
  <c r="B330" i="23"/>
  <c r="B330" i="24" s="1"/>
  <c r="D330" i="23"/>
  <c r="C330" i="24" s="1"/>
  <c r="M330" i="23"/>
  <c r="P330" i="23"/>
  <c r="Q330" i="23"/>
  <c r="R330" i="23" s="1"/>
  <c r="T330" i="23"/>
  <c r="U330" i="23"/>
  <c r="V330" i="23" s="1"/>
  <c r="AC330" i="23"/>
  <c r="AD330" i="23"/>
  <c r="AM330" i="23"/>
  <c r="AP330" i="23"/>
  <c r="AQ330" i="23"/>
  <c r="AM331" i="23" s="1"/>
  <c r="AR330" i="23"/>
  <c r="AT330" i="23"/>
  <c r="B331" i="23"/>
  <c r="M331" i="23"/>
  <c r="P331" i="23"/>
  <c r="Q331" i="23"/>
  <c r="R331" i="23" s="1"/>
  <c r="T331" i="23"/>
  <c r="U331" i="23"/>
  <c r="V331" i="23"/>
  <c r="AC331" i="23"/>
  <c r="AP331" i="23"/>
  <c r="AQ331" i="23"/>
  <c r="AM332" i="23" s="1"/>
  <c r="AR331" i="23"/>
  <c r="B332" i="23"/>
  <c r="B332" i="24" s="1"/>
  <c r="BL332" i="24" s="1"/>
  <c r="M332" i="23"/>
  <c r="P332" i="23"/>
  <c r="Q332" i="23"/>
  <c r="R332" i="23" s="1"/>
  <c r="T332" i="23"/>
  <c r="U332" i="23"/>
  <c r="V332" i="23" s="1"/>
  <c r="AC332" i="23"/>
  <c r="AP332" i="23"/>
  <c r="AQ332" i="23"/>
  <c r="AR332" i="23"/>
  <c r="B333" i="23"/>
  <c r="D333" i="23" s="1"/>
  <c r="C333" i="24" s="1"/>
  <c r="M333" i="23"/>
  <c r="P333" i="23"/>
  <c r="Q333" i="23"/>
  <c r="R333" i="23" s="1"/>
  <c r="T333" i="23"/>
  <c r="U333" i="23"/>
  <c r="V333" i="23" s="1"/>
  <c r="AC333" i="23"/>
  <c r="AM333" i="23"/>
  <c r="AP333" i="23"/>
  <c r="AQ333" i="23"/>
  <c r="AM334" i="23" s="1"/>
  <c r="AR333" i="23"/>
  <c r="B334" i="23"/>
  <c r="M334" i="23"/>
  <c r="P334" i="23"/>
  <c r="Q334" i="23"/>
  <c r="R334" i="23" s="1"/>
  <c r="T334" i="23"/>
  <c r="U334" i="23"/>
  <c r="V334" i="23" s="1"/>
  <c r="AC334" i="23"/>
  <c r="AP334" i="23"/>
  <c r="AQ334" i="23"/>
  <c r="AM335" i="23" s="1"/>
  <c r="AR334" i="23"/>
  <c r="B335" i="23"/>
  <c r="M335" i="23"/>
  <c r="P335" i="23"/>
  <c r="Q335" i="23"/>
  <c r="R335" i="23" s="1"/>
  <c r="T335" i="23"/>
  <c r="U335" i="23"/>
  <c r="V335" i="23" s="1"/>
  <c r="AC335" i="23"/>
  <c r="AP335" i="23"/>
  <c r="AQ335" i="23"/>
  <c r="AM336" i="23" s="1"/>
  <c r="AR335" i="23"/>
  <c r="B336" i="23"/>
  <c r="M336" i="23"/>
  <c r="P336" i="23"/>
  <c r="Q336" i="23"/>
  <c r="R336" i="23" s="1"/>
  <c r="T336" i="23"/>
  <c r="U336" i="23"/>
  <c r="V336" i="23" s="1"/>
  <c r="AC336" i="23"/>
  <c r="AD336" i="23"/>
  <c r="AL336" i="23"/>
  <c r="AP336" i="23"/>
  <c r="AQ336" i="23"/>
  <c r="AR336" i="23"/>
  <c r="B337" i="23"/>
  <c r="M337" i="23"/>
  <c r="P337" i="23"/>
  <c r="Q337" i="23"/>
  <c r="R337" i="23" s="1"/>
  <c r="T337" i="23"/>
  <c r="U337" i="23"/>
  <c r="V337" i="23" s="1"/>
  <c r="AC337" i="23"/>
  <c r="AL337" i="23"/>
  <c r="AM337" i="23"/>
  <c r="AP337" i="23"/>
  <c r="AQ337" i="23"/>
  <c r="AM338" i="23" s="1"/>
  <c r="AR337" i="23"/>
  <c r="B338" i="23"/>
  <c r="M338" i="23"/>
  <c r="P338" i="23"/>
  <c r="Q338" i="23"/>
  <c r="R338" i="23" s="1"/>
  <c r="T338" i="23"/>
  <c r="U338" i="23"/>
  <c r="V338" i="23" s="1"/>
  <c r="AC338" i="23"/>
  <c r="AP338" i="23"/>
  <c r="AQ338" i="23"/>
  <c r="AM339" i="23" s="1"/>
  <c r="AR338" i="23"/>
  <c r="B339" i="23"/>
  <c r="M339" i="23"/>
  <c r="P339" i="23"/>
  <c r="Q339" i="23"/>
  <c r="R339" i="23" s="1"/>
  <c r="T339" i="23"/>
  <c r="AO339" i="23" s="1"/>
  <c r="U339" i="23"/>
  <c r="V339" i="23" s="1"/>
  <c r="AN339" i="23" s="1"/>
  <c r="AC339" i="23"/>
  <c r="AP339" i="23"/>
  <c r="AQ339" i="23"/>
  <c r="AM340" i="23" s="1"/>
  <c r="AR339" i="23"/>
  <c r="B340" i="23"/>
  <c r="B340" i="24" s="1"/>
  <c r="M340" i="23"/>
  <c r="P340" i="23"/>
  <c r="Q340" i="23"/>
  <c r="R340" i="23" s="1"/>
  <c r="T340" i="23"/>
  <c r="U340" i="23"/>
  <c r="V340" i="23" s="1"/>
  <c r="AC340" i="23"/>
  <c r="AP340" i="23"/>
  <c r="AQ340" i="23"/>
  <c r="AM341" i="23" s="1"/>
  <c r="AR340" i="23"/>
  <c r="B341" i="23"/>
  <c r="AT341" i="23" s="1"/>
  <c r="D341" i="23"/>
  <c r="C341" i="24" s="1"/>
  <c r="M341" i="23"/>
  <c r="P341" i="23"/>
  <c r="Q341" i="23"/>
  <c r="R341" i="23" s="1"/>
  <c r="T341" i="23"/>
  <c r="U341" i="23"/>
  <c r="V341" i="23" s="1"/>
  <c r="AC341" i="23"/>
  <c r="AD341" i="23"/>
  <c r="AP341" i="23"/>
  <c r="AQ341" i="23"/>
  <c r="AM342" i="23" s="1"/>
  <c r="AR341" i="23"/>
  <c r="B342" i="23"/>
  <c r="AU342" i="23" s="1"/>
  <c r="C342" i="23"/>
  <c r="AF342" i="23" s="1"/>
  <c r="AH342" i="23" s="1"/>
  <c r="D342" i="23"/>
  <c r="C342" i="24" s="1"/>
  <c r="M342" i="23"/>
  <c r="P342" i="23"/>
  <c r="Q342" i="23"/>
  <c r="R342" i="23"/>
  <c r="T342" i="23"/>
  <c r="U342" i="23"/>
  <c r="V342" i="23" s="1"/>
  <c r="AC342" i="23"/>
  <c r="AP342" i="23"/>
  <c r="AQ342" i="23"/>
  <c r="AM343" i="23" s="1"/>
  <c r="AR342" i="23"/>
  <c r="B343" i="23"/>
  <c r="M343" i="23"/>
  <c r="P343" i="23"/>
  <c r="Q343" i="23"/>
  <c r="R343" i="23" s="1"/>
  <c r="T343" i="23"/>
  <c r="U343" i="23"/>
  <c r="V343" i="23" s="1"/>
  <c r="AC343" i="23"/>
  <c r="AP343" i="23"/>
  <c r="AQ343" i="23"/>
  <c r="AM344" i="23" s="1"/>
  <c r="AR343" i="23"/>
  <c r="B344" i="23"/>
  <c r="D344" i="23"/>
  <c r="C344" i="24" s="1"/>
  <c r="M344" i="23"/>
  <c r="P344" i="23"/>
  <c r="Q344" i="23"/>
  <c r="R344" i="23" s="1"/>
  <c r="T344" i="23"/>
  <c r="U344" i="23"/>
  <c r="V344" i="23" s="1"/>
  <c r="AC344" i="23"/>
  <c r="AP344" i="23"/>
  <c r="AQ344" i="23"/>
  <c r="AM345" i="23" s="1"/>
  <c r="AR344" i="23"/>
  <c r="B345" i="23"/>
  <c r="B345" i="24" s="1"/>
  <c r="M345" i="23"/>
  <c r="P345" i="23"/>
  <c r="Q345" i="23"/>
  <c r="R345" i="23" s="1"/>
  <c r="T345" i="23"/>
  <c r="U345" i="23"/>
  <c r="V345" i="23" s="1"/>
  <c r="AC345" i="23"/>
  <c r="AP345" i="23"/>
  <c r="AQ345" i="23"/>
  <c r="AR345" i="23"/>
  <c r="B346" i="23"/>
  <c r="M346" i="23"/>
  <c r="P346" i="23"/>
  <c r="Q346" i="23"/>
  <c r="R346" i="23" s="1"/>
  <c r="T346" i="23"/>
  <c r="U346" i="23"/>
  <c r="V346" i="23" s="1"/>
  <c r="AC346" i="23"/>
  <c r="AM346" i="23"/>
  <c r="AP346" i="23"/>
  <c r="AQ346" i="23"/>
  <c r="AM347" i="23" s="1"/>
  <c r="AR346" i="23"/>
  <c r="B347" i="23"/>
  <c r="AT347" i="23" s="1"/>
  <c r="D347" i="23"/>
  <c r="C347" i="24" s="1"/>
  <c r="M347" i="23"/>
  <c r="P347" i="23"/>
  <c r="Q347" i="23"/>
  <c r="R347" i="23" s="1"/>
  <c r="T347" i="23"/>
  <c r="U347" i="23"/>
  <c r="V347" i="23"/>
  <c r="AC347" i="23"/>
  <c r="AL347" i="23"/>
  <c r="AP347" i="23"/>
  <c r="AQ347" i="23"/>
  <c r="AM348" i="23" s="1"/>
  <c r="AR347" i="23"/>
  <c r="B348" i="23"/>
  <c r="D348" i="23" s="1"/>
  <c r="C348" i="24" s="1"/>
  <c r="M348" i="23"/>
  <c r="P348" i="23"/>
  <c r="Q348" i="23"/>
  <c r="R348" i="23" s="1"/>
  <c r="T348" i="23"/>
  <c r="U348" i="23"/>
  <c r="V348" i="23" s="1"/>
  <c r="AC348" i="23"/>
  <c r="AP348" i="23"/>
  <c r="AQ348" i="23"/>
  <c r="AM349" i="23" s="1"/>
  <c r="AR348" i="23"/>
  <c r="B349" i="23"/>
  <c r="M349" i="23"/>
  <c r="P349" i="23"/>
  <c r="Q349" i="23"/>
  <c r="R349" i="23" s="1"/>
  <c r="T349" i="23"/>
  <c r="U349" i="23"/>
  <c r="V349" i="23"/>
  <c r="AC349" i="23"/>
  <c r="AP349" i="23"/>
  <c r="AQ349" i="23"/>
  <c r="AM350" i="23" s="1"/>
  <c r="AR349" i="23"/>
  <c r="B350" i="23"/>
  <c r="B350" i="24" s="1"/>
  <c r="M350" i="23"/>
  <c r="P350" i="23"/>
  <c r="Q350" i="23"/>
  <c r="R350" i="23" s="1"/>
  <c r="T350" i="23"/>
  <c r="U350" i="23"/>
  <c r="V350" i="23" s="1"/>
  <c r="AC350" i="23"/>
  <c r="AP350" i="23"/>
  <c r="AQ350" i="23"/>
  <c r="AM351" i="23" s="1"/>
  <c r="AR350" i="23"/>
  <c r="B351" i="23"/>
  <c r="C351" i="23"/>
  <c r="F351" i="23"/>
  <c r="H351" i="23" s="1"/>
  <c r="M351" i="23"/>
  <c r="P351" i="23"/>
  <c r="Q351" i="23"/>
  <c r="R351" i="23" s="1"/>
  <c r="T351" i="23"/>
  <c r="U351" i="23"/>
  <c r="V351" i="23" s="1"/>
  <c r="AC351" i="23"/>
  <c r="AP351" i="23"/>
  <c r="AQ351" i="23"/>
  <c r="AM352" i="23" s="1"/>
  <c r="AR351" i="23"/>
  <c r="AT351" i="23"/>
  <c r="B352" i="23"/>
  <c r="C352" i="23" s="1"/>
  <c r="W352" i="23" s="1"/>
  <c r="D352" i="23"/>
  <c r="C352" i="24" s="1"/>
  <c r="M352" i="23"/>
  <c r="P352" i="23"/>
  <c r="Q352" i="23"/>
  <c r="R352" i="23"/>
  <c r="T352" i="23"/>
  <c r="U352" i="23"/>
  <c r="V352" i="23" s="1"/>
  <c r="AC352" i="23"/>
  <c r="AP352" i="23"/>
  <c r="AQ352" i="23"/>
  <c r="AM353" i="23" s="1"/>
  <c r="AR352" i="23"/>
  <c r="B353" i="23"/>
  <c r="C353" i="23" s="1"/>
  <c r="D353" i="23"/>
  <c r="C353" i="24" s="1"/>
  <c r="M353" i="23"/>
  <c r="P353" i="23"/>
  <c r="Q353" i="23"/>
  <c r="R353" i="23" s="1"/>
  <c r="T353" i="23"/>
  <c r="U353" i="23"/>
  <c r="V353" i="23" s="1"/>
  <c r="AC353" i="23"/>
  <c r="AP353" i="23"/>
  <c r="AQ353" i="23"/>
  <c r="AM354" i="23" s="1"/>
  <c r="AR353" i="23"/>
  <c r="B354" i="23"/>
  <c r="AD354" i="23" s="1"/>
  <c r="M354" i="23"/>
  <c r="P354" i="23"/>
  <c r="Q354" i="23"/>
  <c r="R354" i="23" s="1"/>
  <c r="T354" i="23"/>
  <c r="U354" i="23"/>
  <c r="V354" i="23" s="1"/>
  <c r="AC354" i="23"/>
  <c r="AP354" i="23"/>
  <c r="AQ354" i="23"/>
  <c r="AM355" i="23" s="1"/>
  <c r="AR354" i="23"/>
  <c r="B355" i="23"/>
  <c r="B355" i="24" s="1"/>
  <c r="M355" i="23"/>
  <c r="P355" i="23"/>
  <c r="AO355" i="23" s="1"/>
  <c r="Q355" i="23"/>
  <c r="R355" i="23"/>
  <c r="T355" i="23"/>
  <c r="U355" i="23"/>
  <c r="V355" i="23" s="1"/>
  <c r="AC355" i="23"/>
  <c r="AP355" i="23"/>
  <c r="AQ355" i="23"/>
  <c r="AM356" i="23" s="1"/>
  <c r="AR355" i="23"/>
  <c r="B356" i="23"/>
  <c r="D356" i="23" s="1"/>
  <c r="C356" i="24" s="1"/>
  <c r="C356" i="23"/>
  <c r="M356" i="23"/>
  <c r="P356" i="23"/>
  <c r="Q356" i="23"/>
  <c r="R356" i="23"/>
  <c r="T356" i="23"/>
  <c r="U356" i="23"/>
  <c r="V356" i="23" s="1"/>
  <c r="W356" i="23"/>
  <c r="AC356" i="23"/>
  <c r="AP356" i="23"/>
  <c r="AQ356" i="23"/>
  <c r="AM357" i="23" s="1"/>
  <c r="AR356" i="23"/>
  <c r="B357" i="23"/>
  <c r="D357" i="23"/>
  <c r="C357" i="24" s="1"/>
  <c r="M357" i="23"/>
  <c r="P357" i="23"/>
  <c r="Q357" i="23"/>
  <c r="R357" i="23" s="1"/>
  <c r="T357" i="23"/>
  <c r="U357" i="23"/>
  <c r="V357" i="23"/>
  <c r="AC357" i="23"/>
  <c r="AP357" i="23"/>
  <c r="AQ357" i="23"/>
  <c r="AM358" i="23" s="1"/>
  <c r="AR357" i="23"/>
  <c r="B358" i="23"/>
  <c r="C358" i="23" s="1"/>
  <c r="AF358" i="23" s="1"/>
  <c r="AH358" i="23" s="1"/>
  <c r="M358" i="23"/>
  <c r="P358" i="23"/>
  <c r="Q358" i="23"/>
  <c r="R358" i="23" s="1"/>
  <c r="T358" i="23"/>
  <c r="U358" i="23"/>
  <c r="V358" i="23" s="1"/>
  <c r="AC358" i="23"/>
  <c r="AO358" i="23"/>
  <c r="AP358" i="23"/>
  <c r="AQ358" i="23"/>
  <c r="AR358" i="23"/>
  <c r="B359" i="23"/>
  <c r="B359" i="24" s="1"/>
  <c r="M359" i="23"/>
  <c r="P359" i="23"/>
  <c r="Q359" i="23"/>
  <c r="R359" i="23" s="1"/>
  <c r="T359" i="23"/>
  <c r="U359" i="23"/>
  <c r="V359" i="23" s="1"/>
  <c r="AC359" i="23"/>
  <c r="AM359" i="23"/>
  <c r="AP359" i="23"/>
  <c r="AQ359" i="23"/>
  <c r="AM360" i="23" s="1"/>
  <c r="AR359" i="23"/>
  <c r="B360" i="23"/>
  <c r="AL360" i="23" s="1"/>
  <c r="M360" i="23"/>
  <c r="P360" i="23"/>
  <c r="Q360" i="23"/>
  <c r="R360" i="23"/>
  <c r="T360" i="23"/>
  <c r="U360" i="23"/>
  <c r="V360" i="23" s="1"/>
  <c r="AC360" i="23"/>
  <c r="AP360" i="23"/>
  <c r="AQ360" i="23"/>
  <c r="AM361" i="23" s="1"/>
  <c r="AR360" i="23"/>
  <c r="B361" i="23"/>
  <c r="W361" i="23" s="1"/>
  <c r="C361" i="23"/>
  <c r="AF361" i="23" s="1"/>
  <c r="M361" i="23"/>
  <c r="P361" i="23"/>
  <c r="Q361" i="23"/>
  <c r="R361" i="23"/>
  <c r="T361" i="23"/>
  <c r="U361" i="23"/>
  <c r="V361" i="23" s="1"/>
  <c r="AC361" i="23"/>
  <c r="AP361" i="23"/>
  <c r="AQ361" i="23"/>
  <c r="AM362" i="23" s="1"/>
  <c r="AR361" i="23"/>
  <c r="CD2" i="24"/>
  <c r="CA2" i="24"/>
  <c r="BX2" i="24"/>
  <c r="BK2" i="23"/>
  <c r="B299" i="24" l="1"/>
  <c r="BL299" i="24" s="1"/>
  <c r="C299" i="23"/>
  <c r="W299" i="23" s="1"/>
  <c r="AL299" i="23"/>
  <c r="D299" i="23"/>
  <c r="C299" i="24" s="1"/>
  <c r="O299" i="23"/>
  <c r="AT299" i="23"/>
  <c r="AU356" i="23"/>
  <c r="B315" i="24"/>
  <c r="O315" i="23"/>
  <c r="D315" i="23"/>
  <c r="C315" i="24" s="1"/>
  <c r="C304" i="23"/>
  <c r="B297" i="24"/>
  <c r="D297" i="23"/>
  <c r="C297" i="24" s="1"/>
  <c r="B261" i="24"/>
  <c r="AD261" i="23"/>
  <c r="C346" i="23"/>
  <c r="X346" i="23" s="1"/>
  <c r="AL346" i="23"/>
  <c r="AL357" i="23"/>
  <c r="C357" i="23"/>
  <c r="AF357" i="23" s="1"/>
  <c r="AH357" i="23" s="1"/>
  <c r="AT356" i="23"/>
  <c r="AU346" i="23"/>
  <c r="O318" i="23"/>
  <c r="F361" i="23"/>
  <c r="AD361" i="23"/>
  <c r="AN355" i="23"/>
  <c r="J351" i="23"/>
  <c r="AO350" i="23"/>
  <c r="AT346" i="23"/>
  <c r="C324" i="23"/>
  <c r="AF324" i="23" s="1"/>
  <c r="AH324" i="23" s="1"/>
  <c r="D324" i="23"/>
  <c r="C324" i="24" s="1"/>
  <c r="AL324" i="23"/>
  <c r="F309" i="23"/>
  <c r="AD299" i="23"/>
  <c r="AL293" i="23"/>
  <c r="D293" i="23"/>
  <c r="C293" i="24" s="1"/>
  <c r="AT293" i="23"/>
  <c r="AU293" i="23"/>
  <c r="AD293" i="23"/>
  <c r="AU361" i="23"/>
  <c r="F318" i="23"/>
  <c r="AN287" i="23"/>
  <c r="AD270" i="23"/>
  <c r="D270" i="23"/>
  <c r="C270" i="24" s="1"/>
  <c r="AL261" i="23"/>
  <c r="AF353" i="23"/>
  <c r="W353" i="23"/>
  <c r="F358" i="23"/>
  <c r="AO354" i="23"/>
  <c r="B337" i="24"/>
  <c r="AD337" i="23"/>
  <c r="AD309" i="23"/>
  <c r="AT309" i="23"/>
  <c r="AU309" i="23"/>
  <c r="D309" i="23"/>
  <c r="C309" i="24" s="1"/>
  <c r="B281" i="24"/>
  <c r="AU281" i="23"/>
  <c r="AN360" i="23"/>
  <c r="F356" i="23"/>
  <c r="O361" i="23"/>
  <c r="AU357" i="23"/>
  <c r="AF351" i="23"/>
  <c r="X351" i="23"/>
  <c r="D346" i="23"/>
  <c r="C346" i="24" s="1"/>
  <c r="B323" i="24"/>
  <c r="AU323" i="23"/>
  <c r="AL309" i="23"/>
  <c r="AL361" i="23"/>
  <c r="D361" i="23"/>
  <c r="C361" i="24" s="1"/>
  <c r="B356" i="24"/>
  <c r="AO356" i="24" s="1"/>
  <c r="AD356" i="23"/>
  <c r="O356" i="23"/>
  <c r="AL356" i="23"/>
  <c r="X356" i="23"/>
  <c r="AD346" i="23"/>
  <c r="AO314" i="23"/>
  <c r="AL300" i="23"/>
  <c r="AT300" i="23"/>
  <c r="AF268" i="23"/>
  <c r="O268" i="23"/>
  <c r="S268" i="23"/>
  <c r="D305" i="23"/>
  <c r="C305" i="24" s="1"/>
  <c r="AT305" i="23"/>
  <c r="AU305" i="23"/>
  <c r="AU299" i="23"/>
  <c r="B266" i="24"/>
  <c r="AD266" i="23"/>
  <c r="F259" i="23"/>
  <c r="D247" i="23"/>
  <c r="C247" i="24" s="1"/>
  <c r="AO360" i="23"/>
  <c r="AO294" i="23"/>
  <c r="AD278" i="23"/>
  <c r="D259" i="23"/>
  <c r="C259" i="24" s="1"/>
  <c r="AO248" i="23"/>
  <c r="C247" i="23"/>
  <c r="AU240" i="23"/>
  <c r="C237" i="23"/>
  <c r="X237" i="23" s="1"/>
  <c r="C235" i="23"/>
  <c r="AF235" i="23" s="1"/>
  <c r="AD229" i="23"/>
  <c r="AO209" i="23"/>
  <c r="AO199" i="23"/>
  <c r="AO226" i="23"/>
  <c r="W214" i="23"/>
  <c r="AL196" i="23"/>
  <c r="D196" i="23"/>
  <c r="C196" i="24" s="1"/>
  <c r="D362" i="23"/>
  <c r="C362" i="24" s="1"/>
  <c r="AO289" i="23"/>
  <c r="C278" i="23"/>
  <c r="AT260" i="23"/>
  <c r="C252" i="23"/>
  <c r="AF252" i="23" s="1"/>
  <c r="AT249" i="23"/>
  <c r="AD247" i="23"/>
  <c r="AT246" i="23"/>
  <c r="AU236" i="23"/>
  <c r="S236" i="23"/>
  <c r="AN230" i="23"/>
  <c r="C228" i="23"/>
  <c r="AF228" i="23" s="1"/>
  <c r="AN214" i="23"/>
  <c r="C196" i="23"/>
  <c r="F196" i="23" s="1"/>
  <c r="AO264" i="23"/>
  <c r="AO257" i="23"/>
  <c r="D240" i="23"/>
  <c r="C240" i="24" s="1"/>
  <c r="AT264" i="23"/>
  <c r="D260" i="23"/>
  <c r="C260" i="24" s="1"/>
  <c r="AL362" i="23"/>
  <c r="S237" i="23"/>
  <c r="O236" i="23"/>
  <c r="D359" i="23"/>
  <c r="C359" i="24" s="1"/>
  <c r="AN341" i="23"/>
  <c r="AO334" i="23"/>
  <c r="AO329" i="23"/>
  <c r="AN309" i="23"/>
  <c r="AO272" i="23"/>
  <c r="AD265" i="23"/>
  <c r="AT259" i="23"/>
  <c r="O250" i="23"/>
  <c r="AU247" i="23"/>
  <c r="D245" i="23"/>
  <c r="C245" i="24" s="1"/>
  <c r="AO243" i="23"/>
  <c r="AO223" i="23"/>
  <c r="AO208" i="23"/>
  <c r="AU196" i="23"/>
  <c r="C359" i="23"/>
  <c r="AF359" i="23" s="1"/>
  <c r="AH359" i="23" s="1"/>
  <c r="AN344" i="23"/>
  <c r="AN334" i="23"/>
  <c r="AO315" i="23"/>
  <c r="AU313" i="23"/>
  <c r="AL291" i="23"/>
  <c r="AO275" i="23"/>
  <c r="AL249" i="23"/>
  <c r="AO247" i="23"/>
  <c r="W240" i="23"/>
  <c r="AL236" i="23"/>
  <c r="D236" i="23"/>
  <c r="C236" i="24" s="1"/>
  <c r="D229" i="23"/>
  <c r="C229" i="24" s="1"/>
  <c r="AO221" i="23"/>
  <c r="AO220" i="23"/>
  <c r="D214" i="23"/>
  <c r="C214" i="24" s="1"/>
  <c r="D203" i="23"/>
  <c r="C203" i="24" s="1"/>
  <c r="AD199" i="23"/>
  <c r="AT196" i="23"/>
  <c r="AO196" i="23"/>
  <c r="N9" i="20"/>
  <c r="P9" i="20" s="1"/>
  <c r="AO345" i="23"/>
  <c r="AO331" i="23"/>
  <c r="D329" i="23"/>
  <c r="C329" i="24" s="1"/>
  <c r="AT319" i="23"/>
  <c r="AT313" i="23"/>
  <c r="AO298" i="23"/>
  <c r="AO297" i="23"/>
  <c r="D243" i="23"/>
  <c r="C243" i="24" s="1"/>
  <c r="AT237" i="23"/>
  <c r="AO237" i="23"/>
  <c r="AD236" i="23"/>
  <c r="AN210" i="23"/>
  <c r="C203" i="23"/>
  <c r="AF203" i="23" s="1"/>
  <c r="AD198" i="23"/>
  <c r="AN282" i="23"/>
  <c r="AO277" i="23"/>
  <c r="AO269" i="23"/>
  <c r="AO250" i="23"/>
  <c r="AO197" i="23"/>
  <c r="AO349" i="23"/>
  <c r="AN294" i="23"/>
  <c r="AO273" i="23"/>
  <c r="AO251" i="23"/>
  <c r="AO338" i="23"/>
  <c r="AO322" i="23"/>
  <c r="AO313" i="23"/>
  <c r="AO279" i="23"/>
  <c r="AO202" i="23"/>
  <c r="AO271" i="23"/>
  <c r="AN267" i="23"/>
  <c r="AO219" i="23"/>
  <c r="AN201" i="23"/>
  <c r="AN263" i="23"/>
  <c r="AN337" i="23"/>
  <c r="AO274" i="23"/>
  <c r="AO262" i="23"/>
  <c r="AN255" i="23"/>
  <c r="AN254" i="23"/>
  <c r="AN217" i="23"/>
  <c r="AN351" i="23"/>
  <c r="AO337" i="23"/>
  <c r="AN327" i="23"/>
  <c r="AO255" i="23"/>
  <c r="AN250" i="23"/>
  <c r="AO235" i="23"/>
  <c r="AO217" i="23"/>
  <c r="AO362" i="23"/>
  <c r="AN322" i="23"/>
  <c r="AO321" i="23"/>
  <c r="AN350" i="23"/>
  <c r="AO320" i="23"/>
  <c r="AO246" i="23"/>
  <c r="AO198" i="23"/>
  <c r="AO344" i="23"/>
  <c r="AN336" i="23"/>
  <c r="AO335" i="23"/>
  <c r="AN304" i="23"/>
  <c r="AO301" i="23"/>
  <c r="AN275" i="23"/>
  <c r="AO244" i="23"/>
  <c r="AN207" i="23"/>
  <c r="AN195" i="23"/>
  <c r="AN346" i="23"/>
  <c r="AO312" i="23"/>
  <c r="AO254" i="23"/>
  <c r="AN215" i="23"/>
  <c r="AO211" i="23"/>
  <c r="AO207" i="23"/>
  <c r="AO203" i="23"/>
  <c r="AO357" i="23"/>
  <c r="AO353" i="23"/>
  <c r="AN347" i="23"/>
  <c r="AO340" i="23"/>
  <c r="AO336" i="23"/>
  <c r="AO330" i="23"/>
  <c r="AO307" i="23"/>
  <c r="AO304" i="23"/>
  <c r="AO260" i="23"/>
  <c r="AO245" i="23"/>
  <c r="AO238" i="23"/>
  <c r="AO215" i="23"/>
  <c r="AF319" i="23"/>
  <c r="AH319" i="23" s="1"/>
  <c r="S319" i="23"/>
  <c r="H325" i="24"/>
  <c r="G325" i="24"/>
  <c r="AE325" i="24"/>
  <c r="BB325" i="24"/>
  <c r="AY325" i="24"/>
  <c r="AZ325" i="24" s="1"/>
  <c r="BC325" i="24" s="1"/>
  <c r="BA325" i="24"/>
  <c r="E325" i="24"/>
  <c r="F325" i="24" s="1"/>
  <c r="AB325" i="24"/>
  <c r="AC325" i="24" s="1"/>
  <c r="AD325" i="24"/>
  <c r="G325" i="23"/>
  <c r="AO355" i="24"/>
  <c r="R355" i="24"/>
  <c r="K351" i="23"/>
  <c r="E351" i="24"/>
  <c r="BA351" i="24"/>
  <c r="F351" i="24"/>
  <c r="BB351" i="24"/>
  <c r="AE351" i="24"/>
  <c r="AY351" i="24"/>
  <c r="AZ351" i="24" s="1"/>
  <c r="BC351" i="24" s="1"/>
  <c r="BE351" i="24" s="1"/>
  <c r="G351" i="24"/>
  <c r="H351" i="24"/>
  <c r="G351" i="23"/>
  <c r="I351" i="23"/>
  <c r="AB351" i="24"/>
  <c r="AC351" i="24"/>
  <c r="AD351" i="24"/>
  <c r="X342" i="23"/>
  <c r="K356" i="23"/>
  <c r="E356" i="24"/>
  <c r="F356" i="24" s="1"/>
  <c r="BA356" i="24"/>
  <c r="G356" i="24"/>
  <c r="BB356" i="24"/>
  <c r="AY356" i="24"/>
  <c r="AZ356" i="24" s="1"/>
  <c r="BC356" i="24" s="1"/>
  <c r="BE356" i="24" s="1"/>
  <c r="AE356" i="24"/>
  <c r="AD356" i="24"/>
  <c r="AB356" i="24"/>
  <c r="AC356" i="24"/>
  <c r="H356" i="24"/>
  <c r="AO352" i="23"/>
  <c r="AL340" i="23"/>
  <c r="B351" i="24"/>
  <c r="AO351" i="24" s="1"/>
  <c r="AD351" i="23"/>
  <c r="W351" i="23"/>
  <c r="D351" i="23"/>
  <c r="C351" i="24" s="1"/>
  <c r="AU351" i="23"/>
  <c r="S351" i="23"/>
  <c r="AD347" i="23"/>
  <c r="B347" i="24"/>
  <c r="C347" i="23"/>
  <c r="AU347" i="23"/>
  <c r="AO346" i="23"/>
  <c r="D336" i="23"/>
  <c r="C336" i="24" s="1"/>
  <c r="B336" i="24"/>
  <c r="C336" i="23"/>
  <c r="F336" i="23" s="1"/>
  <c r="AN329" i="23"/>
  <c r="AN348" i="23"/>
  <c r="AN345" i="23"/>
  <c r="B343" i="24"/>
  <c r="R343" i="24" s="1"/>
  <c r="AT343" i="23"/>
  <c r="AN340" i="23"/>
  <c r="AN333" i="23"/>
  <c r="AN330" i="23"/>
  <c r="AO329" i="24"/>
  <c r="BL329" i="24"/>
  <c r="R329" i="24"/>
  <c r="O324" i="23"/>
  <c r="R317" i="24"/>
  <c r="BL317" i="24"/>
  <c r="AO317" i="24"/>
  <c r="AF315" i="23"/>
  <c r="F315" i="23"/>
  <c r="B312" i="24"/>
  <c r="C312" i="23"/>
  <c r="AU312" i="23"/>
  <c r="AN307" i="23"/>
  <c r="B294" i="24"/>
  <c r="AD294" i="23"/>
  <c r="AL294" i="23"/>
  <c r="D294" i="23"/>
  <c r="C294" i="24" s="1"/>
  <c r="AN279" i="23"/>
  <c r="B253" i="24"/>
  <c r="AD253" i="23"/>
  <c r="D253" i="23"/>
  <c r="C253" i="24" s="1"/>
  <c r="AU253" i="23"/>
  <c r="C320" i="23"/>
  <c r="AF320" i="23" s="1"/>
  <c r="AH320" i="23" s="1"/>
  <c r="X320" i="23"/>
  <c r="B320" i="24"/>
  <c r="E314" i="24"/>
  <c r="F314" i="24" s="1"/>
  <c r="BA314" i="24"/>
  <c r="G314" i="24"/>
  <c r="BB314" i="24"/>
  <c r="AE314" i="24"/>
  <c r="AY314" i="24"/>
  <c r="AZ314" i="24" s="1"/>
  <c r="AB314" i="24"/>
  <c r="AC314" i="24" s="1"/>
  <c r="AD314" i="24"/>
  <c r="H314" i="24"/>
  <c r="H314" i="23"/>
  <c r="I314" i="23" s="1"/>
  <c r="B331" i="24"/>
  <c r="BL331" i="24" s="1"/>
  <c r="AT331" i="23"/>
  <c r="R322" i="24"/>
  <c r="BL322" i="24"/>
  <c r="AO322" i="24"/>
  <c r="B311" i="24"/>
  <c r="C311" i="23"/>
  <c r="AF311" i="23" s="1"/>
  <c r="AH311" i="23" s="1"/>
  <c r="B256" i="24"/>
  <c r="BL256" i="24" s="1"/>
  <c r="AL256" i="23"/>
  <c r="D256" i="23"/>
  <c r="C256" i="24" s="1"/>
  <c r="AF247" i="23"/>
  <c r="O247" i="23"/>
  <c r="W230" i="23"/>
  <c r="AF230" i="23"/>
  <c r="W346" i="23"/>
  <c r="AF325" i="23"/>
  <c r="S325" i="23"/>
  <c r="B316" i="24"/>
  <c r="AD316" i="23"/>
  <c r="D316" i="23"/>
  <c r="C316" i="24" s="1"/>
  <c r="B284" i="24"/>
  <c r="R284" i="24" s="1"/>
  <c r="F284" i="23"/>
  <c r="AL284" i="23"/>
  <c r="B280" i="24"/>
  <c r="AO280" i="24" s="1"/>
  <c r="AT280" i="23"/>
  <c r="B277" i="24"/>
  <c r="R277" i="24" s="1"/>
  <c r="C272" i="23"/>
  <c r="F272" i="23" s="1"/>
  <c r="B272" i="24"/>
  <c r="R272" i="24" s="1"/>
  <c r="AL272" i="23"/>
  <c r="AD272" i="23"/>
  <c r="C267" i="23"/>
  <c r="F267" i="23" s="1"/>
  <c r="B267" i="24"/>
  <c r="R267" i="24" s="1"/>
  <c r="AT267" i="23"/>
  <c r="AU267" i="23"/>
  <c r="AL267" i="23"/>
  <c r="AD267" i="23"/>
  <c r="BL263" i="24"/>
  <c r="AO263" i="24"/>
  <c r="R263" i="24"/>
  <c r="AF346" i="23"/>
  <c r="O346" i="23"/>
  <c r="B358" i="24"/>
  <c r="X358" i="23"/>
  <c r="D358" i="23"/>
  <c r="C358" i="24" s="1"/>
  <c r="W358" i="23"/>
  <c r="AO319" i="23"/>
  <c r="X314" i="23"/>
  <c r="S314" i="23"/>
  <c r="W310" i="23"/>
  <c r="S310" i="23"/>
  <c r="F310" i="23"/>
  <c r="AB309" i="24"/>
  <c r="BA309" i="24"/>
  <c r="E309" i="24"/>
  <c r="F309" i="24" s="1"/>
  <c r="AC309" i="24"/>
  <c r="AF309" i="24" s="1"/>
  <c r="BB309" i="24"/>
  <c r="G309" i="24"/>
  <c r="AD309" i="24"/>
  <c r="AE309" i="24"/>
  <c r="AY309" i="24"/>
  <c r="AZ309" i="24" s="1"/>
  <c r="H309" i="24"/>
  <c r="C307" i="23"/>
  <c r="AF307" i="23" s="1"/>
  <c r="AH307" i="23" s="1"/>
  <c r="B307" i="24"/>
  <c r="D307" i="23"/>
  <c r="C307" i="24" s="1"/>
  <c r="S307" i="23"/>
  <c r="B303" i="24"/>
  <c r="O303" i="23"/>
  <c r="AD303" i="23"/>
  <c r="C301" i="23"/>
  <c r="AF301" i="23" s="1"/>
  <c r="AH301" i="23" s="1"/>
  <c r="B301" i="24"/>
  <c r="D301" i="23"/>
  <c r="C301" i="24" s="1"/>
  <c r="B295" i="24"/>
  <c r="AL295" i="23"/>
  <c r="AB288" i="24"/>
  <c r="AC288" i="24" s="1"/>
  <c r="E288" i="24"/>
  <c r="F288" i="24" s="1"/>
  <c r="BA288" i="24"/>
  <c r="G288" i="24"/>
  <c r="AD288" i="24"/>
  <c r="BB288" i="24"/>
  <c r="H288" i="24"/>
  <c r="AE288" i="24"/>
  <c r="AY288" i="24"/>
  <c r="AZ288" i="24" s="1"/>
  <c r="X284" i="23"/>
  <c r="AD251" i="23"/>
  <c r="B251" i="24"/>
  <c r="D251" i="23"/>
  <c r="C251" i="24" s="1"/>
  <c r="AL251" i="23"/>
  <c r="AU251" i="23"/>
  <c r="G240" i="23"/>
  <c r="H240" i="24"/>
  <c r="G240" i="24"/>
  <c r="BB240" i="24"/>
  <c r="AY240" i="24"/>
  <c r="AZ240" i="24" s="1"/>
  <c r="BA240" i="24"/>
  <c r="AB240" i="24"/>
  <c r="AC240" i="24" s="1"/>
  <c r="AD240" i="24"/>
  <c r="AE240" i="24"/>
  <c r="K240" i="23"/>
  <c r="E240" i="24"/>
  <c r="F240" i="24" s="1"/>
  <c r="I240" i="24" s="1"/>
  <c r="K240" i="24" s="1"/>
  <c r="J240" i="23"/>
  <c r="H240" i="23"/>
  <c r="I240" i="23" s="1"/>
  <c r="AN238" i="23"/>
  <c r="AN354" i="23"/>
  <c r="AF245" i="23"/>
  <c r="AH245" i="23" s="1"/>
  <c r="W245" i="23"/>
  <c r="O245" i="23"/>
  <c r="E358" i="24"/>
  <c r="F358" i="24" s="1"/>
  <c r="I358" i="24" s="1"/>
  <c r="K358" i="24" s="1"/>
  <c r="AE358" i="24"/>
  <c r="G358" i="24"/>
  <c r="AD358" i="24"/>
  <c r="H358" i="24"/>
  <c r="AB358" i="24"/>
  <c r="AY358" i="24"/>
  <c r="AZ358" i="24" s="1"/>
  <c r="AC358" i="24"/>
  <c r="AF358" i="24" s="1"/>
  <c r="K358" i="23"/>
  <c r="BA358" i="24"/>
  <c r="BB358" i="24"/>
  <c r="B321" i="24"/>
  <c r="AO321" i="24" s="1"/>
  <c r="C321" i="23"/>
  <c r="AF321" i="23" s="1"/>
  <c r="C279" i="23"/>
  <c r="F279" i="23" s="1"/>
  <c r="B279" i="24"/>
  <c r="AL279" i="23"/>
  <c r="D279" i="23"/>
  <c r="C279" i="24" s="1"/>
  <c r="AN258" i="23"/>
  <c r="C233" i="23"/>
  <c r="AF233" i="23" s="1"/>
  <c r="B233" i="24"/>
  <c r="W233" i="23"/>
  <c r="K361" i="23"/>
  <c r="H361" i="24"/>
  <c r="BA361" i="24"/>
  <c r="AB361" i="24"/>
  <c r="BB361" i="24"/>
  <c r="AC361" i="24"/>
  <c r="AF361" i="24" s="1"/>
  <c r="G361" i="24"/>
  <c r="AY361" i="24"/>
  <c r="AZ361" i="24" s="1"/>
  <c r="BC361" i="24" s="1"/>
  <c r="E361" i="24"/>
  <c r="F361" i="24" s="1"/>
  <c r="I361" i="24" s="1"/>
  <c r="AD361" i="24"/>
  <c r="AE361" i="24"/>
  <c r="J361" i="23"/>
  <c r="AD342" i="23"/>
  <c r="F342" i="23"/>
  <c r="B342" i="24"/>
  <c r="AT342" i="23"/>
  <c r="O342" i="23"/>
  <c r="B348" i="24"/>
  <c r="R348" i="24" s="1"/>
  <c r="C348" i="23"/>
  <c r="W348" i="23" s="1"/>
  <c r="S346" i="23"/>
  <c r="AN318" i="23"/>
  <c r="AL334" i="23"/>
  <c r="B334" i="24"/>
  <c r="R334" i="24" s="1"/>
  <c r="AD328" i="23"/>
  <c r="AD318" i="24"/>
  <c r="AE318" i="24"/>
  <c r="H318" i="24"/>
  <c r="AB318" i="24"/>
  <c r="AC318" i="24" s="1"/>
  <c r="AY318" i="24"/>
  <c r="AZ318" i="24" s="1"/>
  <c r="BA318" i="24"/>
  <c r="E318" i="24"/>
  <c r="F318" i="24" s="1"/>
  <c r="I318" i="24" s="1"/>
  <c r="BB318" i="24"/>
  <c r="G318" i="24"/>
  <c r="AO359" i="24"/>
  <c r="R359" i="24"/>
  <c r="BL359" i="24"/>
  <c r="B339" i="24"/>
  <c r="D339" i="23"/>
  <c r="C339" i="24" s="1"/>
  <c r="C339" i="23"/>
  <c r="AF339" i="23" s="1"/>
  <c r="AT333" i="23"/>
  <c r="AT324" i="23"/>
  <c r="AD295" i="23"/>
  <c r="AN356" i="23"/>
  <c r="AF356" i="23"/>
  <c r="AH356" i="23" s="1"/>
  <c r="S356" i="23"/>
  <c r="F353" i="23"/>
  <c r="AD345" i="23"/>
  <c r="B344" i="24"/>
  <c r="C344" i="23"/>
  <c r="AF344" i="23" s="1"/>
  <c r="AU336" i="23"/>
  <c r="C335" i="23"/>
  <c r="AF335" i="23" s="1"/>
  <c r="B335" i="24"/>
  <c r="D332" i="23"/>
  <c r="C332" i="24" s="1"/>
  <c r="B306" i="24"/>
  <c r="AO306" i="24" s="1"/>
  <c r="C306" i="23"/>
  <c r="S306" i="23" s="1"/>
  <c r="AO305" i="23"/>
  <c r="C283" i="23"/>
  <c r="AF283" i="23" s="1"/>
  <c r="AH283" i="23" s="1"/>
  <c r="B283" i="24"/>
  <c r="AT283" i="23"/>
  <c r="D283" i="23"/>
  <c r="C283" i="24" s="1"/>
  <c r="AN281" i="23"/>
  <c r="S230" i="23"/>
  <c r="B327" i="24"/>
  <c r="D327" i="23"/>
  <c r="C327" i="24" s="1"/>
  <c r="AU327" i="23"/>
  <c r="AD327" i="23"/>
  <c r="AD340" i="23"/>
  <c r="AD333" i="23"/>
  <c r="B333" i="24"/>
  <c r="C333" i="23"/>
  <c r="AL333" i="23"/>
  <c r="O333" i="23"/>
  <c r="AU333" i="23"/>
  <c r="X310" i="23"/>
  <c r="AN335" i="23"/>
  <c r="AO308" i="23"/>
  <c r="AO282" i="23"/>
  <c r="B361" i="24"/>
  <c r="AT361" i="23"/>
  <c r="X361" i="23"/>
  <c r="AT358" i="23"/>
  <c r="AD357" i="23"/>
  <c r="AT357" i="23"/>
  <c r="B357" i="24"/>
  <c r="O357" i="23"/>
  <c r="X357" i="23"/>
  <c r="AL351" i="23"/>
  <c r="AN349" i="23"/>
  <c r="AO343" i="23"/>
  <c r="AT327" i="23"/>
  <c r="AO327" i="23"/>
  <c r="AO325" i="23"/>
  <c r="B319" i="24"/>
  <c r="F319" i="23"/>
  <c r="O319" i="23"/>
  <c r="AL319" i="23"/>
  <c r="AU319" i="23"/>
  <c r="AN312" i="23"/>
  <c r="X309" i="23"/>
  <c r="B308" i="24"/>
  <c r="AL308" i="23"/>
  <c r="S303" i="23"/>
  <c r="AO287" i="23"/>
  <c r="AU284" i="23"/>
  <c r="AD283" i="23"/>
  <c r="AN211" i="23"/>
  <c r="AO340" i="24"/>
  <c r="R340" i="24"/>
  <c r="BL340" i="24"/>
  <c r="AD331" i="23"/>
  <c r="F324" i="23"/>
  <c r="AU324" i="23"/>
  <c r="AD324" i="23"/>
  <c r="B324" i="24"/>
  <c r="W324" i="23"/>
  <c r="AO299" i="23"/>
  <c r="C290" i="23"/>
  <c r="B290" i="24"/>
  <c r="D290" i="23"/>
  <c r="C290" i="24" s="1"/>
  <c r="D354" i="23"/>
  <c r="C354" i="24" s="1"/>
  <c r="B354" i="24"/>
  <c r="C354" i="23"/>
  <c r="AF354" i="23" s="1"/>
  <c r="AO345" i="24"/>
  <c r="BL345" i="24"/>
  <c r="R345" i="24"/>
  <c r="AD334" i="23"/>
  <c r="D326" i="23"/>
  <c r="C326" i="24" s="1"/>
  <c r="B326" i="24"/>
  <c r="AO326" i="24" s="1"/>
  <c r="S361" i="23"/>
  <c r="AN361" i="23"/>
  <c r="AN359" i="23"/>
  <c r="AD352" i="23"/>
  <c r="B352" i="24"/>
  <c r="F352" i="23"/>
  <c r="AU352" i="23"/>
  <c r="O352" i="23"/>
  <c r="AL352" i="23"/>
  <c r="X352" i="23"/>
  <c r="AT352" i="23"/>
  <c r="AO342" i="23"/>
  <c r="O351" i="23"/>
  <c r="F346" i="23"/>
  <c r="AL342" i="23"/>
  <c r="AN342" i="23"/>
  <c r="C341" i="23"/>
  <c r="S341" i="23" s="1"/>
  <c r="AL341" i="23"/>
  <c r="B341" i="24"/>
  <c r="AU341" i="23"/>
  <c r="W339" i="23"/>
  <c r="C338" i="23"/>
  <c r="AF338" i="23" s="1"/>
  <c r="B338" i="24"/>
  <c r="R338" i="24" s="1"/>
  <c r="D338" i="23"/>
  <c r="C338" i="24" s="1"/>
  <c r="AL332" i="23"/>
  <c r="AU331" i="23"/>
  <c r="AF329" i="23"/>
  <c r="AH329" i="23" s="1"/>
  <c r="W329" i="23"/>
  <c r="AL326" i="23"/>
  <c r="AN320" i="23"/>
  <c r="X319" i="23"/>
  <c r="AL312" i="23"/>
  <c r="D312" i="23"/>
  <c r="C312" i="24" s="1"/>
  <c r="AO310" i="23"/>
  <c r="B304" i="24"/>
  <c r="AL304" i="23"/>
  <c r="AD304" i="23"/>
  <c r="AN302" i="23"/>
  <c r="AT284" i="23"/>
  <c r="C262" i="23"/>
  <c r="B262" i="24"/>
  <c r="AT262" i="23"/>
  <c r="AL262" i="23"/>
  <c r="D262" i="23"/>
  <c r="C262" i="24" s="1"/>
  <c r="C253" i="23"/>
  <c r="X253" i="23" s="1"/>
  <c r="BL297" i="24"/>
  <c r="R297" i="24"/>
  <c r="AO297" i="24"/>
  <c r="AO291" i="23"/>
  <c r="AF288" i="23"/>
  <c r="AN288" i="23"/>
  <c r="AO281" i="24"/>
  <c r="BL281" i="24"/>
  <c r="R281" i="24"/>
  <c r="B273" i="24"/>
  <c r="D273" i="23"/>
  <c r="C273" i="24" s="1"/>
  <c r="AL273" i="23"/>
  <c r="C273" i="23"/>
  <c r="O273" i="23" s="1"/>
  <c r="AN265" i="23"/>
  <c r="AN262" i="23"/>
  <c r="S359" i="23"/>
  <c r="AO348" i="23"/>
  <c r="AO341" i="23"/>
  <c r="AN328" i="23"/>
  <c r="AN326" i="23"/>
  <c r="AN317" i="23"/>
  <c r="AT314" i="23"/>
  <c r="AN313" i="23"/>
  <c r="BL313" i="24"/>
  <c r="AO313" i="24"/>
  <c r="R313" i="24"/>
  <c r="AD305" i="23"/>
  <c r="B305" i="24"/>
  <c r="AD300" i="23"/>
  <c r="B300" i="24"/>
  <c r="AO300" i="24" s="1"/>
  <c r="R296" i="24"/>
  <c r="BL296" i="24"/>
  <c r="AO296" i="24"/>
  <c r="AN291" i="23"/>
  <c r="B285" i="24"/>
  <c r="AO285" i="24" s="1"/>
  <c r="D285" i="23"/>
  <c r="C285" i="24" s="1"/>
  <c r="AN280" i="23"/>
  <c r="B264" i="24"/>
  <c r="D264" i="23"/>
  <c r="C264" i="24" s="1"/>
  <c r="C264" i="23"/>
  <c r="S264" i="23" s="1"/>
  <c r="AL264" i="23"/>
  <c r="AN256" i="23"/>
  <c r="AN240" i="23"/>
  <c r="B222" i="24"/>
  <c r="AU222" i="23"/>
  <c r="AL222" i="23"/>
  <c r="AD222" i="23"/>
  <c r="B206" i="24"/>
  <c r="R206" i="24" s="1"/>
  <c r="AL206" i="23"/>
  <c r="D206" i="23"/>
  <c r="C206" i="24" s="1"/>
  <c r="C206" i="23"/>
  <c r="O206" i="23" s="1"/>
  <c r="B204" i="24"/>
  <c r="AT204" i="23"/>
  <c r="AU204" i="23"/>
  <c r="C200" i="23"/>
  <c r="S200" i="23" s="1"/>
  <c r="B200" i="24"/>
  <c r="AT200" i="23"/>
  <c r="AU200" i="23"/>
  <c r="AD200" i="23"/>
  <c r="AL200" i="23"/>
  <c r="B325" i="24"/>
  <c r="AO292" i="24"/>
  <c r="R292" i="24"/>
  <c r="B244" i="24"/>
  <c r="AD244" i="23"/>
  <c r="C244" i="23"/>
  <c r="F244" i="23" s="1"/>
  <c r="B230" i="24"/>
  <c r="AD230" i="23"/>
  <c r="B225" i="24"/>
  <c r="R221" i="24"/>
  <c r="AO221" i="24"/>
  <c r="BL221" i="24"/>
  <c r="AN220" i="23"/>
  <c r="AN216" i="23"/>
  <c r="AD241" i="23"/>
  <c r="B241" i="24"/>
  <c r="AL241" i="23"/>
  <c r="D241" i="23"/>
  <c r="C241" i="24" s="1"/>
  <c r="B234" i="24"/>
  <c r="AU234" i="23"/>
  <c r="B227" i="24"/>
  <c r="C218" i="23"/>
  <c r="F218" i="23" s="1"/>
  <c r="B218" i="24"/>
  <c r="AO218" i="24" s="1"/>
  <c r="AD218" i="23"/>
  <c r="O218" i="23"/>
  <c r="AL218" i="23"/>
  <c r="C239" i="23"/>
  <c r="B239" i="24"/>
  <c r="AU239" i="23"/>
  <c r="AN232" i="23"/>
  <c r="B217" i="24"/>
  <c r="B213" i="24"/>
  <c r="AT213" i="23"/>
  <c r="AL213" i="23"/>
  <c r="C213" i="23"/>
  <c r="BL337" i="24"/>
  <c r="AO337" i="24"/>
  <c r="AO323" i="23"/>
  <c r="AN321" i="23"/>
  <c r="AN319" i="23"/>
  <c r="AO314" i="24"/>
  <c r="R314" i="24"/>
  <c r="BL314" i="24"/>
  <c r="AN299" i="23"/>
  <c r="AN298" i="23"/>
  <c r="AD297" i="23"/>
  <c r="C291" i="23"/>
  <c r="B291" i="24"/>
  <c r="F291" i="23"/>
  <c r="AL287" i="23"/>
  <c r="BL282" i="24"/>
  <c r="AO282" i="24"/>
  <c r="R282" i="24"/>
  <c r="AN278" i="23"/>
  <c r="B269" i="24"/>
  <c r="D269" i="23"/>
  <c r="C269" i="24" s="1"/>
  <c r="W269" i="23"/>
  <c r="AT269" i="23"/>
  <c r="X269" i="23"/>
  <c r="AU269" i="23"/>
  <c r="F269" i="23"/>
  <c r="C269" i="23"/>
  <c r="AO268" i="23"/>
  <c r="AO266" i="23"/>
  <c r="BL261" i="24"/>
  <c r="AO261" i="24"/>
  <c r="R261" i="24"/>
  <c r="E259" i="24"/>
  <c r="F259" i="24" s="1"/>
  <c r="AB259" i="24"/>
  <c r="AC259" i="24" s="1"/>
  <c r="BB259" i="24"/>
  <c r="AD259" i="24"/>
  <c r="AE259" i="24"/>
  <c r="BA259" i="24"/>
  <c r="G259" i="24"/>
  <c r="AY259" i="24"/>
  <c r="AZ259" i="24" s="1"/>
  <c r="H259" i="24"/>
  <c r="B255" i="24"/>
  <c r="AU245" i="23"/>
  <c r="X245" i="23"/>
  <c r="B224" i="24"/>
  <c r="BL224" i="24" s="1"/>
  <c r="AU224" i="23"/>
  <c r="AD221" i="23"/>
  <c r="S218" i="23"/>
  <c r="C209" i="23"/>
  <c r="AF209" i="23" s="1"/>
  <c r="B209" i="24"/>
  <c r="AL209" i="23"/>
  <c r="AD209" i="23"/>
  <c r="B207" i="24"/>
  <c r="AD239" i="23"/>
  <c r="AD234" i="23"/>
  <c r="AL230" i="23"/>
  <c r="B223" i="24"/>
  <c r="B309" i="24"/>
  <c r="D287" i="23"/>
  <c r="C287" i="24" s="1"/>
  <c r="B287" i="24"/>
  <c r="AO281" i="23"/>
  <c r="AO361" i="23"/>
  <c r="O353" i="23"/>
  <c r="B353" i="24"/>
  <c r="R353" i="24" s="1"/>
  <c r="AO350" i="24"/>
  <c r="R350" i="24"/>
  <c r="BL350" i="24"/>
  <c r="AL325" i="23"/>
  <c r="AD314" i="23"/>
  <c r="AN303" i="23"/>
  <c r="C298" i="23"/>
  <c r="C297" i="23"/>
  <c r="C293" i="23"/>
  <c r="B293" i="24"/>
  <c r="BL293" i="24" s="1"/>
  <c r="AO290" i="23"/>
  <c r="S288" i="23"/>
  <c r="B288" i="24"/>
  <c r="AU288" i="23"/>
  <c r="AO284" i="23"/>
  <c r="AD282" i="23"/>
  <c r="AU273" i="23"/>
  <c r="B232" i="24"/>
  <c r="R232" i="24" s="1"/>
  <c r="AL232" i="23"/>
  <c r="AD232" i="23"/>
  <c r="AF229" i="23"/>
  <c r="AH229" i="23" s="1"/>
  <c r="B228" i="24"/>
  <c r="O228" i="23"/>
  <c r="AD228" i="23"/>
  <c r="AN222" i="23"/>
  <c r="W213" i="23"/>
  <c r="AO212" i="23"/>
  <c r="AF240" i="23"/>
  <c r="AH240" i="23" s="1"/>
  <c r="O240" i="23"/>
  <c r="X240" i="23"/>
  <c r="F230" i="23"/>
  <c r="AN226" i="23"/>
  <c r="AN224" i="23"/>
  <c r="B210" i="24"/>
  <c r="AN203" i="23"/>
  <c r="C202" i="23"/>
  <c r="B202" i="24"/>
  <c r="AO202" i="24" s="1"/>
  <c r="AU202" i="23"/>
  <c r="B346" i="24"/>
  <c r="AO298" i="24"/>
  <c r="R298" i="24"/>
  <c r="BL298" i="24"/>
  <c r="AN297" i="23"/>
  <c r="AO296" i="23"/>
  <c r="BL286" i="24"/>
  <c r="AO286" i="24"/>
  <c r="R286" i="24"/>
  <c r="AO258" i="23"/>
  <c r="B245" i="24"/>
  <c r="R245" i="24" s="1"/>
  <c r="F245" i="23"/>
  <c r="S245" i="23"/>
  <c r="AL245" i="23"/>
  <c r="AD245" i="23"/>
  <c r="AO240" i="23"/>
  <c r="AD360" i="23"/>
  <c r="B360" i="24"/>
  <c r="AO359" i="23"/>
  <c r="C349" i="23"/>
  <c r="AF349" i="23" s="1"/>
  <c r="AH349" i="23" s="1"/>
  <c r="B349" i="24"/>
  <c r="AO347" i="23"/>
  <c r="AN343" i="23"/>
  <c r="AO333" i="23"/>
  <c r="AO332" i="23"/>
  <c r="AL330" i="23"/>
  <c r="C330" i="23"/>
  <c r="AO326" i="23"/>
  <c r="AN323" i="23"/>
  <c r="AU314" i="23"/>
  <c r="C313" i="23"/>
  <c r="S313" i="23" s="1"/>
  <c r="AD310" i="23"/>
  <c r="B310" i="24"/>
  <c r="R310" i="24" s="1"/>
  <c r="AO309" i="23"/>
  <c r="W305" i="23"/>
  <c r="C305" i="23"/>
  <c r="AU302" i="23"/>
  <c r="C302" i="23"/>
  <c r="C300" i="23"/>
  <c r="R299" i="24"/>
  <c r="AO299" i="24"/>
  <c r="AO292" i="23"/>
  <c r="S291" i="23"/>
  <c r="AD288" i="23"/>
  <c r="AT287" i="23"/>
  <c r="AT285" i="23"/>
  <c r="C285" i="23"/>
  <c r="AO280" i="23"/>
  <c r="C275" i="23"/>
  <c r="AF275" i="23" s="1"/>
  <c r="B275" i="24"/>
  <c r="AD275" i="23"/>
  <c r="B268" i="24"/>
  <c r="F268" i="23"/>
  <c r="W268" i="23"/>
  <c r="X268" i="23"/>
  <c r="D268" i="23"/>
  <c r="C268" i="24" s="1"/>
  <c r="R265" i="24"/>
  <c r="BL265" i="24"/>
  <c r="AO265" i="24"/>
  <c r="B257" i="24"/>
  <c r="AT257" i="23"/>
  <c r="X252" i="23"/>
  <c r="B252" i="24"/>
  <c r="O252" i="23"/>
  <c r="AD252" i="23"/>
  <c r="S240" i="23"/>
  <c r="AO239" i="23"/>
  <c r="B236" i="24"/>
  <c r="R236" i="24" s="1"/>
  <c r="F236" i="23"/>
  <c r="AT236" i="23"/>
  <c r="AN233" i="23"/>
  <c r="X230" i="23"/>
  <c r="B229" i="24"/>
  <c r="F229" i="23"/>
  <c r="AT229" i="23"/>
  <c r="AU229" i="23"/>
  <c r="X229" i="23"/>
  <c r="B226" i="24"/>
  <c r="AL226" i="23"/>
  <c r="AN221" i="23"/>
  <c r="B214" i="24"/>
  <c r="R214" i="24" s="1"/>
  <c r="AL214" i="23"/>
  <c r="F214" i="23"/>
  <c r="AU214" i="23"/>
  <c r="O214" i="23"/>
  <c r="AT214" i="23"/>
  <c r="B212" i="24"/>
  <c r="R212" i="24" s="1"/>
  <c r="D212" i="23"/>
  <c r="C212" i="24" s="1"/>
  <c r="AL212" i="23"/>
  <c r="C212" i="23"/>
  <c r="X212" i="23" s="1"/>
  <c r="AD212" i="23"/>
  <c r="AU209" i="23"/>
  <c r="AN199" i="23"/>
  <c r="S278" i="23"/>
  <c r="R271" i="24"/>
  <c r="AO271" i="24"/>
  <c r="BL271" i="24"/>
  <c r="AO270" i="23"/>
  <c r="AO266" i="24"/>
  <c r="R266" i="24"/>
  <c r="BL266" i="24"/>
  <c r="S259" i="23"/>
  <c r="R243" i="24"/>
  <c r="BL243" i="24"/>
  <c r="AO243" i="24"/>
  <c r="AN234" i="23"/>
  <c r="BL231" i="24"/>
  <c r="AO231" i="24"/>
  <c r="AN227" i="23"/>
  <c r="AD216" i="23"/>
  <c r="AO210" i="23"/>
  <c r="AN202" i="23"/>
  <c r="R231" i="24"/>
  <c r="AN277" i="23"/>
  <c r="C274" i="23"/>
  <c r="AF274" i="23" s="1"/>
  <c r="AH274" i="23" s="1"/>
  <c r="B274" i="24"/>
  <c r="C270" i="23"/>
  <c r="B270" i="24"/>
  <c r="AN264" i="23"/>
  <c r="AN261" i="23"/>
  <c r="AU260" i="23"/>
  <c r="B260" i="24"/>
  <c r="AO256" i="23"/>
  <c r="AO252" i="23"/>
  <c r="BL247" i="24"/>
  <c r="AO247" i="24"/>
  <c r="R247" i="24"/>
  <c r="AD246" i="23"/>
  <c r="B246" i="24"/>
  <c r="AO241" i="23"/>
  <c r="R235" i="24"/>
  <c r="BL235" i="24"/>
  <c r="AO235" i="24"/>
  <c r="AL231" i="23"/>
  <c r="AO231" i="23"/>
  <c r="D220" i="23"/>
  <c r="C220" i="24" s="1"/>
  <c r="B205" i="24"/>
  <c r="AT205" i="23"/>
  <c r="AU205" i="23"/>
  <c r="AN198" i="23"/>
  <c r="AN197" i="23"/>
  <c r="R278" i="24"/>
  <c r="AO278" i="24"/>
  <c r="BL278" i="24"/>
  <c r="AN272" i="23"/>
  <c r="AO259" i="24"/>
  <c r="R259" i="24"/>
  <c r="BL259" i="24"/>
  <c r="AD258" i="23"/>
  <c r="AN231" i="23"/>
  <c r="AO230" i="23"/>
  <c r="AO216" i="24"/>
  <c r="R216" i="24"/>
  <c r="BL216" i="24"/>
  <c r="AD215" i="23"/>
  <c r="D215" i="23"/>
  <c r="C215" i="24" s="1"/>
  <c r="AU215" i="23"/>
  <c r="B215" i="24"/>
  <c r="AN206" i="23"/>
  <c r="B201" i="24"/>
  <c r="BL201" i="24" s="1"/>
  <c r="D201" i="23"/>
  <c r="C201" i="24" s="1"/>
  <c r="AU201" i="23"/>
  <c r="AD201" i="23"/>
  <c r="C201" i="23"/>
  <c r="AT201" i="23"/>
  <c r="BL198" i="24"/>
  <c r="R198" i="24"/>
  <c r="AO198" i="24"/>
  <c r="AN284" i="23"/>
  <c r="AT274" i="23"/>
  <c r="AN271" i="23"/>
  <c r="AN266" i="23"/>
  <c r="AO263" i="23"/>
  <c r="AO261" i="23"/>
  <c r="AO259" i="23"/>
  <c r="AN252" i="23"/>
  <c r="BL248" i="24"/>
  <c r="R248" i="24"/>
  <c r="AO248" i="24"/>
  <c r="AD243" i="23"/>
  <c r="C243" i="23"/>
  <c r="AT240" i="23"/>
  <c r="W237" i="23"/>
  <c r="BL237" i="24"/>
  <c r="R237" i="24"/>
  <c r="AO233" i="23"/>
  <c r="C231" i="23"/>
  <c r="AO228" i="23"/>
  <c r="AO222" i="23"/>
  <c r="AT215" i="23"/>
  <c r="AN213" i="23"/>
  <c r="AL201" i="23"/>
  <c r="AO211" i="24"/>
  <c r="R211" i="24"/>
  <c r="AO362" i="24"/>
  <c r="R362" i="24"/>
  <c r="BL362" i="24"/>
  <c r="C195" i="23"/>
  <c r="O195" i="23" s="1"/>
  <c r="B195" i="24"/>
  <c r="R208" i="24"/>
  <c r="AO208" i="24"/>
  <c r="BL208" i="24"/>
  <c r="AO203" i="24"/>
  <c r="R203" i="24"/>
  <c r="BL203" i="24"/>
  <c r="AH309" i="24"/>
  <c r="AO224" i="23"/>
  <c r="D211" i="23"/>
  <c r="C211" i="24" s="1"/>
  <c r="AO206" i="23"/>
  <c r="AN200" i="23"/>
  <c r="AL199" i="23"/>
  <c r="C362" i="23"/>
  <c r="O362" i="23" s="1"/>
  <c r="AD362" i="23"/>
  <c r="AU362" i="23"/>
  <c r="AT362" i="23"/>
  <c r="AN362" i="23"/>
  <c r="AF362" i="23"/>
  <c r="BE361" i="24"/>
  <c r="AO301" i="24"/>
  <c r="R301" i="24"/>
  <c r="BL301" i="24"/>
  <c r="R361" i="24"/>
  <c r="BL361" i="24"/>
  <c r="BL358" i="24"/>
  <c r="AO346" i="24"/>
  <c r="AO341" i="24"/>
  <c r="AH361" i="24"/>
  <c r="AH358" i="24"/>
  <c r="R351" i="24"/>
  <c r="BL351" i="24"/>
  <c r="R346" i="24"/>
  <c r="R341" i="24"/>
  <c r="BL341" i="24"/>
  <c r="BL353" i="24"/>
  <c r="AO330" i="24"/>
  <c r="BL330" i="24"/>
  <c r="R330" i="24"/>
  <c r="R356" i="24"/>
  <c r="BL356" i="24"/>
  <c r="AO315" i="24"/>
  <c r="BL315" i="24"/>
  <c r="R315" i="24"/>
  <c r="R333" i="24"/>
  <c r="AO333" i="24"/>
  <c r="BL333" i="24"/>
  <c r="BL355" i="24"/>
  <c r="AO361" i="24"/>
  <c r="BL348" i="24"/>
  <c r="AO348" i="24"/>
  <c r="BL343" i="24"/>
  <c r="AO343" i="24"/>
  <c r="AO353" i="24"/>
  <c r="BL338" i="24"/>
  <c r="AO338" i="24"/>
  <c r="BL328" i="24"/>
  <c r="AO328" i="24"/>
  <c r="R328" i="24"/>
  <c r="R354" i="24"/>
  <c r="R337" i="24"/>
  <c r="R335" i="24"/>
  <c r="BL318" i="24"/>
  <c r="R318" i="24"/>
  <c r="R255" i="24"/>
  <c r="AO255" i="24"/>
  <c r="BL255" i="24"/>
  <c r="R331" i="24"/>
  <c r="AO331" i="24"/>
  <c r="BL290" i="24"/>
  <c r="R290" i="24"/>
  <c r="AO290" i="24"/>
  <c r="AO269" i="24"/>
  <c r="BL269" i="24"/>
  <c r="R269" i="24"/>
  <c r="AO325" i="24"/>
  <c r="AO264" i="24"/>
  <c r="BL264" i="24"/>
  <c r="R264" i="24"/>
  <c r="AO332" i="24"/>
  <c r="R332" i="24"/>
  <c r="R279" i="24"/>
  <c r="BL279" i="24"/>
  <c r="AO279" i="24"/>
  <c r="AO334" i="24"/>
  <c r="BL334" i="24"/>
  <c r="R326" i="24"/>
  <c r="BL326" i="24"/>
  <c r="R311" i="24"/>
  <c r="BL311" i="24"/>
  <c r="AO311" i="24"/>
  <c r="BL289" i="24"/>
  <c r="AO289" i="24"/>
  <c r="R289" i="24"/>
  <c r="AO284" i="24"/>
  <c r="BL284" i="24"/>
  <c r="BL323" i="24"/>
  <c r="R321" i="24"/>
  <c r="BL321" i="24"/>
  <c r="AO303" i="24"/>
  <c r="BL303" i="24"/>
  <c r="R303" i="24"/>
  <c r="BL300" i="24"/>
  <c r="R300" i="24"/>
  <c r="R306" i="24"/>
  <c r="BL306" i="24"/>
  <c r="R302" i="24"/>
  <c r="AO302" i="24"/>
  <c r="AO310" i="24"/>
  <c r="BL310" i="24"/>
  <c r="BL295" i="24"/>
  <c r="AO294" i="24"/>
  <c r="BL251" i="24"/>
  <c r="R251" i="24"/>
  <c r="AO251" i="24"/>
  <c r="AO249" i="24"/>
  <c r="R249" i="24"/>
  <c r="BL249" i="24"/>
  <c r="AO316" i="24"/>
  <c r="BL292" i="24"/>
  <c r="AF288" i="24"/>
  <c r="R242" i="24"/>
  <c r="BL242" i="24"/>
  <c r="AO242" i="24"/>
  <c r="R316" i="24"/>
  <c r="BL316" i="24"/>
  <c r="AF314" i="24"/>
  <c r="AO293" i="24"/>
  <c r="R293" i="24"/>
  <c r="BL287" i="24"/>
  <c r="R287" i="24"/>
  <c r="AO256" i="24"/>
  <c r="R256" i="24"/>
  <c r="I325" i="24"/>
  <c r="I288" i="24"/>
  <c r="BL267" i="24"/>
  <c r="AO267" i="24"/>
  <c r="R250" i="24"/>
  <c r="AO250" i="24"/>
  <c r="BL250" i="24"/>
  <c r="R280" i="24"/>
  <c r="BL280" i="24"/>
  <c r="R258" i="24"/>
  <c r="AO258" i="24"/>
  <c r="AO254" i="24"/>
  <c r="BL254" i="24"/>
  <c r="R254" i="24"/>
  <c r="R285" i="24"/>
  <c r="BL285" i="24"/>
  <c r="R276" i="24"/>
  <c r="AO276" i="24"/>
  <c r="R288" i="24"/>
  <c r="R283" i="24"/>
  <c r="BL272" i="24"/>
  <c r="AO272" i="24"/>
  <c r="BL252" i="24"/>
  <c r="AO252" i="24"/>
  <c r="R252" i="24"/>
  <c r="R262" i="24"/>
  <c r="AO262" i="24"/>
  <c r="BL262" i="24"/>
  <c r="BL277" i="24"/>
  <c r="AO277" i="24"/>
  <c r="BL240" i="24"/>
  <c r="AO240" i="24"/>
  <c r="AO246" i="24"/>
  <c r="BL245" i="24"/>
  <c r="AO245" i="24"/>
  <c r="AO224" i="24"/>
  <c r="R224" i="24"/>
  <c r="R217" i="24"/>
  <c r="BL217" i="24"/>
  <c r="AO217" i="24"/>
  <c r="R220" i="24"/>
  <c r="BL220" i="24"/>
  <c r="R238" i="24"/>
  <c r="BL238" i="24"/>
  <c r="AO232" i="24"/>
  <c r="AO237" i="24"/>
  <c r="R225" i="24"/>
  <c r="BL225" i="24"/>
  <c r="AO225" i="24"/>
  <c r="BL236" i="24"/>
  <c r="AO236" i="24"/>
  <c r="BL222" i="24"/>
  <c r="BL219" i="24"/>
  <c r="AO219" i="24"/>
  <c r="R219" i="24"/>
  <c r="AO206" i="24"/>
  <c r="BL206" i="24"/>
  <c r="BL227" i="24"/>
  <c r="R218" i="24"/>
  <c r="BL204" i="24"/>
  <c r="R204" i="24"/>
  <c r="AO204" i="24"/>
  <c r="BL199" i="24"/>
  <c r="AO201" i="24"/>
  <c r="AO196" i="24"/>
  <c r="R196" i="24"/>
  <c r="R197" i="24"/>
  <c r="BL197" i="24"/>
  <c r="R199" i="24"/>
  <c r="AO197" i="24"/>
  <c r="AO213" i="24"/>
  <c r="R207" i="24"/>
  <c r="BL207" i="24"/>
  <c r="BL209" i="24"/>
  <c r="BL211" i="24"/>
  <c r="AO207" i="24"/>
  <c r="R202" i="24"/>
  <c r="BL202" i="24"/>
  <c r="R210" i="24"/>
  <c r="AH353" i="23"/>
  <c r="AH338" i="23"/>
  <c r="AH344" i="23"/>
  <c r="AH335" i="23"/>
  <c r="AH339" i="23"/>
  <c r="O335" i="23"/>
  <c r="AT322" i="23"/>
  <c r="AD322" i="23"/>
  <c r="AN332" i="23"/>
  <c r="AU326" i="23"/>
  <c r="AN316" i="23"/>
  <c r="O298" i="23"/>
  <c r="F359" i="23"/>
  <c r="AT359" i="23"/>
  <c r="AU359" i="23"/>
  <c r="AL359" i="23"/>
  <c r="O359" i="23"/>
  <c r="J342" i="23"/>
  <c r="K342" i="23"/>
  <c r="O338" i="23"/>
  <c r="AF336" i="23"/>
  <c r="X336" i="23"/>
  <c r="W359" i="23"/>
  <c r="AN358" i="23"/>
  <c r="X353" i="23"/>
  <c r="AL343" i="23"/>
  <c r="AD343" i="23"/>
  <c r="AU343" i="23"/>
  <c r="D340" i="23"/>
  <c r="C340" i="24" s="1"/>
  <c r="AT340" i="23"/>
  <c r="AU340" i="23"/>
  <c r="C340" i="23"/>
  <c r="X340" i="23" s="1"/>
  <c r="AN331" i="23"/>
  <c r="G324" i="23"/>
  <c r="K324" i="23"/>
  <c r="J309" i="23"/>
  <c r="K309" i="23"/>
  <c r="H309" i="23"/>
  <c r="I309" i="23" s="1"/>
  <c r="L309" i="23" s="1"/>
  <c r="D308" i="23"/>
  <c r="C308" i="24" s="1"/>
  <c r="AD308" i="23"/>
  <c r="AT308" i="23"/>
  <c r="AU308" i="23"/>
  <c r="F301" i="23"/>
  <c r="AF290" i="23"/>
  <c r="X290" i="23"/>
  <c r="F290" i="23"/>
  <c r="W290" i="23"/>
  <c r="AH288" i="23"/>
  <c r="H353" i="23"/>
  <c r="I353" i="23"/>
  <c r="K353" i="23"/>
  <c r="G353" i="23"/>
  <c r="J353" i="23"/>
  <c r="J352" i="23"/>
  <c r="K352" i="23"/>
  <c r="AT349" i="23"/>
  <c r="AU349" i="23"/>
  <c r="AL349" i="23"/>
  <c r="O349" i="23"/>
  <c r="AH346" i="23"/>
  <c r="AU335" i="23"/>
  <c r="F335" i="23"/>
  <c r="S335" i="23"/>
  <c r="AD335" i="23"/>
  <c r="AL335" i="23"/>
  <c r="C326" i="23"/>
  <c r="AF326" i="23" s="1"/>
  <c r="AD326" i="23"/>
  <c r="AH310" i="23"/>
  <c r="L351" i="23"/>
  <c r="J325" i="23"/>
  <c r="K325" i="23"/>
  <c r="H325" i="23"/>
  <c r="I325" i="23" s="1"/>
  <c r="D322" i="23"/>
  <c r="C322" i="24" s="1"/>
  <c r="D355" i="23"/>
  <c r="C355" i="24" s="1"/>
  <c r="O355" i="23"/>
  <c r="F355" i="23"/>
  <c r="AT355" i="23"/>
  <c r="AU355" i="23"/>
  <c r="C355" i="23"/>
  <c r="AF355" i="23" s="1"/>
  <c r="F338" i="23"/>
  <c r="AL338" i="23"/>
  <c r="AD338" i="23"/>
  <c r="S338" i="23"/>
  <c r="AU338" i="23"/>
  <c r="C322" i="23"/>
  <c r="AF322" i="23" s="1"/>
  <c r="AH318" i="23"/>
  <c r="H358" i="23"/>
  <c r="I358" i="23" s="1"/>
  <c r="J358" i="23"/>
  <c r="G358" i="23"/>
  <c r="AD349" i="23"/>
  <c r="AT335" i="23"/>
  <c r="AH321" i="23"/>
  <c r="AO316" i="23"/>
  <c r="AF304" i="23"/>
  <c r="X304" i="23"/>
  <c r="S304" i="23"/>
  <c r="F304" i="23"/>
  <c r="O304" i="23"/>
  <c r="AF298" i="23"/>
  <c r="S298" i="23"/>
  <c r="S286" i="23"/>
  <c r="AD286" i="23"/>
  <c r="D286" i="23"/>
  <c r="C286" i="24" s="1"/>
  <c r="AL286" i="23"/>
  <c r="X286" i="23"/>
  <c r="AT286" i="23"/>
  <c r="C286" i="23"/>
  <c r="AF286" i="23" s="1"/>
  <c r="J336" i="23"/>
  <c r="K336" i="23"/>
  <c r="S355" i="23"/>
  <c r="AT338" i="23"/>
  <c r="C332" i="23"/>
  <c r="O332" i="23" s="1"/>
  <c r="AD332" i="23"/>
  <c r="J310" i="23"/>
  <c r="K310" i="23"/>
  <c r="H310" i="23"/>
  <c r="I310" i="23" s="1"/>
  <c r="S301" i="23"/>
  <c r="K288" i="23"/>
  <c r="J288" i="23"/>
  <c r="I288" i="23"/>
  <c r="H288" i="23"/>
  <c r="AL355" i="23"/>
  <c r="F344" i="23"/>
  <c r="AT344" i="23"/>
  <c r="AU344" i="23"/>
  <c r="AL344" i="23"/>
  <c r="S344" i="23"/>
  <c r="O344" i="23"/>
  <c r="D350" i="23"/>
  <c r="C350" i="24" s="1"/>
  <c r="X350" i="23"/>
  <c r="AT350" i="23"/>
  <c r="AU350" i="23"/>
  <c r="C350" i="23"/>
  <c r="O350" i="23" s="1"/>
  <c r="F350" i="23"/>
  <c r="AL321" i="23"/>
  <c r="S321" i="23"/>
  <c r="AD321" i="23"/>
  <c r="F321" i="23"/>
  <c r="AT321" i="23"/>
  <c r="W321" i="23"/>
  <c r="AU321" i="23"/>
  <c r="J315" i="23"/>
  <c r="H315" i="23"/>
  <c r="I315" i="23" s="1"/>
  <c r="K315" i="23"/>
  <c r="G315" i="23"/>
  <c r="W304" i="23"/>
  <c r="AO356" i="23"/>
  <c r="AL350" i="23"/>
  <c r="X349" i="23"/>
  <c r="X335" i="23"/>
  <c r="S329" i="23"/>
  <c r="AD329" i="23"/>
  <c r="F329" i="23"/>
  <c r="AL329" i="23"/>
  <c r="K318" i="23"/>
  <c r="H318" i="23"/>
  <c r="I318" i="23" s="1"/>
  <c r="J318" i="23"/>
  <c r="G318" i="23"/>
  <c r="AD359" i="23"/>
  <c r="AL358" i="23"/>
  <c r="S358" i="23"/>
  <c r="AD358" i="23"/>
  <c r="AU358" i="23"/>
  <c r="AD355" i="23"/>
  <c r="AT353" i="23"/>
  <c r="W349" i="23"/>
  <c r="AL348" i="23"/>
  <c r="S348" i="23"/>
  <c r="AD348" i="23"/>
  <c r="AU348" i="23"/>
  <c r="AD344" i="23"/>
  <c r="W336" i="23"/>
  <c r="W335" i="23"/>
  <c r="AT332" i="23"/>
  <c r="AU329" i="23"/>
  <c r="D328" i="23"/>
  <c r="C328" i="24" s="1"/>
  <c r="AU328" i="23"/>
  <c r="AL328" i="23"/>
  <c r="C328" i="23"/>
  <c r="AT328" i="23"/>
  <c r="K319" i="23"/>
  <c r="H319" i="23"/>
  <c r="I319" i="23"/>
  <c r="J319" i="23"/>
  <c r="G319" i="23"/>
  <c r="W311" i="23"/>
  <c r="AL311" i="23"/>
  <c r="F311" i="23"/>
  <c r="S311" i="23"/>
  <c r="AD311" i="23"/>
  <c r="D311" i="23"/>
  <c r="C311" i="24" s="1"/>
  <c r="O311" i="23"/>
  <c r="AU311" i="23"/>
  <c r="AT311" i="23"/>
  <c r="X311" i="23"/>
  <c r="AN357" i="23"/>
  <c r="D360" i="23"/>
  <c r="C360" i="24" s="1"/>
  <c r="AT360" i="23"/>
  <c r="C360" i="23"/>
  <c r="W360" i="23" s="1"/>
  <c r="AL353" i="23"/>
  <c r="S353" i="23"/>
  <c r="AD353" i="23"/>
  <c r="AU353" i="23"/>
  <c r="AH325" i="23"/>
  <c r="AU360" i="23"/>
  <c r="F339" i="23"/>
  <c r="AT339" i="23"/>
  <c r="AU339" i="23"/>
  <c r="AL339" i="23"/>
  <c r="O339" i="23"/>
  <c r="S339" i="23"/>
  <c r="AT326" i="23"/>
  <c r="AD320" i="23"/>
  <c r="D320" i="23"/>
  <c r="C320" i="24" s="1"/>
  <c r="O320" i="23"/>
  <c r="AU320" i="23"/>
  <c r="W320" i="23"/>
  <c r="AT320" i="23"/>
  <c r="S320" i="23"/>
  <c r="H361" i="23"/>
  <c r="I361" i="23" s="1"/>
  <c r="L361" i="23" s="1"/>
  <c r="O358" i="23"/>
  <c r="AN352" i="23"/>
  <c r="AO351" i="23"/>
  <c r="D345" i="23"/>
  <c r="C345" i="24" s="1"/>
  <c r="AT345" i="23"/>
  <c r="AU345" i="23"/>
  <c r="C345" i="23"/>
  <c r="W345" i="23" s="1"/>
  <c r="D343" i="23"/>
  <c r="C343" i="24" s="1"/>
  <c r="X338" i="23"/>
  <c r="AN338" i="23"/>
  <c r="AT329" i="23"/>
  <c r="S328" i="23"/>
  <c r="O322" i="23"/>
  <c r="AL320" i="23"/>
  <c r="AH315" i="23"/>
  <c r="AU286" i="23"/>
  <c r="AH361" i="23"/>
  <c r="AL322" i="23"/>
  <c r="G314" i="23"/>
  <c r="K314" i="23"/>
  <c r="J314" i="23"/>
  <c r="S336" i="23"/>
  <c r="AU332" i="23"/>
  <c r="AH354" i="23"/>
  <c r="AH351" i="23"/>
  <c r="G361" i="23"/>
  <c r="X359" i="23"/>
  <c r="J356" i="23"/>
  <c r="F354" i="23"/>
  <c r="AT354" i="23"/>
  <c r="S354" i="23"/>
  <c r="AU354" i="23"/>
  <c r="AL354" i="23"/>
  <c r="O354" i="23"/>
  <c r="AN353" i="23"/>
  <c r="H352" i="23"/>
  <c r="I352" i="23" s="1"/>
  <c r="AD350" i="23"/>
  <c r="D349" i="23"/>
  <c r="C349" i="24" s="1"/>
  <c r="AT348" i="23"/>
  <c r="O348" i="23"/>
  <c r="AL345" i="23"/>
  <c r="X344" i="23"/>
  <c r="C343" i="23"/>
  <c r="S343" i="23" s="1"/>
  <c r="AD339" i="23"/>
  <c r="W338" i="23"/>
  <c r="D335" i="23"/>
  <c r="C335" i="24" s="1"/>
  <c r="O329" i="23"/>
  <c r="O325" i="23"/>
  <c r="H324" i="23"/>
  <c r="I324" i="23" s="1"/>
  <c r="AU322" i="23"/>
  <c r="O321" i="23"/>
  <c r="D318" i="23"/>
  <c r="C318" i="24" s="1"/>
  <c r="X318" i="23"/>
  <c r="AT318" i="23"/>
  <c r="W318" i="23"/>
  <c r="AU318" i="23"/>
  <c r="AL318" i="23"/>
  <c r="AT317" i="23"/>
  <c r="AL317" i="23"/>
  <c r="D317" i="23"/>
  <c r="C317" i="24" s="1"/>
  <c r="AD317" i="23"/>
  <c r="C317" i="23"/>
  <c r="S317" i="23" s="1"/>
  <c r="AU317" i="23"/>
  <c r="AD315" i="23"/>
  <c r="S315" i="23"/>
  <c r="AT315" i="23"/>
  <c r="W315" i="23"/>
  <c r="AU315" i="23"/>
  <c r="X315" i="23"/>
  <c r="G309" i="23"/>
  <c r="C308" i="23"/>
  <c r="W308" i="23" s="1"/>
  <c r="J284" i="23"/>
  <c r="K284" i="23"/>
  <c r="H284" i="23"/>
  <c r="I284" i="23" s="1"/>
  <c r="G284" i="23"/>
  <c r="AT281" i="23"/>
  <c r="AL281" i="23"/>
  <c r="AD281" i="23"/>
  <c r="C281" i="23"/>
  <c r="AF281" i="23" s="1"/>
  <c r="D281" i="23"/>
  <c r="C281" i="24" s="1"/>
  <c r="AU325" i="23"/>
  <c r="S357" i="23"/>
  <c r="S352" i="23"/>
  <c r="S347" i="23"/>
  <c r="S342" i="23"/>
  <c r="C337" i="23"/>
  <c r="W337" i="23" s="1"/>
  <c r="X324" i="23"/>
  <c r="D323" i="23"/>
  <c r="C323" i="24" s="1"/>
  <c r="AL323" i="23"/>
  <c r="AH303" i="23"/>
  <c r="AL296" i="23"/>
  <c r="AD296" i="23"/>
  <c r="AU296" i="23"/>
  <c r="AT296" i="23"/>
  <c r="AU295" i="23"/>
  <c r="D295" i="23"/>
  <c r="C295" i="24" s="1"/>
  <c r="AT295" i="23"/>
  <c r="AL289" i="23"/>
  <c r="D289" i="23"/>
  <c r="C289" i="24" s="1"/>
  <c r="AU289" i="23"/>
  <c r="AD289" i="23"/>
  <c r="I269" i="23"/>
  <c r="J269" i="23"/>
  <c r="K269" i="23"/>
  <c r="H269" i="23"/>
  <c r="G269" i="23"/>
  <c r="AF262" i="23"/>
  <c r="X262" i="23"/>
  <c r="O262" i="23"/>
  <c r="W262" i="23"/>
  <c r="AT238" i="23"/>
  <c r="AU238" i="23"/>
  <c r="AL238" i="23"/>
  <c r="C223" i="23"/>
  <c r="F223" i="23" s="1"/>
  <c r="AD223" i="23"/>
  <c r="D223" i="23"/>
  <c r="C223" i="24" s="1"/>
  <c r="AL223" i="23"/>
  <c r="AU223" i="23"/>
  <c r="AT223" i="23"/>
  <c r="AN260" i="23"/>
  <c r="AN248" i="23"/>
  <c r="J279" i="23"/>
  <c r="K279" i="23"/>
  <c r="O208" i="23"/>
  <c r="S208" i="23"/>
  <c r="AF208" i="23"/>
  <c r="C277" i="23"/>
  <c r="D277" i="23"/>
  <c r="C277" i="24" s="1"/>
  <c r="AD277" i="23"/>
  <c r="AU277" i="23"/>
  <c r="AL277" i="23"/>
  <c r="AT277" i="23"/>
  <c r="AN225" i="23"/>
  <c r="W342" i="23"/>
  <c r="D298" i="23"/>
  <c r="C298" i="24" s="1"/>
  <c r="X298" i="23"/>
  <c r="F298" i="23"/>
  <c r="AT298" i="23"/>
  <c r="AU298" i="23"/>
  <c r="W298" i="23"/>
  <c r="AF293" i="23"/>
  <c r="O293" i="23"/>
  <c r="J272" i="23"/>
  <c r="K272" i="23"/>
  <c r="AH268" i="23"/>
  <c r="AN259" i="23"/>
  <c r="H244" i="23"/>
  <c r="I244" i="23" s="1"/>
  <c r="J244" i="23"/>
  <c r="G244" i="23"/>
  <c r="K244" i="23"/>
  <c r="AH235" i="23"/>
  <c r="X325" i="23"/>
  <c r="AL316" i="23"/>
  <c r="C316" i="23"/>
  <c r="O316" i="23" s="1"/>
  <c r="AU316" i="23"/>
  <c r="AF352" i="23"/>
  <c r="AT336" i="23"/>
  <c r="W333" i="23"/>
  <c r="W330" i="23"/>
  <c r="AU330" i="23"/>
  <c r="AT325" i="23"/>
  <c r="W325" i="23"/>
  <c r="AN325" i="23"/>
  <c r="AN315" i="23"/>
  <c r="AF309" i="23"/>
  <c r="W309" i="23"/>
  <c r="S309" i="23"/>
  <c r="F296" i="23"/>
  <c r="C292" i="23"/>
  <c r="F292" i="23"/>
  <c r="AL292" i="23"/>
  <c r="AU292" i="23"/>
  <c r="AT292" i="23"/>
  <c r="W279" i="23"/>
  <c r="AF279" i="23"/>
  <c r="AN276" i="23"/>
  <c r="AN270" i="23"/>
  <c r="AF244" i="23"/>
  <c r="W244" i="23"/>
  <c r="D235" i="23"/>
  <c r="C235" i="24" s="1"/>
  <c r="X235" i="23"/>
  <c r="S235" i="23"/>
  <c r="AD235" i="23"/>
  <c r="O235" i="23"/>
  <c r="W235" i="23"/>
  <c r="F235" i="23"/>
  <c r="AL235" i="23"/>
  <c r="AU235" i="23"/>
  <c r="AT235" i="23"/>
  <c r="O336" i="23"/>
  <c r="AU337" i="23"/>
  <c r="AU334" i="23"/>
  <c r="D334" i="23"/>
  <c r="C334" i="24" s="1"/>
  <c r="AL331" i="23"/>
  <c r="D331" i="23"/>
  <c r="C331" i="24" s="1"/>
  <c r="AO328" i="23"/>
  <c r="C327" i="23"/>
  <c r="W327" i="23" s="1"/>
  <c r="AN314" i="23"/>
  <c r="AN311" i="23"/>
  <c r="AN305" i="23"/>
  <c r="AD298" i="23"/>
  <c r="D296" i="23"/>
  <c r="C296" i="24" s="1"/>
  <c r="W295" i="23"/>
  <c r="AN292" i="23"/>
  <c r="H291" i="23"/>
  <c r="I291" i="23" s="1"/>
  <c r="AN290" i="23"/>
  <c r="F283" i="23"/>
  <c r="AL283" i="23"/>
  <c r="S283" i="23"/>
  <c r="X283" i="23"/>
  <c r="O283" i="23"/>
  <c r="W283" i="23"/>
  <c r="AT276" i="23"/>
  <c r="AU276" i="23"/>
  <c r="S276" i="23"/>
  <c r="D276" i="23"/>
  <c r="C276" i="24" s="1"/>
  <c r="C276" i="23"/>
  <c r="AF276" i="23" s="1"/>
  <c r="W274" i="23"/>
  <c r="F274" i="23"/>
  <c r="AF272" i="23"/>
  <c r="O272" i="23"/>
  <c r="D238" i="23"/>
  <c r="C238" i="24" s="1"/>
  <c r="AF314" i="23"/>
  <c r="O314" i="23"/>
  <c r="AT337" i="23"/>
  <c r="D337" i="23"/>
  <c r="C337" i="24" s="1"/>
  <c r="AT334" i="23"/>
  <c r="C334" i="23"/>
  <c r="C331" i="23"/>
  <c r="AN324" i="23"/>
  <c r="C323" i="23"/>
  <c r="X323" i="23" s="1"/>
  <c r="F312" i="23"/>
  <c r="AT312" i="23"/>
  <c r="S312" i="23"/>
  <c r="AD312" i="23"/>
  <c r="AN308" i="23"/>
  <c r="D303" i="23"/>
  <c r="C303" i="24" s="1"/>
  <c r="X303" i="23"/>
  <c r="F303" i="23"/>
  <c r="AT303" i="23"/>
  <c r="AU303" i="23"/>
  <c r="W303" i="23"/>
  <c r="AL303" i="23"/>
  <c r="AN300" i="23"/>
  <c r="AF299" i="23"/>
  <c r="X299" i="23"/>
  <c r="F299" i="23"/>
  <c r="S299" i="23"/>
  <c r="F297" i="23"/>
  <c r="AT297" i="23"/>
  <c r="AL297" i="23"/>
  <c r="AU297" i="23"/>
  <c r="W297" i="23"/>
  <c r="X297" i="23"/>
  <c r="C296" i="23"/>
  <c r="C295" i="23"/>
  <c r="AF295" i="23" s="1"/>
  <c r="G291" i="23"/>
  <c r="AT289" i="23"/>
  <c r="C289" i="23"/>
  <c r="X289" i="23" s="1"/>
  <c r="AO286" i="23"/>
  <c r="AO285" i="23"/>
  <c r="O275" i="23"/>
  <c r="S272" i="23"/>
  <c r="F271" i="23"/>
  <c r="AT271" i="23"/>
  <c r="D271" i="23"/>
  <c r="C271" i="24" s="1"/>
  <c r="AU271" i="23"/>
  <c r="C271" i="23"/>
  <c r="O271" i="23" s="1"/>
  <c r="AL271" i="23"/>
  <c r="AD271" i="23"/>
  <c r="AD238" i="23"/>
  <c r="C238" i="23"/>
  <c r="AF238" i="23" s="1"/>
  <c r="W307" i="23"/>
  <c r="AN306" i="23"/>
  <c r="AU301" i="23"/>
  <c r="W301" i="23"/>
  <c r="X293" i="23"/>
  <c r="AN293" i="23"/>
  <c r="O290" i="23"/>
  <c r="AU280" i="23"/>
  <c r="AD280" i="23"/>
  <c r="AL280" i="23"/>
  <c r="C261" i="23"/>
  <c r="W261" i="23" s="1"/>
  <c r="AT261" i="23"/>
  <c r="X261" i="23"/>
  <c r="AU261" i="23"/>
  <c r="D254" i="23"/>
  <c r="C254" i="24" s="1"/>
  <c r="C254" i="23"/>
  <c r="X254" i="23" s="1"/>
  <c r="AU254" i="23"/>
  <c r="AL254" i="23"/>
  <c r="AD254" i="23"/>
  <c r="AT254" i="23"/>
  <c r="AN242" i="23"/>
  <c r="O310" i="23"/>
  <c r="AL307" i="23"/>
  <c r="O307" i="23"/>
  <c r="F305" i="23"/>
  <c r="F302" i="23"/>
  <c r="AT302" i="23"/>
  <c r="AL302" i="23"/>
  <c r="O301" i="23"/>
  <c r="AO293" i="23"/>
  <c r="AT290" i="23"/>
  <c r="AO288" i="23"/>
  <c r="AU287" i="23"/>
  <c r="S284" i="23"/>
  <c r="W284" i="23"/>
  <c r="AD284" i="23"/>
  <c r="AN257" i="23"/>
  <c r="AO242" i="23"/>
  <c r="F307" i="23"/>
  <c r="AT307" i="23"/>
  <c r="AL301" i="23"/>
  <c r="AD301" i="23"/>
  <c r="AN296" i="23"/>
  <c r="S293" i="23"/>
  <c r="AU290" i="23"/>
  <c r="S290" i="23"/>
  <c r="AD290" i="23"/>
  <c r="AN289" i="23"/>
  <c r="C287" i="23"/>
  <c r="W287" i="23" s="1"/>
  <c r="AD287" i="23"/>
  <c r="AN286" i="23"/>
  <c r="D280" i="23"/>
  <c r="C280" i="24" s="1"/>
  <c r="AU275" i="23"/>
  <c r="AL275" i="23"/>
  <c r="AT275" i="23"/>
  <c r="W275" i="23"/>
  <c r="O270" i="23"/>
  <c r="W270" i="23"/>
  <c r="AN269" i="23"/>
  <c r="K268" i="23"/>
  <c r="J268" i="23"/>
  <c r="H268" i="23"/>
  <c r="I268" i="23" s="1"/>
  <c r="G268" i="23"/>
  <c r="W319" i="23"/>
  <c r="D313" i="23"/>
  <c r="C313" i="24" s="1"/>
  <c r="X313" i="23"/>
  <c r="AN310" i="23"/>
  <c r="AU307" i="23"/>
  <c r="X307" i="23"/>
  <c r="AL306" i="23"/>
  <c r="AD306" i="23"/>
  <c r="W302" i="23"/>
  <c r="X301" i="23"/>
  <c r="AN301" i="23"/>
  <c r="C294" i="23"/>
  <c r="AT294" i="23"/>
  <c r="O284" i="23"/>
  <c r="AN283" i="23"/>
  <c r="C280" i="23"/>
  <c r="S280" i="23" s="1"/>
  <c r="D261" i="23"/>
  <c r="C261" i="24" s="1"/>
  <c r="G259" i="23"/>
  <c r="J259" i="23"/>
  <c r="K259" i="23"/>
  <c r="H259" i="23"/>
  <c r="I259" i="23" s="1"/>
  <c r="AF253" i="23"/>
  <c r="W253" i="23"/>
  <c r="S253" i="23"/>
  <c r="O253" i="23"/>
  <c r="AL242" i="23"/>
  <c r="AT242" i="23"/>
  <c r="AU242" i="23"/>
  <c r="AD242" i="23"/>
  <c r="D242" i="23"/>
  <c r="C242" i="24" s="1"/>
  <c r="C242" i="23"/>
  <c r="AO283" i="23"/>
  <c r="C282" i="23"/>
  <c r="F282" i="23" s="1"/>
  <c r="AN273" i="23"/>
  <c r="AT266" i="23"/>
  <c r="AU266" i="23"/>
  <c r="D266" i="23"/>
  <c r="C266" i="24" s="1"/>
  <c r="AU265" i="23"/>
  <c r="AL265" i="23"/>
  <c r="D265" i="23"/>
  <c r="C265" i="24" s="1"/>
  <c r="AT265" i="23"/>
  <c r="AD257" i="23"/>
  <c r="C255" i="23"/>
  <c r="AU255" i="23"/>
  <c r="AL255" i="23"/>
  <c r="AT255" i="23"/>
  <c r="AU225" i="23"/>
  <c r="AD225" i="23"/>
  <c r="AL225" i="23"/>
  <c r="AL216" i="23"/>
  <c r="AU216" i="23"/>
  <c r="D216" i="23"/>
  <c r="C216" i="24" s="1"/>
  <c r="AT216" i="23"/>
  <c r="C216" i="23"/>
  <c r="AH247" i="23"/>
  <c r="AH233" i="23"/>
  <c r="O288" i="23"/>
  <c r="O285" i="23"/>
  <c r="AL282" i="23"/>
  <c r="O279" i="23"/>
  <c r="F278" i="23"/>
  <c r="O274" i="23"/>
  <c r="AN268" i="23"/>
  <c r="AU262" i="23"/>
  <c r="C256" i="23"/>
  <c r="AT256" i="23"/>
  <c r="S256" i="23"/>
  <c r="AD256" i="23"/>
  <c r="AL247" i="23"/>
  <c r="W247" i="23"/>
  <c r="X247" i="23"/>
  <c r="AT247" i="23"/>
  <c r="F247" i="23"/>
  <c r="O291" i="23"/>
  <c r="AU282" i="23"/>
  <c r="S279" i="23"/>
  <c r="AD279" i="23"/>
  <c r="S274" i="23"/>
  <c r="AD274" i="23"/>
  <c r="AU270" i="23"/>
  <c r="AL270" i="23"/>
  <c r="F270" i="23"/>
  <c r="AT270" i="23"/>
  <c r="AL266" i="23"/>
  <c r="AU263" i="23"/>
  <c r="D263" i="23"/>
  <c r="C263" i="24" s="1"/>
  <c r="AD263" i="23"/>
  <c r="C263" i="23"/>
  <c r="AL263" i="23"/>
  <c r="S262" i="23"/>
  <c r="AD262" i="23"/>
  <c r="F262" i="23"/>
  <c r="D257" i="23"/>
  <c r="C257" i="24" s="1"/>
  <c r="AH252" i="23"/>
  <c r="AN249" i="23"/>
  <c r="AN244" i="23"/>
  <c r="J229" i="23"/>
  <c r="K229" i="23"/>
  <c r="H229" i="23"/>
  <c r="I229" i="23" s="1"/>
  <c r="D225" i="23"/>
  <c r="C225" i="24" s="1"/>
  <c r="AT291" i="23"/>
  <c r="W291" i="23"/>
  <c r="AU285" i="23"/>
  <c r="AT282" i="23"/>
  <c r="D282" i="23"/>
  <c r="C282" i="24" s="1"/>
  <c r="AT279" i="23"/>
  <c r="X279" i="23"/>
  <c r="AO278" i="23"/>
  <c r="AU274" i="23"/>
  <c r="X274" i="23"/>
  <c r="AN274" i="23"/>
  <c r="X273" i="23"/>
  <c r="X270" i="23"/>
  <c r="S269" i="23"/>
  <c r="AD269" i="23"/>
  <c r="AL269" i="23"/>
  <c r="O267" i="23"/>
  <c r="AF267" i="23"/>
  <c r="C266" i="23"/>
  <c r="X266" i="23" s="1"/>
  <c r="C265" i="23"/>
  <c r="AU257" i="23"/>
  <c r="C257" i="23"/>
  <c r="AU256" i="23"/>
  <c r="D255" i="23"/>
  <c r="C255" i="24" s="1"/>
  <c r="AL252" i="23"/>
  <c r="F252" i="23"/>
  <c r="AT252" i="23"/>
  <c r="W252" i="23"/>
  <c r="AU252" i="23"/>
  <c r="AT248" i="23"/>
  <c r="D248" i="23"/>
  <c r="C248" i="24" s="1"/>
  <c r="AL248" i="23"/>
  <c r="C248" i="23"/>
  <c r="O248" i="23" s="1"/>
  <c r="AU248" i="23"/>
  <c r="AD248" i="23"/>
  <c r="S247" i="23"/>
  <c r="F243" i="23"/>
  <c r="AT243" i="23"/>
  <c r="AU243" i="23"/>
  <c r="S243" i="23"/>
  <c r="X243" i="23"/>
  <c r="W243" i="23"/>
  <c r="AH230" i="23"/>
  <c r="C225" i="23"/>
  <c r="O225" i="23" s="1"/>
  <c r="AU220" i="23"/>
  <c r="AL220" i="23"/>
  <c r="AT220" i="23"/>
  <c r="C220" i="23"/>
  <c r="O220" i="23" s="1"/>
  <c r="AD220" i="23"/>
  <c r="AU258" i="23"/>
  <c r="AF250" i="23"/>
  <c r="W250" i="23"/>
  <c r="X250" i="23"/>
  <c r="D249" i="23"/>
  <c r="C249" i="24" s="1"/>
  <c r="AD249" i="23"/>
  <c r="AF237" i="23"/>
  <c r="D219" i="23"/>
  <c r="C219" i="24" s="1"/>
  <c r="AL219" i="23"/>
  <c r="AT219" i="23"/>
  <c r="AU219" i="23"/>
  <c r="AT234" i="23"/>
  <c r="AL234" i="23"/>
  <c r="D234" i="23"/>
  <c r="C234" i="24" s="1"/>
  <c r="C234" i="23"/>
  <c r="F234" i="23" s="1"/>
  <c r="AH228" i="23"/>
  <c r="AL197" i="23"/>
  <c r="AD197" i="23"/>
  <c r="AU197" i="23"/>
  <c r="D197" i="23"/>
  <c r="C197" i="24" s="1"/>
  <c r="C197" i="23"/>
  <c r="AF197" i="23" s="1"/>
  <c r="AT197" i="23"/>
  <c r="C260" i="23"/>
  <c r="X260" i="23" s="1"/>
  <c r="F250" i="23"/>
  <c r="D244" i="23"/>
  <c r="C244" i="24" s="1"/>
  <c r="X244" i="23"/>
  <c r="O244" i="23"/>
  <c r="AT244" i="23"/>
  <c r="AU244" i="23"/>
  <c r="S244" i="23"/>
  <c r="L240" i="23"/>
  <c r="O231" i="23"/>
  <c r="S231" i="23"/>
  <c r="AD231" i="23"/>
  <c r="F231" i="23"/>
  <c r="AU231" i="23"/>
  <c r="D231" i="23"/>
  <c r="C231" i="24" s="1"/>
  <c r="AT231" i="23"/>
  <c r="G230" i="23"/>
  <c r="K230" i="23"/>
  <c r="J230" i="23"/>
  <c r="X272" i="23"/>
  <c r="D272" i="23"/>
  <c r="C272" i="24" s="1"/>
  <c r="X267" i="23"/>
  <c r="D267" i="23"/>
  <c r="C267" i="24" s="1"/>
  <c r="AL260" i="23"/>
  <c r="O259" i="23"/>
  <c r="AU259" i="23"/>
  <c r="D258" i="23"/>
  <c r="C258" i="24" s="1"/>
  <c r="S250" i="23"/>
  <c r="AN235" i="23"/>
  <c r="X215" i="23"/>
  <c r="O215" i="23"/>
  <c r="AF215" i="23"/>
  <c r="F215" i="23"/>
  <c r="W272" i="23"/>
  <c r="W267" i="23"/>
  <c r="AU264" i="23"/>
  <c r="AL259" i="23"/>
  <c r="X259" i="23"/>
  <c r="AL258" i="23"/>
  <c r="C258" i="23"/>
  <c r="S258" i="23" s="1"/>
  <c r="C249" i="23"/>
  <c r="AN245" i="23"/>
  <c r="AL244" i="23"/>
  <c r="AO232" i="23"/>
  <c r="AD219" i="23"/>
  <c r="C219" i="23"/>
  <c r="AF219" i="23" s="1"/>
  <c r="AN251" i="23"/>
  <c r="AT241" i="23"/>
  <c r="AN237" i="23"/>
  <c r="AD217" i="23"/>
  <c r="AT217" i="23"/>
  <c r="AU217" i="23"/>
  <c r="C217" i="23"/>
  <c r="O217" i="23" s="1"/>
  <c r="D217" i="23"/>
  <c r="C217" i="24" s="1"/>
  <c r="AH203" i="23"/>
  <c r="AF202" i="23"/>
  <c r="O202" i="23"/>
  <c r="W202" i="23"/>
  <c r="F253" i="23"/>
  <c r="AT253" i="23"/>
  <c r="C246" i="23"/>
  <c r="O246" i="23" s="1"/>
  <c r="C241" i="23"/>
  <c r="W241" i="23" s="1"/>
  <c r="AD237" i="23"/>
  <c r="D237" i="23"/>
  <c r="C237" i="24" s="1"/>
  <c r="O237" i="23"/>
  <c r="AU237" i="23"/>
  <c r="F237" i="23"/>
  <c r="AL237" i="23"/>
  <c r="G236" i="23"/>
  <c r="AL233" i="23"/>
  <c r="AU203" i="23"/>
  <c r="AT203" i="23"/>
  <c r="W203" i="23"/>
  <c r="X203" i="23"/>
  <c r="O203" i="23"/>
  <c r="S203" i="23"/>
  <c r="AD203" i="23"/>
  <c r="F203" i="23"/>
  <c r="AL203" i="23"/>
  <c r="D239" i="23"/>
  <c r="C239" i="24" s="1"/>
  <c r="X239" i="23"/>
  <c r="O239" i="23"/>
  <c r="F239" i="23"/>
  <c r="AT239" i="23"/>
  <c r="D233" i="23"/>
  <c r="C233" i="24" s="1"/>
  <c r="O233" i="23"/>
  <c r="AU233" i="23"/>
  <c r="AT233" i="23"/>
  <c r="S233" i="23"/>
  <c r="AD233" i="23"/>
  <c r="C227" i="23"/>
  <c r="W227" i="23" s="1"/>
  <c r="AL227" i="23"/>
  <c r="D227" i="23"/>
  <c r="C227" i="24" s="1"/>
  <c r="AT227" i="23"/>
  <c r="AU227" i="23"/>
  <c r="AO225" i="23"/>
  <c r="AT221" i="23"/>
  <c r="AU221" i="23"/>
  <c r="AL221" i="23"/>
  <c r="D221" i="23"/>
  <c r="C221" i="24" s="1"/>
  <c r="C221" i="23"/>
  <c r="O221" i="23" s="1"/>
  <c r="AL217" i="23"/>
  <c r="X202" i="23"/>
  <c r="AT251" i="23"/>
  <c r="C251" i="23"/>
  <c r="AU246" i="23"/>
  <c r="AN246" i="23"/>
  <c r="AU241" i="23"/>
  <c r="AN241" i="23"/>
  <c r="AN229" i="23"/>
  <c r="S228" i="23"/>
  <c r="F228" i="23"/>
  <c r="AL228" i="23"/>
  <c r="W228" i="23"/>
  <c r="X228" i="23"/>
  <c r="AU228" i="23"/>
  <c r="AN223" i="23"/>
  <c r="AT226" i="23"/>
  <c r="H214" i="23"/>
  <c r="I214" i="23" s="1"/>
  <c r="K214" i="23"/>
  <c r="AF201" i="23"/>
  <c r="S201" i="23"/>
  <c r="X201" i="23"/>
  <c r="O201" i="23"/>
  <c r="W201" i="23"/>
  <c r="F201" i="23"/>
  <c r="C232" i="23"/>
  <c r="W232" i="23" s="1"/>
  <c r="C224" i="23"/>
  <c r="O224" i="23" s="1"/>
  <c r="D224" i="23"/>
  <c r="C224" i="24" s="1"/>
  <c r="AL224" i="23"/>
  <c r="AT224" i="23"/>
  <c r="J214" i="23"/>
  <c r="X236" i="23"/>
  <c r="AU232" i="23"/>
  <c r="AN228" i="23"/>
  <c r="AD226" i="23"/>
  <c r="D226" i="23"/>
  <c r="C226" i="24" s="1"/>
  <c r="AD224" i="23"/>
  <c r="W236" i="23"/>
  <c r="AT232" i="23"/>
  <c r="S229" i="23"/>
  <c r="W229" i="23"/>
  <c r="C226" i="23"/>
  <c r="S226" i="23" s="1"/>
  <c r="AN218" i="23"/>
  <c r="G214" i="23"/>
  <c r="AN204" i="23"/>
  <c r="AU230" i="23"/>
  <c r="AO213" i="23"/>
  <c r="AL211" i="23"/>
  <c r="AD211" i="23"/>
  <c r="AT211" i="23"/>
  <c r="AU211" i="23"/>
  <c r="W211" i="23"/>
  <c r="C211" i="23"/>
  <c r="F211" i="23" s="1"/>
  <c r="AN209" i="23"/>
  <c r="AN219" i="23"/>
  <c r="C207" i="23"/>
  <c r="AF207" i="23" s="1"/>
  <c r="AT207" i="23"/>
  <c r="D207" i="23"/>
  <c r="C207" i="24" s="1"/>
  <c r="O207" i="23"/>
  <c r="AU207" i="23"/>
  <c r="W207" i="23"/>
  <c r="AD207" i="23"/>
  <c r="AN212" i="23"/>
  <c r="W212" i="23"/>
  <c r="S212" i="23"/>
  <c r="AF212" i="23"/>
  <c r="C210" i="23"/>
  <c r="F210" i="23" s="1"/>
  <c r="W210" i="23"/>
  <c r="D210" i="23"/>
  <c r="C210" i="24" s="1"/>
  <c r="AT210" i="23"/>
  <c r="AU210" i="23"/>
  <c r="AL210" i="23"/>
  <c r="AD210" i="23"/>
  <c r="O230" i="23"/>
  <c r="D230" i="23"/>
  <c r="C230" i="24" s="1"/>
  <c r="C222" i="23"/>
  <c r="W222" i="23" s="1"/>
  <c r="D222" i="23"/>
  <c r="C222" i="24" s="1"/>
  <c r="D213" i="23"/>
  <c r="C213" i="24" s="1"/>
  <c r="X213" i="23"/>
  <c r="F213" i="23"/>
  <c r="AT218" i="23"/>
  <c r="X218" i="23"/>
  <c r="AO214" i="23"/>
  <c r="S213" i="23"/>
  <c r="AH209" i="23"/>
  <c r="W206" i="23"/>
  <c r="AU218" i="23"/>
  <c r="AF214" i="23"/>
  <c r="S214" i="23"/>
  <c r="AD213" i="23"/>
  <c r="C204" i="23"/>
  <c r="W204" i="23" s="1"/>
  <c r="D204" i="23"/>
  <c r="C204" i="24" s="1"/>
  <c r="AL204" i="23"/>
  <c r="S202" i="23"/>
  <c r="AD202" i="23"/>
  <c r="F202" i="23"/>
  <c r="AT202" i="23"/>
  <c r="D202" i="23"/>
  <c r="C202" i="24" s="1"/>
  <c r="AO216" i="23"/>
  <c r="W215" i="23"/>
  <c r="S209" i="23"/>
  <c r="F209" i="23"/>
  <c r="F206" i="23"/>
  <c r="S206" i="23"/>
  <c r="AD206" i="23"/>
  <c r="F212" i="23"/>
  <c r="AT212" i="23"/>
  <c r="X209" i="23"/>
  <c r="AU208" i="23"/>
  <c r="F208" i="23"/>
  <c r="AN205" i="23"/>
  <c r="AF196" i="23"/>
  <c r="S196" i="23"/>
  <c r="X196" i="23"/>
  <c r="O196" i="23"/>
  <c r="W196" i="23"/>
  <c r="X208" i="23"/>
  <c r="AO205" i="23"/>
  <c r="O209" i="23"/>
  <c r="W208" i="23"/>
  <c r="AN208" i="23"/>
  <c r="C205" i="23"/>
  <c r="W205" i="23" s="1"/>
  <c r="AD205" i="23"/>
  <c r="AT198" i="23"/>
  <c r="AU198" i="23"/>
  <c r="AL198" i="23"/>
  <c r="AO195" i="23"/>
  <c r="AF200" i="23"/>
  <c r="X200" i="23"/>
  <c r="D198" i="23"/>
  <c r="C198" i="24" s="1"/>
  <c r="AO200" i="23"/>
  <c r="D199" i="23"/>
  <c r="C199" i="24" s="1"/>
  <c r="AT199" i="23"/>
  <c r="C199" i="23"/>
  <c r="W199" i="23" s="1"/>
  <c r="C198" i="23"/>
  <c r="AN196" i="23"/>
  <c r="AF195" i="23"/>
  <c r="W195" i="23"/>
  <c r="D200" i="23"/>
  <c r="C200" i="24" s="1"/>
  <c r="X195" i="23"/>
  <c r="D195" i="23"/>
  <c r="C195" i="24" s="1"/>
  <c r="W200" i="23"/>
  <c r="A2" i="24"/>
  <c r="J2" i="24"/>
  <c r="M2" i="24"/>
  <c r="N2" i="24"/>
  <c r="O2" i="24"/>
  <c r="M3" i="24" s="1"/>
  <c r="P2" i="24"/>
  <c r="AA2" i="24"/>
  <c r="AG2" i="24"/>
  <c r="AJ2" i="24"/>
  <c r="AK2" i="24"/>
  <c r="AL2" i="24"/>
  <c r="AJ3" i="24" s="1"/>
  <c r="AM2" i="24"/>
  <c r="AX2" i="24"/>
  <c r="BD2" i="24"/>
  <c r="BG2" i="24"/>
  <c r="BH2" i="24"/>
  <c r="BI2" i="24"/>
  <c r="BG3" i="24" s="1"/>
  <c r="BJ2" i="24"/>
  <c r="BU2" i="24"/>
  <c r="A3" i="24"/>
  <c r="J3" i="24"/>
  <c r="N3" i="24"/>
  <c r="O3" i="24"/>
  <c r="M4" i="24" s="1"/>
  <c r="P3" i="24"/>
  <c r="AG3" i="24"/>
  <c r="AK3" i="24"/>
  <c r="AL3" i="24"/>
  <c r="AJ4" i="24" s="1"/>
  <c r="AM3" i="24"/>
  <c r="BD3" i="24"/>
  <c r="BH3" i="24"/>
  <c r="BI3" i="24"/>
  <c r="BG4" i="24" s="1"/>
  <c r="BJ3" i="24"/>
  <c r="A4" i="24"/>
  <c r="J4" i="24"/>
  <c r="N4" i="24"/>
  <c r="O4" i="24"/>
  <c r="M5" i="24" s="1"/>
  <c r="P4" i="24"/>
  <c r="AG4" i="24"/>
  <c r="AK4" i="24"/>
  <c r="AL4" i="24"/>
  <c r="AJ5" i="24" s="1"/>
  <c r="AM4" i="24"/>
  <c r="BD4" i="24"/>
  <c r="BH4" i="24"/>
  <c r="BI4" i="24"/>
  <c r="BG5" i="24" s="1"/>
  <c r="BJ4" i="24"/>
  <c r="A5" i="24"/>
  <c r="J5" i="24"/>
  <c r="N5" i="24"/>
  <c r="O5" i="24"/>
  <c r="M6" i="24" s="1"/>
  <c r="P5" i="24"/>
  <c r="AG5" i="24"/>
  <c r="AK5" i="24"/>
  <c r="AL5" i="24"/>
  <c r="AJ6" i="24" s="1"/>
  <c r="AM5" i="24"/>
  <c r="BD5" i="24"/>
  <c r="BH5" i="24"/>
  <c r="BI5" i="24"/>
  <c r="BG6" i="24" s="1"/>
  <c r="BJ5" i="24"/>
  <c r="A6" i="24"/>
  <c r="J6" i="24"/>
  <c r="N6" i="24"/>
  <c r="O6" i="24"/>
  <c r="M7" i="24" s="1"/>
  <c r="P6" i="24"/>
  <c r="AG6" i="24"/>
  <c r="AK6" i="24"/>
  <c r="AL6" i="24"/>
  <c r="AJ7" i="24" s="1"/>
  <c r="AM6" i="24"/>
  <c r="BD6" i="24"/>
  <c r="BH6" i="24"/>
  <c r="BI6" i="24"/>
  <c r="BG7" i="24" s="1"/>
  <c r="BJ6" i="24"/>
  <c r="A7" i="24"/>
  <c r="J7" i="24"/>
  <c r="N7" i="24"/>
  <c r="O7" i="24"/>
  <c r="M8" i="24" s="1"/>
  <c r="P7" i="24"/>
  <c r="AG7" i="24"/>
  <c r="AK7" i="24"/>
  <c r="AL7" i="24"/>
  <c r="AJ8" i="24" s="1"/>
  <c r="AM7" i="24"/>
  <c r="BD7" i="24"/>
  <c r="BH7" i="24"/>
  <c r="BI7" i="24"/>
  <c r="BG8" i="24" s="1"/>
  <c r="BJ7" i="24"/>
  <c r="A8" i="24"/>
  <c r="J8" i="24"/>
  <c r="N8" i="24"/>
  <c r="O8" i="24"/>
  <c r="M9" i="24" s="1"/>
  <c r="P8" i="24"/>
  <c r="AG8" i="24"/>
  <c r="AK8" i="24"/>
  <c r="AL8" i="24"/>
  <c r="AJ9" i="24" s="1"/>
  <c r="AM8" i="24"/>
  <c r="BD8" i="24"/>
  <c r="BH8" i="24"/>
  <c r="BI8" i="24"/>
  <c r="BG9" i="24" s="1"/>
  <c r="BJ8" i="24"/>
  <c r="A9" i="24"/>
  <c r="J9" i="24"/>
  <c r="N9" i="24"/>
  <c r="O9" i="24"/>
  <c r="M10" i="24" s="1"/>
  <c r="P9" i="24"/>
  <c r="AG9" i="24"/>
  <c r="AK9" i="24"/>
  <c r="AL9" i="24"/>
  <c r="AJ10" i="24" s="1"/>
  <c r="AM9" i="24"/>
  <c r="BD9" i="24"/>
  <c r="BH9" i="24"/>
  <c r="BI9" i="24"/>
  <c r="BG10" i="24" s="1"/>
  <c r="BJ9" i="24"/>
  <c r="A10" i="24"/>
  <c r="J10" i="24"/>
  <c r="N10" i="24"/>
  <c r="O10" i="24"/>
  <c r="M11" i="24" s="1"/>
  <c r="P10" i="24"/>
  <c r="AG10" i="24"/>
  <c r="AK10" i="24"/>
  <c r="AL10" i="24"/>
  <c r="AJ11" i="24" s="1"/>
  <c r="AM10" i="24"/>
  <c r="BD10" i="24"/>
  <c r="BH10" i="24"/>
  <c r="BI10" i="24"/>
  <c r="BG11" i="24" s="1"/>
  <c r="BJ10" i="24"/>
  <c r="A11" i="24"/>
  <c r="J11" i="24"/>
  <c r="N11" i="24"/>
  <c r="O11" i="24"/>
  <c r="M12" i="24" s="1"/>
  <c r="P11" i="24"/>
  <c r="AG11" i="24"/>
  <c r="AK11" i="24"/>
  <c r="AL11" i="24"/>
  <c r="AJ12" i="24" s="1"/>
  <c r="AM11" i="24"/>
  <c r="BD11" i="24"/>
  <c r="BH11" i="24"/>
  <c r="BI11" i="24"/>
  <c r="BG12" i="24" s="1"/>
  <c r="BJ11" i="24"/>
  <c r="A12" i="24"/>
  <c r="J12" i="24"/>
  <c r="N12" i="24"/>
  <c r="O12" i="24"/>
  <c r="M13" i="24" s="1"/>
  <c r="P12" i="24"/>
  <c r="AG12" i="24"/>
  <c r="AK12" i="24"/>
  <c r="AL12" i="24"/>
  <c r="AJ13" i="24" s="1"/>
  <c r="AM12" i="24"/>
  <c r="BD12" i="24"/>
  <c r="BH12" i="24"/>
  <c r="BI12" i="24"/>
  <c r="BG13" i="24" s="1"/>
  <c r="BJ12" i="24"/>
  <c r="A13" i="24"/>
  <c r="J13" i="24"/>
  <c r="N13" i="24"/>
  <c r="O13" i="24"/>
  <c r="M14" i="24" s="1"/>
  <c r="P13" i="24"/>
  <c r="AG13" i="24"/>
  <c r="AK13" i="24"/>
  <c r="AL13" i="24"/>
  <c r="AJ14" i="24" s="1"/>
  <c r="AM13" i="24"/>
  <c r="BD13" i="24"/>
  <c r="BH13" i="24"/>
  <c r="BI13" i="24"/>
  <c r="BG14" i="24" s="1"/>
  <c r="BJ13" i="24"/>
  <c r="A14" i="24"/>
  <c r="J14" i="24"/>
  <c r="N14" i="24"/>
  <c r="O14" i="24"/>
  <c r="M15" i="24" s="1"/>
  <c r="P14" i="24"/>
  <c r="AG14" i="24"/>
  <c r="AK14" i="24"/>
  <c r="AL14" i="24"/>
  <c r="AJ15" i="24" s="1"/>
  <c r="AM14" i="24"/>
  <c r="BD14" i="24"/>
  <c r="BH14" i="24"/>
  <c r="BI14" i="24"/>
  <c r="BG15" i="24" s="1"/>
  <c r="BJ14" i="24"/>
  <c r="A15" i="24"/>
  <c r="J15" i="24"/>
  <c r="N15" i="24"/>
  <c r="O15" i="24"/>
  <c r="M16" i="24" s="1"/>
  <c r="P15" i="24"/>
  <c r="AG15" i="24"/>
  <c r="AK15" i="24"/>
  <c r="AL15" i="24"/>
  <c r="AJ16" i="24" s="1"/>
  <c r="AM15" i="24"/>
  <c r="BD15" i="24"/>
  <c r="BH15" i="24"/>
  <c r="BI15" i="24"/>
  <c r="BG16" i="24" s="1"/>
  <c r="BJ15" i="24"/>
  <c r="A16" i="24"/>
  <c r="J16" i="24"/>
  <c r="N16" i="24"/>
  <c r="O16" i="24"/>
  <c r="M17" i="24" s="1"/>
  <c r="P16" i="24"/>
  <c r="AG16" i="24"/>
  <c r="AK16" i="24"/>
  <c r="AL16" i="24"/>
  <c r="AJ17" i="24" s="1"/>
  <c r="AM16" i="24"/>
  <c r="BD16" i="24"/>
  <c r="BH16" i="24"/>
  <c r="BI16" i="24"/>
  <c r="BG17" i="24" s="1"/>
  <c r="BJ16" i="24"/>
  <c r="A17" i="24"/>
  <c r="J17" i="24"/>
  <c r="N17" i="24"/>
  <c r="O17" i="24"/>
  <c r="M18" i="24" s="1"/>
  <c r="P17" i="24"/>
  <c r="AG17" i="24"/>
  <c r="AK17" i="24"/>
  <c r="AL17" i="24"/>
  <c r="AJ18" i="24" s="1"/>
  <c r="AM17" i="24"/>
  <c r="BD17" i="24"/>
  <c r="BH17" i="24"/>
  <c r="BI17" i="24"/>
  <c r="BG18" i="24" s="1"/>
  <c r="BJ17" i="24"/>
  <c r="A18" i="24"/>
  <c r="J18" i="24"/>
  <c r="N18" i="24"/>
  <c r="O18" i="24"/>
  <c r="M19" i="24" s="1"/>
  <c r="P18" i="24"/>
  <c r="AG18" i="24"/>
  <c r="AK18" i="24"/>
  <c r="AL18" i="24"/>
  <c r="AJ19" i="24" s="1"/>
  <c r="AM18" i="24"/>
  <c r="BD18" i="24"/>
  <c r="BH18" i="24"/>
  <c r="BI18" i="24"/>
  <c r="BG19" i="24" s="1"/>
  <c r="BJ18" i="24"/>
  <c r="A19" i="24"/>
  <c r="J19" i="24"/>
  <c r="N19" i="24"/>
  <c r="O19" i="24"/>
  <c r="M20" i="24" s="1"/>
  <c r="P19" i="24"/>
  <c r="AG19" i="24"/>
  <c r="AK19" i="24"/>
  <c r="AL19" i="24"/>
  <c r="AJ20" i="24" s="1"/>
  <c r="AM19" i="24"/>
  <c r="BD19" i="24"/>
  <c r="BH19" i="24"/>
  <c r="BI19" i="24"/>
  <c r="BG20" i="24" s="1"/>
  <c r="BJ19" i="24"/>
  <c r="A20" i="24"/>
  <c r="J20" i="24"/>
  <c r="N20" i="24"/>
  <c r="O20" i="24"/>
  <c r="M21" i="24" s="1"/>
  <c r="P20" i="24"/>
  <c r="AG20" i="24"/>
  <c r="AK20" i="24"/>
  <c r="AL20" i="24"/>
  <c r="AJ21" i="24" s="1"/>
  <c r="AM20" i="24"/>
  <c r="BD20" i="24"/>
  <c r="BH20" i="24"/>
  <c r="BI20" i="24"/>
  <c r="BG21" i="24" s="1"/>
  <c r="BJ20" i="24"/>
  <c r="A21" i="24"/>
  <c r="J21" i="24"/>
  <c r="N21" i="24"/>
  <c r="O21" i="24"/>
  <c r="M22" i="24" s="1"/>
  <c r="P21" i="24"/>
  <c r="AG21" i="24"/>
  <c r="AK21" i="24"/>
  <c r="AL21" i="24"/>
  <c r="AJ22" i="24" s="1"/>
  <c r="AM21" i="24"/>
  <c r="BD21" i="24"/>
  <c r="BH21" i="24"/>
  <c r="BI21" i="24"/>
  <c r="BG22" i="24" s="1"/>
  <c r="BJ21" i="24"/>
  <c r="A22" i="24"/>
  <c r="J22" i="24"/>
  <c r="N22" i="24"/>
  <c r="O22" i="24"/>
  <c r="M23" i="24" s="1"/>
  <c r="P22" i="24"/>
  <c r="AG22" i="24"/>
  <c r="AK22" i="24"/>
  <c r="AL22" i="24"/>
  <c r="AJ23" i="24" s="1"/>
  <c r="AM22" i="24"/>
  <c r="BD22" i="24"/>
  <c r="BH22" i="24"/>
  <c r="BI22" i="24"/>
  <c r="BG23" i="24" s="1"/>
  <c r="BJ22" i="24"/>
  <c r="A23" i="24"/>
  <c r="J23" i="24"/>
  <c r="N23" i="24"/>
  <c r="O23" i="24"/>
  <c r="M24" i="24" s="1"/>
  <c r="P23" i="24"/>
  <c r="AG23" i="24"/>
  <c r="AK23" i="24"/>
  <c r="AL23" i="24"/>
  <c r="AJ24" i="24" s="1"/>
  <c r="AM23" i="24"/>
  <c r="BD23" i="24"/>
  <c r="BH23" i="24"/>
  <c r="BI23" i="24"/>
  <c r="BG24" i="24" s="1"/>
  <c r="BJ23" i="24"/>
  <c r="A24" i="24"/>
  <c r="J24" i="24"/>
  <c r="N24" i="24"/>
  <c r="O24" i="24"/>
  <c r="M25" i="24" s="1"/>
  <c r="P24" i="24"/>
  <c r="AG24" i="24"/>
  <c r="AK24" i="24"/>
  <c r="AL24" i="24"/>
  <c r="AJ25" i="24" s="1"/>
  <c r="AM24" i="24"/>
  <c r="BD24" i="24"/>
  <c r="BH24" i="24"/>
  <c r="BI24" i="24"/>
  <c r="BG25" i="24" s="1"/>
  <c r="BJ24" i="24"/>
  <c r="A25" i="24"/>
  <c r="J25" i="24"/>
  <c r="N25" i="24"/>
  <c r="O25" i="24"/>
  <c r="M26" i="24" s="1"/>
  <c r="P25" i="24"/>
  <c r="AG25" i="24"/>
  <c r="AK25" i="24"/>
  <c r="AL25" i="24"/>
  <c r="AJ26" i="24" s="1"/>
  <c r="AM25" i="24"/>
  <c r="BD25" i="24"/>
  <c r="BH25" i="24"/>
  <c r="BI25" i="24"/>
  <c r="BG26" i="24" s="1"/>
  <c r="BJ25" i="24"/>
  <c r="A26" i="24"/>
  <c r="J26" i="24"/>
  <c r="N26" i="24"/>
  <c r="O26" i="24"/>
  <c r="M27" i="24" s="1"/>
  <c r="P26" i="24"/>
  <c r="AG26" i="24"/>
  <c r="AK26" i="24"/>
  <c r="AL26" i="24"/>
  <c r="AJ27" i="24" s="1"/>
  <c r="AM26" i="24"/>
  <c r="BD26" i="24"/>
  <c r="BH26" i="24"/>
  <c r="BI26" i="24"/>
  <c r="BG27" i="24" s="1"/>
  <c r="BJ26" i="24"/>
  <c r="A27" i="24"/>
  <c r="J27" i="24"/>
  <c r="N27" i="24"/>
  <c r="O27" i="24"/>
  <c r="M28" i="24" s="1"/>
  <c r="P27" i="24"/>
  <c r="AG27" i="24"/>
  <c r="AK27" i="24"/>
  <c r="AL27" i="24"/>
  <c r="AJ28" i="24" s="1"/>
  <c r="AM27" i="24"/>
  <c r="BD27" i="24"/>
  <c r="BH27" i="24"/>
  <c r="BI27" i="24"/>
  <c r="BG28" i="24" s="1"/>
  <c r="BJ27" i="24"/>
  <c r="A28" i="24"/>
  <c r="J28" i="24"/>
  <c r="N28" i="24"/>
  <c r="O28" i="24"/>
  <c r="M29" i="24" s="1"/>
  <c r="P28" i="24"/>
  <c r="AG28" i="24"/>
  <c r="AK28" i="24"/>
  <c r="AL28" i="24"/>
  <c r="AJ29" i="24" s="1"/>
  <c r="AM28" i="24"/>
  <c r="BD28" i="24"/>
  <c r="BH28" i="24"/>
  <c r="BI28" i="24"/>
  <c r="BG29" i="24" s="1"/>
  <c r="BJ28" i="24"/>
  <c r="A29" i="24"/>
  <c r="J29" i="24"/>
  <c r="N29" i="24"/>
  <c r="O29" i="24"/>
  <c r="M30" i="24" s="1"/>
  <c r="P29" i="24"/>
  <c r="AG29" i="24"/>
  <c r="AK29" i="24"/>
  <c r="AL29" i="24"/>
  <c r="AJ30" i="24" s="1"/>
  <c r="AM29" i="24"/>
  <c r="BD29" i="24"/>
  <c r="BH29" i="24"/>
  <c r="BI29" i="24"/>
  <c r="BG30" i="24" s="1"/>
  <c r="BJ29" i="24"/>
  <c r="A30" i="24"/>
  <c r="J30" i="24"/>
  <c r="N30" i="24"/>
  <c r="O30" i="24"/>
  <c r="M31" i="24" s="1"/>
  <c r="P30" i="24"/>
  <c r="AG30" i="24"/>
  <c r="AK30" i="24"/>
  <c r="AL30" i="24"/>
  <c r="AJ31" i="24" s="1"/>
  <c r="AM30" i="24"/>
  <c r="BD30" i="24"/>
  <c r="BH30" i="24"/>
  <c r="BI30" i="24"/>
  <c r="BG31" i="24" s="1"/>
  <c r="BJ30" i="24"/>
  <c r="A31" i="24"/>
  <c r="J31" i="24"/>
  <c r="N31" i="24"/>
  <c r="O31" i="24"/>
  <c r="M32" i="24" s="1"/>
  <c r="P31" i="24"/>
  <c r="AG31" i="24"/>
  <c r="AK31" i="24"/>
  <c r="AL31" i="24"/>
  <c r="AJ32" i="24" s="1"/>
  <c r="AM31" i="24"/>
  <c r="BD31" i="24"/>
  <c r="BH31" i="24"/>
  <c r="BI31" i="24"/>
  <c r="BG32" i="24" s="1"/>
  <c r="BJ31" i="24"/>
  <c r="A32" i="24"/>
  <c r="J32" i="24"/>
  <c r="N32" i="24"/>
  <c r="O32" i="24"/>
  <c r="M33" i="24" s="1"/>
  <c r="P32" i="24"/>
  <c r="AG32" i="24"/>
  <c r="AK32" i="24"/>
  <c r="AL32" i="24"/>
  <c r="AJ33" i="24" s="1"/>
  <c r="AM32" i="24"/>
  <c r="BD32" i="24"/>
  <c r="BH32" i="24"/>
  <c r="BI32" i="24"/>
  <c r="BG33" i="24" s="1"/>
  <c r="BJ32" i="24"/>
  <c r="A33" i="24"/>
  <c r="J33" i="24"/>
  <c r="N33" i="24"/>
  <c r="O33" i="24"/>
  <c r="M34" i="24" s="1"/>
  <c r="P33" i="24"/>
  <c r="AG33" i="24"/>
  <c r="AK33" i="24"/>
  <c r="AL33" i="24"/>
  <c r="AJ34" i="24" s="1"/>
  <c r="AM33" i="24"/>
  <c r="BD33" i="24"/>
  <c r="BH33" i="24"/>
  <c r="BI33" i="24"/>
  <c r="BG34" i="24" s="1"/>
  <c r="BJ33" i="24"/>
  <c r="A34" i="24"/>
  <c r="J34" i="24"/>
  <c r="N34" i="24"/>
  <c r="O34" i="24"/>
  <c r="M35" i="24" s="1"/>
  <c r="P34" i="24"/>
  <c r="AG34" i="24"/>
  <c r="AK34" i="24"/>
  <c r="AL34" i="24"/>
  <c r="AJ35" i="24" s="1"/>
  <c r="AM34" i="24"/>
  <c r="BD34" i="24"/>
  <c r="BH34" i="24"/>
  <c r="BI34" i="24"/>
  <c r="BG35" i="24" s="1"/>
  <c r="BJ34" i="24"/>
  <c r="A35" i="24"/>
  <c r="J35" i="24"/>
  <c r="N35" i="24"/>
  <c r="O35" i="24"/>
  <c r="M36" i="24" s="1"/>
  <c r="P35" i="24"/>
  <c r="AG35" i="24"/>
  <c r="AK35" i="24"/>
  <c r="AL35" i="24"/>
  <c r="AJ36" i="24" s="1"/>
  <c r="AM35" i="24"/>
  <c r="BD35" i="24"/>
  <c r="BH35" i="24"/>
  <c r="BI35" i="24"/>
  <c r="BG36" i="24" s="1"/>
  <c r="BJ35" i="24"/>
  <c r="A36" i="24"/>
  <c r="J36" i="24"/>
  <c r="N36" i="24"/>
  <c r="O36" i="24"/>
  <c r="M37" i="24" s="1"/>
  <c r="P36" i="24"/>
  <c r="AG36" i="24"/>
  <c r="AK36" i="24"/>
  <c r="AL36" i="24"/>
  <c r="AJ37" i="24" s="1"/>
  <c r="AM36" i="24"/>
  <c r="BD36" i="24"/>
  <c r="BH36" i="24"/>
  <c r="BI36" i="24"/>
  <c r="BG37" i="24" s="1"/>
  <c r="BJ36" i="24"/>
  <c r="A37" i="24"/>
  <c r="J37" i="24"/>
  <c r="N37" i="24"/>
  <c r="O37" i="24"/>
  <c r="M38" i="24" s="1"/>
  <c r="P37" i="24"/>
  <c r="AG37" i="24"/>
  <c r="AK37" i="24"/>
  <c r="AL37" i="24"/>
  <c r="AJ38" i="24" s="1"/>
  <c r="AM37" i="24"/>
  <c r="BD37" i="24"/>
  <c r="BH37" i="24"/>
  <c r="BI37" i="24"/>
  <c r="BG38" i="24" s="1"/>
  <c r="BJ37" i="24"/>
  <c r="A38" i="24"/>
  <c r="J38" i="24"/>
  <c r="N38" i="24"/>
  <c r="O38" i="24"/>
  <c r="M39" i="24" s="1"/>
  <c r="P38" i="24"/>
  <c r="AG38" i="24"/>
  <c r="AK38" i="24"/>
  <c r="AL38" i="24"/>
  <c r="AJ39" i="24" s="1"/>
  <c r="AM38" i="24"/>
  <c r="BD38" i="24"/>
  <c r="BH38" i="24"/>
  <c r="BI38" i="24"/>
  <c r="BG39" i="24" s="1"/>
  <c r="BJ38" i="24"/>
  <c r="A39" i="24"/>
  <c r="J39" i="24"/>
  <c r="N39" i="24"/>
  <c r="O39" i="24"/>
  <c r="M40" i="24" s="1"/>
  <c r="P39" i="24"/>
  <c r="AG39" i="24"/>
  <c r="AK39" i="24"/>
  <c r="AL39" i="24"/>
  <c r="AJ40" i="24" s="1"/>
  <c r="AM39" i="24"/>
  <c r="BD39" i="24"/>
  <c r="BH39" i="24"/>
  <c r="BI39" i="24"/>
  <c r="BG40" i="24" s="1"/>
  <c r="BJ39" i="24"/>
  <c r="A40" i="24"/>
  <c r="J40" i="24"/>
  <c r="N40" i="24"/>
  <c r="O40" i="24"/>
  <c r="M41" i="24" s="1"/>
  <c r="P40" i="24"/>
  <c r="AG40" i="24"/>
  <c r="AK40" i="24"/>
  <c r="AL40" i="24"/>
  <c r="AJ41" i="24" s="1"/>
  <c r="AM40" i="24"/>
  <c r="BD40" i="24"/>
  <c r="BH40" i="24"/>
  <c r="BI40" i="24"/>
  <c r="BG41" i="24" s="1"/>
  <c r="BJ40" i="24"/>
  <c r="A41" i="24"/>
  <c r="J41" i="24"/>
  <c r="N41" i="24"/>
  <c r="O41" i="24"/>
  <c r="M42" i="24" s="1"/>
  <c r="P41" i="24"/>
  <c r="AG41" i="24"/>
  <c r="AK41" i="24"/>
  <c r="AL41" i="24"/>
  <c r="AJ42" i="24" s="1"/>
  <c r="AM41" i="24"/>
  <c r="BD41" i="24"/>
  <c r="BH41" i="24"/>
  <c r="BI41" i="24"/>
  <c r="BG42" i="24" s="1"/>
  <c r="BJ41" i="24"/>
  <c r="A42" i="24"/>
  <c r="J42" i="24"/>
  <c r="N42" i="24"/>
  <c r="O42" i="24"/>
  <c r="M43" i="24" s="1"/>
  <c r="P42" i="24"/>
  <c r="AG42" i="24"/>
  <c r="AK42" i="24"/>
  <c r="AL42" i="24"/>
  <c r="AJ43" i="24" s="1"/>
  <c r="AM42" i="24"/>
  <c r="BD42" i="24"/>
  <c r="BH42" i="24"/>
  <c r="BI42" i="24"/>
  <c r="BG43" i="24" s="1"/>
  <c r="BJ42" i="24"/>
  <c r="A43" i="24"/>
  <c r="J43" i="24"/>
  <c r="N43" i="24"/>
  <c r="O43" i="24"/>
  <c r="M44" i="24" s="1"/>
  <c r="P43" i="24"/>
  <c r="AG43" i="24"/>
  <c r="AK43" i="24"/>
  <c r="AL43" i="24"/>
  <c r="AJ44" i="24" s="1"/>
  <c r="AM43" i="24"/>
  <c r="BD43" i="24"/>
  <c r="BH43" i="24"/>
  <c r="BI43" i="24"/>
  <c r="BG44" i="24" s="1"/>
  <c r="BJ43" i="24"/>
  <c r="A44" i="24"/>
  <c r="J44" i="24"/>
  <c r="N44" i="24"/>
  <c r="O44" i="24"/>
  <c r="M45" i="24" s="1"/>
  <c r="P44" i="24"/>
  <c r="AG44" i="24"/>
  <c r="AK44" i="24"/>
  <c r="AL44" i="24"/>
  <c r="AJ45" i="24" s="1"/>
  <c r="AM44" i="24"/>
  <c r="BD44" i="24"/>
  <c r="BH44" i="24"/>
  <c r="BI44" i="24"/>
  <c r="BG45" i="24" s="1"/>
  <c r="BJ44" i="24"/>
  <c r="A45" i="24"/>
  <c r="J45" i="24"/>
  <c r="N45" i="24"/>
  <c r="O45" i="24"/>
  <c r="M46" i="24" s="1"/>
  <c r="P45" i="24"/>
  <c r="AG45" i="24"/>
  <c r="AK45" i="24"/>
  <c r="AL45" i="24"/>
  <c r="AJ46" i="24" s="1"/>
  <c r="AM45" i="24"/>
  <c r="BD45" i="24"/>
  <c r="BH45" i="24"/>
  <c r="BI45" i="24"/>
  <c r="BG46" i="24" s="1"/>
  <c r="BJ45" i="24"/>
  <c r="A46" i="24"/>
  <c r="J46" i="24"/>
  <c r="N46" i="24"/>
  <c r="O46" i="24"/>
  <c r="M47" i="24" s="1"/>
  <c r="P46" i="24"/>
  <c r="AG46" i="24"/>
  <c r="AK46" i="24"/>
  <c r="AL46" i="24"/>
  <c r="AJ47" i="24" s="1"/>
  <c r="AM46" i="24"/>
  <c r="BD46" i="24"/>
  <c r="BH46" i="24"/>
  <c r="BI46" i="24"/>
  <c r="BG47" i="24" s="1"/>
  <c r="BJ46" i="24"/>
  <c r="A47" i="24"/>
  <c r="J47" i="24"/>
  <c r="N47" i="24"/>
  <c r="O47" i="24"/>
  <c r="M48" i="24" s="1"/>
  <c r="P47" i="24"/>
  <c r="AG47" i="24"/>
  <c r="AK47" i="24"/>
  <c r="AL47" i="24"/>
  <c r="AJ48" i="24" s="1"/>
  <c r="AM47" i="24"/>
  <c r="BD47" i="24"/>
  <c r="BH47" i="24"/>
  <c r="BI47" i="24"/>
  <c r="BG48" i="24" s="1"/>
  <c r="BJ47" i="24"/>
  <c r="A48" i="24"/>
  <c r="J48" i="24"/>
  <c r="N48" i="24"/>
  <c r="O48" i="24"/>
  <c r="M49" i="24" s="1"/>
  <c r="P48" i="24"/>
  <c r="AG48" i="24"/>
  <c r="AK48" i="24"/>
  <c r="AL48" i="24"/>
  <c r="AJ49" i="24" s="1"/>
  <c r="AM48" i="24"/>
  <c r="BD48" i="24"/>
  <c r="BH48" i="24"/>
  <c r="BI48" i="24"/>
  <c r="BG49" i="24" s="1"/>
  <c r="BJ48" i="24"/>
  <c r="A49" i="24"/>
  <c r="J49" i="24"/>
  <c r="N49" i="24"/>
  <c r="O49" i="24"/>
  <c r="M50" i="24" s="1"/>
  <c r="P49" i="24"/>
  <c r="AG49" i="24"/>
  <c r="AK49" i="24"/>
  <c r="AL49" i="24"/>
  <c r="AJ50" i="24" s="1"/>
  <c r="AM49" i="24"/>
  <c r="BD49" i="24"/>
  <c r="BH49" i="24"/>
  <c r="BI49" i="24"/>
  <c r="BG50" i="24" s="1"/>
  <c r="BJ49" i="24"/>
  <c r="A50" i="24"/>
  <c r="J50" i="24"/>
  <c r="N50" i="24"/>
  <c r="O50" i="24"/>
  <c r="M51" i="24" s="1"/>
  <c r="P50" i="24"/>
  <c r="AG50" i="24"/>
  <c r="AK50" i="24"/>
  <c r="AL50" i="24"/>
  <c r="AJ51" i="24" s="1"/>
  <c r="AM50" i="24"/>
  <c r="BD50" i="24"/>
  <c r="BH50" i="24"/>
  <c r="BI50" i="24"/>
  <c r="BG51" i="24" s="1"/>
  <c r="BJ50" i="24"/>
  <c r="A51" i="24"/>
  <c r="J51" i="24"/>
  <c r="N51" i="24"/>
  <c r="O51" i="24"/>
  <c r="M52" i="24" s="1"/>
  <c r="P51" i="24"/>
  <c r="AG51" i="24"/>
  <c r="AK51" i="24"/>
  <c r="AL51" i="24"/>
  <c r="AJ52" i="24" s="1"/>
  <c r="AM51" i="24"/>
  <c r="BD51" i="24"/>
  <c r="BH51" i="24"/>
  <c r="BI51" i="24"/>
  <c r="BG52" i="24" s="1"/>
  <c r="BJ51" i="24"/>
  <c r="A52" i="24"/>
  <c r="J52" i="24"/>
  <c r="N52" i="24"/>
  <c r="O52" i="24"/>
  <c r="M53" i="24" s="1"/>
  <c r="P52" i="24"/>
  <c r="AG52" i="24"/>
  <c r="AK52" i="24"/>
  <c r="AL52" i="24"/>
  <c r="AJ53" i="24" s="1"/>
  <c r="AM52" i="24"/>
  <c r="BD52" i="24"/>
  <c r="BH52" i="24"/>
  <c r="BI52" i="24"/>
  <c r="BG53" i="24" s="1"/>
  <c r="BJ52" i="24"/>
  <c r="A53" i="24"/>
  <c r="J53" i="24"/>
  <c r="N53" i="24"/>
  <c r="O53" i="24"/>
  <c r="M54" i="24" s="1"/>
  <c r="P53" i="24"/>
  <c r="AG53" i="24"/>
  <c r="AK53" i="24"/>
  <c r="AL53" i="24"/>
  <c r="AJ54" i="24" s="1"/>
  <c r="AM53" i="24"/>
  <c r="BD53" i="24"/>
  <c r="BH53" i="24"/>
  <c r="BI53" i="24"/>
  <c r="BG54" i="24" s="1"/>
  <c r="BJ53" i="24"/>
  <c r="A54" i="24"/>
  <c r="J54" i="24"/>
  <c r="N54" i="24"/>
  <c r="O54" i="24"/>
  <c r="M55" i="24" s="1"/>
  <c r="P54" i="24"/>
  <c r="AG54" i="24"/>
  <c r="AK54" i="24"/>
  <c r="AL54" i="24"/>
  <c r="AJ55" i="24" s="1"/>
  <c r="AM54" i="24"/>
  <c r="BD54" i="24"/>
  <c r="BH54" i="24"/>
  <c r="BI54" i="24"/>
  <c r="BG55" i="24" s="1"/>
  <c r="BJ54" i="24"/>
  <c r="A55" i="24"/>
  <c r="J55" i="24"/>
  <c r="N55" i="24"/>
  <c r="O55" i="24"/>
  <c r="M56" i="24" s="1"/>
  <c r="P55" i="24"/>
  <c r="AG55" i="24"/>
  <c r="AK55" i="24"/>
  <c r="AL55" i="24"/>
  <c r="AJ56" i="24" s="1"/>
  <c r="AM55" i="24"/>
  <c r="BD55" i="24"/>
  <c r="BH55" i="24"/>
  <c r="BI55" i="24"/>
  <c r="BG56" i="24" s="1"/>
  <c r="BJ55" i="24"/>
  <c r="A56" i="24"/>
  <c r="J56" i="24"/>
  <c r="N56" i="24"/>
  <c r="O56" i="24"/>
  <c r="M57" i="24" s="1"/>
  <c r="P56" i="24"/>
  <c r="AG56" i="24"/>
  <c r="AK56" i="24"/>
  <c r="AL56" i="24"/>
  <c r="AJ57" i="24" s="1"/>
  <c r="AM56" i="24"/>
  <c r="BD56" i="24"/>
  <c r="BH56" i="24"/>
  <c r="BI56" i="24"/>
  <c r="BG57" i="24" s="1"/>
  <c r="BJ56" i="24"/>
  <c r="A57" i="24"/>
  <c r="J57" i="24"/>
  <c r="N57" i="24"/>
  <c r="O57" i="24"/>
  <c r="M58" i="24" s="1"/>
  <c r="P57" i="24"/>
  <c r="AG57" i="24"/>
  <c r="AK57" i="24"/>
  <c r="AL57" i="24"/>
  <c r="AJ58" i="24" s="1"/>
  <c r="AM57" i="24"/>
  <c r="BD57" i="24"/>
  <c r="BH57" i="24"/>
  <c r="BI57" i="24"/>
  <c r="BG58" i="24" s="1"/>
  <c r="BJ57" i="24"/>
  <c r="A58" i="24"/>
  <c r="J58" i="24"/>
  <c r="N58" i="24"/>
  <c r="O58" i="24"/>
  <c r="M59" i="24" s="1"/>
  <c r="P58" i="24"/>
  <c r="AG58" i="24"/>
  <c r="AK58" i="24"/>
  <c r="AL58" i="24"/>
  <c r="AJ59" i="24" s="1"/>
  <c r="AM58" i="24"/>
  <c r="BD58" i="24"/>
  <c r="BH58" i="24"/>
  <c r="BI58" i="24"/>
  <c r="BG59" i="24" s="1"/>
  <c r="BJ58" i="24"/>
  <c r="A59" i="24"/>
  <c r="J59" i="24"/>
  <c r="N59" i="24"/>
  <c r="O59" i="24"/>
  <c r="M60" i="24" s="1"/>
  <c r="P59" i="24"/>
  <c r="AG59" i="24"/>
  <c r="AK59" i="24"/>
  <c r="AL59" i="24"/>
  <c r="AJ60" i="24" s="1"/>
  <c r="AM59" i="24"/>
  <c r="BD59" i="24"/>
  <c r="BH59" i="24"/>
  <c r="BI59" i="24"/>
  <c r="BG60" i="24" s="1"/>
  <c r="BJ59" i="24"/>
  <c r="A60" i="24"/>
  <c r="J60" i="24"/>
  <c r="N60" i="24"/>
  <c r="O60" i="24"/>
  <c r="M61" i="24" s="1"/>
  <c r="P60" i="24"/>
  <c r="AG60" i="24"/>
  <c r="AK60" i="24"/>
  <c r="AL60" i="24"/>
  <c r="AJ61" i="24" s="1"/>
  <c r="AM60" i="24"/>
  <c r="BD60" i="24"/>
  <c r="BH60" i="24"/>
  <c r="BI60" i="24"/>
  <c r="BG61" i="24" s="1"/>
  <c r="BJ60" i="24"/>
  <c r="A61" i="24"/>
  <c r="J61" i="24"/>
  <c r="N61" i="24"/>
  <c r="O61" i="24"/>
  <c r="M62" i="24" s="1"/>
  <c r="P61" i="24"/>
  <c r="AG61" i="24"/>
  <c r="AK61" i="24"/>
  <c r="AL61" i="24"/>
  <c r="AJ62" i="24" s="1"/>
  <c r="AM61" i="24"/>
  <c r="BD61" i="24"/>
  <c r="BH61" i="24"/>
  <c r="BI61" i="24"/>
  <c r="BG62" i="24" s="1"/>
  <c r="BJ61" i="24"/>
  <c r="A62" i="24"/>
  <c r="J62" i="24"/>
  <c r="N62" i="24"/>
  <c r="O62" i="24"/>
  <c r="M63" i="24" s="1"/>
  <c r="P62" i="24"/>
  <c r="AG62" i="24"/>
  <c r="AK62" i="24"/>
  <c r="AL62" i="24"/>
  <c r="AJ63" i="24" s="1"/>
  <c r="AM62" i="24"/>
  <c r="BD62" i="24"/>
  <c r="BH62" i="24"/>
  <c r="BI62" i="24"/>
  <c r="BG63" i="24" s="1"/>
  <c r="BJ62" i="24"/>
  <c r="A63" i="24"/>
  <c r="J63" i="24"/>
  <c r="N63" i="24"/>
  <c r="O63" i="24"/>
  <c r="M64" i="24" s="1"/>
  <c r="P63" i="24"/>
  <c r="AG63" i="24"/>
  <c r="AK63" i="24"/>
  <c r="AL63" i="24"/>
  <c r="AJ64" i="24" s="1"/>
  <c r="AM63" i="24"/>
  <c r="BD63" i="24"/>
  <c r="BH63" i="24"/>
  <c r="BI63" i="24"/>
  <c r="BG64" i="24" s="1"/>
  <c r="BJ63" i="24"/>
  <c r="A64" i="24"/>
  <c r="J64" i="24"/>
  <c r="N64" i="24"/>
  <c r="O64" i="24"/>
  <c r="M65" i="24" s="1"/>
  <c r="P64" i="24"/>
  <c r="AG64" i="24"/>
  <c r="AK64" i="24"/>
  <c r="AL64" i="24"/>
  <c r="AJ65" i="24" s="1"/>
  <c r="AM64" i="24"/>
  <c r="BD64" i="24"/>
  <c r="BH64" i="24"/>
  <c r="BI64" i="24"/>
  <c r="BG65" i="24" s="1"/>
  <c r="BJ64" i="24"/>
  <c r="A65" i="24"/>
  <c r="J65" i="24"/>
  <c r="N65" i="24"/>
  <c r="O65" i="24"/>
  <c r="M66" i="24" s="1"/>
  <c r="P65" i="24"/>
  <c r="AG65" i="24"/>
  <c r="AK65" i="24"/>
  <c r="AL65" i="24"/>
  <c r="AJ66" i="24" s="1"/>
  <c r="AM65" i="24"/>
  <c r="BD65" i="24"/>
  <c r="BH65" i="24"/>
  <c r="BI65" i="24"/>
  <c r="BG66" i="24" s="1"/>
  <c r="BJ65" i="24"/>
  <c r="A66" i="24"/>
  <c r="J66" i="24"/>
  <c r="N66" i="24"/>
  <c r="O66" i="24"/>
  <c r="M67" i="24" s="1"/>
  <c r="P66" i="24"/>
  <c r="AG66" i="24"/>
  <c r="AK66" i="24"/>
  <c r="AL66" i="24"/>
  <c r="AJ67" i="24" s="1"/>
  <c r="AM66" i="24"/>
  <c r="BD66" i="24"/>
  <c r="BH66" i="24"/>
  <c r="BI66" i="24"/>
  <c r="BG67" i="24" s="1"/>
  <c r="BJ66" i="24"/>
  <c r="A67" i="24"/>
  <c r="J67" i="24"/>
  <c r="N67" i="24"/>
  <c r="O67" i="24"/>
  <c r="M68" i="24" s="1"/>
  <c r="P67" i="24"/>
  <c r="AG67" i="24"/>
  <c r="AK67" i="24"/>
  <c r="AL67" i="24"/>
  <c r="AJ68" i="24" s="1"/>
  <c r="AM67" i="24"/>
  <c r="BD67" i="24"/>
  <c r="BH67" i="24"/>
  <c r="BI67" i="24"/>
  <c r="BG68" i="24" s="1"/>
  <c r="BJ67" i="24"/>
  <c r="A68" i="24"/>
  <c r="J68" i="24"/>
  <c r="N68" i="24"/>
  <c r="O68" i="24"/>
  <c r="M69" i="24" s="1"/>
  <c r="P68" i="24"/>
  <c r="AG68" i="24"/>
  <c r="AK68" i="24"/>
  <c r="AL68" i="24"/>
  <c r="AJ69" i="24" s="1"/>
  <c r="AM68" i="24"/>
  <c r="BD68" i="24"/>
  <c r="BH68" i="24"/>
  <c r="BI68" i="24"/>
  <c r="BG69" i="24" s="1"/>
  <c r="BJ68" i="24"/>
  <c r="A69" i="24"/>
  <c r="J69" i="24"/>
  <c r="N69" i="24"/>
  <c r="O69" i="24"/>
  <c r="M70" i="24" s="1"/>
  <c r="P69" i="24"/>
  <c r="AG69" i="24"/>
  <c r="AK69" i="24"/>
  <c r="AL69" i="24"/>
  <c r="AJ70" i="24" s="1"/>
  <c r="AM69" i="24"/>
  <c r="BD69" i="24"/>
  <c r="BH69" i="24"/>
  <c r="BI69" i="24"/>
  <c r="BG70" i="24" s="1"/>
  <c r="BJ69" i="24"/>
  <c r="A70" i="24"/>
  <c r="J70" i="24"/>
  <c r="N70" i="24"/>
  <c r="O70" i="24"/>
  <c r="M71" i="24" s="1"/>
  <c r="P70" i="24"/>
  <c r="AG70" i="24"/>
  <c r="AK70" i="24"/>
  <c r="AL70" i="24"/>
  <c r="AJ71" i="24" s="1"/>
  <c r="AM70" i="24"/>
  <c r="BD70" i="24"/>
  <c r="BH70" i="24"/>
  <c r="BI70" i="24"/>
  <c r="BG71" i="24" s="1"/>
  <c r="BJ70" i="24"/>
  <c r="A71" i="24"/>
  <c r="J71" i="24"/>
  <c r="N71" i="24"/>
  <c r="O71" i="24"/>
  <c r="M72" i="24" s="1"/>
  <c r="P71" i="24"/>
  <c r="AG71" i="24"/>
  <c r="AK71" i="24"/>
  <c r="AL71" i="24"/>
  <c r="AJ72" i="24" s="1"/>
  <c r="AM71" i="24"/>
  <c r="BD71" i="24"/>
  <c r="BH71" i="24"/>
  <c r="BI71" i="24"/>
  <c r="BG72" i="24" s="1"/>
  <c r="BJ71" i="24"/>
  <c r="A72" i="24"/>
  <c r="J72" i="24"/>
  <c r="N72" i="24"/>
  <c r="O72" i="24"/>
  <c r="M73" i="24" s="1"/>
  <c r="P72" i="24"/>
  <c r="AG72" i="24"/>
  <c r="AK72" i="24"/>
  <c r="AL72" i="24"/>
  <c r="AJ73" i="24" s="1"/>
  <c r="AM72" i="24"/>
  <c r="BD72" i="24"/>
  <c r="BH72" i="24"/>
  <c r="BI72" i="24"/>
  <c r="BG73" i="24" s="1"/>
  <c r="BJ72" i="24"/>
  <c r="A73" i="24"/>
  <c r="J73" i="24"/>
  <c r="N73" i="24"/>
  <c r="O73" i="24"/>
  <c r="M74" i="24" s="1"/>
  <c r="P73" i="24"/>
  <c r="AG73" i="24"/>
  <c r="AK73" i="24"/>
  <c r="AL73" i="24"/>
  <c r="AJ74" i="24" s="1"/>
  <c r="AM73" i="24"/>
  <c r="BD73" i="24"/>
  <c r="BH73" i="24"/>
  <c r="BI73" i="24"/>
  <c r="BG74" i="24" s="1"/>
  <c r="BJ73" i="24"/>
  <c r="A74" i="24"/>
  <c r="J74" i="24"/>
  <c r="N74" i="24"/>
  <c r="O74" i="24"/>
  <c r="M75" i="24" s="1"/>
  <c r="P74" i="24"/>
  <c r="AG74" i="24"/>
  <c r="AK74" i="24"/>
  <c r="AL74" i="24"/>
  <c r="AJ75" i="24" s="1"/>
  <c r="AM74" i="24"/>
  <c r="BD74" i="24"/>
  <c r="BH74" i="24"/>
  <c r="BI74" i="24"/>
  <c r="BG75" i="24" s="1"/>
  <c r="BJ74" i="24"/>
  <c r="A75" i="24"/>
  <c r="J75" i="24"/>
  <c r="N75" i="24"/>
  <c r="O75" i="24"/>
  <c r="M76" i="24" s="1"/>
  <c r="P75" i="24"/>
  <c r="AG75" i="24"/>
  <c r="AK75" i="24"/>
  <c r="AL75" i="24"/>
  <c r="AJ76" i="24" s="1"/>
  <c r="AM75" i="24"/>
  <c r="BD75" i="24"/>
  <c r="BH75" i="24"/>
  <c r="BI75" i="24"/>
  <c r="BG76" i="24" s="1"/>
  <c r="BJ75" i="24"/>
  <c r="A76" i="24"/>
  <c r="J76" i="24"/>
  <c r="N76" i="24"/>
  <c r="O76" i="24"/>
  <c r="M77" i="24" s="1"/>
  <c r="P76" i="24"/>
  <c r="AG76" i="24"/>
  <c r="AK76" i="24"/>
  <c r="AL76" i="24"/>
  <c r="AJ77" i="24" s="1"/>
  <c r="AM76" i="24"/>
  <c r="BD76" i="24"/>
  <c r="BH76" i="24"/>
  <c r="BI76" i="24"/>
  <c r="BG77" i="24" s="1"/>
  <c r="BJ76" i="24"/>
  <c r="A77" i="24"/>
  <c r="J77" i="24"/>
  <c r="N77" i="24"/>
  <c r="O77" i="24"/>
  <c r="M78" i="24" s="1"/>
  <c r="P77" i="24"/>
  <c r="AG77" i="24"/>
  <c r="AK77" i="24"/>
  <c r="AL77" i="24"/>
  <c r="AJ78" i="24" s="1"/>
  <c r="AM77" i="24"/>
  <c r="BD77" i="24"/>
  <c r="BH77" i="24"/>
  <c r="BI77" i="24"/>
  <c r="BG78" i="24" s="1"/>
  <c r="BJ77" i="24"/>
  <c r="A78" i="24"/>
  <c r="J78" i="24"/>
  <c r="N78" i="24"/>
  <c r="O78" i="24"/>
  <c r="M79" i="24" s="1"/>
  <c r="P78" i="24"/>
  <c r="AG78" i="24"/>
  <c r="AK78" i="24"/>
  <c r="AL78" i="24"/>
  <c r="AJ79" i="24" s="1"/>
  <c r="AM78" i="24"/>
  <c r="BD78" i="24"/>
  <c r="BH78" i="24"/>
  <c r="BI78" i="24"/>
  <c r="BG79" i="24" s="1"/>
  <c r="BJ78" i="24"/>
  <c r="A79" i="24"/>
  <c r="J79" i="24"/>
  <c r="N79" i="24"/>
  <c r="O79" i="24"/>
  <c r="M80" i="24" s="1"/>
  <c r="P79" i="24"/>
  <c r="AG79" i="24"/>
  <c r="AK79" i="24"/>
  <c r="AL79" i="24"/>
  <c r="AJ80" i="24" s="1"/>
  <c r="AM79" i="24"/>
  <c r="BD79" i="24"/>
  <c r="BH79" i="24"/>
  <c r="BI79" i="24"/>
  <c r="BG80" i="24" s="1"/>
  <c r="BJ79" i="24"/>
  <c r="A80" i="24"/>
  <c r="J80" i="24"/>
  <c r="N80" i="24"/>
  <c r="O80" i="24"/>
  <c r="M81" i="24" s="1"/>
  <c r="P80" i="24"/>
  <c r="AG80" i="24"/>
  <c r="AK80" i="24"/>
  <c r="AL80" i="24"/>
  <c r="AJ81" i="24" s="1"/>
  <c r="AM80" i="24"/>
  <c r="BD80" i="24"/>
  <c r="BH80" i="24"/>
  <c r="BI80" i="24"/>
  <c r="BG81" i="24" s="1"/>
  <c r="BJ80" i="24"/>
  <c r="A81" i="24"/>
  <c r="J81" i="24"/>
  <c r="N81" i="24"/>
  <c r="O81" i="24"/>
  <c r="M82" i="24" s="1"/>
  <c r="P81" i="24"/>
  <c r="AG81" i="24"/>
  <c r="AK81" i="24"/>
  <c r="AL81" i="24"/>
  <c r="AJ82" i="24" s="1"/>
  <c r="AM81" i="24"/>
  <c r="BD81" i="24"/>
  <c r="BH81" i="24"/>
  <c r="BI81" i="24"/>
  <c r="BG82" i="24" s="1"/>
  <c r="BJ81" i="24"/>
  <c r="A82" i="24"/>
  <c r="J82" i="24"/>
  <c r="N82" i="24"/>
  <c r="O82" i="24"/>
  <c r="M83" i="24" s="1"/>
  <c r="P82" i="24"/>
  <c r="AG82" i="24"/>
  <c r="AK82" i="24"/>
  <c r="AL82" i="24"/>
  <c r="AJ83" i="24" s="1"/>
  <c r="AM82" i="24"/>
  <c r="BD82" i="24"/>
  <c r="BH82" i="24"/>
  <c r="BI82" i="24"/>
  <c r="BG83" i="24" s="1"/>
  <c r="BJ82" i="24"/>
  <c r="A83" i="24"/>
  <c r="J83" i="24"/>
  <c r="N83" i="24"/>
  <c r="O83" i="24"/>
  <c r="M84" i="24" s="1"/>
  <c r="P83" i="24"/>
  <c r="AG83" i="24"/>
  <c r="AK83" i="24"/>
  <c r="AL83" i="24"/>
  <c r="AJ84" i="24" s="1"/>
  <c r="AM83" i="24"/>
  <c r="BD83" i="24"/>
  <c r="BH83" i="24"/>
  <c r="BI83" i="24"/>
  <c r="BG84" i="24" s="1"/>
  <c r="BJ83" i="24"/>
  <c r="A84" i="24"/>
  <c r="J84" i="24"/>
  <c r="N84" i="24"/>
  <c r="O84" i="24"/>
  <c r="M85" i="24" s="1"/>
  <c r="P84" i="24"/>
  <c r="AG84" i="24"/>
  <c r="AK84" i="24"/>
  <c r="AL84" i="24"/>
  <c r="AM84" i="24"/>
  <c r="BD84" i="24"/>
  <c r="BH84" i="24"/>
  <c r="BI84" i="24"/>
  <c r="BG85" i="24" s="1"/>
  <c r="BJ84" i="24"/>
  <c r="A85" i="24"/>
  <c r="J85" i="24"/>
  <c r="N85" i="24"/>
  <c r="O85" i="24"/>
  <c r="M86" i="24" s="1"/>
  <c r="P85" i="24"/>
  <c r="AG85" i="24"/>
  <c r="AJ85" i="24"/>
  <c r="AK85" i="24"/>
  <c r="AL85" i="24"/>
  <c r="AJ86" i="24" s="1"/>
  <c r="AM85" i="24"/>
  <c r="BD85" i="24"/>
  <c r="BH85" i="24"/>
  <c r="BI85" i="24"/>
  <c r="BG86" i="24" s="1"/>
  <c r="BJ85" i="24"/>
  <c r="A86" i="24"/>
  <c r="J86" i="24"/>
  <c r="N86" i="24"/>
  <c r="O86" i="24"/>
  <c r="M87" i="24" s="1"/>
  <c r="P86" i="24"/>
  <c r="AG86" i="24"/>
  <c r="AK86" i="24"/>
  <c r="AL86" i="24"/>
  <c r="AJ87" i="24" s="1"/>
  <c r="AM86" i="24"/>
  <c r="BD86" i="24"/>
  <c r="BH86" i="24"/>
  <c r="BI86" i="24"/>
  <c r="BG87" i="24" s="1"/>
  <c r="BJ86" i="24"/>
  <c r="A87" i="24"/>
  <c r="J87" i="24"/>
  <c r="N87" i="24"/>
  <c r="O87" i="24"/>
  <c r="M88" i="24" s="1"/>
  <c r="P87" i="24"/>
  <c r="AG87" i="24"/>
  <c r="AK87" i="24"/>
  <c r="AL87" i="24"/>
  <c r="AJ88" i="24" s="1"/>
  <c r="AM87" i="24"/>
  <c r="BD87" i="24"/>
  <c r="BH87" i="24"/>
  <c r="BI87" i="24"/>
  <c r="BG88" i="24" s="1"/>
  <c r="BJ87" i="24"/>
  <c r="A88" i="24"/>
  <c r="J88" i="24"/>
  <c r="N88" i="24"/>
  <c r="O88" i="24"/>
  <c r="M89" i="24" s="1"/>
  <c r="P88" i="24"/>
  <c r="AG88" i="24"/>
  <c r="AK88" i="24"/>
  <c r="AL88" i="24"/>
  <c r="AJ89" i="24" s="1"/>
  <c r="AM88" i="24"/>
  <c r="BD88" i="24"/>
  <c r="BH88" i="24"/>
  <c r="BI88" i="24"/>
  <c r="BG89" i="24" s="1"/>
  <c r="BJ88" i="24"/>
  <c r="A89" i="24"/>
  <c r="J89" i="24"/>
  <c r="N89" i="24"/>
  <c r="O89" i="24"/>
  <c r="M90" i="24" s="1"/>
  <c r="P89" i="24"/>
  <c r="AG89" i="24"/>
  <c r="AK89" i="24"/>
  <c r="AL89" i="24"/>
  <c r="AJ90" i="24" s="1"/>
  <c r="AM89" i="24"/>
  <c r="BD89" i="24"/>
  <c r="BH89" i="24"/>
  <c r="BI89" i="24"/>
  <c r="BG90" i="24" s="1"/>
  <c r="BJ89" i="24"/>
  <c r="A90" i="24"/>
  <c r="J90" i="24"/>
  <c r="N90" i="24"/>
  <c r="O90" i="24"/>
  <c r="M91" i="24" s="1"/>
  <c r="P90" i="24"/>
  <c r="AG90" i="24"/>
  <c r="AK90" i="24"/>
  <c r="AL90" i="24"/>
  <c r="AJ91" i="24" s="1"/>
  <c r="AM90" i="24"/>
  <c r="BD90" i="24"/>
  <c r="BH90" i="24"/>
  <c r="BI90" i="24"/>
  <c r="BG91" i="24" s="1"/>
  <c r="BJ90" i="24"/>
  <c r="A91" i="24"/>
  <c r="J91" i="24"/>
  <c r="N91" i="24"/>
  <c r="O91" i="24"/>
  <c r="M92" i="24" s="1"/>
  <c r="P91" i="24"/>
  <c r="AG91" i="24"/>
  <c r="AK91" i="24"/>
  <c r="AL91" i="24"/>
  <c r="AJ92" i="24" s="1"/>
  <c r="AM91" i="24"/>
  <c r="BD91" i="24"/>
  <c r="BH91" i="24"/>
  <c r="BI91" i="24"/>
  <c r="BG92" i="24" s="1"/>
  <c r="BJ91" i="24"/>
  <c r="A92" i="24"/>
  <c r="J92" i="24"/>
  <c r="N92" i="24"/>
  <c r="O92" i="24"/>
  <c r="M93" i="24" s="1"/>
  <c r="P92" i="24"/>
  <c r="AG92" i="24"/>
  <c r="AK92" i="24"/>
  <c r="AL92" i="24"/>
  <c r="AJ93" i="24" s="1"/>
  <c r="AM92" i="24"/>
  <c r="BD92" i="24"/>
  <c r="BH92" i="24"/>
  <c r="BI92" i="24"/>
  <c r="BG93" i="24" s="1"/>
  <c r="BJ92" i="24"/>
  <c r="A93" i="24"/>
  <c r="J93" i="24"/>
  <c r="N93" i="24"/>
  <c r="O93" i="24"/>
  <c r="M94" i="24" s="1"/>
  <c r="P93" i="24"/>
  <c r="AG93" i="24"/>
  <c r="AK93" i="24"/>
  <c r="AL93" i="24"/>
  <c r="AJ94" i="24" s="1"/>
  <c r="AM93" i="24"/>
  <c r="BD93" i="24"/>
  <c r="BH93" i="24"/>
  <c r="BI93" i="24"/>
  <c r="BG94" i="24" s="1"/>
  <c r="BJ93" i="24"/>
  <c r="A94" i="24"/>
  <c r="J94" i="24"/>
  <c r="N94" i="24"/>
  <c r="O94" i="24"/>
  <c r="M95" i="24" s="1"/>
  <c r="P94" i="24"/>
  <c r="AG94" i="24"/>
  <c r="AK94" i="24"/>
  <c r="AL94" i="24"/>
  <c r="AJ95" i="24" s="1"/>
  <c r="AM94" i="24"/>
  <c r="BD94" i="24"/>
  <c r="BH94" i="24"/>
  <c r="BI94" i="24"/>
  <c r="BG95" i="24" s="1"/>
  <c r="BJ94" i="24"/>
  <c r="A95" i="24"/>
  <c r="J95" i="24"/>
  <c r="N95" i="24"/>
  <c r="O95" i="24"/>
  <c r="M96" i="24" s="1"/>
  <c r="P95" i="24"/>
  <c r="AG95" i="24"/>
  <c r="AK95" i="24"/>
  <c r="AL95" i="24"/>
  <c r="AJ96" i="24" s="1"/>
  <c r="AM95" i="24"/>
  <c r="BD95" i="24"/>
  <c r="BH95" i="24"/>
  <c r="BI95" i="24"/>
  <c r="BG96" i="24" s="1"/>
  <c r="BJ95" i="24"/>
  <c r="A96" i="24"/>
  <c r="J96" i="24"/>
  <c r="N96" i="24"/>
  <c r="O96" i="24"/>
  <c r="M97" i="24" s="1"/>
  <c r="P96" i="24"/>
  <c r="AG96" i="24"/>
  <c r="AK96" i="24"/>
  <c r="AL96" i="24"/>
  <c r="AJ97" i="24" s="1"/>
  <c r="AM96" i="24"/>
  <c r="BD96" i="24"/>
  <c r="BH96" i="24"/>
  <c r="BI96" i="24"/>
  <c r="BG97" i="24" s="1"/>
  <c r="BJ96" i="24"/>
  <c r="A97" i="24"/>
  <c r="J97" i="24"/>
  <c r="N97" i="24"/>
  <c r="O97" i="24"/>
  <c r="M98" i="24" s="1"/>
  <c r="P97" i="24"/>
  <c r="AG97" i="24"/>
  <c r="AK97" i="24"/>
  <c r="AL97" i="24"/>
  <c r="AJ98" i="24" s="1"/>
  <c r="AM97" i="24"/>
  <c r="BD97" i="24"/>
  <c r="BH97" i="24"/>
  <c r="BI97" i="24"/>
  <c r="BG98" i="24" s="1"/>
  <c r="BJ97" i="24"/>
  <c r="A98" i="24"/>
  <c r="J98" i="24"/>
  <c r="N98" i="24"/>
  <c r="O98" i="24"/>
  <c r="M99" i="24" s="1"/>
  <c r="P98" i="24"/>
  <c r="AG98" i="24"/>
  <c r="AK98" i="24"/>
  <c r="AL98" i="24"/>
  <c r="AJ99" i="24" s="1"/>
  <c r="AM98" i="24"/>
  <c r="BD98" i="24"/>
  <c r="BH98" i="24"/>
  <c r="BI98" i="24"/>
  <c r="BG99" i="24" s="1"/>
  <c r="BJ98" i="24"/>
  <c r="A99" i="24"/>
  <c r="J99" i="24"/>
  <c r="N99" i="24"/>
  <c r="O99" i="24"/>
  <c r="M100" i="24" s="1"/>
  <c r="P99" i="24"/>
  <c r="AG99" i="24"/>
  <c r="AK99" i="24"/>
  <c r="AL99" i="24"/>
  <c r="AJ100" i="24" s="1"/>
  <c r="AM99" i="24"/>
  <c r="BD99" i="24"/>
  <c r="BH99" i="24"/>
  <c r="BI99" i="24"/>
  <c r="BG100" i="24" s="1"/>
  <c r="BJ99" i="24"/>
  <c r="A100" i="24"/>
  <c r="J100" i="24"/>
  <c r="N100" i="24"/>
  <c r="O100" i="24"/>
  <c r="M101" i="24" s="1"/>
  <c r="P100" i="24"/>
  <c r="AG100" i="24"/>
  <c r="AK100" i="24"/>
  <c r="AL100" i="24"/>
  <c r="AJ101" i="24" s="1"/>
  <c r="AM100" i="24"/>
  <c r="BD100" i="24"/>
  <c r="BH100" i="24"/>
  <c r="BI100" i="24"/>
  <c r="BG101" i="24" s="1"/>
  <c r="BJ100" i="24"/>
  <c r="A101" i="24"/>
  <c r="J101" i="24"/>
  <c r="N101" i="24"/>
  <c r="O101" i="24"/>
  <c r="M102" i="24" s="1"/>
  <c r="P101" i="24"/>
  <c r="AG101" i="24"/>
  <c r="AK101" i="24"/>
  <c r="AL101" i="24"/>
  <c r="AJ102" i="24" s="1"/>
  <c r="AM101" i="24"/>
  <c r="BD101" i="24"/>
  <c r="BH101" i="24"/>
  <c r="BI101" i="24"/>
  <c r="BG102" i="24" s="1"/>
  <c r="BJ101" i="24"/>
  <c r="A102" i="24"/>
  <c r="J102" i="24"/>
  <c r="N102" i="24"/>
  <c r="O102" i="24"/>
  <c r="M103" i="24" s="1"/>
  <c r="P102" i="24"/>
  <c r="AG102" i="24"/>
  <c r="AK102" i="24"/>
  <c r="AL102" i="24"/>
  <c r="AJ103" i="24" s="1"/>
  <c r="AM102" i="24"/>
  <c r="BD102" i="24"/>
  <c r="BH102" i="24"/>
  <c r="BI102" i="24"/>
  <c r="BG103" i="24" s="1"/>
  <c r="BJ102" i="24"/>
  <c r="A103" i="24"/>
  <c r="J103" i="24"/>
  <c r="N103" i="24"/>
  <c r="O103" i="24"/>
  <c r="M104" i="24" s="1"/>
  <c r="P103" i="24"/>
  <c r="AG103" i="24"/>
  <c r="AK103" i="24"/>
  <c r="AL103" i="24"/>
  <c r="AJ104" i="24" s="1"/>
  <c r="AM103" i="24"/>
  <c r="BD103" i="24"/>
  <c r="BH103" i="24"/>
  <c r="BI103" i="24"/>
  <c r="BG104" i="24" s="1"/>
  <c r="BJ103" i="24"/>
  <c r="A104" i="24"/>
  <c r="J104" i="24"/>
  <c r="N104" i="24"/>
  <c r="O104" i="24"/>
  <c r="M105" i="24" s="1"/>
  <c r="P104" i="24"/>
  <c r="AG104" i="24"/>
  <c r="AK104" i="24"/>
  <c r="AL104" i="24"/>
  <c r="AM104" i="24"/>
  <c r="BD104" i="24"/>
  <c r="BH104" i="24"/>
  <c r="BI104" i="24"/>
  <c r="BG105" i="24" s="1"/>
  <c r="BJ104" i="24"/>
  <c r="A105" i="24"/>
  <c r="J105" i="24"/>
  <c r="N105" i="24"/>
  <c r="O105" i="24"/>
  <c r="P105" i="24"/>
  <c r="AG105" i="24"/>
  <c r="AJ105" i="24"/>
  <c r="AK105" i="24"/>
  <c r="AL105" i="24"/>
  <c r="AJ106" i="24" s="1"/>
  <c r="AM105" i="24"/>
  <c r="BD105" i="24"/>
  <c r="BH105" i="24"/>
  <c r="BI105" i="24"/>
  <c r="BG106" i="24" s="1"/>
  <c r="BJ105" i="24"/>
  <c r="A106" i="24"/>
  <c r="J106" i="24"/>
  <c r="M106" i="24"/>
  <c r="N106" i="24"/>
  <c r="O106" i="24"/>
  <c r="M107" i="24" s="1"/>
  <c r="P106" i="24"/>
  <c r="AG106" i="24"/>
  <c r="AK106" i="24"/>
  <c r="AL106" i="24"/>
  <c r="AJ107" i="24" s="1"/>
  <c r="AM106" i="24"/>
  <c r="BD106" i="24"/>
  <c r="BH106" i="24"/>
  <c r="BI106" i="24"/>
  <c r="BG107" i="24" s="1"/>
  <c r="BJ106" i="24"/>
  <c r="A107" i="24"/>
  <c r="J107" i="24"/>
  <c r="N107" i="24"/>
  <c r="O107" i="24"/>
  <c r="M108" i="24" s="1"/>
  <c r="P107" i="24"/>
  <c r="AG107" i="24"/>
  <c r="AK107" i="24"/>
  <c r="AL107" i="24"/>
  <c r="AJ108" i="24" s="1"/>
  <c r="AM107" i="24"/>
  <c r="BD107" i="24"/>
  <c r="BH107" i="24"/>
  <c r="BI107" i="24"/>
  <c r="BG108" i="24" s="1"/>
  <c r="BJ107" i="24"/>
  <c r="A108" i="24"/>
  <c r="J108" i="24"/>
  <c r="N108" i="24"/>
  <c r="O108" i="24"/>
  <c r="M109" i="24" s="1"/>
  <c r="P108" i="24"/>
  <c r="AG108" i="24"/>
  <c r="AK108" i="24"/>
  <c r="AL108" i="24"/>
  <c r="AJ109" i="24" s="1"/>
  <c r="AM108" i="24"/>
  <c r="BD108" i="24"/>
  <c r="BH108" i="24"/>
  <c r="BI108" i="24"/>
  <c r="BG109" i="24" s="1"/>
  <c r="BJ108" i="24"/>
  <c r="A109" i="24"/>
  <c r="J109" i="24"/>
  <c r="N109" i="24"/>
  <c r="O109" i="24"/>
  <c r="M110" i="24" s="1"/>
  <c r="P109" i="24"/>
  <c r="AG109" i="24"/>
  <c r="AK109" i="24"/>
  <c r="AL109" i="24"/>
  <c r="AJ110" i="24" s="1"/>
  <c r="AM109" i="24"/>
  <c r="BD109" i="24"/>
  <c r="BH109" i="24"/>
  <c r="BI109" i="24"/>
  <c r="BG110" i="24" s="1"/>
  <c r="BJ109" i="24"/>
  <c r="A110" i="24"/>
  <c r="J110" i="24"/>
  <c r="N110" i="24"/>
  <c r="O110" i="24"/>
  <c r="M111" i="24" s="1"/>
  <c r="P110" i="24"/>
  <c r="AG110" i="24"/>
  <c r="AK110" i="24"/>
  <c r="AL110" i="24"/>
  <c r="AJ111" i="24" s="1"/>
  <c r="AM110" i="24"/>
  <c r="BD110" i="24"/>
  <c r="BH110" i="24"/>
  <c r="BI110" i="24"/>
  <c r="BG111" i="24" s="1"/>
  <c r="BJ110" i="24"/>
  <c r="A111" i="24"/>
  <c r="J111" i="24"/>
  <c r="N111" i="24"/>
  <c r="O111" i="24"/>
  <c r="M112" i="24" s="1"/>
  <c r="P111" i="24"/>
  <c r="AG111" i="24"/>
  <c r="AK111" i="24"/>
  <c r="AL111" i="24"/>
  <c r="AJ112" i="24" s="1"/>
  <c r="AM111" i="24"/>
  <c r="BD111" i="24"/>
  <c r="BH111" i="24"/>
  <c r="BI111" i="24"/>
  <c r="BG112" i="24" s="1"/>
  <c r="BJ111" i="24"/>
  <c r="A112" i="24"/>
  <c r="J112" i="24"/>
  <c r="N112" i="24"/>
  <c r="O112" i="24"/>
  <c r="M113" i="24" s="1"/>
  <c r="P112" i="24"/>
  <c r="AG112" i="24"/>
  <c r="AK112" i="24"/>
  <c r="AL112" i="24"/>
  <c r="AJ113" i="24" s="1"/>
  <c r="AM112" i="24"/>
  <c r="BD112" i="24"/>
  <c r="BH112" i="24"/>
  <c r="BI112" i="24"/>
  <c r="BG113" i="24" s="1"/>
  <c r="BJ112" i="24"/>
  <c r="A113" i="24"/>
  <c r="J113" i="24"/>
  <c r="N113" i="24"/>
  <c r="O113" i="24"/>
  <c r="M114" i="24" s="1"/>
  <c r="P113" i="24"/>
  <c r="AG113" i="24"/>
  <c r="AK113" i="24"/>
  <c r="AL113" i="24"/>
  <c r="AJ114" i="24" s="1"/>
  <c r="AM113" i="24"/>
  <c r="BD113" i="24"/>
  <c r="BH113" i="24"/>
  <c r="BI113" i="24"/>
  <c r="BG114" i="24" s="1"/>
  <c r="BJ113" i="24"/>
  <c r="A114" i="24"/>
  <c r="J114" i="24"/>
  <c r="N114" i="24"/>
  <c r="O114" i="24"/>
  <c r="M115" i="24" s="1"/>
  <c r="P114" i="24"/>
  <c r="AG114" i="24"/>
  <c r="AK114" i="24"/>
  <c r="AL114" i="24"/>
  <c r="AJ115" i="24" s="1"/>
  <c r="AM114" i="24"/>
  <c r="BD114" i="24"/>
  <c r="BH114" i="24"/>
  <c r="BI114" i="24"/>
  <c r="BG115" i="24" s="1"/>
  <c r="BJ114" i="24"/>
  <c r="A115" i="24"/>
  <c r="J115" i="24"/>
  <c r="N115" i="24"/>
  <c r="O115" i="24"/>
  <c r="M116" i="24" s="1"/>
  <c r="P115" i="24"/>
  <c r="AG115" i="24"/>
  <c r="AK115" i="24"/>
  <c r="AL115" i="24"/>
  <c r="AM115" i="24"/>
  <c r="BD115" i="24"/>
  <c r="BH115" i="24"/>
  <c r="BI115" i="24"/>
  <c r="BG116" i="24" s="1"/>
  <c r="BJ115" i="24"/>
  <c r="A116" i="24"/>
  <c r="J116" i="24"/>
  <c r="N116" i="24"/>
  <c r="O116" i="24"/>
  <c r="M117" i="24" s="1"/>
  <c r="P116" i="24"/>
  <c r="AG116" i="24"/>
  <c r="AJ116" i="24"/>
  <c r="AK116" i="24"/>
  <c r="AL116" i="24"/>
  <c r="AJ117" i="24" s="1"/>
  <c r="AM116" i="24"/>
  <c r="BD116" i="24"/>
  <c r="BH116" i="24"/>
  <c r="BI116" i="24"/>
  <c r="BG117" i="24" s="1"/>
  <c r="BJ116" i="24"/>
  <c r="A117" i="24"/>
  <c r="J117" i="24"/>
  <c r="N117" i="24"/>
  <c r="O117" i="24"/>
  <c r="M118" i="24" s="1"/>
  <c r="P117" i="24"/>
  <c r="AG117" i="24"/>
  <c r="AK117" i="24"/>
  <c r="AL117" i="24"/>
  <c r="AJ118" i="24" s="1"/>
  <c r="AM117" i="24"/>
  <c r="BD117" i="24"/>
  <c r="BH117" i="24"/>
  <c r="BI117" i="24"/>
  <c r="BJ117" i="24"/>
  <c r="A118" i="24"/>
  <c r="J118" i="24"/>
  <c r="N118" i="24"/>
  <c r="O118" i="24"/>
  <c r="M119" i="24" s="1"/>
  <c r="P118" i="24"/>
  <c r="AG118" i="24"/>
  <c r="AK118" i="24"/>
  <c r="AL118" i="24"/>
  <c r="AM118" i="24"/>
  <c r="BD118" i="24"/>
  <c r="BG118" i="24"/>
  <c r="BH118" i="24"/>
  <c r="BI118" i="24"/>
  <c r="BG119" i="24" s="1"/>
  <c r="BJ118" i="24"/>
  <c r="A119" i="24"/>
  <c r="J119" i="24"/>
  <c r="N119" i="24"/>
  <c r="O119" i="24"/>
  <c r="P119" i="24"/>
  <c r="AG119" i="24"/>
  <c r="AJ119" i="24"/>
  <c r="AK119" i="24"/>
  <c r="AL119" i="24"/>
  <c r="AJ120" i="24" s="1"/>
  <c r="AM119" i="24"/>
  <c r="BD119" i="24"/>
  <c r="BH119" i="24"/>
  <c r="BI119" i="24"/>
  <c r="BG120" i="24" s="1"/>
  <c r="BJ119" i="24"/>
  <c r="A120" i="24"/>
  <c r="J120" i="24"/>
  <c r="M120" i="24"/>
  <c r="N120" i="24"/>
  <c r="O120" i="24"/>
  <c r="M121" i="24" s="1"/>
  <c r="P120" i="24"/>
  <c r="AG120" i="24"/>
  <c r="AK120" i="24"/>
  <c r="AL120" i="24"/>
  <c r="AJ121" i="24" s="1"/>
  <c r="AM120" i="24"/>
  <c r="BD120" i="24"/>
  <c r="BH120" i="24"/>
  <c r="BI120" i="24"/>
  <c r="BG121" i="24" s="1"/>
  <c r="BJ120" i="24"/>
  <c r="A121" i="24"/>
  <c r="J121" i="24"/>
  <c r="N121" i="24"/>
  <c r="O121" i="24"/>
  <c r="M122" i="24" s="1"/>
  <c r="P121" i="24"/>
  <c r="AG121" i="24"/>
  <c r="AK121" i="24"/>
  <c r="AL121" i="24"/>
  <c r="AJ122" i="24" s="1"/>
  <c r="AM121" i="24"/>
  <c r="BD121" i="24"/>
  <c r="BH121" i="24"/>
  <c r="BI121" i="24"/>
  <c r="BG122" i="24" s="1"/>
  <c r="BJ121" i="24"/>
  <c r="A122" i="24"/>
  <c r="J122" i="24"/>
  <c r="N122" i="24"/>
  <c r="O122" i="24"/>
  <c r="P122" i="24"/>
  <c r="AG122" i="24"/>
  <c r="AK122" i="24"/>
  <c r="AL122" i="24"/>
  <c r="AJ123" i="24" s="1"/>
  <c r="AM122" i="24"/>
  <c r="BD122" i="24"/>
  <c r="BH122" i="24"/>
  <c r="BI122" i="24"/>
  <c r="BG123" i="24" s="1"/>
  <c r="BJ122" i="24"/>
  <c r="A123" i="24"/>
  <c r="J123" i="24"/>
  <c r="M123" i="24"/>
  <c r="N123" i="24"/>
  <c r="O123" i="24"/>
  <c r="M124" i="24" s="1"/>
  <c r="P123" i="24"/>
  <c r="AG123" i="24"/>
  <c r="AK123" i="24"/>
  <c r="AL123" i="24"/>
  <c r="AJ124" i="24" s="1"/>
  <c r="AM123" i="24"/>
  <c r="BD123" i="24"/>
  <c r="BH123" i="24"/>
  <c r="BI123" i="24"/>
  <c r="BG124" i="24" s="1"/>
  <c r="BJ123" i="24"/>
  <c r="A124" i="24"/>
  <c r="J124" i="24"/>
  <c r="N124" i="24"/>
  <c r="O124" i="24"/>
  <c r="M125" i="24" s="1"/>
  <c r="P124" i="24"/>
  <c r="AG124" i="24"/>
  <c r="AK124" i="24"/>
  <c r="AL124" i="24"/>
  <c r="AJ125" i="24" s="1"/>
  <c r="AM124" i="24"/>
  <c r="BD124" i="24"/>
  <c r="BH124" i="24"/>
  <c r="BI124" i="24"/>
  <c r="BG125" i="24" s="1"/>
  <c r="BJ124" i="24"/>
  <c r="A125" i="24"/>
  <c r="J125" i="24"/>
  <c r="N125" i="24"/>
  <c r="O125" i="24"/>
  <c r="M126" i="24" s="1"/>
  <c r="P125" i="24"/>
  <c r="AG125" i="24"/>
  <c r="AK125" i="24"/>
  <c r="AL125" i="24"/>
  <c r="AJ126" i="24" s="1"/>
  <c r="AM125" i="24"/>
  <c r="BD125" i="24"/>
  <c r="BH125" i="24"/>
  <c r="BI125" i="24"/>
  <c r="BG126" i="24" s="1"/>
  <c r="BJ125" i="24"/>
  <c r="A126" i="24"/>
  <c r="J126" i="24"/>
  <c r="N126" i="24"/>
  <c r="O126" i="24"/>
  <c r="M127" i="24" s="1"/>
  <c r="P126" i="24"/>
  <c r="AG126" i="24"/>
  <c r="AK126" i="24"/>
  <c r="AL126" i="24"/>
  <c r="AJ127" i="24" s="1"/>
  <c r="AM126" i="24"/>
  <c r="BD126" i="24"/>
  <c r="BH126" i="24"/>
  <c r="BI126" i="24"/>
  <c r="BG127" i="24" s="1"/>
  <c r="BJ126" i="24"/>
  <c r="A127" i="24"/>
  <c r="J127" i="24"/>
  <c r="N127" i="24"/>
  <c r="O127" i="24"/>
  <c r="M128" i="24" s="1"/>
  <c r="P127" i="24"/>
  <c r="AG127" i="24"/>
  <c r="AK127" i="24"/>
  <c r="AL127" i="24"/>
  <c r="AJ128" i="24" s="1"/>
  <c r="AM127" i="24"/>
  <c r="BD127" i="24"/>
  <c r="BH127" i="24"/>
  <c r="BI127" i="24"/>
  <c r="BG128" i="24" s="1"/>
  <c r="BJ127" i="24"/>
  <c r="A128" i="24"/>
  <c r="J128" i="24"/>
  <c r="N128" i="24"/>
  <c r="O128" i="24"/>
  <c r="M129" i="24" s="1"/>
  <c r="P128" i="24"/>
  <c r="AG128" i="24"/>
  <c r="AK128" i="24"/>
  <c r="AL128" i="24"/>
  <c r="AJ129" i="24" s="1"/>
  <c r="AM128" i="24"/>
  <c r="BD128" i="24"/>
  <c r="BH128" i="24"/>
  <c r="BI128" i="24"/>
  <c r="BG129" i="24" s="1"/>
  <c r="BJ128" i="24"/>
  <c r="A129" i="24"/>
  <c r="J129" i="24"/>
  <c r="N129" i="24"/>
  <c r="O129" i="24"/>
  <c r="M130" i="24" s="1"/>
  <c r="P129" i="24"/>
  <c r="AG129" i="24"/>
  <c r="AK129" i="24"/>
  <c r="AL129" i="24"/>
  <c r="AJ130" i="24" s="1"/>
  <c r="AM129" i="24"/>
  <c r="BD129" i="24"/>
  <c r="BH129" i="24"/>
  <c r="BI129" i="24"/>
  <c r="BG130" i="24" s="1"/>
  <c r="BJ129" i="24"/>
  <c r="A130" i="24"/>
  <c r="J130" i="24"/>
  <c r="N130" i="24"/>
  <c r="O130" i="24"/>
  <c r="M131" i="24" s="1"/>
  <c r="P130" i="24"/>
  <c r="AG130" i="24"/>
  <c r="AK130" i="24"/>
  <c r="AL130" i="24"/>
  <c r="AJ131" i="24" s="1"/>
  <c r="AM130" i="24"/>
  <c r="BD130" i="24"/>
  <c r="BH130" i="24"/>
  <c r="BI130" i="24"/>
  <c r="BG131" i="24" s="1"/>
  <c r="BJ130" i="24"/>
  <c r="A131" i="24"/>
  <c r="J131" i="24"/>
  <c r="N131" i="24"/>
  <c r="O131" i="24"/>
  <c r="M132" i="24" s="1"/>
  <c r="P131" i="24"/>
  <c r="AG131" i="24"/>
  <c r="AK131" i="24"/>
  <c r="AL131" i="24"/>
  <c r="AM131" i="24"/>
  <c r="BD131" i="24"/>
  <c r="BH131" i="24"/>
  <c r="BI131" i="24"/>
  <c r="BG132" i="24" s="1"/>
  <c r="BJ131" i="24"/>
  <c r="A132" i="24"/>
  <c r="J132" i="24"/>
  <c r="N132" i="24"/>
  <c r="O132" i="24"/>
  <c r="M133" i="24" s="1"/>
  <c r="P132" i="24"/>
  <c r="AG132" i="24"/>
  <c r="AJ132" i="24"/>
  <c r="AK132" i="24"/>
  <c r="AL132" i="24"/>
  <c r="AJ133" i="24" s="1"/>
  <c r="AM132" i="24"/>
  <c r="BD132" i="24"/>
  <c r="BH132" i="24"/>
  <c r="BI132" i="24"/>
  <c r="BG133" i="24" s="1"/>
  <c r="BJ132" i="24"/>
  <c r="A133" i="24"/>
  <c r="J133" i="24"/>
  <c r="N133" i="24"/>
  <c r="O133" i="24"/>
  <c r="M134" i="24" s="1"/>
  <c r="P133" i="24"/>
  <c r="AG133" i="24"/>
  <c r="AK133" i="24"/>
  <c r="AL133" i="24"/>
  <c r="AJ134" i="24" s="1"/>
  <c r="AM133" i="24"/>
  <c r="BD133" i="24"/>
  <c r="BH133" i="24"/>
  <c r="BI133" i="24"/>
  <c r="BG134" i="24" s="1"/>
  <c r="BJ133" i="24"/>
  <c r="A134" i="24"/>
  <c r="J134" i="24"/>
  <c r="N134" i="24"/>
  <c r="O134" i="24"/>
  <c r="M135" i="24" s="1"/>
  <c r="P134" i="24"/>
  <c r="AG134" i="24"/>
  <c r="AK134" i="24"/>
  <c r="AL134" i="24"/>
  <c r="AJ135" i="24" s="1"/>
  <c r="AM134" i="24"/>
  <c r="BD134" i="24"/>
  <c r="BH134" i="24"/>
  <c r="BI134" i="24"/>
  <c r="BG135" i="24" s="1"/>
  <c r="BJ134" i="24"/>
  <c r="A135" i="24"/>
  <c r="J135" i="24"/>
  <c r="N135" i="24"/>
  <c r="O135" i="24"/>
  <c r="M136" i="24" s="1"/>
  <c r="P135" i="24"/>
  <c r="AG135" i="24"/>
  <c r="AK135" i="24"/>
  <c r="AL135" i="24"/>
  <c r="AJ136" i="24" s="1"/>
  <c r="AM135" i="24"/>
  <c r="BD135" i="24"/>
  <c r="BH135" i="24"/>
  <c r="BI135" i="24"/>
  <c r="BG136" i="24" s="1"/>
  <c r="BJ135" i="24"/>
  <c r="A136" i="24"/>
  <c r="J136" i="24"/>
  <c r="N136" i="24"/>
  <c r="O136" i="24"/>
  <c r="M137" i="24" s="1"/>
  <c r="P136" i="24"/>
  <c r="AG136" i="24"/>
  <c r="AK136" i="24"/>
  <c r="AL136" i="24"/>
  <c r="AJ137" i="24" s="1"/>
  <c r="AM136" i="24"/>
  <c r="BD136" i="24"/>
  <c r="BH136" i="24"/>
  <c r="BI136" i="24"/>
  <c r="BG137" i="24" s="1"/>
  <c r="BJ136" i="24"/>
  <c r="A137" i="24"/>
  <c r="J137" i="24"/>
  <c r="N137" i="24"/>
  <c r="O137" i="24"/>
  <c r="M138" i="24" s="1"/>
  <c r="P137" i="24"/>
  <c r="AG137" i="24"/>
  <c r="AK137" i="24"/>
  <c r="AL137" i="24"/>
  <c r="AJ138" i="24" s="1"/>
  <c r="AM137" i="24"/>
  <c r="BD137" i="24"/>
  <c r="BH137" i="24"/>
  <c r="BI137" i="24"/>
  <c r="BG138" i="24" s="1"/>
  <c r="BJ137" i="24"/>
  <c r="A138" i="24"/>
  <c r="J138" i="24"/>
  <c r="N138" i="24"/>
  <c r="O138" i="24"/>
  <c r="P138" i="24"/>
  <c r="AG138" i="24"/>
  <c r="AK138" i="24"/>
  <c r="AL138" i="24"/>
  <c r="AJ139" i="24" s="1"/>
  <c r="AM138" i="24"/>
  <c r="BD138" i="24"/>
  <c r="BH138" i="24"/>
  <c r="BI138" i="24"/>
  <c r="BJ138" i="24"/>
  <c r="A139" i="24"/>
  <c r="J139" i="24"/>
  <c r="M139" i="24"/>
  <c r="N139" i="24"/>
  <c r="O139" i="24"/>
  <c r="M140" i="24" s="1"/>
  <c r="P139" i="24"/>
  <c r="AG139" i="24"/>
  <c r="AK139" i="24"/>
  <c r="AL139" i="24"/>
  <c r="AJ140" i="24" s="1"/>
  <c r="AM139" i="24"/>
  <c r="BD139" i="24"/>
  <c r="BG139" i="24"/>
  <c r="BH139" i="24"/>
  <c r="BI139" i="24"/>
  <c r="BG140" i="24" s="1"/>
  <c r="BJ139" i="24"/>
  <c r="A140" i="24"/>
  <c r="J140" i="24"/>
  <c r="N140" i="24"/>
  <c r="O140" i="24"/>
  <c r="M141" i="24" s="1"/>
  <c r="P140" i="24"/>
  <c r="AG140" i="24"/>
  <c r="AK140" i="24"/>
  <c r="AL140" i="24"/>
  <c r="AJ141" i="24" s="1"/>
  <c r="AM140" i="24"/>
  <c r="BD140" i="24"/>
  <c r="BH140" i="24"/>
  <c r="BI140" i="24"/>
  <c r="BG141" i="24" s="1"/>
  <c r="BJ140" i="24"/>
  <c r="A141" i="24"/>
  <c r="J141" i="24"/>
  <c r="N141" i="24"/>
  <c r="O141" i="24"/>
  <c r="M142" i="24" s="1"/>
  <c r="P141" i="24"/>
  <c r="AG141" i="24"/>
  <c r="AK141" i="24"/>
  <c r="AL141" i="24"/>
  <c r="AJ142" i="24" s="1"/>
  <c r="AM141" i="24"/>
  <c r="BD141" i="24"/>
  <c r="BH141" i="24"/>
  <c r="BI141" i="24"/>
  <c r="BG142" i="24" s="1"/>
  <c r="BJ141" i="24"/>
  <c r="A142" i="24"/>
  <c r="J142" i="24"/>
  <c r="N142" i="24"/>
  <c r="O142" i="24"/>
  <c r="M143" i="24" s="1"/>
  <c r="P142" i="24"/>
  <c r="AG142" i="24"/>
  <c r="AK142" i="24"/>
  <c r="AL142" i="24"/>
  <c r="AJ143" i="24" s="1"/>
  <c r="AM142" i="24"/>
  <c r="BD142" i="24"/>
  <c r="BH142" i="24"/>
  <c r="BI142" i="24"/>
  <c r="BG143" i="24" s="1"/>
  <c r="BJ142" i="24"/>
  <c r="A143" i="24"/>
  <c r="J143" i="24"/>
  <c r="N143" i="24"/>
  <c r="O143" i="24"/>
  <c r="M144" i="24" s="1"/>
  <c r="P143" i="24"/>
  <c r="AG143" i="24"/>
  <c r="AK143" i="24"/>
  <c r="AL143" i="24"/>
  <c r="AJ144" i="24" s="1"/>
  <c r="AM143" i="24"/>
  <c r="BD143" i="24"/>
  <c r="BH143" i="24"/>
  <c r="BI143" i="24"/>
  <c r="BG144" i="24" s="1"/>
  <c r="BJ143" i="24"/>
  <c r="A144" i="24"/>
  <c r="J144" i="24"/>
  <c r="N144" i="24"/>
  <c r="O144" i="24"/>
  <c r="M145" i="24" s="1"/>
  <c r="P144" i="24"/>
  <c r="AG144" i="24"/>
  <c r="AK144" i="24"/>
  <c r="AL144" i="24"/>
  <c r="AJ145" i="24" s="1"/>
  <c r="AM144" i="24"/>
  <c r="BD144" i="24"/>
  <c r="BH144" i="24"/>
  <c r="BI144" i="24"/>
  <c r="BG145" i="24" s="1"/>
  <c r="BJ144" i="24"/>
  <c r="A145" i="24"/>
  <c r="J145" i="24"/>
  <c r="N145" i="24"/>
  <c r="O145" i="24"/>
  <c r="M146" i="24" s="1"/>
  <c r="P145" i="24"/>
  <c r="AG145" i="24"/>
  <c r="AK145" i="24"/>
  <c r="AL145" i="24"/>
  <c r="AJ146" i="24" s="1"/>
  <c r="AM145" i="24"/>
  <c r="BD145" i="24"/>
  <c r="BH145" i="24"/>
  <c r="BI145" i="24"/>
  <c r="BG146" i="24" s="1"/>
  <c r="BJ145" i="24"/>
  <c r="A146" i="24"/>
  <c r="J146" i="24"/>
  <c r="N146" i="24"/>
  <c r="O146" i="24"/>
  <c r="M147" i="24" s="1"/>
  <c r="P146" i="24"/>
  <c r="AG146" i="24"/>
  <c r="AK146" i="24"/>
  <c r="AL146" i="24"/>
  <c r="AJ147" i="24" s="1"/>
  <c r="AM146" i="24"/>
  <c r="BD146" i="24"/>
  <c r="BH146" i="24"/>
  <c r="BI146" i="24"/>
  <c r="BJ146" i="24"/>
  <c r="A147" i="24"/>
  <c r="J147" i="24"/>
  <c r="N147" i="24"/>
  <c r="O147" i="24"/>
  <c r="M148" i="24" s="1"/>
  <c r="P147" i="24"/>
  <c r="AG147" i="24"/>
  <c r="AK147" i="24"/>
  <c r="AL147" i="24"/>
  <c r="AJ148" i="24" s="1"/>
  <c r="AM147" i="24"/>
  <c r="BD147" i="24"/>
  <c r="BG147" i="24"/>
  <c r="BH147" i="24"/>
  <c r="BI147" i="24"/>
  <c r="BG148" i="24" s="1"/>
  <c r="BJ147" i="24"/>
  <c r="A148" i="24"/>
  <c r="J148" i="24"/>
  <c r="N148" i="24"/>
  <c r="O148" i="24"/>
  <c r="P148" i="24"/>
  <c r="AG148" i="24"/>
  <c r="AK148" i="24"/>
  <c r="AL148" i="24"/>
  <c r="AJ149" i="24" s="1"/>
  <c r="AM148" i="24"/>
  <c r="BD148" i="24"/>
  <c r="BH148" i="24"/>
  <c r="BI148" i="24"/>
  <c r="BG149" i="24" s="1"/>
  <c r="BJ148" i="24"/>
  <c r="A149" i="24"/>
  <c r="J149" i="24"/>
  <c r="M149" i="24"/>
  <c r="N149" i="24"/>
  <c r="O149" i="24"/>
  <c r="M150" i="24" s="1"/>
  <c r="P149" i="24"/>
  <c r="AG149" i="24"/>
  <c r="AK149" i="24"/>
  <c r="AL149" i="24"/>
  <c r="AJ150" i="24" s="1"/>
  <c r="AM149" i="24"/>
  <c r="BD149" i="24"/>
  <c r="BH149" i="24"/>
  <c r="BI149" i="24"/>
  <c r="BG150" i="24" s="1"/>
  <c r="BJ149" i="24"/>
  <c r="A150" i="24"/>
  <c r="J150" i="24"/>
  <c r="N150" i="24"/>
  <c r="O150" i="24"/>
  <c r="M151" i="24" s="1"/>
  <c r="P150" i="24"/>
  <c r="AG150" i="24"/>
  <c r="AK150" i="24"/>
  <c r="AL150" i="24"/>
  <c r="AJ151" i="24" s="1"/>
  <c r="AM150" i="24"/>
  <c r="BD150" i="24"/>
  <c r="BH150" i="24"/>
  <c r="BI150" i="24"/>
  <c r="BG151" i="24" s="1"/>
  <c r="BJ150" i="24"/>
  <c r="A151" i="24"/>
  <c r="J151" i="24"/>
  <c r="N151" i="24"/>
  <c r="O151" i="24"/>
  <c r="M152" i="24" s="1"/>
  <c r="P151" i="24"/>
  <c r="AG151" i="24"/>
  <c r="AK151" i="24"/>
  <c r="AL151" i="24"/>
  <c r="AJ152" i="24" s="1"/>
  <c r="AM151" i="24"/>
  <c r="BD151" i="24"/>
  <c r="BH151" i="24"/>
  <c r="BI151" i="24"/>
  <c r="BG152" i="24" s="1"/>
  <c r="BJ151" i="24"/>
  <c r="A152" i="24"/>
  <c r="J152" i="24"/>
  <c r="N152" i="24"/>
  <c r="O152" i="24"/>
  <c r="M153" i="24" s="1"/>
  <c r="P152" i="24"/>
  <c r="AG152" i="24"/>
  <c r="AK152" i="24"/>
  <c r="AL152" i="24"/>
  <c r="AJ153" i="24" s="1"/>
  <c r="AM152" i="24"/>
  <c r="BD152" i="24"/>
  <c r="BH152" i="24"/>
  <c r="BI152" i="24"/>
  <c r="BG153" i="24" s="1"/>
  <c r="BJ152" i="24"/>
  <c r="A153" i="24"/>
  <c r="J153" i="24"/>
  <c r="N153" i="24"/>
  <c r="O153" i="24"/>
  <c r="M154" i="24" s="1"/>
  <c r="P153" i="24"/>
  <c r="AG153" i="24"/>
  <c r="AK153" i="24"/>
  <c r="AL153" i="24"/>
  <c r="AM153" i="24"/>
  <c r="BD153" i="24"/>
  <c r="BH153" i="24"/>
  <c r="BI153" i="24"/>
  <c r="BG154" i="24" s="1"/>
  <c r="BJ153" i="24"/>
  <c r="A154" i="24"/>
  <c r="J154" i="24"/>
  <c r="N154" i="24"/>
  <c r="O154" i="24"/>
  <c r="M155" i="24" s="1"/>
  <c r="P154" i="24"/>
  <c r="AG154" i="24"/>
  <c r="AJ154" i="24"/>
  <c r="AK154" i="24"/>
  <c r="AL154" i="24"/>
  <c r="AJ155" i="24" s="1"/>
  <c r="AM154" i="24"/>
  <c r="BD154" i="24"/>
  <c r="BH154" i="24"/>
  <c r="BI154" i="24"/>
  <c r="BG155" i="24" s="1"/>
  <c r="BJ154" i="24"/>
  <c r="A155" i="24"/>
  <c r="J155" i="24"/>
  <c r="N155" i="24"/>
  <c r="O155" i="24"/>
  <c r="M156" i="24" s="1"/>
  <c r="P155" i="24"/>
  <c r="AG155" i="24"/>
  <c r="AK155" i="24"/>
  <c r="AL155" i="24"/>
  <c r="AJ156" i="24" s="1"/>
  <c r="AM155" i="24"/>
  <c r="BD155" i="24"/>
  <c r="BH155" i="24"/>
  <c r="BI155" i="24"/>
  <c r="BJ155" i="24"/>
  <c r="A156" i="24"/>
  <c r="J156" i="24"/>
  <c r="N156" i="24"/>
  <c r="O156" i="24"/>
  <c r="M157" i="24" s="1"/>
  <c r="P156" i="24"/>
  <c r="AG156" i="24"/>
  <c r="AK156" i="24"/>
  <c r="AL156" i="24"/>
  <c r="AJ157" i="24" s="1"/>
  <c r="AM156" i="24"/>
  <c r="BD156" i="24"/>
  <c r="BG156" i="24"/>
  <c r="BH156" i="24"/>
  <c r="BI156" i="24"/>
  <c r="BG157" i="24" s="1"/>
  <c r="BJ156" i="24"/>
  <c r="A157" i="24"/>
  <c r="J157" i="24"/>
  <c r="N157" i="24"/>
  <c r="O157" i="24"/>
  <c r="M158" i="24" s="1"/>
  <c r="P157" i="24"/>
  <c r="AG157" i="24"/>
  <c r="AK157" i="24"/>
  <c r="AL157" i="24"/>
  <c r="AJ158" i="24" s="1"/>
  <c r="AM157" i="24"/>
  <c r="BD157" i="24"/>
  <c r="BH157" i="24"/>
  <c r="BI157" i="24"/>
  <c r="BG158" i="24" s="1"/>
  <c r="BJ157" i="24"/>
  <c r="A158" i="24"/>
  <c r="J158" i="24"/>
  <c r="N158" i="24"/>
  <c r="O158" i="24"/>
  <c r="M159" i="24" s="1"/>
  <c r="P158" i="24"/>
  <c r="AG158" i="24"/>
  <c r="AK158" i="24"/>
  <c r="AL158" i="24"/>
  <c r="AJ159" i="24" s="1"/>
  <c r="AM158" i="24"/>
  <c r="BD158" i="24"/>
  <c r="BH158" i="24"/>
  <c r="BI158" i="24"/>
  <c r="BG159" i="24" s="1"/>
  <c r="BJ158" i="24"/>
  <c r="A159" i="24"/>
  <c r="J159" i="24"/>
  <c r="N159" i="24"/>
  <c r="O159" i="24"/>
  <c r="M160" i="24" s="1"/>
  <c r="P159" i="24"/>
  <c r="AG159" i="24"/>
  <c r="AK159" i="24"/>
  <c r="AL159" i="24"/>
  <c r="AJ160" i="24" s="1"/>
  <c r="AM159" i="24"/>
  <c r="BD159" i="24"/>
  <c r="BH159" i="24"/>
  <c r="BI159" i="24"/>
  <c r="BG160" i="24" s="1"/>
  <c r="BJ159" i="24"/>
  <c r="A160" i="24"/>
  <c r="J160" i="24"/>
  <c r="N160" i="24"/>
  <c r="O160" i="24"/>
  <c r="M161" i="24" s="1"/>
  <c r="P160" i="24"/>
  <c r="AG160" i="24"/>
  <c r="AK160" i="24"/>
  <c r="AL160" i="24"/>
  <c r="AJ161" i="24" s="1"/>
  <c r="AM160" i="24"/>
  <c r="BD160" i="24"/>
  <c r="BH160" i="24"/>
  <c r="BI160" i="24"/>
  <c r="BG161" i="24" s="1"/>
  <c r="BJ160" i="24"/>
  <c r="A161" i="24"/>
  <c r="J161" i="24"/>
  <c r="N161" i="24"/>
  <c r="O161" i="24"/>
  <c r="M162" i="24" s="1"/>
  <c r="P161" i="24"/>
  <c r="AG161" i="24"/>
  <c r="AK161" i="24"/>
  <c r="AL161" i="24"/>
  <c r="AJ162" i="24" s="1"/>
  <c r="AM161" i="24"/>
  <c r="BD161" i="24"/>
  <c r="BH161" i="24"/>
  <c r="BI161" i="24"/>
  <c r="BG162" i="24" s="1"/>
  <c r="BJ161" i="24"/>
  <c r="A162" i="24"/>
  <c r="J162" i="24"/>
  <c r="N162" i="24"/>
  <c r="O162" i="24"/>
  <c r="M163" i="24" s="1"/>
  <c r="P162" i="24"/>
  <c r="AG162" i="24"/>
  <c r="AK162" i="24"/>
  <c r="AL162" i="24"/>
  <c r="AJ163" i="24" s="1"/>
  <c r="AM162" i="24"/>
  <c r="BD162" i="24"/>
  <c r="BH162" i="24"/>
  <c r="BI162" i="24"/>
  <c r="BG163" i="24" s="1"/>
  <c r="BJ162" i="24"/>
  <c r="A163" i="24"/>
  <c r="J163" i="24"/>
  <c r="N163" i="24"/>
  <c r="O163" i="24"/>
  <c r="M164" i="24" s="1"/>
  <c r="P163" i="24"/>
  <c r="AG163" i="24"/>
  <c r="AK163" i="24"/>
  <c r="AL163" i="24"/>
  <c r="AJ164" i="24" s="1"/>
  <c r="AM163" i="24"/>
  <c r="BD163" i="24"/>
  <c r="BH163" i="24"/>
  <c r="BI163" i="24"/>
  <c r="BG164" i="24" s="1"/>
  <c r="BJ163" i="24"/>
  <c r="A164" i="24"/>
  <c r="J164" i="24"/>
  <c r="N164" i="24"/>
  <c r="O164" i="24"/>
  <c r="M165" i="24" s="1"/>
  <c r="P164" i="24"/>
  <c r="AG164" i="24"/>
  <c r="AK164" i="24"/>
  <c r="AL164" i="24"/>
  <c r="AJ165" i="24" s="1"/>
  <c r="AM164" i="24"/>
  <c r="BD164" i="24"/>
  <c r="BH164" i="24"/>
  <c r="BI164" i="24"/>
  <c r="BG165" i="24" s="1"/>
  <c r="BJ164" i="24"/>
  <c r="A165" i="24"/>
  <c r="J165" i="24"/>
  <c r="N165" i="24"/>
  <c r="O165" i="24"/>
  <c r="M166" i="24" s="1"/>
  <c r="P165" i="24"/>
  <c r="AG165" i="24"/>
  <c r="AK165" i="24"/>
  <c r="AL165" i="24"/>
  <c r="AJ166" i="24" s="1"/>
  <c r="AM165" i="24"/>
  <c r="BD165" i="24"/>
  <c r="BH165" i="24"/>
  <c r="BI165" i="24"/>
  <c r="BG166" i="24" s="1"/>
  <c r="BJ165" i="24"/>
  <c r="A166" i="24"/>
  <c r="J166" i="24"/>
  <c r="N166" i="24"/>
  <c r="O166" i="24"/>
  <c r="M167" i="24" s="1"/>
  <c r="P166" i="24"/>
  <c r="AG166" i="24"/>
  <c r="AK166" i="24"/>
  <c r="AL166" i="24"/>
  <c r="AJ167" i="24" s="1"/>
  <c r="AM166" i="24"/>
  <c r="BD166" i="24"/>
  <c r="BH166" i="24"/>
  <c r="BI166" i="24"/>
  <c r="BG167" i="24" s="1"/>
  <c r="BJ166" i="24"/>
  <c r="A167" i="24"/>
  <c r="J167" i="24"/>
  <c r="N167" i="24"/>
  <c r="O167" i="24"/>
  <c r="M168" i="24" s="1"/>
  <c r="P167" i="24"/>
  <c r="AG167" i="24"/>
  <c r="AK167" i="24"/>
  <c r="AL167" i="24"/>
  <c r="AJ168" i="24" s="1"/>
  <c r="AM167" i="24"/>
  <c r="BD167" i="24"/>
  <c r="BH167" i="24"/>
  <c r="BI167" i="24"/>
  <c r="BG168" i="24" s="1"/>
  <c r="BJ167" i="24"/>
  <c r="A168" i="24"/>
  <c r="J168" i="24"/>
  <c r="N168" i="24"/>
  <c r="O168" i="24"/>
  <c r="M169" i="24" s="1"/>
  <c r="P168" i="24"/>
  <c r="AG168" i="24"/>
  <c r="AK168" i="24"/>
  <c r="AL168" i="24"/>
  <c r="AJ169" i="24" s="1"/>
  <c r="AM168" i="24"/>
  <c r="BD168" i="24"/>
  <c r="BH168" i="24"/>
  <c r="BI168" i="24"/>
  <c r="BG169" i="24" s="1"/>
  <c r="BJ168" i="24"/>
  <c r="A169" i="24"/>
  <c r="J169" i="24"/>
  <c r="N169" i="24"/>
  <c r="O169" i="24"/>
  <c r="M170" i="24" s="1"/>
  <c r="P169" i="24"/>
  <c r="AG169" i="24"/>
  <c r="AK169" i="24"/>
  <c r="AL169" i="24"/>
  <c r="AJ170" i="24" s="1"/>
  <c r="AM169" i="24"/>
  <c r="BD169" i="24"/>
  <c r="BH169" i="24"/>
  <c r="BI169" i="24"/>
  <c r="BG170" i="24" s="1"/>
  <c r="BJ169" i="24"/>
  <c r="A170" i="24"/>
  <c r="J170" i="24"/>
  <c r="N170" i="24"/>
  <c r="O170" i="24"/>
  <c r="M171" i="24" s="1"/>
  <c r="P170" i="24"/>
  <c r="AG170" i="24"/>
  <c r="AK170" i="24"/>
  <c r="AL170" i="24"/>
  <c r="AJ171" i="24" s="1"/>
  <c r="AM170" i="24"/>
  <c r="BD170" i="24"/>
  <c r="BH170" i="24"/>
  <c r="BI170" i="24"/>
  <c r="BG171" i="24" s="1"/>
  <c r="BJ170" i="24"/>
  <c r="A171" i="24"/>
  <c r="J171" i="24"/>
  <c r="N171" i="24"/>
  <c r="O171" i="24"/>
  <c r="M172" i="24" s="1"/>
  <c r="P171" i="24"/>
  <c r="AG171" i="24"/>
  <c r="AK171" i="24"/>
  <c r="AL171" i="24"/>
  <c r="AJ172" i="24" s="1"/>
  <c r="AM171" i="24"/>
  <c r="BD171" i="24"/>
  <c r="BH171" i="24"/>
  <c r="BI171" i="24"/>
  <c r="BG172" i="24" s="1"/>
  <c r="BJ171" i="24"/>
  <c r="A172" i="24"/>
  <c r="J172" i="24"/>
  <c r="N172" i="24"/>
  <c r="O172" i="24"/>
  <c r="M173" i="24" s="1"/>
  <c r="P172" i="24"/>
  <c r="AG172" i="24"/>
  <c r="AK172" i="24"/>
  <c r="AL172" i="24"/>
  <c r="AJ173" i="24" s="1"/>
  <c r="AM172" i="24"/>
  <c r="BD172" i="24"/>
  <c r="BH172" i="24"/>
  <c r="BI172" i="24"/>
  <c r="BG173" i="24" s="1"/>
  <c r="BJ172" i="24"/>
  <c r="A173" i="24"/>
  <c r="J173" i="24"/>
  <c r="N173" i="24"/>
  <c r="O173" i="24"/>
  <c r="M174" i="24" s="1"/>
  <c r="P173" i="24"/>
  <c r="AG173" i="24"/>
  <c r="AK173" i="24"/>
  <c r="AL173" i="24"/>
  <c r="AJ174" i="24" s="1"/>
  <c r="AM173" i="24"/>
  <c r="BD173" i="24"/>
  <c r="BH173" i="24"/>
  <c r="BI173" i="24"/>
  <c r="BG174" i="24" s="1"/>
  <c r="BJ173" i="24"/>
  <c r="A174" i="24"/>
  <c r="J174" i="24"/>
  <c r="N174" i="24"/>
  <c r="O174" i="24"/>
  <c r="M175" i="24" s="1"/>
  <c r="P174" i="24"/>
  <c r="AG174" i="24"/>
  <c r="AK174" i="24"/>
  <c r="AL174" i="24"/>
  <c r="AJ175" i="24" s="1"/>
  <c r="AM174" i="24"/>
  <c r="BD174" i="24"/>
  <c r="BH174" i="24"/>
  <c r="BI174" i="24"/>
  <c r="BG175" i="24" s="1"/>
  <c r="BJ174" i="24"/>
  <c r="A175" i="24"/>
  <c r="J175" i="24"/>
  <c r="N175" i="24"/>
  <c r="O175" i="24"/>
  <c r="M176" i="24" s="1"/>
  <c r="P175" i="24"/>
  <c r="AG175" i="24"/>
  <c r="AK175" i="24"/>
  <c r="AL175" i="24"/>
  <c r="AJ176" i="24" s="1"/>
  <c r="AM175" i="24"/>
  <c r="BD175" i="24"/>
  <c r="BH175" i="24"/>
  <c r="BI175" i="24"/>
  <c r="BG176" i="24" s="1"/>
  <c r="BJ175" i="24"/>
  <c r="A176" i="24"/>
  <c r="J176" i="24"/>
  <c r="N176" i="24"/>
  <c r="O176" i="24"/>
  <c r="M177" i="24" s="1"/>
  <c r="P176" i="24"/>
  <c r="AG176" i="24"/>
  <c r="AK176" i="24"/>
  <c r="AL176" i="24"/>
  <c r="AM176" i="24"/>
  <c r="BD176" i="24"/>
  <c r="BH176" i="24"/>
  <c r="BI176" i="24"/>
  <c r="BG177" i="24" s="1"/>
  <c r="BJ176" i="24"/>
  <c r="A177" i="24"/>
  <c r="J177" i="24"/>
  <c r="N177" i="24"/>
  <c r="O177" i="24"/>
  <c r="M178" i="24" s="1"/>
  <c r="P177" i="24"/>
  <c r="AG177" i="24"/>
  <c r="AJ177" i="24"/>
  <c r="AK177" i="24"/>
  <c r="AL177" i="24"/>
  <c r="AJ178" i="24" s="1"/>
  <c r="AM177" i="24"/>
  <c r="BD177" i="24"/>
  <c r="BH177" i="24"/>
  <c r="BI177" i="24"/>
  <c r="BJ177" i="24"/>
  <c r="A178" i="24"/>
  <c r="J178" i="24"/>
  <c r="N178" i="24"/>
  <c r="O178" i="24"/>
  <c r="M179" i="24" s="1"/>
  <c r="P178" i="24"/>
  <c r="AG178" i="24"/>
  <c r="AK178" i="24"/>
  <c r="AL178" i="24"/>
  <c r="AJ179" i="24" s="1"/>
  <c r="AM178" i="24"/>
  <c r="BD178" i="24"/>
  <c r="BG178" i="24"/>
  <c r="BH178" i="24"/>
  <c r="BI178" i="24"/>
  <c r="BG179" i="24" s="1"/>
  <c r="BJ178" i="24"/>
  <c r="A179" i="24"/>
  <c r="J179" i="24"/>
  <c r="N179" i="24"/>
  <c r="O179" i="24"/>
  <c r="M180" i="24" s="1"/>
  <c r="P179" i="24"/>
  <c r="AG179" i="24"/>
  <c r="AK179" i="24"/>
  <c r="AL179" i="24"/>
  <c r="AJ180" i="24" s="1"/>
  <c r="AM179" i="24"/>
  <c r="BD179" i="24"/>
  <c r="BH179" i="24"/>
  <c r="BI179" i="24"/>
  <c r="BG180" i="24" s="1"/>
  <c r="BJ179" i="24"/>
  <c r="A180" i="24"/>
  <c r="J180" i="24"/>
  <c r="N180" i="24"/>
  <c r="O180" i="24"/>
  <c r="M181" i="24" s="1"/>
  <c r="P180" i="24"/>
  <c r="AG180" i="24"/>
  <c r="AK180" i="24"/>
  <c r="AL180" i="24"/>
  <c r="AJ181" i="24" s="1"/>
  <c r="AM180" i="24"/>
  <c r="BD180" i="24"/>
  <c r="BH180" i="24"/>
  <c r="BI180" i="24"/>
  <c r="BG181" i="24" s="1"/>
  <c r="BJ180" i="24"/>
  <c r="A181" i="24"/>
  <c r="J181" i="24"/>
  <c r="N181" i="24"/>
  <c r="O181" i="24"/>
  <c r="M182" i="24" s="1"/>
  <c r="P181" i="24"/>
  <c r="AG181" i="24"/>
  <c r="AK181" i="24"/>
  <c r="AL181" i="24"/>
  <c r="AJ182" i="24" s="1"/>
  <c r="AM181" i="24"/>
  <c r="BD181" i="24"/>
  <c r="BH181" i="24"/>
  <c r="BI181" i="24"/>
  <c r="BG182" i="24" s="1"/>
  <c r="BJ181" i="24"/>
  <c r="A182" i="24"/>
  <c r="J182" i="24"/>
  <c r="N182" i="24"/>
  <c r="O182" i="24"/>
  <c r="M183" i="24" s="1"/>
  <c r="P182" i="24"/>
  <c r="AG182" i="24"/>
  <c r="AK182" i="24"/>
  <c r="AL182" i="24"/>
  <c r="AJ183" i="24" s="1"/>
  <c r="AM182" i="24"/>
  <c r="BD182" i="24"/>
  <c r="BH182" i="24"/>
  <c r="BI182" i="24"/>
  <c r="BG183" i="24" s="1"/>
  <c r="BJ182" i="24"/>
  <c r="A183" i="24"/>
  <c r="J183" i="24"/>
  <c r="N183" i="24"/>
  <c r="O183" i="24"/>
  <c r="M184" i="24" s="1"/>
  <c r="P183" i="24"/>
  <c r="AG183" i="24"/>
  <c r="AK183" i="24"/>
  <c r="AL183" i="24"/>
  <c r="AJ184" i="24" s="1"/>
  <c r="AM183" i="24"/>
  <c r="BD183" i="24"/>
  <c r="BH183" i="24"/>
  <c r="BI183" i="24"/>
  <c r="BG184" i="24" s="1"/>
  <c r="BJ183" i="24"/>
  <c r="A184" i="24"/>
  <c r="J184" i="24"/>
  <c r="N184" i="24"/>
  <c r="O184" i="24"/>
  <c r="M185" i="24" s="1"/>
  <c r="P184" i="24"/>
  <c r="AG184" i="24"/>
  <c r="AK184" i="24"/>
  <c r="AL184" i="24"/>
  <c r="AJ185" i="24" s="1"/>
  <c r="AM184" i="24"/>
  <c r="BD184" i="24"/>
  <c r="BH184" i="24"/>
  <c r="BI184" i="24"/>
  <c r="BG185" i="24" s="1"/>
  <c r="BJ184" i="24"/>
  <c r="A185" i="24"/>
  <c r="J185" i="24"/>
  <c r="N185" i="24"/>
  <c r="O185" i="24"/>
  <c r="M186" i="24" s="1"/>
  <c r="P185" i="24"/>
  <c r="AG185" i="24"/>
  <c r="AK185" i="24"/>
  <c r="AL185" i="24"/>
  <c r="AJ186" i="24" s="1"/>
  <c r="AM185" i="24"/>
  <c r="BD185" i="24"/>
  <c r="BH185" i="24"/>
  <c r="BI185" i="24"/>
  <c r="BG186" i="24" s="1"/>
  <c r="BJ185" i="24"/>
  <c r="A186" i="24"/>
  <c r="J186" i="24"/>
  <c r="N186" i="24"/>
  <c r="O186" i="24"/>
  <c r="P186" i="24"/>
  <c r="AG186" i="24"/>
  <c r="AK186" i="24"/>
  <c r="AL186" i="24"/>
  <c r="AJ187" i="24" s="1"/>
  <c r="AM186" i="24"/>
  <c r="BD186" i="24"/>
  <c r="BH186" i="24"/>
  <c r="BI186" i="24"/>
  <c r="BG187" i="24" s="1"/>
  <c r="BJ186" i="24"/>
  <c r="A187" i="24"/>
  <c r="J187" i="24"/>
  <c r="M187" i="24"/>
  <c r="N187" i="24"/>
  <c r="O187" i="24"/>
  <c r="M188" i="24" s="1"/>
  <c r="P187" i="24"/>
  <c r="AG187" i="24"/>
  <c r="AK187" i="24"/>
  <c r="AL187" i="24"/>
  <c r="AJ188" i="24" s="1"/>
  <c r="AM187" i="24"/>
  <c r="BD187" i="24"/>
  <c r="BH187" i="24"/>
  <c r="BI187" i="24"/>
  <c r="BG188" i="24" s="1"/>
  <c r="BJ187" i="24"/>
  <c r="A188" i="24"/>
  <c r="J188" i="24"/>
  <c r="N188" i="24"/>
  <c r="O188" i="24"/>
  <c r="M189" i="24" s="1"/>
  <c r="P188" i="24"/>
  <c r="AG188" i="24"/>
  <c r="AK188" i="24"/>
  <c r="AL188" i="24"/>
  <c r="AJ189" i="24" s="1"/>
  <c r="AM188" i="24"/>
  <c r="BD188" i="24"/>
  <c r="BH188" i="24"/>
  <c r="BI188" i="24"/>
  <c r="BG189" i="24" s="1"/>
  <c r="BJ188" i="24"/>
  <c r="A189" i="24"/>
  <c r="J189" i="24"/>
  <c r="N189" i="24"/>
  <c r="O189" i="24"/>
  <c r="M190" i="24" s="1"/>
  <c r="P189" i="24"/>
  <c r="AG189" i="24"/>
  <c r="AK189" i="24"/>
  <c r="AL189" i="24"/>
  <c r="AJ190" i="24" s="1"/>
  <c r="AM189" i="24"/>
  <c r="BD189" i="24"/>
  <c r="BH189" i="24"/>
  <c r="BI189" i="24"/>
  <c r="BG190" i="24" s="1"/>
  <c r="BJ189" i="24"/>
  <c r="A190" i="24"/>
  <c r="J190" i="24"/>
  <c r="N190" i="24"/>
  <c r="O190" i="24"/>
  <c r="M191" i="24" s="1"/>
  <c r="P190" i="24"/>
  <c r="AG190" i="24"/>
  <c r="AK190" i="24"/>
  <c r="AL190" i="24"/>
  <c r="AJ191" i="24" s="1"/>
  <c r="AM190" i="24"/>
  <c r="BD190" i="24"/>
  <c r="BH190" i="24"/>
  <c r="BI190" i="24"/>
  <c r="BG191" i="24" s="1"/>
  <c r="BJ190" i="24"/>
  <c r="A191" i="24"/>
  <c r="J191" i="24"/>
  <c r="N191" i="24"/>
  <c r="O191" i="24"/>
  <c r="M192" i="24" s="1"/>
  <c r="P191" i="24"/>
  <c r="AG191" i="24"/>
  <c r="AK191" i="24"/>
  <c r="AL191" i="24"/>
  <c r="AJ192" i="24" s="1"/>
  <c r="AM191" i="24"/>
  <c r="BD191" i="24"/>
  <c r="BH191" i="24"/>
  <c r="BI191" i="24"/>
  <c r="BG192" i="24" s="1"/>
  <c r="BJ191" i="24"/>
  <c r="A192" i="24"/>
  <c r="J192" i="24"/>
  <c r="N192" i="24"/>
  <c r="O192" i="24"/>
  <c r="M193" i="24" s="1"/>
  <c r="P192" i="24"/>
  <c r="AG192" i="24"/>
  <c r="AK192" i="24"/>
  <c r="AL192" i="24"/>
  <c r="AJ193" i="24" s="1"/>
  <c r="AM192" i="24"/>
  <c r="BD192" i="24"/>
  <c r="BH192" i="24"/>
  <c r="BI192" i="24"/>
  <c r="BG193" i="24" s="1"/>
  <c r="BJ192" i="24"/>
  <c r="A193" i="24"/>
  <c r="J193" i="24"/>
  <c r="N193" i="24"/>
  <c r="O193" i="24"/>
  <c r="M194" i="24" s="1"/>
  <c r="P193" i="24"/>
  <c r="AG193" i="24"/>
  <c r="AK193" i="24"/>
  <c r="AL193" i="24"/>
  <c r="AJ194" i="24" s="1"/>
  <c r="AM193" i="24"/>
  <c r="BD193" i="24"/>
  <c r="BH193" i="24"/>
  <c r="BI193" i="24"/>
  <c r="BG194" i="24" s="1"/>
  <c r="BJ193" i="24"/>
  <c r="A194" i="24"/>
  <c r="J194" i="24"/>
  <c r="N194" i="24"/>
  <c r="O194" i="24"/>
  <c r="M195" i="24" s="1"/>
  <c r="P194" i="24"/>
  <c r="AG194" i="24"/>
  <c r="AK194" i="24"/>
  <c r="AL194" i="24"/>
  <c r="AJ195" i="24" s="1"/>
  <c r="AM194" i="24"/>
  <c r="BD194" i="24"/>
  <c r="BH194" i="24"/>
  <c r="BI194" i="24"/>
  <c r="BG195" i="24" s="1"/>
  <c r="BJ194" i="24"/>
  <c r="B2" i="23"/>
  <c r="D2" i="23" s="1"/>
  <c r="C2" i="24" s="1"/>
  <c r="M2" i="23"/>
  <c r="P2" i="23"/>
  <c r="Q2" i="23"/>
  <c r="R2" i="23" s="1"/>
  <c r="T2" i="23"/>
  <c r="U2" i="23"/>
  <c r="V2" i="23" s="1"/>
  <c r="AE2" i="23"/>
  <c r="AM2" i="23"/>
  <c r="AP2" i="23"/>
  <c r="AQ2" i="23"/>
  <c r="AM3" i="23" s="1"/>
  <c r="AR2" i="23"/>
  <c r="BD2" i="23"/>
  <c r="B3" i="23"/>
  <c r="B3" i="24" s="1"/>
  <c r="M3" i="23"/>
  <c r="P3" i="23"/>
  <c r="Q3" i="23"/>
  <c r="R3" i="23" s="1"/>
  <c r="T3" i="23"/>
  <c r="U3" i="23"/>
  <c r="V3" i="23" s="1"/>
  <c r="AC3" i="23"/>
  <c r="AP3" i="23"/>
  <c r="AQ3" i="23"/>
  <c r="AR3" i="23"/>
  <c r="AT3" i="23"/>
  <c r="B4" i="23"/>
  <c r="C4" i="23" s="1"/>
  <c r="AF4" i="23" s="1"/>
  <c r="AH4" i="23" s="1"/>
  <c r="M4" i="23"/>
  <c r="P4" i="23"/>
  <c r="Q4" i="23"/>
  <c r="R4" i="23" s="1"/>
  <c r="T4" i="23"/>
  <c r="U4" i="23"/>
  <c r="V4" i="23" s="1"/>
  <c r="AC4" i="23"/>
  <c r="AM4" i="23"/>
  <c r="AP4" i="23"/>
  <c r="AQ4" i="23"/>
  <c r="AR4" i="23"/>
  <c r="B5" i="23"/>
  <c r="C5" i="23" s="1"/>
  <c r="M5" i="23"/>
  <c r="P5" i="23"/>
  <c r="Q5" i="23"/>
  <c r="R5" i="23" s="1"/>
  <c r="T5" i="23"/>
  <c r="U5" i="23"/>
  <c r="V5" i="23" s="1"/>
  <c r="AC5" i="23"/>
  <c r="AM5" i="23"/>
  <c r="AP5" i="23"/>
  <c r="AQ5" i="23"/>
  <c r="AM6" i="23" s="1"/>
  <c r="AR5" i="23"/>
  <c r="B6" i="23"/>
  <c r="C6" i="23" s="1"/>
  <c r="X6" i="23" s="1"/>
  <c r="D6" i="23"/>
  <c r="C6" i="24" s="1"/>
  <c r="M6" i="23"/>
  <c r="P6" i="23"/>
  <c r="Q6" i="23"/>
  <c r="R6" i="23" s="1"/>
  <c r="T6" i="23"/>
  <c r="U6" i="23"/>
  <c r="V6" i="23" s="1"/>
  <c r="AC6" i="23"/>
  <c r="AP6" i="23"/>
  <c r="AQ6" i="23"/>
  <c r="AM7" i="23" s="1"/>
  <c r="AR6" i="23"/>
  <c r="B7" i="23"/>
  <c r="B7" i="24" s="1"/>
  <c r="M7" i="23"/>
  <c r="P7" i="23"/>
  <c r="Q7" i="23"/>
  <c r="R7" i="23" s="1"/>
  <c r="T7" i="23"/>
  <c r="U7" i="23"/>
  <c r="V7" i="23" s="1"/>
  <c r="AC7" i="23"/>
  <c r="AD7" i="23"/>
  <c r="AP7" i="23"/>
  <c r="AQ7" i="23"/>
  <c r="AM8" i="23" s="1"/>
  <c r="AR7" i="23"/>
  <c r="B8" i="23"/>
  <c r="B8" i="24" s="1"/>
  <c r="M8" i="23"/>
  <c r="P8" i="23"/>
  <c r="Q8" i="23"/>
  <c r="R8" i="23" s="1"/>
  <c r="T8" i="23"/>
  <c r="U8" i="23"/>
  <c r="V8" i="23" s="1"/>
  <c r="AC8" i="23"/>
  <c r="AP8" i="23"/>
  <c r="AQ8" i="23"/>
  <c r="AM9" i="23" s="1"/>
  <c r="AR8" i="23"/>
  <c r="B9" i="23"/>
  <c r="B9" i="24" s="1"/>
  <c r="M9" i="23"/>
  <c r="P9" i="23"/>
  <c r="AO9" i="23" s="1"/>
  <c r="Q9" i="23"/>
  <c r="R9" i="23" s="1"/>
  <c r="T9" i="23"/>
  <c r="U9" i="23"/>
  <c r="V9" i="23" s="1"/>
  <c r="AC9" i="23"/>
  <c r="AP9" i="23"/>
  <c r="AQ9" i="23"/>
  <c r="AR9" i="23"/>
  <c r="B10" i="23"/>
  <c r="C10" i="23"/>
  <c r="S10" i="23" s="1"/>
  <c r="D10" i="23"/>
  <c r="C10" i="24" s="1"/>
  <c r="M10" i="23"/>
  <c r="P10" i="23"/>
  <c r="Q10" i="23"/>
  <c r="R10" i="23" s="1"/>
  <c r="T10" i="23"/>
  <c r="U10" i="23"/>
  <c r="V10" i="23" s="1"/>
  <c r="AC10" i="23"/>
  <c r="AL10" i="23"/>
  <c r="AM10" i="23"/>
  <c r="AP10" i="23"/>
  <c r="AQ10" i="23"/>
  <c r="AM11" i="23" s="1"/>
  <c r="AR10" i="23"/>
  <c r="B11" i="23"/>
  <c r="C11" i="23" s="1"/>
  <c r="AF11" i="23" s="1"/>
  <c r="AH11" i="23" s="1"/>
  <c r="D11" i="23"/>
  <c r="C11" i="24" s="1"/>
  <c r="M11" i="23"/>
  <c r="P11" i="23"/>
  <c r="Q11" i="23"/>
  <c r="R11" i="23" s="1"/>
  <c r="T11" i="23"/>
  <c r="U11" i="23"/>
  <c r="V11" i="23" s="1"/>
  <c r="AC11" i="23"/>
  <c r="AL11" i="23"/>
  <c r="AP11" i="23"/>
  <c r="AQ11" i="23"/>
  <c r="AM12" i="23" s="1"/>
  <c r="AR11" i="23"/>
  <c r="AU11" i="23"/>
  <c r="B12" i="23"/>
  <c r="B12" i="24" s="1"/>
  <c r="M12" i="23"/>
  <c r="P12" i="23"/>
  <c r="AO12" i="23" s="1"/>
  <c r="Q12" i="23"/>
  <c r="R12" i="23" s="1"/>
  <c r="T12" i="23"/>
  <c r="U12" i="23"/>
  <c r="V12" i="23" s="1"/>
  <c r="AC12" i="23"/>
  <c r="AD12" i="23"/>
  <c r="AP12" i="23"/>
  <c r="AQ12" i="23"/>
  <c r="AM13" i="23" s="1"/>
  <c r="AR12" i="23"/>
  <c r="B13" i="23"/>
  <c r="AL13" i="23" s="1"/>
  <c r="M13" i="23"/>
  <c r="P13" i="23"/>
  <c r="Q13" i="23"/>
  <c r="R13" i="23" s="1"/>
  <c r="T13" i="23"/>
  <c r="U13" i="23"/>
  <c r="V13" i="23"/>
  <c r="AC13" i="23"/>
  <c r="AP13" i="23"/>
  <c r="AQ13" i="23"/>
  <c r="AR13" i="23"/>
  <c r="B14" i="23"/>
  <c r="B14" i="24" s="1"/>
  <c r="M14" i="23"/>
  <c r="P14" i="23"/>
  <c r="Q14" i="23"/>
  <c r="R14" i="23" s="1"/>
  <c r="T14" i="23"/>
  <c r="U14" i="23"/>
  <c r="V14" i="23" s="1"/>
  <c r="AC14" i="23"/>
  <c r="AM14" i="23"/>
  <c r="AP14" i="23"/>
  <c r="AQ14" i="23"/>
  <c r="AM15" i="23" s="1"/>
  <c r="AR14" i="23"/>
  <c r="B15" i="23"/>
  <c r="M15" i="23"/>
  <c r="P15" i="23"/>
  <c r="Q15" i="23"/>
  <c r="R15" i="23" s="1"/>
  <c r="T15" i="23"/>
  <c r="U15" i="23"/>
  <c r="V15" i="23" s="1"/>
  <c r="AC15" i="23"/>
  <c r="AD15" i="23"/>
  <c r="AP15" i="23"/>
  <c r="AQ15" i="23"/>
  <c r="AR15" i="23"/>
  <c r="AU15" i="23"/>
  <c r="B16" i="23"/>
  <c r="C16" i="23" s="1"/>
  <c r="AF16" i="23" s="1"/>
  <c r="AH16" i="23" s="1"/>
  <c r="M16" i="23"/>
  <c r="P16" i="23"/>
  <c r="Q16" i="23"/>
  <c r="R16" i="23" s="1"/>
  <c r="T16" i="23"/>
  <c r="U16" i="23"/>
  <c r="V16" i="23" s="1"/>
  <c r="AC16" i="23"/>
  <c r="AM16" i="23"/>
  <c r="AP16" i="23"/>
  <c r="AQ16" i="23"/>
  <c r="AM17" i="23" s="1"/>
  <c r="AR16" i="23"/>
  <c r="B17" i="23"/>
  <c r="B17" i="24" s="1"/>
  <c r="D17" i="23"/>
  <c r="C17" i="24" s="1"/>
  <c r="M17" i="23"/>
  <c r="P17" i="23"/>
  <c r="Q17" i="23"/>
  <c r="R17" i="23" s="1"/>
  <c r="T17" i="23"/>
  <c r="U17" i="23"/>
  <c r="V17" i="23" s="1"/>
  <c r="AC17" i="23"/>
  <c r="AL17" i="23"/>
  <c r="AP17" i="23"/>
  <c r="AQ17" i="23"/>
  <c r="AM18" i="23" s="1"/>
  <c r="AR17" i="23"/>
  <c r="B18" i="23"/>
  <c r="C18" i="23" s="1"/>
  <c r="AF18" i="23" s="1"/>
  <c r="M18" i="23"/>
  <c r="P18" i="23"/>
  <c r="Q18" i="23"/>
  <c r="R18" i="23" s="1"/>
  <c r="T18" i="23"/>
  <c r="U18" i="23"/>
  <c r="V18" i="23" s="1"/>
  <c r="AC18" i="23"/>
  <c r="AP18" i="23"/>
  <c r="AQ18" i="23"/>
  <c r="AM19" i="23" s="1"/>
  <c r="AR18" i="23"/>
  <c r="B19" i="23"/>
  <c r="M19" i="23"/>
  <c r="P19" i="23"/>
  <c r="Q19" i="23"/>
  <c r="R19" i="23" s="1"/>
  <c r="T19" i="23"/>
  <c r="U19" i="23"/>
  <c r="V19" i="23" s="1"/>
  <c r="AC19" i="23"/>
  <c r="AP19" i="23"/>
  <c r="AQ19" i="23"/>
  <c r="AM20" i="23" s="1"/>
  <c r="AR19" i="23"/>
  <c r="B20" i="23"/>
  <c r="B20" i="24" s="1"/>
  <c r="M20" i="23"/>
  <c r="P20" i="23"/>
  <c r="Q20" i="23"/>
  <c r="R20" i="23" s="1"/>
  <c r="T20" i="23"/>
  <c r="U20" i="23"/>
  <c r="V20" i="23" s="1"/>
  <c r="AC20" i="23"/>
  <c r="AP20" i="23"/>
  <c r="AQ20" i="23"/>
  <c r="AM21" i="23" s="1"/>
  <c r="AR20" i="23"/>
  <c r="AT20" i="23"/>
  <c r="B21" i="23"/>
  <c r="M21" i="23"/>
  <c r="P21" i="23"/>
  <c r="Q21" i="23"/>
  <c r="R21" i="23" s="1"/>
  <c r="T21" i="23"/>
  <c r="U21" i="23"/>
  <c r="V21" i="23" s="1"/>
  <c r="AC21" i="23"/>
  <c r="AP21" i="23"/>
  <c r="AQ21" i="23"/>
  <c r="AM22" i="23" s="1"/>
  <c r="AR21" i="23"/>
  <c r="B22" i="23"/>
  <c r="M22" i="23"/>
  <c r="P22" i="23"/>
  <c r="AO22" i="23" s="1"/>
  <c r="Q22" i="23"/>
  <c r="R22" i="23" s="1"/>
  <c r="T22" i="23"/>
  <c r="U22" i="23"/>
  <c r="V22" i="23" s="1"/>
  <c r="AC22" i="23"/>
  <c r="AP22" i="23"/>
  <c r="AQ22" i="23"/>
  <c r="AM23" i="23" s="1"/>
  <c r="AR22" i="23"/>
  <c r="B23" i="23"/>
  <c r="D23" i="23" s="1"/>
  <c r="C23" i="24" s="1"/>
  <c r="M23" i="23"/>
  <c r="P23" i="23"/>
  <c r="AO23" i="23" s="1"/>
  <c r="Q23" i="23"/>
  <c r="R23" i="23" s="1"/>
  <c r="T23" i="23"/>
  <c r="U23" i="23"/>
  <c r="V23" i="23" s="1"/>
  <c r="AC23" i="23"/>
  <c r="AL23" i="23"/>
  <c r="AP23" i="23"/>
  <c r="AQ23" i="23"/>
  <c r="AM24" i="23" s="1"/>
  <c r="AR23" i="23"/>
  <c r="B24" i="23"/>
  <c r="B24" i="24" s="1"/>
  <c r="M24" i="23"/>
  <c r="P24" i="23"/>
  <c r="Q24" i="23"/>
  <c r="R24" i="23" s="1"/>
  <c r="T24" i="23"/>
  <c r="U24" i="23"/>
  <c r="V24" i="23" s="1"/>
  <c r="AC24" i="23"/>
  <c r="AL24" i="23"/>
  <c r="AP24" i="23"/>
  <c r="AQ24" i="23"/>
  <c r="AR24" i="23"/>
  <c r="AU24" i="23"/>
  <c r="B25" i="23"/>
  <c r="B25" i="24" s="1"/>
  <c r="D25" i="23"/>
  <c r="C25" i="24" s="1"/>
  <c r="M25" i="23"/>
  <c r="P25" i="23"/>
  <c r="Q25" i="23"/>
  <c r="R25" i="23" s="1"/>
  <c r="T25" i="23"/>
  <c r="U25" i="23"/>
  <c r="V25" i="23" s="1"/>
  <c r="AC25" i="23"/>
  <c r="AD25" i="23"/>
  <c r="AL25" i="23"/>
  <c r="AM25" i="23"/>
  <c r="AP25" i="23"/>
  <c r="AQ25" i="23"/>
  <c r="AR25" i="23"/>
  <c r="AT25" i="23"/>
  <c r="B26" i="23"/>
  <c r="B26" i="24" s="1"/>
  <c r="M26" i="23"/>
  <c r="P26" i="23"/>
  <c r="Q26" i="23"/>
  <c r="R26" i="23" s="1"/>
  <c r="T26" i="23"/>
  <c r="U26" i="23"/>
  <c r="V26" i="23" s="1"/>
  <c r="AC26" i="23"/>
  <c r="AM26" i="23"/>
  <c r="AP26" i="23"/>
  <c r="AQ26" i="23"/>
  <c r="AM27" i="23" s="1"/>
  <c r="AR26" i="23"/>
  <c r="B27" i="23"/>
  <c r="B27" i="24" s="1"/>
  <c r="M27" i="23"/>
  <c r="P27" i="23"/>
  <c r="Q27" i="23"/>
  <c r="R27" i="23" s="1"/>
  <c r="T27" i="23"/>
  <c r="U27" i="23"/>
  <c r="V27" i="23" s="1"/>
  <c r="AC27" i="23"/>
  <c r="AP27" i="23"/>
  <c r="AQ27" i="23"/>
  <c r="AM28" i="23" s="1"/>
  <c r="AR27" i="23"/>
  <c r="AT27" i="23"/>
  <c r="B28" i="23"/>
  <c r="B28" i="24" s="1"/>
  <c r="M28" i="23"/>
  <c r="P28" i="23"/>
  <c r="Q28" i="23"/>
  <c r="R28" i="23" s="1"/>
  <c r="T28" i="23"/>
  <c r="U28" i="23"/>
  <c r="V28" i="23" s="1"/>
  <c r="AC28" i="23"/>
  <c r="AP28" i="23"/>
  <c r="AQ28" i="23"/>
  <c r="AM29" i="23" s="1"/>
  <c r="AR28" i="23"/>
  <c r="B29" i="23"/>
  <c r="B29" i="24" s="1"/>
  <c r="M29" i="23"/>
  <c r="P29" i="23"/>
  <c r="Q29" i="23"/>
  <c r="R29" i="23" s="1"/>
  <c r="T29" i="23"/>
  <c r="U29" i="23"/>
  <c r="V29" i="23" s="1"/>
  <c r="AC29" i="23"/>
  <c r="AP29" i="23"/>
  <c r="AQ29" i="23"/>
  <c r="AM30" i="23" s="1"/>
  <c r="AR29" i="23"/>
  <c r="B30" i="23"/>
  <c r="C30" i="23" s="1"/>
  <c r="M30" i="23"/>
  <c r="P30" i="23"/>
  <c r="Q30" i="23"/>
  <c r="R30" i="23" s="1"/>
  <c r="T30" i="23"/>
  <c r="U30" i="23"/>
  <c r="V30" i="23" s="1"/>
  <c r="AC30" i="23"/>
  <c r="AP30" i="23"/>
  <c r="AQ30" i="23"/>
  <c r="AM31" i="23" s="1"/>
  <c r="AR30" i="23"/>
  <c r="B31" i="23"/>
  <c r="AU31" i="23" s="1"/>
  <c r="C31" i="23"/>
  <c r="D31" i="23"/>
  <c r="C31" i="24" s="1"/>
  <c r="M31" i="23"/>
  <c r="P31" i="23"/>
  <c r="Q31" i="23"/>
  <c r="R31" i="23" s="1"/>
  <c r="T31" i="23"/>
  <c r="U31" i="23"/>
  <c r="V31" i="23" s="1"/>
  <c r="AC31" i="23"/>
  <c r="AP31" i="23"/>
  <c r="AQ31" i="23"/>
  <c r="AM32" i="23" s="1"/>
  <c r="AR31" i="23"/>
  <c r="AT31" i="23"/>
  <c r="B32" i="23"/>
  <c r="AD32" i="23" s="1"/>
  <c r="M32" i="23"/>
  <c r="P32" i="23"/>
  <c r="Q32" i="23"/>
  <c r="R32" i="23" s="1"/>
  <c r="T32" i="23"/>
  <c r="U32" i="23"/>
  <c r="V32" i="23" s="1"/>
  <c r="AC32" i="23"/>
  <c r="AP32" i="23"/>
  <c r="AQ32" i="23"/>
  <c r="AM33" i="23" s="1"/>
  <c r="AR32" i="23"/>
  <c r="B33" i="23"/>
  <c r="M33" i="23"/>
  <c r="P33" i="23"/>
  <c r="Q33" i="23"/>
  <c r="R33" i="23" s="1"/>
  <c r="T33" i="23"/>
  <c r="U33" i="23"/>
  <c r="V33" i="23" s="1"/>
  <c r="AC33" i="23"/>
  <c r="AP33" i="23"/>
  <c r="AQ33" i="23"/>
  <c r="AM34" i="23" s="1"/>
  <c r="AR33" i="23"/>
  <c r="B34" i="23"/>
  <c r="B34" i="24" s="1"/>
  <c r="M34" i="23"/>
  <c r="P34" i="23"/>
  <c r="Q34" i="23"/>
  <c r="R34" i="23" s="1"/>
  <c r="AN34" i="23" s="1"/>
  <c r="T34" i="23"/>
  <c r="U34" i="23"/>
  <c r="V34" i="23" s="1"/>
  <c r="AC34" i="23"/>
  <c r="AP34" i="23"/>
  <c r="AQ34" i="23"/>
  <c r="AM35" i="23" s="1"/>
  <c r="AR34" i="23"/>
  <c r="AT34" i="23"/>
  <c r="AU34" i="23"/>
  <c r="B35" i="23"/>
  <c r="M35" i="23"/>
  <c r="P35" i="23"/>
  <c r="Q35" i="23"/>
  <c r="R35" i="23" s="1"/>
  <c r="T35" i="23"/>
  <c r="U35" i="23"/>
  <c r="V35" i="23" s="1"/>
  <c r="AC35" i="23"/>
  <c r="AP35" i="23"/>
  <c r="AQ35" i="23"/>
  <c r="AM36" i="23" s="1"/>
  <c r="AR35" i="23"/>
  <c r="AT35" i="23"/>
  <c r="B36" i="23"/>
  <c r="B36" i="24" s="1"/>
  <c r="BL36" i="24" s="1"/>
  <c r="M36" i="23"/>
  <c r="P36" i="23"/>
  <c r="Q36" i="23"/>
  <c r="R36" i="23" s="1"/>
  <c r="T36" i="23"/>
  <c r="U36" i="23"/>
  <c r="V36" i="23" s="1"/>
  <c r="AC36" i="23"/>
  <c r="AP36" i="23"/>
  <c r="AQ36" i="23"/>
  <c r="AM37" i="23" s="1"/>
  <c r="AR36" i="23"/>
  <c r="AU36" i="23"/>
  <c r="B37" i="23"/>
  <c r="M37" i="23"/>
  <c r="P37" i="23"/>
  <c r="Q37" i="23"/>
  <c r="R37" i="23" s="1"/>
  <c r="T37" i="23"/>
  <c r="U37" i="23"/>
  <c r="V37" i="23" s="1"/>
  <c r="AC37" i="23"/>
  <c r="AP37" i="23"/>
  <c r="AQ37" i="23"/>
  <c r="AR37" i="23"/>
  <c r="B38" i="23"/>
  <c r="B38" i="24" s="1"/>
  <c r="R38" i="24" s="1"/>
  <c r="M38" i="23"/>
  <c r="P38" i="23"/>
  <c r="Q38" i="23"/>
  <c r="R38" i="23" s="1"/>
  <c r="T38" i="23"/>
  <c r="U38" i="23"/>
  <c r="V38" i="23" s="1"/>
  <c r="AC38" i="23"/>
  <c r="AM38" i="23"/>
  <c r="AP38" i="23"/>
  <c r="AQ38" i="23"/>
  <c r="AM39" i="23" s="1"/>
  <c r="AR38" i="23"/>
  <c r="B39" i="23"/>
  <c r="B39" i="24" s="1"/>
  <c r="R39" i="24" s="1"/>
  <c r="M39" i="23"/>
  <c r="P39" i="23"/>
  <c r="Q39" i="23"/>
  <c r="R39" i="23" s="1"/>
  <c r="T39" i="23"/>
  <c r="U39" i="23"/>
  <c r="V39" i="23" s="1"/>
  <c r="AC39" i="23"/>
  <c r="AP39" i="23"/>
  <c r="AQ39" i="23"/>
  <c r="AM40" i="23" s="1"/>
  <c r="AR39" i="23"/>
  <c r="B40" i="23"/>
  <c r="B40" i="24" s="1"/>
  <c r="M40" i="23"/>
  <c r="P40" i="23"/>
  <c r="Q40" i="23"/>
  <c r="R40" i="23" s="1"/>
  <c r="T40" i="23"/>
  <c r="U40" i="23"/>
  <c r="V40" i="23" s="1"/>
  <c r="AC40" i="23"/>
  <c r="AP40" i="23"/>
  <c r="AQ40" i="23"/>
  <c r="AM41" i="23" s="1"/>
  <c r="AR40" i="23"/>
  <c r="B41" i="23"/>
  <c r="B41" i="24" s="1"/>
  <c r="M41" i="23"/>
  <c r="P41" i="23"/>
  <c r="Q41" i="23"/>
  <c r="R41" i="23" s="1"/>
  <c r="T41" i="23"/>
  <c r="U41" i="23"/>
  <c r="V41" i="23" s="1"/>
  <c r="AC41" i="23"/>
  <c r="AP41" i="23"/>
  <c r="AQ41" i="23"/>
  <c r="AM42" i="23" s="1"/>
  <c r="AR41" i="23"/>
  <c r="B42" i="23"/>
  <c r="D42" i="23" s="1"/>
  <c r="C42" i="24" s="1"/>
  <c r="M42" i="23"/>
  <c r="P42" i="23"/>
  <c r="AO42" i="23" s="1"/>
  <c r="Q42" i="23"/>
  <c r="R42" i="23" s="1"/>
  <c r="T42" i="23"/>
  <c r="U42" i="23"/>
  <c r="V42" i="23" s="1"/>
  <c r="AC42" i="23"/>
  <c r="AP42" i="23"/>
  <c r="AQ42" i="23"/>
  <c r="AR42" i="23"/>
  <c r="AT42" i="23"/>
  <c r="B43" i="23"/>
  <c r="B43" i="24" s="1"/>
  <c r="M43" i="23"/>
  <c r="P43" i="23"/>
  <c r="Q43" i="23"/>
  <c r="R43" i="23" s="1"/>
  <c r="T43" i="23"/>
  <c r="U43" i="23"/>
  <c r="V43" i="23" s="1"/>
  <c r="AC43" i="23"/>
  <c r="AM43" i="23"/>
  <c r="AP43" i="23"/>
  <c r="AQ43" i="23"/>
  <c r="AM44" i="23" s="1"/>
  <c r="AR43" i="23"/>
  <c r="AT43" i="23"/>
  <c r="B44" i="23"/>
  <c r="AT44" i="23" s="1"/>
  <c r="M44" i="23"/>
  <c r="P44" i="23"/>
  <c r="Q44" i="23"/>
  <c r="R44" i="23" s="1"/>
  <c r="T44" i="23"/>
  <c r="U44" i="23"/>
  <c r="V44" i="23" s="1"/>
  <c r="AC44" i="23"/>
  <c r="AP44" i="23"/>
  <c r="AQ44" i="23"/>
  <c r="AM45" i="23" s="1"/>
  <c r="AR44" i="23"/>
  <c r="B45" i="23"/>
  <c r="B45" i="24" s="1"/>
  <c r="D45" i="23"/>
  <c r="C45" i="24" s="1"/>
  <c r="M45" i="23"/>
  <c r="P45" i="23"/>
  <c r="Q45" i="23"/>
  <c r="R45" i="23" s="1"/>
  <c r="T45" i="23"/>
  <c r="U45" i="23"/>
  <c r="V45" i="23"/>
  <c r="AC45" i="23"/>
  <c r="AP45" i="23"/>
  <c r="AQ45" i="23"/>
  <c r="AM46" i="23" s="1"/>
  <c r="AR45" i="23"/>
  <c r="B46" i="23"/>
  <c r="C46" i="23" s="1"/>
  <c r="AF46" i="23" s="1"/>
  <c r="AH46" i="23" s="1"/>
  <c r="M46" i="23"/>
  <c r="P46" i="23"/>
  <c r="Q46" i="23"/>
  <c r="R46" i="23" s="1"/>
  <c r="T46" i="23"/>
  <c r="U46" i="23"/>
  <c r="V46" i="23" s="1"/>
  <c r="AC46" i="23"/>
  <c r="AP46" i="23"/>
  <c r="AQ46" i="23"/>
  <c r="AM47" i="23" s="1"/>
  <c r="AR46" i="23"/>
  <c r="B47" i="23"/>
  <c r="B47" i="24" s="1"/>
  <c r="BL47" i="24" s="1"/>
  <c r="M47" i="23"/>
  <c r="P47" i="23"/>
  <c r="Q47" i="23"/>
  <c r="R47" i="23"/>
  <c r="T47" i="23"/>
  <c r="U47" i="23"/>
  <c r="V47" i="23" s="1"/>
  <c r="AC47" i="23"/>
  <c r="AP47" i="23"/>
  <c r="AQ47" i="23"/>
  <c r="AM48" i="23" s="1"/>
  <c r="AR47" i="23"/>
  <c r="B48" i="23"/>
  <c r="B48" i="24" s="1"/>
  <c r="M48" i="23"/>
  <c r="P48" i="23"/>
  <c r="Q48" i="23"/>
  <c r="R48" i="23" s="1"/>
  <c r="T48" i="23"/>
  <c r="U48" i="23"/>
  <c r="V48" i="23" s="1"/>
  <c r="AC48" i="23"/>
  <c r="AP48" i="23"/>
  <c r="AQ48" i="23"/>
  <c r="AM49" i="23" s="1"/>
  <c r="AR48" i="23"/>
  <c r="B49" i="23"/>
  <c r="B49" i="24" s="1"/>
  <c r="D49" i="23"/>
  <c r="C49" i="24" s="1"/>
  <c r="M49" i="23"/>
  <c r="P49" i="23"/>
  <c r="Q49" i="23"/>
  <c r="R49" i="23" s="1"/>
  <c r="T49" i="23"/>
  <c r="U49" i="23"/>
  <c r="V49" i="23" s="1"/>
  <c r="AC49" i="23"/>
  <c r="AD49" i="23"/>
  <c r="AP49" i="23"/>
  <c r="AQ49" i="23"/>
  <c r="AM50" i="23" s="1"/>
  <c r="AR49" i="23"/>
  <c r="B50" i="23"/>
  <c r="M50" i="23"/>
  <c r="P50" i="23"/>
  <c r="Q50" i="23"/>
  <c r="R50" i="23" s="1"/>
  <c r="T50" i="23"/>
  <c r="U50" i="23"/>
  <c r="V50" i="23" s="1"/>
  <c r="AC50" i="23"/>
  <c r="AP50" i="23"/>
  <c r="AQ50" i="23"/>
  <c r="AM51" i="23" s="1"/>
  <c r="AR50" i="23"/>
  <c r="B51" i="23"/>
  <c r="B51" i="24" s="1"/>
  <c r="AO51" i="24" s="1"/>
  <c r="M51" i="23"/>
  <c r="P51" i="23"/>
  <c r="Q51" i="23"/>
  <c r="R51" i="23" s="1"/>
  <c r="T51" i="23"/>
  <c r="U51" i="23"/>
  <c r="V51" i="23" s="1"/>
  <c r="AC51" i="23"/>
  <c r="AP51" i="23"/>
  <c r="AQ51" i="23"/>
  <c r="AM52" i="23" s="1"/>
  <c r="AR51" i="23"/>
  <c r="B52" i="23"/>
  <c r="D52" i="23" s="1"/>
  <c r="C52" i="24" s="1"/>
  <c r="C52" i="23"/>
  <c r="X52" i="23" s="1"/>
  <c r="M52" i="23"/>
  <c r="P52" i="23"/>
  <c r="Q52" i="23"/>
  <c r="R52" i="23" s="1"/>
  <c r="T52" i="23"/>
  <c r="U52" i="23"/>
  <c r="V52" i="23" s="1"/>
  <c r="AC52" i="23"/>
  <c r="AP52" i="23"/>
  <c r="AQ52" i="23"/>
  <c r="AR52" i="23"/>
  <c r="B53" i="23"/>
  <c r="AL53" i="23" s="1"/>
  <c r="M53" i="23"/>
  <c r="P53" i="23"/>
  <c r="Q53" i="23"/>
  <c r="R53" i="23" s="1"/>
  <c r="T53" i="23"/>
  <c r="U53" i="23"/>
  <c r="V53" i="23" s="1"/>
  <c r="AC53" i="23"/>
  <c r="AM53" i="23"/>
  <c r="AP53" i="23"/>
  <c r="AQ53" i="23"/>
  <c r="AM54" i="23" s="1"/>
  <c r="AR53" i="23"/>
  <c r="B54" i="23"/>
  <c r="M54" i="23"/>
  <c r="P54" i="23"/>
  <c r="Q54" i="23"/>
  <c r="R54" i="23" s="1"/>
  <c r="T54" i="23"/>
  <c r="U54" i="23"/>
  <c r="V54" i="23" s="1"/>
  <c r="AC54" i="23"/>
  <c r="AP54" i="23"/>
  <c r="AQ54" i="23"/>
  <c r="AM55" i="23" s="1"/>
  <c r="AR54" i="23"/>
  <c r="B55" i="23"/>
  <c r="AU55" i="23" s="1"/>
  <c r="M55" i="23"/>
  <c r="P55" i="23"/>
  <c r="Q55" i="23"/>
  <c r="R55" i="23" s="1"/>
  <c r="T55" i="23"/>
  <c r="U55" i="23"/>
  <c r="V55" i="23" s="1"/>
  <c r="AC55" i="23"/>
  <c r="AL55" i="23"/>
  <c r="AP55" i="23"/>
  <c r="AQ55" i="23"/>
  <c r="AM56" i="23" s="1"/>
  <c r="AR55" i="23"/>
  <c r="B56" i="23"/>
  <c r="M56" i="23"/>
  <c r="P56" i="23"/>
  <c r="Q56" i="23"/>
  <c r="R56" i="23" s="1"/>
  <c r="T56" i="23"/>
  <c r="U56" i="23"/>
  <c r="V56" i="23"/>
  <c r="AC56" i="23"/>
  <c r="AP56" i="23"/>
  <c r="AQ56" i="23"/>
  <c r="AM57" i="23" s="1"/>
  <c r="AR56" i="23"/>
  <c r="B57" i="23"/>
  <c r="B57" i="24" s="1"/>
  <c r="BL57" i="24" s="1"/>
  <c r="M57" i="23"/>
  <c r="P57" i="23"/>
  <c r="Q57" i="23"/>
  <c r="R57" i="23" s="1"/>
  <c r="AN57" i="23" s="1"/>
  <c r="T57" i="23"/>
  <c r="U57" i="23"/>
  <c r="V57" i="23" s="1"/>
  <c r="AC57" i="23"/>
  <c r="AP57" i="23"/>
  <c r="AQ57" i="23"/>
  <c r="AM58" i="23" s="1"/>
  <c r="AR57" i="23"/>
  <c r="B58" i="23"/>
  <c r="B58" i="24" s="1"/>
  <c r="M58" i="23"/>
  <c r="P58" i="23"/>
  <c r="Q58" i="23"/>
  <c r="R58" i="23" s="1"/>
  <c r="T58" i="23"/>
  <c r="U58" i="23"/>
  <c r="V58" i="23" s="1"/>
  <c r="AC58" i="23"/>
  <c r="AP58" i="23"/>
  <c r="AQ58" i="23"/>
  <c r="AM59" i="23" s="1"/>
  <c r="AR58" i="23"/>
  <c r="B59" i="23"/>
  <c r="B59" i="24" s="1"/>
  <c r="M59" i="23"/>
  <c r="P59" i="23"/>
  <c r="Q59" i="23"/>
  <c r="R59" i="23" s="1"/>
  <c r="T59" i="23"/>
  <c r="U59" i="23"/>
  <c r="V59" i="23" s="1"/>
  <c r="AC59" i="23"/>
  <c r="AP59" i="23"/>
  <c r="AQ59" i="23"/>
  <c r="AM60" i="23" s="1"/>
  <c r="AR59" i="23"/>
  <c r="B60" i="23"/>
  <c r="B60" i="24" s="1"/>
  <c r="M60" i="23"/>
  <c r="P60" i="23"/>
  <c r="Q60" i="23"/>
  <c r="R60" i="23" s="1"/>
  <c r="T60" i="23"/>
  <c r="U60" i="23"/>
  <c r="V60" i="23" s="1"/>
  <c r="AC60" i="23"/>
  <c r="AP60" i="23"/>
  <c r="AQ60" i="23"/>
  <c r="AM61" i="23" s="1"/>
  <c r="AR60" i="23"/>
  <c r="AT60" i="23"/>
  <c r="B61" i="23"/>
  <c r="B61" i="24" s="1"/>
  <c r="D61" i="23"/>
  <c r="C61" i="24" s="1"/>
  <c r="M61" i="23"/>
  <c r="P61" i="23"/>
  <c r="AO61" i="23" s="1"/>
  <c r="Q61" i="23"/>
  <c r="R61" i="23" s="1"/>
  <c r="T61" i="23"/>
  <c r="U61" i="23"/>
  <c r="V61" i="23" s="1"/>
  <c r="AC61" i="23"/>
  <c r="AP61" i="23"/>
  <c r="AQ61" i="23"/>
  <c r="AM62" i="23" s="1"/>
  <c r="AR61" i="23"/>
  <c r="B62" i="23"/>
  <c r="AL62" i="23" s="1"/>
  <c r="M62" i="23"/>
  <c r="P62" i="23"/>
  <c r="Q62" i="23"/>
  <c r="R62" i="23" s="1"/>
  <c r="T62" i="23"/>
  <c r="U62" i="23"/>
  <c r="V62" i="23" s="1"/>
  <c r="AC62" i="23"/>
  <c r="AP62" i="23"/>
  <c r="AQ62" i="23"/>
  <c r="AM63" i="23" s="1"/>
  <c r="AR62" i="23"/>
  <c r="B63" i="23"/>
  <c r="B63" i="24" s="1"/>
  <c r="M63" i="23"/>
  <c r="P63" i="23"/>
  <c r="Q63" i="23"/>
  <c r="R63" i="23" s="1"/>
  <c r="T63" i="23"/>
  <c r="U63" i="23"/>
  <c r="V63" i="23" s="1"/>
  <c r="AC63" i="23"/>
  <c r="AL63" i="23"/>
  <c r="AP63" i="23"/>
  <c r="AQ63" i="23"/>
  <c r="AM64" i="23" s="1"/>
  <c r="AR63" i="23"/>
  <c r="B64" i="23"/>
  <c r="AU64" i="23" s="1"/>
  <c r="M64" i="23"/>
  <c r="P64" i="23"/>
  <c r="Q64" i="23"/>
  <c r="R64" i="23" s="1"/>
  <c r="T64" i="23"/>
  <c r="U64" i="23"/>
  <c r="V64" i="23" s="1"/>
  <c r="AC64" i="23"/>
  <c r="AD64" i="23"/>
  <c r="AP64" i="23"/>
  <c r="AQ64" i="23"/>
  <c r="AR64" i="23"/>
  <c r="B65" i="23"/>
  <c r="B65" i="24" s="1"/>
  <c r="M65" i="23"/>
  <c r="P65" i="23"/>
  <c r="AO65" i="23" s="1"/>
  <c r="Q65" i="23"/>
  <c r="R65" i="23" s="1"/>
  <c r="T65" i="23"/>
  <c r="U65" i="23"/>
  <c r="V65" i="23" s="1"/>
  <c r="AC65" i="23"/>
  <c r="AM65" i="23"/>
  <c r="AP65" i="23"/>
  <c r="AQ65" i="23"/>
  <c r="AM66" i="23" s="1"/>
  <c r="AR65" i="23"/>
  <c r="B66" i="23"/>
  <c r="M66" i="23"/>
  <c r="P66" i="23"/>
  <c r="Q66" i="23"/>
  <c r="R66" i="23" s="1"/>
  <c r="T66" i="23"/>
  <c r="AO66" i="23" s="1"/>
  <c r="U66" i="23"/>
  <c r="V66" i="23" s="1"/>
  <c r="AC66" i="23"/>
  <c r="AP66" i="23"/>
  <c r="AQ66" i="23"/>
  <c r="AM67" i="23" s="1"/>
  <c r="AR66" i="23"/>
  <c r="B67" i="23"/>
  <c r="C67" i="23" s="1"/>
  <c r="M67" i="23"/>
  <c r="P67" i="23"/>
  <c r="Q67" i="23"/>
  <c r="R67" i="23" s="1"/>
  <c r="T67" i="23"/>
  <c r="U67" i="23"/>
  <c r="V67" i="23" s="1"/>
  <c r="AC67" i="23"/>
  <c r="AP67" i="23"/>
  <c r="AQ67" i="23"/>
  <c r="AM68" i="23" s="1"/>
  <c r="AR67" i="23"/>
  <c r="B68" i="23"/>
  <c r="C68" i="23" s="1"/>
  <c r="M68" i="23"/>
  <c r="P68" i="23"/>
  <c r="Q68" i="23"/>
  <c r="R68" i="23" s="1"/>
  <c r="T68" i="23"/>
  <c r="U68" i="23"/>
  <c r="V68" i="23" s="1"/>
  <c r="AC68" i="23"/>
  <c r="AP68" i="23"/>
  <c r="AQ68" i="23"/>
  <c r="AM69" i="23" s="1"/>
  <c r="AR68" i="23"/>
  <c r="B69" i="23"/>
  <c r="B69" i="24" s="1"/>
  <c r="M69" i="23"/>
  <c r="P69" i="23"/>
  <c r="Q69" i="23"/>
  <c r="R69" i="23" s="1"/>
  <c r="T69" i="23"/>
  <c r="AO69" i="23" s="1"/>
  <c r="U69" i="23"/>
  <c r="V69" i="23" s="1"/>
  <c r="AC69" i="23"/>
  <c r="AP69" i="23"/>
  <c r="AQ69" i="23"/>
  <c r="AM70" i="23" s="1"/>
  <c r="AR69" i="23"/>
  <c r="B70" i="23"/>
  <c r="B70" i="24" s="1"/>
  <c r="BL70" i="24" s="1"/>
  <c r="D70" i="23"/>
  <c r="C70" i="24" s="1"/>
  <c r="M70" i="23"/>
  <c r="P70" i="23"/>
  <c r="Q70" i="23"/>
  <c r="R70" i="23" s="1"/>
  <c r="T70" i="23"/>
  <c r="U70" i="23"/>
  <c r="V70" i="23" s="1"/>
  <c r="AC70" i="23"/>
  <c r="AD70" i="23"/>
  <c r="AP70" i="23"/>
  <c r="AQ70" i="23"/>
  <c r="AM71" i="23" s="1"/>
  <c r="AR70" i="23"/>
  <c r="AU70" i="23"/>
  <c r="B71" i="23"/>
  <c r="B71" i="24" s="1"/>
  <c r="M71" i="23"/>
  <c r="P71" i="23"/>
  <c r="Q71" i="23"/>
  <c r="R71" i="23" s="1"/>
  <c r="T71" i="23"/>
  <c r="U71" i="23"/>
  <c r="V71" i="23" s="1"/>
  <c r="AC71" i="23"/>
  <c r="AP71" i="23"/>
  <c r="AQ71" i="23"/>
  <c r="AM72" i="23" s="1"/>
  <c r="AR71" i="23"/>
  <c r="AU71" i="23"/>
  <c r="B72" i="23"/>
  <c r="C72" i="23" s="1"/>
  <c r="M72" i="23"/>
  <c r="P72" i="23"/>
  <c r="Q72" i="23"/>
  <c r="R72" i="23" s="1"/>
  <c r="T72" i="23"/>
  <c r="U72" i="23"/>
  <c r="V72" i="23" s="1"/>
  <c r="AC72" i="23"/>
  <c r="AP72" i="23"/>
  <c r="AQ72" i="23"/>
  <c r="AM73" i="23" s="1"/>
  <c r="AR72" i="23"/>
  <c r="B73" i="23"/>
  <c r="D73" i="23" s="1"/>
  <c r="C73" i="24" s="1"/>
  <c r="M73" i="23"/>
  <c r="P73" i="23"/>
  <c r="Q73" i="23"/>
  <c r="R73" i="23" s="1"/>
  <c r="T73" i="23"/>
  <c r="U73" i="23"/>
  <c r="V73" i="23"/>
  <c r="AC73" i="23"/>
  <c r="AP73" i="23"/>
  <c r="AQ73" i="23"/>
  <c r="AM74" i="23" s="1"/>
  <c r="AR73" i="23"/>
  <c r="AT73" i="23"/>
  <c r="B74" i="23"/>
  <c r="AL74" i="23" s="1"/>
  <c r="M74" i="23"/>
  <c r="P74" i="23"/>
  <c r="Q74" i="23"/>
  <c r="R74" i="23" s="1"/>
  <c r="T74" i="23"/>
  <c r="U74" i="23"/>
  <c r="V74" i="23" s="1"/>
  <c r="AC74" i="23"/>
  <c r="AP74" i="23"/>
  <c r="AQ74" i="23"/>
  <c r="AM75" i="23" s="1"/>
  <c r="AR74" i="23"/>
  <c r="B75" i="23"/>
  <c r="B75" i="24" s="1"/>
  <c r="M75" i="23"/>
  <c r="P75" i="23"/>
  <c r="Q75" i="23"/>
  <c r="R75" i="23" s="1"/>
  <c r="T75" i="23"/>
  <c r="U75" i="23"/>
  <c r="V75" i="23" s="1"/>
  <c r="AC75" i="23"/>
  <c r="AP75" i="23"/>
  <c r="AQ75" i="23"/>
  <c r="AM76" i="23" s="1"/>
  <c r="AR75" i="23"/>
  <c r="B76" i="23"/>
  <c r="M76" i="23"/>
  <c r="P76" i="23"/>
  <c r="Q76" i="23"/>
  <c r="R76" i="23" s="1"/>
  <c r="T76" i="23"/>
  <c r="U76" i="23"/>
  <c r="V76" i="23" s="1"/>
  <c r="AC76" i="23"/>
  <c r="AP76" i="23"/>
  <c r="AQ76" i="23"/>
  <c r="AM77" i="23" s="1"/>
  <c r="AR76" i="23"/>
  <c r="AT76" i="23"/>
  <c r="B77" i="23"/>
  <c r="AD77" i="23" s="1"/>
  <c r="M77" i="23"/>
  <c r="P77" i="23"/>
  <c r="Q77" i="23"/>
  <c r="R77" i="23" s="1"/>
  <c r="T77" i="23"/>
  <c r="U77" i="23"/>
  <c r="V77" i="23" s="1"/>
  <c r="AC77" i="23"/>
  <c r="AP77" i="23"/>
  <c r="AQ77" i="23"/>
  <c r="AM78" i="23" s="1"/>
  <c r="AR77" i="23"/>
  <c r="B78" i="23"/>
  <c r="C78" i="23" s="1"/>
  <c r="X78" i="23" s="1"/>
  <c r="M78" i="23"/>
  <c r="P78" i="23"/>
  <c r="Q78" i="23"/>
  <c r="R78" i="23" s="1"/>
  <c r="T78" i="23"/>
  <c r="U78" i="23"/>
  <c r="V78" i="23" s="1"/>
  <c r="AC78" i="23"/>
  <c r="AP78" i="23"/>
  <c r="AQ78" i="23"/>
  <c r="AR78" i="23"/>
  <c r="B79" i="23"/>
  <c r="D79" i="23" s="1"/>
  <c r="C79" i="24" s="1"/>
  <c r="M79" i="23"/>
  <c r="P79" i="23"/>
  <c r="Q79" i="23"/>
  <c r="R79" i="23" s="1"/>
  <c r="T79" i="23"/>
  <c r="U79" i="23"/>
  <c r="V79" i="23" s="1"/>
  <c r="AC79" i="23"/>
  <c r="AM79" i="23"/>
  <c r="AP79" i="23"/>
  <c r="AQ79" i="23"/>
  <c r="AM80" i="23" s="1"/>
  <c r="AR79" i="23"/>
  <c r="B80" i="23"/>
  <c r="AT80" i="23" s="1"/>
  <c r="M80" i="23"/>
  <c r="P80" i="23"/>
  <c r="Q80" i="23"/>
  <c r="R80" i="23" s="1"/>
  <c r="T80" i="23"/>
  <c r="U80" i="23"/>
  <c r="V80" i="23" s="1"/>
  <c r="AC80" i="23"/>
  <c r="AP80" i="23"/>
  <c r="AQ80" i="23"/>
  <c r="AM81" i="23" s="1"/>
  <c r="AR80" i="23"/>
  <c r="B81" i="23"/>
  <c r="B81" i="24" s="1"/>
  <c r="M81" i="23"/>
  <c r="P81" i="23"/>
  <c r="Q81" i="23"/>
  <c r="R81" i="23" s="1"/>
  <c r="T81" i="23"/>
  <c r="U81" i="23"/>
  <c r="V81" i="23" s="1"/>
  <c r="AC81" i="23"/>
  <c r="AP81" i="23"/>
  <c r="AQ81" i="23"/>
  <c r="AR81" i="23"/>
  <c r="B82" i="23"/>
  <c r="C82" i="23" s="1"/>
  <c r="M82" i="23"/>
  <c r="P82" i="23"/>
  <c r="Q82" i="23"/>
  <c r="R82" i="23" s="1"/>
  <c r="T82" i="23"/>
  <c r="U82" i="23"/>
  <c r="V82" i="23" s="1"/>
  <c r="AC82" i="23"/>
  <c r="AM82" i="23"/>
  <c r="AP82" i="23"/>
  <c r="AQ82" i="23"/>
  <c r="AM83" i="23" s="1"/>
  <c r="AR82" i="23"/>
  <c r="B83" i="23"/>
  <c r="B83" i="24" s="1"/>
  <c r="M83" i="23"/>
  <c r="P83" i="23"/>
  <c r="Q83" i="23"/>
  <c r="R83" i="23" s="1"/>
  <c r="T83" i="23"/>
  <c r="U83" i="23"/>
  <c r="V83" i="23" s="1"/>
  <c r="AC83" i="23"/>
  <c r="AL83" i="23"/>
  <c r="AP83" i="23"/>
  <c r="AQ83" i="23"/>
  <c r="AM84" i="23" s="1"/>
  <c r="AR83" i="23"/>
  <c r="AT83" i="23"/>
  <c r="AU83" i="23"/>
  <c r="B84" i="23"/>
  <c r="AD84" i="23" s="1"/>
  <c r="M84" i="23"/>
  <c r="P84" i="23"/>
  <c r="Q84" i="23"/>
  <c r="R84" i="23" s="1"/>
  <c r="AN84" i="23" s="1"/>
  <c r="T84" i="23"/>
  <c r="U84" i="23"/>
  <c r="V84" i="23" s="1"/>
  <c r="AC84" i="23"/>
  <c r="AP84" i="23"/>
  <c r="AQ84" i="23"/>
  <c r="AM85" i="23" s="1"/>
  <c r="AR84" i="23"/>
  <c r="AT84" i="23"/>
  <c r="B85" i="23"/>
  <c r="B85" i="24" s="1"/>
  <c r="M85" i="23"/>
  <c r="P85" i="23"/>
  <c r="Q85" i="23"/>
  <c r="R85" i="23" s="1"/>
  <c r="T85" i="23"/>
  <c r="U85" i="23"/>
  <c r="V85" i="23" s="1"/>
  <c r="AC85" i="23"/>
  <c r="AP85" i="23"/>
  <c r="AQ85" i="23"/>
  <c r="AM86" i="23" s="1"/>
  <c r="AR85" i="23"/>
  <c r="AT85" i="23"/>
  <c r="B86" i="23"/>
  <c r="AD86" i="23" s="1"/>
  <c r="M86" i="23"/>
  <c r="P86" i="23"/>
  <c r="Q86" i="23"/>
  <c r="R86" i="23" s="1"/>
  <c r="T86" i="23"/>
  <c r="U86" i="23"/>
  <c r="V86" i="23" s="1"/>
  <c r="AC86" i="23"/>
  <c r="AP86" i="23"/>
  <c r="AQ86" i="23"/>
  <c r="AM87" i="23" s="1"/>
  <c r="AR86" i="23"/>
  <c r="B87" i="23"/>
  <c r="C87" i="23" s="1"/>
  <c r="AF87" i="23" s="1"/>
  <c r="M87" i="23"/>
  <c r="P87" i="23"/>
  <c r="Q87" i="23"/>
  <c r="R87" i="23" s="1"/>
  <c r="T87" i="23"/>
  <c r="U87" i="23"/>
  <c r="V87" i="23" s="1"/>
  <c r="AC87" i="23"/>
  <c r="AP87" i="23"/>
  <c r="AQ87" i="23"/>
  <c r="AM88" i="23" s="1"/>
  <c r="AR87" i="23"/>
  <c r="B88" i="23"/>
  <c r="M88" i="23"/>
  <c r="P88" i="23"/>
  <c r="Q88" i="23"/>
  <c r="R88" i="23" s="1"/>
  <c r="T88" i="23"/>
  <c r="AO88" i="23" s="1"/>
  <c r="U88" i="23"/>
  <c r="V88" i="23" s="1"/>
  <c r="AC88" i="23"/>
  <c r="AP88" i="23"/>
  <c r="AQ88" i="23"/>
  <c r="AM89" i="23" s="1"/>
  <c r="AR88" i="23"/>
  <c r="B89" i="23"/>
  <c r="M89" i="23"/>
  <c r="P89" i="23"/>
  <c r="Q89" i="23"/>
  <c r="R89" i="23" s="1"/>
  <c r="T89" i="23"/>
  <c r="U89" i="23"/>
  <c r="V89" i="23" s="1"/>
  <c r="AC89" i="23"/>
  <c r="AP89" i="23"/>
  <c r="AQ89" i="23"/>
  <c r="AM90" i="23" s="1"/>
  <c r="AR89" i="23"/>
  <c r="B90" i="23"/>
  <c r="B90" i="24" s="1"/>
  <c r="M90" i="23"/>
  <c r="P90" i="23"/>
  <c r="Q90" i="23"/>
  <c r="R90" i="23" s="1"/>
  <c r="T90" i="23"/>
  <c r="U90" i="23"/>
  <c r="V90" i="23" s="1"/>
  <c r="AC90" i="23"/>
  <c r="AP90" i="23"/>
  <c r="AQ90" i="23"/>
  <c r="AM91" i="23" s="1"/>
  <c r="AR90" i="23"/>
  <c r="B91" i="23"/>
  <c r="C91" i="23" s="1"/>
  <c r="AF91" i="23" s="1"/>
  <c r="M91" i="23"/>
  <c r="P91" i="23"/>
  <c r="Q91" i="23"/>
  <c r="R91" i="23" s="1"/>
  <c r="T91" i="23"/>
  <c r="U91" i="23"/>
  <c r="V91" i="23" s="1"/>
  <c r="AC91" i="23"/>
  <c r="AP91" i="23"/>
  <c r="AQ91" i="23"/>
  <c r="AM92" i="23" s="1"/>
  <c r="AR91" i="23"/>
  <c r="B92" i="23"/>
  <c r="AU92" i="23" s="1"/>
  <c r="D92" i="23"/>
  <c r="C92" i="24" s="1"/>
  <c r="M92" i="23"/>
  <c r="P92" i="23"/>
  <c r="Q92" i="23"/>
  <c r="R92" i="23" s="1"/>
  <c r="T92" i="23"/>
  <c r="U92" i="23"/>
  <c r="V92" i="23" s="1"/>
  <c r="AC92" i="23"/>
  <c r="AP92" i="23"/>
  <c r="AQ92" i="23"/>
  <c r="AM93" i="23" s="1"/>
  <c r="AR92" i="23"/>
  <c r="AT92" i="23"/>
  <c r="B93" i="23"/>
  <c r="M93" i="23"/>
  <c r="P93" i="23"/>
  <c r="Q93" i="23"/>
  <c r="R93" i="23" s="1"/>
  <c r="T93" i="23"/>
  <c r="U93" i="23"/>
  <c r="V93" i="23" s="1"/>
  <c r="AC93" i="23"/>
  <c r="AP93" i="23"/>
  <c r="AQ93" i="23"/>
  <c r="AM94" i="23" s="1"/>
  <c r="AR93" i="23"/>
  <c r="AU93" i="23"/>
  <c r="B94" i="23"/>
  <c r="M94" i="23"/>
  <c r="P94" i="23"/>
  <c r="Q94" i="23"/>
  <c r="R94" i="23" s="1"/>
  <c r="T94" i="23"/>
  <c r="AO94" i="23" s="1"/>
  <c r="U94" i="23"/>
  <c r="V94" i="23" s="1"/>
  <c r="AC94" i="23"/>
  <c r="AP94" i="23"/>
  <c r="AQ94" i="23"/>
  <c r="AR94" i="23"/>
  <c r="B95" i="23"/>
  <c r="B95" i="24" s="1"/>
  <c r="R95" i="24" s="1"/>
  <c r="M95" i="23"/>
  <c r="P95" i="23"/>
  <c r="Q95" i="23"/>
  <c r="R95" i="23"/>
  <c r="T95" i="23"/>
  <c r="U95" i="23"/>
  <c r="V95" i="23" s="1"/>
  <c r="AC95" i="23"/>
  <c r="AM95" i="23"/>
  <c r="AP95" i="23"/>
  <c r="AQ95" i="23"/>
  <c r="AM96" i="23" s="1"/>
  <c r="AR95" i="23"/>
  <c r="B96" i="23"/>
  <c r="D96" i="23" s="1"/>
  <c r="C96" i="24" s="1"/>
  <c r="M96" i="23"/>
  <c r="P96" i="23"/>
  <c r="Q96" i="23"/>
  <c r="R96" i="23" s="1"/>
  <c r="T96" i="23"/>
  <c r="U96" i="23"/>
  <c r="V96" i="23" s="1"/>
  <c r="AC96" i="23"/>
  <c r="AP96" i="23"/>
  <c r="AQ96" i="23"/>
  <c r="AM97" i="23" s="1"/>
  <c r="AR96" i="23"/>
  <c r="AU96" i="23"/>
  <c r="B97" i="23"/>
  <c r="B97" i="24" s="1"/>
  <c r="M97" i="23"/>
  <c r="P97" i="23"/>
  <c r="Q97" i="23"/>
  <c r="R97" i="23" s="1"/>
  <c r="T97" i="23"/>
  <c r="U97" i="23"/>
  <c r="V97" i="23" s="1"/>
  <c r="AC97" i="23"/>
  <c r="AD97" i="23"/>
  <c r="AP97" i="23"/>
  <c r="AQ97" i="23"/>
  <c r="AM98" i="23" s="1"/>
  <c r="AR97" i="23"/>
  <c r="AT97" i="23"/>
  <c r="AU97" i="23"/>
  <c r="B98" i="23"/>
  <c r="C98" i="23" s="1"/>
  <c r="X98" i="23" s="1"/>
  <c r="M98" i="23"/>
  <c r="P98" i="23"/>
  <c r="Q98" i="23"/>
  <c r="R98" i="23" s="1"/>
  <c r="T98" i="23"/>
  <c r="U98" i="23"/>
  <c r="V98" i="23"/>
  <c r="AC98" i="23"/>
  <c r="AP98" i="23"/>
  <c r="AQ98" i="23"/>
  <c r="AM99" i="23" s="1"/>
  <c r="AR98" i="23"/>
  <c r="B99" i="23"/>
  <c r="C99" i="23" s="1"/>
  <c r="AF99" i="23" s="1"/>
  <c r="AH99" i="23" s="1"/>
  <c r="M99" i="23"/>
  <c r="P99" i="23"/>
  <c r="Q99" i="23"/>
  <c r="R99" i="23" s="1"/>
  <c r="T99" i="23"/>
  <c r="U99" i="23"/>
  <c r="V99" i="23" s="1"/>
  <c r="AC99" i="23"/>
  <c r="AP99" i="23"/>
  <c r="AQ99" i="23"/>
  <c r="AM100" i="23" s="1"/>
  <c r="AR99" i="23"/>
  <c r="B100" i="23"/>
  <c r="M100" i="23"/>
  <c r="P100" i="23"/>
  <c r="Q100" i="23"/>
  <c r="R100" i="23" s="1"/>
  <c r="T100" i="23"/>
  <c r="U100" i="23"/>
  <c r="V100" i="23" s="1"/>
  <c r="AC100" i="23"/>
  <c r="AP100" i="23"/>
  <c r="AQ100" i="23"/>
  <c r="AM101" i="23" s="1"/>
  <c r="AR100" i="23"/>
  <c r="B101" i="23"/>
  <c r="B101" i="24" s="1"/>
  <c r="M101" i="23"/>
  <c r="P101" i="23"/>
  <c r="Q101" i="23"/>
  <c r="R101" i="23" s="1"/>
  <c r="T101" i="23"/>
  <c r="U101" i="23"/>
  <c r="V101" i="23" s="1"/>
  <c r="AC101" i="23"/>
  <c r="AP101" i="23"/>
  <c r="AQ101" i="23"/>
  <c r="AM102" i="23" s="1"/>
  <c r="AR101" i="23"/>
  <c r="B102" i="23"/>
  <c r="B102" i="24" s="1"/>
  <c r="M102" i="23"/>
  <c r="P102" i="23"/>
  <c r="AO102" i="23" s="1"/>
  <c r="Q102" i="23"/>
  <c r="R102" i="23" s="1"/>
  <c r="T102" i="23"/>
  <c r="U102" i="23"/>
  <c r="V102" i="23" s="1"/>
  <c r="AC102" i="23"/>
  <c r="AP102" i="23"/>
  <c r="AQ102" i="23"/>
  <c r="AM103" i="23" s="1"/>
  <c r="AR102" i="23"/>
  <c r="AT102" i="23"/>
  <c r="B103" i="23"/>
  <c r="M103" i="23"/>
  <c r="P103" i="23"/>
  <c r="Q103" i="23"/>
  <c r="R103" i="23" s="1"/>
  <c r="T103" i="23"/>
  <c r="U103" i="23"/>
  <c r="V103" i="23" s="1"/>
  <c r="AC103" i="23"/>
  <c r="AP103" i="23"/>
  <c r="AQ103" i="23"/>
  <c r="AM104" i="23" s="1"/>
  <c r="AR103" i="23"/>
  <c r="B104" i="23"/>
  <c r="AT104" i="23" s="1"/>
  <c r="M104" i="23"/>
  <c r="P104" i="23"/>
  <c r="Q104" i="23"/>
  <c r="R104" i="23" s="1"/>
  <c r="T104" i="23"/>
  <c r="U104" i="23"/>
  <c r="V104" i="23" s="1"/>
  <c r="AC104" i="23"/>
  <c r="AP104" i="23"/>
  <c r="AQ104" i="23"/>
  <c r="AM105" i="23" s="1"/>
  <c r="AR104" i="23"/>
  <c r="B105" i="23"/>
  <c r="AD105" i="23" s="1"/>
  <c r="M105" i="23"/>
  <c r="P105" i="23"/>
  <c r="Q105" i="23"/>
  <c r="R105" i="23" s="1"/>
  <c r="T105" i="23"/>
  <c r="U105" i="23"/>
  <c r="V105" i="23" s="1"/>
  <c r="AC105" i="23"/>
  <c r="AP105" i="23"/>
  <c r="AQ105" i="23"/>
  <c r="AR105" i="23"/>
  <c r="AU105" i="23"/>
  <c r="B106" i="23"/>
  <c r="C106" i="23" s="1"/>
  <c r="AF106" i="23" s="1"/>
  <c r="M106" i="23"/>
  <c r="P106" i="23"/>
  <c r="Q106" i="23"/>
  <c r="R106" i="23" s="1"/>
  <c r="T106" i="23"/>
  <c r="U106" i="23"/>
  <c r="V106" i="23" s="1"/>
  <c r="AC106" i="23"/>
  <c r="AM106" i="23"/>
  <c r="AP106" i="23"/>
  <c r="AQ106" i="23"/>
  <c r="AM107" i="23" s="1"/>
  <c r="AR106" i="23"/>
  <c r="B107" i="23"/>
  <c r="C107" i="23" s="1"/>
  <c r="W107" i="23" s="1"/>
  <c r="M107" i="23"/>
  <c r="P107" i="23"/>
  <c r="Q107" i="23"/>
  <c r="R107" i="23" s="1"/>
  <c r="T107" i="23"/>
  <c r="U107" i="23"/>
  <c r="V107" i="23" s="1"/>
  <c r="AC107" i="23"/>
  <c r="AP107" i="23"/>
  <c r="AQ107" i="23"/>
  <c r="AM108" i="23" s="1"/>
  <c r="AR107" i="23"/>
  <c r="B108" i="23"/>
  <c r="D108" i="23" s="1"/>
  <c r="C108" i="24" s="1"/>
  <c r="M108" i="23"/>
  <c r="P108" i="23"/>
  <c r="Q108" i="23"/>
  <c r="R108" i="23" s="1"/>
  <c r="T108" i="23"/>
  <c r="U108" i="23"/>
  <c r="V108" i="23" s="1"/>
  <c r="AC108" i="23"/>
  <c r="AP108" i="23"/>
  <c r="AQ108" i="23"/>
  <c r="AM109" i="23" s="1"/>
  <c r="AR108" i="23"/>
  <c r="B109" i="23"/>
  <c r="C109" i="23" s="1"/>
  <c r="D109" i="23"/>
  <c r="C109" i="24" s="1"/>
  <c r="M109" i="23"/>
  <c r="P109" i="23"/>
  <c r="Q109" i="23"/>
  <c r="R109" i="23" s="1"/>
  <c r="T109" i="23"/>
  <c r="U109" i="23"/>
  <c r="V109" i="23" s="1"/>
  <c r="AC109" i="23"/>
  <c r="AD109" i="23"/>
  <c r="AP109" i="23"/>
  <c r="AQ109" i="23"/>
  <c r="AM110" i="23" s="1"/>
  <c r="AR109" i="23"/>
  <c r="AT109" i="23"/>
  <c r="AU109" i="23"/>
  <c r="B110" i="23"/>
  <c r="M110" i="23"/>
  <c r="P110" i="23"/>
  <c r="Q110" i="23"/>
  <c r="R110" i="23" s="1"/>
  <c r="T110" i="23"/>
  <c r="U110" i="23"/>
  <c r="V110" i="23" s="1"/>
  <c r="AC110" i="23"/>
  <c r="AD110" i="23"/>
  <c r="AP110" i="23"/>
  <c r="AQ110" i="23"/>
  <c r="AR110" i="23"/>
  <c r="B111" i="23"/>
  <c r="AL111" i="23" s="1"/>
  <c r="M111" i="23"/>
  <c r="P111" i="23"/>
  <c r="Q111" i="23"/>
  <c r="R111" i="23" s="1"/>
  <c r="T111" i="23"/>
  <c r="U111" i="23"/>
  <c r="V111" i="23" s="1"/>
  <c r="AC111" i="23"/>
  <c r="AM111" i="23"/>
  <c r="AP111" i="23"/>
  <c r="AQ111" i="23"/>
  <c r="AM112" i="23" s="1"/>
  <c r="AR111" i="23"/>
  <c r="B112" i="23"/>
  <c r="B112" i="24" s="1"/>
  <c r="M112" i="23"/>
  <c r="P112" i="23"/>
  <c r="Q112" i="23"/>
  <c r="R112" i="23" s="1"/>
  <c r="T112" i="23"/>
  <c r="U112" i="23"/>
  <c r="V112" i="23" s="1"/>
  <c r="AC112" i="23"/>
  <c r="AP112" i="23"/>
  <c r="AQ112" i="23"/>
  <c r="AM113" i="23" s="1"/>
  <c r="AR112" i="23"/>
  <c r="B113" i="23"/>
  <c r="C113" i="23" s="1"/>
  <c r="AF113" i="23" s="1"/>
  <c r="AH113" i="23" s="1"/>
  <c r="M113" i="23"/>
  <c r="P113" i="23"/>
  <c r="AO113" i="23" s="1"/>
  <c r="Q113" i="23"/>
  <c r="R113" i="23" s="1"/>
  <c r="T113" i="23"/>
  <c r="U113" i="23"/>
  <c r="V113" i="23" s="1"/>
  <c r="AC113" i="23"/>
  <c r="AP113" i="23"/>
  <c r="AQ113" i="23"/>
  <c r="AM114" i="23" s="1"/>
  <c r="AR113" i="23"/>
  <c r="B114" i="23"/>
  <c r="B114" i="24" s="1"/>
  <c r="M114" i="23"/>
  <c r="P114" i="23"/>
  <c r="Q114" i="23"/>
  <c r="R114" i="23" s="1"/>
  <c r="T114" i="23"/>
  <c r="U114" i="23"/>
  <c r="V114" i="23" s="1"/>
  <c r="AC114" i="23"/>
  <c r="AP114" i="23"/>
  <c r="AQ114" i="23"/>
  <c r="AM115" i="23" s="1"/>
  <c r="AR114" i="23"/>
  <c r="B115" i="23"/>
  <c r="B115" i="24" s="1"/>
  <c r="D115" i="23"/>
  <c r="C115" i="24" s="1"/>
  <c r="M115" i="23"/>
  <c r="P115" i="23"/>
  <c r="Q115" i="23"/>
  <c r="R115" i="23" s="1"/>
  <c r="T115" i="23"/>
  <c r="U115" i="23"/>
  <c r="V115" i="23" s="1"/>
  <c r="AC115" i="23"/>
  <c r="AP115" i="23"/>
  <c r="AQ115" i="23"/>
  <c r="AM116" i="23" s="1"/>
  <c r="AR115" i="23"/>
  <c r="B116" i="23"/>
  <c r="C116" i="23" s="1"/>
  <c r="M116" i="23"/>
  <c r="P116" i="23"/>
  <c r="Q116" i="23"/>
  <c r="R116" i="23" s="1"/>
  <c r="T116" i="23"/>
  <c r="U116" i="23"/>
  <c r="V116" i="23" s="1"/>
  <c r="AC116" i="23"/>
  <c r="AP116" i="23"/>
  <c r="AQ116" i="23"/>
  <c r="AR116" i="23"/>
  <c r="B117" i="23"/>
  <c r="AU117" i="23" s="1"/>
  <c r="M117" i="23"/>
  <c r="P117" i="23"/>
  <c r="Q117" i="23"/>
  <c r="R117" i="23" s="1"/>
  <c r="T117" i="23"/>
  <c r="U117" i="23"/>
  <c r="V117" i="23" s="1"/>
  <c r="AC117" i="23"/>
  <c r="AM117" i="23"/>
  <c r="AP117" i="23"/>
  <c r="AQ117" i="23"/>
  <c r="AM118" i="23" s="1"/>
  <c r="AR117" i="23"/>
  <c r="B118" i="23"/>
  <c r="B118" i="24" s="1"/>
  <c r="M118" i="23"/>
  <c r="P118" i="23"/>
  <c r="Q118" i="23"/>
  <c r="R118" i="23" s="1"/>
  <c r="T118" i="23"/>
  <c r="U118" i="23"/>
  <c r="V118" i="23" s="1"/>
  <c r="AC118" i="23"/>
  <c r="AP118" i="23"/>
  <c r="AQ118" i="23"/>
  <c r="AM119" i="23" s="1"/>
  <c r="AR118" i="23"/>
  <c r="B119" i="23"/>
  <c r="B119" i="24" s="1"/>
  <c r="M119" i="23"/>
  <c r="P119" i="23"/>
  <c r="Q119" i="23"/>
  <c r="R119" i="23" s="1"/>
  <c r="T119" i="23"/>
  <c r="U119" i="23"/>
  <c r="V119" i="23" s="1"/>
  <c r="AC119" i="23"/>
  <c r="AL119" i="23"/>
  <c r="AP119" i="23"/>
  <c r="AQ119" i="23"/>
  <c r="AM120" i="23" s="1"/>
  <c r="AR119" i="23"/>
  <c r="B120" i="23"/>
  <c r="B120" i="24" s="1"/>
  <c r="M120" i="23"/>
  <c r="P120" i="23"/>
  <c r="Q120" i="23"/>
  <c r="R120" i="23" s="1"/>
  <c r="T120" i="23"/>
  <c r="U120" i="23"/>
  <c r="V120" i="23" s="1"/>
  <c r="AC120" i="23"/>
  <c r="AP120" i="23"/>
  <c r="AQ120" i="23"/>
  <c r="AM121" i="23" s="1"/>
  <c r="AR120" i="23"/>
  <c r="B121" i="23"/>
  <c r="AL121" i="23" s="1"/>
  <c r="M121" i="23"/>
  <c r="P121" i="23"/>
  <c r="Q121" i="23"/>
  <c r="R121" i="23" s="1"/>
  <c r="T121" i="23"/>
  <c r="U121" i="23"/>
  <c r="V121" i="23" s="1"/>
  <c r="AC121" i="23"/>
  <c r="AP121" i="23"/>
  <c r="AQ121" i="23"/>
  <c r="AR121" i="23"/>
  <c r="B122" i="23"/>
  <c r="B122" i="24" s="1"/>
  <c r="M122" i="23"/>
  <c r="P122" i="23"/>
  <c r="Q122" i="23"/>
  <c r="R122" i="23" s="1"/>
  <c r="T122" i="23"/>
  <c r="U122" i="23"/>
  <c r="V122" i="23" s="1"/>
  <c r="AC122" i="23"/>
  <c r="AM122" i="23"/>
  <c r="AP122" i="23"/>
  <c r="AQ122" i="23"/>
  <c r="AM123" i="23" s="1"/>
  <c r="AR122" i="23"/>
  <c r="B123" i="23"/>
  <c r="C123" i="23" s="1"/>
  <c r="M123" i="23"/>
  <c r="P123" i="23"/>
  <c r="Q123" i="23"/>
  <c r="R123" i="23" s="1"/>
  <c r="T123" i="23"/>
  <c r="U123" i="23"/>
  <c r="V123" i="23" s="1"/>
  <c r="AC123" i="23"/>
  <c r="AP123" i="23"/>
  <c r="AQ123" i="23"/>
  <c r="AM124" i="23" s="1"/>
  <c r="AR123" i="23"/>
  <c r="B124" i="23"/>
  <c r="B124" i="24" s="1"/>
  <c r="M124" i="23"/>
  <c r="P124" i="23"/>
  <c r="AO124" i="23" s="1"/>
  <c r="Q124" i="23"/>
  <c r="R124" i="23" s="1"/>
  <c r="T124" i="23"/>
  <c r="U124" i="23"/>
  <c r="V124" i="23" s="1"/>
  <c r="AC124" i="23"/>
  <c r="AP124" i="23"/>
  <c r="AQ124" i="23"/>
  <c r="AM125" i="23" s="1"/>
  <c r="AR124" i="23"/>
  <c r="B125" i="23"/>
  <c r="B125" i="24" s="1"/>
  <c r="M125" i="23"/>
  <c r="P125" i="23"/>
  <c r="Q125" i="23"/>
  <c r="R125" i="23" s="1"/>
  <c r="T125" i="23"/>
  <c r="U125" i="23"/>
  <c r="V125" i="23" s="1"/>
  <c r="AC125" i="23"/>
  <c r="AP125" i="23"/>
  <c r="AQ125" i="23"/>
  <c r="AM126" i="23" s="1"/>
  <c r="AR125" i="23"/>
  <c r="B126" i="23"/>
  <c r="B126" i="24" s="1"/>
  <c r="M126" i="23"/>
  <c r="P126" i="23"/>
  <c r="Q126" i="23"/>
  <c r="R126" i="23" s="1"/>
  <c r="T126" i="23"/>
  <c r="U126" i="23"/>
  <c r="V126" i="23" s="1"/>
  <c r="AC126" i="23"/>
  <c r="AD126" i="23"/>
  <c r="AP126" i="23"/>
  <c r="AQ126" i="23"/>
  <c r="AM127" i="23" s="1"/>
  <c r="AR126" i="23"/>
  <c r="B127" i="23"/>
  <c r="D127" i="23" s="1"/>
  <c r="C127" i="24" s="1"/>
  <c r="M127" i="23"/>
  <c r="P127" i="23"/>
  <c r="Q127" i="23"/>
  <c r="R127" i="23" s="1"/>
  <c r="T127" i="23"/>
  <c r="U127" i="23"/>
  <c r="V127" i="23" s="1"/>
  <c r="AC127" i="23"/>
  <c r="AP127" i="23"/>
  <c r="AQ127" i="23"/>
  <c r="AM128" i="23" s="1"/>
  <c r="AR127" i="23"/>
  <c r="B128" i="23"/>
  <c r="B128" i="24" s="1"/>
  <c r="M128" i="23"/>
  <c r="P128" i="23"/>
  <c r="Q128" i="23"/>
  <c r="R128" i="23" s="1"/>
  <c r="T128" i="23"/>
  <c r="U128" i="23"/>
  <c r="V128" i="23" s="1"/>
  <c r="AC128" i="23"/>
  <c r="AP128" i="23"/>
  <c r="AQ128" i="23"/>
  <c r="AM129" i="23" s="1"/>
  <c r="AR128" i="23"/>
  <c r="AU128" i="23"/>
  <c r="B129" i="23"/>
  <c r="C129" i="23" s="1"/>
  <c r="W129" i="23" s="1"/>
  <c r="M129" i="23"/>
  <c r="P129" i="23"/>
  <c r="Q129" i="23"/>
  <c r="R129" i="23" s="1"/>
  <c r="T129" i="23"/>
  <c r="U129" i="23"/>
  <c r="V129" i="23" s="1"/>
  <c r="AC129" i="23"/>
  <c r="AP129" i="23"/>
  <c r="AQ129" i="23"/>
  <c r="AM130" i="23" s="1"/>
  <c r="AR129" i="23"/>
  <c r="B130" i="23"/>
  <c r="B130" i="24" s="1"/>
  <c r="M130" i="23"/>
  <c r="P130" i="23"/>
  <c r="Q130" i="23"/>
  <c r="R130" i="23" s="1"/>
  <c r="T130" i="23"/>
  <c r="U130" i="23"/>
  <c r="V130" i="23" s="1"/>
  <c r="AC130" i="23"/>
  <c r="AP130" i="23"/>
  <c r="AQ130" i="23"/>
  <c r="AR130" i="23"/>
  <c r="B131" i="23"/>
  <c r="B131" i="24" s="1"/>
  <c r="M131" i="23"/>
  <c r="P131" i="23"/>
  <c r="Q131" i="23"/>
  <c r="R131" i="23" s="1"/>
  <c r="T131" i="23"/>
  <c r="U131" i="23"/>
  <c r="V131" i="23" s="1"/>
  <c r="AC131" i="23"/>
  <c r="AM131" i="23"/>
  <c r="AP131" i="23"/>
  <c r="AQ131" i="23"/>
  <c r="AM132" i="23" s="1"/>
  <c r="AR131" i="23"/>
  <c r="B132" i="23"/>
  <c r="AD132" i="23" s="1"/>
  <c r="M132" i="23"/>
  <c r="P132" i="23"/>
  <c r="Q132" i="23"/>
  <c r="R132" i="23" s="1"/>
  <c r="T132" i="23"/>
  <c r="U132" i="23"/>
  <c r="V132" i="23" s="1"/>
  <c r="AC132" i="23"/>
  <c r="AP132" i="23"/>
  <c r="AQ132" i="23"/>
  <c r="AM133" i="23" s="1"/>
  <c r="AR132" i="23"/>
  <c r="B133" i="23"/>
  <c r="B133" i="24" s="1"/>
  <c r="M133" i="23"/>
  <c r="P133" i="23"/>
  <c r="Q133" i="23"/>
  <c r="R133" i="23" s="1"/>
  <c r="T133" i="23"/>
  <c r="U133" i="23"/>
  <c r="V133" i="23" s="1"/>
  <c r="AC133" i="23"/>
  <c r="AP133" i="23"/>
  <c r="AQ133" i="23"/>
  <c r="AM134" i="23" s="1"/>
  <c r="AR133" i="23"/>
  <c r="B134" i="23"/>
  <c r="B134" i="24" s="1"/>
  <c r="BL134" i="24" s="1"/>
  <c r="M134" i="23"/>
  <c r="P134" i="23"/>
  <c r="Q134" i="23"/>
  <c r="R134" i="23" s="1"/>
  <c r="T134" i="23"/>
  <c r="U134" i="23"/>
  <c r="V134" i="23" s="1"/>
  <c r="AC134" i="23"/>
  <c r="AP134" i="23"/>
  <c r="AQ134" i="23"/>
  <c r="AM135" i="23" s="1"/>
  <c r="AR134" i="23"/>
  <c r="B135" i="23"/>
  <c r="D135" i="23" s="1"/>
  <c r="C135" i="24" s="1"/>
  <c r="M135" i="23"/>
  <c r="P135" i="23"/>
  <c r="Q135" i="23"/>
  <c r="R135" i="23" s="1"/>
  <c r="T135" i="23"/>
  <c r="U135" i="23"/>
  <c r="V135" i="23" s="1"/>
  <c r="AC135" i="23"/>
  <c r="AP135" i="23"/>
  <c r="AQ135" i="23"/>
  <c r="AM136" i="23" s="1"/>
  <c r="AR135" i="23"/>
  <c r="B136" i="23"/>
  <c r="AU136" i="23" s="1"/>
  <c r="M136" i="23"/>
  <c r="P136" i="23"/>
  <c r="Q136" i="23"/>
  <c r="R136" i="23" s="1"/>
  <c r="T136" i="23"/>
  <c r="U136" i="23"/>
  <c r="V136" i="23" s="1"/>
  <c r="AC136" i="23"/>
  <c r="AP136" i="23"/>
  <c r="AQ136" i="23"/>
  <c r="AM137" i="23" s="1"/>
  <c r="AR136" i="23"/>
  <c r="B137" i="23"/>
  <c r="B137" i="24" s="1"/>
  <c r="M137" i="23"/>
  <c r="P137" i="23"/>
  <c r="Q137" i="23"/>
  <c r="R137" i="23"/>
  <c r="T137" i="23"/>
  <c r="U137" i="23"/>
  <c r="V137" i="23" s="1"/>
  <c r="AC137" i="23"/>
  <c r="AP137" i="23"/>
  <c r="AQ137" i="23"/>
  <c r="AM138" i="23" s="1"/>
  <c r="AR137" i="23"/>
  <c r="B138" i="23"/>
  <c r="AL138" i="23" s="1"/>
  <c r="D138" i="23"/>
  <c r="C138" i="24" s="1"/>
  <c r="M138" i="23"/>
  <c r="P138" i="23"/>
  <c r="Q138" i="23"/>
  <c r="R138" i="23" s="1"/>
  <c r="T138" i="23"/>
  <c r="U138" i="23"/>
  <c r="V138" i="23" s="1"/>
  <c r="AC138" i="23"/>
  <c r="AP138" i="23"/>
  <c r="AQ138" i="23"/>
  <c r="AM139" i="23" s="1"/>
  <c r="AR138" i="23"/>
  <c r="B139" i="23"/>
  <c r="B139" i="24" s="1"/>
  <c r="C139" i="23"/>
  <c r="M139" i="23"/>
  <c r="P139" i="23"/>
  <c r="Q139" i="23"/>
  <c r="R139" i="23" s="1"/>
  <c r="T139" i="23"/>
  <c r="U139" i="23"/>
  <c r="V139" i="23" s="1"/>
  <c r="AC139" i="23"/>
  <c r="AL139" i="23"/>
  <c r="AP139" i="23"/>
  <c r="AQ139" i="23"/>
  <c r="AM140" i="23" s="1"/>
  <c r="AR139" i="23"/>
  <c r="B140" i="23"/>
  <c r="B140" i="24" s="1"/>
  <c r="M140" i="23"/>
  <c r="P140" i="23"/>
  <c r="AO140" i="23" s="1"/>
  <c r="Q140" i="23"/>
  <c r="R140" i="23" s="1"/>
  <c r="T140" i="23"/>
  <c r="U140" i="23"/>
  <c r="V140" i="23" s="1"/>
  <c r="AC140" i="23"/>
  <c r="AP140" i="23"/>
  <c r="AQ140" i="23"/>
  <c r="AR140" i="23"/>
  <c r="B141" i="23"/>
  <c r="M141" i="23"/>
  <c r="P141" i="23"/>
  <c r="AO141" i="23" s="1"/>
  <c r="Q141" i="23"/>
  <c r="R141" i="23" s="1"/>
  <c r="T141" i="23"/>
  <c r="U141" i="23"/>
  <c r="V141" i="23" s="1"/>
  <c r="AC141" i="23"/>
  <c r="AD141" i="23"/>
  <c r="AM141" i="23"/>
  <c r="AP141" i="23"/>
  <c r="AQ141" i="23"/>
  <c r="AM142" i="23" s="1"/>
  <c r="AR141" i="23"/>
  <c r="B142" i="23"/>
  <c r="B142" i="24" s="1"/>
  <c r="M142" i="23"/>
  <c r="P142" i="23"/>
  <c r="Q142" i="23"/>
  <c r="R142" i="23" s="1"/>
  <c r="T142" i="23"/>
  <c r="U142" i="23"/>
  <c r="V142" i="23" s="1"/>
  <c r="AC142" i="23"/>
  <c r="AP142" i="23"/>
  <c r="AQ142" i="23"/>
  <c r="AM143" i="23" s="1"/>
  <c r="AR142" i="23"/>
  <c r="B143" i="23"/>
  <c r="B143" i="24" s="1"/>
  <c r="M143" i="23"/>
  <c r="P143" i="23"/>
  <c r="Q143" i="23"/>
  <c r="R143" i="23" s="1"/>
  <c r="T143" i="23"/>
  <c r="U143" i="23"/>
  <c r="V143" i="23" s="1"/>
  <c r="AC143" i="23"/>
  <c r="AP143" i="23"/>
  <c r="AQ143" i="23"/>
  <c r="AM144" i="23" s="1"/>
  <c r="AR143" i="23"/>
  <c r="B144" i="23"/>
  <c r="C144" i="23" s="1"/>
  <c r="X144" i="23" s="1"/>
  <c r="F144" i="23"/>
  <c r="H144" i="23" s="1"/>
  <c r="M144" i="23"/>
  <c r="P144" i="23"/>
  <c r="Q144" i="23"/>
  <c r="R144" i="23" s="1"/>
  <c r="T144" i="23"/>
  <c r="U144" i="23"/>
  <c r="V144" i="23" s="1"/>
  <c r="AC144" i="23"/>
  <c r="AF144" i="23"/>
  <c r="AP144" i="23"/>
  <c r="AQ144" i="23"/>
  <c r="AM145" i="23" s="1"/>
  <c r="AR144" i="23"/>
  <c r="B145" i="23"/>
  <c r="C145" i="23" s="1"/>
  <c r="AF145" i="23" s="1"/>
  <c r="M145" i="23"/>
  <c r="P145" i="23"/>
  <c r="Q145" i="23"/>
  <c r="R145" i="23" s="1"/>
  <c r="T145" i="23"/>
  <c r="U145" i="23"/>
  <c r="V145" i="23" s="1"/>
  <c r="AC145" i="23"/>
  <c r="AP145" i="23"/>
  <c r="AQ145" i="23"/>
  <c r="AM146" i="23" s="1"/>
  <c r="AR145" i="23"/>
  <c r="B146" i="23"/>
  <c r="B146" i="24" s="1"/>
  <c r="M146" i="23"/>
  <c r="P146" i="23"/>
  <c r="Q146" i="23"/>
  <c r="R146" i="23" s="1"/>
  <c r="T146" i="23"/>
  <c r="U146" i="23"/>
  <c r="V146" i="23" s="1"/>
  <c r="AC146" i="23"/>
  <c r="AP146" i="23"/>
  <c r="AQ146" i="23"/>
  <c r="AM147" i="23" s="1"/>
  <c r="AR146" i="23"/>
  <c r="B147" i="23"/>
  <c r="B147" i="24" s="1"/>
  <c r="M147" i="23"/>
  <c r="P147" i="23"/>
  <c r="Q147" i="23"/>
  <c r="R147" i="23" s="1"/>
  <c r="T147" i="23"/>
  <c r="U147" i="23"/>
  <c r="V147" i="23" s="1"/>
  <c r="AC147" i="23"/>
  <c r="AP147" i="23"/>
  <c r="AQ147" i="23"/>
  <c r="AM148" i="23" s="1"/>
  <c r="AR147" i="23"/>
  <c r="B148" i="23"/>
  <c r="B148" i="24" s="1"/>
  <c r="M148" i="23"/>
  <c r="P148" i="23"/>
  <c r="Q148" i="23"/>
  <c r="R148" i="23" s="1"/>
  <c r="T148" i="23"/>
  <c r="U148" i="23"/>
  <c r="V148" i="23" s="1"/>
  <c r="AC148" i="23"/>
  <c r="AP148" i="23"/>
  <c r="AQ148" i="23"/>
  <c r="AM149" i="23" s="1"/>
  <c r="AR148" i="23"/>
  <c r="AU148" i="23"/>
  <c r="B149" i="23"/>
  <c r="D149" i="23" s="1"/>
  <c r="C149" i="24" s="1"/>
  <c r="M149" i="23"/>
  <c r="P149" i="23"/>
  <c r="Q149" i="23"/>
  <c r="R149" i="23" s="1"/>
  <c r="AN149" i="23" s="1"/>
  <c r="T149" i="23"/>
  <c r="U149" i="23"/>
  <c r="V149" i="23" s="1"/>
  <c r="AC149" i="23"/>
  <c r="AL149" i="23"/>
  <c r="AP149" i="23"/>
  <c r="AQ149" i="23"/>
  <c r="AM150" i="23" s="1"/>
  <c r="AR149" i="23"/>
  <c r="B150" i="23"/>
  <c r="B150" i="24" s="1"/>
  <c r="M150" i="23"/>
  <c r="P150" i="23"/>
  <c r="Q150" i="23"/>
  <c r="R150" i="23" s="1"/>
  <c r="T150" i="23"/>
  <c r="U150" i="23"/>
  <c r="V150" i="23" s="1"/>
  <c r="AC150" i="23"/>
  <c r="AP150" i="23"/>
  <c r="AQ150" i="23"/>
  <c r="AM151" i="23" s="1"/>
  <c r="AR150" i="23"/>
  <c r="B151" i="23"/>
  <c r="B151" i="24" s="1"/>
  <c r="BL151" i="24" s="1"/>
  <c r="M151" i="23"/>
  <c r="P151" i="23"/>
  <c r="Q151" i="23"/>
  <c r="R151" i="23" s="1"/>
  <c r="T151" i="23"/>
  <c r="U151" i="23"/>
  <c r="V151" i="23"/>
  <c r="AC151" i="23"/>
  <c r="AP151" i="23"/>
  <c r="AQ151" i="23"/>
  <c r="AM152" i="23" s="1"/>
  <c r="AR151" i="23"/>
  <c r="B152" i="23"/>
  <c r="B152" i="24" s="1"/>
  <c r="M152" i="23"/>
  <c r="P152" i="23"/>
  <c r="Q152" i="23"/>
  <c r="R152" i="23" s="1"/>
  <c r="T152" i="23"/>
  <c r="U152" i="23"/>
  <c r="V152" i="23" s="1"/>
  <c r="AC152" i="23"/>
  <c r="AP152" i="23"/>
  <c r="AQ152" i="23"/>
  <c r="AM153" i="23" s="1"/>
  <c r="AR152" i="23"/>
  <c r="B153" i="23"/>
  <c r="C153" i="23" s="1"/>
  <c r="M153" i="23"/>
  <c r="P153" i="23"/>
  <c r="AO153" i="23" s="1"/>
  <c r="Q153" i="23"/>
  <c r="R153" i="23" s="1"/>
  <c r="T153" i="23"/>
  <c r="U153" i="23"/>
  <c r="V153" i="23" s="1"/>
  <c r="AC153" i="23"/>
  <c r="AP153" i="23"/>
  <c r="AQ153" i="23"/>
  <c r="AM154" i="23" s="1"/>
  <c r="AR153" i="23"/>
  <c r="B154" i="23"/>
  <c r="B154" i="24" s="1"/>
  <c r="M154" i="23"/>
  <c r="P154" i="23"/>
  <c r="Q154" i="23"/>
  <c r="R154" i="23" s="1"/>
  <c r="T154" i="23"/>
  <c r="U154" i="23"/>
  <c r="V154" i="23" s="1"/>
  <c r="AC154" i="23"/>
  <c r="AP154" i="23"/>
  <c r="AQ154" i="23"/>
  <c r="AR154" i="23"/>
  <c r="B155" i="23"/>
  <c r="M155" i="23"/>
  <c r="P155" i="23"/>
  <c r="Q155" i="23"/>
  <c r="R155" i="23" s="1"/>
  <c r="T155" i="23"/>
  <c r="U155" i="23"/>
  <c r="V155" i="23" s="1"/>
  <c r="AC155" i="23"/>
  <c r="AM155" i="23"/>
  <c r="AP155" i="23"/>
  <c r="AQ155" i="23"/>
  <c r="AM156" i="23" s="1"/>
  <c r="AR155" i="23"/>
  <c r="B156" i="23"/>
  <c r="B156" i="24" s="1"/>
  <c r="D156" i="23"/>
  <c r="C156" i="24" s="1"/>
  <c r="M156" i="23"/>
  <c r="P156" i="23"/>
  <c r="Q156" i="23"/>
  <c r="R156" i="23" s="1"/>
  <c r="T156" i="23"/>
  <c r="U156" i="23"/>
  <c r="V156" i="23" s="1"/>
  <c r="AC156" i="23"/>
  <c r="AD156" i="23"/>
  <c r="AL156" i="23"/>
  <c r="AP156" i="23"/>
  <c r="AQ156" i="23"/>
  <c r="AM157" i="23" s="1"/>
  <c r="AR156" i="23"/>
  <c r="AU156" i="23"/>
  <c r="B157" i="23"/>
  <c r="B157" i="24" s="1"/>
  <c r="M157" i="23"/>
  <c r="P157" i="23"/>
  <c r="Q157" i="23"/>
  <c r="R157" i="23" s="1"/>
  <c r="T157" i="23"/>
  <c r="U157" i="23"/>
  <c r="V157" i="23" s="1"/>
  <c r="AC157" i="23"/>
  <c r="AP157" i="23"/>
  <c r="AQ157" i="23"/>
  <c r="AM158" i="23" s="1"/>
  <c r="AR157" i="23"/>
  <c r="B158" i="23"/>
  <c r="B158" i="24" s="1"/>
  <c r="M158" i="23"/>
  <c r="P158" i="23"/>
  <c r="Q158" i="23"/>
  <c r="R158" i="23" s="1"/>
  <c r="T158" i="23"/>
  <c r="U158" i="23"/>
  <c r="V158" i="23" s="1"/>
  <c r="AC158" i="23"/>
  <c r="AP158" i="23"/>
  <c r="AQ158" i="23"/>
  <c r="AM159" i="23" s="1"/>
  <c r="AR158" i="23"/>
  <c r="B159" i="23"/>
  <c r="B159" i="24" s="1"/>
  <c r="BL159" i="24" s="1"/>
  <c r="M159" i="23"/>
  <c r="P159" i="23"/>
  <c r="Q159" i="23"/>
  <c r="R159" i="23" s="1"/>
  <c r="T159" i="23"/>
  <c r="U159" i="23"/>
  <c r="V159" i="23" s="1"/>
  <c r="AC159" i="23"/>
  <c r="AP159" i="23"/>
  <c r="AQ159" i="23"/>
  <c r="AM160" i="23" s="1"/>
  <c r="AR159" i="23"/>
  <c r="B160" i="23"/>
  <c r="M160" i="23"/>
  <c r="P160" i="23"/>
  <c r="Q160" i="23"/>
  <c r="R160" i="23" s="1"/>
  <c r="T160" i="23"/>
  <c r="U160" i="23"/>
  <c r="V160" i="23" s="1"/>
  <c r="AC160" i="23"/>
  <c r="AP160" i="23"/>
  <c r="AQ160" i="23"/>
  <c r="AM161" i="23" s="1"/>
  <c r="AR160" i="23"/>
  <c r="B161" i="23"/>
  <c r="AL161" i="23" s="1"/>
  <c r="M161" i="23"/>
  <c r="P161" i="23"/>
  <c r="Q161" i="23"/>
  <c r="R161" i="23" s="1"/>
  <c r="T161" i="23"/>
  <c r="U161" i="23"/>
  <c r="V161" i="23" s="1"/>
  <c r="AC161" i="23"/>
  <c r="AP161" i="23"/>
  <c r="AQ161" i="23"/>
  <c r="AM162" i="23" s="1"/>
  <c r="AR161" i="23"/>
  <c r="B162" i="23"/>
  <c r="B162" i="24" s="1"/>
  <c r="C162" i="23"/>
  <c r="F162" i="23" s="1"/>
  <c r="G162" i="23" s="1"/>
  <c r="D162" i="23"/>
  <c r="C162" i="24" s="1"/>
  <c r="M162" i="23"/>
  <c r="P162" i="23"/>
  <c r="Q162" i="23"/>
  <c r="R162" i="23" s="1"/>
  <c r="T162" i="23"/>
  <c r="U162" i="23"/>
  <c r="V162" i="23" s="1"/>
  <c r="AC162" i="23"/>
  <c r="AF162" i="23"/>
  <c r="AP162" i="23"/>
  <c r="AQ162" i="23"/>
  <c r="AM163" i="23" s="1"/>
  <c r="AR162" i="23"/>
  <c r="AT162" i="23"/>
  <c r="AU162" i="23"/>
  <c r="B163" i="23"/>
  <c r="C163" i="23" s="1"/>
  <c r="M163" i="23"/>
  <c r="P163" i="23"/>
  <c r="Q163" i="23"/>
  <c r="R163" i="23" s="1"/>
  <c r="T163" i="23"/>
  <c r="U163" i="23"/>
  <c r="V163" i="23" s="1"/>
  <c r="AC163" i="23"/>
  <c r="AP163" i="23"/>
  <c r="AQ163" i="23"/>
  <c r="AM164" i="23" s="1"/>
  <c r="AR163" i="23"/>
  <c r="B164" i="23"/>
  <c r="B164" i="24" s="1"/>
  <c r="M164" i="23"/>
  <c r="P164" i="23"/>
  <c r="Q164" i="23"/>
  <c r="R164" i="23" s="1"/>
  <c r="T164" i="23"/>
  <c r="U164" i="23"/>
  <c r="V164" i="23" s="1"/>
  <c r="AC164" i="23"/>
  <c r="AP164" i="23"/>
  <c r="AQ164" i="23"/>
  <c r="AM165" i="23" s="1"/>
  <c r="AR164" i="23"/>
  <c r="B165" i="23"/>
  <c r="B165" i="24" s="1"/>
  <c r="C165" i="23"/>
  <c r="AF165" i="23" s="1"/>
  <c r="D165" i="23"/>
  <c r="C165" i="24" s="1"/>
  <c r="M165" i="23"/>
  <c r="P165" i="23"/>
  <c r="Q165" i="23"/>
  <c r="R165" i="23" s="1"/>
  <c r="T165" i="23"/>
  <c r="U165" i="23"/>
  <c r="V165" i="23" s="1"/>
  <c r="AC165" i="23"/>
  <c r="AD165" i="23"/>
  <c r="AL165" i="23"/>
  <c r="AP165" i="23"/>
  <c r="AQ165" i="23"/>
  <c r="AR165" i="23"/>
  <c r="AT165" i="23"/>
  <c r="B166" i="23"/>
  <c r="M166" i="23"/>
  <c r="P166" i="23"/>
  <c r="Q166" i="23"/>
  <c r="R166" i="23" s="1"/>
  <c r="T166" i="23"/>
  <c r="U166" i="23"/>
  <c r="V166" i="23" s="1"/>
  <c r="AC166" i="23"/>
  <c r="AM166" i="23"/>
  <c r="AP166" i="23"/>
  <c r="AQ166" i="23"/>
  <c r="AM167" i="23" s="1"/>
  <c r="AR166" i="23"/>
  <c r="B167" i="23"/>
  <c r="B167" i="24" s="1"/>
  <c r="AO167" i="24" s="1"/>
  <c r="M167" i="23"/>
  <c r="P167" i="23"/>
  <c r="Q167" i="23"/>
  <c r="R167" i="23" s="1"/>
  <c r="T167" i="23"/>
  <c r="U167" i="23"/>
  <c r="V167" i="23" s="1"/>
  <c r="AC167" i="23"/>
  <c r="AD167" i="23"/>
  <c r="AP167" i="23"/>
  <c r="AQ167" i="23"/>
  <c r="AM168" i="23" s="1"/>
  <c r="AR167" i="23"/>
  <c r="B168" i="23"/>
  <c r="B168" i="24" s="1"/>
  <c r="M168" i="23"/>
  <c r="P168" i="23"/>
  <c r="Q168" i="23"/>
  <c r="R168" i="23"/>
  <c r="T168" i="23"/>
  <c r="U168" i="23"/>
  <c r="V168" i="23"/>
  <c r="AC168" i="23"/>
  <c r="AP168" i="23"/>
  <c r="AQ168" i="23"/>
  <c r="AM169" i="23" s="1"/>
  <c r="AR168" i="23"/>
  <c r="B169" i="23"/>
  <c r="B169" i="24" s="1"/>
  <c r="M169" i="23"/>
  <c r="P169" i="23"/>
  <c r="AO169" i="23" s="1"/>
  <c r="Q169" i="23"/>
  <c r="R169" i="23" s="1"/>
  <c r="T169" i="23"/>
  <c r="U169" i="23"/>
  <c r="V169" i="23" s="1"/>
  <c r="AC169" i="23"/>
  <c r="AP169" i="23"/>
  <c r="AQ169" i="23"/>
  <c r="AM170" i="23" s="1"/>
  <c r="AR169" i="23"/>
  <c r="B170" i="23"/>
  <c r="M170" i="23"/>
  <c r="P170" i="23"/>
  <c r="Q170" i="23"/>
  <c r="R170" i="23" s="1"/>
  <c r="T170" i="23"/>
  <c r="U170" i="23"/>
  <c r="V170" i="23" s="1"/>
  <c r="AC170" i="23"/>
  <c r="AP170" i="23"/>
  <c r="AQ170" i="23"/>
  <c r="AM171" i="23" s="1"/>
  <c r="AR170" i="23"/>
  <c r="B171" i="23"/>
  <c r="B171" i="24" s="1"/>
  <c r="M171" i="23"/>
  <c r="P171" i="23"/>
  <c r="Q171" i="23"/>
  <c r="R171" i="23" s="1"/>
  <c r="T171" i="23"/>
  <c r="U171" i="23"/>
  <c r="V171" i="23" s="1"/>
  <c r="AC171" i="23"/>
  <c r="AP171" i="23"/>
  <c r="AQ171" i="23"/>
  <c r="AM172" i="23" s="1"/>
  <c r="AR171" i="23"/>
  <c r="B172" i="23"/>
  <c r="AU172" i="23" s="1"/>
  <c r="C172" i="23"/>
  <c r="W172" i="23" s="1"/>
  <c r="M172" i="23"/>
  <c r="P172" i="23"/>
  <c r="Q172" i="23"/>
  <c r="R172" i="23" s="1"/>
  <c r="T172" i="23"/>
  <c r="U172" i="23"/>
  <c r="V172" i="23" s="1"/>
  <c r="AC172" i="23"/>
  <c r="AP172" i="23"/>
  <c r="AQ172" i="23"/>
  <c r="AM173" i="23" s="1"/>
  <c r="AR172" i="23"/>
  <c r="AT172" i="23"/>
  <c r="B173" i="23"/>
  <c r="C173" i="23" s="1"/>
  <c r="AF173" i="23" s="1"/>
  <c r="AH173" i="23" s="1"/>
  <c r="M173" i="23"/>
  <c r="P173" i="23"/>
  <c r="Q173" i="23"/>
  <c r="R173" i="23" s="1"/>
  <c r="T173" i="23"/>
  <c r="U173" i="23"/>
  <c r="V173" i="23" s="1"/>
  <c r="AC173" i="23"/>
  <c r="AP173" i="23"/>
  <c r="AQ173" i="23"/>
  <c r="AM174" i="23" s="1"/>
  <c r="AR173" i="23"/>
  <c r="B174" i="23"/>
  <c r="M174" i="23"/>
  <c r="P174" i="23"/>
  <c r="Q174" i="23"/>
  <c r="R174" i="23" s="1"/>
  <c r="T174" i="23"/>
  <c r="U174" i="23"/>
  <c r="V174" i="23" s="1"/>
  <c r="AC174" i="23"/>
  <c r="AP174" i="23"/>
  <c r="AQ174" i="23"/>
  <c r="AM175" i="23" s="1"/>
  <c r="AR174" i="23"/>
  <c r="B175" i="23"/>
  <c r="AT175" i="23" s="1"/>
  <c r="D175" i="23"/>
  <c r="C175" i="24" s="1"/>
  <c r="M175" i="23"/>
  <c r="P175" i="23"/>
  <c r="Q175" i="23"/>
  <c r="R175" i="23" s="1"/>
  <c r="T175" i="23"/>
  <c r="U175" i="23"/>
  <c r="V175" i="23" s="1"/>
  <c r="AC175" i="23"/>
  <c r="AP175" i="23"/>
  <c r="AQ175" i="23"/>
  <c r="AM176" i="23" s="1"/>
  <c r="AR175" i="23"/>
  <c r="B176" i="23"/>
  <c r="AU176" i="23" s="1"/>
  <c r="M176" i="23"/>
  <c r="P176" i="23"/>
  <c r="Q176" i="23"/>
  <c r="R176" i="23" s="1"/>
  <c r="T176" i="23"/>
  <c r="U176" i="23"/>
  <c r="V176" i="23" s="1"/>
  <c r="AC176" i="23"/>
  <c r="AD176" i="23"/>
  <c r="AL176" i="23"/>
  <c r="AP176" i="23"/>
  <c r="AQ176" i="23"/>
  <c r="AR176" i="23"/>
  <c r="B177" i="23"/>
  <c r="B177" i="24" s="1"/>
  <c r="M177" i="23"/>
  <c r="P177" i="23"/>
  <c r="Q177" i="23"/>
  <c r="R177" i="23" s="1"/>
  <c r="T177" i="23"/>
  <c r="U177" i="23"/>
  <c r="V177" i="23" s="1"/>
  <c r="AC177" i="23"/>
  <c r="AM177" i="23"/>
  <c r="AP177" i="23"/>
  <c r="AQ177" i="23"/>
  <c r="AM178" i="23" s="1"/>
  <c r="AR177" i="23"/>
  <c r="B178" i="23"/>
  <c r="B178" i="24" s="1"/>
  <c r="AO178" i="24" s="1"/>
  <c r="M178" i="23"/>
  <c r="P178" i="23"/>
  <c r="Q178" i="23"/>
  <c r="R178" i="23" s="1"/>
  <c r="T178" i="23"/>
  <c r="U178" i="23"/>
  <c r="V178" i="23" s="1"/>
  <c r="AC178" i="23"/>
  <c r="AP178" i="23"/>
  <c r="AQ178" i="23"/>
  <c r="AM179" i="23" s="1"/>
  <c r="AR178" i="23"/>
  <c r="B179" i="23"/>
  <c r="B179" i="24" s="1"/>
  <c r="M179" i="23"/>
  <c r="P179" i="23"/>
  <c r="Q179" i="23"/>
  <c r="R179" i="23" s="1"/>
  <c r="T179" i="23"/>
  <c r="U179" i="23"/>
  <c r="V179" i="23" s="1"/>
  <c r="AC179" i="23"/>
  <c r="AP179" i="23"/>
  <c r="AQ179" i="23"/>
  <c r="AM180" i="23" s="1"/>
  <c r="AR179" i="23"/>
  <c r="B180" i="23"/>
  <c r="M180" i="23"/>
  <c r="P180" i="23"/>
  <c r="Q180" i="23"/>
  <c r="R180" i="23" s="1"/>
  <c r="T180" i="23"/>
  <c r="U180" i="23"/>
  <c r="V180" i="23" s="1"/>
  <c r="AC180" i="23"/>
  <c r="AP180" i="23"/>
  <c r="AQ180" i="23"/>
  <c r="AM181" i="23" s="1"/>
  <c r="AR180" i="23"/>
  <c r="B181" i="23"/>
  <c r="B181" i="24" s="1"/>
  <c r="D181" i="23"/>
  <c r="C181" i="24" s="1"/>
  <c r="M181" i="23"/>
  <c r="P181" i="23"/>
  <c r="Q181" i="23"/>
  <c r="R181" i="23" s="1"/>
  <c r="T181" i="23"/>
  <c r="U181" i="23"/>
  <c r="V181" i="23" s="1"/>
  <c r="AC181" i="23"/>
  <c r="AP181" i="23"/>
  <c r="AQ181" i="23"/>
  <c r="AM182" i="23" s="1"/>
  <c r="AR181" i="23"/>
  <c r="B182" i="23"/>
  <c r="M182" i="23"/>
  <c r="P182" i="23"/>
  <c r="Q182" i="23"/>
  <c r="R182" i="23" s="1"/>
  <c r="T182" i="23"/>
  <c r="U182" i="23"/>
  <c r="V182" i="23" s="1"/>
  <c r="AC182" i="23"/>
  <c r="AP182" i="23"/>
  <c r="AQ182" i="23"/>
  <c r="AM183" i="23" s="1"/>
  <c r="AR182" i="23"/>
  <c r="B183" i="23"/>
  <c r="AL183" i="23" s="1"/>
  <c r="M183" i="23"/>
  <c r="P183" i="23"/>
  <c r="Q183" i="23"/>
  <c r="R183" i="23" s="1"/>
  <c r="T183" i="23"/>
  <c r="U183" i="23"/>
  <c r="V183" i="23" s="1"/>
  <c r="AC183" i="23"/>
  <c r="AP183" i="23"/>
  <c r="AQ183" i="23"/>
  <c r="AM184" i="23" s="1"/>
  <c r="AR183" i="23"/>
  <c r="B184" i="23"/>
  <c r="C184" i="23" s="1"/>
  <c r="M184" i="23"/>
  <c r="P184" i="23"/>
  <c r="Q184" i="23"/>
  <c r="R184" i="23" s="1"/>
  <c r="T184" i="23"/>
  <c r="U184" i="23"/>
  <c r="V184" i="23" s="1"/>
  <c r="AC184" i="23"/>
  <c r="AP184" i="23"/>
  <c r="AQ184" i="23"/>
  <c r="AM185" i="23" s="1"/>
  <c r="AR184" i="23"/>
  <c r="AU184" i="23"/>
  <c r="B185" i="23"/>
  <c r="M185" i="23"/>
  <c r="P185" i="23"/>
  <c r="Q185" i="23"/>
  <c r="R185" i="23" s="1"/>
  <c r="T185" i="23"/>
  <c r="U185" i="23"/>
  <c r="V185" i="23" s="1"/>
  <c r="AC185" i="23"/>
  <c r="AP185" i="23"/>
  <c r="AQ185" i="23"/>
  <c r="AM186" i="23" s="1"/>
  <c r="AR185" i="23"/>
  <c r="B186" i="23"/>
  <c r="M186" i="23"/>
  <c r="P186" i="23"/>
  <c r="Q186" i="23"/>
  <c r="R186" i="23" s="1"/>
  <c r="T186" i="23"/>
  <c r="U186" i="23"/>
  <c r="V186" i="23" s="1"/>
  <c r="AC186" i="23"/>
  <c r="AP186" i="23"/>
  <c r="AQ186" i="23"/>
  <c r="AR186" i="23"/>
  <c r="B187" i="23"/>
  <c r="B187" i="24" s="1"/>
  <c r="BL187" i="24" s="1"/>
  <c r="M187" i="23"/>
  <c r="P187" i="23"/>
  <c r="Q187" i="23"/>
  <c r="R187" i="23" s="1"/>
  <c r="T187" i="23"/>
  <c r="U187" i="23"/>
  <c r="V187" i="23" s="1"/>
  <c r="AC187" i="23"/>
  <c r="AM187" i="23"/>
  <c r="AP187" i="23"/>
  <c r="AQ187" i="23"/>
  <c r="AM188" i="23" s="1"/>
  <c r="AR187" i="23"/>
  <c r="B188" i="23"/>
  <c r="M188" i="23"/>
  <c r="P188" i="23"/>
  <c r="Q188" i="23"/>
  <c r="R188" i="23" s="1"/>
  <c r="T188" i="23"/>
  <c r="U188" i="23"/>
  <c r="V188" i="23" s="1"/>
  <c r="AC188" i="23"/>
  <c r="AP188" i="23"/>
  <c r="AQ188" i="23"/>
  <c r="AR188" i="23"/>
  <c r="B189" i="23"/>
  <c r="B189" i="24" s="1"/>
  <c r="R189" i="24" s="1"/>
  <c r="M189" i="23"/>
  <c r="P189" i="23"/>
  <c r="AO189" i="23" s="1"/>
  <c r="Q189" i="23"/>
  <c r="R189" i="23" s="1"/>
  <c r="T189" i="23"/>
  <c r="U189" i="23"/>
  <c r="V189" i="23"/>
  <c r="AC189" i="23"/>
  <c r="AM189" i="23"/>
  <c r="AP189" i="23"/>
  <c r="AQ189" i="23"/>
  <c r="AM190" i="23" s="1"/>
  <c r="AR189" i="23"/>
  <c r="B190" i="23"/>
  <c r="C190" i="23" s="1"/>
  <c r="M190" i="23"/>
  <c r="P190" i="23"/>
  <c r="Q190" i="23"/>
  <c r="R190" i="23" s="1"/>
  <c r="T190" i="23"/>
  <c r="U190" i="23"/>
  <c r="V190" i="23" s="1"/>
  <c r="AC190" i="23"/>
  <c r="AD190" i="23"/>
  <c r="AP190" i="23"/>
  <c r="AQ190" i="23"/>
  <c r="AM191" i="23" s="1"/>
  <c r="AR190" i="23"/>
  <c r="B191" i="23"/>
  <c r="M191" i="23"/>
  <c r="P191" i="23"/>
  <c r="Q191" i="23"/>
  <c r="R191" i="23" s="1"/>
  <c r="T191" i="23"/>
  <c r="U191" i="23"/>
  <c r="V191" i="23" s="1"/>
  <c r="AC191" i="23"/>
  <c r="AP191" i="23"/>
  <c r="AQ191" i="23"/>
  <c r="AM192" i="23" s="1"/>
  <c r="AR191" i="23"/>
  <c r="B192" i="23"/>
  <c r="B192" i="24" s="1"/>
  <c r="M192" i="23"/>
  <c r="P192" i="23"/>
  <c r="Q192" i="23"/>
  <c r="R192" i="23" s="1"/>
  <c r="T192" i="23"/>
  <c r="U192" i="23"/>
  <c r="V192" i="23" s="1"/>
  <c r="AC192" i="23"/>
  <c r="AP192" i="23"/>
  <c r="AQ192" i="23"/>
  <c r="AM193" i="23" s="1"/>
  <c r="AR192" i="23"/>
  <c r="B193" i="23"/>
  <c r="C193" i="23"/>
  <c r="D193" i="23"/>
  <c r="C193" i="24" s="1"/>
  <c r="M193" i="23"/>
  <c r="P193" i="23"/>
  <c r="Q193" i="23"/>
  <c r="R193" i="23" s="1"/>
  <c r="T193" i="23"/>
  <c r="U193" i="23"/>
  <c r="V193" i="23" s="1"/>
  <c r="AC193" i="23"/>
  <c r="AP193" i="23"/>
  <c r="AQ193" i="23"/>
  <c r="AM194" i="23" s="1"/>
  <c r="AR193" i="23"/>
  <c r="B194" i="23"/>
  <c r="B194" i="24" s="1"/>
  <c r="BL194" i="24" s="1"/>
  <c r="C194" i="23"/>
  <c r="AF194" i="23" s="1"/>
  <c r="AH194" i="23" s="1"/>
  <c r="M194" i="23"/>
  <c r="P194" i="23"/>
  <c r="Q194" i="23"/>
  <c r="R194" i="23" s="1"/>
  <c r="T194" i="23"/>
  <c r="U194" i="23"/>
  <c r="V194" i="23" s="1"/>
  <c r="AC194" i="23"/>
  <c r="AP194" i="23"/>
  <c r="AQ194" i="23"/>
  <c r="AM195" i="23" s="1"/>
  <c r="AR194" i="23"/>
  <c r="C5" i="22"/>
  <c r="C6" i="22"/>
  <c r="C7" i="22"/>
  <c r="C8" i="22"/>
  <c r="C9" i="22"/>
  <c r="B13" i="22"/>
  <c r="D13" i="22"/>
  <c r="B14" i="22"/>
  <c r="D14" i="22"/>
  <c r="B15" i="22"/>
  <c r="D15" i="22"/>
  <c r="B16" i="22"/>
  <c r="D16" i="22"/>
  <c r="B17" i="22"/>
  <c r="D17" i="22"/>
  <c r="B19" i="22"/>
  <c r="D19" i="22"/>
  <c r="B22" i="22"/>
  <c r="D22" i="22"/>
  <c r="B23" i="22"/>
  <c r="D23" i="22"/>
  <c r="B24" i="22"/>
  <c r="D24" i="22"/>
  <c r="B25" i="22"/>
  <c r="D25" i="22"/>
  <c r="L6" i="21"/>
  <c r="M6" i="21"/>
  <c r="N6" i="21"/>
  <c r="B7" i="21"/>
  <c r="L7" i="21"/>
  <c r="M7" i="21"/>
  <c r="N7" i="21"/>
  <c r="L8" i="21"/>
  <c r="M8" i="21"/>
  <c r="N8" i="21"/>
  <c r="L9" i="21"/>
  <c r="M9" i="21"/>
  <c r="N9" i="21"/>
  <c r="B10" i="21"/>
  <c r="L10" i="21"/>
  <c r="M10" i="21"/>
  <c r="N10" i="21"/>
  <c r="L11" i="21"/>
  <c r="M11" i="21"/>
  <c r="N11" i="21"/>
  <c r="L12" i="21"/>
  <c r="M12" i="21"/>
  <c r="N12" i="21"/>
  <c r="B13" i="21"/>
  <c r="L13" i="21"/>
  <c r="M13" i="21"/>
  <c r="N13" i="21"/>
  <c r="B14" i="21"/>
  <c r="G14" i="21"/>
  <c r="L14" i="21"/>
  <c r="M14" i="21"/>
  <c r="N14" i="21"/>
  <c r="B15" i="21"/>
  <c r="G15" i="21"/>
  <c r="L15" i="21"/>
  <c r="M15" i="21"/>
  <c r="N15" i="21"/>
  <c r="L16" i="21"/>
  <c r="M16" i="21"/>
  <c r="N16" i="21"/>
  <c r="G17" i="21"/>
  <c r="L17" i="21"/>
  <c r="M17" i="21"/>
  <c r="N17" i="21"/>
  <c r="L18" i="21"/>
  <c r="M18" i="21"/>
  <c r="N18" i="21"/>
  <c r="L19" i="21"/>
  <c r="M19" i="21"/>
  <c r="N19" i="21"/>
  <c r="L20" i="21"/>
  <c r="M20" i="21"/>
  <c r="N20" i="21"/>
  <c r="F6" i="20"/>
  <c r="G6" i="20" s="1"/>
  <c r="O6" i="20"/>
  <c r="F7" i="20"/>
  <c r="G7" i="20" s="1"/>
  <c r="F8" i="20"/>
  <c r="G8" i="20" s="1"/>
  <c r="F9" i="20"/>
  <c r="F10" i="20"/>
  <c r="G10" i="20" s="1"/>
  <c r="F11" i="20"/>
  <c r="G11" i="20" s="1"/>
  <c r="I11" i="20" a="1"/>
  <c r="I11" i="20" s="1"/>
  <c r="N11" i="20"/>
  <c r="O11" i="20"/>
  <c r="P11" i="20"/>
  <c r="F12" i="20"/>
  <c r="AB353" i="23"/>
  <c r="F13" i="20"/>
  <c r="G13" i="20" s="1"/>
  <c r="F14" i="20"/>
  <c r="F15" i="20"/>
  <c r="G15" i="20" s="1"/>
  <c r="O15" i="20" a="1"/>
  <c r="O15" i="20" s="1"/>
  <c r="F16" i="20"/>
  <c r="B17" i="20"/>
  <c r="F17" i="20"/>
  <c r="G17" i="20" s="1"/>
  <c r="B18" i="20"/>
  <c r="G13" i="21" s="1"/>
  <c r="F18" i="20"/>
  <c r="G18" i="20" s="1"/>
  <c r="F19" i="20"/>
  <c r="H19" i="20"/>
  <c r="F20" i="20"/>
  <c r="G20" i="20" s="1"/>
  <c r="N20" i="20"/>
  <c r="P20" i="20" s="1"/>
  <c r="F21" i="20"/>
  <c r="G21" i="20" s="1"/>
  <c r="N21" i="20"/>
  <c r="O21" i="20"/>
  <c r="P21" i="20"/>
  <c r="F22" i="20"/>
  <c r="G22" i="20" s="1"/>
  <c r="F23" i="20"/>
  <c r="G23" i="20" s="1"/>
  <c r="H23" i="20"/>
  <c r="I23" i="20" a="1"/>
  <c r="I23" i="20" s="1"/>
  <c r="F24" i="20"/>
  <c r="G24" i="20" s="1"/>
  <c r="F25" i="20"/>
  <c r="G25" i="20" s="1"/>
  <c r="I25" i="20" a="1"/>
  <c r="I25" i="20" s="1"/>
  <c r="F26" i="20"/>
  <c r="G26" i="20" s="1"/>
  <c r="F27" i="20"/>
  <c r="F28" i="20"/>
  <c r="G28" i="20" s="1"/>
  <c r="F29" i="20"/>
  <c r="F30" i="20"/>
  <c r="N30" i="20"/>
  <c r="F31" i="20"/>
  <c r="G31" i="20" s="1"/>
  <c r="N31" i="20"/>
  <c r="F32" i="20"/>
  <c r="G32" i="20" s="1"/>
  <c r="N32" i="20"/>
  <c r="F33" i="20"/>
  <c r="G33" i="20" s="1"/>
  <c r="K33" i="20"/>
  <c r="N33" i="20"/>
  <c r="F34" i="20"/>
  <c r="N34" i="20"/>
  <c r="F35" i="20"/>
  <c r="N35" i="20"/>
  <c r="F36" i="20"/>
  <c r="G36" i="20" s="1"/>
  <c r="N36" i="20"/>
  <c r="F37" i="20"/>
  <c r="G37" i="20" s="1"/>
  <c r="N37" i="20"/>
  <c r="F38" i="20"/>
  <c r="G38" i="20" s="1"/>
  <c r="N38" i="20"/>
  <c r="F39" i="20"/>
  <c r="G39" i="20" s="1"/>
  <c r="F40" i="20"/>
  <c r="G40" i="20" s="1"/>
  <c r="F41" i="20"/>
  <c r="G41" i="20" s="1"/>
  <c r="F42" i="20"/>
  <c r="G42" i="20" s="1"/>
  <c r="F43" i="20"/>
  <c r="K43" i="20" s="1"/>
  <c r="F44" i="20"/>
  <c r="F45" i="20"/>
  <c r="F46" i="20"/>
  <c r="G46" i="20" s="1"/>
  <c r="F47" i="20"/>
  <c r="G47" i="20" s="1"/>
  <c r="F48" i="20"/>
  <c r="G48" i="20" s="1"/>
  <c r="F49" i="20"/>
  <c r="F50" i="20"/>
  <c r="G50" i="20" s="1"/>
  <c r="F51" i="20"/>
  <c r="G51" i="20" s="1"/>
  <c r="F52" i="20"/>
  <c r="F53" i="20"/>
  <c r="F54" i="20"/>
  <c r="G54" i="20" s="1"/>
  <c r="F55" i="20"/>
  <c r="G55" i="20" s="1"/>
  <c r="F56" i="20"/>
  <c r="I56" i="20" a="1"/>
  <c r="I56" i="20" s="1"/>
  <c r="F57" i="20"/>
  <c r="G57" i="20" s="1"/>
  <c r="H57" i="20"/>
  <c r="B58" i="20"/>
  <c r="O20" i="20" s="1"/>
  <c r="F58" i="20"/>
  <c r="G58" i="20" s="1"/>
  <c r="F59" i="20"/>
  <c r="H59" i="20"/>
  <c r="F60" i="20"/>
  <c r="F61" i="20"/>
  <c r="F62" i="20"/>
  <c r="G62" i="20" s="1"/>
  <c r="F63" i="20"/>
  <c r="F64" i="20"/>
  <c r="G64" i="20" s="1"/>
  <c r="F65" i="20"/>
  <c r="F66" i="20"/>
  <c r="F67" i="20"/>
  <c r="G67" i="20" s="1"/>
  <c r="F68" i="20"/>
  <c r="G68" i="20" s="1"/>
  <c r="F69" i="20"/>
  <c r="F70" i="20"/>
  <c r="G70" i="20" s="1"/>
  <c r="F71" i="20"/>
  <c r="G71" i="20" s="1"/>
  <c r="F72" i="20"/>
  <c r="F73" i="20"/>
  <c r="G73" i="20" s="1"/>
  <c r="J73" i="20"/>
  <c r="F74" i="20"/>
  <c r="F75" i="20"/>
  <c r="G75" i="20" s="1"/>
  <c r="F76" i="20"/>
  <c r="F77" i="20"/>
  <c r="G77" i="20" s="1"/>
  <c r="F78" i="20"/>
  <c r="G78" i="20" s="1"/>
  <c r="F79" i="20"/>
  <c r="G79" i="20" s="1"/>
  <c r="F80" i="20"/>
  <c r="G80" i="20" s="1"/>
  <c r="F81" i="20"/>
  <c r="G81" i="20" s="1"/>
  <c r="F82" i="20"/>
  <c r="F83" i="20"/>
  <c r="G83" i="20" s="1"/>
  <c r="F84" i="20"/>
  <c r="G84" i="20" s="1"/>
  <c r="J84" i="20"/>
  <c r="K84" i="20"/>
  <c r="F85" i="20"/>
  <c r="F86" i="20"/>
  <c r="I86" i="20" a="1"/>
  <c r="I86" i="20" s="1"/>
  <c r="F87" i="20"/>
  <c r="G87" i="20" s="1"/>
  <c r="F88" i="20"/>
  <c r="G88" i="20" s="1"/>
  <c r="F89" i="20"/>
  <c r="G89" i="20" s="1"/>
  <c r="F90" i="20"/>
  <c r="B91" i="20"/>
  <c r="E239" i="23" s="1"/>
  <c r="D239" i="24" s="1"/>
  <c r="F91" i="20"/>
  <c r="I91" i="20" a="1"/>
  <c r="I91" i="20" s="1"/>
  <c r="F92" i="20"/>
  <c r="G92" i="20" s="1"/>
  <c r="H92" i="20"/>
  <c r="I92" i="20" a="1"/>
  <c r="I92" i="20" s="1"/>
  <c r="F93" i="20"/>
  <c r="G93" i="20" s="1"/>
  <c r="F94" i="20"/>
  <c r="F95" i="20"/>
  <c r="G95" i="20" s="1"/>
  <c r="H95" i="20"/>
  <c r="I95" i="20" a="1"/>
  <c r="I95" i="20" s="1"/>
  <c r="F96" i="20"/>
  <c r="G96" i="20" s="1"/>
  <c r="F97" i="20"/>
  <c r="F98" i="20"/>
  <c r="G98" i="20" s="1"/>
  <c r="F99" i="20"/>
  <c r="F100" i="20"/>
  <c r="G100" i="20" s="1"/>
  <c r="F101" i="20"/>
  <c r="G101" i="20" s="1"/>
  <c r="F102" i="20"/>
  <c r="G102" i="20" s="1"/>
  <c r="F103" i="20"/>
  <c r="F104" i="20"/>
  <c r="F105" i="20"/>
  <c r="G105" i="20" s="1"/>
  <c r="F106" i="20"/>
  <c r="G106" i="20" s="1"/>
  <c r="F107" i="20"/>
  <c r="F108" i="20"/>
  <c r="G108" i="20" s="1"/>
  <c r="F109" i="20"/>
  <c r="F110" i="20"/>
  <c r="F111" i="20"/>
  <c r="I111" i="20" a="1"/>
  <c r="I111" i="20" s="1"/>
  <c r="K111" i="20"/>
  <c r="F112" i="20"/>
  <c r="G112" i="20" s="1"/>
  <c r="F113" i="20"/>
  <c r="F114" i="20"/>
  <c r="G114" i="20" s="1"/>
  <c r="F115" i="20"/>
  <c r="G115" i="20" s="1"/>
  <c r="J115" i="20"/>
  <c r="F116" i="20"/>
  <c r="F117" i="20"/>
  <c r="I117" i="20" a="1"/>
  <c r="I117" i="20" s="1"/>
  <c r="F118" i="20"/>
  <c r="F119" i="20"/>
  <c r="G119" i="20" s="1"/>
  <c r="F120" i="20"/>
  <c r="F121" i="20"/>
  <c r="H121" i="20"/>
  <c r="F122" i="20"/>
  <c r="G122" i="20" s="1"/>
  <c r="F123" i="20"/>
  <c r="G123" i="20" s="1"/>
  <c r="F124" i="20"/>
  <c r="F125" i="20"/>
  <c r="G125" i="20" s="1"/>
  <c r="F126" i="20"/>
  <c r="F127" i="20"/>
  <c r="F128" i="20"/>
  <c r="F129" i="20"/>
  <c r="K129" i="20"/>
  <c r="F130" i="20"/>
  <c r="G130" i="20" s="1"/>
  <c r="F131" i="20"/>
  <c r="G131" i="20" s="1"/>
  <c r="I131" i="20" a="1"/>
  <c r="I131" i="20" s="1"/>
  <c r="K131" i="20"/>
  <c r="F132" i="20"/>
  <c r="F133" i="20"/>
  <c r="H133" i="20" s="1"/>
  <c r="I133" i="20" a="1"/>
  <c r="I133" i="20" s="1"/>
  <c r="F134" i="20"/>
  <c r="G134" i="20" s="1"/>
  <c r="F135" i="20"/>
  <c r="F136" i="20"/>
  <c r="F137" i="20"/>
  <c r="G137" i="20" s="1"/>
  <c r="F138" i="20"/>
  <c r="G138" i="20" s="1"/>
  <c r="F139" i="20"/>
  <c r="G139" i="20" s="1"/>
  <c r="F140" i="20"/>
  <c r="F141" i="20"/>
  <c r="G141" i="20" s="1"/>
  <c r="F142" i="20"/>
  <c r="G142" i="20" s="1"/>
  <c r="F143" i="20"/>
  <c r="G143" i="20" s="1"/>
  <c r="F144" i="20"/>
  <c r="G144" i="20" s="1"/>
  <c r="I144" i="20" a="1"/>
  <c r="I144" i="20" s="1"/>
  <c r="F145" i="20"/>
  <c r="F146" i="20"/>
  <c r="F147" i="20"/>
  <c r="G147" i="20" s="1"/>
  <c r="F148" i="20"/>
  <c r="F149" i="20"/>
  <c r="F150" i="20"/>
  <c r="F151" i="20"/>
  <c r="G151" i="20" s="1"/>
  <c r="F152" i="20"/>
  <c r="G152" i="20" s="1"/>
  <c r="F153" i="20"/>
  <c r="G153" i="20" s="1"/>
  <c r="F154" i="20"/>
  <c r="F155" i="20"/>
  <c r="G155" i="20" s="1"/>
  <c r="H155" i="20"/>
  <c r="F156" i="20"/>
  <c r="F157" i="20"/>
  <c r="G157" i="20" s="1"/>
  <c r="F158" i="20"/>
  <c r="G158" i="20" s="1"/>
  <c r="F159" i="20"/>
  <c r="F160" i="20"/>
  <c r="G160" i="20" s="1"/>
  <c r="F161" i="20"/>
  <c r="F162" i="20"/>
  <c r="F163" i="20"/>
  <c r="G163" i="20" s="1"/>
  <c r="H163" i="20"/>
  <c r="F164" i="20"/>
  <c r="G164" i="20" s="1"/>
  <c r="F165" i="20"/>
  <c r="F166" i="20"/>
  <c r="F167" i="20"/>
  <c r="F168" i="20"/>
  <c r="G168" i="20" s="1"/>
  <c r="F169" i="20"/>
  <c r="G169" i="20" s="1"/>
  <c r="F170" i="20"/>
  <c r="G170" i="20" s="1"/>
  <c r="H170" i="20"/>
  <c r="F171" i="20"/>
  <c r="F172" i="20"/>
  <c r="J172" i="20"/>
  <c r="F173" i="20"/>
  <c r="F174" i="20"/>
  <c r="F175" i="20"/>
  <c r="G175" i="20" s="1"/>
  <c r="F176" i="20"/>
  <c r="G176" i="20" s="1"/>
  <c r="F177" i="20"/>
  <c r="G177" i="20" s="1"/>
  <c r="K177" i="20"/>
  <c r="F178" i="20"/>
  <c r="G178" i="20" s="1"/>
  <c r="F179" i="20"/>
  <c r="G179" i="20" s="1"/>
  <c r="F180" i="20"/>
  <c r="H180" i="20"/>
  <c r="F181" i="20"/>
  <c r="G181" i="20" s="1"/>
  <c r="F182" i="20"/>
  <c r="F183" i="20"/>
  <c r="G183" i="20" s="1"/>
  <c r="F184" i="20"/>
  <c r="G184" i="20" s="1"/>
  <c r="F185" i="20"/>
  <c r="F186" i="20"/>
  <c r="G186" i="20" s="1"/>
  <c r="F187" i="20"/>
  <c r="F188" i="20"/>
  <c r="A8" i="19"/>
  <c r="A9" i="19"/>
  <c r="A10" i="19"/>
  <c r="A11" i="19"/>
  <c r="A12" i="19"/>
  <c r="G196" i="23" l="1"/>
  <c r="AB196" i="24"/>
  <c r="AC196" i="24" s="1"/>
  <c r="K196" i="23"/>
  <c r="G196" i="24"/>
  <c r="H196" i="23"/>
  <c r="I196" i="23" s="1"/>
  <c r="AD196" i="24"/>
  <c r="BA196" i="24"/>
  <c r="H196" i="24"/>
  <c r="E196" i="24"/>
  <c r="F196" i="24" s="1"/>
  <c r="AE196" i="24"/>
  <c r="AY196" i="24"/>
  <c r="AZ196" i="24" s="1"/>
  <c r="BC196" i="24" s="1"/>
  <c r="BB196" i="24"/>
  <c r="J196" i="23"/>
  <c r="AF109" i="23"/>
  <c r="S109" i="23"/>
  <c r="G218" i="23"/>
  <c r="J218" i="23"/>
  <c r="H97" i="20"/>
  <c r="G97" i="20"/>
  <c r="J126" i="20"/>
  <c r="G126" i="20"/>
  <c r="K90" i="20"/>
  <c r="G90" i="20"/>
  <c r="K49" i="20"/>
  <c r="G49" i="20"/>
  <c r="X173" i="23"/>
  <c r="H177" i="20"/>
  <c r="I161" i="20" a="1"/>
  <c r="I161" i="20" s="1"/>
  <c r="G161" i="20"/>
  <c r="J154" i="20"/>
  <c r="G154" i="20"/>
  <c r="J145" i="20"/>
  <c r="G145" i="20"/>
  <c r="J116" i="20"/>
  <c r="G116" i="20"/>
  <c r="J109" i="20"/>
  <c r="G109" i="20"/>
  <c r="I99" i="20" a="1"/>
  <c r="I99" i="20" s="1"/>
  <c r="G99" i="20"/>
  <c r="I61" i="20" a="1"/>
  <c r="I61" i="20" s="1"/>
  <c r="G61" i="20"/>
  <c r="J56" i="20"/>
  <c r="G56" i="20"/>
  <c r="K38" i="20"/>
  <c r="J29" i="20"/>
  <c r="G29" i="20"/>
  <c r="H13" i="20"/>
  <c r="I9" i="20" a="1"/>
  <c r="I9" i="20" s="1"/>
  <c r="G9" i="20"/>
  <c r="C178" i="23"/>
  <c r="AF178" i="23" s="1"/>
  <c r="AH178" i="23" s="1"/>
  <c r="AO177" i="23"/>
  <c r="AT173" i="23"/>
  <c r="AU163" i="23"/>
  <c r="W162" i="23"/>
  <c r="AU139" i="23"/>
  <c r="AT136" i="23"/>
  <c r="D136" i="23"/>
  <c r="C136" i="24" s="1"/>
  <c r="AO132" i="23"/>
  <c r="AD130" i="23"/>
  <c r="AT119" i="23"/>
  <c r="AL117" i="23"/>
  <c r="AO111" i="23"/>
  <c r="D87" i="23"/>
  <c r="C87" i="24" s="1"/>
  <c r="AO86" i="23"/>
  <c r="AT55" i="23"/>
  <c r="AT39" i="23"/>
  <c r="AU25" i="23"/>
  <c r="D18" i="23"/>
  <c r="C18" i="24" s="1"/>
  <c r="AD11" i="23"/>
  <c r="F226" i="23"/>
  <c r="O282" i="23"/>
  <c r="F225" i="23"/>
  <c r="I171" i="20" a="1"/>
  <c r="I171" i="20" s="1"/>
  <c r="G171" i="20"/>
  <c r="I19" i="20" a="1"/>
  <c r="I19" i="20" s="1"/>
  <c r="G19" i="20"/>
  <c r="K60" i="20"/>
  <c r="G60" i="20"/>
  <c r="K45" i="20"/>
  <c r="G45" i="20"/>
  <c r="AT163" i="23"/>
  <c r="D163" i="23"/>
  <c r="C163" i="24" s="1"/>
  <c r="AU159" i="23"/>
  <c r="AB143" i="23"/>
  <c r="AT139" i="23"/>
  <c r="C136" i="23"/>
  <c r="AF136" i="23" s="1"/>
  <c r="AH136" i="23" s="1"/>
  <c r="AU127" i="23"/>
  <c r="AL116" i="23"/>
  <c r="AU107" i="23"/>
  <c r="AU32" i="23"/>
  <c r="F207" i="23"/>
  <c r="F227" i="23"/>
  <c r="L352" i="23"/>
  <c r="X316" i="23"/>
  <c r="S349" i="23"/>
  <c r="S362" i="23"/>
  <c r="O212" i="23"/>
  <c r="AF259" i="24"/>
  <c r="AH259" i="24" s="1"/>
  <c r="O200" i="23"/>
  <c r="S273" i="23"/>
  <c r="AO323" i="24"/>
  <c r="R323" i="24"/>
  <c r="K128" i="20"/>
  <c r="G128" i="20"/>
  <c r="H148" i="20"/>
  <c r="G148" i="20"/>
  <c r="K118" i="20"/>
  <c r="G118" i="20"/>
  <c r="H159" i="20"/>
  <c r="G159" i="20"/>
  <c r="J97" i="20"/>
  <c r="K86" i="20"/>
  <c r="G86" i="20"/>
  <c r="J69" i="20"/>
  <c r="G69" i="20"/>
  <c r="O173" i="23"/>
  <c r="AT159" i="23"/>
  <c r="I144" i="23"/>
  <c r="D119" i="23"/>
  <c r="C119" i="24" s="1"/>
  <c r="AT107" i="23"/>
  <c r="AN59" i="23"/>
  <c r="AU46" i="23"/>
  <c r="D39" i="23"/>
  <c r="C39" i="24" s="1"/>
  <c r="AT12" i="23"/>
  <c r="F357" i="23"/>
  <c r="I166" i="20" a="1"/>
  <c r="I166" i="20" s="1"/>
  <c r="G166" i="20"/>
  <c r="I76" i="20" a="1"/>
  <c r="I76" i="20" s="1"/>
  <c r="G76" i="20"/>
  <c r="K188" i="20"/>
  <c r="G188" i="20"/>
  <c r="J187" i="20"/>
  <c r="G187" i="20"/>
  <c r="J156" i="20"/>
  <c r="G156" i="20"/>
  <c r="H82" i="20"/>
  <c r="G82" i="20"/>
  <c r="H63" i="20"/>
  <c r="G63" i="20"/>
  <c r="K136" i="20"/>
  <c r="G136" i="20"/>
  <c r="K182" i="20"/>
  <c r="G182" i="20"/>
  <c r="J135" i="20"/>
  <c r="G135" i="20"/>
  <c r="K107" i="20"/>
  <c r="G107" i="20"/>
  <c r="H44" i="20"/>
  <c r="G44" i="20"/>
  <c r="H27" i="20"/>
  <c r="G27" i="20"/>
  <c r="H167" i="20"/>
  <c r="G167" i="20"/>
  <c r="K158" i="20"/>
  <c r="H151" i="20"/>
  <c r="H143" i="20"/>
  <c r="H129" i="20"/>
  <c r="G129" i="20"/>
  <c r="J121" i="20"/>
  <c r="G121" i="20"/>
  <c r="I97" i="20" a="1"/>
  <c r="I97" i="20" s="1"/>
  <c r="I85" i="20" a="1"/>
  <c r="I85" i="20" s="1"/>
  <c r="G85" i="20"/>
  <c r="K59" i="20"/>
  <c r="G59" i="20"/>
  <c r="J53" i="20"/>
  <c r="G53" i="20"/>
  <c r="J16" i="20"/>
  <c r="G16" i="20"/>
  <c r="I12" i="20" a="1"/>
  <c r="I12" i="20" s="1"/>
  <c r="G12" i="20"/>
  <c r="AO181" i="23"/>
  <c r="D159" i="23"/>
  <c r="C159" i="24" s="1"/>
  <c r="AD149" i="23"/>
  <c r="D139" i="23"/>
  <c r="C139" i="24" s="1"/>
  <c r="AO137" i="23"/>
  <c r="AU135" i="23"/>
  <c r="AD128" i="23"/>
  <c r="AT126" i="23"/>
  <c r="C119" i="23"/>
  <c r="D107" i="23"/>
  <c r="C107" i="24" s="1"/>
  <c r="D78" i="23"/>
  <c r="C78" i="24" s="1"/>
  <c r="AT70" i="23"/>
  <c r="AO57" i="23"/>
  <c r="AT52" i="23"/>
  <c r="AO45" i="23"/>
  <c r="AN44" i="23"/>
  <c r="C39" i="23"/>
  <c r="F39" i="23" s="1"/>
  <c r="AT17" i="23"/>
  <c r="X207" i="23"/>
  <c r="W246" i="23"/>
  <c r="X227" i="23"/>
  <c r="O241" i="23"/>
  <c r="W322" i="23"/>
  <c r="S326" i="23"/>
  <c r="BL232" i="24"/>
  <c r="F200" i="23"/>
  <c r="F264" i="23"/>
  <c r="H264" i="23" s="1"/>
  <c r="I264" i="23" s="1"/>
  <c r="F273" i="23"/>
  <c r="I309" i="24"/>
  <c r="K309" i="24" s="1"/>
  <c r="J43" i="20"/>
  <c r="G43" i="20"/>
  <c r="AL173" i="23"/>
  <c r="F173" i="23"/>
  <c r="G173" i="23" s="1"/>
  <c r="AU152" i="23"/>
  <c r="W209" i="23"/>
  <c r="BC288" i="24"/>
  <c r="BE288" i="24" s="1"/>
  <c r="I188" i="20" a="1"/>
  <c r="I188" i="20" s="1"/>
  <c r="K180" i="20"/>
  <c r="G180" i="20"/>
  <c r="H173" i="20"/>
  <c r="G173" i="20"/>
  <c r="I165" i="20" a="1"/>
  <c r="I165" i="20" s="1"/>
  <c r="G165" i="20"/>
  <c r="K150" i="20"/>
  <c r="G150" i="20"/>
  <c r="K127" i="20"/>
  <c r="G127" i="20"/>
  <c r="J104" i="20"/>
  <c r="G104" i="20"/>
  <c r="H91" i="20"/>
  <c r="G91" i="20"/>
  <c r="K66" i="20"/>
  <c r="G66" i="20"/>
  <c r="K15" i="20"/>
  <c r="AT194" i="23"/>
  <c r="E186" i="23"/>
  <c r="AO178" i="23"/>
  <c r="E176" i="23"/>
  <c r="D173" i="23"/>
  <c r="C173" i="24" s="1"/>
  <c r="O165" i="23"/>
  <c r="AT152" i="23"/>
  <c r="AT125" i="23"/>
  <c r="D125" i="23"/>
  <c r="C125" i="24" s="1"/>
  <c r="AD119" i="23"/>
  <c r="AU77" i="23"/>
  <c r="X39" i="23"/>
  <c r="W316" i="23"/>
  <c r="O223" i="23"/>
  <c r="L318" i="23"/>
  <c r="BL218" i="24"/>
  <c r="BC259" i="24"/>
  <c r="BE259" i="24" s="1"/>
  <c r="S252" i="23"/>
  <c r="H174" i="20"/>
  <c r="G174" i="20"/>
  <c r="H113" i="20"/>
  <c r="G113" i="20"/>
  <c r="J52" i="20"/>
  <c r="G52" i="20"/>
  <c r="H156" i="20"/>
  <c r="H149" i="20"/>
  <c r="G149" i="20"/>
  <c r="K133" i="20"/>
  <c r="G133" i="20"/>
  <c r="H126" i="20"/>
  <c r="I118" i="20" a="1"/>
  <c r="I118" i="20" s="1"/>
  <c r="K103" i="20"/>
  <c r="G103" i="20"/>
  <c r="I74" i="20" a="1"/>
  <c r="I74" i="20" s="1"/>
  <c r="G74" i="20"/>
  <c r="H65" i="20"/>
  <c r="G65" i="20"/>
  <c r="K57" i="20"/>
  <c r="H31" i="20"/>
  <c r="I15" i="20" a="1"/>
  <c r="I15" i="20" s="1"/>
  <c r="D194" i="23"/>
  <c r="C194" i="24" s="1"/>
  <c r="E175" i="23"/>
  <c r="AD159" i="23"/>
  <c r="D152" i="23"/>
  <c r="C152" i="24" s="1"/>
  <c r="AD139" i="23"/>
  <c r="AU130" i="23"/>
  <c r="C125" i="23"/>
  <c r="F125" i="23" s="1"/>
  <c r="AN117" i="23"/>
  <c r="AL107" i="23"/>
  <c r="AO83" i="23"/>
  <c r="AT51" i="23"/>
  <c r="D51" i="23"/>
  <c r="C51" i="24" s="1"/>
  <c r="AD46" i="23"/>
  <c r="AL12" i="23"/>
  <c r="S234" i="23"/>
  <c r="F220" i="23"/>
  <c r="W282" i="23"/>
  <c r="W254" i="23"/>
  <c r="L314" i="23"/>
  <c r="L310" i="23"/>
  <c r="F349" i="23"/>
  <c r="S220" i="23"/>
  <c r="AF278" i="23"/>
  <c r="AH278" i="23" s="1"/>
  <c r="W278" i="23"/>
  <c r="X278" i="23"/>
  <c r="O278" i="23"/>
  <c r="G356" i="23"/>
  <c r="H356" i="23"/>
  <c r="I356" i="23" s="1"/>
  <c r="J120" i="20"/>
  <c r="G120" i="20"/>
  <c r="H132" i="20"/>
  <c r="G132" i="20"/>
  <c r="W173" i="23"/>
  <c r="J111" i="20"/>
  <c r="G111" i="20"/>
  <c r="H14" i="20"/>
  <c r="G14" i="20"/>
  <c r="AO82" i="23"/>
  <c r="AO81" i="23"/>
  <c r="AT49" i="23"/>
  <c r="AN14" i="23"/>
  <c r="AN13" i="23"/>
  <c r="S207" i="23"/>
  <c r="F254" i="23"/>
  <c r="AC254" i="24" s="1"/>
  <c r="AF254" i="24" s="1"/>
  <c r="F323" i="23"/>
  <c r="S223" i="23"/>
  <c r="O295" i="23"/>
  <c r="L315" i="23"/>
  <c r="W350" i="23"/>
  <c r="AO214" i="24"/>
  <c r="W344" i="23"/>
  <c r="BC318" i="24"/>
  <c r="F233" i="23"/>
  <c r="S324" i="23"/>
  <c r="K172" i="20"/>
  <c r="G172" i="20"/>
  <c r="J140" i="20"/>
  <c r="G140" i="20"/>
  <c r="K35" i="20"/>
  <c r="G35" i="20"/>
  <c r="H185" i="20"/>
  <c r="G185" i="20"/>
  <c r="J177" i="20"/>
  <c r="H162" i="20"/>
  <c r="G162" i="20"/>
  <c r="H146" i="20"/>
  <c r="G146" i="20"/>
  <c r="H124" i="20"/>
  <c r="G124" i="20"/>
  <c r="H117" i="20"/>
  <c r="G117" i="20"/>
  <c r="H110" i="20"/>
  <c r="G110" i="20"/>
  <c r="J94" i="20"/>
  <c r="G94" i="20"/>
  <c r="I72" i="20" a="1"/>
  <c r="I72" i="20" s="1"/>
  <c r="G72" i="20"/>
  <c r="K34" i="20"/>
  <c r="G34" i="20"/>
  <c r="K30" i="20"/>
  <c r="G30" i="20"/>
  <c r="I13" i="20" a="1"/>
  <c r="I13" i="20" s="1"/>
  <c r="AD194" i="23"/>
  <c r="AU173" i="23"/>
  <c r="C156" i="23"/>
  <c r="X156" i="23" s="1"/>
  <c r="AL152" i="23"/>
  <c r="AO147" i="23"/>
  <c r="AL143" i="23"/>
  <c r="AT128" i="23"/>
  <c r="AO127" i="23"/>
  <c r="AU119" i="23"/>
  <c r="C115" i="23"/>
  <c r="W115" i="23" s="1"/>
  <c r="AL109" i="23"/>
  <c r="AO97" i="23"/>
  <c r="AD38" i="23"/>
  <c r="AO13" i="23"/>
  <c r="W225" i="23"/>
  <c r="O254" i="23"/>
  <c r="X295" i="23"/>
  <c r="R201" i="24"/>
  <c r="BL214" i="24"/>
  <c r="W354" i="23"/>
  <c r="X354" i="23"/>
  <c r="O306" i="23"/>
  <c r="AF318" i="24"/>
  <c r="AH318" i="24" s="1"/>
  <c r="F320" i="23"/>
  <c r="W357" i="23"/>
  <c r="J158" i="20"/>
  <c r="J129" i="20"/>
  <c r="J38" i="20"/>
  <c r="J34" i="20"/>
  <c r="J15" i="20"/>
  <c r="J10" i="20"/>
  <c r="AO161" i="23"/>
  <c r="AO193" i="23"/>
  <c r="AN127" i="23"/>
  <c r="K147" i="20"/>
  <c r="H111" i="20"/>
  <c r="K106" i="20"/>
  <c r="J86" i="20"/>
  <c r="H77" i="20"/>
  <c r="I73" i="20" a="1"/>
  <c r="I73" i="20" s="1"/>
  <c r="H56" i="20"/>
  <c r="J49" i="20"/>
  <c r="H18" i="20"/>
  <c r="H15" i="20"/>
  <c r="AO184" i="23"/>
  <c r="AO134" i="23"/>
  <c r="AO112" i="23"/>
  <c r="AO100" i="23"/>
  <c r="AO67" i="23"/>
  <c r="AO51" i="23"/>
  <c r="AO24" i="23"/>
  <c r="AO166" i="23"/>
  <c r="AO151" i="23"/>
  <c r="AO62" i="23"/>
  <c r="AO56" i="23"/>
  <c r="AO17" i="23"/>
  <c r="AO38" i="23"/>
  <c r="H188" i="20"/>
  <c r="H98" i="20"/>
  <c r="H86" i="20"/>
  <c r="H76" i="20"/>
  <c r="H25" i="20"/>
  <c r="I14" i="20" a="1"/>
  <c r="I14" i="20" s="1"/>
  <c r="I177" i="20" a="1"/>
  <c r="I177" i="20" s="1"/>
  <c r="K171" i="20"/>
  <c r="J161" i="20"/>
  <c r="J150" i="20"/>
  <c r="J131" i="20"/>
  <c r="I120" i="20" a="1"/>
  <c r="I120" i="20" s="1"/>
  <c r="K104" i="20"/>
  <c r="I8" i="20" a="1"/>
  <c r="I8" i="20" s="1"/>
  <c r="AO158" i="23"/>
  <c r="AO145" i="23"/>
  <c r="AO123" i="23"/>
  <c r="AN121" i="23"/>
  <c r="AO110" i="23"/>
  <c r="AO98" i="23"/>
  <c r="AO90" i="23"/>
  <c r="AO89" i="23"/>
  <c r="AO53" i="23"/>
  <c r="AO48" i="23"/>
  <c r="H150" i="20"/>
  <c r="H135" i="20"/>
  <c r="I32" i="20" a="1"/>
  <c r="I32" i="20" s="1"/>
  <c r="N29" i="20"/>
  <c r="J171" i="20"/>
  <c r="H145" i="20"/>
  <c r="K109" i="20"/>
  <c r="J80" i="20"/>
  <c r="AB152" i="23"/>
  <c r="AB127" i="23"/>
  <c r="AO121" i="23"/>
  <c r="AN98" i="23"/>
  <c r="H187" i="20"/>
  <c r="J180" i="20"/>
  <c r="H171" i="20"/>
  <c r="H166" i="20"/>
  <c r="K140" i="20"/>
  <c r="H109" i="20"/>
  <c r="J103" i="20"/>
  <c r="K97" i="20"/>
  <c r="K89" i="20"/>
  <c r="I80" i="20" a="1"/>
  <c r="I80" i="20" s="1"/>
  <c r="I75" i="20" a="1"/>
  <c r="I75" i="20" s="1"/>
  <c r="K69" i="20"/>
  <c r="K62" i="20"/>
  <c r="K52" i="20"/>
  <c r="J35" i="20"/>
  <c r="H32" i="20"/>
  <c r="K29" i="20"/>
  <c r="K13" i="20"/>
  <c r="AN189" i="23"/>
  <c r="AO188" i="23"/>
  <c r="AB167" i="23"/>
  <c r="AO64" i="23"/>
  <c r="AO30" i="23"/>
  <c r="AO6" i="23"/>
  <c r="AO5" i="23"/>
  <c r="H89" i="20"/>
  <c r="H75" i="20"/>
  <c r="J62" i="20"/>
  <c r="AB151" i="23"/>
  <c r="AO95" i="23"/>
  <c r="AF184" i="23"/>
  <c r="AH184" i="23" s="1"/>
  <c r="X184" i="23"/>
  <c r="E234" i="24"/>
  <c r="F234" i="24" s="1"/>
  <c r="G234" i="24"/>
  <c r="H234" i="24"/>
  <c r="AB234" i="24"/>
  <c r="AC234" i="24" s="1"/>
  <c r="BB234" i="24"/>
  <c r="AE234" i="24"/>
  <c r="AY234" i="24"/>
  <c r="AZ234" i="24" s="1"/>
  <c r="BA234" i="24"/>
  <c r="AD234" i="24"/>
  <c r="W163" i="23"/>
  <c r="F163" i="23"/>
  <c r="G163" i="23" s="1"/>
  <c r="W72" i="23"/>
  <c r="AF72" i="23"/>
  <c r="AN30" i="23"/>
  <c r="S239" i="24"/>
  <c r="W239" i="24"/>
  <c r="BK239" i="24"/>
  <c r="X239" i="24"/>
  <c r="AP239" i="24"/>
  <c r="AN239" i="24"/>
  <c r="Q239" i="24"/>
  <c r="AT239" i="24"/>
  <c r="AU239" i="24"/>
  <c r="AW239" i="24"/>
  <c r="BT239" i="24"/>
  <c r="Z239" i="24"/>
  <c r="BR239" i="24"/>
  <c r="BS239" i="24"/>
  <c r="Y239" i="24"/>
  <c r="BM239" i="24"/>
  <c r="AV239" i="24"/>
  <c r="BQ239" i="24"/>
  <c r="AU185" i="23"/>
  <c r="K186" i="20"/>
  <c r="K183" i="20"/>
  <c r="I159" i="20" a="1"/>
  <c r="I159" i="20" s="1"/>
  <c r="I140" i="20" a="1"/>
  <c r="I140" i="20" s="1"/>
  <c r="I69" i="20" a="1"/>
  <c r="I69" i="20" s="1"/>
  <c r="I63" i="20" a="1"/>
  <c r="I63" i="20" s="1"/>
  <c r="I52" i="20" a="1"/>
  <c r="I52" i="20" s="1"/>
  <c r="J26" i="20"/>
  <c r="G208" i="21"/>
  <c r="W197" i="21"/>
  <c r="AO192" i="23"/>
  <c r="H173" i="23"/>
  <c r="AO150" i="23"/>
  <c r="AU142" i="23"/>
  <c r="D142" i="23"/>
  <c r="C142" i="24" s="1"/>
  <c r="AO129" i="23"/>
  <c r="AO114" i="23"/>
  <c r="AO109" i="23"/>
  <c r="AD69" i="23"/>
  <c r="J188" i="20"/>
  <c r="J186" i="20"/>
  <c r="J183" i="20"/>
  <c r="I180" i="20" a="1"/>
  <c r="I180" i="20" s="1"/>
  <c r="J169" i="20"/>
  <c r="I150" i="20" a="1"/>
  <c r="I150" i="20" s="1"/>
  <c r="H140" i="20"/>
  <c r="K116" i="20"/>
  <c r="I109" i="20" a="1"/>
  <c r="I109" i="20" s="1"/>
  <c r="H106" i="20"/>
  <c r="I89" i="20" a="1"/>
  <c r="I89" i="20" s="1"/>
  <c r="K73" i="20"/>
  <c r="H69" i="20"/>
  <c r="H52" i="20"/>
  <c r="J30" i="20"/>
  <c r="I26" i="20" a="1"/>
  <c r="I26" i="20" s="1"/>
  <c r="N15" i="20" a="1"/>
  <c r="N15" i="20" s="1"/>
  <c r="P15" i="20" s="1"/>
  <c r="J13" i="20"/>
  <c r="J11" i="20"/>
  <c r="F208" i="21"/>
  <c r="O198" i="21"/>
  <c r="V197" i="21"/>
  <c r="AL194" i="23"/>
  <c r="D189" i="23"/>
  <c r="C189" i="24" s="1"/>
  <c r="AN176" i="23"/>
  <c r="AB175" i="23"/>
  <c r="AU165" i="23"/>
  <c r="W165" i="23"/>
  <c r="F165" i="23"/>
  <c r="H165" i="23" s="1"/>
  <c r="I165" i="23" s="1"/>
  <c r="AL164" i="23"/>
  <c r="AO164" i="23"/>
  <c r="AO154" i="23"/>
  <c r="AO152" i="23"/>
  <c r="C142" i="23"/>
  <c r="D130" i="23"/>
  <c r="C130" i="24" s="1"/>
  <c r="C127" i="23"/>
  <c r="AF127" i="23" s="1"/>
  <c r="AH127" i="23" s="1"/>
  <c r="F115" i="23"/>
  <c r="AD113" i="23"/>
  <c r="AN110" i="23"/>
  <c r="O109" i="23"/>
  <c r="AB108" i="23"/>
  <c r="AN100" i="23"/>
  <c r="AL96" i="23"/>
  <c r="C92" i="23"/>
  <c r="AU85" i="23"/>
  <c r="AD79" i="23"/>
  <c r="C79" i="23"/>
  <c r="F79" i="23" s="1"/>
  <c r="H79" i="23" s="1"/>
  <c r="AU72" i="23"/>
  <c r="S72" i="23"/>
  <c r="AO70" i="23"/>
  <c r="AU67" i="23"/>
  <c r="C64" i="23"/>
  <c r="AF64" i="23" s="1"/>
  <c r="AH64" i="23" s="1"/>
  <c r="AL58" i="23"/>
  <c r="AL51" i="23"/>
  <c r="C51" i="23"/>
  <c r="O51" i="23" s="1"/>
  <c r="O46" i="23"/>
  <c r="C44" i="23"/>
  <c r="AF44" i="23" s="1"/>
  <c r="AH44" i="23" s="1"/>
  <c r="AL42" i="23"/>
  <c r="C42" i="23"/>
  <c r="O42" i="23" s="1"/>
  <c r="AO32" i="23"/>
  <c r="AD27" i="23"/>
  <c r="AO19" i="23"/>
  <c r="D16" i="23"/>
  <c r="C16" i="24" s="1"/>
  <c r="AD14" i="23"/>
  <c r="AU12" i="23"/>
  <c r="AO2" i="23"/>
  <c r="W260" i="23"/>
  <c r="AB225" i="23"/>
  <c r="E257" i="23"/>
  <c r="D257" i="24" s="1"/>
  <c r="AK208" i="21"/>
  <c r="E208" i="21"/>
  <c r="U197" i="21"/>
  <c r="O194" i="23"/>
  <c r="C189" i="23"/>
  <c r="AL185" i="23"/>
  <c r="C183" i="23"/>
  <c r="AF183" i="23" s="1"/>
  <c r="AH183" i="23" s="1"/>
  <c r="AO182" i="23"/>
  <c r="S178" i="23"/>
  <c r="AD164" i="23"/>
  <c r="AF115" i="23"/>
  <c r="AH115" i="23" s="1"/>
  <c r="AO107" i="23"/>
  <c r="AN87" i="23"/>
  <c r="D82" i="23"/>
  <c r="C82" i="24" s="1"/>
  <c r="D75" i="23"/>
  <c r="C75" i="24" s="1"/>
  <c r="AN70" i="23"/>
  <c r="AN69" i="23"/>
  <c r="AL68" i="23"/>
  <c r="AU60" i="23"/>
  <c r="AU47" i="23"/>
  <c r="AL46" i="23"/>
  <c r="S205" i="23"/>
  <c r="AB213" i="23"/>
  <c r="F204" i="23"/>
  <c r="E203" i="23"/>
  <c r="D203" i="24" s="1"/>
  <c r="E225" i="24"/>
  <c r="F225" i="24" s="1"/>
  <c r="G225" i="24"/>
  <c r="AE225" i="24"/>
  <c r="BA225" i="24"/>
  <c r="H225" i="24"/>
  <c r="BB225" i="24"/>
  <c r="AD225" i="24"/>
  <c r="AY225" i="24"/>
  <c r="AZ225" i="24" s="1"/>
  <c r="BC225" i="24" s="1"/>
  <c r="AB225" i="24"/>
  <c r="AC225" i="24" s="1"/>
  <c r="E254" i="24"/>
  <c r="AZ254" i="24"/>
  <c r="H254" i="24"/>
  <c r="AY254" i="24"/>
  <c r="AB254" i="24"/>
  <c r="AD254" i="24"/>
  <c r="AE254" i="24"/>
  <c r="BB254" i="24"/>
  <c r="E280" i="23"/>
  <c r="D280" i="24" s="1"/>
  <c r="BB235" i="24"/>
  <c r="E235" i="24"/>
  <c r="F235" i="24" s="1"/>
  <c r="AB235" i="24"/>
  <c r="AC235" i="24" s="1"/>
  <c r="AF235" i="24" s="1"/>
  <c r="BA235" i="24"/>
  <c r="AD235" i="24"/>
  <c r="AE235" i="24"/>
  <c r="G235" i="24"/>
  <c r="AY235" i="24"/>
  <c r="AZ235" i="24" s="1"/>
  <c r="H235" i="24"/>
  <c r="J42" i="20"/>
  <c r="AO84" i="23"/>
  <c r="AN78" i="23"/>
  <c r="AO72" i="23"/>
  <c r="AO63" i="23"/>
  <c r="AT47" i="23"/>
  <c r="X42" i="23"/>
  <c r="C38" i="23"/>
  <c r="AF38" i="23" s="1"/>
  <c r="AD24" i="23"/>
  <c r="AN24" i="23"/>
  <c r="E213" i="24"/>
  <c r="F213" i="24" s="1"/>
  <c r="BA213" i="24"/>
  <c r="G213" i="24"/>
  <c r="AD213" i="24"/>
  <c r="BB213" i="24"/>
  <c r="H213" i="24"/>
  <c r="AB213" i="24"/>
  <c r="AC213" i="24" s="1"/>
  <c r="AF213" i="24" s="1"/>
  <c r="AY213" i="24"/>
  <c r="AZ213" i="24" s="1"/>
  <c r="AE213" i="24"/>
  <c r="AB226" i="24"/>
  <c r="AC226" i="24" s="1"/>
  <c r="AF226" i="24" s="1"/>
  <c r="BB226" i="24"/>
  <c r="AD226" i="24"/>
  <c r="E226" i="24"/>
  <c r="F226" i="24" s="1"/>
  <c r="AE226" i="24"/>
  <c r="BA226" i="24"/>
  <c r="G226" i="24"/>
  <c r="H226" i="24"/>
  <c r="AY226" i="24"/>
  <c r="AZ226" i="24" s="1"/>
  <c r="BA201" i="24"/>
  <c r="E201" i="24"/>
  <c r="F201" i="24" s="1"/>
  <c r="I201" i="24" s="1"/>
  <c r="G201" i="24"/>
  <c r="H201" i="24"/>
  <c r="AB201" i="24"/>
  <c r="AC201" i="24" s="1"/>
  <c r="AD201" i="24"/>
  <c r="AZ201" i="24"/>
  <c r="BC201" i="24" s="1"/>
  <c r="AE201" i="24"/>
  <c r="BB201" i="24"/>
  <c r="AY201" i="24"/>
  <c r="G227" i="24"/>
  <c r="H227" i="24"/>
  <c r="AY227" i="24"/>
  <c r="AZ227" i="24" s="1"/>
  <c r="BA227" i="24"/>
  <c r="E227" i="24"/>
  <c r="F227" i="24" s="1"/>
  <c r="AB227" i="24"/>
  <c r="AC227" i="24" s="1"/>
  <c r="AE227" i="24"/>
  <c r="AD227" i="24"/>
  <c r="BB227" i="24"/>
  <c r="E239" i="24"/>
  <c r="F239" i="24" s="1"/>
  <c r="I239" i="24" s="1"/>
  <c r="G239" i="24"/>
  <c r="AY239" i="24"/>
  <c r="AZ239" i="24" s="1"/>
  <c r="BC239" i="24" s="1"/>
  <c r="AB239" i="24"/>
  <c r="BB239" i="24"/>
  <c r="AC239" i="24"/>
  <c r="AD239" i="24"/>
  <c r="AE239" i="24"/>
  <c r="BA239" i="24"/>
  <c r="H239" i="24"/>
  <c r="E217" i="23"/>
  <c r="D217" i="24" s="1"/>
  <c r="BA215" i="24"/>
  <c r="BB215" i="24"/>
  <c r="AE215" i="24"/>
  <c r="AY215" i="24"/>
  <c r="AZ215" i="24" s="1"/>
  <c r="H215" i="24"/>
  <c r="AB215" i="24"/>
  <c r="AC215" i="24" s="1"/>
  <c r="AF215" i="24" s="1"/>
  <c r="AD215" i="24"/>
  <c r="G215" i="24"/>
  <c r="E215" i="24"/>
  <c r="F215" i="24" s="1"/>
  <c r="E282" i="23"/>
  <c r="D282" i="24" s="1"/>
  <c r="AF216" i="23"/>
  <c r="X216" i="23"/>
  <c r="E274" i="24"/>
  <c r="F274" i="24"/>
  <c r="AB274" i="24"/>
  <c r="AC274" i="24" s="1"/>
  <c r="AF274" i="24" s="1"/>
  <c r="BA274" i="24"/>
  <c r="AD274" i="24"/>
  <c r="BB274" i="24"/>
  <c r="G274" i="24"/>
  <c r="AE274" i="24"/>
  <c r="AY274" i="24"/>
  <c r="AZ274" i="24" s="1"/>
  <c r="H274" i="24"/>
  <c r="E283" i="23"/>
  <c r="D283" i="24" s="1"/>
  <c r="H292" i="24"/>
  <c r="AB292" i="24"/>
  <c r="AC292" i="24" s="1"/>
  <c r="G292" i="24"/>
  <c r="E292" i="24"/>
  <c r="F292" i="24" s="1"/>
  <c r="AE292" i="24"/>
  <c r="BB292" i="24"/>
  <c r="AD292" i="24"/>
  <c r="BA292" i="24"/>
  <c r="AY292" i="24"/>
  <c r="AZ292" i="24" s="1"/>
  <c r="K185" i="20"/>
  <c r="O72" i="23"/>
  <c r="AU65" i="23"/>
  <c r="AN35" i="23"/>
  <c r="O204" i="23"/>
  <c r="AB237" i="23"/>
  <c r="H243" i="24"/>
  <c r="AD243" i="24"/>
  <c r="BA243" i="24"/>
  <c r="AY243" i="24"/>
  <c r="AZ243" i="24" s="1"/>
  <c r="BB243" i="24"/>
  <c r="AB243" i="24"/>
  <c r="AC243" i="24" s="1"/>
  <c r="AE243" i="24"/>
  <c r="E243" i="24"/>
  <c r="F243" i="24" s="1"/>
  <c r="I243" i="24" s="1"/>
  <c r="G243" i="24"/>
  <c r="AB323" i="23"/>
  <c r="W292" i="23"/>
  <c r="X292" i="23"/>
  <c r="J182" i="20"/>
  <c r="AA208" i="21"/>
  <c r="K197" i="21"/>
  <c r="AX197" i="21" s="1"/>
  <c r="AD185" i="23"/>
  <c r="AN168" i="23"/>
  <c r="AN167" i="23"/>
  <c r="J185" i="20"/>
  <c r="I182" i="20" a="1"/>
  <c r="I182" i="20" s="1"/>
  <c r="K174" i="20"/>
  <c r="J141" i="20"/>
  <c r="I42" i="20" a="1"/>
  <c r="I42" i="20" s="1"/>
  <c r="Z208" i="21"/>
  <c r="J197" i="21"/>
  <c r="AL142" i="23"/>
  <c r="AL132" i="23"/>
  <c r="AD112" i="23"/>
  <c r="AO96" i="23"/>
  <c r="AN90" i="23"/>
  <c r="AU74" i="23"/>
  <c r="I185" i="20" a="1"/>
  <c r="I185" i="20" s="1"/>
  <c r="J174" i="20"/>
  <c r="H141" i="20"/>
  <c r="K120" i="20"/>
  <c r="K117" i="20"/>
  <c r="K75" i="20"/>
  <c r="I44" i="20" a="1"/>
  <c r="I44" i="20" s="1"/>
  <c r="H42" i="20"/>
  <c r="H17" i="20"/>
  <c r="AB69" i="23"/>
  <c r="AB203" i="23"/>
  <c r="AB211" i="23"/>
  <c r="AB196" i="23"/>
  <c r="AB199" i="23"/>
  <c r="AB235" i="23"/>
  <c r="AB249" i="23"/>
  <c r="AB215" i="23"/>
  <c r="AB240" i="23"/>
  <c r="AB250" i="23"/>
  <c r="AB274" i="23"/>
  <c r="AB226" i="23"/>
  <c r="AB266" i="23"/>
  <c r="AB236" i="23"/>
  <c r="AB259" i="23"/>
  <c r="AB232" i="23"/>
  <c r="AB268" i="23"/>
  <c r="AB271" i="23"/>
  <c r="AB228" i="23"/>
  <c r="AB209" i="23"/>
  <c r="AB305" i="23"/>
  <c r="AB315" i="23"/>
  <c r="AB346" i="23"/>
  <c r="AB204" i="23"/>
  <c r="AB200" i="23"/>
  <c r="AB218" i="23"/>
  <c r="AB356" i="23"/>
  <c r="AB285" i="23"/>
  <c r="AB304" i="23"/>
  <c r="AB313" i="23"/>
  <c r="AB330" i="23"/>
  <c r="AB278" i="23"/>
  <c r="AB292" i="23"/>
  <c r="AB319" i="23"/>
  <c r="AB337" i="23"/>
  <c r="AB300" i="23"/>
  <c r="AB222" i="23"/>
  <c r="AB245" i="23"/>
  <c r="AB318" i="23"/>
  <c r="AB303" i="23"/>
  <c r="AB310" i="23"/>
  <c r="AB246" i="23"/>
  <c r="AB262" i="23"/>
  <c r="AB299" i="23"/>
  <c r="AB312" i="23"/>
  <c r="AB320" i="23"/>
  <c r="AB276" i="23"/>
  <c r="AB293" i="23"/>
  <c r="AB309" i="23"/>
  <c r="AB317" i="23"/>
  <c r="AB351" i="23"/>
  <c r="AB294" i="23"/>
  <c r="AB340" i="23"/>
  <c r="AB334" i="23"/>
  <c r="AB195" i="23"/>
  <c r="AB241" i="23"/>
  <c r="AB227" i="23"/>
  <c r="AB287" i="23"/>
  <c r="AB333" i="23"/>
  <c r="AB324" i="23"/>
  <c r="AB345" i="23"/>
  <c r="AB233" i="23"/>
  <c r="AB251" i="23"/>
  <c r="AB331" i="23"/>
  <c r="AB272" i="23"/>
  <c r="AB253" i="23"/>
  <c r="AB277" i="23"/>
  <c r="AB327" i="23"/>
  <c r="AB357" i="23"/>
  <c r="AB284" i="23"/>
  <c r="AB307" i="23"/>
  <c r="AB202" i="23"/>
  <c r="AB342" i="23"/>
  <c r="AB361" i="23"/>
  <c r="AB230" i="23"/>
  <c r="AB282" i="23"/>
  <c r="AB347" i="23"/>
  <c r="AB267" i="23"/>
  <c r="AB279" i="23"/>
  <c r="AB273" i="23"/>
  <c r="AB255" i="23"/>
  <c r="AB288" i="23"/>
  <c r="AB212" i="23"/>
  <c r="AB205" i="23"/>
  <c r="AB210" i="23"/>
  <c r="AB336" i="23"/>
  <c r="AB341" i="23"/>
  <c r="AB229" i="23"/>
  <c r="AB217" i="23"/>
  <c r="AB224" i="23"/>
  <c r="AB214" i="23"/>
  <c r="AB201" i="23"/>
  <c r="AB314" i="23"/>
  <c r="AB343" i="23"/>
  <c r="AB329" i="23"/>
  <c r="AB339" i="23"/>
  <c r="AB207" i="23"/>
  <c r="AB264" i="23"/>
  <c r="AB352" i="23"/>
  <c r="AB244" i="23"/>
  <c r="AB291" i="23"/>
  <c r="AB350" i="23"/>
  <c r="AB325" i="23"/>
  <c r="AB238" i="23"/>
  <c r="AB283" i="23"/>
  <c r="AB302" i="23"/>
  <c r="AB360" i="23"/>
  <c r="AB295" i="23"/>
  <c r="AB275" i="23"/>
  <c r="AB252" i="23"/>
  <c r="AB326" i="23"/>
  <c r="AB322" i="23"/>
  <c r="AB296" i="23"/>
  <c r="AB362" i="23"/>
  <c r="AB286" i="23"/>
  <c r="AB223" i="23"/>
  <c r="AB306" i="23"/>
  <c r="AB269" i="23"/>
  <c r="AB260" i="23"/>
  <c r="AB308" i="23"/>
  <c r="AB348" i="23"/>
  <c r="AB254" i="23"/>
  <c r="AB265" i="23"/>
  <c r="AB332" i="23"/>
  <c r="AB247" i="23"/>
  <c r="AB208" i="23"/>
  <c r="AB344" i="23"/>
  <c r="AB261" i="23"/>
  <c r="AB248" i="23"/>
  <c r="AB206" i="23"/>
  <c r="AB354" i="23"/>
  <c r="AB316" i="23"/>
  <c r="AB290" i="23"/>
  <c r="AB216" i="23"/>
  <c r="AB263" i="23"/>
  <c r="AB243" i="23"/>
  <c r="AB358" i="23"/>
  <c r="AB298" i="23"/>
  <c r="AB349" i="23"/>
  <c r="AB335" i="23"/>
  <c r="AB321" i="23"/>
  <c r="AB355" i="23"/>
  <c r="AB289" i="23"/>
  <c r="AB280" i="23"/>
  <c r="AB270" i="23"/>
  <c r="AB219" i="23"/>
  <c r="AB258" i="23"/>
  <c r="AB338" i="23"/>
  <c r="AB328" i="23"/>
  <c r="AB311" i="23"/>
  <c r="AB359" i="23"/>
  <c r="AB301" i="23"/>
  <c r="AB242" i="23"/>
  <c r="AB256" i="23"/>
  <c r="AB239" i="23"/>
  <c r="K8" i="20"/>
  <c r="V208" i="21"/>
  <c r="AE198" i="21"/>
  <c r="AK197" i="21"/>
  <c r="E197" i="21"/>
  <c r="X194" i="23"/>
  <c r="AU187" i="23"/>
  <c r="D185" i="23"/>
  <c r="C185" i="24" s="1"/>
  <c r="AT181" i="23"/>
  <c r="AD168" i="23"/>
  <c r="AU167" i="23"/>
  <c r="AO167" i="23"/>
  <c r="AU164" i="23"/>
  <c r="D164" i="23"/>
  <c r="C164" i="24" s="1"/>
  <c r="C159" i="23"/>
  <c r="AL154" i="23"/>
  <c r="C152" i="23"/>
  <c r="AD150" i="23"/>
  <c r="AO143" i="23"/>
  <c r="AT134" i="23"/>
  <c r="AN134" i="23"/>
  <c r="AU125" i="23"/>
  <c r="AB124" i="23"/>
  <c r="AO106" i="23"/>
  <c r="AL97" i="23"/>
  <c r="C97" i="23"/>
  <c r="AF97" i="23" s="1"/>
  <c r="AO92" i="23"/>
  <c r="AN79" i="23"/>
  <c r="AT74" i="23"/>
  <c r="C70" i="23"/>
  <c r="AO68" i="23"/>
  <c r="C63" i="23"/>
  <c r="AF63" i="23" s="1"/>
  <c r="AN53" i="23"/>
  <c r="D47" i="23"/>
  <c r="C47" i="24" s="1"/>
  <c r="D36" i="23"/>
  <c r="C36" i="24" s="1"/>
  <c r="AL26" i="23"/>
  <c r="C25" i="23"/>
  <c r="D24" i="23"/>
  <c r="C24" i="24" s="1"/>
  <c r="D12" i="23"/>
  <c r="C12" i="24" s="1"/>
  <c r="AO10" i="23"/>
  <c r="E198" i="23"/>
  <c r="D198" i="24" s="1"/>
  <c r="AD202" i="24"/>
  <c r="E202" i="24"/>
  <c r="F202" i="24" s="1"/>
  <c r="I202" i="24" s="1"/>
  <c r="BB202" i="24"/>
  <c r="AE202" i="24"/>
  <c r="AY202" i="24"/>
  <c r="AZ202" i="24" s="1"/>
  <c r="G202" i="24"/>
  <c r="BA202" i="24"/>
  <c r="AC202" i="24"/>
  <c r="H202" i="24"/>
  <c r="AB202" i="24"/>
  <c r="E204" i="23"/>
  <c r="D204" i="24" s="1"/>
  <c r="BA207" i="24"/>
  <c r="H207" i="24"/>
  <c r="E207" i="24"/>
  <c r="F207" i="24"/>
  <c r="AB207" i="24"/>
  <c r="AC207" i="24" s="1"/>
  <c r="AY207" i="24"/>
  <c r="AZ207" i="24" s="1"/>
  <c r="G207" i="24"/>
  <c r="AD207" i="24"/>
  <c r="BB207" i="24"/>
  <c r="AE207" i="24"/>
  <c r="K42" i="20"/>
  <c r="AO190" i="23"/>
  <c r="AN186" i="23"/>
  <c r="E185" i="23"/>
  <c r="S165" i="23"/>
  <c r="AB164" i="23"/>
  <c r="AL150" i="23"/>
  <c r="AU131" i="23"/>
  <c r="H182" i="20"/>
  <c r="I174" i="20" a="1"/>
  <c r="I174" i="20" s="1"/>
  <c r="K161" i="20"/>
  <c r="J133" i="20"/>
  <c r="J117" i="20"/>
  <c r="I110" i="20" a="1"/>
  <c r="I110" i="20" s="1"/>
  <c r="E196" i="23"/>
  <c r="E208" i="23"/>
  <c r="E270" i="23"/>
  <c r="E275" i="23"/>
  <c r="E300" i="23"/>
  <c r="E302" i="23"/>
  <c r="E305" i="23"/>
  <c r="E330" i="23"/>
  <c r="E240" i="23"/>
  <c r="E278" i="23"/>
  <c r="E232" i="23"/>
  <c r="E250" i="23"/>
  <c r="E293" i="23"/>
  <c r="E318" i="23"/>
  <c r="E228" i="23"/>
  <c r="E205" i="23"/>
  <c r="E218" i="23"/>
  <c r="E195" i="23"/>
  <c r="E215" i="23"/>
  <c r="E246" i="23"/>
  <c r="E247" i="23"/>
  <c r="E285" i="23"/>
  <c r="E313" i="23"/>
  <c r="E353" i="23"/>
  <c r="E288" i="23"/>
  <c r="E356" i="23"/>
  <c r="E357" i="23"/>
  <c r="E361" i="23"/>
  <c r="E348" i="23"/>
  <c r="E299" i="23"/>
  <c r="E315" i="23"/>
  <c r="E309" i="23"/>
  <c r="E258" i="23"/>
  <c r="E329" i="23"/>
  <c r="E274" i="23"/>
  <c r="E292" i="23"/>
  <c r="E298" i="23"/>
  <c r="E301" i="23"/>
  <c r="E307" i="23"/>
  <c r="E327" i="23"/>
  <c r="E267" i="23"/>
  <c r="E303" i="23"/>
  <c r="E310" i="23"/>
  <c r="E314" i="23"/>
  <c r="E316" i="23"/>
  <c r="E325" i="23"/>
  <c r="E346" i="23"/>
  <c r="E332" i="23"/>
  <c r="E351" i="23"/>
  <c r="E347" i="23"/>
  <c r="E306" i="23"/>
  <c r="E319" i="23"/>
  <c r="E290" i="23"/>
  <c r="E312" i="23"/>
  <c r="E287" i="23"/>
  <c r="E358" i="23"/>
  <c r="E277" i="23"/>
  <c r="E272" i="23"/>
  <c r="E273" i="23"/>
  <c r="E253" i="23"/>
  <c r="E279" i="23"/>
  <c r="E233" i="23"/>
  <c r="E333" i="23"/>
  <c r="E320" i="23"/>
  <c r="E343" i="23"/>
  <c r="E324" i="23"/>
  <c r="E352" i="23"/>
  <c r="E262" i="23"/>
  <c r="E294" i="23"/>
  <c r="E334" i="23"/>
  <c r="E341" i="23"/>
  <c r="E304" i="23"/>
  <c r="E264" i="23"/>
  <c r="E200" i="23"/>
  <c r="E284" i="23"/>
  <c r="E342" i="23"/>
  <c r="E297" i="23"/>
  <c r="E236" i="23"/>
  <c r="E256" i="23"/>
  <c r="E241" i="23"/>
  <c r="E252" i="23"/>
  <c r="E223" i="23"/>
  <c r="E229" i="23"/>
  <c r="E245" i="23"/>
  <c r="E214" i="23"/>
  <c r="E359" i="23"/>
  <c r="D359" i="24" s="1"/>
  <c r="E345" i="23"/>
  <c r="D345" i="24" s="1"/>
  <c r="E230" i="23"/>
  <c r="E227" i="23"/>
  <c r="E224" i="23"/>
  <c r="E212" i="23"/>
  <c r="E362" i="23"/>
  <c r="E269" i="23"/>
  <c r="E268" i="23"/>
  <c r="E336" i="23"/>
  <c r="D336" i="24" s="1"/>
  <c r="E350" i="23"/>
  <c r="D350" i="24" s="1"/>
  <c r="E331" i="23"/>
  <c r="D331" i="24" s="1"/>
  <c r="E296" i="23"/>
  <c r="D296" i="24" s="1"/>
  <c r="E266" i="23"/>
  <c r="D266" i="24" s="1"/>
  <c r="E225" i="23"/>
  <c r="D225" i="24" s="1"/>
  <c r="E248" i="23"/>
  <c r="D248" i="24" s="1"/>
  <c r="E220" i="23"/>
  <c r="D220" i="24" s="1"/>
  <c r="E221" i="23"/>
  <c r="D221" i="24" s="1"/>
  <c r="E222" i="23"/>
  <c r="D222" i="24" s="1"/>
  <c r="E286" i="23"/>
  <c r="D286" i="24" s="1"/>
  <c r="E354" i="23"/>
  <c r="D354" i="24" s="1"/>
  <c r="E281" i="23"/>
  <c r="D281" i="24" s="1"/>
  <c r="E340" i="23"/>
  <c r="D340" i="24" s="1"/>
  <c r="E360" i="23"/>
  <c r="D360" i="24" s="1"/>
  <c r="E295" i="23"/>
  <c r="D295" i="24" s="1"/>
  <c r="E254" i="23"/>
  <c r="D254" i="24" s="1"/>
  <c r="E261" i="23"/>
  <c r="D261" i="24" s="1"/>
  <c r="E242" i="23"/>
  <c r="D242" i="24" s="1"/>
  <c r="E216" i="23"/>
  <c r="D216" i="24" s="1"/>
  <c r="E201" i="23"/>
  <c r="E349" i="23"/>
  <c r="D349" i="24" s="1"/>
  <c r="E335" i="23"/>
  <c r="D335" i="24" s="1"/>
  <c r="E311" i="23"/>
  <c r="D311" i="24" s="1"/>
  <c r="E323" i="23"/>
  <c r="D323" i="24" s="1"/>
  <c r="E235" i="23"/>
  <c r="D235" i="24" s="1"/>
  <c r="E271" i="23"/>
  <c r="D271" i="24" s="1"/>
  <c r="E219" i="23"/>
  <c r="D219" i="24" s="1"/>
  <c r="E234" i="23"/>
  <c r="D234" i="24" s="1"/>
  <c r="E237" i="23"/>
  <c r="D237" i="24" s="1"/>
  <c r="E207" i="23"/>
  <c r="D207" i="24" s="1"/>
  <c r="E206" i="23"/>
  <c r="D206" i="24" s="1"/>
  <c r="E209" i="23"/>
  <c r="D209" i="24" s="1"/>
  <c r="E326" i="23"/>
  <c r="D326" i="24" s="1"/>
  <c r="E321" i="23"/>
  <c r="D321" i="24" s="1"/>
  <c r="E197" i="23"/>
  <c r="D197" i="24" s="1"/>
  <c r="E231" i="23"/>
  <c r="D231" i="24" s="1"/>
  <c r="E259" i="23"/>
  <c r="D259" i="24" s="1"/>
  <c r="E249" i="23"/>
  <c r="D249" i="24" s="1"/>
  <c r="E210" i="23"/>
  <c r="D210" i="24" s="1"/>
  <c r="E238" i="23"/>
  <c r="D238" i="24" s="1"/>
  <c r="E226" i="23"/>
  <c r="D226" i="24" s="1"/>
  <c r="E213" i="23"/>
  <c r="D213" i="24" s="1"/>
  <c r="E355" i="23"/>
  <c r="D355" i="24" s="1"/>
  <c r="E289" i="23"/>
  <c r="D289" i="24" s="1"/>
  <c r="E344" i="23"/>
  <c r="D344" i="24" s="1"/>
  <c r="E328" i="23"/>
  <c r="D328" i="24" s="1"/>
  <c r="E244" i="23"/>
  <c r="D244" i="24" s="1"/>
  <c r="E338" i="23"/>
  <c r="D338" i="24" s="1"/>
  <c r="E322" i="23"/>
  <c r="D322" i="24" s="1"/>
  <c r="E339" i="23"/>
  <c r="D339" i="24" s="1"/>
  <c r="E276" i="23"/>
  <c r="D276" i="24" s="1"/>
  <c r="E251" i="23"/>
  <c r="D251" i="24" s="1"/>
  <c r="E199" i="23"/>
  <c r="D199" i="24" s="1"/>
  <c r="H83" i="20"/>
  <c r="J75" i="20"/>
  <c r="H61" i="20"/>
  <c r="K10" i="20"/>
  <c r="J8" i="20"/>
  <c r="T208" i="21"/>
  <c r="AD198" i="21"/>
  <c r="AJ197" i="21"/>
  <c r="D197" i="21"/>
  <c r="AU194" i="23"/>
  <c r="W194" i="23"/>
  <c r="F194" i="23"/>
  <c r="D190" i="23"/>
  <c r="C190" i="24" s="1"/>
  <c r="C185" i="23"/>
  <c r="AF185" i="23" s="1"/>
  <c r="AL178" i="23"/>
  <c r="AN175" i="23"/>
  <c r="AT164" i="23"/>
  <c r="C164" i="23"/>
  <c r="AF164" i="23" s="1"/>
  <c r="AO160" i="23"/>
  <c r="AB156" i="23"/>
  <c r="F156" i="23"/>
  <c r="AO155" i="23"/>
  <c r="AD154" i="23"/>
  <c r="AD142" i="23"/>
  <c r="C134" i="23"/>
  <c r="AF134" i="23" s="1"/>
  <c r="AN123" i="23"/>
  <c r="AN119" i="23"/>
  <c r="D116" i="23"/>
  <c r="C116" i="24" s="1"/>
  <c r="AU108" i="23"/>
  <c r="AL91" i="23"/>
  <c r="AO79" i="23"/>
  <c r="AL72" i="23"/>
  <c r="D65" i="23"/>
  <c r="C65" i="24" s="1"/>
  <c r="AU58" i="23"/>
  <c r="AU51" i="23"/>
  <c r="C47" i="23"/>
  <c r="AF47" i="23" s="1"/>
  <c r="S44" i="23"/>
  <c r="AU42" i="23"/>
  <c r="AU27" i="23"/>
  <c r="AD26" i="23"/>
  <c r="AO25" i="23"/>
  <c r="C24" i="23"/>
  <c r="O24" i="23" s="1"/>
  <c r="AD17" i="23"/>
  <c r="AT14" i="23"/>
  <c r="AO14" i="23"/>
  <c r="C12" i="23"/>
  <c r="O12" i="23" s="1"/>
  <c r="AD3" i="23"/>
  <c r="AD206" i="24"/>
  <c r="BA206" i="24"/>
  <c r="AB206" i="24"/>
  <c r="AC206" i="24" s="1"/>
  <c r="BB206" i="24"/>
  <c r="AE206" i="24"/>
  <c r="AY206" i="24"/>
  <c r="AZ206" i="24" s="1"/>
  <c r="H206" i="24"/>
  <c r="G206" i="24"/>
  <c r="E206" i="24"/>
  <c r="F206" i="24" s="1"/>
  <c r="E202" i="23"/>
  <c r="D202" i="24" s="1"/>
  <c r="G211" i="24"/>
  <c r="AD211" i="24"/>
  <c r="BA211" i="24"/>
  <c r="H211" i="24"/>
  <c r="AE211" i="24"/>
  <c r="BB211" i="24"/>
  <c r="AY211" i="24"/>
  <c r="AZ211" i="24" s="1"/>
  <c r="BC211" i="24" s="1"/>
  <c r="BE211" i="24" s="1"/>
  <c r="E211" i="24"/>
  <c r="F211" i="24" s="1"/>
  <c r="AB211" i="24"/>
  <c r="AC211" i="24" s="1"/>
  <c r="AF211" i="24" s="1"/>
  <c r="AB253" i="24"/>
  <c r="AC253" i="24" s="1"/>
  <c r="AY253" i="24"/>
  <c r="AZ253" i="24" s="1"/>
  <c r="AE253" i="24"/>
  <c r="E253" i="24"/>
  <c r="F253" i="24" s="1"/>
  <c r="G253" i="24"/>
  <c r="H253" i="24"/>
  <c r="AD253" i="24"/>
  <c r="BA253" i="24"/>
  <c r="BB253" i="24"/>
  <c r="AB231" i="23"/>
  <c r="BB270" i="24"/>
  <c r="AB270" i="24"/>
  <c r="AC270" i="24" s="1"/>
  <c r="G270" i="24"/>
  <c r="AY270" i="24"/>
  <c r="AZ270" i="24" s="1"/>
  <c r="H270" i="24"/>
  <c r="AD270" i="24"/>
  <c r="BA270" i="24"/>
  <c r="AE270" i="24"/>
  <c r="E270" i="24"/>
  <c r="F270" i="24" s="1"/>
  <c r="E337" i="23"/>
  <c r="D337" i="24" s="1"/>
  <c r="AF308" i="23"/>
  <c r="X308" i="23"/>
  <c r="S308" i="23"/>
  <c r="E317" i="23"/>
  <c r="D317" i="24" s="1"/>
  <c r="E308" i="23"/>
  <c r="D308" i="24" s="1"/>
  <c r="AN94" i="23"/>
  <c r="AB198" i="23"/>
  <c r="AB221" i="23"/>
  <c r="BB231" i="24"/>
  <c r="H231" i="24"/>
  <c r="AE231" i="24"/>
  <c r="G231" i="24"/>
  <c r="AD231" i="24"/>
  <c r="BA231" i="24"/>
  <c r="E231" i="24"/>
  <c r="F231" i="24" s="1"/>
  <c r="AB231" i="24"/>
  <c r="AC231" i="24" s="1"/>
  <c r="AY231" i="24"/>
  <c r="AZ231" i="24" s="1"/>
  <c r="AB234" i="23"/>
  <c r="AC220" i="24"/>
  <c r="BA220" i="24"/>
  <c r="E220" i="24"/>
  <c r="F220" i="24" s="1"/>
  <c r="H220" i="24"/>
  <c r="G220" i="24"/>
  <c r="AY220" i="24"/>
  <c r="AZ220" i="24" s="1"/>
  <c r="AB220" i="24"/>
  <c r="BB220" i="24"/>
  <c r="AD220" i="24"/>
  <c r="AE220" i="24"/>
  <c r="W216" i="23"/>
  <c r="E265" i="23"/>
  <c r="D265" i="24" s="1"/>
  <c r="AF242" i="23"/>
  <c r="O242" i="23"/>
  <c r="X242" i="23"/>
  <c r="BB302" i="24"/>
  <c r="AY302" i="24"/>
  <c r="E302" i="24"/>
  <c r="AB302" i="24"/>
  <c r="AC302" i="24" s="1"/>
  <c r="AZ302" i="24"/>
  <c r="F302" i="24"/>
  <c r="AD302" i="24"/>
  <c r="BA302" i="24"/>
  <c r="G302" i="24"/>
  <c r="AE302" i="24"/>
  <c r="H302" i="24"/>
  <c r="AE323" i="24"/>
  <c r="AY323" i="24"/>
  <c r="AZ323" i="24" s="1"/>
  <c r="BC323" i="24" s="1"/>
  <c r="BA323" i="24"/>
  <c r="AD323" i="24"/>
  <c r="E323" i="24"/>
  <c r="F323" i="24" s="1"/>
  <c r="I323" i="24" s="1"/>
  <c r="G323" i="24"/>
  <c r="BB323" i="24"/>
  <c r="H323" i="24"/>
  <c r="AB323" i="24"/>
  <c r="AC323" i="24" s="1"/>
  <c r="AF323" i="24" s="1"/>
  <c r="AD178" i="23"/>
  <c r="AT24" i="23"/>
  <c r="E209" i="24"/>
  <c r="F209" i="24" s="1"/>
  <c r="I209" i="24" s="1"/>
  <c r="BB209" i="24"/>
  <c r="H209" i="24"/>
  <c r="G209" i="24"/>
  <c r="BA209" i="24"/>
  <c r="AE209" i="24"/>
  <c r="AB209" i="24"/>
  <c r="AC209" i="24" s="1"/>
  <c r="AF209" i="24" s="1"/>
  <c r="AY209" i="24"/>
  <c r="AZ209" i="24" s="1"/>
  <c r="AD209" i="24"/>
  <c r="E243" i="23"/>
  <c r="D243" i="24" s="1"/>
  <c r="O263" i="23"/>
  <c r="S263" i="23"/>
  <c r="F263" i="23"/>
  <c r="E291" i="23"/>
  <c r="D291" i="24" s="1"/>
  <c r="E255" i="23"/>
  <c r="D255" i="24" s="1"/>
  <c r="F242" i="23"/>
  <c r="J147" i="20"/>
  <c r="I129" i="20" a="1"/>
  <c r="I129" i="20" s="1"/>
  <c r="J106" i="20"/>
  <c r="J89" i="20"/>
  <c r="J60" i="20"/>
  <c r="K26" i="20"/>
  <c r="I10" i="20" a="1"/>
  <c r="I10" i="20" s="1"/>
  <c r="H208" i="21"/>
  <c r="Q198" i="21"/>
  <c r="X197" i="21"/>
  <c r="S194" i="23"/>
  <c r="W190" i="23"/>
  <c r="AN188" i="23"/>
  <c r="C181" i="23"/>
  <c r="W181" i="23" s="1"/>
  <c r="AN173" i="23"/>
  <c r="D169" i="23"/>
  <c r="C169" i="24" s="1"/>
  <c r="AO168" i="23"/>
  <c r="AO162" i="23"/>
  <c r="AO159" i="23"/>
  <c r="S156" i="23"/>
  <c r="AO146" i="23"/>
  <c r="F142" i="23"/>
  <c r="AL137" i="23"/>
  <c r="C133" i="23"/>
  <c r="O133" i="23" s="1"/>
  <c r="AL131" i="23"/>
  <c r="AT130" i="23"/>
  <c r="AO130" i="23"/>
  <c r="AN86" i="23"/>
  <c r="AL79" i="23"/>
  <c r="AO78" i="23"/>
  <c r="AT71" i="23"/>
  <c r="C58" i="23"/>
  <c r="AN51" i="23"/>
  <c r="AO50" i="23"/>
  <c r="C49" i="23"/>
  <c r="O49" i="23" s="1"/>
  <c r="AU26" i="23"/>
  <c r="AO26" i="23"/>
  <c r="C17" i="23"/>
  <c r="AN11" i="23"/>
  <c r="C9" i="23"/>
  <c r="AF9" i="23" s="1"/>
  <c r="AO4" i="23"/>
  <c r="X204" i="23"/>
  <c r="X222" i="23"/>
  <c r="O222" i="23"/>
  <c r="G210" i="24"/>
  <c r="AD210" i="24"/>
  <c r="AY210" i="24"/>
  <c r="AZ210" i="24" s="1"/>
  <c r="BC210" i="24" s="1"/>
  <c r="AE210" i="24"/>
  <c r="E210" i="24"/>
  <c r="F210" i="24" s="1"/>
  <c r="I210" i="24" s="1"/>
  <c r="H210" i="24"/>
  <c r="AB210" i="24"/>
  <c r="AC210" i="24" s="1"/>
  <c r="BA210" i="24"/>
  <c r="BB210" i="24"/>
  <c r="E203" i="24"/>
  <c r="F203" i="24" s="1"/>
  <c r="I203" i="24" s="1"/>
  <c r="G203" i="24"/>
  <c r="AB203" i="24"/>
  <c r="AC203" i="24" s="1"/>
  <c r="AY203" i="24"/>
  <c r="AZ203" i="24" s="1"/>
  <c r="BC203" i="24" s="1"/>
  <c r="AD203" i="24"/>
  <c r="AE203" i="24"/>
  <c r="H203" i="24"/>
  <c r="BB203" i="24"/>
  <c r="BA203" i="24"/>
  <c r="O260" i="23"/>
  <c r="AF255" i="23"/>
  <c r="AH255" i="23" s="1"/>
  <c r="F255" i="23"/>
  <c r="AB281" i="23"/>
  <c r="AE354" i="24"/>
  <c r="BA354" i="24"/>
  <c r="BB354" i="24"/>
  <c r="AD354" i="24"/>
  <c r="E354" i="24"/>
  <c r="F354" i="24" s="1"/>
  <c r="AB354" i="24"/>
  <c r="AC354" i="24" s="1"/>
  <c r="G354" i="24"/>
  <c r="H354" i="24"/>
  <c r="AY354" i="24"/>
  <c r="AZ354" i="24" s="1"/>
  <c r="K169" i="20"/>
  <c r="I106" i="20" a="1"/>
  <c r="I106" i="20" s="1"/>
  <c r="K11" i="20"/>
  <c r="X165" i="23"/>
  <c r="AN154" i="23"/>
  <c r="AU150" i="23"/>
  <c r="AO149" i="23"/>
  <c r="S142" i="23"/>
  <c r="AD131" i="23"/>
  <c r="AO75" i="23"/>
  <c r="AN60" i="23"/>
  <c r="AO33" i="23"/>
  <c r="AT26" i="23"/>
  <c r="AO21" i="23"/>
  <c r="AN12" i="23"/>
  <c r="AN2" i="23"/>
  <c r="E211" i="23"/>
  <c r="D211" i="24" s="1"/>
  <c r="H228" i="24"/>
  <c r="AD228" i="24"/>
  <c r="AE228" i="24"/>
  <c r="AY228" i="24"/>
  <c r="AZ228" i="24" s="1"/>
  <c r="BA228" i="24"/>
  <c r="AC228" i="24"/>
  <c r="AF228" i="24" s="1"/>
  <c r="AB228" i="24"/>
  <c r="E228" i="24"/>
  <c r="F228" i="24"/>
  <c r="G228" i="24"/>
  <c r="BB228" i="24"/>
  <c r="AF217" i="23"/>
  <c r="AH217" i="23" s="1"/>
  <c r="S217" i="23"/>
  <c r="E260" i="23"/>
  <c r="D260" i="24" s="1"/>
  <c r="AB197" i="23"/>
  <c r="AB220" i="23"/>
  <c r="E263" i="23"/>
  <c r="D263" i="24" s="1"/>
  <c r="AB257" i="23"/>
  <c r="AB297" i="23"/>
  <c r="L229" i="23"/>
  <c r="AD282" i="24"/>
  <c r="AB282" i="24"/>
  <c r="AC282" i="24" s="1"/>
  <c r="AF282" i="24" s="1"/>
  <c r="AE282" i="24"/>
  <c r="AY282" i="24"/>
  <c r="AZ282" i="24" s="1"/>
  <c r="E282" i="24"/>
  <c r="F282" i="24" s="1"/>
  <c r="BA282" i="24"/>
  <c r="BB282" i="24"/>
  <c r="G282" i="24"/>
  <c r="H282" i="24"/>
  <c r="L288" i="23"/>
  <c r="E301" i="24"/>
  <c r="F301" i="24" s="1"/>
  <c r="G301" i="24"/>
  <c r="AD301" i="24"/>
  <c r="BA301" i="24"/>
  <c r="AE301" i="24"/>
  <c r="BB301" i="24"/>
  <c r="H301" i="24"/>
  <c r="AC301" i="24"/>
  <c r="AY301" i="24"/>
  <c r="AZ301" i="24" s="1"/>
  <c r="AB301" i="24"/>
  <c r="X328" i="23"/>
  <c r="O328" i="23"/>
  <c r="AE344" i="24"/>
  <c r="BB344" i="24"/>
  <c r="AY344" i="24"/>
  <c r="AZ344" i="24" s="1"/>
  <c r="BC344" i="24" s="1"/>
  <c r="AB344" i="24"/>
  <c r="AC344" i="24" s="1"/>
  <c r="AF344" i="24" s="1"/>
  <c r="AH344" i="24" s="1"/>
  <c r="E344" i="24"/>
  <c r="F344" i="24" s="1"/>
  <c r="AD344" i="24"/>
  <c r="G344" i="24"/>
  <c r="H344" i="24"/>
  <c r="BA344" i="24"/>
  <c r="H304" i="24"/>
  <c r="AD304" i="24"/>
  <c r="BA304" i="24"/>
  <c r="AE304" i="24"/>
  <c r="BB304" i="24"/>
  <c r="G304" i="24"/>
  <c r="AB304" i="24"/>
  <c r="AC304" i="24" s="1"/>
  <c r="AY304" i="24"/>
  <c r="AZ304" i="24" s="1"/>
  <c r="E304" i="24"/>
  <c r="F304" i="24" s="1"/>
  <c r="L325" i="23"/>
  <c r="W340" i="23"/>
  <c r="AY305" i="24"/>
  <c r="AZ305" i="24" s="1"/>
  <c r="BC305" i="24" s="1"/>
  <c r="BE305" i="24" s="1"/>
  <c r="AB305" i="24"/>
  <c r="AC305" i="24" s="1"/>
  <c r="BB305" i="24"/>
  <c r="AD305" i="24"/>
  <c r="BA305" i="24"/>
  <c r="AE305" i="24"/>
  <c r="E305" i="24"/>
  <c r="F305" i="24" s="1"/>
  <c r="G305" i="24"/>
  <c r="H305" i="24"/>
  <c r="G329" i="24"/>
  <c r="H329" i="24"/>
  <c r="AB329" i="24"/>
  <c r="AC329" i="24" s="1"/>
  <c r="AF329" i="24" s="1"/>
  <c r="AY329" i="24"/>
  <c r="AZ329" i="24" s="1"/>
  <c r="E329" i="24"/>
  <c r="F329" i="24" s="1"/>
  <c r="BA329" i="24"/>
  <c r="BB329" i="24"/>
  <c r="AD329" i="24"/>
  <c r="AE329" i="24"/>
  <c r="AE296" i="24"/>
  <c r="E296" i="24"/>
  <c r="F296" i="24"/>
  <c r="AY296" i="24"/>
  <c r="AZ296" i="24" s="1"/>
  <c r="BC296" i="24" s="1"/>
  <c r="AD296" i="24"/>
  <c r="G296" i="24"/>
  <c r="H296" i="24"/>
  <c r="AB296" i="24"/>
  <c r="BA296" i="24"/>
  <c r="AC296" i="24"/>
  <c r="AF296" i="24" s="1"/>
  <c r="BB296" i="24"/>
  <c r="AF277" i="23"/>
  <c r="W277" i="23"/>
  <c r="S277" i="23"/>
  <c r="X277" i="23"/>
  <c r="BB335" i="24"/>
  <c r="AY335" i="24"/>
  <c r="AZ335" i="24" s="1"/>
  <c r="BA335" i="24"/>
  <c r="AE335" i="24"/>
  <c r="H335" i="24"/>
  <c r="AD335" i="24"/>
  <c r="E335" i="24"/>
  <c r="F335" i="24" s="1"/>
  <c r="AB335" i="24"/>
  <c r="AC335" i="24" s="1"/>
  <c r="G335" i="24"/>
  <c r="E212" i="24"/>
  <c r="F212" i="24" s="1"/>
  <c r="I212" i="24" s="1"/>
  <c r="AY212" i="24"/>
  <c r="AB212" i="24"/>
  <c r="AC212" i="24" s="1"/>
  <c r="G212" i="24"/>
  <c r="AD212" i="24"/>
  <c r="H212" i="24"/>
  <c r="AZ212" i="24"/>
  <c r="BC212" i="24" s="1"/>
  <c r="BA212" i="24"/>
  <c r="AE212" i="24"/>
  <c r="BB212" i="24"/>
  <c r="AB237" i="24"/>
  <c r="AC237" i="24" s="1"/>
  <c r="BB237" i="24"/>
  <c r="AD237" i="24"/>
  <c r="AE237" i="24"/>
  <c r="BA237" i="24"/>
  <c r="E237" i="24"/>
  <c r="F237" i="24" s="1"/>
  <c r="G237" i="24"/>
  <c r="H237" i="24"/>
  <c r="AY237" i="24"/>
  <c r="AZ237" i="24" s="1"/>
  <c r="E271" i="24"/>
  <c r="F271" i="24" s="1"/>
  <c r="G271" i="24"/>
  <c r="AB271" i="24"/>
  <c r="AY271" i="24"/>
  <c r="AZ271" i="24" s="1"/>
  <c r="BC271" i="24" s="1"/>
  <c r="AD271" i="24"/>
  <c r="H271" i="24"/>
  <c r="AE271" i="24"/>
  <c r="AF271" i="24" s="1"/>
  <c r="AC271" i="24"/>
  <c r="BB271" i="24"/>
  <c r="BA271" i="24"/>
  <c r="E297" i="24"/>
  <c r="F297" i="24" s="1"/>
  <c r="AB297" i="24"/>
  <c r="AC297" i="24" s="1"/>
  <c r="BA297" i="24"/>
  <c r="G297" i="24"/>
  <c r="AD297" i="24"/>
  <c r="BB297" i="24"/>
  <c r="AY297" i="24"/>
  <c r="AZ297" i="24" s="1"/>
  <c r="BC297" i="24" s="1"/>
  <c r="AE297" i="24"/>
  <c r="H297" i="24"/>
  <c r="H350" i="24"/>
  <c r="AE350" i="24"/>
  <c r="BB350" i="24"/>
  <c r="AY350" i="24"/>
  <c r="AZ350" i="24"/>
  <c r="BC350" i="24" s="1"/>
  <c r="BA350" i="24"/>
  <c r="E350" i="24"/>
  <c r="F350" i="24" s="1"/>
  <c r="G350" i="24"/>
  <c r="AB350" i="24"/>
  <c r="AC350" i="24" s="1"/>
  <c r="AD350" i="24"/>
  <c r="F340" i="23"/>
  <c r="AY250" i="24"/>
  <c r="BA250" i="24"/>
  <c r="BB250" i="24"/>
  <c r="E250" i="24"/>
  <c r="F250" i="24" s="1"/>
  <c r="I250" i="24" s="1"/>
  <c r="AB250" i="24"/>
  <c r="AC250" i="24" s="1"/>
  <c r="AD250" i="24"/>
  <c r="AZ250" i="24"/>
  <c r="BC250" i="24" s="1"/>
  <c r="AE250" i="24"/>
  <c r="H250" i="24"/>
  <c r="G250" i="24"/>
  <c r="H283" i="24"/>
  <c r="AY283" i="24"/>
  <c r="AZ283" i="24" s="1"/>
  <c r="AD283" i="24"/>
  <c r="AE283" i="24"/>
  <c r="BA283" i="24"/>
  <c r="AB283" i="24"/>
  <c r="AC283" i="24" s="1"/>
  <c r="AF283" i="24" s="1"/>
  <c r="AH283" i="24" s="1"/>
  <c r="BB283" i="24"/>
  <c r="E283" i="24"/>
  <c r="F283" i="24"/>
  <c r="G283" i="24"/>
  <c r="I283" i="24" s="1"/>
  <c r="AE311" i="24"/>
  <c r="AY311" i="24"/>
  <c r="AZ311" i="24"/>
  <c r="E311" i="24"/>
  <c r="F311" i="24" s="1"/>
  <c r="BA311" i="24"/>
  <c r="AD311" i="24"/>
  <c r="AB311" i="24"/>
  <c r="AC311" i="24" s="1"/>
  <c r="H311" i="24"/>
  <c r="BB311" i="24"/>
  <c r="G311" i="24"/>
  <c r="O340" i="23"/>
  <c r="S227" i="23"/>
  <c r="AF225" i="23"/>
  <c r="X225" i="23"/>
  <c r="E262" i="24"/>
  <c r="AY262" i="24"/>
  <c r="AZ262" i="24" s="1"/>
  <c r="F262" i="24"/>
  <c r="BB262" i="24"/>
  <c r="G262" i="24"/>
  <c r="AD262" i="24"/>
  <c r="H262" i="24"/>
  <c r="AE262" i="24"/>
  <c r="AB262" i="24"/>
  <c r="AC262" i="24" s="1"/>
  <c r="AF262" i="24" s="1"/>
  <c r="BA262" i="24"/>
  <c r="AY278" i="24"/>
  <c r="AZ278" i="24" s="1"/>
  <c r="AB278" i="24"/>
  <c r="AC278" i="24" s="1"/>
  <c r="AF278" i="24" s="1"/>
  <c r="BA278" i="24"/>
  <c r="E278" i="24"/>
  <c r="F278" i="24" s="1"/>
  <c r="AD278" i="24"/>
  <c r="BB278" i="24"/>
  <c r="G278" i="24"/>
  <c r="H278" i="24"/>
  <c r="AE278" i="24"/>
  <c r="F277" i="23"/>
  <c r="O345" i="23"/>
  <c r="F345" i="23"/>
  <c r="X345" i="23"/>
  <c r="L259" i="23"/>
  <c r="W276" i="23"/>
  <c r="L284" i="23"/>
  <c r="N284" i="23" s="1"/>
  <c r="BL246" i="24"/>
  <c r="R246" i="24"/>
  <c r="G252" i="24"/>
  <c r="AD252" i="24"/>
  <c r="AY252" i="24"/>
  <c r="AZ252" i="24" s="1"/>
  <c r="BC252" i="24" s="1"/>
  <c r="AE252" i="24"/>
  <c r="BA252" i="24"/>
  <c r="H252" i="24"/>
  <c r="AB252" i="24"/>
  <c r="AC252" i="24" s="1"/>
  <c r="BB252" i="24"/>
  <c r="E252" i="24"/>
  <c r="F252" i="24" s="1"/>
  <c r="AY247" i="24"/>
  <c r="AZ247" i="24" s="1"/>
  <c r="BC247" i="24" s="1"/>
  <c r="BE247" i="24" s="1"/>
  <c r="H247" i="24"/>
  <c r="AE247" i="24"/>
  <c r="G247" i="24"/>
  <c r="BB247" i="24"/>
  <c r="AB247" i="24"/>
  <c r="AC247" i="24" s="1"/>
  <c r="AD247" i="24"/>
  <c r="E247" i="24"/>
  <c r="F247" i="24" s="1"/>
  <c r="BA247" i="24"/>
  <c r="W296" i="23"/>
  <c r="X296" i="23"/>
  <c r="E299" i="24"/>
  <c r="F299" i="24" s="1"/>
  <c r="AD299" i="24"/>
  <c r="BA299" i="24"/>
  <c r="G299" i="24"/>
  <c r="AE299" i="24"/>
  <c r="BB299" i="24"/>
  <c r="H299" i="24"/>
  <c r="AB299" i="24"/>
  <c r="AC299" i="24" s="1"/>
  <c r="AY299" i="24"/>
  <c r="AZ299" i="24" s="1"/>
  <c r="BC299" i="24" s="1"/>
  <c r="E303" i="24"/>
  <c r="F303" i="24" s="1"/>
  <c r="BA303" i="24"/>
  <c r="AB303" i="24"/>
  <c r="AC303" i="24" s="1"/>
  <c r="BB303" i="24"/>
  <c r="AY303" i="24"/>
  <c r="AZ303" i="24" s="1"/>
  <c r="H303" i="24"/>
  <c r="G303" i="24"/>
  <c r="AD303" i="24"/>
  <c r="AE303" i="24"/>
  <c r="G321" i="24"/>
  <c r="H321" i="24"/>
  <c r="AB321" i="24"/>
  <c r="AC321" i="24"/>
  <c r="AY321" i="24"/>
  <c r="AZ321" i="24" s="1"/>
  <c r="BA321" i="24"/>
  <c r="AD321" i="24"/>
  <c r="BB321" i="24"/>
  <c r="AE321" i="24"/>
  <c r="E321" i="24"/>
  <c r="F321" i="24" s="1"/>
  <c r="I321" i="24" s="1"/>
  <c r="H290" i="24"/>
  <c r="AB290" i="24"/>
  <c r="AC290" i="24"/>
  <c r="AD290" i="24"/>
  <c r="AY290" i="24"/>
  <c r="AZ290" i="24" s="1"/>
  <c r="BC290" i="24" s="1"/>
  <c r="G290" i="24"/>
  <c r="E290" i="24"/>
  <c r="F290" i="24" s="1"/>
  <c r="AE290" i="24"/>
  <c r="BA290" i="24"/>
  <c r="BB290" i="24"/>
  <c r="AB307" i="24"/>
  <c r="AC307" i="24" s="1"/>
  <c r="AY307" i="24"/>
  <c r="AZ307" i="24" s="1"/>
  <c r="BC307" i="24" s="1"/>
  <c r="E307" i="24"/>
  <c r="F307" i="24" s="1"/>
  <c r="AD307" i="24"/>
  <c r="BA307" i="24"/>
  <c r="G307" i="24"/>
  <c r="H307" i="24"/>
  <c r="BB307" i="24"/>
  <c r="AE307" i="24"/>
  <c r="G312" i="24"/>
  <c r="AD312" i="24"/>
  <c r="AY312" i="24"/>
  <c r="AZ312" i="24" s="1"/>
  <c r="BC312" i="24" s="1"/>
  <c r="H312" i="24"/>
  <c r="AE312" i="24"/>
  <c r="BA312" i="24"/>
  <c r="BB312" i="24"/>
  <c r="AB312" i="24"/>
  <c r="AC312" i="24" s="1"/>
  <c r="E312" i="24"/>
  <c r="F312" i="24" s="1"/>
  <c r="I312" i="24" s="1"/>
  <c r="AE298" i="24"/>
  <c r="AY298" i="24"/>
  <c r="AZ298" i="24" s="1"/>
  <c r="AD298" i="24"/>
  <c r="AB298" i="24"/>
  <c r="AC298" i="24" s="1"/>
  <c r="E298" i="24"/>
  <c r="F298" i="24" s="1"/>
  <c r="G298" i="24"/>
  <c r="H298" i="24"/>
  <c r="BB298" i="24"/>
  <c r="BA298" i="24"/>
  <c r="E223" i="24"/>
  <c r="F223" i="24" s="1"/>
  <c r="G223" i="24"/>
  <c r="H223" i="24"/>
  <c r="AE223" i="24"/>
  <c r="BB223" i="24"/>
  <c r="AY223" i="24"/>
  <c r="AZ223" i="24" s="1"/>
  <c r="BA223" i="24"/>
  <c r="AB223" i="24"/>
  <c r="AC223" i="24" s="1"/>
  <c r="AD223" i="24"/>
  <c r="G338" i="24"/>
  <c r="BA338" i="24"/>
  <c r="AE338" i="24"/>
  <c r="AY338" i="24"/>
  <c r="AZ338" i="24" s="1"/>
  <c r="BC338" i="24" s="1"/>
  <c r="AD338" i="24"/>
  <c r="BB338" i="24"/>
  <c r="E338" i="24"/>
  <c r="F338" i="24" s="1"/>
  <c r="I338" i="24" s="1"/>
  <c r="AB338" i="24"/>
  <c r="AC338" i="24"/>
  <c r="H338" i="24"/>
  <c r="H355" i="24"/>
  <c r="G355" i="24"/>
  <c r="AY355" i="24"/>
  <c r="AZ355" i="24" s="1"/>
  <c r="BC355" i="24" s="1"/>
  <c r="BA355" i="24"/>
  <c r="AB355" i="24"/>
  <c r="AC355" i="24" s="1"/>
  <c r="BB355" i="24"/>
  <c r="AD355" i="24"/>
  <c r="AE355" i="24"/>
  <c r="E355" i="24"/>
  <c r="F355" i="24" s="1"/>
  <c r="E359" i="24"/>
  <c r="F359" i="24" s="1"/>
  <c r="AB359" i="24"/>
  <c r="AY359" i="24"/>
  <c r="AZ359" i="24" s="1"/>
  <c r="AC359" i="24"/>
  <c r="G359" i="24"/>
  <c r="AD359" i="24"/>
  <c r="BA359" i="24"/>
  <c r="AE359" i="24"/>
  <c r="H359" i="24"/>
  <c r="BB359" i="24"/>
  <c r="AB208" i="24"/>
  <c r="AY208" i="24"/>
  <c r="AZ208" i="24" s="1"/>
  <c r="AC208" i="24"/>
  <c r="BA208" i="24"/>
  <c r="BB208" i="24"/>
  <c r="AD208" i="24"/>
  <c r="H208" i="24"/>
  <c r="G208" i="24"/>
  <c r="E208" i="24"/>
  <c r="F208" i="24" s="1"/>
  <c r="AE208" i="24"/>
  <c r="L214" i="23"/>
  <c r="L268" i="23"/>
  <c r="X276" i="23"/>
  <c r="L244" i="23"/>
  <c r="Y244" i="23" s="1"/>
  <c r="BF244" i="23" s="1"/>
  <c r="AF223" i="23"/>
  <c r="AH223" i="23" s="1"/>
  <c r="W223" i="23"/>
  <c r="X223" i="23"/>
  <c r="AF231" i="23"/>
  <c r="AH231" i="23" s="1"/>
  <c r="X231" i="23"/>
  <c r="W231" i="23"/>
  <c r="H339" i="24"/>
  <c r="AD339" i="24"/>
  <c r="BA339" i="24"/>
  <c r="E339" i="24"/>
  <c r="F339" i="24" s="1"/>
  <c r="I339" i="24" s="1"/>
  <c r="BB339" i="24"/>
  <c r="G339" i="24"/>
  <c r="AE339" i="24"/>
  <c r="AB339" i="24"/>
  <c r="AC339" i="24" s="1"/>
  <c r="AY339" i="24"/>
  <c r="AZ339" i="24" s="1"/>
  <c r="E349" i="24"/>
  <c r="F349" i="24" s="1"/>
  <c r="AB349" i="24"/>
  <c r="AC349" i="24" s="1"/>
  <c r="AY349" i="24"/>
  <c r="AZ349" i="24" s="1"/>
  <c r="G349" i="24"/>
  <c r="H349" i="24"/>
  <c r="BA349" i="24"/>
  <c r="BB349" i="24"/>
  <c r="AD349" i="24"/>
  <c r="AE349" i="24"/>
  <c r="X362" i="23"/>
  <c r="K236" i="23"/>
  <c r="BA236" i="24"/>
  <c r="AD236" i="24"/>
  <c r="BB236" i="24"/>
  <c r="E236" i="24"/>
  <c r="F236" i="24" s="1"/>
  <c r="AE236" i="24"/>
  <c r="AB236" i="24"/>
  <c r="AC236" i="24" s="1"/>
  <c r="AF236" i="24" s="1"/>
  <c r="AY236" i="24"/>
  <c r="AZ236" i="24" s="1"/>
  <c r="G236" i="24"/>
  <c r="H236" i="24"/>
  <c r="H236" i="23"/>
  <c r="I236" i="23" s="1"/>
  <c r="J236" i="23"/>
  <c r="AF305" i="23"/>
  <c r="AH305" i="23" s="1"/>
  <c r="O305" i="23"/>
  <c r="X305" i="23"/>
  <c r="S305" i="23"/>
  <c r="BL346" i="24"/>
  <c r="H230" i="24"/>
  <c r="AD230" i="24"/>
  <c r="AZ230" i="24"/>
  <c r="AC230" i="24"/>
  <c r="BB230" i="24"/>
  <c r="AE230" i="24"/>
  <c r="E230" i="24"/>
  <c r="F230" i="24" s="1"/>
  <c r="AB230" i="24"/>
  <c r="BA230" i="24"/>
  <c r="G230" i="24"/>
  <c r="AY230" i="24"/>
  <c r="H230" i="23"/>
  <c r="I230" i="23" s="1"/>
  <c r="L230" i="23" s="1"/>
  <c r="N230" i="23" s="1"/>
  <c r="I259" i="24"/>
  <c r="H273" i="23"/>
  <c r="I273" i="23" s="1"/>
  <c r="AE273" i="24"/>
  <c r="AY273" i="24"/>
  <c r="AZ273" i="24" s="1"/>
  <c r="BA273" i="24"/>
  <c r="BB273" i="24"/>
  <c r="H273" i="24"/>
  <c r="E273" i="24"/>
  <c r="F273" i="24" s="1"/>
  <c r="G273" i="24"/>
  <c r="AB273" i="24"/>
  <c r="AC273" i="24" s="1"/>
  <c r="AD273" i="24"/>
  <c r="G273" i="23"/>
  <c r="W362" i="23"/>
  <c r="BA229" i="24"/>
  <c r="BB229" i="24"/>
  <c r="AE229" i="24"/>
  <c r="E229" i="24"/>
  <c r="F229" i="24"/>
  <c r="AB229" i="24"/>
  <c r="AC229" i="24" s="1"/>
  <c r="AY229" i="24"/>
  <c r="AZ229" i="24" s="1"/>
  <c r="AD229" i="24"/>
  <c r="G229" i="24"/>
  <c r="H229" i="24"/>
  <c r="G229" i="23"/>
  <c r="AO257" i="24"/>
  <c r="R257" i="24"/>
  <c r="BL257" i="24"/>
  <c r="BL268" i="24"/>
  <c r="R268" i="24"/>
  <c r="AO268" i="24"/>
  <c r="K291" i="23"/>
  <c r="AE291" i="24"/>
  <c r="E291" i="24"/>
  <c r="AY291" i="24"/>
  <c r="AZ291" i="24" s="1"/>
  <c r="F291" i="24"/>
  <c r="BA291" i="24"/>
  <c r="AD291" i="24"/>
  <c r="G291" i="24"/>
  <c r="AB291" i="24"/>
  <c r="AC291" i="24" s="1"/>
  <c r="AF291" i="24" s="1"/>
  <c r="AH291" i="24" s="1"/>
  <c r="BB291" i="24"/>
  <c r="H291" i="24"/>
  <c r="J291" i="23"/>
  <c r="L291" i="23" s="1"/>
  <c r="AO215" i="24"/>
  <c r="BL215" i="24"/>
  <c r="R215" i="24"/>
  <c r="AF196" i="24"/>
  <c r="R229" i="24"/>
  <c r="AO229" i="24"/>
  <c r="BL229" i="24"/>
  <c r="AF330" i="23"/>
  <c r="AH330" i="23" s="1"/>
  <c r="O330" i="23"/>
  <c r="S330" i="23"/>
  <c r="F330" i="23"/>
  <c r="X330" i="23"/>
  <c r="AO360" i="24"/>
  <c r="BL360" i="24"/>
  <c r="AO195" i="24"/>
  <c r="BL195" i="24"/>
  <c r="R195" i="24"/>
  <c r="R260" i="24"/>
  <c r="AO260" i="24"/>
  <c r="BL260" i="24"/>
  <c r="BL212" i="24"/>
  <c r="AO212" i="24"/>
  <c r="R275" i="24"/>
  <c r="BL275" i="24"/>
  <c r="AO275" i="24"/>
  <c r="AO287" i="24"/>
  <c r="AO239" i="24"/>
  <c r="BL239" i="24"/>
  <c r="R239" i="24"/>
  <c r="BE325" i="24"/>
  <c r="F195" i="23"/>
  <c r="S195" i="23"/>
  <c r="AF243" i="23"/>
  <c r="AH243" i="23" s="1"/>
  <c r="O243" i="23"/>
  <c r="AF239" i="23"/>
  <c r="AH239" i="23" s="1"/>
  <c r="S239" i="23"/>
  <c r="W239" i="23"/>
  <c r="AO234" i="24"/>
  <c r="R234" i="24"/>
  <c r="BL234" i="24"/>
  <c r="AO222" i="24"/>
  <c r="R222" i="24"/>
  <c r="R360" i="24"/>
  <c r="R226" i="24"/>
  <c r="AO226" i="24"/>
  <c r="BL226" i="24"/>
  <c r="AO309" i="24"/>
  <c r="R309" i="24"/>
  <c r="BL309" i="24"/>
  <c r="O213" i="23"/>
  <c r="AF213" i="23"/>
  <c r="AH213" i="23" s="1"/>
  <c r="AY279" i="24"/>
  <c r="AZ279" i="24"/>
  <c r="BC279" i="24" s="1"/>
  <c r="AB279" i="24"/>
  <c r="AC279" i="24" s="1"/>
  <c r="BA279" i="24"/>
  <c r="AD279" i="24"/>
  <c r="AE279" i="24"/>
  <c r="E279" i="24"/>
  <c r="F279" i="24" s="1"/>
  <c r="H279" i="23"/>
  <c r="I279" i="23" s="1"/>
  <c r="G279" i="23"/>
  <c r="G279" i="24"/>
  <c r="BB279" i="24"/>
  <c r="H279" i="24"/>
  <c r="W285" i="23"/>
  <c r="F285" i="23"/>
  <c r="AF285" i="23"/>
  <c r="AH285" i="23" s="1"/>
  <c r="S285" i="23"/>
  <c r="X285" i="23"/>
  <c r="AF300" i="23"/>
  <c r="AH300" i="23" s="1"/>
  <c r="W300" i="23"/>
  <c r="S300" i="23"/>
  <c r="X300" i="23"/>
  <c r="O300" i="23"/>
  <c r="F300" i="23"/>
  <c r="AO210" i="24"/>
  <c r="BL210" i="24"/>
  <c r="W293" i="23"/>
  <c r="F293" i="23"/>
  <c r="R205" i="24"/>
  <c r="AO205" i="24"/>
  <c r="BL205" i="24"/>
  <c r="R270" i="24"/>
  <c r="AO270" i="24"/>
  <c r="BL270" i="24"/>
  <c r="X302" i="23"/>
  <c r="O302" i="23"/>
  <c r="S302" i="23"/>
  <c r="AF302" i="23"/>
  <c r="AH302" i="23" s="1"/>
  <c r="O297" i="23"/>
  <c r="AF297" i="23"/>
  <c r="AH297" i="23" s="1"/>
  <c r="S297" i="23"/>
  <c r="R223" i="24"/>
  <c r="BL223" i="24"/>
  <c r="AO223" i="24"/>
  <c r="BE318" i="24"/>
  <c r="F362" i="23"/>
  <c r="I362" i="23" s="1"/>
  <c r="S270" i="23"/>
  <c r="AF270" i="23"/>
  <c r="AH270" i="23" s="1"/>
  <c r="AO349" i="24"/>
  <c r="R349" i="24"/>
  <c r="BL349" i="24"/>
  <c r="R213" i="24"/>
  <c r="BL213" i="24"/>
  <c r="K200" i="23"/>
  <c r="H200" i="24"/>
  <c r="BB200" i="24"/>
  <c r="AB200" i="24"/>
  <c r="AC200" i="24" s="1"/>
  <c r="AY200" i="24"/>
  <c r="AZ200" i="24" s="1"/>
  <c r="E200" i="24"/>
  <c r="F200" i="24" s="1"/>
  <c r="I200" i="24" s="1"/>
  <c r="G200" i="24"/>
  <c r="AE200" i="24"/>
  <c r="AD200" i="24"/>
  <c r="BA200" i="24"/>
  <c r="G200" i="23"/>
  <c r="H200" i="23"/>
  <c r="I200" i="23" s="1"/>
  <c r="J200" i="23"/>
  <c r="AO357" i="24"/>
  <c r="BL357" i="24"/>
  <c r="R357" i="24"/>
  <c r="K361" i="24"/>
  <c r="AO274" i="24"/>
  <c r="R274" i="24"/>
  <c r="BL274" i="24"/>
  <c r="G268" i="24"/>
  <c r="AD268" i="24"/>
  <c r="BB268" i="24"/>
  <c r="H268" i="24"/>
  <c r="AE268" i="24"/>
  <c r="E268" i="24"/>
  <c r="F268" i="24" s="1"/>
  <c r="AB268" i="24"/>
  <c r="AC268" i="24" s="1"/>
  <c r="AF268" i="24" s="1"/>
  <c r="BA268" i="24"/>
  <c r="AY268" i="24"/>
  <c r="AZ268" i="24" s="1"/>
  <c r="G245" i="23"/>
  <c r="E245" i="24"/>
  <c r="F245" i="24" s="1"/>
  <c r="G245" i="24"/>
  <c r="AB245" i="24"/>
  <c r="AC245" i="24" s="1"/>
  <c r="BA245" i="24"/>
  <c r="BB245" i="24"/>
  <c r="AD245" i="24"/>
  <c r="AE245" i="24"/>
  <c r="AY245" i="24"/>
  <c r="AZ245" i="24" s="1"/>
  <c r="H245" i="24"/>
  <c r="H245" i="23"/>
  <c r="I245" i="23" s="1"/>
  <c r="L245" i="23" s="1"/>
  <c r="J245" i="23"/>
  <c r="K245" i="23"/>
  <c r="G244" i="24"/>
  <c r="AB244" i="24"/>
  <c r="AC244" i="24" s="1"/>
  <c r="AF244" i="24" s="1"/>
  <c r="H244" i="24"/>
  <c r="AD244" i="24"/>
  <c r="F244" i="24"/>
  <c r="AY244" i="24"/>
  <c r="AZ244" i="24" s="1"/>
  <c r="BA244" i="24"/>
  <c r="AE244" i="24"/>
  <c r="BB244" i="24"/>
  <c r="E244" i="24"/>
  <c r="AO354" i="24"/>
  <c r="BL354" i="24"/>
  <c r="BA272" i="24"/>
  <c r="G272" i="24"/>
  <c r="BB272" i="24"/>
  <c r="H272" i="24"/>
  <c r="E272" i="24"/>
  <c r="F272" i="24" s="1"/>
  <c r="AD272" i="24"/>
  <c r="AE272" i="24"/>
  <c r="AY272" i="24"/>
  <c r="AZ272" i="24" s="1"/>
  <c r="BC272" i="24" s="1"/>
  <c r="BE272" i="24" s="1"/>
  <c r="AB272" i="24"/>
  <c r="AC272" i="24" s="1"/>
  <c r="AF272" i="24" s="1"/>
  <c r="G272" i="23"/>
  <c r="H272" i="23"/>
  <c r="I272" i="23" s="1"/>
  <c r="L272" i="23" s="1"/>
  <c r="X275" i="23"/>
  <c r="F275" i="23"/>
  <c r="S275" i="23"/>
  <c r="BL228" i="24"/>
  <c r="R228" i="24"/>
  <c r="AO228" i="24"/>
  <c r="AF269" i="23"/>
  <c r="AH269" i="23" s="1"/>
  <c r="O269" i="23"/>
  <c r="X291" i="23"/>
  <c r="AF291" i="23"/>
  <c r="AH291" i="23" s="1"/>
  <c r="W264" i="23"/>
  <c r="O264" i="23"/>
  <c r="AF264" i="23"/>
  <c r="AH264" i="23" s="1"/>
  <c r="X264" i="23"/>
  <c r="AO273" i="24"/>
  <c r="R273" i="24"/>
  <c r="BL273" i="24"/>
  <c r="X233" i="23"/>
  <c r="G352" i="23"/>
  <c r="H352" i="24"/>
  <c r="AB352" i="24"/>
  <c r="AC352" i="24" s="1"/>
  <c r="AY352" i="24"/>
  <c r="AZ352" i="24" s="1"/>
  <c r="AD352" i="24"/>
  <c r="BA352" i="24"/>
  <c r="AE352" i="24"/>
  <c r="BB352" i="24"/>
  <c r="G352" i="24"/>
  <c r="E352" i="24"/>
  <c r="F352" i="24" s="1"/>
  <c r="H324" i="24"/>
  <c r="AB324" i="24"/>
  <c r="AC324" i="24" s="1"/>
  <c r="G324" i="24"/>
  <c r="AE324" i="24"/>
  <c r="AD324" i="24"/>
  <c r="E324" i="24"/>
  <c r="F324" i="24" s="1"/>
  <c r="AY324" i="24"/>
  <c r="AZ324" i="24" s="1"/>
  <c r="BA324" i="24"/>
  <c r="BB324" i="24"/>
  <c r="J324" i="23"/>
  <c r="L324" i="23" s="1"/>
  <c r="S267" i="23"/>
  <c r="X321" i="23"/>
  <c r="I314" i="24"/>
  <c r="AF312" i="23"/>
  <c r="AH312" i="23" s="1"/>
  <c r="O312" i="23"/>
  <c r="X312" i="23"/>
  <c r="AF347" i="23"/>
  <c r="AH347" i="23" s="1"/>
  <c r="W347" i="23"/>
  <c r="F347" i="23"/>
  <c r="X347" i="23"/>
  <c r="W218" i="23"/>
  <c r="AF218" i="23"/>
  <c r="AH218" i="23" s="1"/>
  <c r="AO241" i="24"/>
  <c r="BL241" i="24"/>
  <c r="R241" i="24"/>
  <c r="BL325" i="24"/>
  <c r="R325" i="24"/>
  <c r="R200" i="24"/>
  <c r="AO200" i="24"/>
  <c r="BL200" i="24"/>
  <c r="G264" i="23"/>
  <c r="BA264" i="24"/>
  <c r="BB264" i="24"/>
  <c r="AE264" i="24"/>
  <c r="E264" i="24"/>
  <c r="F264" i="24" s="1"/>
  <c r="I264" i="24" s="1"/>
  <c r="AB264" i="24"/>
  <c r="AC264" i="24" s="1"/>
  <c r="AF264" i="24" s="1"/>
  <c r="AD264" i="24"/>
  <c r="G264" i="24"/>
  <c r="H264" i="24"/>
  <c r="AY264" i="24"/>
  <c r="AZ264" i="24" s="1"/>
  <c r="J264" i="23"/>
  <c r="K264" i="23"/>
  <c r="AO352" i="24"/>
  <c r="R352" i="24"/>
  <c r="BL352" i="24"/>
  <c r="W306" i="23"/>
  <c r="F306" i="23"/>
  <c r="X306" i="23"/>
  <c r="AF306" i="23"/>
  <c r="AH306" i="23" s="1"/>
  <c r="AO344" i="24"/>
  <c r="BL344" i="24"/>
  <c r="R344" i="24"/>
  <c r="X339" i="23"/>
  <c r="BL312" i="24"/>
  <c r="R312" i="24"/>
  <c r="AO312" i="24"/>
  <c r="AD336" i="24"/>
  <c r="AE336" i="24"/>
  <c r="H336" i="24"/>
  <c r="AY336" i="24"/>
  <c r="AZ336" i="24" s="1"/>
  <c r="E336" i="24"/>
  <c r="F336" i="24" s="1"/>
  <c r="I336" i="24" s="1"/>
  <c r="AB336" i="24"/>
  <c r="AC336" i="24" s="1"/>
  <c r="AF336" i="24" s="1"/>
  <c r="BA336" i="24"/>
  <c r="G336" i="24"/>
  <c r="BB336" i="24"/>
  <c r="G336" i="23"/>
  <c r="H336" i="23"/>
  <c r="I336" i="23" s="1"/>
  <c r="H214" i="24"/>
  <c r="AC214" i="24"/>
  <c r="AD214" i="24"/>
  <c r="AE214" i="24"/>
  <c r="AY214" i="24"/>
  <c r="AZ214" i="24" s="1"/>
  <c r="BC214" i="24" s="1"/>
  <c r="BE214" i="24" s="1"/>
  <c r="BA214" i="24"/>
  <c r="AB214" i="24"/>
  <c r="G214" i="24"/>
  <c r="BB214" i="24"/>
  <c r="E214" i="24"/>
  <c r="F214" i="24" s="1"/>
  <c r="W313" i="23"/>
  <c r="F313" i="23"/>
  <c r="AF313" i="23"/>
  <c r="AH313" i="23" s="1"/>
  <c r="O313" i="23"/>
  <c r="AO288" i="24"/>
  <c r="BL288" i="24"/>
  <c r="BB269" i="24"/>
  <c r="AE269" i="24"/>
  <c r="BA269" i="24"/>
  <c r="H269" i="24"/>
  <c r="AD269" i="24"/>
  <c r="G269" i="24"/>
  <c r="AB269" i="24"/>
  <c r="AC269" i="24" s="1"/>
  <c r="E269" i="24"/>
  <c r="F269" i="24" s="1"/>
  <c r="AY269" i="24"/>
  <c r="AZ269" i="24" s="1"/>
  <c r="BC269" i="24" s="1"/>
  <c r="R227" i="24"/>
  <c r="AO227" i="24"/>
  <c r="H315" i="24"/>
  <c r="AD315" i="24"/>
  <c r="AY315" i="24"/>
  <c r="AZ315" i="24" s="1"/>
  <c r="AE315" i="24"/>
  <c r="BA315" i="24"/>
  <c r="G315" i="24"/>
  <c r="AB315" i="24"/>
  <c r="AC315" i="24" s="1"/>
  <c r="AF315" i="24" s="1"/>
  <c r="BB315" i="24"/>
  <c r="E315" i="24"/>
  <c r="F315" i="24" s="1"/>
  <c r="R336" i="24"/>
  <c r="BL336" i="24"/>
  <c r="AO336" i="24"/>
  <c r="R347" i="24"/>
  <c r="AO347" i="24"/>
  <c r="BL347" i="24"/>
  <c r="I356" i="24"/>
  <c r="AD319" i="24"/>
  <c r="AE319" i="24"/>
  <c r="AY319" i="24"/>
  <c r="E319" i="24"/>
  <c r="F319" i="24" s="1"/>
  <c r="AZ319" i="24"/>
  <c r="G319" i="24"/>
  <c r="AB319" i="24"/>
  <c r="AC319" i="24" s="1"/>
  <c r="H319" i="24"/>
  <c r="BB319" i="24"/>
  <c r="BA319" i="24"/>
  <c r="AB233" i="24"/>
  <c r="AC233" i="24" s="1"/>
  <c r="AD233" i="24"/>
  <c r="G233" i="24"/>
  <c r="BA233" i="24"/>
  <c r="H233" i="24"/>
  <c r="BB233" i="24"/>
  <c r="AE233" i="24"/>
  <c r="AY233" i="24"/>
  <c r="AZ233" i="24" s="1"/>
  <c r="E233" i="24"/>
  <c r="F233" i="24" s="1"/>
  <c r="I233" i="24" s="1"/>
  <c r="R230" i="24"/>
  <c r="AO230" i="24"/>
  <c r="BL230" i="24"/>
  <c r="AO304" i="24"/>
  <c r="R304" i="24"/>
  <c r="BL304" i="24"/>
  <c r="BL308" i="24"/>
  <c r="AO308" i="24"/>
  <c r="R308" i="24"/>
  <c r="AO319" i="24"/>
  <c r="BL319" i="24"/>
  <c r="R319" i="24"/>
  <c r="AO283" i="24"/>
  <c r="BL283" i="24"/>
  <c r="AE353" i="24"/>
  <c r="AY353" i="24"/>
  <c r="AZ353" i="24" s="1"/>
  <c r="BA353" i="24"/>
  <c r="BB353" i="24"/>
  <c r="AD353" i="24"/>
  <c r="G353" i="24"/>
  <c r="AB353" i="24"/>
  <c r="AC353" i="24" s="1"/>
  <c r="H353" i="24"/>
  <c r="E353" i="24"/>
  <c r="F353" i="24" s="1"/>
  <c r="AO339" i="24"/>
  <c r="BL339" i="24"/>
  <c r="R339" i="24"/>
  <c r="AY267" i="24"/>
  <c r="AZ267" i="24" s="1"/>
  <c r="E267" i="24"/>
  <c r="AE267" i="24"/>
  <c r="F267" i="24"/>
  <c r="AB267" i="24"/>
  <c r="AC267" i="24" s="1"/>
  <c r="G267" i="24"/>
  <c r="BA267" i="24"/>
  <c r="H267" i="24"/>
  <c r="AD267" i="24"/>
  <c r="BB267" i="24"/>
  <c r="J267" i="23"/>
  <c r="K267" i="23"/>
  <c r="I267" i="23"/>
  <c r="H267" i="23"/>
  <c r="G267" i="23"/>
  <c r="AD284" i="24"/>
  <c r="AE284" i="24"/>
  <c r="BA284" i="24"/>
  <c r="BB284" i="24"/>
  <c r="H284" i="24"/>
  <c r="AB284" i="24"/>
  <c r="AC284" i="24" s="1"/>
  <c r="AY284" i="24"/>
  <c r="AZ284" i="24" s="1"/>
  <c r="E284" i="24"/>
  <c r="F284" i="24" s="1"/>
  <c r="G284" i="24"/>
  <c r="BL294" i="24"/>
  <c r="R294" i="24"/>
  <c r="AF356" i="24"/>
  <c r="AF273" i="23"/>
  <c r="AH273" i="23" s="1"/>
  <c r="W273" i="23"/>
  <c r="AF341" i="23"/>
  <c r="AH341" i="23" s="1"/>
  <c r="W341" i="23"/>
  <c r="O341" i="23"/>
  <c r="F341" i="23"/>
  <c r="X341" i="23"/>
  <c r="AO324" i="24"/>
  <c r="BL324" i="24"/>
  <c r="R324" i="24"/>
  <c r="BM335" i="24"/>
  <c r="BL335" i="24"/>
  <c r="AO335" i="24"/>
  <c r="AO342" i="24"/>
  <c r="BL342" i="24"/>
  <c r="R342" i="24"/>
  <c r="R295" i="24"/>
  <c r="AO295" i="24"/>
  <c r="R307" i="24"/>
  <c r="AO307" i="24"/>
  <c r="BL307" i="24"/>
  <c r="E320" i="24"/>
  <c r="F320" i="24" s="1"/>
  <c r="AD320" i="24"/>
  <c r="G320" i="24"/>
  <c r="AE320" i="24"/>
  <c r="AY320" i="24"/>
  <c r="AZ320" i="24" s="1"/>
  <c r="BC320" i="24" s="1"/>
  <c r="H320" i="24"/>
  <c r="AB320" i="24"/>
  <c r="AC320" i="24" s="1"/>
  <c r="BA320" i="24"/>
  <c r="BB320" i="24"/>
  <c r="R253" i="24"/>
  <c r="AO253" i="24"/>
  <c r="BL253" i="24"/>
  <c r="AF206" i="23"/>
  <c r="AH206" i="23" s="1"/>
  <c r="X206" i="23"/>
  <c r="R305" i="24"/>
  <c r="AO305" i="24"/>
  <c r="BL305" i="24"/>
  <c r="AF333" i="23"/>
  <c r="AH333" i="23" s="1"/>
  <c r="X333" i="23"/>
  <c r="F333" i="23"/>
  <c r="AO327" i="24"/>
  <c r="R327" i="24"/>
  <c r="BL327" i="24"/>
  <c r="AE342" i="24"/>
  <c r="AY342" i="24"/>
  <c r="AZ342" i="24" s="1"/>
  <c r="G342" i="24"/>
  <c r="AB342" i="24"/>
  <c r="AC342" i="24" s="1"/>
  <c r="AF342" i="24" s="1"/>
  <c r="H342" i="24"/>
  <c r="E342" i="24"/>
  <c r="F342" i="24" s="1"/>
  <c r="BA342" i="24"/>
  <c r="BB342" i="24"/>
  <c r="H342" i="23"/>
  <c r="I342" i="23" s="1"/>
  <c r="AD342" i="24"/>
  <c r="G342" i="23"/>
  <c r="BC358" i="24"/>
  <c r="AF240" i="24"/>
  <c r="BC309" i="24"/>
  <c r="AO320" i="24"/>
  <c r="BL320" i="24"/>
  <c r="R320" i="24"/>
  <c r="AF351" i="24"/>
  <c r="I351" i="24"/>
  <c r="S333" i="23"/>
  <c r="AO244" i="24"/>
  <c r="BL244" i="24"/>
  <c r="R244" i="24"/>
  <c r="AY218" i="24"/>
  <c r="AZ218" i="24" s="1"/>
  <c r="BC218" i="24" s="1"/>
  <c r="E218" i="24"/>
  <c r="F218" i="24" s="1"/>
  <c r="AD218" i="24"/>
  <c r="G218" i="24"/>
  <c r="H218" i="24"/>
  <c r="AB218" i="24"/>
  <c r="AC218" i="24" s="1"/>
  <c r="BB218" i="24"/>
  <c r="BA218" i="24"/>
  <c r="AE218" i="24"/>
  <c r="H218" i="23"/>
  <c r="I218" i="23" s="1"/>
  <c r="K218" i="23"/>
  <c r="AF348" i="23"/>
  <c r="AH348" i="23" s="1"/>
  <c r="X348" i="23"/>
  <c r="F348" i="23"/>
  <c r="AO233" i="24"/>
  <c r="R233" i="24"/>
  <c r="BL233" i="24"/>
  <c r="O347" i="23"/>
  <c r="AF325" i="24"/>
  <c r="R209" i="24"/>
  <c r="AO209" i="24"/>
  <c r="R291" i="24"/>
  <c r="BL291" i="24"/>
  <c r="AO291" i="24"/>
  <c r="K346" i="23"/>
  <c r="AB346" i="24"/>
  <c r="AC346" i="24" s="1"/>
  <c r="H346" i="24"/>
  <c r="G346" i="24"/>
  <c r="H346" i="23"/>
  <c r="BA346" i="24"/>
  <c r="AD346" i="24"/>
  <c r="BB346" i="24"/>
  <c r="J346" i="23"/>
  <c r="AE346" i="24"/>
  <c r="E346" i="24"/>
  <c r="F346" i="24" s="1"/>
  <c r="I346" i="24" s="1"/>
  <c r="AY346" i="24"/>
  <c r="AZ346" i="24" s="1"/>
  <c r="G346" i="23"/>
  <c r="I346" i="23"/>
  <c r="BC240" i="24"/>
  <c r="E310" i="24"/>
  <c r="F310" i="24" s="1"/>
  <c r="AB310" i="24"/>
  <c r="AC310" i="24" s="1"/>
  <c r="BA310" i="24"/>
  <c r="AD310" i="24"/>
  <c r="BB310" i="24"/>
  <c r="G310" i="24"/>
  <c r="AE310" i="24"/>
  <c r="AY310" i="24"/>
  <c r="AZ310" i="24" s="1"/>
  <c r="H310" i="24"/>
  <c r="G310" i="23"/>
  <c r="R358" i="24"/>
  <c r="AO358" i="24"/>
  <c r="BC314" i="24"/>
  <c r="W312" i="23"/>
  <c r="G362" i="23"/>
  <c r="H362" i="23"/>
  <c r="J362" i="23"/>
  <c r="K362" i="23"/>
  <c r="AH362" i="23"/>
  <c r="BN239" i="24"/>
  <c r="BO239" i="24"/>
  <c r="BE239" i="24"/>
  <c r="AH209" i="24"/>
  <c r="BE250" i="24"/>
  <c r="BE279" i="24"/>
  <c r="BE307" i="24"/>
  <c r="BE296" i="24"/>
  <c r="BE203" i="24"/>
  <c r="AH215" i="24"/>
  <c r="K318" i="24"/>
  <c r="AH228" i="24"/>
  <c r="AR239" i="24"/>
  <c r="AQ239" i="24"/>
  <c r="AH314" i="24"/>
  <c r="K325" i="24"/>
  <c r="AH288" i="24"/>
  <c r="BE299" i="24"/>
  <c r="K201" i="24"/>
  <c r="AH213" i="24"/>
  <c r="BE212" i="24"/>
  <c r="BE252" i="24"/>
  <c r="K288" i="24"/>
  <c r="K323" i="24"/>
  <c r="N214" i="23"/>
  <c r="Y214" i="23"/>
  <c r="BF214" i="23" s="1"/>
  <c r="Y230" i="23"/>
  <c r="BF230" i="23" s="1"/>
  <c r="Y314" i="23"/>
  <c r="N314" i="23"/>
  <c r="N318" i="23"/>
  <c r="Y318" i="23"/>
  <c r="N309" i="23"/>
  <c r="Y309" i="23"/>
  <c r="AI309" i="24" s="1"/>
  <c r="N244" i="23"/>
  <c r="Y352" i="23"/>
  <c r="BF352" i="23" s="1"/>
  <c r="N352" i="23"/>
  <c r="N268" i="23"/>
  <c r="Y268" i="23"/>
  <c r="BF268" i="23" s="1"/>
  <c r="Y259" i="23"/>
  <c r="N259" i="23"/>
  <c r="N315" i="23"/>
  <c r="Y315" i="23"/>
  <c r="BF315" i="23" s="1"/>
  <c r="Y284" i="23"/>
  <c r="BF284" i="23" s="1"/>
  <c r="N310" i="23"/>
  <c r="Y310" i="23"/>
  <c r="BF310" i="23" s="1"/>
  <c r="N229" i="23"/>
  <c r="Y229" i="23"/>
  <c r="BF229" i="23" s="1"/>
  <c r="Y324" i="23"/>
  <c r="BF324" i="23" s="1"/>
  <c r="N324" i="23"/>
  <c r="J209" i="23"/>
  <c r="G209" i="23"/>
  <c r="H209" i="23"/>
  <c r="I209" i="23"/>
  <c r="K209" i="23"/>
  <c r="I202" i="23"/>
  <c r="G202" i="23"/>
  <c r="H202" i="23"/>
  <c r="J202" i="23"/>
  <c r="K202" i="23"/>
  <c r="AF204" i="23"/>
  <c r="S204" i="23"/>
  <c r="BG207" i="23"/>
  <c r="BE207" i="23"/>
  <c r="AV207" i="23"/>
  <c r="AS207" i="23"/>
  <c r="BA207" i="23"/>
  <c r="BB207" i="23"/>
  <c r="BC207" i="23"/>
  <c r="AF226" i="23"/>
  <c r="X226" i="23"/>
  <c r="AH201" i="23"/>
  <c r="AS226" i="23"/>
  <c r="BC226" i="23"/>
  <c r="BE226" i="23"/>
  <c r="BB226" i="23"/>
  <c r="BG226" i="23"/>
  <c r="BA226" i="23"/>
  <c r="AV226" i="23"/>
  <c r="K228" i="23"/>
  <c r="H228" i="23"/>
  <c r="I228" i="23" s="1"/>
  <c r="J228" i="23"/>
  <c r="G228" i="23"/>
  <c r="BB239" i="23"/>
  <c r="AS239" i="23"/>
  <c r="BC239" i="23"/>
  <c r="BE239" i="23"/>
  <c r="BG239" i="23"/>
  <c r="BA239" i="23"/>
  <c r="AV239" i="23"/>
  <c r="X241" i="23"/>
  <c r="AF241" i="23"/>
  <c r="S241" i="23"/>
  <c r="F241" i="23"/>
  <c r="BG217" i="23"/>
  <c r="BA217" i="23"/>
  <c r="BB217" i="23"/>
  <c r="AV217" i="23"/>
  <c r="AS217" i="23"/>
  <c r="BE217" i="23"/>
  <c r="BC217" i="23"/>
  <c r="N240" i="23"/>
  <c r="Y240" i="23"/>
  <c r="J250" i="23"/>
  <c r="K250" i="23"/>
  <c r="I250" i="23"/>
  <c r="G250" i="23"/>
  <c r="H250" i="23"/>
  <c r="O197" i="23"/>
  <c r="AF248" i="23"/>
  <c r="W248" i="23"/>
  <c r="S248" i="23"/>
  <c r="AF256" i="23"/>
  <c r="O256" i="23"/>
  <c r="X256" i="23"/>
  <c r="F256" i="23"/>
  <c r="AV216" i="23"/>
  <c r="BG216" i="23"/>
  <c r="BA216" i="23"/>
  <c r="BB216" i="23"/>
  <c r="BC216" i="23"/>
  <c r="AS216" i="23"/>
  <c r="BE216" i="23"/>
  <c r="BE265" i="23"/>
  <c r="AV265" i="23"/>
  <c r="BG265" i="23"/>
  <c r="BA265" i="23"/>
  <c r="AS265" i="23"/>
  <c r="BB265" i="23"/>
  <c r="BC265" i="23"/>
  <c r="H242" i="23"/>
  <c r="I242" i="23"/>
  <c r="K242" i="23"/>
  <c r="J242" i="23"/>
  <c r="G242" i="23"/>
  <c r="F280" i="23"/>
  <c r="AH275" i="23"/>
  <c r="G299" i="23"/>
  <c r="H299" i="23"/>
  <c r="I299" i="23" s="1"/>
  <c r="J299" i="23"/>
  <c r="K299" i="23"/>
  <c r="AS276" i="23"/>
  <c r="BC276" i="23"/>
  <c r="BG276" i="23"/>
  <c r="AV276" i="23"/>
  <c r="BE276" i="23"/>
  <c r="BB276" i="23"/>
  <c r="BA276" i="23"/>
  <c r="K283" i="23"/>
  <c r="G283" i="23"/>
  <c r="H283" i="23"/>
  <c r="I283" i="23" s="1"/>
  <c r="L283" i="23" s="1"/>
  <c r="J283" i="23"/>
  <c r="O337" i="23"/>
  <c r="AF316" i="23"/>
  <c r="F316" i="23"/>
  <c r="S316" i="23"/>
  <c r="S238" i="23"/>
  <c r="F238" i="23"/>
  <c r="F295" i="23"/>
  <c r="BB323" i="23"/>
  <c r="AV323" i="23"/>
  <c r="BG323" i="23"/>
  <c r="BA323" i="23"/>
  <c r="BC323" i="23"/>
  <c r="BE323" i="23"/>
  <c r="AS323" i="23"/>
  <c r="AH308" i="23"/>
  <c r="AF317" i="23"/>
  <c r="W317" i="23"/>
  <c r="X317" i="23"/>
  <c r="O317" i="23"/>
  <c r="AF332" i="23"/>
  <c r="F332" i="23"/>
  <c r="X332" i="23"/>
  <c r="L336" i="23"/>
  <c r="AS286" i="23"/>
  <c r="BC286" i="23"/>
  <c r="BG286" i="23"/>
  <c r="BE286" i="23"/>
  <c r="BB286" i="23"/>
  <c r="AV286" i="23"/>
  <c r="BA286" i="23"/>
  <c r="K338" i="23"/>
  <c r="G338" i="23"/>
  <c r="H338" i="23"/>
  <c r="I338" i="23" s="1"/>
  <c r="J338" i="23"/>
  <c r="AH355" i="23"/>
  <c r="AS326" i="23"/>
  <c r="BC326" i="23"/>
  <c r="BA326" i="23"/>
  <c r="BB326" i="23"/>
  <c r="BG326" i="23"/>
  <c r="AV326" i="23"/>
  <c r="BE326" i="23"/>
  <c r="F308" i="23"/>
  <c r="S322" i="23"/>
  <c r="AF198" i="23"/>
  <c r="W198" i="23"/>
  <c r="X198" i="23"/>
  <c r="BG202" i="23"/>
  <c r="BE202" i="23"/>
  <c r="AS202" i="23"/>
  <c r="BA202" i="23"/>
  <c r="BB202" i="23"/>
  <c r="AV202" i="23"/>
  <c r="BC202" i="23"/>
  <c r="X217" i="23"/>
  <c r="S219" i="23"/>
  <c r="O219" i="23"/>
  <c r="G220" i="23"/>
  <c r="H220" i="23"/>
  <c r="I220" i="23" s="1"/>
  <c r="J220" i="23"/>
  <c r="K220" i="23"/>
  <c r="AF257" i="23"/>
  <c r="X257" i="23"/>
  <c r="O257" i="23"/>
  <c r="AF265" i="23"/>
  <c r="W265" i="23"/>
  <c r="X265" i="23"/>
  <c r="K255" i="23"/>
  <c r="J255" i="23"/>
  <c r="G255" i="23"/>
  <c r="H255" i="23"/>
  <c r="I255" i="23" s="1"/>
  <c r="L255" i="23" s="1"/>
  <c r="G263" i="23"/>
  <c r="H263" i="23"/>
  <c r="I263" i="23" s="1"/>
  <c r="J263" i="23"/>
  <c r="K263" i="23"/>
  <c r="G270" i="23"/>
  <c r="H270" i="23"/>
  <c r="I270" i="23" s="1"/>
  <c r="K270" i="23"/>
  <c r="J270" i="23"/>
  <c r="W257" i="23"/>
  <c r="H282" i="23"/>
  <c r="I282" i="23" s="1"/>
  <c r="J282" i="23"/>
  <c r="G282" i="23"/>
  <c r="K282" i="23"/>
  <c r="O255" i="23"/>
  <c r="AV242" i="23"/>
  <c r="BG242" i="23"/>
  <c r="AS242" i="23"/>
  <c r="BE242" i="23"/>
  <c r="BA242" i="23"/>
  <c r="BB242" i="23"/>
  <c r="BC242" i="23"/>
  <c r="AF287" i="23"/>
  <c r="O287" i="23"/>
  <c r="X287" i="23"/>
  <c r="F287" i="23"/>
  <c r="K303" i="23"/>
  <c r="J303" i="23"/>
  <c r="G303" i="23"/>
  <c r="H303" i="23"/>
  <c r="I303" i="23" s="1"/>
  <c r="F331" i="23"/>
  <c r="X331" i="23"/>
  <c r="S331" i="23"/>
  <c r="W331" i="23"/>
  <c r="AF331" i="23"/>
  <c r="H296" i="23"/>
  <c r="J296" i="23"/>
  <c r="K296" i="23"/>
  <c r="G296" i="23"/>
  <c r="I296" i="23"/>
  <c r="O238" i="23"/>
  <c r="F337" i="23"/>
  <c r="X337" i="23"/>
  <c r="AF337" i="23"/>
  <c r="S337" i="23"/>
  <c r="W281" i="23"/>
  <c r="F343" i="23"/>
  <c r="O343" i="23"/>
  <c r="AF343" i="23"/>
  <c r="W343" i="23"/>
  <c r="X343" i="23"/>
  <c r="BB350" i="23"/>
  <c r="BE350" i="23"/>
  <c r="AS350" i="23"/>
  <c r="BC350" i="23"/>
  <c r="BA350" i="23"/>
  <c r="AV350" i="23"/>
  <c r="BG350" i="23"/>
  <c r="AH322" i="23"/>
  <c r="N351" i="23"/>
  <c r="Y351" i="23"/>
  <c r="G335" i="23"/>
  <c r="H335" i="23"/>
  <c r="J335" i="23"/>
  <c r="I335" i="23"/>
  <c r="K335" i="23"/>
  <c r="G290" i="23"/>
  <c r="J290" i="23"/>
  <c r="K290" i="23"/>
  <c r="H290" i="23"/>
  <c r="I290" i="23" s="1"/>
  <c r="L342" i="23"/>
  <c r="AS204" i="23"/>
  <c r="BC204" i="23"/>
  <c r="AV204" i="23"/>
  <c r="BG204" i="23"/>
  <c r="BA204" i="23"/>
  <c r="BE204" i="23"/>
  <c r="BB204" i="23"/>
  <c r="BA222" i="23"/>
  <c r="AS222" i="23"/>
  <c r="BC222" i="23"/>
  <c r="BE222" i="23"/>
  <c r="BB222" i="23"/>
  <c r="BG222" i="23"/>
  <c r="AV222" i="23"/>
  <c r="J204" i="23"/>
  <c r="K204" i="23"/>
  <c r="G204" i="23"/>
  <c r="H204" i="23"/>
  <c r="I204" i="23" s="1"/>
  <c r="G207" i="23"/>
  <c r="H207" i="23"/>
  <c r="I207" i="23" s="1"/>
  <c r="J207" i="23"/>
  <c r="K207" i="23"/>
  <c r="K211" i="23"/>
  <c r="J211" i="23"/>
  <c r="H211" i="23"/>
  <c r="I211" i="23" s="1"/>
  <c r="G211" i="23"/>
  <c r="AF224" i="23"/>
  <c r="F224" i="23"/>
  <c r="W224" i="23"/>
  <c r="O232" i="23"/>
  <c r="AF232" i="23"/>
  <c r="S232" i="23"/>
  <c r="F232" i="23"/>
  <c r="J237" i="23"/>
  <c r="G237" i="23"/>
  <c r="H237" i="23"/>
  <c r="I237" i="23" s="1"/>
  <c r="K237" i="23"/>
  <c r="AH219" i="23"/>
  <c r="AH197" i="23"/>
  <c r="AS219" i="23"/>
  <c r="BG219" i="23"/>
  <c r="BB219" i="23"/>
  <c r="BC219" i="23"/>
  <c r="BE219" i="23"/>
  <c r="BA219" i="23"/>
  <c r="AV219" i="23"/>
  <c r="AH250" i="23"/>
  <c r="BE220" i="23"/>
  <c r="AV220" i="23"/>
  <c r="BG220" i="23"/>
  <c r="AS220" i="23"/>
  <c r="BC220" i="23"/>
  <c r="BB220" i="23"/>
  <c r="BA220" i="23"/>
  <c r="AF266" i="23"/>
  <c r="W266" i="23"/>
  <c r="BE263" i="23"/>
  <c r="BG263" i="23"/>
  <c r="BA263" i="23"/>
  <c r="BB263" i="23"/>
  <c r="BC263" i="23"/>
  <c r="AV263" i="23"/>
  <c r="AS263" i="23"/>
  <c r="BA282" i="23"/>
  <c r="BE282" i="23"/>
  <c r="AV282" i="23"/>
  <c r="BG282" i="23"/>
  <c r="AS282" i="23"/>
  <c r="BC282" i="23"/>
  <c r="BB282" i="23"/>
  <c r="BA255" i="23"/>
  <c r="AS255" i="23"/>
  <c r="BC255" i="23"/>
  <c r="BG255" i="23"/>
  <c r="AV255" i="23"/>
  <c r="BE255" i="23"/>
  <c r="BB255" i="23"/>
  <c r="AH299" i="23"/>
  <c r="AH309" i="23"/>
  <c r="AH208" i="23"/>
  <c r="X238" i="23"/>
  <c r="F289" i="23"/>
  <c r="AV296" i="23"/>
  <c r="BG296" i="23"/>
  <c r="AS296" i="23"/>
  <c r="BE296" i="23"/>
  <c r="BA296" i="23"/>
  <c r="BB296" i="23"/>
  <c r="BC296" i="23"/>
  <c r="AH281" i="23"/>
  <c r="O281" i="23"/>
  <c r="BB308" i="23"/>
  <c r="BG308" i="23"/>
  <c r="AS308" i="23"/>
  <c r="AV308" i="23"/>
  <c r="BE308" i="23"/>
  <c r="BA308" i="23"/>
  <c r="BC308" i="23"/>
  <c r="G339" i="23"/>
  <c r="H339" i="23"/>
  <c r="I339" i="23" s="1"/>
  <c r="L339" i="23" s="1"/>
  <c r="J339" i="23"/>
  <c r="K339" i="23"/>
  <c r="AF360" i="23"/>
  <c r="S360" i="23"/>
  <c r="AV328" i="23"/>
  <c r="BG328" i="23"/>
  <c r="BE328" i="23"/>
  <c r="BC328" i="23"/>
  <c r="AS328" i="23"/>
  <c r="BA328" i="23"/>
  <c r="BB328" i="23"/>
  <c r="N288" i="23"/>
  <c r="Y288" i="23"/>
  <c r="AH298" i="23"/>
  <c r="X322" i="23"/>
  <c r="H301" i="23"/>
  <c r="I301" i="23" s="1"/>
  <c r="J301" i="23"/>
  <c r="K301" i="23"/>
  <c r="G301" i="23"/>
  <c r="G340" i="23"/>
  <c r="H340" i="23"/>
  <c r="I340" i="23" s="1"/>
  <c r="K340" i="23"/>
  <c r="J340" i="23"/>
  <c r="G359" i="23"/>
  <c r="H359" i="23"/>
  <c r="I359" i="23" s="1"/>
  <c r="J359" i="23"/>
  <c r="K359" i="23"/>
  <c r="AF199" i="23"/>
  <c r="S199" i="23"/>
  <c r="F198" i="23"/>
  <c r="AH196" i="23"/>
  <c r="H212" i="23"/>
  <c r="I212" i="23"/>
  <c r="J212" i="23"/>
  <c r="G212" i="23"/>
  <c r="K212" i="23"/>
  <c r="BB213" i="23"/>
  <c r="BA213" i="23"/>
  <c r="BC213" i="23"/>
  <c r="AV213" i="23"/>
  <c r="BE213" i="23"/>
  <c r="AS213" i="23"/>
  <c r="BG213" i="23"/>
  <c r="AF210" i="23"/>
  <c r="O210" i="23"/>
  <c r="AF211" i="23"/>
  <c r="O211" i="23"/>
  <c r="X211" i="23"/>
  <c r="S224" i="23"/>
  <c r="AF221" i="23"/>
  <c r="S221" i="23"/>
  <c r="F221" i="23"/>
  <c r="X246" i="23"/>
  <c r="AF246" i="23"/>
  <c r="S246" i="23"/>
  <c r="F246" i="23"/>
  <c r="H231" i="23"/>
  <c r="I231" i="23" s="1"/>
  <c r="G231" i="23"/>
  <c r="J231" i="23"/>
  <c r="K231" i="23"/>
  <c r="F197" i="23"/>
  <c r="AV234" i="23"/>
  <c r="BG234" i="23"/>
  <c r="BB234" i="23"/>
  <c r="BC234" i="23"/>
  <c r="BE234" i="23"/>
  <c r="BA234" i="23"/>
  <c r="AS234" i="23"/>
  <c r="H252" i="23"/>
  <c r="I252" i="23"/>
  <c r="J252" i="23"/>
  <c r="K252" i="23"/>
  <c r="G252" i="23"/>
  <c r="S266" i="23"/>
  <c r="I262" i="23"/>
  <c r="K262" i="23"/>
  <c r="G262" i="23"/>
  <c r="H262" i="23"/>
  <c r="J262" i="23"/>
  <c r="W255" i="23"/>
  <c r="S265" i="23"/>
  <c r="X282" i="23"/>
  <c r="S282" i="23"/>
  <c r="AF282" i="23"/>
  <c r="G271" i="23"/>
  <c r="H271" i="23"/>
  <c r="I271" i="23" s="1"/>
  <c r="L271" i="23" s="1"/>
  <c r="J271" i="23"/>
  <c r="K271" i="23"/>
  <c r="J312" i="23"/>
  <c r="K312" i="23"/>
  <c r="G312" i="23"/>
  <c r="H312" i="23"/>
  <c r="I312" i="23" s="1"/>
  <c r="F334" i="23"/>
  <c r="X334" i="23"/>
  <c r="AF334" i="23"/>
  <c r="W334" i="23"/>
  <c r="AH314" i="23"/>
  <c r="W238" i="23"/>
  <c r="L269" i="23"/>
  <c r="S281" i="23"/>
  <c r="AS281" i="23"/>
  <c r="BC281" i="23"/>
  <c r="BB281" i="23"/>
  <c r="BE281" i="23"/>
  <c r="BA281" i="23"/>
  <c r="BG281" i="23"/>
  <c r="AV281" i="23"/>
  <c r="G345" i="23"/>
  <c r="J345" i="23"/>
  <c r="K345" i="23"/>
  <c r="H345" i="23"/>
  <c r="I345" i="23"/>
  <c r="H311" i="23"/>
  <c r="G311" i="23"/>
  <c r="K311" i="23"/>
  <c r="I311" i="23"/>
  <c r="J311" i="23"/>
  <c r="AV321" i="23"/>
  <c r="AS321" i="23"/>
  <c r="BE321" i="23"/>
  <c r="BG321" i="23"/>
  <c r="BC321" i="23"/>
  <c r="BA321" i="23"/>
  <c r="BB321" i="23"/>
  <c r="F326" i="23"/>
  <c r="AH290" i="23"/>
  <c r="AS209" i="23"/>
  <c r="BC209" i="23"/>
  <c r="BB209" i="23"/>
  <c r="AV209" i="23"/>
  <c r="BG209" i="23"/>
  <c r="BE209" i="23"/>
  <c r="BA209" i="23"/>
  <c r="X232" i="23"/>
  <c r="J226" i="23"/>
  <c r="H226" i="23"/>
  <c r="I226" i="23" s="1"/>
  <c r="K226" i="23"/>
  <c r="G226" i="23"/>
  <c r="AV237" i="23"/>
  <c r="BG237" i="23"/>
  <c r="BE237" i="23"/>
  <c r="AS237" i="23"/>
  <c r="BA237" i="23"/>
  <c r="BB237" i="23"/>
  <c r="BC237" i="23"/>
  <c r="L196" i="23"/>
  <c r="BA260" i="23"/>
  <c r="AS260" i="23"/>
  <c r="BC260" i="23"/>
  <c r="AV260" i="23"/>
  <c r="BG260" i="23"/>
  <c r="BB260" i="23"/>
  <c r="BE260" i="23"/>
  <c r="AV197" i="23"/>
  <c r="BG197" i="23"/>
  <c r="BE197" i="23"/>
  <c r="BA197" i="23"/>
  <c r="BC197" i="23"/>
  <c r="AS197" i="23"/>
  <c r="BB197" i="23"/>
  <c r="X219" i="23"/>
  <c r="AV248" i="23"/>
  <c r="BG248" i="23"/>
  <c r="AS248" i="23"/>
  <c r="BA248" i="23"/>
  <c r="BB248" i="23"/>
  <c r="BC248" i="23"/>
  <c r="BE248" i="23"/>
  <c r="AH267" i="23"/>
  <c r="H302" i="23"/>
  <c r="I302" i="23" s="1"/>
  <c r="K302" i="23"/>
  <c r="G302" i="23"/>
  <c r="J302" i="23"/>
  <c r="AS254" i="23"/>
  <c r="BC254" i="23"/>
  <c r="BE254" i="23"/>
  <c r="AV254" i="23"/>
  <c r="BG254" i="23"/>
  <c r="BA254" i="23"/>
  <c r="BB254" i="23"/>
  <c r="K254" i="23"/>
  <c r="J254" i="23"/>
  <c r="G254" i="23"/>
  <c r="H254" i="23"/>
  <c r="I254" i="23" s="1"/>
  <c r="AH238" i="23"/>
  <c r="AS336" i="23"/>
  <c r="BC336" i="23"/>
  <c r="BB336" i="23"/>
  <c r="BE336" i="23"/>
  <c r="BA336" i="23"/>
  <c r="AV336" i="23"/>
  <c r="BG336" i="23"/>
  <c r="BG289" i="23"/>
  <c r="AV289" i="23"/>
  <c r="AS289" i="23"/>
  <c r="BE289" i="23"/>
  <c r="BA289" i="23"/>
  <c r="BB289" i="23"/>
  <c r="BC289" i="23"/>
  <c r="G350" i="23"/>
  <c r="H350" i="23"/>
  <c r="I350" i="23"/>
  <c r="J350" i="23"/>
  <c r="K350" i="23"/>
  <c r="I344" i="23"/>
  <c r="G344" i="23"/>
  <c r="H344" i="23"/>
  <c r="J344" i="23"/>
  <c r="K344" i="23"/>
  <c r="AV338" i="23"/>
  <c r="BG338" i="23"/>
  <c r="BE338" i="23"/>
  <c r="BA338" i="23"/>
  <c r="BB338" i="23"/>
  <c r="BC338" i="23"/>
  <c r="AS338" i="23"/>
  <c r="G355" i="23"/>
  <c r="K355" i="23"/>
  <c r="H355" i="23"/>
  <c r="I355" i="23" s="1"/>
  <c r="J355" i="23"/>
  <c r="N325" i="23"/>
  <c r="Y325" i="23"/>
  <c r="AH326" i="23"/>
  <c r="W326" i="23"/>
  <c r="BB340" i="23"/>
  <c r="AS340" i="23"/>
  <c r="BC340" i="23"/>
  <c r="BE340" i="23"/>
  <c r="BA340" i="23"/>
  <c r="BG340" i="23"/>
  <c r="AV340" i="23"/>
  <c r="F322" i="23"/>
  <c r="S198" i="23"/>
  <c r="O198" i="23"/>
  <c r="BB206" i="23"/>
  <c r="BC206" i="23"/>
  <c r="BE206" i="23"/>
  <c r="AS206" i="23"/>
  <c r="BA206" i="23"/>
  <c r="BG206" i="23"/>
  <c r="AV206" i="23"/>
  <c r="G213" i="23"/>
  <c r="H213" i="23"/>
  <c r="I213" i="23" s="1"/>
  <c r="J213" i="23"/>
  <c r="K213" i="23"/>
  <c r="K210" i="23"/>
  <c r="J210" i="23"/>
  <c r="G210" i="23"/>
  <c r="H210" i="23"/>
  <c r="I210" i="23" s="1"/>
  <c r="AH212" i="23"/>
  <c r="J201" i="23"/>
  <c r="K201" i="23"/>
  <c r="H201" i="23"/>
  <c r="I201" i="23" s="1"/>
  <c r="G201" i="23"/>
  <c r="O251" i="23"/>
  <c r="W251" i="23"/>
  <c r="AF251" i="23"/>
  <c r="S251" i="23"/>
  <c r="F251" i="23"/>
  <c r="AS221" i="23"/>
  <c r="BC221" i="23"/>
  <c r="BE221" i="23"/>
  <c r="BA221" i="23"/>
  <c r="AV221" i="23"/>
  <c r="BG221" i="23"/>
  <c r="BB221" i="23"/>
  <c r="G203" i="23"/>
  <c r="K203" i="23"/>
  <c r="J203" i="23"/>
  <c r="H203" i="23"/>
  <c r="I203" i="23" s="1"/>
  <c r="BE251" i="23"/>
  <c r="AV251" i="23"/>
  <c r="BG251" i="23"/>
  <c r="AS251" i="23"/>
  <c r="BC251" i="23"/>
  <c r="BA251" i="23"/>
  <c r="BB251" i="23"/>
  <c r="AF249" i="23"/>
  <c r="O249" i="23"/>
  <c r="BB249" i="23"/>
  <c r="BA249" i="23"/>
  <c r="AV249" i="23"/>
  <c r="BC249" i="23"/>
  <c r="BE249" i="23"/>
  <c r="AS249" i="23"/>
  <c r="BG249" i="23"/>
  <c r="BB244" i="23"/>
  <c r="AS244" i="23"/>
  <c r="BC244" i="23"/>
  <c r="BE244" i="23"/>
  <c r="BG244" i="23"/>
  <c r="BA244" i="23"/>
  <c r="AV244" i="23"/>
  <c r="W219" i="23"/>
  <c r="AH237" i="23"/>
  <c r="G243" i="23"/>
  <c r="J243" i="23"/>
  <c r="K243" i="23"/>
  <c r="H243" i="23"/>
  <c r="I243" i="23" s="1"/>
  <c r="AH253" i="23"/>
  <c r="O294" i="23"/>
  <c r="F294" i="23"/>
  <c r="X294" i="23"/>
  <c r="AF294" i="23"/>
  <c r="J305" i="23"/>
  <c r="K305" i="23"/>
  <c r="G305" i="23"/>
  <c r="H305" i="23"/>
  <c r="I305" i="23" s="1"/>
  <c r="AF261" i="23"/>
  <c r="S261" i="23"/>
  <c r="AS271" i="23"/>
  <c r="BC271" i="23"/>
  <c r="BB271" i="23"/>
  <c r="AV271" i="23"/>
  <c r="BG271" i="23"/>
  <c r="BA271" i="23"/>
  <c r="BE271" i="23"/>
  <c r="AF289" i="23"/>
  <c r="W289" i="23"/>
  <c r="AV283" i="23"/>
  <c r="BG283" i="23"/>
  <c r="BE283" i="23"/>
  <c r="BC283" i="23"/>
  <c r="AS283" i="23"/>
  <c r="BA283" i="23"/>
  <c r="BB283" i="23"/>
  <c r="H323" i="23"/>
  <c r="I323" i="23" s="1"/>
  <c r="G323" i="23"/>
  <c r="K323" i="23"/>
  <c r="J323" i="23"/>
  <c r="AH293" i="23"/>
  <c r="J298" i="23"/>
  <c r="K298" i="23"/>
  <c r="G298" i="23"/>
  <c r="H298" i="23"/>
  <c r="I298" i="23" s="1"/>
  <c r="H277" i="23"/>
  <c r="I277" i="23" s="1"/>
  <c r="J277" i="23"/>
  <c r="G277" i="23"/>
  <c r="K277" i="23"/>
  <c r="AH262" i="23"/>
  <c r="S289" i="23"/>
  <c r="O331" i="23"/>
  <c r="G354" i="23"/>
  <c r="H354" i="23"/>
  <c r="I354" i="23" s="1"/>
  <c r="J354" i="23"/>
  <c r="K354" i="23"/>
  <c r="BB345" i="23"/>
  <c r="AS345" i="23"/>
  <c r="BC345" i="23"/>
  <c r="BE345" i="23"/>
  <c r="BA345" i="23"/>
  <c r="BG345" i="23"/>
  <c r="AV345" i="23"/>
  <c r="N361" i="23"/>
  <c r="Y361" i="23"/>
  <c r="BE339" i="23"/>
  <c r="AV339" i="23"/>
  <c r="BG339" i="23"/>
  <c r="AS339" i="23"/>
  <c r="BC339" i="23"/>
  <c r="BA339" i="23"/>
  <c r="BB339" i="23"/>
  <c r="F360" i="23"/>
  <c r="AV311" i="23"/>
  <c r="AS311" i="23"/>
  <c r="BG311" i="23"/>
  <c r="BC311" i="23"/>
  <c r="BA311" i="23"/>
  <c r="BB311" i="23"/>
  <c r="BE311" i="23"/>
  <c r="G304" i="23"/>
  <c r="H304" i="23"/>
  <c r="I304" i="23"/>
  <c r="K304" i="23"/>
  <c r="J304" i="23"/>
  <c r="I349" i="23"/>
  <c r="G349" i="23"/>
  <c r="H349" i="23"/>
  <c r="J349" i="23"/>
  <c r="K349" i="23"/>
  <c r="L353" i="23"/>
  <c r="BE359" i="23"/>
  <c r="AV359" i="23"/>
  <c r="AS359" i="23"/>
  <c r="BC359" i="23"/>
  <c r="BA359" i="23"/>
  <c r="BB359" i="23"/>
  <c r="BG359" i="23"/>
  <c r="F199" i="23"/>
  <c r="BE198" i="23"/>
  <c r="AV198" i="23"/>
  <c r="AS198" i="23"/>
  <c r="BC198" i="23"/>
  <c r="BB198" i="23"/>
  <c r="BG198" i="23"/>
  <c r="BA198" i="23"/>
  <c r="G208" i="23"/>
  <c r="H208" i="23"/>
  <c r="J208" i="23"/>
  <c r="K208" i="23"/>
  <c r="I208" i="23"/>
  <c r="F222" i="23"/>
  <c r="S222" i="23"/>
  <c r="AF222" i="23"/>
  <c r="S210" i="23"/>
  <c r="X224" i="23"/>
  <c r="X251" i="23"/>
  <c r="X221" i="23"/>
  <c r="W217" i="23"/>
  <c r="F258" i="23"/>
  <c r="W258" i="23"/>
  <c r="X258" i="23"/>
  <c r="AF258" i="23"/>
  <c r="AF260" i="23"/>
  <c r="S260" i="23"/>
  <c r="F260" i="23"/>
  <c r="G234" i="23"/>
  <c r="H234" i="23"/>
  <c r="I234" i="23" s="1"/>
  <c r="J234" i="23"/>
  <c r="K234" i="23"/>
  <c r="G225" i="23"/>
  <c r="I225" i="23"/>
  <c r="K225" i="23"/>
  <c r="J225" i="23"/>
  <c r="H225" i="23"/>
  <c r="BG257" i="23"/>
  <c r="BA257" i="23"/>
  <c r="BB257" i="23"/>
  <c r="BC257" i="23"/>
  <c r="AV257" i="23"/>
  <c r="AS257" i="23"/>
  <c r="BE257" i="23"/>
  <c r="W294" i="23"/>
  <c r="H307" i="23"/>
  <c r="G307" i="23"/>
  <c r="I307" i="23"/>
  <c r="J307" i="23"/>
  <c r="K307" i="23"/>
  <c r="AF254" i="23"/>
  <c r="S254" i="23"/>
  <c r="BE280" i="23"/>
  <c r="BA280" i="23"/>
  <c r="BB280" i="23"/>
  <c r="BC280" i="23"/>
  <c r="AV280" i="23"/>
  <c r="AS280" i="23"/>
  <c r="BG280" i="23"/>
  <c r="AF271" i="23"/>
  <c r="W271" i="23"/>
  <c r="AH272" i="23"/>
  <c r="O334" i="23"/>
  <c r="AH279" i="23"/>
  <c r="N272" i="23"/>
  <c r="Y272" i="23"/>
  <c r="BF272" i="23" s="1"/>
  <c r="AH277" i="23"/>
  <c r="K223" i="23"/>
  <c r="G223" i="23"/>
  <c r="H223" i="23"/>
  <c r="I223" i="23" s="1"/>
  <c r="J223" i="23"/>
  <c r="BE295" i="23"/>
  <c r="AV295" i="23"/>
  <c r="BG295" i="23"/>
  <c r="AS295" i="23"/>
  <c r="BA295" i="23"/>
  <c r="BB295" i="23"/>
  <c r="BC295" i="23"/>
  <c r="AS331" i="23"/>
  <c r="BC331" i="23"/>
  <c r="AV331" i="23"/>
  <c r="BG331" i="23"/>
  <c r="BA331" i="23"/>
  <c r="BB331" i="23"/>
  <c r="BE331" i="23"/>
  <c r="BE317" i="23"/>
  <c r="AS317" i="23"/>
  <c r="BG317" i="23"/>
  <c r="BC317" i="23"/>
  <c r="AV317" i="23"/>
  <c r="BA317" i="23"/>
  <c r="BB317" i="23"/>
  <c r="X326" i="23"/>
  <c r="BB360" i="23"/>
  <c r="AS360" i="23"/>
  <c r="BC360" i="23"/>
  <c r="BA360" i="23"/>
  <c r="BG360" i="23"/>
  <c r="AV360" i="23"/>
  <c r="BE360" i="23"/>
  <c r="W328" i="23"/>
  <c r="AF328" i="23"/>
  <c r="H321" i="23"/>
  <c r="I321" i="23" s="1"/>
  <c r="G321" i="23"/>
  <c r="K321" i="23"/>
  <c r="J321" i="23"/>
  <c r="S350" i="23"/>
  <c r="AF350" i="23"/>
  <c r="BE344" i="23"/>
  <c r="BG344" i="23"/>
  <c r="AV344" i="23"/>
  <c r="AS344" i="23"/>
  <c r="BC344" i="23"/>
  <c r="BB344" i="23"/>
  <c r="BA344" i="23"/>
  <c r="L358" i="23"/>
  <c r="L356" i="23"/>
  <c r="O199" i="23"/>
  <c r="AH200" i="23"/>
  <c r="BA210" i="23"/>
  <c r="BE210" i="23"/>
  <c r="BG210" i="23"/>
  <c r="AV210" i="23"/>
  <c r="AS210" i="23"/>
  <c r="BB210" i="23"/>
  <c r="BC210" i="23"/>
  <c r="AV211" i="23"/>
  <c r="BG211" i="23"/>
  <c r="AS211" i="23"/>
  <c r="BB211" i="23"/>
  <c r="BC211" i="23"/>
  <c r="BE211" i="23"/>
  <c r="W221" i="23"/>
  <c r="H227" i="23"/>
  <c r="I227" i="23"/>
  <c r="J227" i="23"/>
  <c r="G227" i="23"/>
  <c r="K227" i="23"/>
  <c r="O258" i="23"/>
  <c r="J215" i="23"/>
  <c r="K215" i="23"/>
  <c r="H215" i="23"/>
  <c r="I215" i="23"/>
  <c r="L215" i="23" s="1"/>
  <c r="G215" i="23"/>
  <c r="AS259" i="23"/>
  <c r="BC259" i="23"/>
  <c r="BE259" i="23"/>
  <c r="BG259" i="23"/>
  <c r="AV259" i="23"/>
  <c r="BA259" i="23"/>
  <c r="BB259" i="23"/>
  <c r="AS231" i="23"/>
  <c r="BC231" i="23"/>
  <c r="AV231" i="23"/>
  <c r="BG231" i="23"/>
  <c r="BB231" i="23"/>
  <c r="BE231" i="23"/>
  <c r="BA231" i="23"/>
  <c r="W197" i="23"/>
  <c r="X234" i="23"/>
  <c r="AF234" i="23"/>
  <c r="F219" i="23"/>
  <c r="S249" i="23"/>
  <c r="BE243" i="23"/>
  <c r="AS243" i="23"/>
  <c r="BG243" i="23"/>
  <c r="AV243" i="23"/>
  <c r="BC243" i="23"/>
  <c r="BA243" i="23"/>
  <c r="BB243" i="23"/>
  <c r="AS291" i="23"/>
  <c r="BC291" i="23"/>
  <c r="BE291" i="23"/>
  <c r="AV291" i="23"/>
  <c r="BG291" i="23"/>
  <c r="BB291" i="23"/>
  <c r="BA291" i="23"/>
  <c r="F266" i="23"/>
  <c r="S294" i="23"/>
  <c r="F261" i="23"/>
  <c r="H297" i="23"/>
  <c r="I297" i="23" s="1"/>
  <c r="K297" i="23"/>
  <c r="J297" i="23"/>
  <c r="G297" i="23"/>
  <c r="S323" i="23"/>
  <c r="O323" i="23"/>
  <c r="W323" i="23"/>
  <c r="AF323" i="23"/>
  <c r="J274" i="23"/>
  <c r="G274" i="23"/>
  <c r="H274" i="23"/>
  <c r="I274" i="23" s="1"/>
  <c r="K274" i="23"/>
  <c r="BB235" i="23"/>
  <c r="BA235" i="23"/>
  <c r="BC235" i="23"/>
  <c r="BE235" i="23"/>
  <c r="AV235" i="23"/>
  <c r="BG235" i="23"/>
  <c r="AS235" i="23"/>
  <c r="H292" i="23"/>
  <c r="I292" i="23" s="1"/>
  <c r="L292" i="23" s="1"/>
  <c r="K292" i="23"/>
  <c r="J292" i="23"/>
  <c r="G292" i="23"/>
  <c r="AH352" i="23"/>
  <c r="S334" i="23"/>
  <c r="F281" i="23"/>
  <c r="O326" i="23"/>
  <c r="O360" i="23"/>
  <c r="AH286" i="23"/>
  <c r="BB355" i="23"/>
  <c r="AS355" i="23"/>
  <c r="BC355" i="23"/>
  <c r="BE355" i="23"/>
  <c r="BA355" i="23"/>
  <c r="AV355" i="23"/>
  <c r="BG355" i="23"/>
  <c r="BE335" i="23"/>
  <c r="BA335" i="23"/>
  <c r="BG335" i="23"/>
  <c r="AS335" i="23"/>
  <c r="AV335" i="23"/>
  <c r="BB335" i="23"/>
  <c r="BC335" i="23"/>
  <c r="O308" i="23"/>
  <c r="BB199" i="23"/>
  <c r="AS199" i="23"/>
  <c r="BC199" i="23"/>
  <c r="BA199" i="23"/>
  <c r="AV199" i="23"/>
  <c r="BE199" i="23"/>
  <c r="BG199" i="23"/>
  <c r="K206" i="23"/>
  <c r="J206" i="23"/>
  <c r="G206" i="23"/>
  <c r="H206" i="23"/>
  <c r="I206" i="23" s="1"/>
  <c r="AH214" i="23"/>
  <c r="X210" i="23"/>
  <c r="W226" i="23"/>
  <c r="G239" i="23"/>
  <c r="H239" i="23"/>
  <c r="I239" i="23" s="1"/>
  <c r="J239" i="23"/>
  <c r="K239" i="23"/>
  <c r="BE203" i="23"/>
  <c r="BB203" i="23"/>
  <c r="BC203" i="23"/>
  <c r="AS203" i="23"/>
  <c r="BG203" i="23"/>
  <c r="AV203" i="23"/>
  <c r="BA203" i="23"/>
  <c r="F217" i="23"/>
  <c r="AH215" i="23"/>
  <c r="W234" i="23"/>
  <c r="F249" i="23"/>
  <c r="X197" i="23"/>
  <c r="O234" i="23"/>
  <c r="X249" i="23"/>
  <c r="AH225" i="23"/>
  <c r="S255" i="23"/>
  <c r="O216" i="23"/>
  <c r="H247" i="23"/>
  <c r="I247" i="23"/>
  <c r="K247" i="23"/>
  <c r="J247" i="23"/>
  <c r="G247" i="23"/>
  <c r="K278" i="23"/>
  <c r="G278" i="23"/>
  <c r="J278" i="23"/>
  <c r="H278" i="23"/>
  <c r="I278" i="23" s="1"/>
  <c r="S216" i="23"/>
  <c r="F216" i="23"/>
  <c r="S225" i="23"/>
  <c r="F257" i="23"/>
  <c r="F265" i="23"/>
  <c r="O266" i="23"/>
  <c r="W242" i="23"/>
  <c r="S271" i="23"/>
  <c r="AH295" i="23"/>
  <c r="F276" i="23"/>
  <c r="O327" i="23"/>
  <c r="X327" i="23"/>
  <c r="AF327" i="23"/>
  <c r="S327" i="23"/>
  <c r="F327" i="23"/>
  <c r="O277" i="23"/>
  <c r="L279" i="23"/>
  <c r="O289" i="23"/>
  <c r="S295" i="23"/>
  <c r="BE354" i="23"/>
  <c r="BG354" i="23"/>
  <c r="AV354" i="23"/>
  <c r="AS354" i="23"/>
  <c r="BC354" i="23"/>
  <c r="BA354" i="23"/>
  <c r="BB354" i="23"/>
  <c r="S345" i="23"/>
  <c r="AF345" i="23"/>
  <c r="X360" i="23"/>
  <c r="L319" i="23"/>
  <c r="S332" i="23"/>
  <c r="W286" i="23"/>
  <c r="F286" i="23"/>
  <c r="AH304" i="23"/>
  <c r="X355" i="23"/>
  <c r="BE349" i="23"/>
  <c r="AV349" i="23"/>
  <c r="BG349" i="23"/>
  <c r="AS349" i="23"/>
  <c r="BC349" i="23"/>
  <c r="BA349" i="23"/>
  <c r="BB349" i="23"/>
  <c r="AF340" i="23"/>
  <c r="S340" i="23"/>
  <c r="AH195" i="23"/>
  <c r="X199" i="23"/>
  <c r="O205" i="23"/>
  <c r="AF205" i="23"/>
  <c r="X205" i="23"/>
  <c r="F205" i="23"/>
  <c r="AH207" i="23"/>
  <c r="S211" i="23"/>
  <c r="O226" i="23"/>
  <c r="AF227" i="23"/>
  <c r="O227" i="23"/>
  <c r="K253" i="23"/>
  <c r="J253" i="23"/>
  <c r="H253" i="23"/>
  <c r="I253" i="23" s="1"/>
  <c r="G253" i="23"/>
  <c r="AH202" i="23"/>
  <c r="W249" i="23"/>
  <c r="S197" i="23"/>
  <c r="AF220" i="23"/>
  <c r="W220" i="23"/>
  <c r="X220" i="23"/>
  <c r="X248" i="23"/>
  <c r="F248" i="23"/>
  <c r="AF263" i="23"/>
  <c r="W263" i="23"/>
  <c r="X263" i="23"/>
  <c r="BE225" i="23"/>
  <c r="BA225" i="23"/>
  <c r="BB225" i="23"/>
  <c r="BG225" i="23"/>
  <c r="AS225" i="23"/>
  <c r="AV225" i="23"/>
  <c r="BC225" i="23"/>
  <c r="W256" i="23"/>
  <c r="AH216" i="23"/>
  <c r="X255" i="23"/>
  <c r="S257" i="23"/>
  <c r="O265" i="23"/>
  <c r="AS266" i="23"/>
  <c r="BC266" i="23"/>
  <c r="BE266" i="23"/>
  <c r="BB266" i="23"/>
  <c r="AV266" i="23"/>
  <c r="BA266" i="23"/>
  <c r="BG266" i="23"/>
  <c r="AH242" i="23"/>
  <c r="S242" i="23"/>
  <c r="AF280" i="23"/>
  <c r="W280" i="23"/>
  <c r="X280" i="23"/>
  <c r="O280" i="23"/>
  <c r="BA261" i="23"/>
  <c r="AS261" i="23"/>
  <c r="BE261" i="23"/>
  <c r="BG261" i="23"/>
  <c r="AV261" i="23"/>
  <c r="BB261" i="23"/>
  <c r="BC261" i="23"/>
  <c r="S287" i="23"/>
  <c r="O261" i="23"/>
  <c r="X271" i="23"/>
  <c r="S296" i="23"/>
  <c r="AF296" i="23"/>
  <c r="O296" i="23"/>
  <c r="AH276" i="23"/>
  <c r="O276" i="23"/>
  <c r="BA337" i="23"/>
  <c r="BE337" i="23"/>
  <c r="AV337" i="23"/>
  <c r="BG337" i="23"/>
  <c r="AS337" i="23"/>
  <c r="BC337" i="23"/>
  <c r="BB337" i="23"/>
  <c r="J235" i="23"/>
  <c r="K235" i="23"/>
  <c r="H235" i="23"/>
  <c r="I235" i="23" s="1"/>
  <c r="G235" i="23"/>
  <c r="AH244" i="23"/>
  <c r="AF292" i="23"/>
  <c r="S292" i="23"/>
  <c r="O292" i="23"/>
  <c r="BE238" i="23"/>
  <c r="AV238" i="23"/>
  <c r="AS238" i="23"/>
  <c r="BG238" i="23"/>
  <c r="BA238" i="23"/>
  <c r="BB238" i="23"/>
  <c r="BC238" i="23"/>
  <c r="X281" i="23"/>
  <c r="F317" i="23"/>
  <c r="F328" i="23"/>
  <c r="G329" i="23"/>
  <c r="H329" i="23"/>
  <c r="I329" i="23" s="1"/>
  <c r="J329" i="23"/>
  <c r="K329" i="23"/>
  <c r="W332" i="23"/>
  <c r="O286" i="23"/>
  <c r="W355" i="23"/>
  <c r="AH336" i="23"/>
  <c r="BC322" i="23"/>
  <c r="BA322" i="23"/>
  <c r="BB322" i="23"/>
  <c r="BE322" i="23"/>
  <c r="AS322" i="23"/>
  <c r="AV322" i="23"/>
  <c r="BG322" i="23"/>
  <c r="K152" i="20"/>
  <c r="H152" i="20"/>
  <c r="I152" i="20" a="1"/>
  <c r="I152" i="20" s="1"/>
  <c r="J152" i="20"/>
  <c r="K126" i="20"/>
  <c r="H122" i="20"/>
  <c r="I122" i="20" a="1"/>
  <c r="I122" i="20" s="1"/>
  <c r="J92" i="20"/>
  <c r="H66" i="20"/>
  <c r="I51" i="20" a="1"/>
  <c r="I51" i="20" s="1"/>
  <c r="H51" i="20"/>
  <c r="I46" i="20" a="1"/>
  <c r="I46" i="20" s="1"/>
  <c r="J46" i="20"/>
  <c r="K46" i="20"/>
  <c r="H21" i="20"/>
  <c r="I6" i="20" a="1"/>
  <c r="I6" i="20" s="1"/>
  <c r="K100" i="20"/>
  <c r="J100" i="20"/>
  <c r="J45" i="20"/>
  <c r="J39" i="20"/>
  <c r="K39" i="20"/>
  <c r="K12" i="20"/>
  <c r="J12" i="20"/>
  <c r="K9" i="20"/>
  <c r="J9" i="20"/>
  <c r="J81" i="20"/>
  <c r="I81" i="20" a="1"/>
  <c r="I81" i="20" s="1"/>
  <c r="K81" i="20"/>
  <c r="H81" i="20"/>
  <c r="J14" i="20"/>
  <c r="K14" i="20"/>
  <c r="I114" i="20" a="1"/>
  <c r="I114" i="20" s="1"/>
  <c r="K114" i="20"/>
  <c r="J114" i="20"/>
  <c r="J108" i="20"/>
  <c r="K95" i="20"/>
  <c r="J95" i="20"/>
  <c r="J170" i="20"/>
  <c r="K170" i="20"/>
  <c r="I170" i="20" a="1"/>
  <c r="I170" i="20" s="1"/>
  <c r="H184" i="20"/>
  <c r="I184" i="20" a="1"/>
  <c r="I184" i="20" s="1"/>
  <c r="K149" i="20"/>
  <c r="J149" i="20"/>
  <c r="K168" i="20"/>
  <c r="H168" i="20"/>
  <c r="I168" i="20" a="1"/>
  <c r="I168" i="20" s="1"/>
  <c r="J168" i="20"/>
  <c r="K143" i="20"/>
  <c r="J143" i="20"/>
  <c r="I143" i="20" a="1"/>
  <c r="I143" i="20" s="1"/>
  <c r="I87" i="20" a="1"/>
  <c r="I87" i="20" s="1"/>
  <c r="K87" i="20"/>
  <c r="J87" i="20"/>
  <c r="I138" i="20" a="1"/>
  <c r="I138" i="20" s="1"/>
  <c r="J138" i="20"/>
  <c r="K138" i="20"/>
  <c r="H138" i="20"/>
  <c r="J155" i="20"/>
  <c r="I155" i="20" a="1"/>
  <c r="I155" i="20" s="1"/>
  <c r="K155" i="20"/>
  <c r="I176" i="20" a="1"/>
  <c r="I176" i="20" s="1"/>
  <c r="I113" i="20" a="1"/>
  <c r="I113" i="20" s="1"/>
  <c r="J113" i="20"/>
  <c r="K113" i="20"/>
  <c r="I34" i="20" a="1"/>
  <c r="I34" i="20" s="1"/>
  <c r="J66" i="20"/>
  <c r="I39" i="20" a="1"/>
  <c r="I39" i="20" s="1"/>
  <c r="I37" i="20" a="1"/>
  <c r="I37" i="20" s="1"/>
  <c r="H37" i="20"/>
  <c r="H34" i="20"/>
  <c r="K6" i="20"/>
  <c r="H137" i="20"/>
  <c r="I137" i="20" a="1"/>
  <c r="I137" i="20" s="1"/>
  <c r="J137" i="20"/>
  <c r="K137" i="20"/>
  <c r="K123" i="20"/>
  <c r="I123" i="20" a="1"/>
  <c r="I123" i="20" s="1"/>
  <c r="J123" i="20"/>
  <c r="H123" i="20"/>
  <c r="I163" i="20" a="1"/>
  <c r="I163" i="20" s="1"/>
  <c r="J163" i="20"/>
  <c r="K163" i="20"/>
  <c r="K122" i="20"/>
  <c r="K63" i="20"/>
  <c r="J63" i="20"/>
  <c r="I149" i="20" a="1"/>
  <c r="I149" i="20" s="1"/>
  <c r="K146" i="20"/>
  <c r="J146" i="20"/>
  <c r="I146" i="20" a="1"/>
  <c r="I146" i="20" s="1"/>
  <c r="J122" i="20"/>
  <c r="K92" i="20"/>
  <c r="K78" i="20"/>
  <c r="I78" i="20" a="1"/>
  <c r="I78" i="20" s="1"/>
  <c r="J78" i="20"/>
  <c r="H78" i="20"/>
  <c r="J70" i="20"/>
  <c r="K70" i="20"/>
  <c r="I66" i="20" a="1"/>
  <c r="I66" i="20" s="1"/>
  <c r="K47" i="20"/>
  <c r="H47" i="20"/>
  <c r="H39" i="20"/>
  <c r="J6" i="20"/>
  <c r="J98" i="20"/>
  <c r="I98" i="20" a="1"/>
  <c r="I98" i="20" s="1"/>
  <c r="K98" i="20"/>
  <c r="I59" i="20" a="1"/>
  <c r="I59" i="20" s="1"/>
  <c r="J59" i="20"/>
  <c r="K179" i="20"/>
  <c r="I179" i="20" a="1"/>
  <c r="I179" i="20" s="1"/>
  <c r="J179" i="20"/>
  <c r="I160" i="20" a="1"/>
  <c r="I160" i="20" s="1"/>
  <c r="J160" i="20"/>
  <c r="K160" i="20"/>
  <c r="K157" i="20"/>
  <c r="H105" i="20"/>
  <c r="I105" i="20" a="1"/>
  <c r="I105" i="20" s="1"/>
  <c r="H93" i="20"/>
  <c r="I93" i="20" a="1"/>
  <c r="I93" i="20" s="1"/>
  <c r="E60" i="23"/>
  <c r="E61" i="23"/>
  <c r="E96" i="23"/>
  <c r="B16" i="21"/>
  <c r="E12" i="23"/>
  <c r="E32" i="23"/>
  <c r="E105" i="23"/>
  <c r="B12" i="21"/>
  <c r="G16" i="21" a="1"/>
  <c r="G16" i="21" s="1"/>
  <c r="E117" i="23"/>
  <c r="E145" i="23"/>
  <c r="E17" i="23"/>
  <c r="E23" i="23"/>
  <c r="E42" i="23"/>
  <c r="E49" i="23"/>
  <c r="E107" i="23"/>
  <c r="E39" i="23"/>
  <c r="E79" i="23"/>
  <c r="E164" i="23"/>
  <c r="E190" i="23"/>
  <c r="E108" i="23"/>
  <c r="E119" i="23"/>
  <c r="E24" i="23"/>
  <c r="E65" i="23"/>
  <c r="E11" i="23"/>
  <c r="E25" i="23"/>
  <c r="E10" i="23"/>
  <c r="E80" i="23"/>
  <c r="E93" i="23"/>
  <c r="E159" i="23"/>
  <c r="E173" i="23"/>
  <c r="E97" i="23"/>
  <c r="E165" i="23"/>
  <c r="E181" i="23"/>
  <c r="E147" i="23"/>
  <c r="G7" i="21"/>
  <c r="AT25" i="21" s="1"/>
  <c r="E139" i="23"/>
  <c r="E162" i="23"/>
  <c r="E163" i="23"/>
  <c r="E127" i="23"/>
  <c r="E92" i="23"/>
  <c r="E109" i="23"/>
  <c r="E115" i="23"/>
  <c r="E150" i="23"/>
  <c r="E52" i="23"/>
  <c r="E125" i="23"/>
  <c r="E58" i="23"/>
  <c r="E126" i="23"/>
  <c r="E194" i="23"/>
  <c r="I55" i="20" a="1"/>
  <c r="I55" i="20" s="1"/>
  <c r="H55" i="20"/>
  <c r="AB208" i="21"/>
  <c r="AH207" i="21"/>
  <c r="T207" i="21"/>
  <c r="AJ198" i="21"/>
  <c r="S198" i="21"/>
  <c r="D198" i="21"/>
  <c r="Z197" i="21"/>
  <c r="B180" i="24"/>
  <c r="E180" i="23"/>
  <c r="D180" i="23"/>
  <c r="C180" i="24" s="1"/>
  <c r="AD180" i="23"/>
  <c r="B174" i="24"/>
  <c r="R174" i="24" s="1"/>
  <c r="AT174" i="23"/>
  <c r="AB174" i="23"/>
  <c r="AU174" i="23"/>
  <c r="D174" i="23"/>
  <c r="C174" i="24" s="1"/>
  <c r="E174" i="23"/>
  <c r="C174" i="23"/>
  <c r="S174" i="23" s="1"/>
  <c r="F184" i="23"/>
  <c r="D175" i="24"/>
  <c r="BE175" i="23"/>
  <c r="BG175" i="23"/>
  <c r="BC175" i="23"/>
  <c r="H197" i="21"/>
  <c r="R197" i="21"/>
  <c r="AB197" i="21"/>
  <c r="AV175" i="23"/>
  <c r="F197" i="21"/>
  <c r="Q197" i="21"/>
  <c r="AC197" i="21"/>
  <c r="G197" i="21"/>
  <c r="S197" i="21"/>
  <c r="AD197" i="21"/>
  <c r="AS175" i="23"/>
  <c r="I197" i="21"/>
  <c r="T197" i="21"/>
  <c r="AE197" i="21"/>
  <c r="BA125" i="24"/>
  <c r="E125" i="24"/>
  <c r="F125" i="24" s="1"/>
  <c r="BB125" i="24"/>
  <c r="AB125" i="24"/>
  <c r="AC125" i="24" s="1"/>
  <c r="AY125" i="24"/>
  <c r="AZ125" i="24" s="1"/>
  <c r="AD125" i="24"/>
  <c r="AE125" i="24"/>
  <c r="G125" i="24"/>
  <c r="H125" i="24"/>
  <c r="G125" i="23"/>
  <c r="K125" i="23"/>
  <c r="D185" i="24"/>
  <c r="I207" i="21"/>
  <c r="S207" i="21"/>
  <c r="AC207" i="21"/>
  <c r="BC185" i="23"/>
  <c r="BE185" i="23"/>
  <c r="E207" i="21"/>
  <c r="P207" i="21"/>
  <c r="AA207" i="21"/>
  <c r="AV185" i="23"/>
  <c r="F207" i="21"/>
  <c r="Q207" i="21"/>
  <c r="AB207" i="21"/>
  <c r="BG185" i="23"/>
  <c r="G207" i="21"/>
  <c r="R207" i="21"/>
  <c r="AD207" i="21"/>
  <c r="AS185" i="23"/>
  <c r="B155" i="24"/>
  <c r="AU155" i="23"/>
  <c r="C155" i="23"/>
  <c r="AF155" i="23" s="1"/>
  <c r="W184" i="23"/>
  <c r="BA176" i="23"/>
  <c r="AS176" i="23"/>
  <c r="D176" i="24"/>
  <c r="H198" i="21"/>
  <c r="R198" i="21"/>
  <c r="AB198" i="21"/>
  <c r="AV176" i="23"/>
  <c r="AW176" i="23" s="1"/>
  <c r="K198" i="21"/>
  <c r="AX198" i="21" s="1"/>
  <c r="V198" i="21"/>
  <c r="AG198" i="21"/>
  <c r="AQ198" i="21" s="1"/>
  <c r="A198" i="21"/>
  <c r="L198" i="21"/>
  <c r="W198" i="21"/>
  <c r="AH198" i="21"/>
  <c r="B198" i="21"/>
  <c r="M198" i="21"/>
  <c r="X198" i="21"/>
  <c r="AI198" i="21"/>
  <c r="AW198" i="21" s="1"/>
  <c r="BC176" i="23"/>
  <c r="BE176" i="23"/>
  <c r="C14" i="22"/>
  <c r="BA186" i="23"/>
  <c r="D186" i="24"/>
  <c r="A208" i="21"/>
  <c r="AV208" i="21" s="1"/>
  <c r="K208" i="21"/>
  <c r="AX208" i="21" s="1"/>
  <c r="U208" i="21"/>
  <c r="AE208" i="21"/>
  <c r="AS186" i="23"/>
  <c r="AV186" i="23"/>
  <c r="BG186" i="23"/>
  <c r="L208" i="21"/>
  <c r="W208" i="21"/>
  <c r="AH208" i="21"/>
  <c r="B208" i="21"/>
  <c r="M208" i="21"/>
  <c r="X208" i="21"/>
  <c r="AI208" i="21"/>
  <c r="AW208" i="21" s="1"/>
  <c r="C208" i="21"/>
  <c r="N208" i="21"/>
  <c r="Y208" i="21"/>
  <c r="AJ208" i="21"/>
  <c r="BE186" i="23"/>
  <c r="G6" i="21"/>
  <c r="AT24" i="21" s="1"/>
  <c r="AD193" i="23"/>
  <c r="B193" i="24"/>
  <c r="AL193" i="23"/>
  <c r="E193" i="23"/>
  <c r="AB193" i="23"/>
  <c r="AT193" i="23"/>
  <c r="AU193" i="23"/>
  <c r="E166" i="23"/>
  <c r="H103" i="20"/>
  <c r="I103" i="20" a="1"/>
  <c r="I103" i="20" s="1"/>
  <c r="R208" i="21"/>
  <c r="J207" i="21"/>
  <c r="B197" i="21"/>
  <c r="J157" i="20"/>
  <c r="K55" i="20"/>
  <c r="AF208" i="21"/>
  <c r="AN208" i="21" s="1"/>
  <c r="Q208" i="21"/>
  <c r="AK207" i="21"/>
  <c r="W207" i="21"/>
  <c r="H207" i="21"/>
  <c r="Y198" i="21"/>
  <c r="G198" i="21"/>
  <c r="O197" i="21"/>
  <c r="A197" i="21"/>
  <c r="G5" i="21"/>
  <c r="G12" i="21" s="1"/>
  <c r="AO192" i="24"/>
  <c r="R192" i="24"/>
  <c r="BL192" i="24"/>
  <c r="AD183" i="23"/>
  <c r="X183" i="23"/>
  <c r="AT183" i="23"/>
  <c r="B183" i="24"/>
  <c r="F183" i="23"/>
  <c r="AB183" i="23"/>
  <c r="O183" i="23"/>
  <c r="E183" i="23"/>
  <c r="AU183" i="23"/>
  <c r="D183" i="23"/>
  <c r="C183" i="24" s="1"/>
  <c r="C166" i="23"/>
  <c r="S166" i="23" s="1"/>
  <c r="B166" i="24"/>
  <c r="AT166" i="23"/>
  <c r="AU166" i="23"/>
  <c r="AB166" i="23"/>
  <c r="E161" i="23"/>
  <c r="K56" i="20"/>
  <c r="AG208" i="21"/>
  <c r="AQ208" i="21" s="1"/>
  <c r="D208" i="21"/>
  <c r="Z198" i="21"/>
  <c r="AH197" i="21"/>
  <c r="H49" i="20"/>
  <c r="I49" i="20" a="1"/>
  <c r="I49" i="20" s="1"/>
  <c r="I29" i="20" a="1"/>
  <c r="I29" i="20" s="1"/>
  <c r="H29" i="20"/>
  <c r="AG197" i="21"/>
  <c r="AQ197" i="21" s="1"/>
  <c r="I157" i="20" a="1"/>
  <c r="I157" i="20" s="1"/>
  <c r="H144" i="20"/>
  <c r="J144" i="20"/>
  <c r="K144" i="20"/>
  <c r="K93" i="20"/>
  <c r="K7" i="20"/>
  <c r="I7" i="20" a="1"/>
  <c r="I7" i="20" s="1"/>
  <c r="J7" i="20"/>
  <c r="AD208" i="21"/>
  <c r="P208" i="21"/>
  <c r="AJ207" i="21"/>
  <c r="V207" i="21"/>
  <c r="D207" i="21"/>
  <c r="U198" i="21"/>
  <c r="F198" i="21"/>
  <c r="AF197" i="21"/>
  <c r="AN197" i="21" s="1"/>
  <c r="N197" i="21"/>
  <c r="X193" i="23"/>
  <c r="AL174" i="23"/>
  <c r="AL166" i="23"/>
  <c r="J166" i="20"/>
  <c r="K166" i="20"/>
  <c r="X207" i="21"/>
  <c r="I198" i="21"/>
  <c r="P197" i="21"/>
  <c r="K79" i="20"/>
  <c r="H179" i="20"/>
  <c r="I173" i="20" a="1"/>
  <c r="I173" i="20" s="1"/>
  <c r="H160" i="20"/>
  <c r="H88" i="20"/>
  <c r="I88" i="20" a="1"/>
  <c r="I88" i="20" s="1"/>
  <c r="H85" i="20"/>
  <c r="J76" i="20"/>
  <c r="K76" i="20"/>
  <c r="H64" i="20"/>
  <c r="K64" i="20"/>
  <c r="J55" i="20"/>
  <c r="J25" i="20"/>
  <c r="K25" i="20"/>
  <c r="H157" i="20"/>
  <c r="I141" i="20" a="1"/>
  <c r="I141" i="20" s="1"/>
  <c r="K141" i="20"/>
  <c r="J128" i="20"/>
  <c r="H128" i="20"/>
  <c r="I128" i="20" a="1"/>
  <c r="I128" i="20" s="1"/>
  <c r="J93" i="20"/>
  <c r="AC208" i="21"/>
  <c r="O208" i="21"/>
  <c r="AI207" i="21"/>
  <c r="AW207" i="21" s="1"/>
  <c r="U207" i="21"/>
  <c r="C207" i="21"/>
  <c r="AK198" i="21"/>
  <c r="T198" i="21"/>
  <c r="E198" i="21"/>
  <c r="AA197" i="21"/>
  <c r="M197" i="21"/>
  <c r="B191" i="24"/>
  <c r="E191" i="23"/>
  <c r="AT191" i="23"/>
  <c r="C191" i="23"/>
  <c r="F191" i="23" s="1"/>
  <c r="W183" i="23"/>
  <c r="C180" i="23"/>
  <c r="AF180" i="23" s="1"/>
  <c r="AH180" i="23" s="1"/>
  <c r="AD174" i="23"/>
  <c r="AD166" i="23"/>
  <c r="AN184" i="23"/>
  <c r="O181" i="23"/>
  <c r="AF181" i="23"/>
  <c r="AH181" i="23" s="1"/>
  <c r="B170" i="24"/>
  <c r="BL170" i="24" s="1"/>
  <c r="E170" i="23"/>
  <c r="D170" i="23"/>
  <c r="C170" i="24" s="1"/>
  <c r="AD170" i="23"/>
  <c r="AN166" i="23"/>
  <c r="AO133" i="23"/>
  <c r="B132" i="24"/>
  <c r="AT132" i="23"/>
  <c r="AD124" i="23"/>
  <c r="D124" i="23"/>
  <c r="C124" i="24" s="1"/>
  <c r="AB117" i="23"/>
  <c r="AN109" i="23"/>
  <c r="F107" i="23"/>
  <c r="X107" i="23"/>
  <c r="AT99" i="23"/>
  <c r="AN75" i="23"/>
  <c r="B129" i="24"/>
  <c r="E129" i="23"/>
  <c r="S129" i="23"/>
  <c r="F129" i="23"/>
  <c r="D129" i="23"/>
  <c r="C129" i="24" s="1"/>
  <c r="AL129" i="23"/>
  <c r="AB129" i="23"/>
  <c r="O129" i="23"/>
  <c r="AD129" i="23"/>
  <c r="C124" i="23"/>
  <c r="S98" i="23"/>
  <c r="B98" i="24"/>
  <c r="BL98" i="24" s="1"/>
  <c r="AL98" i="23"/>
  <c r="AU98" i="23"/>
  <c r="AD98" i="23"/>
  <c r="R124" i="24"/>
  <c r="AO124" i="24"/>
  <c r="BL124" i="24"/>
  <c r="C103" i="23"/>
  <c r="S103" i="23" s="1"/>
  <c r="E103" i="23"/>
  <c r="F103" i="23"/>
  <c r="B103" i="24"/>
  <c r="D103" i="23"/>
  <c r="C103" i="24" s="1"/>
  <c r="AL103" i="23"/>
  <c r="AD103" i="23"/>
  <c r="AB103" i="23"/>
  <c r="W82" i="23"/>
  <c r="AF82" i="23"/>
  <c r="X82" i="23"/>
  <c r="B76" i="24"/>
  <c r="AD76" i="23"/>
  <c r="W125" i="23"/>
  <c r="O125" i="23"/>
  <c r="AF125" i="23"/>
  <c r="AH125" i="23" s="1"/>
  <c r="S125" i="23"/>
  <c r="BA115" i="24"/>
  <c r="G115" i="24"/>
  <c r="BB115" i="24"/>
  <c r="H115" i="24"/>
  <c r="E115" i="24"/>
  <c r="F115" i="24" s="1"/>
  <c r="AZ115" i="24"/>
  <c r="AB115" i="24"/>
  <c r="AC115" i="24" s="1"/>
  <c r="AD115" i="24"/>
  <c r="AE115" i="24"/>
  <c r="AY115" i="24"/>
  <c r="K115" i="23"/>
  <c r="B106" i="24"/>
  <c r="AU106" i="23"/>
  <c r="E106" i="23"/>
  <c r="B99" i="24"/>
  <c r="R99" i="24" s="1"/>
  <c r="D99" i="23"/>
  <c r="C99" i="24" s="1"/>
  <c r="W99" i="23"/>
  <c r="AN152" i="23"/>
  <c r="G144" i="23"/>
  <c r="AD144" i="24"/>
  <c r="AE144" i="24"/>
  <c r="AB144" i="24"/>
  <c r="AC144" i="24" s="1"/>
  <c r="H144" i="24"/>
  <c r="E144" i="24"/>
  <c r="F144" i="24" s="1"/>
  <c r="G144" i="24"/>
  <c r="K144" i="23"/>
  <c r="AY144" i="24"/>
  <c r="AZ144" i="24" s="1"/>
  <c r="BA144" i="24"/>
  <c r="BB144" i="24"/>
  <c r="BC144" i="24" s="1"/>
  <c r="J144" i="23"/>
  <c r="AN133" i="23"/>
  <c r="S113" i="23"/>
  <c r="B113" i="24"/>
  <c r="C110" i="23"/>
  <c r="F110" i="23" s="1"/>
  <c r="B110" i="24"/>
  <c r="AT110" i="23"/>
  <c r="AB110" i="23"/>
  <c r="AU110" i="23"/>
  <c r="AL110" i="23"/>
  <c r="AN65" i="23"/>
  <c r="D184" i="23"/>
  <c r="C184" i="24" s="1"/>
  <c r="S184" i="23"/>
  <c r="AD184" i="23"/>
  <c r="E184" i="23"/>
  <c r="B184" i="24"/>
  <c r="AB184" i="23"/>
  <c r="AL184" i="23"/>
  <c r="O184" i="23"/>
  <c r="AU175" i="23"/>
  <c r="C175" i="23"/>
  <c r="O175" i="23" s="1"/>
  <c r="H163" i="24"/>
  <c r="AB163" i="24"/>
  <c r="AC163" i="24" s="1"/>
  <c r="AD163" i="24"/>
  <c r="BB163" i="24"/>
  <c r="AE163" i="24"/>
  <c r="G163" i="24"/>
  <c r="BA163" i="24"/>
  <c r="AY163" i="24"/>
  <c r="AZ163" i="24" s="1"/>
  <c r="E163" i="24"/>
  <c r="F163" i="24" s="1"/>
  <c r="H163" i="23"/>
  <c r="E162" i="24"/>
  <c r="F162" i="24" s="1"/>
  <c r="AB162" i="24"/>
  <c r="AC162" i="24" s="1"/>
  <c r="AY162" i="24"/>
  <c r="AZ162" i="24" s="1"/>
  <c r="BB162" i="24"/>
  <c r="AD162" i="24"/>
  <c r="AE162" i="24"/>
  <c r="G162" i="24"/>
  <c r="H162" i="24"/>
  <c r="BA162" i="24"/>
  <c r="R158" i="24"/>
  <c r="BL158" i="24"/>
  <c r="AO158" i="24"/>
  <c r="AU129" i="23"/>
  <c r="O123" i="23"/>
  <c r="B123" i="24"/>
  <c r="E123" i="23"/>
  <c r="D123" i="23"/>
  <c r="C123" i="24" s="1"/>
  <c r="AN122" i="23"/>
  <c r="AB104" i="23"/>
  <c r="B104" i="24"/>
  <c r="E104" i="23"/>
  <c r="AU104" i="23"/>
  <c r="AL104" i="23"/>
  <c r="AD104" i="23"/>
  <c r="D104" i="23"/>
  <c r="C104" i="24" s="1"/>
  <c r="C104" i="23"/>
  <c r="X104" i="23" s="1"/>
  <c r="X99" i="23"/>
  <c r="AN91" i="23"/>
  <c r="B87" i="24"/>
  <c r="O87" i="23"/>
  <c r="E87" i="23"/>
  <c r="S87" i="23"/>
  <c r="R168" i="24"/>
  <c r="BL168" i="24"/>
  <c r="AO168" i="24"/>
  <c r="B153" i="24"/>
  <c r="AD153" i="23"/>
  <c r="AL153" i="23"/>
  <c r="S153" i="23"/>
  <c r="AU153" i="23"/>
  <c r="E153" i="23"/>
  <c r="AB153" i="23"/>
  <c r="D153" i="23"/>
  <c r="C153" i="24" s="1"/>
  <c r="AT129" i="23"/>
  <c r="AO116" i="23"/>
  <c r="X113" i="23"/>
  <c r="AB109" i="23"/>
  <c r="S82" i="23"/>
  <c r="B37" i="24"/>
  <c r="AL37" i="23"/>
  <c r="C37" i="23"/>
  <c r="AF37" i="23" s="1"/>
  <c r="AT37" i="23"/>
  <c r="AU37" i="23"/>
  <c r="W37" i="23"/>
  <c r="AB37" i="23"/>
  <c r="C186" i="23"/>
  <c r="F186" i="23" s="1"/>
  <c r="B186" i="24"/>
  <c r="BL186" i="24" s="1"/>
  <c r="AT186" i="23"/>
  <c r="AB186" i="23"/>
  <c r="AU186" i="23"/>
  <c r="AN185" i="23"/>
  <c r="AO191" i="23"/>
  <c r="AD186" i="23"/>
  <c r="AT184" i="23"/>
  <c r="F181" i="23"/>
  <c r="AN180" i="23"/>
  <c r="O172" i="23"/>
  <c r="AF172" i="23"/>
  <c r="AH172" i="23" s="1"/>
  <c r="AN145" i="23"/>
  <c r="X136" i="23"/>
  <c r="B136" i="24"/>
  <c r="F136" i="23"/>
  <c r="AB136" i="23"/>
  <c r="AL136" i="23"/>
  <c r="E136" i="23"/>
  <c r="AO135" i="23"/>
  <c r="O107" i="23"/>
  <c r="B92" i="24"/>
  <c r="BL92" i="24" s="1"/>
  <c r="AD92" i="23"/>
  <c r="AL92" i="23"/>
  <c r="O92" i="23"/>
  <c r="AB92" i="23"/>
  <c r="AO55" i="23"/>
  <c r="C188" i="23"/>
  <c r="AF188" i="23" s="1"/>
  <c r="AH188" i="23" s="1"/>
  <c r="B188" i="24"/>
  <c r="AL186" i="23"/>
  <c r="AB47" i="23"/>
  <c r="AB12" i="23"/>
  <c r="AB85" i="23"/>
  <c r="AB96" i="23"/>
  <c r="AB97" i="23"/>
  <c r="AB3" i="23"/>
  <c r="AB24" i="23"/>
  <c r="AB42" i="23"/>
  <c r="AB105" i="23"/>
  <c r="AB165" i="23"/>
  <c r="AB194" i="23"/>
  <c r="AB119" i="23"/>
  <c r="AB131" i="23"/>
  <c r="AB46" i="23"/>
  <c r="AB65" i="23"/>
  <c r="AB72" i="23"/>
  <c r="AB84" i="23"/>
  <c r="AB93" i="23"/>
  <c r="AB13" i="23"/>
  <c r="AB32" i="23"/>
  <c r="AB33" i="23"/>
  <c r="AB53" i="23"/>
  <c r="AB74" i="23"/>
  <c r="AB112" i="23"/>
  <c r="AB128" i="23"/>
  <c r="AB142" i="23"/>
  <c r="AB173" i="23"/>
  <c r="AB11" i="23"/>
  <c r="AB48" i="23"/>
  <c r="AB49" i="23"/>
  <c r="AB58" i="23"/>
  <c r="AB139" i="23"/>
  <c r="AB150" i="23"/>
  <c r="AB161" i="23"/>
  <c r="AB39" i="23"/>
  <c r="AB107" i="23"/>
  <c r="AB176" i="23"/>
  <c r="AB17" i="23"/>
  <c r="AB34" i="23"/>
  <c r="AB27" i="23"/>
  <c r="AB25" i="23"/>
  <c r="AN190" i="23"/>
  <c r="AO183" i="23"/>
  <c r="AY173" i="24"/>
  <c r="AZ173" i="24" s="1"/>
  <c r="AD173" i="24"/>
  <c r="AE173" i="24"/>
  <c r="E173" i="24"/>
  <c r="F173" i="24" s="1"/>
  <c r="G173" i="24"/>
  <c r="H173" i="24"/>
  <c r="BA173" i="24"/>
  <c r="BB173" i="24"/>
  <c r="AB173" i="24"/>
  <c r="AC173" i="24" s="1"/>
  <c r="B172" i="24"/>
  <c r="E172" i="23"/>
  <c r="F172" i="23"/>
  <c r="D172" i="23"/>
  <c r="C172" i="24" s="1"/>
  <c r="X172" i="23"/>
  <c r="R171" i="24"/>
  <c r="AO171" i="24"/>
  <c r="BL171" i="24"/>
  <c r="AB168" i="23"/>
  <c r="W153" i="23"/>
  <c r="R147" i="24"/>
  <c r="BL147" i="24"/>
  <c r="AO147" i="24"/>
  <c r="B141" i="24"/>
  <c r="AN140" i="23"/>
  <c r="W136" i="23"/>
  <c r="AD127" i="23"/>
  <c r="B127" i="24"/>
  <c r="W127" i="23"/>
  <c r="X127" i="23"/>
  <c r="AL127" i="23"/>
  <c r="O127" i="23"/>
  <c r="X123" i="23"/>
  <c r="AU103" i="23"/>
  <c r="AN103" i="23"/>
  <c r="E98" i="23"/>
  <c r="AN55" i="23"/>
  <c r="B175" i="24"/>
  <c r="AD175" i="23"/>
  <c r="AL175" i="23"/>
  <c r="B19" i="20"/>
  <c r="Z138" i="23" s="1"/>
  <c r="B8" i="21"/>
  <c r="G194" i="24"/>
  <c r="AE194" i="24"/>
  <c r="AY194" i="24"/>
  <c r="AZ194" i="24" s="1"/>
  <c r="BA194" i="24"/>
  <c r="AD194" i="24"/>
  <c r="BB194" i="24"/>
  <c r="AB194" i="24"/>
  <c r="AC194" i="24" s="1"/>
  <c r="E194" i="24"/>
  <c r="F194" i="24" s="1"/>
  <c r="H194" i="24"/>
  <c r="X181" i="23"/>
  <c r="C170" i="23"/>
  <c r="AF170" i="23" s="1"/>
  <c r="AB163" i="23"/>
  <c r="AN158" i="23"/>
  <c r="AT153" i="23"/>
  <c r="AT127" i="23"/>
  <c r="AL124" i="23"/>
  <c r="E124" i="23"/>
  <c r="AF116" i="23"/>
  <c r="X116" i="23"/>
  <c r="AB98" i="23"/>
  <c r="D98" i="23"/>
  <c r="C98" i="24" s="1"/>
  <c r="W97" i="23"/>
  <c r="X97" i="23"/>
  <c r="F97" i="23"/>
  <c r="S97" i="23"/>
  <c r="B20" i="22"/>
  <c r="J5" i="22" s="1"/>
  <c r="C16" i="22"/>
  <c r="C20" i="22" s="1"/>
  <c r="J6" i="22" s="1"/>
  <c r="AN191" i="23"/>
  <c r="AN187" i="23"/>
  <c r="B182" i="24"/>
  <c r="AT182" i="23"/>
  <c r="AO171" i="23"/>
  <c r="K165" i="23"/>
  <c r="AY165" i="24"/>
  <c r="AZ165" i="24" s="1"/>
  <c r="BA165" i="24"/>
  <c r="E165" i="24"/>
  <c r="F165" i="24" s="1"/>
  <c r="AB165" i="24"/>
  <c r="AC165" i="24" s="1"/>
  <c r="BB165" i="24"/>
  <c r="AD165" i="24"/>
  <c r="AE165" i="24"/>
  <c r="G165" i="24"/>
  <c r="H165" i="24"/>
  <c r="Z161" i="23"/>
  <c r="B149" i="24"/>
  <c r="AT149" i="23"/>
  <c r="AB149" i="23"/>
  <c r="AU149" i="23"/>
  <c r="AT144" i="23"/>
  <c r="AD138" i="23"/>
  <c r="AA138" i="23"/>
  <c r="AU138" i="23"/>
  <c r="AB138" i="23"/>
  <c r="B138" i="24"/>
  <c r="AT138" i="23"/>
  <c r="B135" i="24"/>
  <c r="AN92" i="23"/>
  <c r="AN83" i="23"/>
  <c r="AA56" i="23"/>
  <c r="C21" i="23"/>
  <c r="O21" i="23" s="1"/>
  <c r="B21" i="24"/>
  <c r="AT21" i="23"/>
  <c r="AU21" i="23"/>
  <c r="R20" i="24"/>
  <c r="AO20" i="24"/>
  <c r="B4" i="24"/>
  <c r="S4" i="23"/>
  <c r="AL4" i="23"/>
  <c r="AU4" i="23"/>
  <c r="W4" i="23"/>
  <c r="AD4" i="23"/>
  <c r="B30" i="24"/>
  <c r="O30" i="23"/>
  <c r="AB30" i="23"/>
  <c r="AT30" i="23"/>
  <c r="X30" i="23"/>
  <c r="E30" i="23"/>
  <c r="F30" i="23"/>
  <c r="AD30" i="23"/>
  <c r="AL30" i="23"/>
  <c r="D30" i="23"/>
  <c r="C30" i="24" s="1"/>
  <c r="AB4" i="23"/>
  <c r="AF51" i="23"/>
  <c r="AH51" i="23" s="1"/>
  <c r="W51" i="23"/>
  <c r="AA4" i="23"/>
  <c r="B52" i="24"/>
  <c r="AD52" i="23"/>
  <c r="AL52" i="23"/>
  <c r="O52" i="23"/>
  <c r="AB52" i="23"/>
  <c r="AU52" i="23"/>
  <c r="X51" i="23"/>
  <c r="AO45" i="24"/>
  <c r="BL45" i="24"/>
  <c r="R45" i="24"/>
  <c r="AN25" i="23"/>
  <c r="B16" i="24"/>
  <c r="BL16" i="24" s="1"/>
  <c r="AU16" i="23"/>
  <c r="AN15" i="23"/>
  <c r="AD62" i="23"/>
  <c r="B62" i="24"/>
  <c r="AO59" i="24"/>
  <c r="BL59" i="24"/>
  <c r="R59" i="24"/>
  <c r="AF58" i="23"/>
  <c r="AH58" i="23" s="1"/>
  <c r="W58" i="23"/>
  <c r="O58" i="23"/>
  <c r="E54" i="23"/>
  <c r="B54" i="24"/>
  <c r="D54" i="23"/>
  <c r="C54" i="24" s="1"/>
  <c r="AU54" i="23"/>
  <c r="AO44" i="23"/>
  <c r="AF31" i="23"/>
  <c r="X31" i="23"/>
  <c r="AN26" i="23"/>
  <c r="B22" i="24"/>
  <c r="AT22" i="23"/>
  <c r="Z22" i="23"/>
  <c r="AB22" i="23"/>
  <c r="AN179" i="23"/>
  <c r="C176" i="23"/>
  <c r="S176" i="23" s="1"/>
  <c r="B176" i="24"/>
  <c r="BL176" i="24" s="1"/>
  <c r="Z176" i="23"/>
  <c r="AN170" i="23"/>
  <c r="C169" i="23"/>
  <c r="J165" i="23"/>
  <c r="L165" i="23" s="1"/>
  <c r="D150" i="23"/>
  <c r="C150" i="24" s="1"/>
  <c r="E149" i="23"/>
  <c r="AO146" i="24"/>
  <c r="R146" i="24"/>
  <c r="BL146" i="24"/>
  <c r="E142" i="24"/>
  <c r="F142" i="24" s="1"/>
  <c r="BB142" i="24"/>
  <c r="G142" i="24"/>
  <c r="H142" i="24"/>
  <c r="BA142" i="24"/>
  <c r="AB142" i="24"/>
  <c r="AC142" i="24" s="1"/>
  <c r="AE142" i="24"/>
  <c r="AY142" i="24"/>
  <c r="AZ142" i="24" s="1"/>
  <c r="AD142" i="24"/>
  <c r="E138" i="23"/>
  <c r="E135" i="23"/>
  <c r="AF133" i="23"/>
  <c r="AH133" i="23" s="1"/>
  <c r="X133" i="23"/>
  <c r="AO131" i="23"/>
  <c r="AE79" i="24"/>
  <c r="AY79" i="24"/>
  <c r="AZ79" i="24" s="1"/>
  <c r="BA79" i="24"/>
  <c r="AD79" i="24"/>
  <c r="E79" i="24"/>
  <c r="F79" i="24" s="1"/>
  <c r="BB79" i="24"/>
  <c r="AB79" i="24"/>
  <c r="AC79" i="24" s="1"/>
  <c r="AF79" i="24" s="1"/>
  <c r="AH79" i="24" s="1"/>
  <c r="G79" i="24"/>
  <c r="H79" i="24"/>
  <c r="K79" i="23"/>
  <c r="J79" i="23"/>
  <c r="AF78" i="23"/>
  <c r="AH78" i="23" s="1"/>
  <c r="B78" i="24"/>
  <c r="AU78" i="23"/>
  <c r="W78" i="23"/>
  <c r="AO74" i="23"/>
  <c r="C73" i="23"/>
  <c r="F73" i="23" s="1"/>
  <c r="B73" i="24"/>
  <c r="AL73" i="23"/>
  <c r="E73" i="23"/>
  <c r="AA73" i="23"/>
  <c r="B68" i="24"/>
  <c r="AU68" i="23"/>
  <c r="E68" i="23"/>
  <c r="D68" i="23"/>
  <c r="C68" i="24" s="1"/>
  <c r="B64" i="24"/>
  <c r="R64" i="24" s="1"/>
  <c r="E64" i="23"/>
  <c r="Z64" i="23"/>
  <c r="AA64" i="23"/>
  <c r="AB64" i="23"/>
  <c r="AT64" i="23"/>
  <c r="D64" i="23"/>
  <c r="C64" i="24" s="1"/>
  <c r="X64" i="23"/>
  <c r="AL64" i="23"/>
  <c r="AD39" i="24"/>
  <c r="AE39" i="24"/>
  <c r="AY39" i="24"/>
  <c r="AZ39" i="24" s="1"/>
  <c r="BA39" i="24"/>
  <c r="G39" i="24"/>
  <c r="H39" i="24"/>
  <c r="E39" i="24"/>
  <c r="F39" i="24" s="1"/>
  <c r="AB39" i="24"/>
  <c r="AC39" i="24" s="1"/>
  <c r="BB39" i="24"/>
  <c r="S30" i="23"/>
  <c r="B18" i="24"/>
  <c r="F18" i="23"/>
  <c r="E18" i="23"/>
  <c r="Z18" i="23"/>
  <c r="AU18" i="23"/>
  <c r="W18" i="23"/>
  <c r="AT18" i="23"/>
  <c r="AO186" i="23"/>
  <c r="AN183" i="23"/>
  <c r="AN182" i="23"/>
  <c r="AO179" i="23"/>
  <c r="AN178" i="23"/>
  <c r="AO170" i="23"/>
  <c r="R169" i="24"/>
  <c r="BL169" i="24"/>
  <c r="AO169" i="24"/>
  <c r="AD161" i="23"/>
  <c r="B161" i="24"/>
  <c r="AN160" i="23"/>
  <c r="K156" i="23"/>
  <c r="AD156" i="24"/>
  <c r="AE156" i="24"/>
  <c r="AY156" i="24"/>
  <c r="AZ156" i="24" s="1"/>
  <c r="H156" i="24"/>
  <c r="BA156" i="24"/>
  <c r="BB156" i="24"/>
  <c r="E156" i="24"/>
  <c r="F156" i="24" s="1"/>
  <c r="G156" i="24"/>
  <c r="AB156" i="24"/>
  <c r="AC156" i="24" s="1"/>
  <c r="BL150" i="24"/>
  <c r="AO150" i="24"/>
  <c r="R150" i="24"/>
  <c r="AO144" i="23"/>
  <c r="B144" i="24"/>
  <c r="W144" i="23"/>
  <c r="AD144" i="23"/>
  <c r="C121" i="23"/>
  <c r="AF121" i="23" s="1"/>
  <c r="B121" i="24"/>
  <c r="AB121" i="23"/>
  <c r="B111" i="24"/>
  <c r="AD111" i="23"/>
  <c r="AU111" i="23"/>
  <c r="AA111" i="23"/>
  <c r="AB111" i="23"/>
  <c r="B94" i="24"/>
  <c r="AL94" i="23"/>
  <c r="AD94" i="23"/>
  <c r="E94" i="23"/>
  <c r="C94" i="23"/>
  <c r="B91" i="24"/>
  <c r="BL91" i="24" s="1"/>
  <c r="E91" i="23"/>
  <c r="W91" i="23"/>
  <c r="F91" i="23"/>
  <c r="K91" i="23" s="1"/>
  <c r="X91" i="23"/>
  <c r="AT91" i="23"/>
  <c r="Z91" i="23"/>
  <c r="AU91" i="23"/>
  <c r="D91" i="23"/>
  <c r="C91" i="24" s="1"/>
  <c r="O91" i="23"/>
  <c r="AD82" i="23"/>
  <c r="B82" i="24"/>
  <c r="AA82" i="23"/>
  <c r="AT82" i="23"/>
  <c r="O82" i="23"/>
  <c r="AB82" i="23"/>
  <c r="AU82" i="23"/>
  <c r="Z82" i="23"/>
  <c r="F82" i="23"/>
  <c r="AL82" i="23"/>
  <c r="E82" i="23"/>
  <c r="AO80" i="23"/>
  <c r="W64" i="23"/>
  <c r="AB62" i="23"/>
  <c r="AN46" i="23"/>
  <c r="X18" i="23"/>
  <c r="AN194" i="23"/>
  <c r="O185" i="23"/>
  <c r="E182" i="23"/>
  <c r="AN177" i="23"/>
  <c r="AT176" i="23"/>
  <c r="G165" i="23"/>
  <c r="AA161" i="23"/>
  <c r="AU160" i="23"/>
  <c r="B160" i="24"/>
  <c r="AN151" i="23"/>
  <c r="AA150" i="23"/>
  <c r="C149" i="23"/>
  <c r="S144" i="23"/>
  <c r="C138" i="23"/>
  <c r="C135" i="23"/>
  <c r="AO120" i="24"/>
  <c r="R120" i="24"/>
  <c r="BL120" i="24"/>
  <c r="AO117" i="23"/>
  <c r="C108" i="23"/>
  <c r="O108" i="23" s="1"/>
  <c r="B108" i="24"/>
  <c r="AT108" i="23"/>
  <c r="AD108" i="23"/>
  <c r="AL108" i="23"/>
  <c r="BL90" i="24"/>
  <c r="R90" i="24"/>
  <c r="AO90" i="24"/>
  <c r="AL89" i="23"/>
  <c r="B89" i="24"/>
  <c r="B86" i="24"/>
  <c r="AL86" i="23"/>
  <c r="E86" i="23"/>
  <c r="AU86" i="23"/>
  <c r="Z86" i="23"/>
  <c r="AT86" i="23"/>
  <c r="AA86" i="23"/>
  <c r="AB86" i="23"/>
  <c r="C86" i="23"/>
  <c r="F86" i="23" s="1"/>
  <c r="AO85" i="23"/>
  <c r="AN80" i="23"/>
  <c r="AN74" i="23"/>
  <c r="Z73" i="23"/>
  <c r="Z67" i="23"/>
  <c r="AA62" i="23"/>
  <c r="AN56" i="23"/>
  <c r="B50" i="24"/>
  <c r="E50" i="23"/>
  <c r="AL50" i="23"/>
  <c r="D50" i="23"/>
  <c r="C50" i="24" s="1"/>
  <c r="AT50" i="23"/>
  <c r="AU50" i="23"/>
  <c r="B44" i="24"/>
  <c r="AA44" i="23"/>
  <c r="AB44" i="23"/>
  <c r="O44" i="23"/>
  <c r="Z44" i="23"/>
  <c r="AU44" i="23"/>
  <c r="E44" i="23"/>
  <c r="F44" i="23"/>
  <c r="J44" i="23" s="1"/>
  <c r="AD44" i="23"/>
  <c r="AL44" i="23"/>
  <c r="D44" i="23"/>
  <c r="C44" i="24" s="1"/>
  <c r="BL177" i="24"/>
  <c r="R177" i="24"/>
  <c r="AO173" i="23"/>
  <c r="BL154" i="24"/>
  <c r="R154" i="24"/>
  <c r="R137" i="24"/>
  <c r="AO137" i="24"/>
  <c r="BL137" i="24"/>
  <c r="R131" i="24"/>
  <c r="AO131" i="24"/>
  <c r="AN129" i="23"/>
  <c r="AU126" i="23"/>
  <c r="AD117" i="23"/>
  <c r="B117" i="24"/>
  <c r="AO117" i="24" s="1"/>
  <c r="B100" i="24"/>
  <c r="AA100" i="23"/>
  <c r="AU100" i="23"/>
  <c r="E100" i="23"/>
  <c r="AT100" i="23"/>
  <c r="AN97" i="23"/>
  <c r="B74" i="24"/>
  <c r="E74" i="23"/>
  <c r="AO71" i="23"/>
  <c r="B53" i="24"/>
  <c r="Z53" i="23"/>
  <c r="AT53" i="23"/>
  <c r="AU53" i="23"/>
  <c r="E53" i="23"/>
  <c r="AN52" i="23"/>
  <c r="B33" i="24"/>
  <c r="AN17" i="23"/>
  <c r="AN4" i="23"/>
  <c r="Z2" i="23"/>
  <c r="B185" i="24"/>
  <c r="BM185" i="24" s="1"/>
  <c r="C2" i="23"/>
  <c r="S2" i="23" s="1"/>
  <c r="B2" i="24"/>
  <c r="E2" i="23"/>
  <c r="AB2" i="23"/>
  <c r="AT2" i="23"/>
  <c r="AD2" i="23"/>
  <c r="AU2" i="23"/>
  <c r="AA2" i="23"/>
  <c r="AO154" i="24"/>
  <c r="AL5" i="23"/>
  <c r="B5" i="24"/>
  <c r="D5" i="23"/>
  <c r="C5" i="24" s="1"/>
  <c r="AD5" i="23"/>
  <c r="AO8" i="23"/>
  <c r="B190" i="24"/>
  <c r="AD163" i="23"/>
  <c r="B163" i="24"/>
  <c r="AN150" i="23"/>
  <c r="AO139" i="24"/>
  <c r="BL139" i="24"/>
  <c r="R139" i="24"/>
  <c r="AO133" i="24"/>
  <c r="BL133" i="24"/>
  <c r="R133" i="24"/>
  <c r="AO126" i="24"/>
  <c r="BL126" i="24"/>
  <c r="R126" i="24"/>
  <c r="BL122" i="24"/>
  <c r="AO122" i="24"/>
  <c r="R122" i="24"/>
  <c r="AN120" i="23"/>
  <c r="O116" i="23"/>
  <c r="B116" i="24"/>
  <c r="AU116" i="23"/>
  <c r="AN108" i="23"/>
  <c r="AO101" i="23"/>
  <c r="D93" i="23"/>
  <c r="C93" i="24" s="1"/>
  <c r="B93" i="24"/>
  <c r="AD93" i="23"/>
  <c r="AN88" i="23"/>
  <c r="AN77" i="23"/>
  <c r="B67" i="24"/>
  <c r="AL67" i="23"/>
  <c r="D67" i="23"/>
  <c r="C67" i="24" s="1"/>
  <c r="AD67" i="23"/>
  <c r="AO60" i="23"/>
  <c r="AB56" i="23"/>
  <c r="B56" i="24"/>
  <c r="AT56" i="23"/>
  <c r="AN49" i="23"/>
  <c r="AN36" i="23"/>
  <c r="AO35" i="23"/>
  <c r="AN32" i="23"/>
  <c r="B31" i="24"/>
  <c r="O31" i="23"/>
  <c r="B19" i="24"/>
  <c r="AD19" i="23"/>
  <c r="AL19" i="23"/>
  <c r="C19" i="23"/>
  <c r="W19" i="23" s="1"/>
  <c r="B11" i="24"/>
  <c r="X11" i="23"/>
  <c r="O11" i="23"/>
  <c r="Z11" i="23"/>
  <c r="AA11" i="23"/>
  <c r="AT11" i="23"/>
  <c r="F11" i="23"/>
  <c r="W11" i="23"/>
  <c r="AD10" i="23"/>
  <c r="B10" i="24"/>
  <c r="AA10" i="23"/>
  <c r="AU10" i="23"/>
  <c r="AB10" i="23"/>
  <c r="F10" i="23"/>
  <c r="Z10" i="23"/>
  <c r="AT10" i="23"/>
  <c r="AL2" i="23"/>
  <c r="B145" i="24"/>
  <c r="AO187" i="23"/>
  <c r="AO185" i="23"/>
  <c r="AO181" i="24"/>
  <c r="R181" i="24"/>
  <c r="BL181" i="24"/>
  <c r="AO180" i="23"/>
  <c r="D179" i="23"/>
  <c r="C179" i="24" s="1"/>
  <c r="BL178" i="24"/>
  <c r="R178" i="24"/>
  <c r="AO174" i="23"/>
  <c r="AL163" i="23"/>
  <c r="AN159" i="23"/>
  <c r="AN156" i="23"/>
  <c r="R156" i="24"/>
  <c r="BL156" i="24"/>
  <c r="AO156" i="24"/>
  <c r="AU154" i="23"/>
  <c r="AB154" i="23"/>
  <c r="E154" i="23"/>
  <c r="AT148" i="23"/>
  <c r="AO148" i="23"/>
  <c r="D145" i="23"/>
  <c r="C145" i="24" s="1"/>
  <c r="AO138" i="23"/>
  <c r="AO136" i="23"/>
  <c r="W133" i="23"/>
  <c r="E131" i="23"/>
  <c r="BL128" i="24"/>
  <c r="R128" i="24"/>
  <c r="AO128" i="24"/>
  <c r="AB126" i="23"/>
  <c r="AO125" i="23"/>
  <c r="AN118" i="23"/>
  <c r="AT117" i="23"/>
  <c r="Z117" i="23"/>
  <c r="D117" i="23"/>
  <c r="C117" i="24" s="1"/>
  <c r="W116" i="23"/>
  <c r="AU115" i="23"/>
  <c r="BL112" i="24"/>
  <c r="R112" i="24"/>
  <c r="AO112" i="24"/>
  <c r="AN101" i="23"/>
  <c r="AD100" i="23"/>
  <c r="D100" i="23"/>
  <c r="C100" i="24" s="1"/>
  <c r="AA93" i="23"/>
  <c r="AO91" i="23"/>
  <c r="B88" i="24"/>
  <c r="AT88" i="23"/>
  <c r="AU88" i="23"/>
  <c r="B84" i="24"/>
  <c r="BL84" i="24" s="1"/>
  <c r="D84" i="23"/>
  <c r="C84" i="24" s="1"/>
  <c r="E84" i="23"/>
  <c r="C84" i="23"/>
  <c r="F84" i="23" s="1"/>
  <c r="G84" i="23" s="1"/>
  <c r="AL84" i="23"/>
  <c r="AO77" i="23"/>
  <c r="AD74" i="23"/>
  <c r="D74" i="23"/>
  <c r="C74" i="24" s="1"/>
  <c r="AD72" i="23"/>
  <c r="B72" i="24"/>
  <c r="E72" i="23"/>
  <c r="BC72" i="23" s="1"/>
  <c r="F72" i="23"/>
  <c r="X72" i="23"/>
  <c r="Z72" i="23"/>
  <c r="D72" i="23"/>
  <c r="C72" i="24" s="1"/>
  <c r="AB67" i="23"/>
  <c r="AN66" i="23"/>
  <c r="C55" i="23"/>
  <c r="F55" i="23" s="1"/>
  <c r="B55" i="24"/>
  <c r="BL55" i="24" s="1"/>
  <c r="Z55" i="23"/>
  <c r="AA55" i="23"/>
  <c r="AB55" i="23"/>
  <c r="E55" i="23"/>
  <c r="AD53" i="23"/>
  <c r="D53" i="23"/>
  <c r="C53" i="24" s="1"/>
  <c r="R48" i="24"/>
  <c r="BL48" i="24"/>
  <c r="AO48" i="24"/>
  <c r="B46" i="24"/>
  <c r="F46" i="23"/>
  <c r="Z46" i="23"/>
  <c r="E46" i="23"/>
  <c r="S46" i="23"/>
  <c r="W39" i="23"/>
  <c r="AF39" i="23"/>
  <c r="AH39" i="23" s="1"/>
  <c r="S39" i="23"/>
  <c r="AO36" i="23"/>
  <c r="AN33" i="23"/>
  <c r="W31" i="23"/>
  <c r="B13" i="24"/>
  <c r="AT13" i="23"/>
  <c r="Z13" i="23"/>
  <c r="AO9" i="24"/>
  <c r="BL9" i="24"/>
  <c r="R9" i="24"/>
  <c r="D20" i="22"/>
  <c r="J7" i="22" s="1"/>
  <c r="AO194" i="23"/>
  <c r="AT185" i="23"/>
  <c r="AB185" i="23"/>
  <c r="C179" i="23"/>
  <c r="W179" i="23" s="1"/>
  <c r="AD173" i="23"/>
  <c r="B173" i="24"/>
  <c r="AO172" i="23"/>
  <c r="BL167" i="24"/>
  <c r="R167" i="24"/>
  <c r="AO165" i="24"/>
  <c r="BL165" i="24"/>
  <c r="R165" i="24"/>
  <c r="S164" i="23"/>
  <c r="AO163" i="23"/>
  <c r="R162" i="24"/>
  <c r="AO162" i="24"/>
  <c r="BL162" i="24"/>
  <c r="AO157" i="23"/>
  <c r="AF156" i="23"/>
  <c r="AH156" i="23" s="1"/>
  <c r="AO156" i="23"/>
  <c r="AT154" i="23"/>
  <c r="AA154" i="23"/>
  <c r="D154" i="23"/>
  <c r="C154" i="24" s="1"/>
  <c r="AN148" i="23"/>
  <c r="AD145" i="23"/>
  <c r="BL142" i="24"/>
  <c r="AO142" i="24"/>
  <c r="R142" i="24"/>
  <c r="AO139" i="23"/>
  <c r="AN138" i="23"/>
  <c r="AN135" i="23"/>
  <c r="AU133" i="23"/>
  <c r="AA131" i="23"/>
  <c r="C131" i="23"/>
  <c r="AB130" i="23"/>
  <c r="AO119" i="24"/>
  <c r="BL119" i="24"/>
  <c r="R119" i="24"/>
  <c r="AO118" i="23"/>
  <c r="C117" i="23"/>
  <c r="X117" i="23" s="1"/>
  <c r="AT115" i="23"/>
  <c r="AN111" i="23"/>
  <c r="B109" i="24"/>
  <c r="F109" i="23"/>
  <c r="H109" i="23" s="1"/>
  <c r="I109" i="23" s="1"/>
  <c r="W109" i="23"/>
  <c r="Z109" i="23"/>
  <c r="AO108" i="23"/>
  <c r="D105" i="23"/>
  <c r="C105" i="24" s="1"/>
  <c r="B105" i="24"/>
  <c r="AL105" i="23"/>
  <c r="BL102" i="24"/>
  <c r="AO102" i="24"/>
  <c r="R102" i="24"/>
  <c r="AO101" i="24"/>
  <c r="BL101" i="24"/>
  <c r="R101" i="24"/>
  <c r="C100" i="23"/>
  <c r="AU84" i="23"/>
  <c r="Z84" i="23"/>
  <c r="S79" i="23"/>
  <c r="B79" i="24"/>
  <c r="Z79" i="23"/>
  <c r="AB79" i="23"/>
  <c r="AT79" i="23"/>
  <c r="O79" i="23"/>
  <c r="X79" i="23"/>
  <c r="C74" i="23"/>
  <c r="AT72" i="23"/>
  <c r="AA67" i="23"/>
  <c r="B66" i="24"/>
  <c r="AD66" i="23"/>
  <c r="AD55" i="23"/>
  <c r="C53" i="23"/>
  <c r="AO47" i="23"/>
  <c r="AT46" i="23"/>
  <c r="AO41" i="23"/>
  <c r="B35" i="24"/>
  <c r="D35" i="23"/>
  <c r="C35" i="24" s="1"/>
  <c r="E35" i="23"/>
  <c r="AD35" i="23"/>
  <c r="AL35" i="23"/>
  <c r="C35" i="23"/>
  <c r="AB35" i="23"/>
  <c r="AU35" i="23"/>
  <c r="C33" i="23"/>
  <c r="O33" i="23" s="1"/>
  <c r="B32" i="24"/>
  <c r="AL32" i="23"/>
  <c r="AO29" i="23"/>
  <c r="S11" i="23"/>
  <c r="AF6" i="23"/>
  <c r="W6" i="23"/>
  <c r="R85" i="24"/>
  <c r="BL85" i="24"/>
  <c r="Z83" i="23"/>
  <c r="C77" i="23"/>
  <c r="B77" i="24"/>
  <c r="AO60" i="24"/>
  <c r="BL60" i="24"/>
  <c r="R60" i="24"/>
  <c r="AO58" i="23"/>
  <c r="AN48" i="23"/>
  <c r="BL43" i="24"/>
  <c r="AO43" i="24"/>
  <c r="R43" i="24"/>
  <c r="R40" i="24"/>
  <c r="AO40" i="24"/>
  <c r="BL40" i="24"/>
  <c r="AD39" i="23"/>
  <c r="AO39" i="23"/>
  <c r="AN38" i="23"/>
  <c r="AN37" i="23"/>
  <c r="AN31" i="23"/>
  <c r="AO27" i="23"/>
  <c r="R27" i="24"/>
  <c r="AO27" i="24"/>
  <c r="W25" i="23"/>
  <c r="AN21" i="23"/>
  <c r="R7" i="24"/>
  <c r="BL7" i="24"/>
  <c r="AO7" i="24"/>
  <c r="AN93" i="23"/>
  <c r="AO87" i="23"/>
  <c r="BL83" i="24"/>
  <c r="R83" i="24"/>
  <c r="AO83" i="24"/>
  <c r="BL81" i="24"/>
  <c r="AO81" i="24"/>
  <c r="R81" i="24"/>
  <c r="C80" i="23"/>
  <c r="B80" i="24"/>
  <c r="AO75" i="24"/>
  <c r="BL75" i="24"/>
  <c r="R75" i="24"/>
  <c r="AO73" i="23"/>
  <c r="AN71" i="23"/>
  <c r="AN67" i="23"/>
  <c r="AO63" i="24"/>
  <c r="BL63" i="24"/>
  <c r="R63" i="24"/>
  <c r="AO49" i="23"/>
  <c r="AD42" i="23"/>
  <c r="B42" i="24"/>
  <c r="AO42" i="24" s="1"/>
  <c r="AO28" i="23"/>
  <c r="C23" i="23"/>
  <c r="B23" i="24"/>
  <c r="R23" i="24" s="1"/>
  <c r="AO18" i="23"/>
  <c r="AO15" i="23"/>
  <c r="BL8" i="24"/>
  <c r="AO8" i="24"/>
  <c r="R8" i="24"/>
  <c r="E7" i="23"/>
  <c r="O6" i="23"/>
  <c r="B6" i="24"/>
  <c r="BL6" i="24" s="1"/>
  <c r="AN3" i="23"/>
  <c r="AD107" i="23"/>
  <c r="B107" i="24"/>
  <c r="BL107" i="24" s="1"/>
  <c r="AN105" i="23"/>
  <c r="R97" i="24"/>
  <c r="AO97" i="24"/>
  <c r="BL97" i="24"/>
  <c r="AL85" i="23"/>
  <c r="E85" i="23"/>
  <c r="BA85" i="23" s="1"/>
  <c r="Z80" i="23"/>
  <c r="D71" i="23"/>
  <c r="C71" i="24" s="1"/>
  <c r="AT65" i="23"/>
  <c r="AN64" i="23"/>
  <c r="AD60" i="23"/>
  <c r="D60" i="23"/>
  <c r="C60" i="24" s="1"/>
  <c r="AO59" i="23"/>
  <c r="AN54" i="23"/>
  <c r="AN50" i="23"/>
  <c r="S49" i="23"/>
  <c r="AO49" i="24"/>
  <c r="BL49" i="24"/>
  <c r="R49" i="24"/>
  <c r="AN45" i="23"/>
  <c r="BL41" i="24"/>
  <c r="R41" i="24"/>
  <c r="AO41" i="24"/>
  <c r="AO40" i="23"/>
  <c r="AL39" i="23"/>
  <c r="AN39" i="23"/>
  <c r="AO37" i="23"/>
  <c r="AO31" i="23"/>
  <c r="S27" i="23"/>
  <c r="E27" i="23"/>
  <c r="BL25" i="24"/>
  <c r="R25" i="24"/>
  <c r="AO25" i="24"/>
  <c r="AO20" i="23"/>
  <c r="AN18" i="23"/>
  <c r="AT7" i="23"/>
  <c r="D7" i="23"/>
  <c r="C7" i="24" s="1"/>
  <c r="AO3" i="23"/>
  <c r="AN124" i="23"/>
  <c r="AO122" i="23"/>
  <c r="AO115" i="23"/>
  <c r="AN112" i="23"/>
  <c r="AN99" i="23"/>
  <c r="C96" i="23"/>
  <c r="B96" i="24"/>
  <c r="AO93" i="23"/>
  <c r="D85" i="23"/>
  <c r="C85" i="24" s="1"/>
  <c r="AA83" i="23"/>
  <c r="AU80" i="23"/>
  <c r="W80" i="23"/>
  <c r="D77" i="23"/>
  <c r="C77" i="24" s="1"/>
  <c r="AO76" i="23"/>
  <c r="C71" i="23"/>
  <c r="R61" i="24"/>
  <c r="BL61" i="24"/>
  <c r="AO61" i="24"/>
  <c r="C60" i="23"/>
  <c r="AO54" i="23"/>
  <c r="AO46" i="23"/>
  <c r="AN43" i="23"/>
  <c r="AL34" i="23"/>
  <c r="AO28" i="24"/>
  <c r="R28" i="24"/>
  <c r="BL28" i="24"/>
  <c r="AL27" i="23"/>
  <c r="AN27" i="23"/>
  <c r="C27" i="23"/>
  <c r="R26" i="24"/>
  <c r="AO26" i="24"/>
  <c r="X25" i="23"/>
  <c r="R24" i="24"/>
  <c r="AO24" i="24"/>
  <c r="R17" i="24"/>
  <c r="AO17" i="24"/>
  <c r="BL17" i="24"/>
  <c r="AO16" i="23"/>
  <c r="C15" i="23"/>
  <c r="B15" i="24"/>
  <c r="AB14" i="23"/>
  <c r="R12" i="24"/>
  <c r="AO12" i="24"/>
  <c r="BL12" i="24"/>
  <c r="C7" i="23"/>
  <c r="W7" i="23" s="1"/>
  <c r="BE144" i="24"/>
  <c r="AW186" i="24"/>
  <c r="R186" i="24"/>
  <c r="AO186" i="24"/>
  <c r="AO143" i="24"/>
  <c r="R143" i="24"/>
  <c r="BL143" i="24"/>
  <c r="R182" i="24"/>
  <c r="AO182" i="24"/>
  <c r="BL182" i="24"/>
  <c r="AO189" i="24"/>
  <c r="BL174" i="24"/>
  <c r="AO174" i="24"/>
  <c r="AO152" i="24"/>
  <c r="BL152" i="24"/>
  <c r="R152" i="24"/>
  <c r="BL189" i="24"/>
  <c r="R176" i="24"/>
  <c r="AO176" i="24"/>
  <c r="AO170" i="24"/>
  <c r="R170" i="24"/>
  <c r="AO159" i="24"/>
  <c r="R159" i="24"/>
  <c r="AO177" i="24"/>
  <c r="AO190" i="24"/>
  <c r="BL190" i="24"/>
  <c r="R190" i="24"/>
  <c r="R194" i="24"/>
  <c r="R187" i="24"/>
  <c r="BS186" i="24"/>
  <c r="BL164" i="24"/>
  <c r="AO164" i="24"/>
  <c r="R164" i="24"/>
  <c r="AO194" i="24"/>
  <c r="AO187" i="24"/>
  <c r="AV186" i="24"/>
  <c r="Q186" i="24"/>
  <c r="AU186" i="24"/>
  <c r="AP186" i="24"/>
  <c r="BQ186" i="24"/>
  <c r="W186" i="24"/>
  <c r="BR186" i="24"/>
  <c r="BM186" i="24"/>
  <c r="R179" i="24"/>
  <c r="BL179" i="24"/>
  <c r="AO179" i="24"/>
  <c r="BL157" i="24"/>
  <c r="AO157" i="24"/>
  <c r="R157" i="24"/>
  <c r="BL193" i="24"/>
  <c r="BK186" i="24"/>
  <c r="R183" i="24"/>
  <c r="AO183" i="24"/>
  <c r="BL183" i="24"/>
  <c r="R148" i="24"/>
  <c r="AO148" i="24"/>
  <c r="BL148" i="24"/>
  <c r="AV176" i="24"/>
  <c r="Q176" i="24"/>
  <c r="AU176" i="24"/>
  <c r="S176" i="24"/>
  <c r="AN176" i="24"/>
  <c r="R140" i="24"/>
  <c r="AO140" i="24"/>
  <c r="R118" i="24"/>
  <c r="AO118" i="24"/>
  <c r="BL118" i="24"/>
  <c r="BL88" i="24"/>
  <c r="AO88" i="24"/>
  <c r="R88" i="24"/>
  <c r="R58" i="24"/>
  <c r="BL58" i="24"/>
  <c r="AO58" i="24"/>
  <c r="BL99" i="24"/>
  <c r="AO99" i="24"/>
  <c r="AO94" i="24"/>
  <c r="BL94" i="24"/>
  <c r="R94" i="24"/>
  <c r="BL135" i="24"/>
  <c r="AO135" i="24"/>
  <c r="R135" i="24"/>
  <c r="BL115" i="24"/>
  <c r="R115" i="24"/>
  <c r="AO115" i="24"/>
  <c r="R121" i="24"/>
  <c r="BL121" i="24"/>
  <c r="AO121" i="24"/>
  <c r="R91" i="24"/>
  <c r="AO91" i="24"/>
  <c r="AO130" i="24"/>
  <c r="R130" i="24"/>
  <c r="R127" i="24"/>
  <c r="BL127" i="24"/>
  <c r="AO127" i="24"/>
  <c r="R117" i="24"/>
  <c r="BL117" i="24"/>
  <c r="BQ176" i="24"/>
  <c r="AP176" i="24"/>
  <c r="BL140" i="24"/>
  <c r="BL130" i="24"/>
  <c r="BL125" i="24"/>
  <c r="R125" i="24"/>
  <c r="AO125" i="24"/>
  <c r="BS185" i="24"/>
  <c r="AN185" i="24"/>
  <c r="BR185" i="24"/>
  <c r="BM176" i="24"/>
  <c r="BS175" i="24"/>
  <c r="AN175" i="24"/>
  <c r="BR175" i="24"/>
  <c r="Y175" i="24"/>
  <c r="AU175" i="24"/>
  <c r="R151" i="24"/>
  <c r="AO151" i="24"/>
  <c r="R104" i="24"/>
  <c r="AO104" i="24"/>
  <c r="BL104" i="24"/>
  <c r="R138" i="24"/>
  <c r="AO138" i="24"/>
  <c r="BL138" i="24"/>
  <c r="R134" i="24"/>
  <c r="AO134" i="24"/>
  <c r="AO110" i="24"/>
  <c r="BL110" i="24"/>
  <c r="R110" i="24"/>
  <c r="BL145" i="24"/>
  <c r="R145" i="24"/>
  <c r="AO145" i="24"/>
  <c r="R141" i="24"/>
  <c r="AO141" i="24"/>
  <c r="BL141" i="24"/>
  <c r="BL131" i="24"/>
  <c r="Z118" i="24"/>
  <c r="R114" i="24"/>
  <c r="AO114" i="24"/>
  <c r="BL114" i="24"/>
  <c r="AO65" i="24"/>
  <c r="R65" i="24"/>
  <c r="BL65" i="24"/>
  <c r="AO64" i="24"/>
  <c r="BL64" i="24"/>
  <c r="BC115" i="24"/>
  <c r="R107" i="24"/>
  <c r="BL93" i="24"/>
  <c r="AO93" i="24"/>
  <c r="R93" i="24"/>
  <c r="AO71" i="24"/>
  <c r="BL71" i="24"/>
  <c r="R71" i="24"/>
  <c r="R69" i="24"/>
  <c r="BL69" i="24"/>
  <c r="AO69" i="24"/>
  <c r="R92" i="24"/>
  <c r="AO92" i="24"/>
  <c r="AO78" i="24"/>
  <c r="BL78" i="24"/>
  <c r="R78" i="24"/>
  <c r="R98" i="24"/>
  <c r="AO98" i="24"/>
  <c r="AO55" i="24"/>
  <c r="R55" i="24"/>
  <c r="AO84" i="24"/>
  <c r="R84" i="24"/>
  <c r="BL95" i="24"/>
  <c r="AO85" i="24"/>
  <c r="R70" i="24"/>
  <c r="AO70" i="24"/>
  <c r="AO95" i="24"/>
  <c r="R74" i="24"/>
  <c r="AO74" i="24"/>
  <c r="BL74" i="24"/>
  <c r="AO57" i="24"/>
  <c r="R57" i="24"/>
  <c r="R51" i="24"/>
  <c r="AO29" i="24"/>
  <c r="R29" i="24"/>
  <c r="BL29" i="24"/>
  <c r="BL51" i="24"/>
  <c r="AO47" i="24"/>
  <c r="R47" i="24"/>
  <c r="R36" i="24"/>
  <c r="AO36" i="24"/>
  <c r="AO16" i="24"/>
  <c r="R16" i="24"/>
  <c r="BL52" i="24"/>
  <c r="BL26" i="24"/>
  <c r="AF39" i="24"/>
  <c r="BL14" i="24"/>
  <c r="R14" i="24"/>
  <c r="AO14" i="24"/>
  <c r="AN38" i="24"/>
  <c r="BL37" i="24"/>
  <c r="AO37" i="24"/>
  <c r="R37" i="24"/>
  <c r="BL34" i="24"/>
  <c r="R34" i="24"/>
  <c r="AO34" i="24"/>
  <c r="AO38" i="24"/>
  <c r="BL38" i="24"/>
  <c r="BL24" i="24"/>
  <c r="BL21" i="24"/>
  <c r="R21" i="24"/>
  <c r="AO21" i="24"/>
  <c r="BL39" i="24"/>
  <c r="AO39" i="24"/>
  <c r="BL27" i="24"/>
  <c r="R4" i="24"/>
  <c r="BL4" i="24"/>
  <c r="AO4" i="24"/>
  <c r="BL20" i="24"/>
  <c r="AO11" i="24"/>
  <c r="R3" i="24"/>
  <c r="AO3" i="24"/>
  <c r="AO6" i="24"/>
  <c r="R6" i="24"/>
  <c r="BL11" i="24"/>
  <c r="BL3" i="24"/>
  <c r="AM208" i="21"/>
  <c r="AP208" i="21"/>
  <c r="AF212" i="21"/>
  <c r="AN212" i="21" s="1"/>
  <c r="V212" i="21"/>
  <c r="L212" i="21"/>
  <c r="AI172" i="21"/>
  <c r="AW172" i="21" s="1"/>
  <c r="X172" i="21"/>
  <c r="M172" i="21"/>
  <c r="AD129" i="21"/>
  <c r="AB171" i="23"/>
  <c r="AL171" i="23"/>
  <c r="AD171" i="23"/>
  <c r="AA171" i="23"/>
  <c r="AU171" i="23"/>
  <c r="Z171" i="23"/>
  <c r="AT171" i="23"/>
  <c r="E171" i="23"/>
  <c r="D171" i="24" s="1"/>
  <c r="D171" i="23"/>
  <c r="C171" i="24" s="1"/>
  <c r="C171" i="23"/>
  <c r="F171" i="23" s="1"/>
  <c r="D177" i="23"/>
  <c r="C177" i="24" s="1"/>
  <c r="E177" i="23"/>
  <c r="D177" i="24" s="1"/>
  <c r="BM177" i="24" s="1"/>
  <c r="Z177" i="23"/>
  <c r="AT177" i="23"/>
  <c r="C177" i="23"/>
  <c r="AA177" i="23"/>
  <c r="AL177" i="23"/>
  <c r="C140" i="23"/>
  <c r="AF140" i="23" s="1"/>
  <c r="AD140" i="23"/>
  <c r="AT140" i="23"/>
  <c r="E140" i="23"/>
  <c r="D140" i="24" s="1"/>
  <c r="Z140" i="23"/>
  <c r="AA140" i="23"/>
  <c r="AB140" i="23"/>
  <c r="AU140" i="23"/>
  <c r="D140" i="23"/>
  <c r="C140" i="24" s="1"/>
  <c r="AL140" i="23"/>
  <c r="BE190" i="23"/>
  <c r="AV190" i="23"/>
  <c r="BG190" i="23"/>
  <c r="AS190" i="23"/>
  <c r="BC190" i="23"/>
  <c r="E188" i="23"/>
  <c r="D188" i="24" s="1"/>
  <c r="O188" i="23"/>
  <c r="F188" i="23"/>
  <c r="Z188" i="23"/>
  <c r="AT188" i="23"/>
  <c r="AA188" i="23"/>
  <c r="AU188" i="23"/>
  <c r="D188" i="23"/>
  <c r="C188" i="24" s="1"/>
  <c r="X188" i="23"/>
  <c r="AB188" i="23"/>
  <c r="AD188" i="23"/>
  <c r="W188" i="23"/>
  <c r="AL188" i="23"/>
  <c r="S188" i="23"/>
  <c r="AX186" i="23"/>
  <c r="AW186" i="23"/>
  <c r="AD160" i="23"/>
  <c r="AB160" i="23"/>
  <c r="AL160" i="23"/>
  <c r="E160" i="23"/>
  <c r="D160" i="24" s="1"/>
  <c r="D160" i="23"/>
  <c r="C160" i="24" s="1"/>
  <c r="AA160" i="23"/>
  <c r="AT160" i="23"/>
  <c r="C160" i="23"/>
  <c r="AF160" i="23" s="1"/>
  <c r="Z160" i="23"/>
  <c r="AF193" i="23"/>
  <c r="F193" i="23"/>
  <c r="W193" i="23"/>
  <c r="O193" i="23"/>
  <c r="AD177" i="23"/>
  <c r="AF169" i="23"/>
  <c r="X169" i="23"/>
  <c r="BB190" i="23"/>
  <c r="AF190" i="23"/>
  <c r="X190" i="23"/>
  <c r="Z179" i="23"/>
  <c r="AT179" i="23"/>
  <c r="AA179" i="23"/>
  <c r="AU179" i="23"/>
  <c r="AB179" i="23"/>
  <c r="AL179" i="23"/>
  <c r="E179" i="23"/>
  <c r="D179" i="24" s="1"/>
  <c r="S179" i="24" s="1"/>
  <c r="AD179" i="23"/>
  <c r="S179" i="23"/>
  <c r="BA150" i="23"/>
  <c r="AS150" i="23"/>
  <c r="BE150" i="23"/>
  <c r="BG150" i="23"/>
  <c r="AV150" i="23"/>
  <c r="BB150" i="23"/>
  <c r="BC150" i="23"/>
  <c r="F172" i="21"/>
  <c r="P172" i="21"/>
  <c r="Z172" i="21"/>
  <c r="AJ172" i="21"/>
  <c r="AH134" i="23"/>
  <c r="BA190" i="23"/>
  <c r="AB177" i="23"/>
  <c r="F124" i="23"/>
  <c r="AF124" i="23"/>
  <c r="O124" i="23"/>
  <c r="BG107" i="23"/>
  <c r="AS107" i="23"/>
  <c r="BE107" i="23"/>
  <c r="AV107" i="23"/>
  <c r="BA107" i="23"/>
  <c r="BB107" i="23"/>
  <c r="BC107" i="23"/>
  <c r="C129" i="21"/>
  <c r="M129" i="21"/>
  <c r="W129" i="21"/>
  <c r="AG129" i="21"/>
  <c r="AQ129" i="21" s="1"/>
  <c r="D129" i="21"/>
  <c r="N129" i="21"/>
  <c r="X129" i="21"/>
  <c r="AH129" i="21"/>
  <c r="E129" i="21"/>
  <c r="O129" i="21"/>
  <c r="Y129" i="21"/>
  <c r="AI129" i="21"/>
  <c r="AW129" i="21" s="1"/>
  <c r="B129" i="21"/>
  <c r="L129" i="21"/>
  <c r="V129" i="21"/>
  <c r="AF129" i="21"/>
  <c r="AN129" i="21" s="1"/>
  <c r="BE180" i="23"/>
  <c r="AV180" i="23"/>
  <c r="BG180" i="23"/>
  <c r="BC180" i="23"/>
  <c r="AS180" i="23"/>
  <c r="H136" i="23"/>
  <c r="I136" i="23" s="1"/>
  <c r="J136" i="23"/>
  <c r="G136" i="23"/>
  <c r="K136" i="23"/>
  <c r="C118" i="23"/>
  <c r="AF118" i="23" s="1"/>
  <c r="S118" i="23"/>
  <c r="AD118" i="23"/>
  <c r="AB118" i="23"/>
  <c r="E118" i="23"/>
  <c r="D118" i="24" s="1"/>
  <c r="S118" i="24" s="1"/>
  <c r="AL118" i="23"/>
  <c r="D118" i="23"/>
  <c r="C118" i="24" s="1"/>
  <c r="O118" i="23"/>
  <c r="AU118" i="23"/>
  <c r="AT118" i="23"/>
  <c r="Z118" i="23"/>
  <c r="AA118" i="23"/>
  <c r="Y212" i="21"/>
  <c r="O212" i="21"/>
  <c r="E212" i="21"/>
  <c r="AK129" i="21"/>
  <c r="S129" i="21"/>
  <c r="A129" i="21"/>
  <c r="AU177" i="23"/>
  <c r="BE170" i="23"/>
  <c r="AV170" i="23"/>
  <c r="BG170" i="23"/>
  <c r="BB170" i="23"/>
  <c r="BC170" i="23"/>
  <c r="BA170" i="23"/>
  <c r="AS170" i="23"/>
  <c r="BG136" i="23"/>
  <c r="BA136" i="23"/>
  <c r="BE136" i="23"/>
  <c r="BC136" i="23"/>
  <c r="AS136" i="23"/>
  <c r="AV136" i="23"/>
  <c r="E158" i="21"/>
  <c r="O158" i="21"/>
  <c r="Y158" i="21"/>
  <c r="AI158" i="21"/>
  <c r="AW158" i="21" s="1"/>
  <c r="F158" i="21"/>
  <c r="P158" i="21"/>
  <c r="Z158" i="21"/>
  <c r="AJ158" i="21"/>
  <c r="G158" i="21"/>
  <c r="Q158" i="21"/>
  <c r="AA158" i="21"/>
  <c r="AK158" i="21"/>
  <c r="BB136" i="23"/>
  <c r="D158" i="21"/>
  <c r="N158" i="21"/>
  <c r="X158" i="21"/>
  <c r="AH158" i="21"/>
  <c r="AH212" i="21"/>
  <c r="X212" i="21"/>
  <c r="N212" i="21"/>
  <c r="D212" i="21"/>
  <c r="AA172" i="21"/>
  <c r="O172" i="21"/>
  <c r="D172" i="21"/>
  <c r="AJ129" i="21"/>
  <c r="R129" i="21"/>
  <c r="BB180" i="23"/>
  <c r="AG212" i="21"/>
  <c r="AQ212" i="21" s="1"/>
  <c r="W212" i="21"/>
  <c r="M212" i="21"/>
  <c r="C212" i="21"/>
  <c r="AK172" i="21"/>
  <c r="Y172" i="21"/>
  <c r="N172" i="21"/>
  <c r="C172" i="21"/>
  <c r="AE129" i="21"/>
  <c r="Q129" i="21"/>
  <c r="K184" i="23"/>
  <c r="J184" i="23"/>
  <c r="BA180" i="23"/>
  <c r="O176" i="23"/>
  <c r="AF176" i="23"/>
  <c r="F176" i="23"/>
  <c r="AI95" i="21"/>
  <c r="AW95" i="21" s="1"/>
  <c r="Y95" i="21"/>
  <c r="O95" i="21"/>
  <c r="D187" i="23"/>
  <c r="C187" i="24" s="1"/>
  <c r="E187" i="23"/>
  <c r="D187" i="24" s="1"/>
  <c r="Z187" i="23"/>
  <c r="AT187" i="23"/>
  <c r="C187" i="23"/>
  <c r="O187" i="23" s="1"/>
  <c r="AA187" i="23"/>
  <c r="AB187" i="23"/>
  <c r="AL187" i="23"/>
  <c r="AV181" i="23"/>
  <c r="BG181" i="23"/>
  <c r="BE181" i="23"/>
  <c r="AS181" i="23"/>
  <c r="O166" i="23"/>
  <c r="AF166" i="23"/>
  <c r="F166" i="23"/>
  <c r="AN155" i="23"/>
  <c r="F169" i="23"/>
  <c r="Z169" i="23"/>
  <c r="AT169" i="23"/>
  <c r="AA169" i="23"/>
  <c r="AU169" i="23"/>
  <c r="AB169" i="23"/>
  <c r="AL169" i="23"/>
  <c r="E169" i="23"/>
  <c r="D169" i="24" s="1"/>
  <c r="O169" i="23"/>
  <c r="W169" i="23"/>
  <c r="AD169" i="23"/>
  <c r="AH162" i="23"/>
  <c r="S146" i="23"/>
  <c r="AD146" i="23"/>
  <c r="D146" i="23"/>
  <c r="C146" i="24" s="1"/>
  <c r="E146" i="23"/>
  <c r="D146" i="24" s="1"/>
  <c r="C146" i="23"/>
  <c r="AB146" i="23"/>
  <c r="AT146" i="23"/>
  <c r="AU146" i="23"/>
  <c r="AA146" i="23"/>
  <c r="Z146" i="23"/>
  <c r="AN95" i="23"/>
  <c r="AH121" i="23"/>
  <c r="AA114" i="23"/>
  <c r="AU114" i="23"/>
  <c r="AB114" i="23"/>
  <c r="AL114" i="23"/>
  <c r="Z114" i="23"/>
  <c r="AT114" i="23"/>
  <c r="E114" i="23"/>
  <c r="D114" i="24" s="1"/>
  <c r="AV114" i="24" s="1"/>
  <c r="AD114" i="23"/>
  <c r="D114" i="23"/>
  <c r="C114" i="24" s="1"/>
  <c r="C114" i="23"/>
  <c r="AF114" i="23" s="1"/>
  <c r="K73" i="23"/>
  <c r="H73" i="23"/>
  <c r="I73" i="23" s="1"/>
  <c r="J73" i="23"/>
  <c r="G73" i="23"/>
  <c r="J162" i="23"/>
  <c r="K162" i="23"/>
  <c r="H162" i="23"/>
  <c r="I162" i="23" s="1"/>
  <c r="BA73" i="23"/>
  <c r="BB73" i="23"/>
  <c r="AS73" i="23"/>
  <c r="BE73" i="23"/>
  <c r="AV73" i="23"/>
  <c r="BC73" i="23"/>
  <c r="BG73" i="23"/>
  <c r="S169" i="23"/>
  <c r="AA158" i="23"/>
  <c r="AU158" i="23"/>
  <c r="D158" i="23"/>
  <c r="C158" i="24" s="1"/>
  <c r="E158" i="23"/>
  <c r="D158" i="24" s="1"/>
  <c r="Z158" i="23"/>
  <c r="AL158" i="23"/>
  <c r="AB158" i="23"/>
  <c r="C158" i="23"/>
  <c r="AT158" i="23"/>
  <c r="AD158" i="23"/>
  <c r="AV145" i="23"/>
  <c r="BC145" i="23"/>
  <c r="AS145" i="23"/>
  <c r="BE145" i="23"/>
  <c r="BG145" i="23"/>
  <c r="BB145" i="23"/>
  <c r="AN143" i="23"/>
  <c r="AF119" i="23"/>
  <c r="X119" i="23"/>
  <c r="F119" i="23"/>
  <c r="S119" i="23"/>
  <c r="W119" i="23"/>
  <c r="O119" i="23"/>
  <c r="X180" i="23"/>
  <c r="D151" i="23"/>
  <c r="C151" i="24" s="1"/>
  <c r="E151" i="23"/>
  <c r="D151" i="24" s="1"/>
  <c r="Z151" i="24" s="1"/>
  <c r="AA151" i="23"/>
  <c r="AL151" i="23"/>
  <c r="AT151" i="23"/>
  <c r="AU151" i="23"/>
  <c r="C151" i="23"/>
  <c r="S151" i="23" s="1"/>
  <c r="AD151" i="23"/>
  <c r="AD101" i="23"/>
  <c r="D101" i="23"/>
  <c r="C101" i="24" s="1"/>
  <c r="AU101" i="23"/>
  <c r="E101" i="23"/>
  <c r="D101" i="24" s="1"/>
  <c r="F101" i="23"/>
  <c r="C101" i="23"/>
  <c r="S101" i="23" s="1"/>
  <c r="AT101" i="23"/>
  <c r="AB101" i="23"/>
  <c r="AL101" i="23"/>
  <c r="AA101" i="23"/>
  <c r="G91" i="23"/>
  <c r="AK95" i="21"/>
  <c r="AA95" i="21"/>
  <c r="Q95" i="21"/>
  <c r="G95" i="21"/>
  <c r="AD192" i="23"/>
  <c r="AB192" i="23"/>
  <c r="AL192" i="23"/>
  <c r="E192" i="23"/>
  <c r="D192" i="24" s="1"/>
  <c r="AP192" i="24" s="1"/>
  <c r="D192" i="23"/>
  <c r="C192" i="24" s="1"/>
  <c r="AU192" i="23"/>
  <c r="AT192" i="23"/>
  <c r="Z192" i="23"/>
  <c r="AA192" i="23"/>
  <c r="C192" i="23"/>
  <c r="AO176" i="23"/>
  <c r="J173" i="23"/>
  <c r="K173" i="23"/>
  <c r="I173" i="23"/>
  <c r="AH170" i="23"/>
  <c r="Z151" i="23"/>
  <c r="AH145" i="23"/>
  <c r="C120" i="23"/>
  <c r="E120" i="23"/>
  <c r="D120" i="24" s="1"/>
  <c r="AU120" i="24" s="1"/>
  <c r="O120" i="23"/>
  <c r="AD120" i="23"/>
  <c r="D120" i="23"/>
  <c r="C120" i="24" s="1"/>
  <c r="AB120" i="23"/>
  <c r="X120" i="23"/>
  <c r="Z120" i="23"/>
  <c r="AL120" i="23"/>
  <c r="AT120" i="23"/>
  <c r="AU120" i="23"/>
  <c r="AA120" i="23"/>
  <c r="Z101" i="23"/>
  <c r="BB91" i="23"/>
  <c r="BC91" i="23"/>
  <c r="AS91" i="23"/>
  <c r="BE91" i="23"/>
  <c r="BA91" i="23"/>
  <c r="AV91" i="23"/>
  <c r="BG91" i="23"/>
  <c r="AJ95" i="21"/>
  <c r="Z95" i="21"/>
  <c r="P95" i="21"/>
  <c r="F95" i="21"/>
  <c r="AN193" i="23"/>
  <c r="AD187" i="23"/>
  <c r="AH185" i="23"/>
  <c r="BG173" i="23"/>
  <c r="BE173" i="23"/>
  <c r="AS173" i="23"/>
  <c r="BG172" i="23"/>
  <c r="AV172" i="23"/>
  <c r="AS172" i="23"/>
  <c r="BE172" i="23"/>
  <c r="BA164" i="23"/>
  <c r="AV164" i="23"/>
  <c r="AS164" i="23"/>
  <c r="BG164" i="23"/>
  <c r="BB164" i="23"/>
  <c r="AL146" i="23"/>
  <c r="AB145" i="23"/>
  <c r="AL145" i="23"/>
  <c r="W145" i="23"/>
  <c r="X145" i="23"/>
  <c r="Z145" i="23"/>
  <c r="O145" i="23"/>
  <c r="AT145" i="23"/>
  <c r="S145" i="23"/>
  <c r="AU145" i="23"/>
  <c r="F145" i="23"/>
  <c r="BE124" i="23"/>
  <c r="BG124" i="23"/>
  <c r="AV124" i="23"/>
  <c r="AS124" i="23"/>
  <c r="BC124" i="23"/>
  <c r="BA124" i="23"/>
  <c r="BB124" i="23"/>
  <c r="G11" i="21"/>
  <c r="H181" i="23"/>
  <c r="I181" i="23" s="1"/>
  <c r="J181" i="23"/>
  <c r="G181" i="23"/>
  <c r="I172" i="23"/>
  <c r="J172" i="23"/>
  <c r="K172" i="23"/>
  <c r="H172" i="23"/>
  <c r="AN169" i="23"/>
  <c r="AF163" i="23"/>
  <c r="O163" i="23"/>
  <c r="X163" i="23"/>
  <c r="Z157" i="23"/>
  <c r="AT157" i="23"/>
  <c r="AD157" i="23"/>
  <c r="AL157" i="23"/>
  <c r="E157" i="23"/>
  <c r="D157" i="24" s="1"/>
  <c r="AH155" i="23"/>
  <c r="AF153" i="23"/>
  <c r="F153" i="23"/>
  <c r="O153" i="23"/>
  <c r="X153" i="23"/>
  <c r="AN146" i="23"/>
  <c r="J107" i="23"/>
  <c r="K107" i="23"/>
  <c r="H107" i="23"/>
  <c r="I107" i="23" s="1"/>
  <c r="L107" i="23" s="1"/>
  <c r="BG162" i="23"/>
  <c r="AV162" i="23"/>
  <c r="BE162" i="23"/>
  <c r="BC162" i="23"/>
  <c r="BE147" i="23"/>
  <c r="BA147" i="23"/>
  <c r="AV147" i="23"/>
  <c r="BB147" i="23"/>
  <c r="AS147" i="23"/>
  <c r="F143" i="23"/>
  <c r="Z143" i="23"/>
  <c r="AT143" i="23"/>
  <c r="AD143" i="23"/>
  <c r="AU143" i="23"/>
  <c r="D143" i="23"/>
  <c r="C143" i="24" s="1"/>
  <c r="E143" i="23"/>
  <c r="D143" i="24" s="1"/>
  <c r="BS143" i="24" s="1"/>
  <c r="C143" i="23"/>
  <c r="W143" i="23" s="1"/>
  <c r="AA134" i="23"/>
  <c r="AU134" i="23"/>
  <c r="S134" i="23"/>
  <c r="F134" i="23"/>
  <c r="AD134" i="23"/>
  <c r="W134" i="23"/>
  <c r="X134" i="23"/>
  <c r="E134" i="23"/>
  <c r="D134" i="24" s="1"/>
  <c r="AL134" i="23"/>
  <c r="O134" i="23"/>
  <c r="D134" i="23"/>
  <c r="C134" i="24" s="1"/>
  <c r="AB134" i="23"/>
  <c r="E122" i="23"/>
  <c r="D122" i="24" s="1"/>
  <c r="BK122" i="24" s="1"/>
  <c r="AA122" i="23"/>
  <c r="AU122" i="23"/>
  <c r="AT122" i="23"/>
  <c r="AD122" i="23"/>
  <c r="D122" i="23"/>
  <c r="C122" i="24" s="1"/>
  <c r="C122" i="23"/>
  <c r="AL122" i="23"/>
  <c r="X189" i="23"/>
  <c r="BA184" i="23"/>
  <c r="BB184" i="23"/>
  <c r="BC184" i="23"/>
  <c r="AN181" i="23"/>
  <c r="AN172" i="23"/>
  <c r="AH164" i="23"/>
  <c r="J163" i="23"/>
  <c r="K163" i="23"/>
  <c r="I163" i="23"/>
  <c r="AS162" i="23"/>
  <c r="AD148" i="23"/>
  <c r="D148" i="23"/>
  <c r="C148" i="24" s="1"/>
  <c r="Z148" i="23"/>
  <c r="AL148" i="23"/>
  <c r="E148" i="23"/>
  <c r="D148" i="24" s="1"/>
  <c r="AA148" i="23"/>
  <c r="AB148" i="23"/>
  <c r="C148" i="23"/>
  <c r="O148" i="23" s="1"/>
  <c r="AD147" i="23"/>
  <c r="C147" i="23"/>
  <c r="O147" i="23" s="1"/>
  <c r="AT147" i="23"/>
  <c r="D147" i="23"/>
  <c r="C147" i="24" s="1"/>
  <c r="AL147" i="23"/>
  <c r="Z147" i="23"/>
  <c r="AA147" i="23"/>
  <c r="AU147" i="23"/>
  <c r="AB147" i="23"/>
  <c r="AV135" i="23"/>
  <c r="AS135" i="23"/>
  <c r="BE135" i="23"/>
  <c r="BC135" i="23"/>
  <c r="BG135" i="23"/>
  <c r="BA135" i="23"/>
  <c r="BB135" i="23"/>
  <c r="Z134" i="23"/>
  <c r="AB122" i="23"/>
  <c r="AN102" i="23"/>
  <c r="AN192" i="23"/>
  <c r="BA174" i="23"/>
  <c r="AV174" i="23"/>
  <c r="BB174" i="23"/>
  <c r="AA170" i="23"/>
  <c r="AU170" i="23"/>
  <c r="AB170" i="23"/>
  <c r="AL170" i="23"/>
  <c r="S170" i="23"/>
  <c r="F170" i="23"/>
  <c r="Z170" i="23"/>
  <c r="AT170" i="23"/>
  <c r="W170" i="23"/>
  <c r="X170" i="23"/>
  <c r="AN165" i="23"/>
  <c r="BA165" i="23"/>
  <c r="BB165" i="23"/>
  <c r="BC165" i="23"/>
  <c r="BE165" i="23"/>
  <c r="BG163" i="23"/>
  <c r="BC163" i="23"/>
  <c r="BE163" i="23"/>
  <c r="BB163" i="23"/>
  <c r="AB157" i="23"/>
  <c r="D157" i="23"/>
  <c r="C157" i="24" s="1"/>
  <c r="W155" i="23"/>
  <c r="BG149" i="23"/>
  <c r="AV149" i="23"/>
  <c r="BE149" i="23"/>
  <c r="BC149" i="23"/>
  <c r="BB149" i="23"/>
  <c r="BG147" i="23"/>
  <c r="AF139" i="23"/>
  <c r="F139" i="23"/>
  <c r="O139" i="23"/>
  <c r="S139" i="23"/>
  <c r="X139" i="23"/>
  <c r="W139" i="23"/>
  <c r="Z122" i="23"/>
  <c r="AN96" i="23"/>
  <c r="H191" i="23"/>
  <c r="I191" i="23"/>
  <c r="J191" i="23"/>
  <c r="G191" i="23"/>
  <c r="AS184" i="23"/>
  <c r="K181" i="23"/>
  <c r="E178" i="23"/>
  <c r="D178" i="24" s="1"/>
  <c r="BT178" i="24" s="1"/>
  <c r="O178" i="23"/>
  <c r="F178" i="23"/>
  <c r="Z178" i="23"/>
  <c r="AT178" i="23"/>
  <c r="AA178" i="23"/>
  <c r="AU178" i="23"/>
  <c r="D178" i="23"/>
  <c r="C178" i="24" s="1"/>
  <c r="X178" i="23"/>
  <c r="W178" i="23"/>
  <c r="AB178" i="23"/>
  <c r="BC174" i="23"/>
  <c r="G172" i="23"/>
  <c r="E168" i="23"/>
  <c r="D168" i="24" s="1"/>
  <c r="Z168" i="23"/>
  <c r="AT168" i="23"/>
  <c r="AA168" i="23"/>
  <c r="AU168" i="23"/>
  <c r="D168" i="23"/>
  <c r="C168" i="24" s="1"/>
  <c r="AL168" i="23"/>
  <c r="C168" i="23"/>
  <c r="S168" i="23" s="1"/>
  <c r="AS165" i="23"/>
  <c r="S162" i="23"/>
  <c r="AD162" i="23"/>
  <c r="AB162" i="23"/>
  <c r="AL162" i="23"/>
  <c r="Z162" i="23"/>
  <c r="O162" i="23"/>
  <c r="AA162" i="23"/>
  <c r="X162" i="23"/>
  <c r="AU157" i="23"/>
  <c r="AA157" i="23"/>
  <c r="C157" i="23"/>
  <c r="S157" i="23" s="1"/>
  <c r="AN113" i="23"/>
  <c r="G107" i="23"/>
  <c r="BB98" i="23"/>
  <c r="BC98" i="23"/>
  <c r="AS98" i="23"/>
  <c r="BE98" i="23"/>
  <c r="BA98" i="23"/>
  <c r="BG98" i="23"/>
  <c r="AV98" i="23"/>
  <c r="E95" i="23"/>
  <c r="D95" i="24" s="1"/>
  <c r="AV95" i="24" s="1"/>
  <c r="AT95" i="23"/>
  <c r="Z95" i="23"/>
  <c r="AL95" i="23"/>
  <c r="AU95" i="23"/>
  <c r="AD95" i="23"/>
  <c r="AB95" i="23"/>
  <c r="D95" i="23"/>
  <c r="C95" i="24" s="1"/>
  <c r="C95" i="23"/>
  <c r="F95" i="23" s="1"/>
  <c r="AA95" i="23"/>
  <c r="AB191" i="23"/>
  <c r="AL191" i="23"/>
  <c r="S191" i="23"/>
  <c r="AD191" i="23"/>
  <c r="AA191" i="23"/>
  <c r="AU191" i="23"/>
  <c r="O190" i="23"/>
  <c r="BA185" i="23"/>
  <c r="BB185" i="23"/>
  <c r="AD182" i="23"/>
  <c r="AB182" i="23"/>
  <c r="AL182" i="23"/>
  <c r="AO175" i="23"/>
  <c r="D167" i="23"/>
  <c r="C167" i="24" s="1"/>
  <c r="E167" i="23"/>
  <c r="D167" i="24" s="1"/>
  <c r="Z167" i="23"/>
  <c r="AT167" i="23"/>
  <c r="C167" i="23"/>
  <c r="W167" i="23" s="1"/>
  <c r="AN163" i="23"/>
  <c r="O152" i="23"/>
  <c r="D141" i="23"/>
  <c r="C141" i="24" s="1"/>
  <c r="AB141" i="23"/>
  <c r="AU141" i="23"/>
  <c r="Z141" i="23"/>
  <c r="AL141" i="23"/>
  <c r="AT141" i="23"/>
  <c r="AD137" i="23"/>
  <c r="D137" i="23"/>
  <c r="C137" i="24" s="1"/>
  <c r="AU137" i="23"/>
  <c r="E137" i="23"/>
  <c r="D137" i="24" s="1"/>
  <c r="Z137" i="23"/>
  <c r="C137" i="23"/>
  <c r="O137" i="23" s="1"/>
  <c r="AT137" i="23"/>
  <c r="AA137" i="23"/>
  <c r="AB137" i="23"/>
  <c r="AN130" i="23"/>
  <c r="AO119" i="23"/>
  <c r="AH109" i="23"/>
  <c r="BA105" i="23"/>
  <c r="BC105" i="23"/>
  <c r="AS105" i="23"/>
  <c r="BE105" i="23"/>
  <c r="BB105" i="23"/>
  <c r="BG105" i="23"/>
  <c r="AV105" i="23"/>
  <c r="W96" i="23"/>
  <c r="AF96" i="23"/>
  <c r="AV123" i="23"/>
  <c r="AS123" i="23"/>
  <c r="BG123" i="23"/>
  <c r="BE123" i="23"/>
  <c r="BA123" i="23"/>
  <c r="H115" i="23"/>
  <c r="I115" i="23" s="1"/>
  <c r="J115" i="23"/>
  <c r="G115" i="23"/>
  <c r="K194" i="23"/>
  <c r="J194" i="23"/>
  <c r="AV191" i="23"/>
  <c r="BG191" i="23"/>
  <c r="BE191" i="23"/>
  <c r="F189" i="23"/>
  <c r="Z189" i="23"/>
  <c r="AT189" i="23"/>
  <c r="AA189" i="23"/>
  <c r="AU189" i="23"/>
  <c r="AB189" i="23"/>
  <c r="AL189" i="23"/>
  <c r="E189" i="23"/>
  <c r="D189" i="24" s="1"/>
  <c r="O189" i="23"/>
  <c r="O186" i="23"/>
  <c r="AF186" i="23"/>
  <c r="J183" i="23"/>
  <c r="K183" i="23"/>
  <c r="BG182" i="23"/>
  <c r="AV182" i="23"/>
  <c r="AA180" i="23"/>
  <c r="AU180" i="23"/>
  <c r="AB180" i="23"/>
  <c r="AL180" i="23"/>
  <c r="S180" i="23"/>
  <c r="F180" i="23"/>
  <c r="Z180" i="23"/>
  <c r="AT180" i="23"/>
  <c r="AN164" i="23"/>
  <c r="AV159" i="23"/>
  <c r="BC159" i="23"/>
  <c r="AS159" i="23"/>
  <c r="BE159" i="23"/>
  <c r="BB159" i="23"/>
  <c r="AN157" i="23"/>
  <c r="D155" i="23"/>
  <c r="C155" i="24" s="1"/>
  <c r="X155" i="23"/>
  <c r="F155" i="23"/>
  <c r="AB155" i="23"/>
  <c r="S155" i="23"/>
  <c r="AD155" i="23"/>
  <c r="E155" i="23"/>
  <c r="D155" i="24" s="1"/>
  <c r="BM155" i="24" s="1"/>
  <c r="AA155" i="23"/>
  <c r="AL155" i="23"/>
  <c r="BA154" i="23"/>
  <c r="BB154" i="23"/>
  <c r="BC154" i="23"/>
  <c r="AS154" i="23"/>
  <c r="AN142" i="23"/>
  <c r="AN139" i="23"/>
  <c r="BB138" i="23"/>
  <c r="BC138" i="23"/>
  <c r="BA138" i="23"/>
  <c r="BB123" i="23"/>
  <c r="AV115" i="23"/>
  <c r="BA115" i="23"/>
  <c r="BB115" i="23"/>
  <c r="BC115" i="23"/>
  <c r="BE115" i="23"/>
  <c r="BG115" i="23"/>
  <c r="BA93" i="23"/>
  <c r="BB93" i="23"/>
  <c r="BG93" i="23"/>
  <c r="AV93" i="23"/>
  <c r="AS93" i="23"/>
  <c r="BE93" i="23"/>
  <c r="BC93" i="23"/>
  <c r="AV193" i="23"/>
  <c r="D191" i="23"/>
  <c r="C191" i="24" s="1"/>
  <c r="AD189" i="23"/>
  <c r="AU182" i="23"/>
  <c r="D182" i="23"/>
  <c r="C182" i="24" s="1"/>
  <c r="AB181" i="23"/>
  <c r="AL181" i="23"/>
  <c r="S181" i="23"/>
  <c r="AD181" i="23"/>
  <c r="AA181" i="23"/>
  <c r="AU181" i="23"/>
  <c r="O180" i="23"/>
  <c r="BA175" i="23"/>
  <c r="BB175" i="23"/>
  <c r="S172" i="23"/>
  <c r="AD172" i="23"/>
  <c r="AB172" i="23"/>
  <c r="AL172" i="23"/>
  <c r="AL167" i="23"/>
  <c r="AO165" i="23"/>
  <c r="AH165" i="23"/>
  <c r="AT155" i="23"/>
  <c r="E152" i="23"/>
  <c r="D152" i="24" s="1"/>
  <c r="BK152" i="24" s="1"/>
  <c r="W152" i="23"/>
  <c r="AD152" i="23"/>
  <c r="AH144" i="23"/>
  <c r="E141" i="23"/>
  <c r="D141" i="24" s="1"/>
  <c r="BE138" i="23"/>
  <c r="AN131" i="23"/>
  <c r="AF123" i="23"/>
  <c r="S123" i="23"/>
  <c r="W121" i="23"/>
  <c r="W106" i="23"/>
  <c r="BG106" i="23"/>
  <c r="AV106" i="23"/>
  <c r="AS106" i="23"/>
  <c r="BE106" i="23"/>
  <c r="BB106" i="23"/>
  <c r="BC106" i="23"/>
  <c r="BA106" i="23"/>
  <c r="AA190" i="23"/>
  <c r="AU190" i="23"/>
  <c r="AB190" i="23"/>
  <c r="AL190" i="23"/>
  <c r="S190" i="23"/>
  <c r="F190" i="23"/>
  <c r="Z190" i="23"/>
  <c r="AT190" i="23"/>
  <c r="C182" i="23"/>
  <c r="S182" i="23" s="1"/>
  <c r="AN174" i="23"/>
  <c r="AN171" i="23"/>
  <c r="AN162" i="23"/>
  <c r="X159" i="23"/>
  <c r="AF159" i="23"/>
  <c r="BG154" i="23"/>
  <c r="AN153" i="23"/>
  <c r="AN144" i="23"/>
  <c r="AO142" i="23"/>
  <c r="C141" i="23"/>
  <c r="X141" i="23" s="1"/>
  <c r="AV138" i="23"/>
  <c r="AN136" i="23"/>
  <c r="S135" i="23"/>
  <c r="D121" i="23"/>
  <c r="C121" i="24" s="1"/>
  <c r="X121" i="23"/>
  <c r="F121" i="23"/>
  <c r="Z121" i="23"/>
  <c r="AT121" i="23"/>
  <c r="AD121" i="23"/>
  <c r="S121" i="23"/>
  <c r="E121" i="23"/>
  <c r="D121" i="24" s="1"/>
  <c r="X121" i="24" s="1"/>
  <c r="AU121" i="23"/>
  <c r="O121" i="23"/>
  <c r="AO120" i="23"/>
  <c r="AN116" i="23"/>
  <c r="AS115" i="23"/>
  <c r="AH106" i="23"/>
  <c r="S193" i="23"/>
  <c r="S183" i="23"/>
  <c r="S173" i="23"/>
  <c r="S163" i="23"/>
  <c r="AS161" i="23"/>
  <c r="AN161" i="23"/>
  <c r="X138" i="23"/>
  <c r="BB129" i="23"/>
  <c r="AV129" i="23"/>
  <c r="BG129" i="23"/>
  <c r="AA116" i="23"/>
  <c r="BA109" i="23"/>
  <c r="BB109" i="23"/>
  <c r="AV109" i="23"/>
  <c r="D57" i="23"/>
  <c r="C57" i="24" s="1"/>
  <c r="E57" i="23"/>
  <c r="D57" i="24" s="1"/>
  <c r="Z57" i="23"/>
  <c r="AT57" i="23"/>
  <c r="AA57" i="23"/>
  <c r="AU57" i="23"/>
  <c r="C57" i="23"/>
  <c r="AF57" i="23" s="1"/>
  <c r="AB57" i="23"/>
  <c r="AD57" i="23"/>
  <c r="AL57" i="23"/>
  <c r="D106" i="23"/>
  <c r="C106" i="24" s="1"/>
  <c r="X106" i="23"/>
  <c r="S106" i="23"/>
  <c r="AD106" i="23"/>
  <c r="F106" i="23"/>
  <c r="AB106" i="23"/>
  <c r="AL106" i="23"/>
  <c r="O106" i="23"/>
  <c r="AT106" i="23"/>
  <c r="AA106" i="23"/>
  <c r="AD102" i="23"/>
  <c r="E102" i="23"/>
  <c r="D102" i="24" s="1"/>
  <c r="Z102" i="23"/>
  <c r="AA102" i="23"/>
  <c r="AL102" i="23"/>
  <c r="AB102" i="23"/>
  <c r="D102" i="23"/>
  <c r="C102" i="24" s="1"/>
  <c r="AU102" i="23"/>
  <c r="C102" i="23"/>
  <c r="O102" i="23" s="1"/>
  <c r="AV100" i="23"/>
  <c r="BE100" i="23"/>
  <c r="BG100" i="23"/>
  <c r="AS100" i="23"/>
  <c r="AH87" i="23"/>
  <c r="E81" i="23"/>
  <c r="D81" i="24" s="1"/>
  <c r="AA81" i="23"/>
  <c r="AB81" i="23"/>
  <c r="AL81" i="23"/>
  <c r="D81" i="23"/>
  <c r="C81" i="24" s="1"/>
  <c r="Z81" i="23"/>
  <c r="AU81" i="23"/>
  <c r="C81" i="23"/>
  <c r="O81" i="23" s="1"/>
  <c r="AD81" i="23"/>
  <c r="AT81" i="23"/>
  <c r="X67" i="23"/>
  <c r="AF67" i="23"/>
  <c r="F67" i="23"/>
  <c r="S67" i="23"/>
  <c r="BG61" i="23"/>
  <c r="BA61" i="23"/>
  <c r="BC61" i="23"/>
  <c r="BE61" i="23"/>
  <c r="AS61" i="23"/>
  <c r="AB159" i="23"/>
  <c r="AL159" i="23"/>
  <c r="C154" i="23"/>
  <c r="W154" i="23" s="1"/>
  <c r="C150" i="23"/>
  <c r="W150" i="23" s="1"/>
  <c r="AN147" i="23"/>
  <c r="AB135" i="23"/>
  <c r="AL135" i="23"/>
  <c r="AD135" i="23"/>
  <c r="AT135" i="23"/>
  <c r="F123" i="23"/>
  <c r="Z123" i="23"/>
  <c r="AT123" i="23"/>
  <c r="AB123" i="23"/>
  <c r="AL123" i="23"/>
  <c r="AU123" i="23"/>
  <c r="W123" i="23"/>
  <c r="AH116" i="23"/>
  <c r="S116" i="23"/>
  <c r="F116" i="23"/>
  <c r="AD116" i="23"/>
  <c r="E116" i="23"/>
  <c r="D116" i="24" s="1"/>
  <c r="AB116" i="23"/>
  <c r="BA108" i="23"/>
  <c r="BC108" i="23"/>
  <c r="BE108" i="23"/>
  <c r="BB108" i="23"/>
  <c r="AD90" i="23"/>
  <c r="AT90" i="23"/>
  <c r="D90" i="23"/>
  <c r="C90" i="24" s="1"/>
  <c r="AA90" i="23"/>
  <c r="E90" i="23"/>
  <c r="D90" i="24" s="1"/>
  <c r="AB90" i="23"/>
  <c r="C90" i="23"/>
  <c r="F90" i="23" s="1"/>
  <c r="Z90" i="23"/>
  <c r="AL90" i="23"/>
  <c r="BC82" i="23"/>
  <c r="AS82" i="23"/>
  <c r="BE82" i="23"/>
  <c r="AV82" i="23"/>
  <c r="BG82" i="23"/>
  <c r="AF73" i="23"/>
  <c r="O73" i="23"/>
  <c r="X73" i="23"/>
  <c r="X70" i="23"/>
  <c r="AH38" i="23"/>
  <c r="BB186" i="23"/>
  <c r="X186" i="23"/>
  <c r="D186" i="23"/>
  <c r="C186" i="24" s="1"/>
  <c r="BB176" i="23"/>
  <c r="X176" i="23"/>
  <c r="D176" i="23"/>
  <c r="C176" i="24" s="1"/>
  <c r="BB166" i="23"/>
  <c r="X166" i="23"/>
  <c r="D166" i="23"/>
  <c r="C166" i="24" s="1"/>
  <c r="AU161" i="23"/>
  <c r="D161" i="23"/>
  <c r="C161" i="24" s="1"/>
  <c r="W159" i="23"/>
  <c r="E156" i="23"/>
  <c r="D156" i="24" s="1"/>
  <c r="O156" i="23"/>
  <c r="AT150" i="23"/>
  <c r="AF149" i="23"/>
  <c r="O149" i="23"/>
  <c r="AA144" i="23"/>
  <c r="AU144" i="23"/>
  <c r="D144" i="23"/>
  <c r="C144" i="24" s="1"/>
  <c r="O144" i="23"/>
  <c r="E144" i="23"/>
  <c r="D144" i="24" s="1"/>
  <c r="AU144" i="24" s="1"/>
  <c r="Z144" i="23"/>
  <c r="AL144" i="23"/>
  <c r="AN141" i="23"/>
  <c r="AN137" i="23"/>
  <c r="S136" i="23"/>
  <c r="AD136" i="23"/>
  <c r="AA135" i="23"/>
  <c r="F133" i="23"/>
  <c r="Z133" i="23"/>
  <c r="AT133" i="23"/>
  <c r="AB133" i="23"/>
  <c r="AL133" i="23"/>
  <c r="E133" i="23"/>
  <c r="D133" i="24" s="1"/>
  <c r="AD133" i="23"/>
  <c r="S133" i="23"/>
  <c r="D133" i="23"/>
  <c r="C133" i="24" s="1"/>
  <c r="AN132" i="23"/>
  <c r="AN128" i="23"/>
  <c r="H125" i="23"/>
  <c r="I125" i="23" s="1"/>
  <c r="J125" i="23"/>
  <c r="AT116" i="23"/>
  <c r="AB115" i="23"/>
  <c r="AL115" i="23"/>
  <c r="S115" i="23"/>
  <c r="AD115" i="23"/>
  <c r="AA115" i="23"/>
  <c r="Z115" i="23"/>
  <c r="O115" i="23"/>
  <c r="X115" i="23"/>
  <c r="AN114" i="23"/>
  <c r="F113" i="23"/>
  <c r="Z113" i="23"/>
  <c r="AT113" i="23"/>
  <c r="AA113" i="23"/>
  <c r="AU113" i="23"/>
  <c r="AB113" i="23"/>
  <c r="AL113" i="23"/>
  <c r="E113" i="23"/>
  <c r="D113" i="24" s="1"/>
  <c r="O113" i="23"/>
  <c r="W113" i="23"/>
  <c r="D113" i="23"/>
  <c r="C113" i="24" s="1"/>
  <c r="BG109" i="23"/>
  <c r="AN104" i="23"/>
  <c r="K103" i="23"/>
  <c r="J103" i="23"/>
  <c r="AH97" i="23"/>
  <c r="AD89" i="23"/>
  <c r="AU89" i="23"/>
  <c r="D89" i="23"/>
  <c r="C89" i="24" s="1"/>
  <c r="E89" i="23"/>
  <c r="D89" i="24" s="1"/>
  <c r="AT89" i="24" s="1"/>
  <c r="Z89" i="23"/>
  <c r="F89" i="23"/>
  <c r="AA89" i="23"/>
  <c r="AT89" i="23"/>
  <c r="AB89" i="23"/>
  <c r="C89" i="23"/>
  <c r="X89" i="23" s="1"/>
  <c r="AD61" i="23"/>
  <c r="AB61" i="23"/>
  <c r="AL61" i="23"/>
  <c r="C61" i="23"/>
  <c r="O61" i="23" s="1"/>
  <c r="AU61" i="23"/>
  <c r="AT61" i="23"/>
  <c r="X60" i="23"/>
  <c r="AF60" i="23"/>
  <c r="S60" i="23"/>
  <c r="F60" i="23"/>
  <c r="O60" i="23"/>
  <c r="C45" i="23"/>
  <c r="F45" i="23" s="1"/>
  <c r="AB45" i="23"/>
  <c r="AA45" i="23"/>
  <c r="AL45" i="23"/>
  <c r="AT45" i="23"/>
  <c r="AU45" i="23"/>
  <c r="E45" i="23"/>
  <c r="D45" i="24" s="1"/>
  <c r="AD45" i="23"/>
  <c r="Z45" i="23"/>
  <c r="F38" i="23"/>
  <c r="Z38" i="23"/>
  <c r="AT38" i="23"/>
  <c r="E38" i="23"/>
  <c r="D38" i="24" s="1"/>
  <c r="AP38" i="24" s="1"/>
  <c r="AA38" i="23"/>
  <c r="AL38" i="23"/>
  <c r="AB38" i="23"/>
  <c r="D38" i="23"/>
  <c r="C38" i="24" s="1"/>
  <c r="O38" i="23"/>
  <c r="W38" i="23"/>
  <c r="X38" i="23"/>
  <c r="S38" i="23"/>
  <c r="AU38" i="23"/>
  <c r="W186" i="23"/>
  <c r="W176" i="23"/>
  <c r="W166" i="23"/>
  <c r="AT161" i="23"/>
  <c r="C161" i="23"/>
  <c r="O161" i="23" s="1"/>
  <c r="AT156" i="23"/>
  <c r="W156" i="23"/>
  <c r="AB144" i="23"/>
  <c r="O138" i="23"/>
  <c r="AA136" i="23"/>
  <c r="O136" i="23"/>
  <c r="Z135" i="23"/>
  <c r="O135" i="23"/>
  <c r="AN126" i="23"/>
  <c r="AD123" i="23"/>
  <c r="AF117" i="23"/>
  <c r="F117" i="23"/>
  <c r="S117" i="23"/>
  <c r="AN107" i="23"/>
  <c r="AO105" i="23"/>
  <c r="BC103" i="23"/>
  <c r="AS103" i="23"/>
  <c r="BE103" i="23"/>
  <c r="BB103" i="23"/>
  <c r="BG103" i="23"/>
  <c r="AV96" i="23"/>
  <c r="AS96" i="23"/>
  <c r="AU90" i="23"/>
  <c r="BB82" i="23"/>
  <c r="C75" i="23"/>
  <c r="W75" i="23" s="1"/>
  <c r="AD75" i="23"/>
  <c r="E75" i="23"/>
  <c r="D75" i="24" s="1"/>
  <c r="AL75" i="23"/>
  <c r="AA75" i="23"/>
  <c r="AU75" i="23"/>
  <c r="AB75" i="23"/>
  <c r="Z75" i="23"/>
  <c r="AT75" i="23"/>
  <c r="Z61" i="23"/>
  <c r="AH47" i="23"/>
  <c r="E132" i="23"/>
  <c r="D132" i="24" s="1"/>
  <c r="AA132" i="23"/>
  <c r="AU132" i="23"/>
  <c r="C128" i="23"/>
  <c r="W128" i="23" s="1"/>
  <c r="AV126" i="23"/>
  <c r="E112" i="23"/>
  <c r="D112" i="24" s="1"/>
  <c r="Z112" i="23"/>
  <c r="AT112" i="23"/>
  <c r="AA112" i="23"/>
  <c r="AU112" i="23"/>
  <c r="D112" i="23"/>
  <c r="C112" i="24" s="1"/>
  <c r="AN106" i="23"/>
  <c r="AF80" i="23"/>
  <c r="O80" i="23"/>
  <c r="BB94" i="23"/>
  <c r="AS94" i="23"/>
  <c r="BE94" i="23"/>
  <c r="BG94" i="23"/>
  <c r="BE87" i="23"/>
  <c r="AV87" i="23"/>
  <c r="BB87" i="23"/>
  <c r="BB131" i="23"/>
  <c r="AA124" i="23"/>
  <c r="AU124" i="23"/>
  <c r="S124" i="23"/>
  <c r="AF104" i="23"/>
  <c r="F104" i="23"/>
  <c r="S104" i="23"/>
  <c r="W103" i="23"/>
  <c r="AF103" i="23"/>
  <c r="AA99" i="23"/>
  <c r="AU99" i="23"/>
  <c r="F99" i="23"/>
  <c r="AB99" i="23"/>
  <c r="S99" i="23"/>
  <c r="AD99" i="23"/>
  <c r="E99" i="23"/>
  <c r="D99" i="24" s="1"/>
  <c r="AU99" i="24" s="1"/>
  <c r="Z99" i="23"/>
  <c r="AL99" i="23"/>
  <c r="AF98" i="23"/>
  <c r="W98" i="23"/>
  <c r="BA94" i="23"/>
  <c r="AH91" i="23"/>
  <c r="Z29" i="23"/>
  <c r="AT29" i="23"/>
  <c r="D29" i="23"/>
  <c r="C29" i="24" s="1"/>
  <c r="E29" i="23"/>
  <c r="D29" i="24" s="1"/>
  <c r="AA29" i="23"/>
  <c r="AL29" i="23"/>
  <c r="AB29" i="23"/>
  <c r="C29" i="23"/>
  <c r="X29" i="23" s="1"/>
  <c r="AU29" i="23"/>
  <c r="AD29" i="23"/>
  <c r="E142" i="23"/>
  <c r="D142" i="24" s="1"/>
  <c r="O142" i="23"/>
  <c r="D132" i="23"/>
  <c r="C132" i="24" s="1"/>
  <c r="C130" i="23"/>
  <c r="E130" i="23"/>
  <c r="D130" i="24" s="1"/>
  <c r="AF129" i="23"/>
  <c r="X129" i="23"/>
  <c r="AA128" i="23"/>
  <c r="AO128" i="23"/>
  <c r="E128" i="23"/>
  <c r="D128" i="24" s="1"/>
  <c r="AL126" i="23"/>
  <c r="AA126" i="23"/>
  <c r="AO126" i="23"/>
  <c r="D126" i="23"/>
  <c r="C126" i="24" s="1"/>
  <c r="AB125" i="23"/>
  <c r="AL125" i="23"/>
  <c r="AD125" i="23"/>
  <c r="X124" i="23"/>
  <c r="BC117" i="23"/>
  <c r="AL112" i="23"/>
  <c r="AF107" i="23"/>
  <c r="S107" i="23"/>
  <c r="AO104" i="23"/>
  <c r="AO103" i="23"/>
  <c r="AO99" i="23"/>
  <c r="D94" i="23"/>
  <c r="C94" i="24" s="1"/>
  <c r="X94" i="23"/>
  <c r="F94" i="23"/>
  <c r="AB94" i="23"/>
  <c r="W94" i="23"/>
  <c r="AT94" i="23"/>
  <c r="AU94" i="23"/>
  <c r="AF92" i="23"/>
  <c r="F92" i="23"/>
  <c r="S92" i="23"/>
  <c r="AD91" i="23"/>
  <c r="S91" i="23"/>
  <c r="BG87" i="23"/>
  <c r="F80" i="23"/>
  <c r="AH63" i="23"/>
  <c r="BA58" i="23"/>
  <c r="BB58" i="23"/>
  <c r="BE58" i="23"/>
  <c r="BG58" i="23"/>
  <c r="E28" i="23"/>
  <c r="D28" i="24" s="1"/>
  <c r="AD28" i="23"/>
  <c r="AL28" i="23"/>
  <c r="Z28" i="23"/>
  <c r="AA28" i="23"/>
  <c r="D28" i="23"/>
  <c r="C28" i="24" s="1"/>
  <c r="AT28" i="23"/>
  <c r="AU28" i="23"/>
  <c r="C28" i="23"/>
  <c r="AF28" i="23" s="1"/>
  <c r="AB28" i="23"/>
  <c r="AT142" i="23"/>
  <c r="W142" i="23"/>
  <c r="AB132" i="23"/>
  <c r="C132" i="23"/>
  <c r="O132" i="23" s="1"/>
  <c r="D131" i="23"/>
  <c r="C131" i="24" s="1"/>
  <c r="X131" i="23"/>
  <c r="F131" i="23"/>
  <c r="Z131" i="23"/>
  <c r="AT131" i="23"/>
  <c r="AL130" i="23"/>
  <c r="Z130" i="23"/>
  <c r="AL128" i="23"/>
  <c r="Z128" i="23"/>
  <c r="D128" i="23"/>
  <c r="C128" i="24" s="1"/>
  <c r="Z126" i="23"/>
  <c r="C126" i="23"/>
  <c r="O126" i="23" s="1"/>
  <c r="X125" i="23"/>
  <c r="AN125" i="23"/>
  <c r="AT124" i="23"/>
  <c r="W124" i="23"/>
  <c r="AN115" i="23"/>
  <c r="C112" i="23"/>
  <c r="F112" i="23" s="1"/>
  <c r="D111" i="23"/>
  <c r="C111" i="24" s="1"/>
  <c r="X111" i="23"/>
  <c r="E111" i="23"/>
  <c r="D111" i="24" s="1"/>
  <c r="Z111" i="23"/>
  <c r="AT111" i="23"/>
  <c r="C111" i="23"/>
  <c r="X110" i="23"/>
  <c r="AF110" i="23"/>
  <c r="O104" i="23"/>
  <c r="O103" i="23"/>
  <c r="O99" i="23"/>
  <c r="O98" i="23"/>
  <c r="AB91" i="23"/>
  <c r="AA87" i="23"/>
  <c r="AU87" i="23"/>
  <c r="AB87" i="23"/>
  <c r="AL87" i="23"/>
  <c r="F87" i="23"/>
  <c r="AD87" i="23"/>
  <c r="W87" i="23"/>
  <c r="X87" i="23"/>
  <c r="AT87" i="23"/>
  <c r="AN85" i="23"/>
  <c r="X80" i="23"/>
  <c r="AV80" i="23"/>
  <c r="BA80" i="23"/>
  <c r="BB80" i="23"/>
  <c r="BC80" i="23"/>
  <c r="BE80" i="23"/>
  <c r="BA65" i="23"/>
  <c r="BB65" i="23"/>
  <c r="BC65" i="23"/>
  <c r="AV65" i="23"/>
  <c r="AS65" i="23"/>
  <c r="BG65" i="23"/>
  <c r="BE65" i="23"/>
  <c r="AD63" i="23"/>
  <c r="S63" i="23"/>
  <c r="D63" i="23"/>
  <c r="C63" i="24" s="1"/>
  <c r="AT63" i="23"/>
  <c r="E63" i="23"/>
  <c r="D63" i="24" s="1"/>
  <c r="AU63" i="23"/>
  <c r="F63" i="23"/>
  <c r="AA63" i="23"/>
  <c r="X63" i="23"/>
  <c r="O63" i="23"/>
  <c r="Z63" i="23"/>
  <c r="AB63" i="23"/>
  <c r="W63" i="23"/>
  <c r="AB88" i="23"/>
  <c r="AL88" i="23"/>
  <c r="AN81" i="23"/>
  <c r="O68" i="23"/>
  <c r="AF68" i="23"/>
  <c r="X68" i="23"/>
  <c r="AB70" i="23"/>
  <c r="AL70" i="23"/>
  <c r="W70" i="23"/>
  <c r="Z70" i="23"/>
  <c r="O70" i="23"/>
  <c r="AA70" i="23"/>
  <c r="E70" i="23"/>
  <c r="D70" i="24" s="1"/>
  <c r="AP70" i="24" s="1"/>
  <c r="AN68" i="23"/>
  <c r="O110" i="23"/>
  <c r="E110" i="23"/>
  <c r="D110" i="24" s="1"/>
  <c r="X109" i="23"/>
  <c r="AT105" i="23"/>
  <c r="AT103" i="23"/>
  <c r="X103" i="23"/>
  <c r="O100" i="23"/>
  <c r="F98" i="23"/>
  <c r="Z98" i="23"/>
  <c r="AT98" i="23"/>
  <c r="AS97" i="23"/>
  <c r="BC97" i="23"/>
  <c r="AA96" i="23"/>
  <c r="O96" i="23"/>
  <c r="AL93" i="23"/>
  <c r="Z93" i="23"/>
  <c r="AN89" i="23"/>
  <c r="E88" i="23"/>
  <c r="D88" i="24" s="1"/>
  <c r="G79" i="23"/>
  <c r="I79" i="23"/>
  <c r="L79" i="23" s="1"/>
  <c r="AN76" i="23"/>
  <c r="J72" i="23"/>
  <c r="H72" i="23"/>
  <c r="I72" i="23" s="1"/>
  <c r="D66" i="23"/>
  <c r="C66" i="24" s="1"/>
  <c r="E66" i="23"/>
  <c r="D66" i="24" s="1"/>
  <c r="AT66" i="24" s="1"/>
  <c r="AA66" i="23"/>
  <c r="AL66" i="23"/>
  <c r="AB66" i="23"/>
  <c r="C66" i="23"/>
  <c r="X66" i="23" s="1"/>
  <c r="Z66" i="23"/>
  <c r="AU66" i="23"/>
  <c r="W66" i="23"/>
  <c r="AT66" i="23"/>
  <c r="F58" i="23"/>
  <c r="Z58" i="23"/>
  <c r="AT58" i="23"/>
  <c r="S58" i="23"/>
  <c r="AD58" i="23"/>
  <c r="X58" i="23"/>
  <c r="AA58" i="23"/>
  <c r="D58" i="23"/>
  <c r="C58" i="24" s="1"/>
  <c r="AF35" i="23"/>
  <c r="S35" i="23"/>
  <c r="F35" i="23"/>
  <c r="O35" i="23"/>
  <c r="X35" i="23"/>
  <c r="W35" i="23"/>
  <c r="AF33" i="23"/>
  <c r="X33" i="23"/>
  <c r="D110" i="23"/>
  <c r="C110" i="24" s="1"/>
  <c r="C105" i="23"/>
  <c r="W105" i="23" s="1"/>
  <c r="F96" i="23"/>
  <c r="Z96" i="23"/>
  <c r="AT96" i="23"/>
  <c r="S96" i="23"/>
  <c r="AD96" i="23"/>
  <c r="C93" i="23"/>
  <c r="AD88" i="23"/>
  <c r="D88" i="23"/>
  <c r="C88" i="24" s="1"/>
  <c r="BE79" i="23"/>
  <c r="AS79" i="23"/>
  <c r="AV79" i="23"/>
  <c r="BG79" i="23"/>
  <c r="BC79" i="23"/>
  <c r="BA79" i="23"/>
  <c r="E77" i="23"/>
  <c r="D77" i="24" s="1"/>
  <c r="O77" i="23"/>
  <c r="W77" i="23"/>
  <c r="AT77" i="23"/>
  <c r="Z77" i="23"/>
  <c r="AA77" i="23"/>
  <c r="AB77" i="23"/>
  <c r="F77" i="23"/>
  <c r="AL77" i="23"/>
  <c r="AS72" i="23"/>
  <c r="BE72" i="23"/>
  <c r="S70" i="23"/>
  <c r="BA68" i="23"/>
  <c r="AS68" i="23"/>
  <c r="BE68" i="23"/>
  <c r="E56" i="23"/>
  <c r="D56" i="24" s="1"/>
  <c r="AD56" i="23"/>
  <c r="D56" i="23"/>
  <c r="C56" i="24" s="1"/>
  <c r="AL56" i="23"/>
  <c r="X56" i="23"/>
  <c r="C56" i="23"/>
  <c r="BA54" i="23"/>
  <c r="AV54" i="23"/>
  <c r="BG54" i="23"/>
  <c r="AS54" i="23"/>
  <c r="BE54" i="23"/>
  <c r="W110" i="23"/>
  <c r="AB100" i="23"/>
  <c r="AL100" i="23"/>
  <c r="BG97" i="23"/>
  <c r="AV97" i="23"/>
  <c r="D97" i="23"/>
  <c r="C97" i="24" s="1"/>
  <c r="O97" i="23"/>
  <c r="X96" i="23"/>
  <c r="AT93" i="23"/>
  <c r="C88" i="23"/>
  <c r="S88" i="23" s="1"/>
  <c r="AS84" i="23"/>
  <c r="BE84" i="23"/>
  <c r="BG84" i="23"/>
  <c r="AV84" i="23"/>
  <c r="AB83" i="23"/>
  <c r="C83" i="23"/>
  <c r="D83" i="23"/>
  <c r="C83" i="24" s="1"/>
  <c r="AD83" i="23"/>
  <c r="E83" i="23"/>
  <c r="D83" i="24" s="1"/>
  <c r="F78" i="23"/>
  <c r="Z78" i="23"/>
  <c r="AT78" i="23"/>
  <c r="AB78" i="23"/>
  <c r="S78" i="23"/>
  <c r="AD78" i="23"/>
  <c r="E78" i="23"/>
  <c r="D78" i="24" s="1"/>
  <c r="AA78" i="23"/>
  <c r="AL78" i="23"/>
  <c r="O78" i="23"/>
  <c r="S77" i="23"/>
  <c r="AH72" i="23"/>
  <c r="S71" i="23"/>
  <c r="F71" i="23"/>
  <c r="AB71" i="23"/>
  <c r="AL71" i="23"/>
  <c r="AD71" i="23"/>
  <c r="E71" i="23"/>
  <c r="D71" i="24" s="1"/>
  <c r="AA71" i="23"/>
  <c r="O71" i="23"/>
  <c r="Z71" i="23"/>
  <c r="W68" i="23"/>
  <c r="AN63" i="23"/>
  <c r="AA59" i="23"/>
  <c r="AU59" i="23"/>
  <c r="D59" i="23"/>
  <c r="C59" i="24" s="1"/>
  <c r="E59" i="23"/>
  <c r="D59" i="24" s="1"/>
  <c r="Z59" i="23"/>
  <c r="AL59" i="23"/>
  <c r="AB59" i="23"/>
  <c r="C59" i="23"/>
  <c r="F59" i="23" s="1"/>
  <c r="AT59" i="23"/>
  <c r="AD59" i="23"/>
  <c r="AU56" i="23"/>
  <c r="Z56" i="23"/>
  <c r="BC54" i="23"/>
  <c r="AB40" i="23"/>
  <c r="AL40" i="23"/>
  <c r="AD40" i="23"/>
  <c r="Z40" i="23"/>
  <c r="E40" i="23"/>
  <c r="D40" i="24" s="1"/>
  <c r="AU40" i="23"/>
  <c r="D40" i="23"/>
  <c r="C40" i="24" s="1"/>
  <c r="AT40" i="23"/>
  <c r="C40" i="23"/>
  <c r="F40" i="23" s="1"/>
  <c r="AA40" i="23"/>
  <c r="AN73" i="23"/>
  <c r="C65" i="23"/>
  <c r="W65" i="23" s="1"/>
  <c r="S65" i="23"/>
  <c r="AD65" i="23"/>
  <c r="BE49" i="23"/>
  <c r="BB49" i="23"/>
  <c r="BC49" i="23"/>
  <c r="AV49" i="23"/>
  <c r="AS49" i="23"/>
  <c r="AA43" i="23"/>
  <c r="AL43" i="23"/>
  <c r="AB43" i="23"/>
  <c r="E43" i="23"/>
  <c r="D43" i="24" s="1"/>
  <c r="Z43" i="23"/>
  <c r="D43" i="23"/>
  <c r="C43" i="24" s="1"/>
  <c r="C43" i="23"/>
  <c r="AU43" i="23"/>
  <c r="AD43" i="23"/>
  <c r="D41" i="23"/>
  <c r="C41" i="24" s="1"/>
  <c r="Z41" i="23"/>
  <c r="AU41" i="23"/>
  <c r="E41" i="23"/>
  <c r="D41" i="24" s="1"/>
  <c r="AA41" i="23"/>
  <c r="AB41" i="23"/>
  <c r="AL41" i="23"/>
  <c r="C41" i="23"/>
  <c r="F41" i="23" s="1"/>
  <c r="AT41" i="23"/>
  <c r="AD41" i="23"/>
  <c r="C54" i="23"/>
  <c r="W54" i="23" s="1"/>
  <c r="AB54" i="23"/>
  <c r="AD54" i="23"/>
  <c r="AA54" i="23"/>
  <c r="AL54" i="23"/>
  <c r="Z54" i="23"/>
  <c r="AT54" i="23"/>
  <c r="C85" i="23"/>
  <c r="S85" i="23" s="1"/>
  <c r="AD85" i="23"/>
  <c r="H82" i="23"/>
  <c r="I82" i="23" s="1"/>
  <c r="D80" i="23"/>
  <c r="C80" i="24" s="1"/>
  <c r="AU73" i="23"/>
  <c r="F68" i="23"/>
  <c r="Z68" i="23"/>
  <c r="AT68" i="23"/>
  <c r="S68" i="23"/>
  <c r="AD68" i="23"/>
  <c r="AB68" i="23"/>
  <c r="X65" i="23"/>
  <c r="AN61" i="23"/>
  <c r="F52" i="23"/>
  <c r="S52" i="23"/>
  <c r="AF52" i="23"/>
  <c r="W52" i="23"/>
  <c r="AN41" i="23"/>
  <c r="G82" i="23"/>
  <c r="S73" i="23"/>
  <c r="AD73" i="23"/>
  <c r="AB73" i="23"/>
  <c r="AL65" i="23"/>
  <c r="AV60" i="23"/>
  <c r="BC60" i="23"/>
  <c r="AS60" i="23"/>
  <c r="BE60" i="23"/>
  <c r="BB60" i="23"/>
  <c r="AN58" i="23"/>
  <c r="BC53" i="23"/>
  <c r="AS53" i="23"/>
  <c r="BE53" i="23"/>
  <c r="BB53" i="23"/>
  <c r="BG53" i="23"/>
  <c r="BA53" i="23"/>
  <c r="BE86" i="23"/>
  <c r="AH82" i="23"/>
  <c r="AB80" i="23"/>
  <c r="AL80" i="23"/>
  <c r="S80" i="23"/>
  <c r="AD80" i="23"/>
  <c r="F65" i="23"/>
  <c r="D76" i="23"/>
  <c r="C76" i="24" s="1"/>
  <c r="AA69" i="23"/>
  <c r="AU69" i="23"/>
  <c r="AN62" i="23"/>
  <c r="AF23" i="23"/>
  <c r="W23" i="23"/>
  <c r="Z48" i="23"/>
  <c r="AT48" i="23"/>
  <c r="D48" i="23"/>
  <c r="C48" i="24" s="1"/>
  <c r="E48" i="23"/>
  <c r="D48" i="24" s="1"/>
  <c r="AA48" i="23"/>
  <c r="AL48" i="23"/>
  <c r="AU48" i="23"/>
  <c r="C48" i="23"/>
  <c r="O48" i="23" s="1"/>
  <c r="AD48" i="23"/>
  <c r="E47" i="23"/>
  <c r="D47" i="24" s="1"/>
  <c r="O47" i="23"/>
  <c r="S47" i="23"/>
  <c r="AD47" i="23"/>
  <c r="X47" i="23"/>
  <c r="AL47" i="23"/>
  <c r="Z47" i="23"/>
  <c r="AA47" i="23"/>
  <c r="W47" i="23"/>
  <c r="AB76" i="23"/>
  <c r="F76" i="23"/>
  <c r="AL69" i="23"/>
  <c r="Z69" i="23"/>
  <c r="E69" i="23"/>
  <c r="D69" i="24" s="1"/>
  <c r="E67" i="23"/>
  <c r="D67" i="24" s="1"/>
  <c r="O67" i="23"/>
  <c r="F64" i="23"/>
  <c r="Z62" i="23"/>
  <c r="E62" i="23"/>
  <c r="D62" i="24" s="1"/>
  <c r="AB60" i="23"/>
  <c r="AL60" i="23"/>
  <c r="AN47" i="23"/>
  <c r="C36" i="23"/>
  <c r="AF36" i="23" s="1"/>
  <c r="AA36" i="23"/>
  <c r="AL36" i="23"/>
  <c r="AD36" i="23"/>
  <c r="E36" i="23"/>
  <c r="D36" i="24" s="1"/>
  <c r="AB36" i="23"/>
  <c r="Z36" i="23"/>
  <c r="AT36" i="23"/>
  <c r="AN29" i="23"/>
  <c r="F23" i="23"/>
  <c r="AF15" i="23"/>
  <c r="S15" i="23"/>
  <c r="AH9" i="23"/>
  <c r="AN82" i="23"/>
  <c r="AL76" i="23"/>
  <c r="AA76" i="23"/>
  <c r="E76" i="23"/>
  <c r="D76" i="24" s="1"/>
  <c r="W76" i="24" s="1"/>
  <c r="D69" i="23"/>
  <c r="C69" i="24" s="1"/>
  <c r="AT67" i="23"/>
  <c r="W67" i="23"/>
  <c r="AU62" i="23"/>
  <c r="D62" i="23"/>
  <c r="C62" i="24" s="1"/>
  <c r="W60" i="23"/>
  <c r="BB55" i="23"/>
  <c r="AS55" i="23"/>
  <c r="BE55" i="23"/>
  <c r="BC55" i="23"/>
  <c r="AF42" i="23"/>
  <c r="W42" i="23"/>
  <c r="S42" i="23"/>
  <c r="F42" i="23"/>
  <c r="G39" i="23"/>
  <c r="K39" i="23"/>
  <c r="J39" i="23"/>
  <c r="H39" i="23"/>
  <c r="I39" i="23" s="1"/>
  <c r="AS23" i="23"/>
  <c r="BE23" i="23"/>
  <c r="BC23" i="23"/>
  <c r="BG23" i="23"/>
  <c r="AV23" i="23"/>
  <c r="D86" i="23"/>
  <c r="C86" i="24" s="1"/>
  <c r="X86" i="23"/>
  <c r="X84" i="23"/>
  <c r="AA79" i="23"/>
  <c r="AU79" i="23"/>
  <c r="AU76" i="23"/>
  <c r="Z76" i="23"/>
  <c r="C76" i="23"/>
  <c r="X76" i="23" s="1"/>
  <c r="AN72" i="23"/>
  <c r="AT69" i="23"/>
  <c r="C69" i="23"/>
  <c r="O64" i="23"/>
  <c r="AT62" i="23"/>
  <c r="C62" i="23"/>
  <c r="X62" i="23" s="1"/>
  <c r="AV55" i="23"/>
  <c r="AD51" i="23"/>
  <c r="F51" i="23"/>
  <c r="AB51" i="23"/>
  <c r="S51" i="23"/>
  <c r="E51" i="23"/>
  <c r="D51" i="24" s="1"/>
  <c r="AA51" i="23"/>
  <c r="BE39" i="23"/>
  <c r="BC39" i="23"/>
  <c r="AS39" i="23"/>
  <c r="BB39" i="23"/>
  <c r="BA39" i="23"/>
  <c r="AO52" i="23"/>
  <c r="AB50" i="23"/>
  <c r="AD50" i="23"/>
  <c r="BC44" i="23"/>
  <c r="AS44" i="23"/>
  <c r="BB44" i="23"/>
  <c r="BB35" i="23"/>
  <c r="BA35" i="23"/>
  <c r="BC35" i="23"/>
  <c r="AD33" i="23"/>
  <c r="S33" i="23"/>
  <c r="E33" i="23"/>
  <c r="D33" i="24" s="1"/>
  <c r="AU33" i="24" s="1"/>
  <c r="AU33" i="23"/>
  <c r="F33" i="23"/>
  <c r="W33" i="23"/>
  <c r="D33" i="23"/>
  <c r="C33" i="24" s="1"/>
  <c r="AT33" i="23"/>
  <c r="BA44" i="23"/>
  <c r="AH37" i="23"/>
  <c r="AD22" i="23"/>
  <c r="D22" i="23"/>
  <c r="C22" i="24" s="1"/>
  <c r="E22" i="23"/>
  <c r="D22" i="24" s="1"/>
  <c r="AL22" i="23"/>
  <c r="C22" i="23"/>
  <c r="S22" i="23" s="1"/>
  <c r="D55" i="23"/>
  <c r="C55" i="24" s="1"/>
  <c r="X55" i="23"/>
  <c r="AA49" i="23"/>
  <c r="AU49" i="23"/>
  <c r="BB46" i="23"/>
  <c r="AS46" i="23"/>
  <c r="BE46" i="23"/>
  <c r="AN40" i="23"/>
  <c r="D37" i="23"/>
  <c r="C37" i="24" s="1"/>
  <c r="X37" i="23"/>
  <c r="F37" i="23"/>
  <c r="AD37" i="23"/>
  <c r="S37" i="23"/>
  <c r="E37" i="23"/>
  <c r="D37" i="24" s="1"/>
  <c r="AP37" i="24" s="1"/>
  <c r="BE35" i="23"/>
  <c r="AD23" i="23"/>
  <c r="AT23" i="23"/>
  <c r="S23" i="23"/>
  <c r="O23" i="23"/>
  <c r="Z23" i="23"/>
  <c r="AA23" i="23"/>
  <c r="AB23" i="23"/>
  <c r="AU23" i="23"/>
  <c r="X23" i="23"/>
  <c r="AF5" i="23"/>
  <c r="S5" i="23"/>
  <c r="W55" i="23"/>
  <c r="W53" i="23"/>
  <c r="BA50" i="23"/>
  <c r="C50" i="23"/>
  <c r="AL49" i="23"/>
  <c r="X49" i="23"/>
  <c r="K44" i="23"/>
  <c r="BB42" i="23"/>
  <c r="BC42" i="23"/>
  <c r="AS42" i="23"/>
  <c r="BA42" i="23"/>
  <c r="AL33" i="23"/>
  <c r="AU22" i="23"/>
  <c r="AA20" i="23"/>
  <c r="AU20" i="23"/>
  <c r="AB20" i="23"/>
  <c r="AL20" i="23"/>
  <c r="D20" i="23"/>
  <c r="C20" i="24" s="1"/>
  <c r="Z20" i="23"/>
  <c r="E20" i="23"/>
  <c r="D20" i="24" s="1"/>
  <c r="AD20" i="23"/>
  <c r="C20" i="23"/>
  <c r="W20" i="23" s="1"/>
  <c r="AO43" i="23"/>
  <c r="E34" i="23"/>
  <c r="D34" i="24" s="1"/>
  <c r="Z34" i="23"/>
  <c r="D34" i="23"/>
  <c r="C34" i="24" s="1"/>
  <c r="O34" i="23"/>
  <c r="BB27" i="23"/>
  <c r="AS27" i="23"/>
  <c r="BE27" i="23"/>
  <c r="BC27" i="23"/>
  <c r="AN23" i="23"/>
  <c r="K11" i="23"/>
  <c r="H11" i="23"/>
  <c r="I11" i="23" s="1"/>
  <c r="J11" i="23"/>
  <c r="G11" i="23"/>
  <c r="G30" i="23"/>
  <c r="K30" i="23"/>
  <c r="J30" i="23"/>
  <c r="AN28" i="23"/>
  <c r="BC24" i="23"/>
  <c r="AS24" i="23"/>
  <c r="BE24" i="23"/>
  <c r="BB24" i="23"/>
  <c r="AN22" i="23"/>
  <c r="H18" i="23"/>
  <c r="I18" i="23" s="1"/>
  <c r="J18" i="23"/>
  <c r="K18" i="23"/>
  <c r="G18" i="23"/>
  <c r="F16" i="23"/>
  <c r="Z16" i="23"/>
  <c r="AT16" i="23"/>
  <c r="AB16" i="23"/>
  <c r="S16" i="23"/>
  <c r="AD16" i="23"/>
  <c r="E16" i="23"/>
  <c r="D16" i="24" s="1"/>
  <c r="AA16" i="23"/>
  <c r="AL16" i="23"/>
  <c r="W16" i="23"/>
  <c r="X16" i="23"/>
  <c r="O16" i="23"/>
  <c r="S9" i="23"/>
  <c r="AD9" i="23"/>
  <c r="E9" i="23"/>
  <c r="D9" i="24" s="1"/>
  <c r="F9" i="23"/>
  <c r="AT9" i="23"/>
  <c r="D9" i="23"/>
  <c r="C9" i="24" s="1"/>
  <c r="AB9" i="23"/>
  <c r="X9" i="23"/>
  <c r="Z9" i="23"/>
  <c r="O9" i="23"/>
  <c r="AA9" i="23"/>
  <c r="AU9" i="23"/>
  <c r="W9" i="23"/>
  <c r="AL9" i="23"/>
  <c r="AN42" i="23"/>
  <c r="BE30" i="23"/>
  <c r="BB30" i="23"/>
  <c r="BC30" i="23"/>
  <c r="AS30" i="23"/>
  <c r="BA30" i="23"/>
  <c r="AN20" i="23"/>
  <c r="AV18" i="23"/>
  <c r="BA18" i="23"/>
  <c r="BB18" i="23"/>
  <c r="BG18" i="23"/>
  <c r="AS18" i="23"/>
  <c r="BE18" i="23"/>
  <c r="D15" i="23"/>
  <c r="C15" i="24" s="1"/>
  <c r="D46" i="23"/>
  <c r="C46" i="24" s="1"/>
  <c r="X46" i="23"/>
  <c r="X44" i="23"/>
  <c r="AA39" i="23"/>
  <c r="AU39" i="23"/>
  <c r="AH31" i="23"/>
  <c r="AF24" i="23"/>
  <c r="S24" i="23"/>
  <c r="AB21" i="23"/>
  <c r="AL21" i="23"/>
  <c r="S21" i="23"/>
  <c r="E21" i="23"/>
  <c r="D21" i="24" s="1"/>
  <c r="S21" i="24" s="1"/>
  <c r="AD21" i="23"/>
  <c r="F21" i="23"/>
  <c r="D21" i="23"/>
  <c r="C21" i="24" s="1"/>
  <c r="AN19" i="23"/>
  <c r="X19" i="23"/>
  <c r="BE17" i="23"/>
  <c r="AS17" i="23"/>
  <c r="AV17" i="23"/>
  <c r="BG17" i="23"/>
  <c r="BC17" i="23"/>
  <c r="BB17" i="23"/>
  <c r="BA17" i="23"/>
  <c r="AB15" i="23"/>
  <c r="W46" i="23"/>
  <c r="W44" i="23"/>
  <c r="AD34" i="23"/>
  <c r="C34" i="23"/>
  <c r="F34" i="23" s="1"/>
  <c r="AB31" i="23"/>
  <c r="AL31" i="23"/>
  <c r="F31" i="23"/>
  <c r="S31" i="23"/>
  <c r="AD31" i="23"/>
  <c r="E31" i="23"/>
  <c r="D31" i="24" s="1"/>
  <c r="AA31" i="23"/>
  <c r="AF30" i="23"/>
  <c r="W30" i="23"/>
  <c r="AH18" i="23"/>
  <c r="E15" i="23"/>
  <c r="D15" i="24" s="1"/>
  <c r="O15" i="23"/>
  <c r="W15" i="23"/>
  <c r="AT15" i="23"/>
  <c r="X15" i="23"/>
  <c r="Z15" i="23"/>
  <c r="AA15" i="23"/>
  <c r="F15" i="23"/>
  <c r="AL15" i="23"/>
  <c r="BE7" i="23"/>
  <c r="AV7" i="23"/>
  <c r="BG7" i="23"/>
  <c r="BB7" i="23"/>
  <c r="BC7" i="23"/>
  <c r="BA7" i="23"/>
  <c r="AS7" i="23"/>
  <c r="AN6" i="23"/>
  <c r="C26" i="23"/>
  <c r="F26" i="23" s="1"/>
  <c r="D26" i="23"/>
  <c r="C26" i="24" s="1"/>
  <c r="C13" i="23"/>
  <c r="S13" i="23" s="1"/>
  <c r="AD13" i="23"/>
  <c r="AB8" i="23"/>
  <c r="AL8" i="23"/>
  <c r="AD8" i="23"/>
  <c r="AU8" i="23"/>
  <c r="AH6" i="23"/>
  <c r="J10" i="23"/>
  <c r="K10" i="23"/>
  <c r="AO7" i="23"/>
  <c r="F6" i="23"/>
  <c r="Z6" i="23"/>
  <c r="AT6" i="23"/>
  <c r="AA6" i="23"/>
  <c r="AU6" i="23"/>
  <c r="AB6" i="23"/>
  <c r="AL6" i="23"/>
  <c r="S6" i="23"/>
  <c r="E6" i="23"/>
  <c r="D6" i="24" s="1"/>
  <c r="Q6" i="24" s="1"/>
  <c r="AN5" i="23"/>
  <c r="C3" i="23"/>
  <c r="W3" i="23" s="1"/>
  <c r="D3" i="23"/>
  <c r="C3" i="24" s="1"/>
  <c r="E3" i="23"/>
  <c r="D3" i="24" s="1"/>
  <c r="S3" i="24" s="1"/>
  <c r="AL3" i="23"/>
  <c r="Z3" i="23"/>
  <c r="AA3" i="23"/>
  <c r="AU3" i="23"/>
  <c r="AA30" i="23"/>
  <c r="AU30" i="23"/>
  <c r="E19" i="23"/>
  <c r="D19" i="24" s="1"/>
  <c r="BT19" i="24" s="1"/>
  <c r="Z19" i="23"/>
  <c r="AT19" i="23"/>
  <c r="F19" i="23"/>
  <c r="AA19" i="23"/>
  <c r="AU19" i="23"/>
  <c r="D19" i="23"/>
  <c r="C19" i="24" s="1"/>
  <c r="O19" i="23"/>
  <c r="AB18" i="23"/>
  <c r="AL18" i="23"/>
  <c r="S18" i="23"/>
  <c r="AD18" i="23"/>
  <c r="AV10" i="23"/>
  <c r="BA10" i="23"/>
  <c r="AT8" i="23"/>
  <c r="AA8" i="23"/>
  <c r="E8" i="23"/>
  <c r="D8" i="24" s="1"/>
  <c r="AN7" i="23"/>
  <c r="Z32" i="23"/>
  <c r="D32" i="23"/>
  <c r="C32" i="24" s="1"/>
  <c r="D27" i="23"/>
  <c r="C27" i="24" s="1"/>
  <c r="X27" i="23"/>
  <c r="AB19" i="23"/>
  <c r="AN16" i="23"/>
  <c r="E13" i="23"/>
  <c r="D13" i="24" s="1"/>
  <c r="AN9" i="23"/>
  <c r="Z8" i="23"/>
  <c r="D8" i="23"/>
  <c r="C8" i="24" s="1"/>
  <c r="AO34" i="23"/>
  <c r="BE32" i="23"/>
  <c r="AT32" i="23"/>
  <c r="C32" i="23"/>
  <c r="W27" i="23"/>
  <c r="AB26" i="23"/>
  <c r="E26" i="23"/>
  <c r="D26" i="24" s="1"/>
  <c r="AA18" i="23"/>
  <c r="O18" i="23"/>
  <c r="AU13" i="23"/>
  <c r="D13" i="23"/>
  <c r="C13" i="24" s="1"/>
  <c r="BE12" i="23"/>
  <c r="AV12" i="23"/>
  <c r="BG12" i="23"/>
  <c r="AS12" i="23"/>
  <c r="AF10" i="23"/>
  <c r="W10" i="23"/>
  <c r="X10" i="23"/>
  <c r="O10" i="23"/>
  <c r="C8" i="23"/>
  <c r="S8" i="23" s="1"/>
  <c r="AD6" i="23"/>
  <c r="D14" i="23"/>
  <c r="C14" i="24" s="1"/>
  <c r="E5" i="23"/>
  <c r="D5" i="24" s="1"/>
  <c r="O5" i="23"/>
  <c r="F5" i="23"/>
  <c r="Z5" i="23"/>
  <c r="AT5" i="23"/>
  <c r="AA5" i="23"/>
  <c r="AU5" i="23"/>
  <c r="AN8" i="23"/>
  <c r="AB5" i="23"/>
  <c r="AL14" i="23"/>
  <c r="AA14" i="23"/>
  <c r="E14" i="23"/>
  <c r="D14" i="24" s="1"/>
  <c r="AO11" i="23"/>
  <c r="X5" i="23"/>
  <c r="AA17" i="23"/>
  <c r="AU17" i="23"/>
  <c r="AU14" i="23"/>
  <c r="Z14" i="23"/>
  <c r="C14" i="23"/>
  <c r="F14" i="23" s="1"/>
  <c r="AN10" i="23"/>
  <c r="AA7" i="23"/>
  <c r="AU7" i="23"/>
  <c r="AB7" i="23"/>
  <c r="AL7" i="23"/>
  <c r="S7" i="23"/>
  <c r="W5" i="23"/>
  <c r="D4" i="23"/>
  <c r="C4" i="24" s="1"/>
  <c r="X4" i="23"/>
  <c r="E4" i="23"/>
  <c r="D4" i="24" s="1"/>
  <c r="O4" i="23"/>
  <c r="F4" i="23"/>
  <c r="Z4" i="23"/>
  <c r="AT4" i="23"/>
  <c r="AF2" i="23"/>
  <c r="W2" i="23"/>
  <c r="X2" i="23"/>
  <c r="O2" i="23"/>
  <c r="BB2" i="23"/>
  <c r="C13" i="22"/>
  <c r="C19" i="22"/>
  <c r="C25" i="22"/>
  <c r="C15" i="22"/>
  <c r="AM129" i="21"/>
  <c r="AV129" i="21"/>
  <c r="AP129" i="21"/>
  <c r="N18" i="20"/>
  <c r="P18" i="20" s="1"/>
  <c r="O18" i="20"/>
  <c r="K130" i="20"/>
  <c r="H130" i="20"/>
  <c r="J130" i="20"/>
  <c r="K119" i="20"/>
  <c r="J119" i="20"/>
  <c r="H119" i="20"/>
  <c r="I162" i="20" a="1"/>
  <c r="I162" i="20" s="1"/>
  <c r="I148" i="20" a="1"/>
  <c r="I148" i="20" s="1"/>
  <c r="I181" i="20" a="1"/>
  <c r="I181" i="20" s="1"/>
  <c r="J181" i="20"/>
  <c r="K181" i="20"/>
  <c r="H181" i="20"/>
  <c r="J167" i="20"/>
  <c r="K167" i="20"/>
  <c r="I167" i="20" a="1"/>
  <c r="I167" i="20" s="1"/>
  <c r="J165" i="20"/>
  <c r="H165" i="20"/>
  <c r="K165" i="20"/>
  <c r="H164" i="20"/>
  <c r="I164" i="20" a="1"/>
  <c r="I164" i="20" s="1"/>
  <c r="J164" i="20"/>
  <c r="K164" i="20"/>
  <c r="K162" i="20"/>
  <c r="J162" i="20"/>
  <c r="K148" i="20"/>
  <c r="J148" i="20"/>
  <c r="I139" i="20" a="1"/>
  <c r="I139" i="20" s="1"/>
  <c r="J139" i="20"/>
  <c r="K139" i="20"/>
  <c r="H139" i="20"/>
  <c r="I134" i="20" a="1"/>
  <c r="I134" i="20" s="1"/>
  <c r="J134" i="20"/>
  <c r="K134" i="20"/>
  <c r="H134" i="20"/>
  <c r="I132" i="20" a="1"/>
  <c r="I132" i="20" s="1"/>
  <c r="J132" i="20"/>
  <c r="K132" i="20"/>
  <c r="J102" i="20"/>
  <c r="K102" i="20"/>
  <c r="H102" i="20"/>
  <c r="I102" i="20" a="1"/>
  <c r="I102" i="20" s="1"/>
  <c r="K115" i="20"/>
  <c r="I115" i="20" a="1"/>
  <c r="I115" i="20" s="1"/>
  <c r="H115" i="20"/>
  <c r="H101" i="20"/>
  <c r="I101" i="20" a="1"/>
  <c r="I101" i="20" s="1"/>
  <c r="J101" i="20"/>
  <c r="K101" i="20"/>
  <c r="K72" i="20"/>
  <c r="J72" i="20"/>
  <c r="H72" i="20"/>
  <c r="J159" i="20"/>
  <c r="K159" i="20"/>
  <c r="H154" i="20"/>
  <c r="I154" i="20" a="1"/>
  <c r="I154" i="20" s="1"/>
  <c r="K154" i="20"/>
  <c r="I151" i="20" a="1"/>
  <c r="I151" i="20" s="1"/>
  <c r="K151" i="20"/>
  <c r="J151" i="20"/>
  <c r="K125" i="20"/>
  <c r="H125" i="20"/>
  <c r="I125" i="20" a="1"/>
  <c r="I125" i="20" s="1"/>
  <c r="J125" i="20"/>
  <c r="J68" i="20"/>
  <c r="K68" i="20"/>
  <c r="H68" i="20"/>
  <c r="I68" i="20" a="1"/>
  <c r="I68" i="20" s="1"/>
  <c r="I178" i="20" a="1"/>
  <c r="I178" i="20" s="1"/>
  <c r="J178" i="20"/>
  <c r="K178" i="20"/>
  <c r="H178" i="20"/>
  <c r="K176" i="20"/>
  <c r="H176" i="20"/>
  <c r="J176" i="20"/>
  <c r="J173" i="20"/>
  <c r="K173" i="20"/>
  <c r="I153" i="20" a="1"/>
  <c r="I153" i="20" s="1"/>
  <c r="J153" i="20"/>
  <c r="K153" i="20"/>
  <c r="H153" i="20"/>
  <c r="H136" i="20"/>
  <c r="I136" i="20" a="1"/>
  <c r="I136" i="20" s="1"/>
  <c r="J136" i="20"/>
  <c r="J175" i="20"/>
  <c r="H175" i="20"/>
  <c r="I175" i="20" a="1"/>
  <c r="I175" i="20" s="1"/>
  <c r="K175" i="20"/>
  <c r="K142" i="20"/>
  <c r="I142" i="20" a="1"/>
  <c r="I142" i="20" s="1"/>
  <c r="J142" i="20"/>
  <c r="H142" i="20"/>
  <c r="K74" i="20"/>
  <c r="J74" i="20"/>
  <c r="H74" i="20"/>
  <c r="I130" i="20" a="1"/>
  <c r="I130" i="20" s="1"/>
  <c r="I119" i="20" a="1"/>
  <c r="I119" i="20" s="1"/>
  <c r="J99" i="20"/>
  <c r="K99" i="20"/>
  <c r="H99" i="20"/>
  <c r="I187" i="20" a="1"/>
  <c r="I187" i="20" s="1"/>
  <c r="I156" i="20" a="1"/>
  <c r="I156" i="20" s="1"/>
  <c r="I145" i="20" a="1"/>
  <c r="I145" i="20" s="1"/>
  <c r="H127" i="20"/>
  <c r="J127" i="20"/>
  <c r="H112" i="20"/>
  <c r="I112" i="20" a="1"/>
  <c r="I112" i="20" s="1"/>
  <c r="H108" i="20"/>
  <c r="I96" i="20" a="1"/>
  <c r="I96" i="20" s="1"/>
  <c r="J96" i="20"/>
  <c r="I94" i="20" a="1"/>
  <c r="I94" i="20" s="1"/>
  <c r="K94" i="20"/>
  <c r="I83" i="20" a="1"/>
  <c r="I83" i="20" s="1"/>
  <c r="K48" i="20"/>
  <c r="J48" i="20"/>
  <c r="I18" i="20" a="1"/>
  <c r="I18" i="20" s="1"/>
  <c r="J54" i="20"/>
  <c r="K54" i="20"/>
  <c r="I54" i="20" a="1"/>
  <c r="I54" i="20" s="1"/>
  <c r="H54" i="20"/>
  <c r="H40" i="20"/>
  <c r="I40" i="20" a="1"/>
  <c r="I40" i="20" s="1"/>
  <c r="I36" i="20" a="1"/>
  <c r="I36" i="20" s="1"/>
  <c r="J36" i="20"/>
  <c r="H36" i="20"/>
  <c r="K36" i="20"/>
  <c r="K28" i="20"/>
  <c r="I28" i="20" a="1"/>
  <c r="I28" i="20" s="1"/>
  <c r="J28" i="20"/>
  <c r="H28" i="20"/>
  <c r="J22" i="20"/>
  <c r="K22" i="20"/>
  <c r="O7" i="20"/>
  <c r="O8" i="20"/>
  <c r="H16" i="20"/>
  <c r="I16" i="20" a="1"/>
  <c r="I16" i="20" s="1"/>
  <c r="J124" i="20"/>
  <c r="K65" i="20"/>
  <c r="J65" i="20"/>
  <c r="I65" i="20" a="1"/>
  <c r="I65" i="20" s="1"/>
  <c r="K53" i="20"/>
  <c r="H45" i="20"/>
  <c r="I45" i="20" a="1"/>
  <c r="I45" i="20" s="1"/>
  <c r="K27" i="20"/>
  <c r="I121" i="20" a="1"/>
  <c r="I121" i="20" s="1"/>
  <c r="K121" i="20"/>
  <c r="J85" i="20"/>
  <c r="K85" i="20"/>
  <c r="J18" i="20"/>
  <c r="K18" i="20"/>
  <c r="I126" i="20" a="1"/>
  <c r="I126" i="20" s="1"/>
  <c r="I124" i="20" a="1"/>
  <c r="I124" i="20" s="1"/>
  <c r="K124" i="20"/>
  <c r="H107" i="20"/>
  <c r="I107" i="20" a="1"/>
  <c r="I107" i="20" s="1"/>
  <c r="J107" i="20"/>
  <c r="J82" i="20"/>
  <c r="K82" i="20"/>
  <c r="I82" i="20" a="1"/>
  <c r="I82" i="20" s="1"/>
  <c r="H53" i="20"/>
  <c r="I53" i="20" a="1"/>
  <c r="I53" i="20" s="1"/>
  <c r="I27" i="20" a="1"/>
  <c r="I27" i="20" s="1"/>
  <c r="J27" i="20"/>
  <c r="K135" i="20"/>
  <c r="I135" i="20" a="1"/>
  <c r="I135" i="20" s="1"/>
  <c r="K105" i="20"/>
  <c r="J105" i="20"/>
  <c r="K91" i="20"/>
  <c r="J91" i="20"/>
  <c r="H80" i="20"/>
  <c r="K80" i="20"/>
  <c r="I57" i="20" a="1"/>
  <c r="I57" i="20" s="1"/>
  <c r="J57" i="20"/>
  <c r="J44" i="20"/>
  <c r="K44" i="20"/>
  <c r="H35" i="20"/>
  <c r="I35" i="20" a="1"/>
  <c r="I35" i="20" s="1"/>
  <c r="O22" i="20"/>
  <c r="K187" i="20"/>
  <c r="I186" i="20" a="1"/>
  <c r="I186" i="20" s="1"/>
  <c r="I183" i="20" a="1"/>
  <c r="I183" i="20" s="1"/>
  <c r="I172" i="20" a="1"/>
  <c r="I172" i="20" s="1"/>
  <c r="I169" i="20" a="1"/>
  <c r="I169" i="20" s="1"/>
  <c r="I158" i="20" a="1"/>
  <c r="I158" i="20" s="1"/>
  <c r="K156" i="20"/>
  <c r="I116" i="20" a="1"/>
  <c r="I116" i="20" s="1"/>
  <c r="K112" i="20"/>
  <c r="K108" i="20"/>
  <c r="K96" i="20"/>
  <c r="N16" i="20"/>
  <c r="P16" i="20" s="1"/>
  <c r="O16" i="20"/>
  <c r="N17" i="20"/>
  <c r="P17" i="20" s="1"/>
  <c r="K83" i="20"/>
  <c r="I48" i="20" a="1"/>
  <c r="I48" i="20" s="1"/>
  <c r="J41" i="20"/>
  <c r="K41" i="20"/>
  <c r="H41" i="20"/>
  <c r="I41" i="20" a="1"/>
  <c r="I41" i="20" s="1"/>
  <c r="I33" i="20" a="1"/>
  <c r="I33" i="20" s="1"/>
  <c r="J33" i="20"/>
  <c r="H33" i="20"/>
  <c r="I31" i="20" a="1"/>
  <c r="I31" i="20" s="1"/>
  <c r="J31" i="20"/>
  <c r="K31" i="20"/>
  <c r="N22" i="20"/>
  <c r="P22" i="20" s="1"/>
  <c r="J21" i="20"/>
  <c r="K21" i="20"/>
  <c r="I21" i="20" a="1"/>
  <c r="I21" i="20" s="1"/>
  <c r="K17" i="20"/>
  <c r="J17" i="20"/>
  <c r="I17" i="20" a="1"/>
  <c r="I17" i="20" s="1"/>
  <c r="H186" i="20"/>
  <c r="K184" i="20"/>
  <c r="H183" i="20"/>
  <c r="H172" i="20"/>
  <c r="H169" i="20"/>
  <c r="H161" i="20"/>
  <c r="H158" i="20"/>
  <c r="I147" i="20" a="1"/>
  <c r="I147" i="20" s="1"/>
  <c r="K145" i="20"/>
  <c r="H131" i="20"/>
  <c r="I127" i="20" a="1"/>
  <c r="I127" i="20" s="1"/>
  <c r="H120" i="20"/>
  <c r="J118" i="20"/>
  <c r="H118" i="20"/>
  <c r="H116" i="20"/>
  <c r="H114" i="20"/>
  <c r="J112" i="20"/>
  <c r="I100" i="20" a="1"/>
  <c r="I100" i="20" s="1"/>
  <c r="H96" i="20"/>
  <c r="H94" i="20"/>
  <c r="J83" i="20"/>
  <c r="I77" i="20" a="1"/>
  <c r="I77" i="20" s="1"/>
  <c r="K77" i="20"/>
  <c r="J77" i="20"/>
  <c r="H50" i="20"/>
  <c r="I50" i="20" a="1"/>
  <c r="I50" i="20" s="1"/>
  <c r="K50" i="20"/>
  <c r="J50" i="20"/>
  <c r="H48" i="20"/>
  <c r="K40" i="20"/>
  <c r="J24" i="20"/>
  <c r="K24" i="20"/>
  <c r="I24" i="20" a="1"/>
  <c r="I24" i="20" s="1"/>
  <c r="H24" i="20"/>
  <c r="I22" i="20" a="1"/>
  <c r="I22" i="20" s="1"/>
  <c r="O12" i="20"/>
  <c r="N12" i="20"/>
  <c r="P12" i="20" s="1"/>
  <c r="O13" i="20"/>
  <c r="N7" i="20"/>
  <c r="P7" i="20" s="1"/>
  <c r="N8" i="20"/>
  <c r="P8" i="20" s="1"/>
  <c r="N13" i="20"/>
  <c r="P13" i="20" s="1"/>
  <c r="J184" i="20"/>
  <c r="H147" i="20"/>
  <c r="J110" i="20"/>
  <c r="K110" i="20"/>
  <c r="I108" i="20" a="1"/>
  <c r="I108" i="20" s="1"/>
  <c r="I104" i="20" a="1"/>
  <c r="I104" i="20" s="1"/>
  <c r="H104" i="20"/>
  <c r="H100" i="20"/>
  <c r="H90" i="20"/>
  <c r="I90" i="20" a="1"/>
  <c r="I90" i="20" s="1"/>
  <c r="J90" i="20"/>
  <c r="K88" i="20"/>
  <c r="J88" i="20"/>
  <c r="I79" i="20" a="1"/>
  <c r="I79" i="20" s="1"/>
  <c r="J79" i="20"/>
  <c r="H79" i="20"/>
  <c r="H70" i="20"/>
  <c r="I70" i="20" a="1"/>
  <c r="I70" i="20" s="1"/>
  <c r="J61" i="20"/>
  <c r="K61" i="20"/>
  <c r="J40" i="20"/>
  <c r="J37" i="20"/>
  <c r="K37" i="20"/>
  <c r="H22" i="20"/>
  <c r="K16" i="20"/>
  <c r="J71" i="20"/>
  <c r="K71" i="20"/>
  <c r="H67" i="20"/>
  <c r="I67" i="20" a="1"/>
  <c r="I67" i="20" s="1"/>
  <c r="J58" i="20"/>
  <c r="K58" i="20"/>
  <c r="J20" i="20"/>
  <c r="K20" i="20"/>
  <c r="I84" i="20" a="1"/>
  <c r="I84" i="20" s="1"/>
  <c r="I71" i="20" a="1"/>
  <c r="I71" i="20" s="1"/>
  <c r="K67" i="20"/>
  <c r="I64" i="20" a="1"/>
  <c r="I64" i="20" s="1"/>
  <c r="J64" i="20"/>
  <c r="I62" i="20" a="1"/>
  <c r="I62" i="20" s="1"/>
  <c r="I58" i="20" a="1"/>
  <c r="I58" i="20" s="1"/>
  <c r="I38" i="20" a="1"/>
  <c r="I38" i="20" s="1"/>
  <c r="I20" i="20" a="1"/>
  <c r="I20" i="20" s="1"/>
  <c r="J19" i="20"/>
  <c r="K19" i="20"/>
  <c r="H87" i="20"/>
  <c r="H84" i="20"/>
  <c r="H71" i="20"/>
  <c r="J67" i="20"/>
  <c r="H62" i="20"/>
  <c r="H60" i="20"/>
  <c r="I60" i="20" a="1"/>
  <c r="I60" i="20" s="1"/>
  <c r="H58" i="20"/>
  <c r="J51" i="20"/>
  <c r="K51" i="20"/>
  <c r="H38" i="20"/>
  <c r="J32" i="20"/>
  <c r="K32" i="20"/>
  <c r="H30" i="20"/>
  <c r="I30" i="20" a="1"/>
  <c r="I30" i="20" s="1"/>
  <c r="H20" i="20"/>
  <c r="I47" i="20" a="1"/>
  <c r="I47" i="20" s="1"/>
  <c r="J47" i="20"/>
  <c r="H43" i="20"/>
  <c r="I43" i="20" a="1"/>
  <c r="I43" i="20" s="1"/>
  <c r="J23" i="20"/>
  <c r="K23" i="20"/>
  <c r="H73" i="20"/>
  <c r="H46" i="20"/>
  <c r="H26" i="20"/>
  <c r="H12" i="20"/>
  <c r="H11" i="20"/>
  <c r="H10" i="20"/>
  <c r="H9" i="20"/>
  <c r="H8" i="20"/>
  <c r="H7" i="20"/>
  <c r="H6" i="20"/>
  <c r="Y291" i="23" l="1"/>
  <c r="BF291" i="23" s="1"/>
  <c r="N291" i="23"/>
  <c r="F20" i="23"/>
  <c r="O36" i="23"/>
  <c r="S143" i="23"/>
  <c r="AF156" i="24"/>
  <c r="AH156" i="24" s="1"/>
  <c r="AF239" i="24"/>
  <c r="AF227" i="24"/>
  <c r="AH227" i="24" s="1"/>
  <c r="J233" i="23"/>
  <c r="G233" i="23"/>
  <c r="K233" i="23"/>
  <c r="H233" i="23"/>
  <c r="I233" i="23"/>
  <c r="X26" i="23"/>
  <c r="W147" i="23"/>
  <c r="W187" i="23"/>
  <c r="I194" i="24"/>
  <c r="K194" i="24" s="1"/>
  <c r="L296" i="23"/>
  <c r="L303" i="23"/>
  <c r="BC284" i="24"/>
  <c r="BC319" i="24"/>
  <c r="I269" i="24"/>
  <c r="AF243" i="24"/>
  <c r="L197" i="21"/>
  <c r="C197" i="21"/>
  <c r="Y197" i="21"/>
  <c r="AI197" i="21"/>
  <c r="AW197" i="21" s="1"/>
  <c r="J208" i="21"/>
  <c r="I208" i="21"/>
  <c r="BC186" i="23"/>
  <c r="S208" i="21"/>
  <c r="I196" i="24"/>
  <c r="K196" i="24" s="1"/>
  <c r="F2" i="23"/>
  <c r="I165" i="24"/>
  <c r="K165" i="24" s="1"/>
  <c r="L220" i="23"/>
  <c r="AF284" i="24"/>
  <c r="AH284" i="24" s="1"/>
  <c r="BC267" i="24"/>
  <c r="AF269" i="24"/>
  <c r="AF349" i="24"/>
  <c r="AH349" i="24" s="1"/>
  <c r="I359" i="24"/>
  <c r="I223" i="24"/>
  <c r="BC354" i="24"/>
  <c r="BC231" i="24"/>
  <c r="F254" i="24"/>
  <c r="S64" i="23"/>
  <c r="AF234" i="24"/>
  <c r="O39" i="23"/>
  <c r="F57" i="23"/>
  <c r="AF202" i="24"/>
  <c r="BC292" i="24"/>
  <c r="BB357" i="24"/>
  <c r="E357" i="24"/>
  <c r="F357" i="24" s="1"/>
  <c r="AD357" i="24"/>
  <c r="J357" i="23"/>
  <c r="BA357" i="24"/>
  <c r="K357" i="23"/>
  <c r="H357" i="23"/>
  <c r="I357" i="23"/>
  <c r="L357" i="23" s="1"/>
  <c r="AY357" i="24"/>
  <c r="AZ357" i="24" s="1"/>
  <c r="BC357" i="24" s="1"/>
  <c r="BE357" i="24" s="1"/>
  <c r="AB357" i="24"/>
  <c r="AC357" i="24" s="1"/>
  <c r="G357" i="24"/>
  <c r="G357" i="23"/>
  <c r="H357" i="24"/>
  <c r="AE357" i="24"/>
  <c r="S34" i="23"/>
  <c r="F137" i="23"/>
  <c r="Z150" i="23"/>
  <c r="I115" i="24"/>
  <c r="K115" i="24" s="1"/>
  <c r="L225" i="23"/>
  <c r="L301" i="23"/>
  <c r="L270" i="23"/>
  <c r="BF272" i="24"/>
  <c r="I218" i="24"/>
  <c r="I342" i="24"/>
  <c r="K342" i="24" s="1"/>
  <c r="I320" i="24"/>
  <c r="BC315" i="24"/>
  <c r="L264" i="23"/>
  <c r="N264" i="23" s="1"/>
  <c r="BC229" i="24"/>
  <c r="BC339" i="24"/>
  <c r="I208" i="24"/>
  <c r="AF312" i="24"/>
  <c r="I252" i="24"/>
  <c r="I301" i="24"/>
  <c r="I231" i="24"/>
  <c r="BC274" i="24"/>
  <c r="BE274" i="24" s="1"/>
  <c r="G254" i="24"/>
  <c r="O112" i="23"/>
  <c r="F81" i="23"/>
  <c r="W57" i="23"/>
  <c r="X137" i="23"/>
  <c r="AO107" i="24"/>
  <c r="L274" i="23"/>
  <c r="L297" i="23"/>
  <c r="L201" i="23"/>
  <c r="L262" i="23"/>
  <c r="Y264" i="23"/>
  <c r="BF264" i="23" s="1"/>
  <c r="I236" i="24"/>
  <c r="AF339" i="24"/>
  <c r="AH339" i="24" s="1"/>
  <c r="I307" i="24"/>
  <c r="AF304" i="24"/>
  <c r="I228" i="24"/>
  <c r="AF354" i="24"/>
  <c r="AH354" i="24" s="1"/>
  <c r="BC220" i="24"/>
  <c r="S84" i="23"/>
  <c r="I353" i="24"/>
  <c r="AF279" i="24"/>
  <c r="BC236" i="24"/>
  <c r="I247" i="24"/>
  <c r="K247" i="24" s="1"/>
  <c r="AF252" i="24"/>
  <c r="I297" i="24"/>
  <c r="K297" i="24" s="1"/>
  <c r="AF210" i="24"/>
  <c r="AH210" i="24" s="1"/>
  <c r="I215" i="24"/>
  <c r="L253" i="23"/>
  <c r="BC310" i="24"/>
  <c r="BC324" i="24"/>
  <c r="I298" i="24"/>
  <c r="K298" i="24" s="1"/>
  <c r="AF299" i="24"/>
  <c r="I262" i="24"/>
  <c r="AF301" i="24"/>
  <c r="AF206" i="24"/>
  <c r="BA254" i="24"/>
  <c r="I225" i="24"/>
  <c r="K320" i="23"/>
  <c r="G320" i="23"/>
  <c r="J320" i="23"/>
  <c r="H320" i="23"/>
  <c r="I320" i="23" s="1"/>
  <c r="L320" i="23" s="1"/>
  <c r="W84" i="23"/>
  <c r="I79" i="24"/>
  <c r="I125" i="24"/>
  <c r="K125" i="24" s="1"/>
  <c r="L338" i="23"/>
  <c r="BC346" i="24"/>
  <c r="AF353" i="24"/>
  <c r="AF298" i="24"/>
  <c r="BC303" i="24"/>
  <c r="AF335" i="24"/>
  <c r="BC329" i="24"/>
  <c r="I220" i="24"/>
  <c r="BC253" i="24"/>
  <c r="BC235" i="24"/>
  <c r="W114" i="23"/>
  <c r="X118" i="23"/>
  <c r="BC142" i="24"/>
  <c r="L355" i="23"/>
  <c r="I291" i="24"/>
  <c r="AF311" i="24"/>
  <c r="BG176" i="23"/>
  <c r="AA198" i="21"/>
  <c r="AF198" i="21"/>
  <c r="AN198" i="21" s="1"/>
  <c r="AC198" i="21"/>
  <c r="C198" i="21"/>
  <c r="J198" i="21"/>
  <c r="N198" i="21"/>
  <c r="P198" i="21"/>
  <c r="K273" i="23"/>
  <c r="J273" i="23"/>
  <c r="L273" i="23" s="1"/>
  <c r="G10" i="21"/>
  <c r="BP239" i="24"/>
  <c r="AX176" i="23"/>
  <c r="AY176" i="23" s="1"/>
  <c r="BF214" i="24"/>
  <c r="AI291" i="24"/>
  <c r="N165" i="23"/>
  <c r="Y165" i="23"/>
  <c r="H186" i="23"/>
  <c r="I186" i="23" s="1"/>
  <c r="G186" i="23"/>
  <c r="W26" i="23"/>
  <c r="W108" i="23"/>
  <c r="G109" i="23"/>
  <c r="X28" i="23"/>
  <c r="F29" i="23"/>
  <c r="X95" i="23"/>
  <c r="BQ178" i="24"/>
  <c r="Z33" i="23"/>
  <c r="AA74" i="23"/>
  <c r="AA94" i="23"/>
  <c r="AA91" i="23"/>
  <c r="O170" i="23"/>
  <c r="S186" i="23"/>
  <c r="AF162" i="24"/>
  <c r="AH162" i="24" s="1"/>
  <c r="L235" i="23"/>
  <c r="AD258" i="24"/>
  <c r="BA258" i="24"/>
  <c r="G258" i="24"/>
  <c r="AE258" i="24"/>
  <c r="BB258" i="24"/>
  <c r="H258" i="24"/>
  <c r="E258" i="24"/>
  <c r="F258" i="24" s="1"/>
  <c r="AB258" i="24"/>
  <c r="AC258" i="24" s="1"/>
  <c r="AY258" i="24"/>
  <c r="AZ258" i="24" s="1"/>
  <c r="L208" i="23"/>
  <c r="L210" i="23"/>
  <c r="L254" i="23"/>
  <c r="X8" i="23"/>
  <c r="W40" i="23"/>
  <c r="AV85" i="23"/>
  <c r="AP178" i="24"/>
  <c r="Z30" i="23"/>
  <c r="BC165" i="24"/>
  <c r="BE165" i="24" s="1"/>
  <c r="BA317" i="24"/>
  <c r="G317" i="24"/>
  <c r="BB317" i="24"/>
  <c r="H317" i="24"/>
  <c r="E317" i="24"/>
  <c r="F317" i="24" s="1"/>
  <c r="AY317" i="24"/>
  <c r="AZ317" i="24" s="1"/>
  <c r="BC317" i="24" s="1"/>
  <c r="AD317" i="24"/>
  <c r="AE317" i="24"/>
  <c r="AB317" i="24"/>
  <c r="AC317" i="24" s="1"/>
  <c r="H286" i="24"/>
  <c r="AD286" i="24"/>
  <c r="AE286" i="24"/>
  <c r="AY286" i="24"/>
  <c r="AZ286" i="24" s="1"/>
  <c r="BA286" i="24"/>
  <c r="AB286" i="24"/>
  <c r="AC286" i="24" s="1"/>
  <c r="G286" i="24"/>
  <c r="E286" i="24"/>
  <c r="F286" i="24" s="1"/>
  <c r="BB286" i="24"/>
  <c r="H266" i="24"/>
  <c r="AD266" i="24"/>
  <c r="BA266" i="24"/>
  <c r="AE266" i="24"/>
  <c r="BB266" i="24"/>
  <c r="G266" i="24"/>
  <c r="AB266" i="24"/>
  <c r="AC266" i="24" s="1"/>
  <c r="AZ266" i="24"/>
  <c r="AY266" i="24"/>
  <c r="E266" i="24"/>
  <c r="F266" i="24" s="1"/>
  <c r="L298" i="23"/>
  <c r="F287" i="24"/>
  <c r="I287" i="24" s="1"/>
  <c r="G287" i="24"/>
  <c r="H287" i="24"/>
  <c r="E287" i="24"/>
  <c r="BB287" i="24"/>
  <c r="AE287" i="24"/>
  <c r="AY287" i="24"/>
  <c r="AZ287" i="24" s="1"/>
  <c r="BA287" i="24"/>
  <c r="AD287" i="24"/>
  <c r="AB287" i="24"/>
  <c r="AC287" i="24" s="1"/>
  <c r="AF287" i="24" s="1"/>
  <c r="BE315" i="24"/>
  <c r="BF315" i="24"/>
  <c r="W8" i="23"/>
  <c r="AV72" i="23"/>
  <c r="H84" i="23"/>
  <c r="I84" i="23" s="1"/>
  <c r="W28" i="23"/>
  <c r="BE85" i="23"/>
  <c r="W102" i="23"/>
  <c r="F168" i="23"/>
  <c r="F151" i="23"/>
  <c r="W118" i="23"/>
  <c r="BL23" i="24"/>
  <c r="O20" i="23"/>
  <c r="X36" i="23"/>
  <c r="F36" i="23"/>
  <c r="X40" i="23"/>
  <c r="BG72" i="23"/>
  <c r="X150" i="23"/>
  <c r="BG85" i="23"/>
  <c r="BC85" i="23"/>
  <c r="S57" i="23"/>
  <c r="O168" i="23"/>
  <c r="Z66" i="24"/>
  <c r="I144" i="24"/>
  <c r="K144" i="24" s="1"/>
  <c r="L329" i="23"/>
  <c r="BA327" i="24"/>
  <c r="G327" i="24"/>
  <c r="BB327" i="24"/>
  <c r="H327" i="24"/>
  <c r="AB327" i="24"/>
  <c r="AC327" i="24" s="1"/>
  <c r="E327" i="24"/>
  <c r="F327" i="24" s="1"/>
  <c r="AY327" i="24"/>
  <c r="AZ327" i="24" s="1"/>
  <c r="AD327" i="24"/>
  <c r="AE327" i="24"/>
  <c r="BF259" i="23"/>
  <c r="AI259" i="24"/>
  <c r="BF259" i="24"/>
  <c r="X14" i="23"/>
  <c r="O41" i="23"/>
  <c r="BB85" i="23"/>
  <c r="O57" i="23"/>
  <c r="W151" i="23"/>
  <c r="BS66" i="24"/>
  <c r="Z100" i="23"/>
  <c r="Z108" i="23"/>
  <c r="AF142" i="24"/>
  <c r="AH142" i="24" s="1"/>
  <c r="AA22" i="23"/>
  <c r="AE265" i="24"/>
  <c r="AY265" i="24"/>
  <c r="AZ265" i="24" s="1"/>
  <c r="BC265" i="24" s="1"/>
  <c r="E265" i="24"/>
  <c r="F265" i="24" s="1"/>
  <c r="I265" i="24" s="1"/>
  <c r="BA265" i="24"/>
  <c r="AB265" i="24"/>
  <c r="AC265" i="24" s="1"/>
  <c r="BB265" i="24"/>
  <c r="G265" i="24"/>
  <c r="AD265" i="24"/>
  <c r="H265" i="24"/>
  <c r="G249" i="24"/>
  <c r="AY249" i="24"/>
  <c r="AZ249" i="24" s="1"/>
  <c r="BC249" i="24" s="1"/>
  <c r="H249" i="24"/>
  <c r="AB249" i="24"/>
  <c r="AC249" i="24" s="1"/>
  <c r="BA249" i="24"/>
  <c r="BB249" i="24"/>
  <c r="AD249" i="24"/>
  <c r="E249" i="24"/>
  <c r="F249" i="24"/>
  <c r="I249" i="24" s="1"/>
  <c r="AE249" i="24"/>
  <c r="BB260" i="24"/>
  <c r="BA260" i="24"/>
  <c r="AB260" i="24"/>
  <c r="AC260" i="24" s="1"/>
  <c r="E260" i="24"/>
  <c r="F260" i="24" s="1"/>
  <c r="AD260" i="24"/>
  <c r="AE260" i="24"/>
  <c r="G260" i="24"/>
  <c r="AY260" i="24"/>
  <c r="AZ260" i="24" s="1"/>
  <c r="BC260" i="24" s="1"/>
  <c r="H260" i="24"/>
  <c r="BF318" i="23"/>
  <c r="AI318" i="24"/>
  <c r="BF318" i="24"/>
  <c r="L318" i="24"/>
  <c r="BF310" i="24"/>
  <c r="BE310" i="24"/>
  <c r="W85" i="23"/>
  <c r="BT38" i="24"/>
  <c r="AV151" i="24"/>
  <c r="AA174" i="23"/>
  <c r="Z208" i="23"/>
  <c r="Z196" i="23"/>
  <c r="AA195" i="23"/>
  <c r="AA196" i="23"/>
  <c r="AA199" i="23"/>
  <c r="Z211" i="23"/>
  <c r="Z250" i="23"/>
  <c r="Z215" i="23"/>
  <c r="AA240" i="23"/>
  <c r="AA250" i="23"/>
  <c r="Z246" i="23"/>
  <c r="Z259" i="23"/>
  <c r="Z195" i="23"/>
  <c r="Z268" i="23"/>
  <c r="AA232" i="23"/>
  <c r="AA287" i="23"/>
  <c r="Z201" i="23"/>
  <c r="Z228" i="23"/>
  <c r="AA271" i="23"/>
  <c r="Z292" i="23"/>
  <c r="AA299" i="23"/>
  <c r="Z305" i="23"/>
  <c r="Z315" i="23"/>
  <c r="AA273" i="23"/>
  <c r="Z278" i="23"/>
  <c r="AA209" i="23"/>
  <c r="Z275" i="23"/>
  <c r="AA278" i="23"/>
  <c r="AA291" i="23"/>
  <c r="Z300" i="23"/>
  <c r="Z310" i="23"/>
  <c r="AA313" i="23"/>
  <c r="AA318" i="23"/>
  <c r="Z245" i="23"/>
  <c r="Z222" i="23"/>
  <c r="AA245" i="23"/>
  <c r="Z206" i="23"/>
  <c r="AA212" i="23"/>
  <c r="AA202" i="23"/>
  <c r="AA210" i="23"/>
  <c r="Z226" i="23"/>
  <c r="AA226" i="23"/>
  <c r="Z264" i="23"/>
  <c r="AA268" i="23"/>
  <c r="AA269" i="23"/>
  <c r="AA298" i="23"/>
  <c r="Z299" i="23"/>
  <c r="AA341" i="23"/>
  <c r="Z351" i="23"/>
  <c r="AA352" i="23"/>
  <c r="Z341" i="23"/>
  <c r="AA324" i="23"/>
  <c r="Z309" i="23"/>
  <c r="AA357" i="23"/>
  <c r="AA296" i="23"/>
  <c r="AA342" i="23"/>
  <c r="AA356" i="23"/>
  <c r="AA351" i="23"/>
  <c r="Z257" i="23"/>
  <c r="AA257" i="23"/>
  <c r="Z288" i="23"/>
  <c r="Z306" i="23"/>
  <c r="AA310" i="23"/>
  <c r="Z314" i="23"/>
  <c r="AA288" i="23"/>
  <c r="Z294" i="23"/>
  <c r="Z323" i="23"/>
  <c r="Z242" i="23"/>
  <c r="AA246" i="23"/>
  <c r="AA262" i="23"/>
  <c r="AA294" i="23"/>
  <c r="Z325" i="23"/>
  <c r="Z330" i="23"/>
  <c r="Z333" i="23"/>
  <c r="Z293" i="23"/>
  <c r="Z304" i="23"/>
  <c r="AA305" i="23"/>
  <c r="AA304" i="23"/>
  <c r="Z313" i="23"/>
  <c r="AA315" i="23"/>
  <c r="AA346" i="23"/>
  <c r="AA300" i="23"/>
  <c r="AA309" i="23"/>
  <c r="Z343" i="23"/>
  <c r="Z347" i="23"/>
  <c r="AA361" i="23"/>
  <c r="Z356" i="23"/>
  <c r="AA272" i="23"/>
  <c r="Z324" i="23"/>
  <c r="Z352" i="23"/>
  <c r="Z218" i="23"/>
  <c r="Z267" i="23"/>
  <c r="AA301" i="23"/>
  <c r="AA327" i="23"/>
  <c r="Z357" i="23"/>
  <c r="Z319" i="23"/>
  <c r="AA200" i="23"/>
  <c r="AA347" i="23"/>
  <c r="AA312" i="23"/>
  <c r="Z256" i="23"/>
  <c r="AA251" i="23"/>
  <c r="Z336" i="23"/>
  <c r="AA306" i="23"/>
  <c r="AA256" i="23"/>
  <c r="Z272" i="23"/>
  <c r="AA320" i="23"/>
  <c r="AA277" i="23"/>
  <c r="Z342" i="23"/>
  <c r="Z321" i="23"/>
  <c r="Z262" i="23"/>
  <c r="AA222" i="23"/>
  <c r="Z320" i="23"/>
  <c r="Z295" i="23"/>
  <c r="AA279" i="23"/>
  <c r="Z233" i="23"/>
  <c r="AA334" i="23"/>
  <c r="Z361" i="23"/>
  <c r="AA336" i="23"/>
  <c r="AA333" i="23"/>
  <c r="AA314" i="23"/>
  <c r="AA267" i="23"/>
  <c r="AA321" i="23"/>
  <c r="AA233" i="23"/>
  <c r="AA319" i="23"/>
  <c r="Z209" i="23"/>
  <c r="AA229" i="23"/>
  <c r="AA253" i="23"/>
  <c r="Z269" i="23"/>
  <c r="AA213" i="23"/>
  <c r="AA214" i="23"/>
  <c r="Z284" i="23"/>
  <c r="Z348" i="23"/>
  <c r="AA303" i="23"/>
  <c r="Z200" i="23"/>
  <c r="Z225" i="23"/>
  <c r="AA239" i="23"/>
  <c r="Z327" i="23"/>
  <c r="Z227" i="23"/>
  <c r="Z287" i="23"/>
  <c r="Z236" i="23"/>
  <c r="AA249" i="23"/>
  <c r="AA297" i="23"/>
  <c r="AA302" i="23"/>
  <c r="AA236" i="23"/>
  <c r="AA205" i="23"/>
  <c r="AA274" i="23"/>
  <c r="Z362" i="23"/>
  <c r="Z273" i="23"/>
  <c r="Z210" i="23"/>
  <c r="Z285" i="23"/>
  <c r="AA252" i="23"/>
  <c r="AA206" i="23"/>
  <c r="Z244" i="23"/>
  <c r="Z213" i="23"/>
  <c r="AA241" i="23"/>
  <c r="AA244" i="23"/>
  <c r="Z241" i="23"/>
  <c r="Z346" i="23"/>
  <c r="Z232" i="23"/>
  <c r="Z214" i="23"/>
  <c r="Z249" i="23"/>
  <c r="Z340" i="23"/>
  <c r="AA350" i="23"/>
  <c r="Z328" i="23"/>
  <c r="Z354" i="23"/>
  <c r="AA337" i="23"/>
  <c r="Z252" i="23"/>
  <c r="Z205" i="23"/>
  <c r="AA215" i="23"/>
  <c r="Z329" i="23"/>
  <c r="AA201" i="23"/>
  <c r="AA260" i="23"/>
  <c r="Z240" i="23"/>
  <c r="Z230" i="23"/>
  <c r="Z202" i="23"/>
  <c r="AA325" i="23"/>
  <c r="AA255" i="23"/>
  <c r="Z229" i="23"/>
  <c r="AA340" i="23"/>
  <c r="AA311" i="23"/>
  <c r="Z353" i="23"/>
  <c r="AA345" i="23"/>
  <c r="Z358" i="23"/>
  <c r="AA323" i="23"/>
  <c r="AA289" i="23"/>
  <c r="Z261" i="23"/>
  <c r="Z254" i="23"/>
  <c r="AA242" i="23"/>
  <c r="AA216" i="23"/>
  <c r="AA282" i="23"/>
  <c r="AA360" i="23"/>
  <c r="AA308" i="23"/>
  <c r="Z335" i="23"/>
  <c r="AA326" i="23"/>
  <c r="Z339" i="23"/>
  <c r="AA261" i="23"/>
  <c r="Z255" i="23"/>
  <c r="Z247" i="23"/>
  <c r="AA263" i="23"/>
  <c r="Z219" i="23"/>
  <c r="AA259" i="23"/>
  <c r="Z251" i="23"/>
  <c r="AA344" i="23"/>
  <c r="Z350" i="23"/>
  <c r="AA358" i="23"/>
  <c r="Z311" i="23"/>
  <c r="Z332" i="23"/>
  <c r="Z318" i="23"/>
  <c r="AA238" i="23"/>
  <c r="Z235" i="23"/>
  <c r="AA276" i="23"/>
  <c r="AA307" i="23"/>
  <c r="Z322" i="23"/>
  <c r="Z359" i="23"/>
  <c r="AA322" i="23"/>
  <c r="Z355" i="23"/>
  <c r="AA338" i="23"/>
  <c r="AA353" i="23"/>
  <c r="AA339" i="23"/>
  <c r="Z345" i="23"/>
  <c r="Z317" i="23"/>
  <c r="Z277" i="23"/>
  <c r="Z298" i="23"/>
  <c r="Z296" i="23"/>
  <c r="Z337" i="23"/>
  <c r="Z312" i="23"/>
  <c r="Z290" i="23"/>
  <c r="Z307" i="23"/>
  <c r="Z265" i="23"/>
  <c r="AA270" i="23"/>
  <c r="AA362" i="23"/>
  <c r="Z231" i="23"/>
  <c r="AA355" i="23"/>
  <c r="Z286" i="23"/>
  <c r="Z344" i="23"/>
  <c r="AA281" i="23"/>
  <c r="Z238" i="23"/>
  <c r="AA223" i="23"/>
  <c r="Z283" i="23"/>
  <c r="Z280" i="23"/>
  <c r="AA290" i="23"/>
  <c r="Z263" i="23"/>
  <c r="Z243" i="23"/>
  <c r="Z360" i="23"/>
  <c r="AA331" i="23"/>
  <c r="Z276" i="23"/>
  <c r="Z316" i="23"/>
  <c r="Z216" i="23"/>
  <c r="AA231" i="23"/>
  <c r="Z260" i="23"/>
  <c r="AA221" i="23"/>
  <c r="AA224" i="23"/>
  <c r="AA211" i="23"/>
  <c r="AA204" i="23"/>
  <c r="Z198" i="23"/>
  <c r="Z199" i="23"/>
  <c r="AA335" i="23"/>
  <c r="AA329" i="23"/>
  <c r="Z303" i="23"/>
  <c r="AA293" i="23"/>
  <c r="Z274" i="23"/>
  <c r="AA220" i="23"/>
  <c r="AA258" i="23"/>
  <c r="AA234" i="23"/>
  <c r="Z237" i="23"/>
  <c r="AA207" i="23"/>
  <c r="Z349" i="23"/>
  <c r="AA330" i="23"/>
  <c r="AA283" i="23"/>
  <c r="AA280" i="23"/>
  <c r="AA275" i="23"/>
  <c r="AA225" i="23"/>
  <c r="AA219" i="23"/>
  <c r="AA198" i="23"/>
  <c r="Z297" i="23"/>
  <c r="Z271" i="23"/>
  <c r="Z281" i="23"/>
  <c r="Z291" i="23"/>
  <c r="Z197" i="23"/>
  <c r="Z203" i="23"/>
  <c r="AA349" i="23"/>
  <c r="AA286" i="23"/>
  <c r="AA328" i="23"/>
  <c r="AA332" i="23"/>
  <c r="AA359" i="23"/>
  <c r="AA348" i="23"/>
  <c r="AA343" i="23"/>
  <c r="Z308" i="23"/>
  <c r="Z338" i="23"/>
  <c r="Z326" i="23"/>
  <c r="Z223" i="23"/>
  <c r="AA254" i="23"/>
  <c r="Z301" i="23"/>
  <c r="AA265" i="23"/>
  <c r="AA248" i="23"/>
  <c r="Z220" i="23"/>
  <c r="AA264" i="23"/>
  <c r="AA266" i="23"/>
  <c r="Z234" i="23"/>
  <c r="Z217" i="23"/>
  <c r="AA228" i="23"/>
  <c r="AA284" i="23"/>
  <c r="AA217" i="23"/>
  <c r="AA203" i="23"/>
  <c r="Z207" i="23"/>
  <c r="AA208" i="23"/>
  <c r="Z331" i="23"/>
  <c r="Z279" i="23"/>
  <c r="AA197" i="23"/>
  <c r="AA354" i="23"/>
  <c r="AA316" i="23"/>
  <c r="Z302" i="23"/>
  <c r="Z258" i="23"/>
  <c r="AA317" i="23"/>
  <c r="Z282" i="23"/>
  <c r="Z270" i="23"/>
  <c r="Z253" i="23"/>
  <c r="AA230" i="23"/>
  <c r="Z289" i="23"/>
  <c r="AA235" i="23"/>
  <c r="Z334" i="23"/>
  <c r="AA237" i="23"/>
  <c r="AA292" i="23"/>
  <c r="Z266" i="23"/>
  <c r="AA247" i="23"/>
  <c r="AA285" i="23"/>
  <c r="Z248" i="23"/>
  <c r="AA243" i="23"/>
  <c r="Z239" i="23"/>
  <c r="AA227" i="23"/>
  <c r="Z221" i="23"/>
  <c r="AA218" i="23"/>
  <c r="Z204" i="23"/>
  <c r="Z212" i="23"/>
  <c r="AA295" i="23"/>
  <c r="Z224" i="23"/>
  <c r="W104" i="23"/>
  <c r="AF144" i="24"/>
  <c r="AH144" i="24" s="1"/>
  <c r="AE328" i="24"/>
  <c r="AY328" i="24"/>
  <c r="AZ328" i="24" s="1"/>
  <c r="AD328" i="24"/>
  <c r="H328" i="24"/>
  <c r="AB328" i="24"/>
  <c r="AC328" i="24" s="1"/>
  <c r="E328" i="24"/>
  <c r="F328" i="24"/>
  <c r="I328" i="24" s="1"/>
  <c r="G328" i="24"/>
  <c r="BA328" i="24"/>
  <c r="BB328" i="24"/>
  <c r="E248" i="24"/>
  <c r="F248" i="24" s="1"/>
  <c r="I248" i="24" s="1"/>
  <c r="AB248" i="24"/>
  <c r="AC248" i="24" s="1"/>
  <c r="G248" i="24"/>
  <c r="AD248" i="24"/>
  <c r="AY248" i="24"/>
  <c r="AZ248" i="24" s="1"/>
  <c r="H248" i="24"/>
  <c r="AE248" i="24"/>
  <c r="BA248" i="24"/>
  <c r="BB248" i="24"/>
  <c r="BC248" i="24" s="1"/>
  <c r="AE294" i="24"/>
  <c r="E294" i="24"/>
  <c r="F294" i="24" s="1"/>
  <c r="G294" i="24"/>
  <c r="AD294" i="24"/>
  <c r="H294" i="24"/>
  <c r="AY294" i="24"/>
  <c r="AZ294" i="24" s="1"/>
  <c r="BB294" i="24"/>
  <c r="AB294" i="24"/>
  <c r="AC294" i="24" s="1"/>
  <c r="BA294" i="24"/>
  <c r="AD289" i="24"/>
  <c r="AE289" i="24"/>
  <c r="AY289" i="24"/>
  <c r="AZ289" i="24" s="1"/>
  <c r="BC289" i="24" s="1"/>
  <c r="H289" i="24"/>
  <c r="AB289" i="24"/>
  <c r="AC289" i="24" s="1"/>
  <c r="BB289" i="24"/>
  <c r="E289" i="24"/>
  <c r="F289" i="24" s="1"/>
  <c r="G289" i="24"/>
  <c r="BA289" i="24"/>
  <c r="BE346" i="24"/>
  <c r="AD261" i="24"/>
  <c r="AE261" i="24"/>
  <c r="AY261" i="24"/>
  <c r="AZ261" i="24" s="1"/>
  <c r="AC261" i="24"/>
  <c r="H261" i="24"/>
  <c r="G261" i="24"/>
  <c r="AB261" i="24"/>
  <c r="BB261" i="24"/>
  <c r="E261" i="24"/>
  <c r="F261" i="24" s="1"/>
  <c r="BA261" i="24"/>
  <c r="BB221" i="24"/>
  <c r="AB221" i="24"/>
  <c r="AC221" i="24" s="1"/>
  <c r="AF221" i="24" s="1"/>
  <c r="E221" i="24"/>
  <c r="F221" i="24" s="1"/>
  <c r="G221" i="24"/>
  <c r="AY221" i="24"/>
  <c r="AZ221" i="24" s="1"/>
  <c r="BA221" i="24"/>
  <c r="AD221" i="24"/>
  <c r="H221" i="24"/>
  <c r="AE221" i="24"/>
  <c r="L335" i="23"/>
  <c r="W45" i="23"/>
  <c r="X57" i="23"/>
  <c r="L172" i="23"/>
  <c r="H91" i="23"/>
  <c r="I91" i="23" s="1"/>
  <c r="F179" i="23"/>
  <c r="AN95" i="24"/>
  <c r="Y118" i="24"/>
  <c r="BC156" i="24"/>
  <c r="BE156" i="24" s="1"/>
  <c r="BC39" i="24"/>
  <c r="Z172" i="23"/>
  <c r="L144" i="23"/>
  <c r="N144" i="23" s="1"/>
  <c r="BC125" i="24"/>
  <c r="AB216" i="24"/>
  <c r="AC216" i="24" s="1"/>
  <c r="E216" i="24"/>
  <c r="F216" i="24" s="1"/>
  <c r="AY216" i="24"/>
  <c r="BA216" i="24"/>
  <c r="AD216" i="24"/>
  <c r="BB216" i="24"/>
  <c r="AE216" i="24"/>
  <c r="AZ216" i="24"/>
  <c r="H216" i="24"/>
  <c r="G216" i="24"/>
  <c r="AY217" i="24"/>
  <c r="AZ217" i="24" s="1"/>
  <c r="G217" i="24"/>
  <c r="H217" i="24"/>
  <c r="BB217" i="24"/>
  <c r="AB217" i="24"/>
  <c r="AC217" i="24" s="1"/>
  <c r="AD217" i="24"/>
  <c r="BA217" i="24"/>
  <c r="E217" i="24"/>
  <c r="F217" i="24" s="1"/>
  <c r="AE217" i="24"/>
  <c r="BF361" i="23"/>
  <c r="BF361" i="24"/>
  <c r="L361" i="24"/>
  <c r="AI361" i="24"/>
  <c r="BB197" i="24"/>
  <c r="H197" i="24"/>
  <c r="AB197" i="24"/>
  <c r="AC197" i="24" s="1"/>
  <c r="AD197" i="24"/>
  <c r="G197" i="24"/>
  <c r="BA197" i="24"/>
  <c r="E197" i="24"/>
  <c r="AE197" i="24"/>
  <c r="F197" i="24"/>
  <c r="AY197" i="24"/>
  <c r="AZ197" i="24" s="1"/>
  <c r="E232" i="24"/>
  <c r="F232" i="24" s="1"/>
  <c r="G232" i="24"/>
  <c r="H232" i="24"/>
  <c r="BB232" i="24"/>
  <c r="AB232" i="24"/>
  <c r="AC232" i="24" s="1"/>
  <c r="AD232" i="24"/>
  <c r="AY232" i="24"/>
  <c r="AZ232" i="24" s="1"/>
  <c r="BA232" i="24"/>
  <c r="AE232" i="24"/>
  <c r="AD241" i="24"/>
  <c r="AE241" i="24"/>
  <c r="BA241" i="24"/>
  <c r="BB241" i="24"/>
  <c r="AB241" i="24"/>
  <c r="AC241" i="24" s="1"/>
  <c r="AY241" i="24"/>
  <c r="AZ241" i="24" s="1"/>
  <c r="G241" i="24"/>
  <c r="H241" i="24"/>
  <c r="E241" i="24"/>
  <c r="F241" i="24" s="1"/>
  <c r="F102" i="23"/>
  <c r="S102" i="23"/>
  <c r="J91" i="23"/>
  <c r="X179" i="23"/>
  <c r="BL42" i="24"/>
  <c r="W95" i="24"/>
  <c r="X175" i="23"/>
  <c r="H276" i="24"/>
  <c r="AD276" i="24"/>
  <c r="BB276" i="24"/>
  <c r="G276" i="24"/>
  <c r="E276" i="24"/>
  <c r="F276" i="24" s="1"/>
  <c r="BA276" i="24"/>
  <c r="AB276" i="24"/>
  <c r="AC276" i="24" s="1"/>
  <c r="AE276" i="24"/>
  <c r="AY276" i="24"/>
  <c r="AZ276" i="24" s="1"/>
  <c r="L206" i="23"/>
  <c r="L223" i="23"/>
  <c r="BB322" i="24"/>
  <c r="E322" i="24"/>
  <c r="F322" i="24" s="1"/>
  <c r="BA322" i="24"/>
  <c r="AB322" i="24"/>
  <c r="AC322" i="24" s="1"/>
  <c r="AY322" i="24"/>
  <c r="AZ322" i="24" s="1"/>
  <c r="G322" i="24"/>
  <c r="AE322" i="24"/>
  <c r="H322" i="24"/>
  <c r="AD322" i="24"/>
  <c r="BF325" i="23"/>
  <c r="BF325" i="24"/>
  <c r="L325" i="24"/>
  <c r="L345" i="23"/>
  <c r="AD334" i="24"/>
  <c r="E334" i="24"/>
  <c r="F334" i="24" s="1"/>
  <c r="I334" i="24" s="1"/>
  <c r="G334" i="24"/>
  <c r="BB334" i="24"/>
  <c r="AY334" i="24"/>
  <c r="AZ334" i="24"/>
  <c r="AB334" i="24"/>
  <c r="AC334" i="24" s="1"/>
  <c r="BA334" i="24"/>
  <c r="AE334" i="24"/>
  <c r="H334" i="24"/>
  <c r="BF240" i="23"/>
  <c r="L240" i="24"/>
  <c r="S36" i="23"/>
  <c r="O128" i="23"/>
  <c r="O45" i="23"/>
  <c r="W81" i="23"/>
  <c r="W137" i="23"/>
  <c r="F118" i="23"/>
  <c r="X171" i="23"/>
  <c r="R42" i="24"/>
  <c r="Q118" i="24"/>
  <c r="W175" i="23"/>
  <c r="BC162" i="24"/>
  <c r="BE162" i="24" s="1"/>
  <c r="E205" i="24"/>
  <c r="F205" i="24" s="1"/>
  <c r="AY205" i="24"/>
  <c r="AZ205" i="24" s="1"/>
  <c r="BA205" i="24"/>
  <c r="BB205" i="24"/>
  <c r="H205" i="24"/>
  <c r="G205" i="24"/>
  <c r="AE205" i="24"/>
  <c r="AD205" i="24"/>
  <c r="AB205" i="24"/>
  <c r="AC205" i="24"/>
  <c r="L278" i="23"/>
  <c r="L239" i="23"/>
  <c r="G219" i="24"/>
  <c r="BB219" i="24"/>
  <c r="AB219" i="24"/>
  <c r="AC219" i="24" s="1"/>
  <c r="AD219" i="24"/>
  <c r="BA219" i="24"/>
  <c r="AY219" i="24"/>
  <c r="AZ219" i="24" s="1"/>
  <c r="F219" i="24"/>
  <c r="H219" i="24"/>
  <c r="E219" i="24"/>
  <c r="AE219" i="24"/>
  <c r="E222" i="24"/>
  <c r="AE222" i="24"/>
  <c r="H222" i="24"/>
  <c r="AB222" i="24"/>
  <c r="AC222" i="24" s="1"/>
  <c r="G222" i="24"/>
  <c r="F222" i="24"/>
  <c r="AD222" i="24"/>
  <c r="BA222" i="24"/>
  <c r="BB222" i="24"/>
  <c r="AY222" i="24"/>
  <c r="AZ222" i="24" s="1"/>
  <c r="AY360" i="24"/>
  <c r="AZ360" i="24" s="1"/>
  <c r="BA360" i="24"/>
  <c r="BB360" i="24"/>
  <c r="AB360" i="24"/>
  <c r="AC360" i="24" s="1"/>
  <c r="E360" i="24"/>
  <c r="F360" i="24" s="1"/>
  <c r="AD360" i="24"/>
  <c r="G360" i="24"/>
  <c r="AE360" i="24"/>
  <c r="H360" i="24"/>
  <c r="L305" i="23"/>
  <c r="BF288" i="23"/>
  <c r="BF288" i="24"/>
  <c r="AI288" i="24"/>
  <c r="L288" i="24"/>
  <c r="G343" i="24"/>
  <c r="BB343" i="24"/>
  <c r="H343" i="24"/>
  <c r="BA343" i="24"/>
  <c r="AB343" i="24"/>
  <c r="AC343" i="24" s="1"/>
  <c r="AF343" i="24" s="1"/>
  <c r="E343" i="24"/>
  <c r="F343" i="24" s="1"/>
  <c r="I343" i="24" s="1"/>
  <c r="AD343" i="24"/>
  <c r="AY343" i="24"/>
  <c r="AZ343" i="24" s="1"/>
  <c r="BC343" i="24" s="1"/>
  <c r="AE343" i="24"/>
  <c r="BE218" i="24"/>
  <c r="AH351" i="24"/>
  <c r="AI351" i="24"/>
  <c r="L267" i="23"/>
  <c r="BE229" i="24"/>
  <c r="BF229" i="24"/>
  <c r="BE339" i="24"/>
  <c r="AH262" i="24"/>
  <c r="K250" i="24"/>
  <c r="BE271" i="24"/>
  <c r="AH296" i="24"/>
  <c r="BE235" i="24"/>
  <c r="BF284" i="24"/>
  <c r="BE284" i="24"/>
  <c r="K233" i="24"/>
  <c r="BE319" i="24"/>
  <c r="AH315" i="24"/>
  <c r="AI315" i="24"/>
  <c r="AH264" i="24"/>
  <c r="AI264" i="24"/>
  <c r="E300" i="24"/>
  <c r="F300" i="24" s="1"/>
  <c r="AD300" i="24"/>
  <c r="BA300" i="24"/>
  <c r="G300" i="24"/>
  <c r="AE300" i="24"/>
  <c r="BB300" i="24"/>
  <c r="H300" i="24"/>
  <c r="AB300" i="24"/>
  <c r="AC300" i="24" s="1"/>
  <c r="AY300" i="24"/>
  <c r="AZ300" i="24" s="1"/>
  <c r="K300" i="23"/>
  <c r="G300" i="23"/>
  <c r="J300" i="23"/>
  <c r="H300" i="23"/>
  <c r="I300" i="23" s="1"/>
  <c r="L300" i="23" s="1"/>
  <c r="AH279" i="24"/>
  <c r="AH312" i="24"/>
  <c r="BE290" i="24"/>
  <c r="K252" i="24"/>
  <c r="K212" i="24"/>
  <c r="K301" i="24"/>
  <c r="K202" i="24"/>
  <c r="K218" i="24"/>
  <c r="BE267" i="24"/>
  <c r="BE269" i="24"/>
  <c r="K264" i="24"/>
  <c r="L264" i="24"/>
  <c r="AI272" i="24"/>
  <c r="AH272" i="24"/>
  <c r="AI268" i="24"/>
  <c r="AH268" i="24"/>
  <c r="K312" i="24"/>
  <c r="K307" i="24"/>
  <c r="AH304" i="24"/>
  <c r="K228" i="24"/>
  <c r="AV211" i="24"/>
  <c r="Q211" i="24"/>
  <c r="Z211" i="24"/>
  <c r="BM211" i="24"/>
  <c r="AN211" i="24"/>
  <c r="AU211" i="24"/>
  <c r="Y211" i="24"/>
  <c r="S211" i="24"/>
  <c r="BT211" i="24"/>
  <c r="AW211" i="24"/>
  <c r="W211" i="24"/>
  <c r="BQ211" i="24"/>
  <c r="BS211" i="24"/>
  <c r="AT211" i="24"/>
  <c r="AP211" i="24"/>
  <c r="BR211" i="24"/>
  <c r="X211" i="24"/>
  <c r="BK211" i="24"/>
  <c r="AH274" i="24"/>
  <c r="AD295" i="24"/>
  <c r="AE295" i="24"/>
  <c r="AY295" i="24"/>
  <c r="AZ295" i="24"/>
  <c r="H295" i="24"/>
  <c r="AB295" i="24"/>
  <c r="AC295" i="24" s="1"/>
  <c r="G295" i="24"/>
  <c r="BA295" i="24"/>
  <c r="BB295" i="24"/>
  <c r="E295" i="24"/>
  <c r="F295" i="24" s="1"/>
  <c r="L218" i="23"/>
  <c r="AH342" i="24"/>
  <c r="E333" i="24"/>
  <c r="F333" i="24" s="1"/>
  <c r="AD333" i="24"/>
  <c r="BA333" i="24"/>
  <c r="G333" i="24"/>
  <c r="H333" i="24"/>
  <c r="AE333" i="24"/>
  <c r="AY333" i="24"/>
  <c r="AZ333" i="24"/>
  <c r="BB333" i="24"/>
  <c r="AB333" i="24"/>
  <c r="AC333" i="24" s="1"/>
  <c r="H333" i="23"/>
  <c r="I333" i="23" s="1"/>
  <c r="G333" i="23"/>
  <c r="J333" i="23"/>
  <c r="K333" i="23"/>
  <c r="K320" i="24"/>
  <c r="AF319" i="24"/>
  <c r="K269" i="24"/>
  <c r="K336" i="24"/>
  <c r="AH236" i="24"/>
  <c r="AH243" i="24"/>
  <c r="L234" i="23"/>
  <c r="H199" i="24"/>
  <c r="AC199" i="24"/>
  <c r="AD199" i="24"/>
  <c r="AE199" i="24"/>
  <c r="AB199" i="24"/>
  <c r="AY199" i="24"/>
  <c r="AZ199" i="24" s="1"/>
  <c r="BC199" i="24" s="1"/>
  <c r="BA199" i="24"/>
  <c r="BB199" i="24"/>
  <c r="G199" i="24"/>
  <c r="E199" i="24"/>
  <c r="F199" i="24" s="1"/>
  <c r="L226" i="23"/>
  <c r="L312" i="23"/>
  <c r="E224" i="24"/>
  <c r="F224" i="24" s="1"/>
  <c r="G224" i="24"/>
  <c r="H224" i="24"/>
  <c r="AB224" i="24"/>
  <c r="AC224" i="24" s="1"/>
  <c r="BB224" i="24"/>
  <c r="AE224" i="24"/>
  <c r="AD224" i="24"/>
  <c r="BA224" i="24"/>
  <c r="AY224" i="24"/>
  <c r="AZ224" i="24" s="1"/>
  <c r="BC224" i="24" s="1"/>
  <c r="BF351" i="23"/>
  <c r="BF351" i="24"/>
  <c r="L263" i="23"/>
  <c r="AD238" i="24"/>
  <c r="AE238" i="24"/>
  <c r="AY238" i="24"/>
  <c r="AZ238" i="24" s="1"/>
  <c r="H238" i="24"/>
  <c r="AB238" i="24"/>
  <c r="AC238" i="24" s="1"/>
  <c r="BA238" i="24"/>
  <c r="BB238" i="24"/>
  <c r="G238" i="24"/>
  <c r="E238" i="24"/>
  <c r="F238" i="24" s="1"/>
  <c r="L299" i="23"/>
  <c r="L228" i="23"/>
  <c r="BF314" i="23"/>
  <c r="AI314" i="24"/>
  <c r="AI284" i="24"/>
  <c r="AI325" i="24"/>
  <c r="AH325" i="24"/>
  <c r="AF218" i="24"/>
  <c r="BF309" i="24"/>
  <c r="BE309" i="24"/>
  <c r="AH269" i="24"/>
  <c r="K314" i="24"/>
  <c r="L314" i="24"/>
  <c r="BC237" i="24"/>
  <c r="AH301" i="24"/>
  <c r="L277" i="23"/>
  <c r="AE326" i="24"/>
  <c r="AY326" i="24"/>
  <c r="AZ326" i="24" s="1"/>
  <c r="BA326" i="24"/>
  <c r="BB326" i="24"/>
  <c r="AD326" i="24"/>
  <c r="E326" i="24"/>
  <c r="F326" i="24" s="1"/>
  <c r="I326" i="24" s="1"/>
  <c r="H326" i="24"/>
  <c r="G326" i="24"/>
  <c r="AB326" i="24"/>
  <c r="AC326" i="24" s="1"/>
  <c r="AB198" i="24"/>
  <c r="AC198" i="24" s="1"/>
  <c r="BB198" i="24"/>
  <c r="E198" i="24"/>
  <c r="F198" i="24" s="1"/>
  <c r="G198" i="24"/>
  <c r="H198" i="24"/>
  <c r="AE198" i="24"/>
  <c r="AY198" i="24"/>
  <c r="AZ198" i="24" s="1"/>
  <c r="BA198" i="24"/>
  <c r="AD198" i="24"/>
  <c r="L340" i="23"/>
  <c r="L204" i="23"/>
  <c r="L290" i="23"/>
  <c r="AD337" i="24"/>
  <c r="BA337" i="24"/>
  <c r="E337" i="24"/>
  <c r="F337" i="24" s="1"/>
  <c r="I337" i="24" s="1"/>
  <c r="AE337" i="24"/>
  <c r="BB337" i="24"/>
  <c r="G337" i="24"/>
  <c r="AB337" i="24"/>
  <c r="AC337" i="24" s="1"/>
  <c r="H337" i="24"/>
  <c r="AY337" i="24"/>
  <c r="AZ337" i="24" s="1"/>
  <c r="BN335" i="24"/>
  <c r="BO335" i="24"/>
  <c r="I319" i="24"/>
  <c r="AB313" i="24"/>
  <c r="AC313" i="24" s="1"/>
  <c r="BB313" i="24"/>
  <c r="AD313" i="24"/>
  <c r="BA313" i="24"/>
  <c r="G313" i="24"/>
  <c r="H313" i="24"/>
  <c r="E313" i="24"/>
  <c r="F313" i="24" s="1"/>
  <c r="AY313" i="24"/>
  <c r="AZ313" i="24"/>
  <c r="AE313" i="24"/>
  <c r="H313" i="23"/>
  <c r="I313" i="23" s="1"/>
  <c r="G313" i="23"/>
  <c r="J313" i="23"/>
  <c r="K313" i="23"/>
  <c r="AH298" i="24"/>
  <c r="BE303" i="24"/>
  <c r="BE329" i="24"/>
  <c r="K210" i="24"/>
  <c r="BE292" i="24"/>
  <c r="AB308" i="24"/>
  <c r="AC308" i="24" s="1"/>
  <c r="AD308" i="24"/>
  <c r="AE308" i="24"/>
  <c r="E308" i="24"/>
  <c r="F308" i="24" s="1"/>
  <c r="H308" i="24"/>
  <c r="G308" i="24"/>
  <c r="BB308" i="24"/>
  <c r="AY308" i="24"/>
  <c r="AZ308" i="24" s="1"/>
  <c r="BA308" i="24"/>
  <c r="K346" i="24"/>
  <c r="BE358" i="24"/>
  <c r="AF320" i="24"/>
  <c r="AH356" i="24"/>
  <c r="K353" i="24"/>
  <c r="AF200" i="24"/>
  <c r="BE355" i="24"/>
  <c r="BE338" i="24"/>
  <c r="AH311" i="24"/>
  <c r="AH323" i="24"/>
  <c r="L349" i="23"/>
  <c r="L243" i="23"/>
  <c r="L203" i="23"/>
  <c r="L344" i="23"/>
  <c r="L211" i="23"/>
  <c r="AD316" i="24"/>
  <c r="AE316" i="24"/>
  <c r="AY316" i="24"/>
  <c r="AZ316" i="24" s="1"/>
  <c r="BA316" i="24"/>
  <c r="G316" i="24"/>
  <c r="H316" i="24"/>
  <c r="AB316" i="24"/>
  <c r="AC316" i="24" s="1"/>
  <c r="BB316" i="24"/>
  <c r="E316" i="24"/>
  <c r="F316" i="24" s="1"/>
  <c r="G280" i="24"/>
  <c r="BA280" i="24"/>
  <c r="H280" i="24"/>
  <c r="BB280" i="24"/>
  <c r="AZ280" i="24"/>
  <c r="AD280" i="24"/>
  <c r="AE280" i="24"/>
  <c r="E280" i="24"/>
  <c r="F280" i="24" s="1"/>
  <c r="I280" i="24" s="1"/>
  <c r="AB280" i="24"/>
  <c r="AC280" i="24" s="1"/>
  <c r="AY280" i="24"/>
  <c r="BE320" i="24"/>
  <c r="BC264" i="24"/>
  <c r="Y245" i="23"/>
  <c r="BF245" i="23" s="1"/>
  <c r="N245" i="23"/>
  <c r="BC349" i="24"/>
  <c r="BE297" i="24"/>
  <c r="I282" i="24"/>
  <c r="BE210" i="24"/>
  <c r="E257" i="24"/>
  <c r="F257" i="24" s="1"/>
  <c r="AB257" i="24"/>
  <c r="AC257" i="24" s="1"/>
  <c r="AY257" i="24"/>
  <c r="AZ257" i="24" s="1"/>
  <c r="H257" i="24"/>
  <c r="G257" i="24"/>
  <c r="BA257" i="24"/>
  <c r="BB257" i="24"/>
  <c r="AD257" i="24"/>
  <c r="AE257" i="24"/>
  <c r="BA281" i="24"/>
  <c r="AB281" i="24"/>
  <c r="AC281" i="24" s="1"/>
  <c r="AF281" i="24" s="1"/>
  <c r="AD281" i="24"/>
  <c r="H281" i="24"/>
  <c r="AY281" i="24"/>
  <c r="AZ281" i="24" s="1"/>
  <c r="G281" i="24"/>
  <c r="BB281" i="24"/>
  <c r="E281" i="24"/>
  <c r="AE281" i="24"/>
  <c r="F281" i="24"/>
  <c r="BA211" i="23"/>
  <c r="H251" i="24"/>
  <c r="AB251" i="24"/>
  <c r="AC251" i="24" s="1"/>
  <c r="AD251" i="24"/>
  <c r="G251" i="24"/>
  <c r="E251" i="24"/>
  <c r="F251" i="24" s="1"/>
  <c r="AE251" i="24"/>
  <c r="AY251" i="24"/>
  <c r="AZ251" i="24" s="1"/>
  <c r="BA251" i="24"/>
  <c r="BB251" i="24"/>
  <c r="AB246" i="24"/>
  <c r="AC246" i="24" s="1"/>
  <c r="AY246" i="24"/>
  <c r="AZ246" i="24" s="1"/>
  <c r="AD246" i="24"/>
  <c r="AE246" i="24"/>
  <c r="BA246" i="24"/>
  <c r="H246" i="24"/>
  <c r="E246" i="24"/>
  <c r="F246" i="24"/>
  <c r="G246" i="24"/>
  <c r="BB246" i="24"/>
  <c r="AD331" i="24"/>
  <c r="BA331" i="24"/>
  <c r="AE331" i="24"/>
  <c r="BB331" i="24"/>
  <c r="H331" i="24"/>
  <c r="AC331" i="24"/>
  <c r="AF331" i="24" s="1"/>
  <c r="AB331" i="24"/>
  <c r="E331" i="24"/>
  <c r="F331" i="24" s="1"/>
  <c r="I331" i="24" s="1"/>
  <c r="G331" i="24"/>
  <c r="AY331" i="24"/>
  <c r="AZ331" i="24" s="1"/>
  <c r="BC331" i="24" s="1"/>
  <c r="H332" i="24"/>
  <c r="G332" i="24"/>
  <c r="AB332" i="24"/>
  <c r="AC332" i="24" s="1"/>
  <c r="BA332" i="24"/>
  <c r="AD332" i="24"/>
  <c r="BB332" i="24"/>
  <c r="AE332" i="24"/>
  <c r="E332" i="24"/>
  <c r="AY332" i="24"/>
  <c r="AZ332" i="24" s="1"/>
  <c r="F332" i="24"/>
  <c r="AF310" i="24"/>
  <c r="AF267" i="24"/>
  <c r="AH353" i="24"/>
  <c r="AF233" i="24"/>
  <c r="K220" i="24"/>
  <c r="K215" i="24"/>
  <c r="AD256" i="24"/>
  <c r="H256" i="24"/>
  <c r="AY256" i="24"/>
  <c r="AZ256" i="24" s="1"/>
  <c r="BC256" i="24" s="1"/>
  <c r="AE256" i="24"/>
  <c r="BA256" i="24"/>
  <c r="G256" i="24"/>
  <c r="AB256" i="24"/>
  <c r="AC256" i="24" s="1"/>
  <c r="E256" i="24"/>
  <c r="F256" i="24" s="1"/>
  <c r="BB256" i="24"/>
  <c r="L250" i="23"/>
  <c r="L202" i="23"/>
  <c r="BF309" i="23"/>
  <c r="L309" i="24"/>
  <c r="AS239" i="24"/>
  <c r="I267" i="24"/>
  <c r="BF324" i="24"/>
  <c r="BE324" i="24"/>
  <c r="L259" i="24"/>
  <c r="K259" i="24"/>
  <c r="K359" i="24"/>
  <c r="BE354" i="24"/>
  <c r="K225" i="24"/>
  <c r="AH336" i="24"/>
  <c r="AH244" i="24"/>
  <c r="AI244" i="24"/>
  <c r="K236" i="24"/>
  <c r="AF338" i="24"/>
  <c r="K223" i="24"/>
  <c r="I278" i="24"/>
  <c r="K262" i="24"/>
  <c r="I335" i="24"/>
  <c r="G263" i="24"/>
  <c r="AE263" i="24"/>
  <c r="H263" i="24"/>
  <c r="BA263" i="24"/>
  <c r="BB263" i="24"/>
  <c r="AD263" i="24"/>
  <c r="AY263" i="24"/>
  <c r="AZ263" i="24" s="1"/>
  <c r="E263" i="24"/>
  <c r="F263" i="24" s="1"/>
  <c r="AB263" i="24"/>
  <c r="AC263" i="24" s="1"/>
  <c r="Q265" i="24"/>
  <c r="W265" i="24"/>
  <c r="AP265" i="24"/>
  <c r="S265" i="24"/>
  <c r="BK265" i="24"/>
  <c r="Y265" i="24"/>
  <c r="BT265" i="24"/>
  <c r="BS265" i="24"/>
  <c r="AU265" i="24"/>
  <c r="Z265" i="24"/>
  <c r="AT265" i="24"/>
  <c r="AN265" i="24"/>
  <c r="X265" i="24"/>
  <c r="AV265" i="24"/>
  <c r="AW265" i="24"/>
  <c r="BQ265" i="24"/>
  <c r="BM265" i="24"/>
  <c r="BR265" i="24"/>
  <c r="Q322" i="24"/>
  <c r="BR322" i="24"/>
  <c r="BK322" i="24"/>
  <c r="W322" i="24"/>
  <c r="AN322" i="24"/>
  <c r="X322" i="24"/>
  <c r="BQ322" i="24"/>
  <c r="AV322" i="24"/>
  <c r="AW322" i="24"/>
  <c r="BM322" i="24"/>
  <c r="AU322" i="24"/>
  <c r="Y322" i="24"/>
  <c r="BS322" i="24"/>
  <c r="Z322" i="24"/>
  <c r="S322" i="24"/>
  <c r="BT322" i="24"/>
  <c r="AT322" i="24"/>
  <c r="AP322" i="24"/>
  <c r="Y210" i="24"/>
  <c r="X210" i="24"/>
  <c r="AU210" i="24"/>
  <c r="BM210" i="24"/>
  <c r="Z210" i="24"/>
  <c r="AW210" i="24"/>
  <c r="BQ210" i="24"/>
  <c r="BR210" i="24"/>
  <c r="S210" i="24"/>
  <c r="AT210" i="24"/>
  <c r="Q210" i="24"/>
  <c r="BS210" i="24"/>
  <c r="W210" i="24"/>
  <c r="AN210" i="24"/>
  <c r="AP210" i="24"/>
  <c r="BT210" i="24"/>
  <c r="BK210" i="24"/>
  <c r="AV210" i="24"/>
  <c r="AN237" i="24"/>
  <c r="BS237" i="24"/>
  <c r="AP237" i="24"/>
  <c r="BT237" i="24"/>
  <c r="Z237" i="24"/>
  <c r="BR237" i="24"/>
  <c r="X237" i="24"/>
  <c r="AU237" i="24"/>
  <c r="Y237" i="24"/>
  <c r="AV237" i="24"/>
  <c r="BM237" i="24"/>
  <c r="AW237" i="24"/>
  <c r="BQ237" i="24"/>
  <c r="W237" i="24"/>
  <c r="AT237" i="24"/>
  <c r="BK237" i="24"/>
  <c r="Q237" i="24"/>
  <c r="S237" i="24"/>
  <c r="AW216" i="24"/>
  <c r="X216" i="24"/>
  <c r="BQ216" i="24"/>
  <c r="AT216" i="24"/>
  <c r="BS216" i="24"/>
  <c r="AV216" i="24"/>
  <c r="Q216" i="24"/>
  <c r="AN216" i="24"/>
  <c r="BM216" i="24"/>
  <c r="S216" i="24"/>
  <c r="Z216" i="24"/>
  <c r="BR216" i="24"/>
  <c r="W216" i="24"/>
  <c r="AP216" i="24"/>
  <c r="BT216" i="24"/>
  <c r="AU216" i="24"/>
  <c r="Y216" i="24"/>
  <c r="BK216" i="24"/>
  <c r="Z222" i="24"/>
  <c r="BT222" i="24"/>
  <c r="Q222" i="24"/>
  <c r="Y222" i="24"/>
  <c r="AT222" i="24"/>
  <c r="AU222" i="24"/>
  <c r="AV222" i="24"/>
  <c r="X222" i="24"/>
  <c r="AP222" i="24"/>
  <c r="S222" i="24"/>
  <c r="W222" i="24"/>
  <c r="BS222" i="24"/>
  <c r="AW222" i="24"/>
  <c r="AN222" i="24"/>
  <c r="BR222" i="24"/>
  <c r="BQ222" i="24"/>
  <c r="BK222" i="24"/>
  <c r="BM222" i="24"/>
  <c r="D268" i="24"/>
  <c r="BC268" i="23"/>
  <c r="BE268" i="23"/>
  <c r="BB268" i="23"/>
  <c r="BA268" i="23"/>
  <c r="AV268" i="23"/>
  <c r="BG268" i="23"/>
  <c r="AS268" i="23"/>
  <c r="BA245" i="23"/>
  <c r="D245" i="24"/>
  <c r="BE245" i="23"/>
  <c r="BG245" i="23"/>
  <c r="BC245" i="23"/>
  <c r="AS245" i="23"/>
  <c r="AV245" i="23"/>
  <c r="BB245" i="23"/>
  <c r="D200" i="24"/>
  <c r="BE200" i="23"/>
  <c r="BC200" i="23"/>
  <c r="AV200" i="23"/>
  <c r="BG200" i="23"/>
  <c r="AS200" i="23"/>
  <c r="BB200" i="23"/>
  <c r="BA200" i="23"/>
  <c r="D320" i="24"/>
  <c r="BG320" i="23"/>
  <c r="BE320" i="23"/>
  <c r="AV320" i="23"/>
  <c r="BC320" i="23"/>
  <c r="AS320" i="23"/>
  <c r="BB320" i="23"/>
  <c r="BA320" i="23"/>
  <c r="AV312" i="23"/>
  <c r="D312" i="24"/>
  <c r="BE312" i="23"/>
  <c r="BG312" i="23"/>
  <c r="BA312" i="23"/>
  <c r="AS312" i="23"/>
  <c r="BC312" i="23"/>
  <c r="BB312" i="23"/>
  <c r="D314" i="24"/>
  <c r="BG314" i="23"/>
  <c r="AS314" i="23"/>
  <c r="AV314" i="23"/>
  <c r="BA314" i="23"/>
  <c r="BB314" i="23"/>
  <c r="BC314" i="23"/>
  <c r="BE314" i="23"/>
  <c r="BC329" i="23"/>
  <c r="D329" i="24"/>
  <c r="BE329" i="23"/>
  <c r="BG329" i="23"/>
  <c r="BA329" i="23"/>
  <c r="BB329" i="23"/>
  <c r="AS329" i="23"/>
  <c r="AV329" i="23"/>
  <c r="D353" i="24"/>
  <c r="AS353" i="23"/>
  <c r="AV353" i="23"/>
  <c r="BA353" i="23"/>
  <c r="BE353" i="23"/>
  <c r="BG353" i="23"/>
  <c r="BB353" i="23"/>
  <c r="BC353" i="23"/>
  <c r="D318" i="24"/>
  <c r="BA318" i="23"/>
  <c r="BE318" i="23"/>
  <c r="BC318" i="23"/>
  <c r="AS318" i="23"/>
  <c r="AV318" i="23"/>
  <c r="BB318" i="23"/>
  <c r="BG318" i="23"/>
  <c r="D275" i="24"/>
  <c r="BC275" i="23"/>
  <c r="BB275" i="23"/>
  <c r="BA275" i="23"/>
  <c r="BG275" i="23"/>
  <c r="BE275" i="23"/>
  <c r="AV275" i="23"/>
  <c r="AS275" i="23"/>
  <c r="AF152" i="23"/>
  <c r="AH152" i="23" s="1"/>
  <c r="S152" i="23"/>
  <c r="F152" i="23"/>
  <c r="K243" i="24"/>
  <c r="Y283" i="24"/>
  <c r="AN283" i="24"/>
  <c r="BM283" i="24"/>
  <c r="BQ283" i="24"/>
  <c r="AW283" i="24"/>
  <c r="S283" i="24"/>
  <c r="AU283" i="24"/>
  <c r="W283" i="24"/>
  <c r="X283" i="24"/>
  <c r="Q283" i="24"/>
  <c r="AT283" i="24"/>
  <c r="BR283" i="24"/>
  <c r="Z283" i="24"/>
  <c r="AV283" i="24"/>
  <c r="BK283" i="24"/>
  <c r="BT283" i="24"/>
  <c r="BS283" i="24"/>
  <c r="AP283" i="24"/>
  <c r="Q280" i="24"/>
  <c r="AT280" i="24"/>
  <c r="BR280" i="24"/>
  <c r="BS280" i="24"/>
  <c r="W280" i="24"/>
  <c r="BT280" i="24"/>
  <c r="S280" i="24"/>
  <c r="BQ280" i="24"/>
  <c r="X280" i="24"/>
  <c r="AN280" i="24"/>
  <c r="Y280" i="24"/>
  <c r="BK280" i="24"/>
  <c r="Z280" i="24"/>
  <c r="AP280" i="24"/>
  <c r="AV280" i="24"/>
  <c r="AW280" i="24"/>
  <c r="BM280" i="24"/>
  <c r="AU280" i="24"/>
  <c r="BC254" i="24"/>
  <c r="AF225" i="24"/>
  <c r="AP257" i="24"/>
  <c r="BT257" i="24"/>
  <c r="Q257" i="24"/>
  <c r="BQ257" i="24"/>
  <c r="X257" i="24"/>
  <c r="BM257" i="24"/>
  <c r="S257" i="24"/>
  <c r="AU257" i="24"/>
  <c r="AW257" i="24"/>
  <c r="Y257" i="24"/>
  <c r="AT257" i="24"/>
  <c r="Z257" i="24"/>
  <c r="W257" i="24"/>
  <c r="BS257" i="24"/>
  <c r="AN257" i="24"/>
  <c r="BK257" i="24"/>
  <c r="AV257" i="24"/>
  <c r="BR257" i="24"/>
  <c r="U239" i="24"/>
  <c r="T239" i="24"/>
  <c r="L291" i="24"/>
  <c r="K291" i="24"/>
  <c r="BE236" i="24"/>
  <c r="K339" i="24"/>
  <c r="K338" i="24"/>
  <c r="BE312" i="24"/>
  <c r="K321" i="24"/>
  <c r="AH299" i="24"/>
  <c r="AH252" i="24"/>
  <c r="K283" i="24"/>
  <c r="BE350" i="24"/>
  <c r="AH271" i="24"/>
  <c r="AH335" i="24"/>
  <c r="BE344" i="24"/>
  <c r="K209" i="24"/>
  <c r="I302" i="24"/>
  <c r="X337" i="24"/>
  <c r="BR337" i="24"/>
  <c r="Y337" i="24"/>
  <c r="AU337" i="24"/>
  <c r="AW337" i="24"/>
  <c r="BQ337" i="24"/>
  <c r="AT337" i="24"/>
  <c r="AV337" i="24"/>
  <c r="AN337" i="24"/>
  <c r="Z337" i="24"/>
  <c r="BK337" i="24"/>
  <c r="W337" i="24"/>
  <c r="BS337" i="24"/>
  <c r="BM337" i="24"/>
  <c r="S337" i="24"/>
  <c r="BT337" i="24"/>
  <c r="Q337" i="24"/>
  <c r="AP337" i="24"/>
  <c r="I270" i="24"/>
  <c r="BE253" i="24"/>
  <c r="AH206" i="24"/>
  <c r="X338" i="24"/>
  <c r="BQ338" i="24"/>
  <c r="AV338" i="24"/>
  <c r="Q338" i="24"/>
  <c r="AW338" i="24"/>
  <c r="BK338" i="24"/>
  <c r="AU338" i="24"/>
  <c r="S338" i="24"/>
  <c r="AN338" i="24"/>
  <c r="W338" i="24"/>
  <c r="AT338" i="24"/>
  <c r="Y338" i="24"/>
  <c r="Z338" i="24"/>
  <c r="BR338" i="24"/>
  <c r="BS338" i="24"/>
  <c r="AP338" i="24"/>
  <c r="BT338" i="24"/>
  <c r="BM338" i="24"/>
  <c r="Z249" i="24"/>
  <c r="BQ249" i="24"/>
  <c r="BT249" i="24"/>
  <c r="BK249" i="24"/>
  <c r="AV249" i="24"/>
  <c r="W249" i="24"/>
  <c r="X249" i="24"/>
  <c r="AP249" i="24"/>
  <c r="AW249" i="24"/>
  <c r="S249" i="24"/>
  <c r="Q249" i="24"/>
  <c r="AN249" i="24"/>
  <c r="AT249" i="24"/>
  <c r="BR249" i="24"/>
  <c r="BS249" i="24"/>
  <c r="AU249" i="24"/>
  <c r="BM249" i="24"/>
  <c r="Y249" i="24"/>
  <c r="W234" i="24"/>
  <c r="X234" i="24"/>
  <c r="AP234" i="24"/>
  <c r="BM234" i="24"/>
  <c r="AT234" i="24"/>
  <c r="Q234" i="24"/>
  <c r="BK234" i="24"/>
  <c r="AW234" i="24"/>
  <c r="BR234" i="24"/>
  <c r="Z234" i="24"/>
  <c r="AU234" i="24"/>
  <c r="BS234" i="24"/>
  <c r="Y234" i="24"/>
  <c r="S234" i="24"/>
  <c r="BQ234" i="24"/>
  <c r="AN234" i="24"/>
  <c r="BT234" i="24"/>
  <c r="AV234" i="24"/>
  <c r="AV242" i="24"/>
  <c r="Z242" i="24"/>
  <c r="BK242" i="24"/>
  <c r="BS242" i="24"/>
  <c r="BT242" i="24"/>
  <c r="Y242" i="24"/>
  <c r="AU242" i="24"/>
  <c r="X242" i="24"/>
  <c r="W242" i="24"/>
  <c r="AT242" i="24"/>
  <c r="Q242" i="24"/>
  <c r="AP242" i="24"/>
  <c r="BQ242" i="24"/>
  <c r="BR242" i="24"/>
  <c r="BM242" i="24"/>
  <c r="S242" i="24"/>
  <c r="AW242" i="24"/>
  <c r="AN242" i="24"/>
  <c r="AN221" i="24"/>
  <c r="W221" i="24"/>
  <c r="X221" i="24"/>
  <c r="AV221" i="24"/>
  <c r="BQ221" i="24"/>
  <c r="AW221" i="24"/>
  <c r="BR221" i="24"/>
  <c r="S221" i="24"/>
  <c r="BK221" i="24"/>
  <c r="BS221" i="24"/>
  <c r="Q221" i="24"/>
  <c r="BT221" i="24"/>
  <c r="Z221" i="24"/>
  <c r="AP221" i="24"/>
  <c r="Y221" i="24"/>
  <c r="BM221" i="24"/>
  <c r="AT221" i="24"/>
  <c r="AU221" i="24"/>
  <c r="D269" i="24"/>
  <c r="BG269" i="23"/>
  <c r="BB269" i="23"/>
  <c r="AV269" i="23"/>
  <c r="BC269" i="23"/>
  <c r="AS269" i="23"/>
  <c r="BE269" i="23"/>
  <c r="BA269" i="23"/>
  <c r="D229" i="24"/>
  <c r="AV229" i="23"/>
  <c r="BE229" i="23"/>
  <c r="BC229" i="23"/>
  <c r="AS229" i="23"/>
  <c r="BG229" i="23"/>
  <c r="BA229" i="23"/>
  <c r="BB229" i="23"/>
  <c r="D264" i="24"/>
  <c r="BB264" i="23"/>
  <c r="BA264" i="23"/>
  <c r="AS264" i="23"/>
  <c r="BG264" i="23"/>
  <c r="BE264" i="23"/>
  <c r="AV264" i="23"/>
  <c r="BC264" i="23"/>
  <c r="D333" i="24"/>
  <c r="BG333" i="23"/>
  <c r="AS333" i="23"/>
  <c r="BE333" i="23"/>
  <c r="AV333" i="23"/>
  <c r="BB333" i="23"/>
  <c r="BC333" i="23"/>
  <c r="BA333" i="23"/>
  <c r="D290" i="24"/>
  <c r="BC290" i="23"/>
  <c r="AS290" i="23"/>
  <c r="BE290" i="23"/>
  <c r="BA290" i="23"/>
  <c r="BG290" i="23"/>
  <c r="AV290" i="23"/>
  <c r="BB290" i="23"/>
  <c r="D310" i="24"/>
  <c r="AV310" i="23"/>
  <c r="BA310" i="23"/>
  <c r="AS310" i="23"/>
  <c r="BC310" i="23"/>
  <c r="BB310" i="23"/>
  <c r="BG310" i="23"/>
  <c r="BE310" i="23"/>
  <c r="D258" i="24"/>
  <c r="BC258" i="23"/>
  <c r="BB258" i="23"/>
  <c r="BA258" i="23"/>
  <c r="AV258" i="23"/>
  <c r="AS258" i="23"/>
  <c r="BG258" i="23"/>
  <c r="BE258" i="23"/>
  <c r="BB313" i="23"/>
  <c r="BC313" i="23"/>
  <c r="AS313" i="23"/>
  <c r="D313" i="24"/>
  <c r="AV313" i="23"/>
  <c r="BG313" i="23"/>
  <c r="BA313" i="23"/>
  <c r="BE313" i="23"/>
  <c r="D293" i="24"/>
  <c r="BE293" i="23"/>
  <c r="BG293" i="23"/>
  <c r="AS293" i="23"/>
  <c r="BC293" i="23"/>
  <c r="AV293" i="23"/>
  <c r="BA293" i="23"/>
  <c r="BB293" i="23"/>
  <c r="D270" i="24"/>
  <c r="AS270" i="23"/>
  <c r="BG270" i="23"/>
  <c r="BC270" i="23"/>
  <c r="BE270" i="23"/>
  <c r="AV270" i="23"/>
  <c r="BA270" i="23"/>
  <c r="BB270" i="23"/>
  <c r="W204" i="24"/>
  <c r="BT204" i="24"/>
  <c r="AU204" i="24"/>
  <c r="AV204" i="24"/>
  <c r="Z204" i="24"/>
  <c r="BR204" i="24"/>
  <c r="BS204" i="24"/>
  <c r="Y204" i="24"/>
  <c r="AW204" i="24"/>
  <c r="BQ204" i="24"/>
  <c r="X204" i="24"/>
  <c r="BK204" i="24"/>
  <c r="Q204" i="24"/>
  <c r="AT204" i="24"/>
  <c r="AN204" i="24"/>
  <c r="BM204" i="24"/>
  <c r="S204" i="24"/>
  <c r="AP204" i="24"/>
  <c r="X152" i="23"/>
  <c r="F185" i="23"/>
  <c r="I274" i="24"/>
  <c r="AH239" i="24"/>
  <c r="BE201" i="24"/>
  <c r="AH235" i="24"/>
  <c r="AH254" i="24"/>
  <c r="I310" i="24"/>
  <c r="BC342" i="24"/>
  <c r="BC353" i="24"/>
  <c r="K356" i="24"/>
  <c r="I324" i="24"/>
  <c r="I268" i="24"/>
  <c r="BB293" i="24"/>
  <c r="AE293" i="24"/>
  <c r="BA293" i="24"/>
  <c r="AY293" i="24"/>
  <c r="AZ293" i="24" s="1"/>
  <c r="BC293" i="24" s="1"/>
  <c r="E293" i="24"/>
  <c r="F293" i="24" s="1"/>
  <c r="AD293" i="24"/>
  <c r="G293" i="24"/>
  <c r="H293" i="24"/>
  <c r="AB293" i="24"/>
  <c r="AC293" i="24" s="1"/>
  <c r="AF293" i="24" s="1"/>
  <c r="G293" i="23"/>
  <c r="K293" i="23"/>
  <c r="H293" i="23"/>
  <c r="I293" i="23" s="1"/>
  <c r="J293" i="23"/>
  <c r="I279" i="24"/>
  <c r="H330" i="24"/>
  <c r="AB330" i="24"/>
  <c r="AC330" i="24" s="1"/>
  <c r="AD330" i="24"/>
  <c r="AY330" i="24"/>
  <c r="AZ330" i="24" s="1"/>
  <c r="G330" i="24"/>
  <c r="BA330" i="24"/>
  <c r="BB330" i="24"/>
  <c r="AE330" i="24"/>
  <c r="AF330" i="24" s="1"/>
  <c r="E330" i="24"/>
  <c r="F330" i="24" s="1"/>
  <c r="H330" i="23"/>
  <c r="I330" i="23" s="1"/>
  <c r="G330" i="23"/>
  <c r="J330" i="23"/>
  <c r="K330" i="23"/>
  <c r="BC291" i="24"/>
  <c r="AF223" i="24"/>
  <c r="BC298" i="24"/>
  <c r="AF290" i="24"/>
  <c r="AF321" i="24"/>
  <c r="AF303" i="24"/>
  <c r="AY345" i="24"/>
  <c r="AZ345" i="24" s="1"/>
  <c r="E345" i="24"/>
  <c r="F345" i="24" s="1"/>
  <c r="AB345" i="24"/>
  <c r="AC345" i="24" s="1"/>
  <c r="AE345" i="24"/>
  <c r="G345" i="24"/>
  <c r="AD345" i="24"/>
  <c r="H345" i="24"/>
  <c r="BA345" i="24"/>
  <c r="BB345" i="24"/>
  <c r="AH278" i="24"/>
  <c r="I237" i="24"/>
  <c r="I329" i="24"/>
  <c r="BC282" i="24"/>
  <c r="W260" i="24"/>
  <c r="BS260" i="24"/>
  <c r="Q260" i="24"/>
  <c r="BR260" i="24"/>
  <c r="Z260" i="24"/>
  <c r="AP260" i="24"/>
  <c r="BK260" i="24"/>
  <c r="AT260" i="24"/>
  <c r="AU260" i="24"/>
  <c r="X260" i="24"/>
  <c r="Y260" i="24"/>
  <c r="BT260" i="24"/>
  <c r="AV260" i="24"/>
  <c r="S260" i="24"/>
  <c r="AN260" i="24"/>
  <c r="AW260" i="24"/>
  <c r="BQ260" i="24"/>
  <c r="BM260" i="24"/>
  <c r="BC228" i="24"/>
  <c r="G142" i="23"/>
  <c r="H142" i="23"/>
  <c r="I142" i="23" s="1"/>
  <c r="J142" i="23"/>
  <c r="K142" i="23"/>
  <c r="BC302" i="24"/>
  <c r="AF220" i="24"/>
  <c r="AF253" i="24"/>
  <c r="W24" i="23"/>
  <c r="W185" i="23"/>
  <c r="AP244" i="24"/>
  <c r="AU244" i="24"/>
  <c r="AN244" i="24"/>
  <c r="AW244" i="24"/>
  <c r="BS244" i="24"/>
  <c r="BT244" i="24"/>
  <c r="S244" i="24"/>
  <c r="AV244" i="24"/>
  <c r="BR244" i="24"/>
  <c r="BQ244" i="24"/>
  <c r="AT244" i="24"/>
  <c r="X244" i="24"/>
  <c r="BM244" i="24"/>
  <c r="Y244" i="24"/>
  <c r="Z244" i="24"/>
  <c r="BK244" i="24"/>
  <c r="W244" i="24"/>
  <c r="Q244" i="24"/>
  <c r="AN259" i="24"/>
  <c r="S259" i="24"/>
  <c r="AP259" i="24"/>
  <c r="W259" i="24"/>
  <c r="AT259" i="24"/>
  <c r="BQ259" i="24"/>
  <c r="BR259" i="24"/>
  <c r="BK259" i="24"/>
  <c r="BM259" i="24"/>
  <c r="Z259" i="24"/>
  <c r="X259" i="24"/>
  <c r="Q259" i="24"/>
  <c r="Y259" i="24"/>
  <c r="AV259" i="24"/>
  <c r="BS259" i="24"/>
  <c r="AU259" i="24"/>
  <c r="AW259" i="24"/>
  <c r="BT259" i="24"/>
  <c r="W219" i="24"/>
  <c r="BT219" i="24"/>
  <c r="AU219" i="24"/>
  <c r="AV219" i="24"/>
  <c r="Q219" i="24"/>
  <c r="AN219" i="24"/>
  <c r="BK219" i="24"/>
  <c r="X219" i="24"/>
  <c r="AT219" i="24"/>
  <c r="BQ219" i="24"/>
  <c r="Y219" i="24"/>
  <c r="AW219" i="24"/>
  <c r="BR219" i="24"/>
  <c r="Z219" i="24"/>
  <c r="BS219" i="24"/>
  <c r="AP219" i="24"/>
  <c r="BM219" i="24"/>
  <c r="S219" i="24"/>
  <c r="AV261" i="24"/>
  <c r="AW261" i="24"/>
  <c r="BK261" i="24"/>
  <c r="AT261" i="24"/>
  <c r="BT261" i="24"/>
  <c r="Z261" i="24"/>
  <c r="X261" i="24"/>
  <c r="Y261" i="24"/>
  <c r="BM261" i="24"/>
  <c r="AN261" i="24"/>
  <c r="BQ261" i="24"/>
  <c r="BR261" i="24"/>
  <c r="BS261" i="24"/>
  <c r="Q261" i="24"/>
  <c r="S261" i="24"/>
  <c r="W261" i="24"/>
  <c r="AP261" i="24"/>
  <c r="AU261" i="24"/>
  <c r="Q220" i="24"/>
  <c r="AP220" i="24"/>
  <c r="BR220" i="24"/>
  <c r="W220" i="24"/>
  <c r="X220" i="24"/>
  <c r="Y220" i="24"/>
  <c r="AN220" i="24"/>
  <c r="BK220" i="24"/>
  <c r="Z220" i="24"/>
  <c r="AT220" i="24"/>
  <c r="BM220" i="24"/>
  <c r="BQ220" i="24"/>
  <c r="AW220" i="24"/>
  <c r="BT220" i="24"/>
  <c r="BS220" i="24"/>
  <c r="AU220" i="24"/>
  <c r="AV220" i="24"/>
  <c r="S220" i="24"/>
  <c r="BA362" i="23"/>
  <c r="D362" i="24"/>
  <c r="AV362" i="23"/>
  <c r="AS362" i="23"/>
  <c r="BC362" i="23"/>
  <c r="BE362" i="23"/>
  <c r="BB362" i="23"/>
  <c r="BG362" i="23"/>
  <c r="D223" i="24"/>
  <c r="BB223" i="23"/>
  <c r="AV223" i="23"/>
  <c r="BG223" i="23"/>
  <c r="AS223" i="23"/>
  <c r="BE223" i="23"/>
  <c r="BC223" i="23"/>
  <c r="BA223" i="23"/>
  <c r="D304" i="24"/>
  <c r="AS304" i="23"/>
  <c r="AV304" i="23"/>
  <c r="BB304" i="23"/>
  <c r="BC304" i="23"/>
  <c r="BE304" i="23"/>
  <c r="BA304" i="23"/>
  <c r="BG304" i="23"/>
  <c r="D233" i="24"/>
  <c r="AV233" i="23"/>
  <c r="BB233" i="23"/>
  <c r="AS233" i="23"/>
  <c r="BE233" i="23"/>
  <c r="BG233" i="23"/>
  <c r="BC233" i="23"/>
  <c r="BA233" i="23"/>
  <c r="D319" i="24"/>
  <c r="BA319" i="23"/>
  <c r="AV319" i="23"/>
  <c r="BC319" i="23"/>
  <c r="BG319" i="23"/>
  <c r="AS319" i="23"/>
  <c r="BE319" i="23"/>
  <c r="BB319" i="23"/>
  <c r="BA303" i="23"/>
  <c r="D303" i="24"/>
  <c r="AS303" i="23"/>
  <c r="BG303" i="23"/>
  <c r="AV303" i="23"/>
  <c r="BB303" i="23"/>
  <c r="BC303" i="23"/>
  <c r="BE303" i="23"/>
  <c r="D309" i="24"/>
  <c r="BE309" i="23"/>
  <c r="AV309" i="23"/>
  <c r="BC309" i="23"/>
  <c r="BB309" i="23"/>
  <c r="BG309" i="23"/>
  <c r="AS309" i="23"/>
  <c r="BA309" i="23"/>
  <c r="D285" i="24"/>
  <c r="BA285" i="23"/>
  <c r="AS285" i="23"/>
  <c r="BC285" i="23"/>
  <c r="BB285" i="23"/>
  <c r="BG285" i="23"/>
  <c r="BE285" i="23"/>
  <c r="AV285" i="23"/>
  <c r="D250" i="24"/>
  <c r="AV250" i="23"/>
  <c r="BE250" i="23"/>
  <c r="BG250" i="23"/>
  <c r="BA250" i="23"/>
  <c r="AS250" i="23"/>
  <c r="BB250" i="23"/>
  <c r="BC250" i="23"/>
  <c r="D208" i="24"/>
  <c r="BG208" i="23"/>
  <c r="BC208" i="23"/>
  <c r="BA208" i="23"/>
  <c r="AV208" i="23"/>
  <c r="BE208" i="23"/>
  <c r="AS208" i="23"/>
  <c r="BB208" i="23"/>
  <c r="X185" i="23"/>
  <c r="F12" i="23"/>
  <c r="BC215" i="24"/>
  <c r="AH234" i="24"/>
  <c r="BE240" i="24"/>
  <c r="BF240" i="24"/>
  <c r="AF346" i="24"/>
  <c r="AD348" i="24"/>
  <c r="AE348" i="24"/>
  <c r="AY348" i="24"/>
  <c r="AZ348" i="24" s="1"/>
  <c r="E348" i="24"/>
  <c r="F348" i="24" s="1"/>
  <c r="BB348" i="24"/>
  <c r="G348" i="24"/>
  <c r="AB348" i="24"/>
  <c r="AC348" i="24" s="1"/>
  <c r="AF348" i="24" s="1"/>
  <c r="H348" i="24"/>
  <c r="BA348" i="24"/>
  <c r="G348" i="23"/>
  <c r="J348" i="23"/>
  <c r="K348" i="23"/>
  <c r="H348" i="23"/>
  <c r="I348" i="23" s="1"/>
  <c r="K351" i="24"/>
  <c r="L351" i="24"/>
  <c r="H306" i="24"/>
  <c r="AC306" i="24"/>
  <c r="AD306" i="24"/>
  <c r="AE306" i="24"/>
  <c r="G306" i="24"/>
  <c r="AB306" i="24"/>
  <c r="E306" i="24"/>
  <c r="F306" i="24" s="1"/>
  <c r="BB306" i="24"/>
  <c r="BA306" i="24"/>
  <c r="AY306" i="24"/>
  <c r="AZ306" i="24" s="1"/>
  <c r="BC306" i="24" s="1"/>
  <c r="G306" i="23"/>
  <c r="K306" i="23"/>
  <c r="H306" i="23"/>
  <c r="I306" i="23" s="1"/>
  <c r="J306" i="23"/>
  <c r="I244" i="24"/>
  <c r="AF245" i="24"/>
  <c r="BC273" i="24"/>
  <c r="I230" i="24"/>
  <c r="I349" i="24"/>
  <c r="AF208" i="24"/>
  <c r="AF355" i="24"/>
  <c r="AF307" i="24"/>
  <c r="AF247" i="24"/>
  <c r="BC278" i="24"/>
  <c r="AF297" i="24"/>
  <c r="BR243" i="24"/>
  <c r="S243" i="24"/>
  <c r="W243" i="24"/>
  <c r="BS243" i="24"/>
  <c r="BQ243" i="24"/>
  <c r="BT243" i="24"/>
  <c r="AV243" i="24"/>
  <c r="AW243" i="24"/>
  <c r="BK243" i="24"/>
  <c r="Z243" i="24"/>
  <c r="AN243" i="24"/>
  <c r="AP243" i="24"/>
  <c r="Q243" i="24"/>
  <c r="AU243" i="24"/>
  <c r="X243" i="24"/>
  <c r="Y243" i="24"/>
  <c r="AT243" i="24"/>
  <c r="BM243" i="24"/>
  <c r="AF302" i="24"/>
  <c r="BC206" i="24"/>
  <c r="G156" i="23"/>
  <c r="H156" i="23"/>
  <c r="I156" i="23" s="1"/>
  <c r="L156" i="23" s="1"/>
  <c r="J156" i="23"/>
  <c r="W328" i="24"/>
  <c r="AV328" i="24"/>
  <c r="AW328" i="24"/>
  <c r="BQ328" i="24"/>
  <c r="BR328" i="24"/>
  <c r="AU328" i="24"/>
  <c r="BS328" i="24"/>
  <c r="Q328" i="24"/>
  <c r="AN328" i="24"/>
  <c r="BT328" i="24"/>
  <c r="X328" i="24"/>
  <c r="AT328" i="24"/>
  <c r="Y328" i="24"/>
  <c r="Z328" i="24"/>
  <c r="AP328" i="24"/>
  <c r="S328" i="24"/>
  <c r="BK328" i="24"/>
  <c r="BM328" i="24"/>
  <c r="BK231" i="24"/>
  <c r="BT231" i="24"/>
  <c r="X231" i="24"/>
  <c r="S231" i="24"/>
  <c r="AW231" i="24"/>
  <c r="AT231" i="24"/>
  <c r="BR231" i="24"/>
  <c r="AP231" i="24"/>
  <c r="BM231" i="24"/>
  <c r="AU231" i="24"/>
  <c r="W231" i="24"/>
  <c r="AV231" i="24"/>
  <c r="Q231" i="24"/>
  <c r="BQ231" i="24"/>
  <c r="Y231" i="24"/>
  <c r="Z231" i="24"/>
  <c r="BS231" i="24"/>
  <c r="AN231" i="24"/>
  <c r="BR271" i="24"/>
  <c r="BS271" i="24"/>
  <c r="Z271" i="24"/>
  <c r="AW271" i="24"/>
  <c r="BK271" i="24"/>
  <c r="X271" i="24"/>
  <c r="BM271" i="24"/>
  <c r="AP271" i="24"/>
  <c r="AT271" i="24"/>
  <c r="BQ271" i="24"/>
  <c r="Q271" i="24"/>
  <c r="AN271" i="24"/>
  <c r="BT271" i="24"/>
  <c r="AU271" i="24"/>
  <c r="W271" i="24"/>
  <c r="Y271" i="24"/>
  <c r="AV271" i="24"/>
  <c r="S271" i="24"/>
  <c r="BQ254" i="24"/>
  <c r="AT254" i="24"/>
  <c r="BT254" i="24"/>
  <c r="W254" i="24"/>
  <c r="AW254" i="24"/>
  <c r="BR254" i="24"/>
  <c r="S254" i="24"/>
  <c r="BM254" i="24"/>
  <c r="Z254" i="24"/>
  <c r="AV254" i="24"/>
  <c r="BK254" i="24"/>
  <c r="X254" i="24"/>
  <c r="AN254" i="24"/>
  <c r="BS254" i="24"/>
  <c r="Q254" i="24"/>
  <c r="AU254" i="24"/>
  <c r="AP254" i="24"/>
  <c r="Y254" i="24"/>
  <c r="X248" i="24"/>
  <c r="AU248" i="24"/>
  <c r="AV248" i="24"/>
  <c r="BM248" i="24"/>
  <c r="BS248" i="24"/>
  <c r="Q248" i="24"/>
  <c r="AT248" i="24"/>
  <c r="BK248" i="24"/>
  <c r="BQ248" i="24"/>
  <c r="BT248" i="24"/>
  <c r="AP248" i="24"/>
  <c r="BR248" i="24"/>
  <c r="AW248" i="24"/>
  <c r="Y248" i="24"/>
  <c r="Z248" i="24"/>
  <c r="AN248" i="24"/>
  <c r="W248" i="24"/>
  <c r="S248" i="24"/>
  <c r="D212" i="24"/>
  <c r="BA212" i="23"/>
  <c r="AV212" i="23"/>
  <c r="BG212" i="23"/>
  <c r="BE212" i="23"/>
  <c r="BB212" i="23"/>
  <c r="BC212" i="23"/>
  <c r="AS212" i="23"/>
  <c r="BB252" i="23"/>
  <c r="D252" i="24"/>
  <c r="BA252" i="23"/>
  <c r="AV252" i="23"/>
  <c r="BC252" i="23"/>
  <c r="BG252" i="23"/>
  <c r="BE252" i="23"/>
  <c r="AS252" i="23"/>
  <c r="BA341" i="23"/>
  <c r="D341" i="24"/>
  <c r="AV341" i="23"/>
  <c r="BE341" i="23"/>
  <c r="BG341" i="23"/>
  <c r="AS341" i="23"/>
  <c r="BC341" i="23"/>
  <c r="BB341" i="23"/>
  <c r="BA279" i="23"/>
  <c r="D279" i="24"/>
  <c r="BC279" i="23"/>
  <c r="BB279" i="23"/>
  <c r="BE279" i="23"/>
  <c r="AV279" i="23"/>
  <c r="AS279" i="23"/>
  <c r="BG279" i="23"/>
  <c r="D306" i="24"/>
  <c r="BC306" i="23"/>
  <c r="BG306" i="23"/>
  <c r="BB306" i="23"/>
  <c r="BE306" i="23"/>
  <c r="AV306" i="23"/>
  <c r="BA306" i="23"/>
  <c r="AS306" i="23"/>
  <c r="BA267" i="23"/>
  <c r="D267" i="24"/>
  <c r="AS267" i="23"/>
  <c r="BG267" i="23"/>
  <c r="AV267" i="23"/>
  <c r="BC267" i="23"/>
  <c r="BE267" i="23"/>
  <c r="BB267" i="23"/>
  <c r="D315" i="24"/>
  <c r="BA315" i="23"/>
  <c r="BE315" i="23"/>
  <c r="BC315" i="23"/>
  <c r="AS315" i="23"/>
  <c r="BG315" i="23"/>
  <c r="AV315" i="23"/>
  <c r="BB315" i="23"/>
  <c r="D247" i="24"/>
  <c r="BB247" i="23"/>
  <c r="BG247" i="23"/>
  <c r="BA247" i="23"/>
  <c r="BE247" i="23"/>
  <c r="AV247" i="23"/>
  <c r="BC247" i="23"/>
  <c r="AS247" i="23"/>
  <c r="D232" i="24"/>
  <c r="BB232" i="23"/>
  <c r="AV232" i="23"/>
  <c r="AS232" i="23"/>
  <c r="BE232" i="23"/>
  <c r="BG232" i="23"/>
  <c r="BA232" i="23"/>
  <c r="BC232" i="23"/>
  <c r="D196" i="24"/>
  <c r="BG196" i="23"/>
  <c r="AS196" i="23"/>
  <c r="BC196" i="23"/>
  <c r="BA196" i="23"/>
  <c r="BB196" i="23"/>
  <c r="BE196" i="23"/>
  <c r="AV196" i="23"/>
  <c r="AV198" i="24"/>
  <c r="S198" i="24"/>
  <c r="BK198" i="24"/>
  <c r="BQ198" i="24"/>
  <c r="AN198" i="24"/>
  <c r="BR198" i="24"/>
  <c r="AW198" i="24"/>
  <c r="X198" i="24"/>
  <c r="W198" i="24"/>
  <c r="Z198" i="24"/>
  <c r="AP198" i="24"/>
  <c r="AT198" i="24"/>
  <c r="Q198" i="24"/>
  <c r="BS198" i="24"/>
  <c r="BM198" i="24"/>
  <c r="Y198" i="24"/>
  <c r="AU198" i="24"/>
  <c r="BT198" i="24"/>
  <c r="S159" i="23"/>
  <c r="O159" i="23"/>
  <c r="F159" i="23"/>
  <c r="F24" i="23"/>
  <c r="I227" i="24"/>
  <c r="AF201" i="24"/>
  <c r="I226" i="24"/>
  <c r="W79" i="23"/>
  <c r="AF79" i="23"/>
  <c r="AH79" i="23" s="1"/>
  <c r="AF324" i="24"/>
  <c r="BC352" i="24"/>
  <c r="F275" i="24"/>
  <c r="AD275" i="24"/>
  <c r="AY275" i="24"/>
  <c r="AZ275" i="24" s="1"/>
  <c r="BC275" i="24" s="1"/>
  <c r="G275" i="24"/>
  <c r="AE275" i="24"/>
  <c r="H275" i="24"/>
  <c r="BA275" i="24"/>
  <c r="E275" i="24"/>
  <c r="AC275" i="24"/>
  <c r="AB275" i="24"/>
  <c r="BB275" i="24"/>
  <c r="G275" i="23"/>
  <c r="H275" i="23"/>
  <c r="I275" i="23" s="1"/>
  <c r="K275" i="23"/>
  <c r="J275" i="23"/>
  <c r="K200" i="24"/>
  <c r="BC208" i="24"/>
  <c r="AF359" i="24"/>
  <c r="AB277" i="24"/>
  <c r="AC277" i="24" s="1"/>
  <c r="AF277" i="24" s="1"/>
  <c r="AD277" i="24"/>
  <c r="H277" i="24"/>
  <c r="G277" i="24"/>
  <c r="AE277" i="24"/>
  <c r="BB277" i="24"/>
  <c r="F277" i="24"/>
  <c r="BA277" i="24"/>
  <c r="E277" i="24"/>
  <c r="AY277" i="24"/>
  <c r="AZ277" i="24" s="1"/>
  <c r="BC262" i="24"/>
  <c r="BC283" i="24"/>
  <c r="I296" i="24"/>
  <c r="AH329" i="24"/>
  <c r="AH282" i="24"/>
  <c r="AF203" i="24"/>
  <c r="BE323" i="24"/>
  <c r="BE231" i="24"/>
  <c r="AH211" i="24"/>
  <c r="AP202" i="24"/>
  <c r="W202" i="24"/>
  <c r="AV202" i="24"/>
  <c r="BK202" i="24"/>
  <c r="X202" i="24"/>
  <c r="AW202" i="24"/>
  <c r="BM202" i="24"/>
  <c r="Q202" i="24"/>
  <c r="Y202" i="24"/>
  <c r="Z202" i="24"/>
  <c r="AN202" i="24"/>
  <c r="AU202" i="24"/>
  <c r="BT202" i="24"/>
  <c r="AT202" i="24"/>
  <c r="BS202" i="24"/>
  <c r="BR202" i="24"/>
  <c r="BQ202" i="24"/>
  <c r="S202" i="24"/>
  <c r="H194" i="23"/>
  <c r="I194" i="23" s="1"/>
  <c r="L194" i="23" s="1"/>
  <c r="G194" i="23"/>
  <c r="AU344" i="24"/>
  <c r="BR344" i="24"/>
  <c r="AT344" i="24"/>
  <c r="Q344" i="24"/>
  <c r="BK344" i="24"/>
  <c r="AV344" i="24"/>
  <c r="X344" i="24"/>
  <c r="BQ344" i="24"/>
  <c r="Z344" i="24"/>
  <c r="W344" i="24"/>
  <c r="Y344" i="24"/>
  <c r="AP344" i="24"/>
  <c r="BM344" i="24"/>
  <c r="AN344" i="24"/>
  <c r="AW344" i="24"/>
  <c r="BS344" i="24"/>
  <c r="BT344" i="24"/>
  <c r="S344" i="24"/>
  <c r="Q197" i="24"/>
  <c r="W197" i="24"/>
  <c r="BT197" i="24"/>
  <c r="AP197" i="24"/>
  <c r="AT197" i="24"/>
  <c r="AU197" i="24"/>
  <c r="BK197" i="24"/>
  <c r="BQ197" i="24"/>
  <c r="Z197" i="24"/>
  <c r="Y197" i="24"/>
  <c r="AN197" i="24"/>
  <c r="AW197" i="24"/>
  <c r="X197" i="24"/>
  <c r="BR197" i="24"/>
  <c r="BS197" i="24"/>
  <c r="AV197" i="24"/>
  <c r="BM197" i="24"/>
  <c r="S197" i="24"/>
  <c r="S235" i="24"/>
  <c r="AN235" i="24"/>
  <c r="BQ235" i="24"/>
  <c r="AW235" i="24"/>
  <c r="AP235" i="24"/>
  <c r="BK235" i="24"/>
  <c r="BS235" i="24"/>
  <c r="BT235" i="24"/>
  <c r="BR235" i="24"/>
  <c r="Q235" i="24"/>
  <c r="AU235" i="24"/>
  <c r="Z235" i="24"/>
  <c r="AV235" i="24"/>
  <c r="AT235" i="24"/>
  <c r="BM235" i="24"/>
  <c r="W235" i="24"/>
  <c r="X235" i="24"/>
  <c r="Y235" i="24"/>
  <c r="AW295" i="24"/>
  <c r="BK295" i="24"/>
  <c r="BM295" i="24"/>
  <c r="AV295" i="24"/>
  <c r="Z295" i="24"/>
  <c r="S295" i="24"/>
  <c r="BT295" i="24"/>
  <c r="W295" i="24"/>
  <c r="Y295" i="24"/>
  <c r="AT295" i="24"/>
  <c r="BS295" i="24"/>
  <c r="BQ295" i="24"/>
  <c r="BR295" i="24"/>
  <c r="AN295" i="24"/>
  <c r="X295" i="24"/>
  <c r="AP295" i="24"/>
  <c r="Q295" i="24"/>
  <c r="AU295" i="24"/>
  <c r="Q225" i="24"/>
  <c r="X225" i="24"/>
  <c r="Y225" i="24"/>
  <c r="Z225" i="24"/>
  <c r="AN225" i="24"/>
  <c r="W225" i="24"/>
  <c r="BT225" i="24"/>
  <c r="BS225" i="24"/>
  <c r="AP225" i="24"/>
  <c r="AT225" i="24"/>
  <c r="AW225" i="24"/>
  <c r="BR225" i="24"/>
  <c r="BK225" i="24"/>
  <c r="BQ225" i="24"/>
  <c r="BM225" i="24"/>
  <c r="AV225" i="24"/>
  <c r="S225" i="24"/>
  <c r="AU225" i="24"/>
  <c r="D224" i="24"/>
  <c r="BC224" i="23"/>
  <c r="BA224" i="23"/>
  <c r="AV224" i="23"/>
  <c r="BB224" i="23"/>
  <c r="BG224" i="23"/>
  <c r="BE224" i="23"/>
  <c r="AS224" i="23"/>
  <c r="D241" i="24"/>
  <c r="AS241" i="23"/>
  <c r="BG241" i="23"/>
  <c r="BE241" i="23"/>
  <c r="AV241" i="23"/>
  <c r="BB241" i="23"/>
  <c r="BC241" i="23"/>
  <c r="BA241" i="23"/>
  <c r="BG334" i="23"/>
  <c r="D334" i="24"/>
  <c r="AV334" i="23"/>
  <c r="BB334" i="23"/>
  <c r="BA334" i="23"/>
  <c r="BC334" i="23"/>
  <c r="BE334" i="23"/>
  <c r="AS334" i="23"/>
  <c r="D253" i="24"/>
  <c r="BA253" i="23"/>
  <c r="BC253" i="23"/>
  <c r="BB253" i="23"/>
  <c r="BG253" i="23"/>
  <c r="BE253" i="23"/>
  <c r="AS253" i="23"/>
  <c r="AV253" i="23"/>
  <c r="D347" i="24"/>
  <c r="AV347" i="23"/>
  <c r="BC347" i="23"/>
  <c r="BB347" i="23"/>
  <c r="AS347" i="23"/>
  <c r="BE347" i="23"/>
  <c r="BA347" i="23"/>
  <c r="BG347" i="23"/>
  <c r="BA327" i="23"/>
  <c r="D327" i="24"/>
  <c r="BG327" i="23"/>
  <c r="AV327" i="23"/>
  <c r="BC327" i="23"/>
  <c r="BB327" i="23"/>
  <c r="AS327" i="23"/>
  <c r="BE327" i="23"/>
  <c r="BB299" i="23"/>
  <c r="D299" i="24"/>
  <c r="AS299" i="23"/>
  <c r="BE299" i="23"/>
  <c r="BG299" i="23"/>
  <c r="AV299" i="23"/>
  <c r="BC299" i="23"/>
  <c r="BA299" i="23"/>
  <c r="D246" i="24"/>
  <c r="AS246" i="23"/>
  <c r="BB246" i="23"/>
  <c r="BC246" i="23"/>
  <c r="BE246" i="23"/>
  <c r="BA246" i="23"/>
  <c r="BG246" i="23"/>
  <c r="AV246" i="23"/>
  <c r="BA278" i="23"/>
  <c r="D278" i="24"/>
  <c r="BB278" i="23"/>
  <c r="BC278" i="23"/>
  <c r="AV278" i="23"/>
  <c r="AS278" i="23"/>
  <c r="BE278" i="23"/>
  <c r="BG278" i="23"/>
  <c r="F164" i="23"/>
  <c r="AH202" i="24"/>
  <c r="W203" i="24"/>
  <c r="AN203" i="24"/>
  <c r="AP203" i="24"/>
  <c r="S203" i="24"/>
  <c r="Q203" i="24"/>
  <c r="X203" i="24"/>
  <c r="AV203" i="24"/>
  <c r="AW203" i="24"/>
  <c r="BK203" i="24"/>
  <c r="BT203" i="24"/>
  <c r="AU203" i="24"/>
  <c r="BS203" i="24"/>
  <c r="BQ203" i="24"/>
  <c r="BR203" i="24"/>
  <c r="Y203" i="24"/>
  <c r="BM203" i="24"/>
  <c r="Z203" i="24"/>
  <c r="AT203" i="24"/>
  <c r="L346" i="23"/>
  <c r="K341" i="23"/>
  <c r="F341" i="24"/>
  <c r="I341" i="24" s="1"/>
  <c r="BB341" i="24"/>
  <c r="AB341" i="24"/>
  <c r="AC341" i="24" s="1"/>
  <c r="AD341" i="24"/>
  <c r="H341" i="24"/>
  <c r="E341" i="24"/>
  <c r="G341" i="24"/>
  <c r="AE341" i="24"/>
  <c r="AY341" i="24"/>
  <c r="AZ341" i="24" s="1"/>
  <c r="BA341" i="24"/>
  <c r="J341" i="23"/>
  <c r="H341" i="23"/>
  <c r="I341" i="23" s="1"/>
  <c r="G341" i="23"/>
  <c r="I284" i="24"/>
  <c r="E347" i="24"/>
  <c r="F347" i="24" s="1"/>
  <c r="BB347" i="24"/>
  <c r="G347" i="24"/>
  <c r="AC347" i="24"/>
  <c r="H347" i="24"/>
  <c r="AD347" i="24"/>
  <c r="AY347" i="24"/>
  <c r="AZ347" i="24" s="1"/>
  <c r="AE347" i="24"/>
  <c r="BA347" i="24"/>
  <c r="AB347" i="24"/>
  <c r="G347" i="23"/>
  <c r="H347" i="23"/>
  <c r="J347" i="23"/>
  <c r="K347" i="23"/>
  <c r="I347" i="23"/>
  <c r="AF352" i="24"/>
  <c r="BC200" i="24"/>
  <c r="BA285" i="24"/>
  <c r="BB285" i="24"/>
  <c r="AY285" i="24"/>
  <c r="AZ285" i="24" s="1"/>
  <c r="AD285" i="24"/>
  <c r="E285" i="24"/>
  <c r="F285" i="24" s="1"/>
  <c r="AE285" i="24"/>
  <c r="G285" i="24"/>
  <c r="AB285" i="24"/>
  <c r="AC285" i="24" s="1"/>
  <c r="H285" i="24"/>
  <c r="H285" i="23"/>
  <c r="I285" i="23" s="1"/>
  <c r="K285" i="23"/>
  <c r="G285" i="23"/>
  <c r="J285" i="23"/>
  <c r="BE196" i="24"/>
  <c r="BC223" i="24"/>
  <c r="I303" i="24"/>
  <c r="I299" i="24"/>
  <c r="AY340" i="24"/>
  <c r="AZ340" i="24" s="1"/>
  <c r="BC340" i="24" s="1"/>
  <c r="AB340" i="24"/>
  <c r="AC340" i="24" s="1"/>
  <c r="BB340" i="24"/>
  <c r="AD340" i="24"/>
  <c r="AE340" i="24"/>
  <c r="E340" i="24"/>
  <c r="F340" i="24" s="1"/>
  <c r="BA340" i="24"/>
  <c r="G340" i="24"/>
  <c r="H340" i="24"/>
  <c r="AF305" i="24"/>
  <c r="BC304" i="24"/>
  <c r="I344" i="24"/>
  <c r="BC301" i="24"/>
  <c r="AE255" i="24"/>
  <c r="AY255" i="24"/>
  <c r="AZ255" i="24" s="1"/>
  <c r="E255" i="24"/>
  <c r="F255" i="24"/>
  <c r="G255" i="24"/>
  <c r="AB255" i="24"/>
  <c r="AC255" i="24" s="1"/>
  <c r="BB255" i="24"/>
  <c r="AD255" i="24"/>
  <c r="BA255" i="24"/>
  <c r="H255" i="24"/>
  <c r="BC209" i="24"/>
  <c r="AF231" i="24"/>
  <c r="AF270" i="24"/>
  <c r="I211" i="24"/>
  <c r="I206" i="24"/>
  <c r="AV289" i="24"/>
  <c r="BK289" i="24"/>
  <c r="BR289" i="24"/>
  <c r="BS289" i="24"/>
  <c r="AU289" i="24"/>
  <c r="X289" i="24"/>
  <c r="Y289" i="24"/>
  <c r="W289" i="24"/>
  <c r="AN289" i="24"/>
  <c r="BT289" i="24"/>
  <c r="Q289" i="24"/>
  <c r="S289" i="24"/>
  <c r="BM289" i="24"/>
  <c r="AP289" i="24"/>
  <c r="Z289" i="24"/>
  <c r="AT289" i="24"/>
  <c r="BQ289" i="24"/>
  <c r="AW289" i="24"/>
  <c r="Q321" i="24"/>
  <c r="Z321" i="24"/>
  <c r="AN321" i="24"/>
  <c r="AT321" i="24"/>
  <c r="BK321" i="24"/>
  <c r="Y321" i="24"/>
  <c r="W321" i="24"/>
  <c r="BS321" i="24"/>
  <c r="X321" i="24"/>
  <c r="BT321" i="24"/>
  <c r="AW321" i="24"/>
  <c r="BR321" i="24"/>
  <c r="BQ321" i="24"/>
  <c r="AP321" i="24"/>
  <c r="S321" i="24"/>
  <c r="BM321" i="24"/>
  <c r="AV321" i="24"/>
  <c r="AU321" i="24"/>
  <c r="W323" i="24"/>
  <c r="AW323" i="24"/>
  <c r="BR323" i="24"/>
  <c r="BS323" i="24"/>
  <c r="Q323" i="24"/>
  <c r="BT323" i="24"/>
  <c r="AV323" i="24"/>
  <c r="BQ323" i="24"/>
  <c r="Y323" i="24"/>
  <c r="AU323" i="24"/>
  <c r="Z323" i="24"/>
  <c r="X323" i="24"/>
  <c r="AT323" i="24"/>
  <c r="AN323" i="24"/>
  <c r="BM323" i="24"/>
  <c r="S323" i="24"/>
  <c r="AP323" i="24"/>
  <c r="BK323" i="24"/>
  <c r="Q360" i="24"/>
  <c r="BK360" i="24"/>
  <c r="X360" i="24"/>
  <c r="Y360" i="24"/>
  <c r="S360" i="24"/>
  <c r="BT360" i="24"/>
  <c r="AV360" i="24"/>
  <c r="BS360" i="24"/>
  <c r="BR360" i="24"/>
  <c r="AT360" i="24"/>
  <c r="AP360" i="24"/>
  <c r="AU360" i="24"/>
  <c r="AW360" i="24"/>
  <c r="BQ360" i="24"/>
  <c r="AN360" i="24"/>
  <c r="W360" i="24"/>
  <c r="Z360" i="24"/>
  <c r="BM360" i="24"/>
  <c r="S266" i="24"/>
  <c r="BM266" i="24"/>
  <c r="Z266" i="24"/>
  <c r="AV266" i="24"/>
  <c r="W266" i="24"/>
  <c r="AP266" i="24"/>
  <c r="BK266" i="24"/>
  <c r="BQ266" i="24"/>
  <c r="AT266" i="24"/>
  <c r="Q266" i="24"/>
  <c r="AU266" i="24"/>
  <c r="AN266" i="24"/>
  <c r="BR266" i="24"/>
  <c r="Y266" i="24"/>
  <c r="AW266" i="24"/>
  <c r="BT266" i="24"/>
  <c r="X266" i="24"/>
  <c r="BS266" i="24"/>
  <c r="D227" i="24"/>
  <c r="BB227" i="23"/>
  <c r="BC227" i="23"/>
  <c r="AV227" i="23"/>
  <c r="BA227" i="23"/>
  <c r="BG227" i="23"/>
  <c r="AS227" i="23"/>
  <c r="BE227" i="23"/>
  <c r="BG256" i="23"/>
  <c r="D256" i="24"/>
  <c r="BB256" i="23"/>
  <c r="BC256" i="23"/>
  <c r="AS256" i="23"/>
  <c r="BE256" i="23"/>
  <c r="AV256" i="23"/>
  <c r="BA256" i="23"/>
  <c r="D294" i="24"/>
  <c r="BA294" i="23"/>
  <c r="AV294" i="23"/>
  <c r="AS294" i="23"/>
  <c r="BG294" i="23"/>
  <c r="BB294" i="23"/>
  <c r="BC294" i="23"/>
  <c r="BE294" i="23"/>
  <c r="D273" i="24"/>
  <c r="BE273" i="23"/>
  <c r="BG273" i="23"/>
  <c r="BC273" i="23"/>
  <c r="AS273" i="23"/>
  <c r="BB273" i="23"/>
  <c r="AV273" i="23"/>
  <c r="BA273" i="23"/>
  <c r="BA351" i="23"/>
  <c r="D351" i="24"/>
  <c r="AV351" i="23"/>
  <c r="BE351" i="23"/>
  <c r="BG351" i="23"/>
  <c r="AS351" i="23"/>
  <c r="BC351" i="23"/>
  <c r="BB351" i="23"/>
  <c r="D307" i="24"/>
  <c r="BB307" i="23"/>
  <c r="BA307" i="23"/>
  <c r="BG307" i="23"/>
  <c r="BE307" i="23"/>
  <c r="AS307" i="23"/>
  <c r="AV307" i="23"/>
  <c r="BC307" i="23"/>
  <c r="BA348" i="23"/>
  <c r="D348" i="24"/>
  <c r="BB348" i="23"/>
  <c r="AS348" i="23"/>
  <c r="AV348" i="23"/>
  <c r="BE348" i="23"/>
  <c r="BC348" i="23"/>
  <c r="BG348" i="23"/>
  <c r="D215" i="24"/>
  <c r="AV215" i="23"/>
  <c r="AS215" i="23"/>
  <c r="BE215" i="23"/>
  <c r="BC215" i="23"/>
  <c r="BB215" i="23"/>
  <c r="BA215" i="23"/>
  <c r="BG215" i="23"/>
  <c r="BA240" i="23"/>
  <c r="D240" i="24"/>
  <c r="AV240" i="23"/>
  <c r="AS240" i="23"/>
  <c r="BB240" i="23"/>
  <c r="BC240" i="23"/>
  <c r="BE240" i="23"/>
  <c r="BG240" i="23"/>
  <c r="BC207" i="24"/>
  <c r="S127" i="23"/>
  <c r="X164" i="23"/>
  <c r="F47" i="23"/>
  <c r="W282" i="24"/>
  <c r="AV282" i="24"/>
  <c r="BQ282" i="24"/>
  <c r="Z282" i="24"/>
  <c r="AU282" i="24"/>
  <c r="BS282" i="24"/>
  <c r="AW282" i="24"/>
  <c r="BT282" i="24"/>
  <c r="Y282" i="24"/>
  <c r="AT282" i="24"/>
  <c r="BM282" i="24"/>
  <c r="Q282" i="24"/>
  <c r="AP282" i="24"/>
  <c r="S282" i="24"/>
  <c r="X282" i="24"/>
  <c r="BR282" i="24"/>
  <c r="AN282" i="24"/>
  <c r="BK282" i="24"/>
  <c r="BC227" i="24"/>
  <c r="BE225" i="24"/>
  <c r="G204" i="24"/>
  <c r="BB204" i="24"/>
  <c r="AB204" i="24"/>
  <c r="AC204" i="24" s="1"/>
  <c r="AY204" i="24"/>
  <c r="AZ204" i="24" s="1"/>
  <c r="BC204" i="24" s="1"/>
  <c r="H204" i="24"/>
  <c r="AD204" i="24"/>
  <c r="AE204" i="24"/>
  <c r="BA204" i="24"/>
  <c r="E204" i="24"/>
  <c r="F204" i="24" s="1"/>
  <c r="AF189" i="23"/>
  <c r="AH189" i="23" s="1"/>
  <c r="S189" i="23"/>
  <c r="I234" i="24"/>
  <c r="K203" i="24"/>
  <c r="W17" i="23"/>
  <c r="X17" i="23"/>
  <c r="F17" i="23"/>
  <c r="AF17" i="23"/>
  <c r="AH17" i="23" s="1"/>
  <c r="O17" i="23"/>
  <c r="BE220" i="24"/>
  <c r="K231" i="24"/>
  <c r="W308" i="24"/>
  <c r="AP308" i="24"/>
  <c r="AT308" i="24"/>
  <c r="AU308" i="24"/>
  <c r="Z308" i="24"/>
  <c r="Q308" i="24"/>
  <c r="AN308" i="24"/>
  <c r="BQ308" i="24"/>
  <c r="S308" i="24"/>
  <c r="AV308" i="24"/>
  <c r="BR308" i="24"/>
  <c r="BS308" i="24"/>
  <c r="BT308" i="24"/>
  <c r="AW308" i="24"/>
  <c r="X308" i="24"/>
  <c r="Y308" i="24"/>
  <c r="BM308" i="24"/>
  <c r="BK308" i="24"/>
  <c r="AF12" i="23"/>
  <c r="AH12" i="23" s="1"/>
  <c r="W12" i="23"/>
  <c r="X12" i="23"/>
  <c r="X199" i="24"/>
  <c r="BQ199" i="24"/>
  <c r="AP199" i="24"/>
  <c r="AT199" i="24"/>
  <c r="AU199" i="24"/>
  <c r="BT199" i="24"/>
  <c r="Z199" i="24"/>
  <c r="AW199" i="24"/>
  <c r="BS199" i="24"/>
  <c r="AN199" i="24"/>
  <c r="Q199" i="24"/>
  <c r="AV199" i="24"/>
  <c r="W199" i="24"/>
  <c r="Y199" i="24"/>
  <c r="BK199" i="24"/>
  <c r="BR199" i="24"/>
  <c r="S199" i="24"/>
  <c r="BM199" i="24"/>
  <c r="AU355" i="24"/>
  <c r="Q355" i="24"/>
  <c r="BT355" i="24"/>
  <c r="AN355" i="24"/>
  <c r="AV355" i="24"/>
  <c r="AP355" i="24"/>
  <c r="X355" i="24"/>
  <c r="BR355" i="24"/>
  <c r="AT355" i="24"/>
  <c r="BM355" i="24"/>
  <c r="S355" i="24"/>
  <c r="AW355" i="24"/>
  <c r="Y355" i="24"/>
  <c r="W355" i="24"/>
  <c r="BK355" i="24"/>
  <c r="BS355" i="24"/>
  <c r="Z355" i="24"/>
  <c r="BQ355" i="24"/>
  <c r="Q326" i="24"/>
  <c r="BQ326" i="24"/>
  <c r="S326" i="24"/>
  <c r="BR326" i="24"/>
  <c r="AW326" i="24"/>
  <c r="BM326" i="24"/>
  <c r="BS326" i="24"/>
  <c r="W326" i="24"/>
  <c r="AN326" i="24"/>
  <c r="BT326" i="24"/>
  <c r="X326" i="24"/>
  <c r="BK326" i="24"/>
  <c r="AT326" i="24"/>
  <c r="Y326" i="24"/>
  <c r="Z326" i="24"/>
  <c r="AV326" i="24"/>
  <c r="AU326" i="24"/>
  <c r="AP326" i="24"/>
  <c r="Q311" i="24"/>
  <c r="BQ311" i="24"/>
  <c r="BR311" i="24"/>
  <c r="BS311" i="24"/>
  <c r="AW311" i="24"/>
  <c r="BM311" i="24"/>
  <c r="BK311" i="24"/>
  <c r="BT311" i="24"/>
  <c r="Z311" i="24"/>
  <c r="AN311" i="24"/>
  <c r="AT311" i="24"/>
  <c r="W311" i="24"/>
  <c r="X311" i="24"/>
  <c r="Y311" i="24"/>
  <c r="AV311" i="24"/>
  <c r="AU311" i="24"/>
  <c r="S311" i="24"/>
  <c r="AP311" i="24"/>
  <c r="W340" i="24"/>
  <c r="AV340" i="24"/>
  <c r="BK340" i="24"/>
  <c r="X340" i="24"/>
  <c r="S340" i="24"/>
  <c r="Q340" i="24"/>
  <c r="AU340" i="24"/>
  <c r="BQ340" i="24"/>
  <c r="BR340" i="24"/>
  <c r="AP340" i="24"/>
  <c r="Z340" i="24"/>
  <c r="AT340" i="24"/>
  <c r="BM340" i="24"/>
  <c r="AW340" i="24"/>
  <c r="BT340" i="24"/>
  <c r="AN340" i="24"/>
  <c r="BS340" i="24"/>
  <c r="Y340" i="24"/>
  <c r="AV296" i="24"/>
  <c r="S296" i="24"/>
  <c r="AW296" i="24"/>
  <c r="BK296" i="24"/>
  <c r="AU296" i="24"/>
  <c r="X296" i="24"/>
  <c r="AT296" i="24"/>
  <c r="BR296" i="24"/>
  <c r="Z296" i="24"/>
  <c r="BS296" i="24"/>
  <c r="W296" i="24"/>
  <c r="BQ296" i="24"/>
  <c r="AN296" i="24"/>
  <c r="BT296" i="24"/>
  <c r="AP296" i="24"/>
  <c r="Q296" i="24"/>
  <c r="Y296" i="24"/>
  <c r="BM296" i="24"/>
  <c r="D230" i="24"/>
  <c r="BA230" i="23"/>
  <c r="BG230" i="23"/>
  <c r="BE230" i="23"/>
  <c r="BB230" i="23"/>
  <c r="AV230" i="23"/>
  <c r="AS230" i="23"/>
  <c r="BC230" i="23"/>
  <c r="D236" i="24"/>
  <c r="BG236" i="23"/>
  <c r="AV236" i="23"/>
  <c r="BA236" i="23"/>
  <c r="BB236" i="23"/>
  <c r="BE236" i="23"/>
  <c r="AS236" i="23"/>
  <c r="BC236" i="23"/>
  <c r="D262" i="24"/>
  <c r="AV262" i="23"/>
  <c r="BE262" i="23"/>
  <c r="BG262" i="23"/>
  <c r="BB262" i="23"/>
  <c r="BC262" i="23"/>
  <c r="AS262" i="23"/>
  <c r="BA262" i="23"/>
  <c r="D272" i="24"/>
  <c r="BG272" i="23"/>
  <c r="BC272" i="23"/>
  <c r="BB272" i="23"/>
  <c r="BA272" i="23"/>
  <c r="AV272" i="23"/>
  <c r="AS272" i="23"/>
  <c r="BE272" i="23"/>
  <c r="BG332" i="23"/>
  <c r="D332" i="24"/>
  <c r="BE332" i="23"/>
  <c r="BC332" i="23"/>
  <c r="AS332" i="23"/>
  <c r="BA332" i="23"/>
  <c r="BB332" i="23"/>
  <c r="AV332" i="23"/>
  <c r="D301" i="24"/>
  <c r="BB301" i="23"/>
  <c r="BG301" i="23"/>
  <c r="BE301" i="23"/>
  <c r="AV301" i="23"/>
  <c r="BA301" i="23"/>
  <c r="BC301" i="23"/>
  <c r="AS301" i="23"/>
  <c r="AS361" i="23"/>
  <c r="D361" i="24"/>
  <c r="BE361" i="23"/>
  <c r="BC361" i="23"/>
  <c r="BG361" i="23"/>
  <c r="BB361" i="23"/>
  <c r="AV361" i="23"/>
  <c r="BA361" i="23"/>
  <c r="D195" i="24"/>
  <c r="AS195" i="23"/>
  <c r="BG195" i="23"/>
  <c r="AV195" i="23"/>
  <c r="BC195" i="23"/>
  <c r="BE195" i="23"/>
  <c r="BA195" i="23"/>
  <c r="BB195" i="23"/>
  <c r="D330" i="24"/>
  <c r="BG330" i="23"/>
  <c r="BE330" i="23"/>
  <c r="AV330" i="23"/>
  <c r="BA330" i="23"/>
  <c r="AS330" i="23"/>
  <c r="BB330" i="23"/>
  <c r="BC330" i="23"/>
  <c r="AF207" i="24"/>
  <c r="AF70" i="23"/>
  <c r="AH70" i="23" s="1"/>
  <c r="F70" i="23"/>
  <c r="BT217" i="24"/>
  <c r="AT217" i="24"/>
  <c r="BS217" i="24"/>
  <c r="AV217" i="24"/>
  <c r="X217" i="24"/>
  <c r="BQ217" i="24"/>
  <c r="AP217" i="24"/>
  <c r="W217" i="24"/>
  <c r="BK217" i="24"/>
  <c r="Z217" i="24"/>
  <c r="Q217" i="24"/>
  <c r="BM217" i="24"/>
  <c r="Y217" i="24"/>
  <c r="AU217" i="24"/>
  <c r="S217" i="24"/>
  <c r="AW217" i="24"/>
  <c r="AN217" i="24"/>
  <c r="BR217" i="24"/>
  <c r="K239" i="24"/>
  <c r="AH226" i="24"/>
  <c r="W92" i="23"/>
  <c r="X92" i="23"/>
  <c r="X142" i="23"/>
  <c r="AF142" i="23"/>
  <c r="AH142" i="23" s="1"/>
  <c r="AF214" i="24"/>
  <c r="BC336" i="24"/>
  <c r="I352" i="24"/>
  <c r="BC244" i="24"/>
  <c r="AF229" i="24"/>
  <c r="AF273" i="24"/>
  <c r="BC230" i="24"/>
  <c r="L236" i="23"/>
  <c r="K208" i="24"/>
  <c r="BC359" i="24"/>
  <c r="I311" i="24"/>
  <c r="AF350" i="24"/>
  <c r="I271" i="24"/>
  <c r="AF237" i="24"/>
  <c r="BC335" i="24"/>
  <c r="H242" i="24"/>
  <c r="AB242" i="24"/>
  <c r="AC242" i="24" s="1"/>
  <c r="F242" i="24"/>
  <c r="AY242" i="24"/>
  <c r="AZ242" i="24" s="1"/>
  <c r="BC242" i="24" s="1"/>
  <c r="G242" i="24"/>
  <c r="AD242" i="24"/>
  <c r="AE242" i="24"/>
  <c r="BA242" i="24"/>
  <c r="E242" i="24"/>
  <c r="BB242" i="24"/>
  <c r="BR317" i="24"/>
  <c r="S317" i="24"/>
  <c r="BS317" i="24"/>
  <c r="Q317" i="24"/>
  <c r="BQ317" i="24"/>
  <c r="AV317" i="24"/>
  <c r="AW317" i="24"/>
  <c r="AU317" i="24"/>
  <c r="BK317" i="24"/>
  <c r="X317" i="24"/>
  <c r="AN317" i="24"/>
  <c r="W317" i="24"/>
  <c r="BT317" i="24"/>
  <c r="AT317" i="24"/>
  <c r="Z317" i="24"/>
  <c r="AP317" i="24"/>
  <c r="Y317" i="24"/>
  <c r="BM317" i="24"/>
  <c r="BC270" i="24"/>
  <c r="S12" i="23"/>
  <c r="W164" i="23"/>
  <c r="AP251" i="24"/>
  <c r="AV251" i="24"/>
  <c r="BQ251" i="24"/>
  <c r="AN251" i="24"/>
  <c r="BR251" i="24"/>
  <c r="X251" i="24"/>
  <c r="AW251" i="24"/>
  <c r="BS251" i="24"/>
  <c r="BT251" i="24"/>
  <c r="Y251" i="24"/>
  <c r="Z251" i="24"/>
  <c r="AU251" i="24"/>
  <c r="Q251" i="24"/>
  <c r="S251" i="24"/>
  <c r="W251" i="24"/>
  <c r="BK251" i="24"/>
  <c r="BM251" i="24"/>
  <c r="AT251" i="24"/>
  <c r="X213" i="24"/>
  <c r="BQ213" i="24"/>
  <c r="BR213" i="24"/>
  <c r="AW213" i="24"/>
  <c r="AP213" i="24"/>
  <c r="Q213" i="24"/>
  <c r="Y213" i="24"/>
  <c r="BS213" i="24"/>
  <c r="AN213" i="24"/>
  <c r="Z213" i="24"/>
  <c r="AT213" i="24"/>
  <c r="BM213" i="24"/>
  <c r="BT213" i="24"/>
  <c r="AU213" i="24"/>
  <c r="AV213" i="24"/>
  <c r="W213" i="24"/>
  <c r="BK213" i="24"/>
  <c r="S213" i="24"/>
  <c r="AV209" i="24"/>
  <c r="BQ209" i="24"/>
  <c r="X209" i="24"/>
  <c r="Y209" i="24"/>
  <c r="AN209" i="24"/>
  <c r="S209" i="24"/>
  <c r="W209" i="24"/>
  <c r="Q209" i="24"/>
  <c r="BK209" i="24"/>
  <c r="Z209" i="24"/>
  <c r="AW209" i="24"/>
  <c r="BR209" i="24"/>
  <c r="BS209" i="24"/>
  <c r="BT209" i="24"/>
  <c r="AP209" i="24"/>
  <c r="AT209" i="24"/>
  <c r="AU209" i="24"/>
  <c r="BM209" i="24"/>
  <c r="X335" i="24"/>
  <c r="BT335" i="24"/>
  <c r="BR335" i="24"/>
  <c r="BS335" i="24"/>
  <c r="Q335" i="24"/>
  <c r="AV335" i="24"/>
  <c r="AU335" i="24"/>
  <c r="AT335" i="24"/>
  <c r="BK335" i="24"/>
  <c r="AN335" i="24"/>
  <c r="W335" i="24"/>
  <c r="Y335" i="24"/>
  <c r="AP335" i="24"/>
  <c r="Z335" i="24"/>
  <c r="AW335" i="24"/>
  <c r="S335" i="24"/>
  <c r="BQ335" i="24"/>
  <c r="AV281" i="24"/>
  <c r="BQ281" i="24"/>
  <c r="AW281" i="24"/>
  <c r="X281" i="24"/>
  <c r="AN281" i="24"/>
  <c r="BK281" i="24"/>
  <c r="Q281" i="24"/>
  <c r="W281" i="24"/>
  <c r="BT281" i="24"/>
  <c r="S281" i="24"/>
  <c r="BR281" i="24"/>
  <c r="AT281" i="24"/>
  <c r="BS281" i="24"/>
  <c r="AU281" i="24"/>
  <c r="AP281" i="24"/>
  <c r="Y281" i="24"/>
  <c r="BM281" i="24"/>
  <c r="Z281" i="24"/>
  <c r="BS331" i="24"/>
  <c r="BK331" i="24"/>
  <c r="Y331" i="24"/>
  <c r="BR331" i="24"/>
  <c r="AW331" i="24"/>
  <c r="W331" i="24"/>
  <c r="AU331" i="24"/>
  <c r="BT331" i="24"/>
  <c r="AP331" i="24"/>
  <c r="BQ331" i="24"/>
  <c r="AT331" i="24"/>
  <c r="X331" i="24"/>
  <c r="AN331" i="24"/>
  <c r="Q331" i="24"/>
  <c r="Z331" i="24"/>
  <c r="AV331" i="24"/>
  <c r="BM331" i="24"/>
  <c r="S331" i="24"/>
  <c r="W345" i="24"/>
  <c r="AV345" i="24"/>
  <c r="BK345" i="24"/>
  <c r="X345" i="24"/>
  <c r="AW345" i="24"/>
  <c r="Q345" i="24"/>
  <c r="AU345" i="24"/>
  <c r="BQ345" i="24"/>
  <c r="AP345" i="24"/>
  <c r="AN345" i="24"/>
  <c r="BM345" i="24"/>
  <c r="Z345" i="24"/>
  <c r="AT345" i="24"/>
  <c r="Y345" i="24"/>
  <c r="BS345" i="24"/>
  <c r="BT345" i="24"/>
  <c r="S345" i="24"/>
  <c r="BR345" i="24"/>
  <c r="BB297" i="23"/>
  <c r="D297" i="24"/>
  <c r="BA297" i="23"/>
  <c r="AV297" i="23"/>
  <c r="BE297" i="23"/>
  <c r="BC297" i="23"/>
  <c r="BG297" i="23"/>
  <c r="AS297" i="23"/>
  <c r="BB352" i="23"/>
  <c r="D352" i="24"/>
  <c r="AV352" i="23"/>
  <c r="BE352" i="23"/>
  <c r="BC352" i="23"/>
  <c r="BA352" i="23"/>
  <c r="BG352" i="23"/>
  <c r="AS352" i="23"/>
  <c r="D277" i="24"/>
  <c r="BG277" i="23"/>
  <c r="BB277" i="23"/>
  <c r="BE277" i="23"/>
  <c r="AV277" i="23"/>
  <c r="AS277" i="23"/>
  <c r="BA277" i="23"/>
  <c r="BC277" i="23"/>
  <c r="BA346" i="23"/>
  <c r="BG346" i="23"/>
  <c r="AS346" i="23"/>
  <c r="D346" i="24"/>
  <c r="BE346" i="23"/>
  <c r="BC346" i="23"/>
  <c r="AV346" i="23"/>
  <c r="BB346" i="23"/>
  <c r="D298" i="24"/>
  <c r="BC298" i="23"/>
  <c r="BA298" i="23"/>
  <c r="BG298" i="23"/>
  <c r="BE298" i="23"/>
  <c r="BB298" i="23"/>
  <c r="AS298" i="23"/>
  <c r="AV298" i="23"/>
  <c r="BG357" i="23"/>
  <c r="D357" i="24"/>
  <c r="AV357" i="23"/>
  <c r="BB357" i="23"/>
  <c r="BC357" i="23"/>
  <c r="BA357" i="23"/>
  <c r="BE357" i="23"/>
  <c r="AS357" i="23"/>
  <c r="D218" i="24"/>
  <c r="BB218" i="23"/>
  <c r="AV218" i="23"/>
  <c r="BE218" i="23"/>
  <c r="BC218" i="23"/>
  <c r="AS218" i="23"/>
  <c r="BG218" i="23"/>
  <c r="BA218" i="23"/>
  <c r="BB305" i="23"/>
  <c r="D305" i="24"/>
  <c r="BG305" i="23"/>
  <c r="BE305" i="23"/>
  <c r="BA305" i="23"/>
  <c r="BC305" i="23"/>
  <c r="AS305" i="23"/>
  <c r="AV305" i="23"/>
  <c r="B207" i="21"/>
  <c r="O207" i="21"/>
  <c r="N207" i="21"/>
  <c r="Y207" i="21"/>
  <c r="Z207" i="21"/>
  <c r="AF207" i="21"/>
  <c r="AN207" i="21" s="1"/>
  <c r="AE207" i="21"/>
  <c r="A207" i="21"/>
  <c r="AG207" i="21"/>
  <c r="AQ207" i="21" s="1"/>
  <c r="K207" i="21"/>
  <c r="AX207" i="21" s="1"/>
  <c r="L207" i="21"/>
  <c r="M207" i="21"/>
  <c r="I207" i="24"/>
  <c r="BC202" i="24"/>
  <c r="X24" i="23"/>
  <c r="BC243" i="24"/>
  <c r="I213" i="24"/>
  <c r="W189" i="23"/>
  <c r="S17" i="23"/>
  <c r="I272" i="24"/>
  <c r="I245" i="24"/>
  <c r="L200" i="23"/>
  <c r="E362" i="24"/>
  <c r="F362" i="24" s="1"/>
  <c r="AD362" i="24"/>
  <c r="H362" i="24"/>
  <c r="AY362" i="24"/>
  <c r="AZ362" i="24" s="1"/>
  <c r="BA362" i="24"/>
  <c r="BB362" i="24"/>
  <c r="AE362" i="24"/>
  <c r="G362" i="24"/>
  <c r="AB362" i="24"/>
  <c r="AC362" i="24" s="1"/>
  <c r="I229" i="24"/>
  <c r="AF230" i="24"/>
  <c r="I290" i="24"/>
  <c r="BC311" i="24"/>
  <c r="I354" i="24"/>
  <c r="BR255" i="24"/>
  <c r="X255" i="24"/>
  <c r="AT255" i="24"/>
  <c r="Z255" i="24"/>
  <c r="AU255" i="24"/>
  <c r="BK255" i="24"/>
  <c r="AV255" i="24"/>
  <c r="BS255" i="24"/>
  <c r="W255" i="24"/>
  <c r="AN255" i="24"/>
  <c r="Q255" i="24"/>
  <c r="BT255" i="24"/>
  <c r="AP255" i="24"/>
  <c r="Y255" i="24"/>
  <c r="BM255" i="24"/>
  <c r="S255" i="24"/>
  <c r="AW255" i="24"/>
  <c r="BQ255" i="24"/>
  <c r="AP276" i="24"/>
  <c r="BR276" i="24"/>
  <c r="S276" i="24"/>
  <c r="AW276" i="24"/>
  <c r="Q276" i="24"/>
  <c r="AN276" i="24"/>
  <c r="W276" i="24"/>
  <c r="BS276" i="24"/>
  <c r="AV276" i="24"/>
  <c r="AT276" i="24"/>
  <c r="AU276" i="24"/>
  <c r="BK276" i="24"/>
  <c r="BT276" i="24"/>
  <c r="Z276" i="24"/>
  <c r="BQ276" i="24"/>
  <c r="X276" i="24"/>
  <c r="BM276" i="24"/>
  <c r="Y276" i="24"/>
  <c r="BS226" i="24"/>
  <c r="AV226" i="24"/>
  <c r="AP226" i="24"/>
  <c r="X226" i="24"/>
  <c r="Q226" i="24"/>
  <c r="AW226" i="24"/>
  <c r="Y226" i="24"/>
  <c r="S226" i="24"/>
  <c r="BM226" i="24"/>
  <c r="BK226" i="24"/>
  <c r="Z226" i="24"/>
  <c r="BR226" i="24"/>
  <c r="AN226" i="24"/>
  <c r="AT226" i="24"/>
  <c r="AU226" i="24"/>
  <c r="BT226" i="24"/>
  <c r="W226" i="24"/>
  <c r="BQ226" i="24"/>
  <c r="AP206" i="24"/>
  <c r="AT206" i="24"/>
  <c r="BM206" i="24"/>
  <c r="S206" i="24"/>
  <c r="W206" i="24"/>
  <c r="BS206" i="24"/>
  <c r="Q206" i="24"/>
  <c r="AN206" i="24"/>
  <c r="BR206" i="24"/>
  <c r="Z206" i="24"/>
  <c r="BQ206" i="24"/>
  <c r="BK206" i="24"/>
  <c r="AW206" i="24"/>
  <c r="AU206" i="24"/>
  <c r="AV206" i="24"/>
  <c r="X206" i="24"/>
  <c r="Y206" i="24"/>
  <c r="BT206" i="24"/>
  <c r="AU349" i="24"/>
  <c r="AT349" i="24"/>
  <c r="BR349" i="24"/>
  <c r="Q349" i="24"/>
  <c r="W349" i="24"/>
  <c r="Z349" i="24"/>
  <c r="BT349" i="24"/>
  <c r="S349" i="24"/>
  <c r="BQ349" i="24"/>
  <c r="AN349" i="24"/>
  <c r="BM349" i="24"/>
  <c r="Y349" i="24"/>
  <c r="BS349" i="24"/>
  <c r="AP349" i="24"/>
  <c r="BK349" i="24"/>
  <c r="AV349" i="24"/>
  <c r="AW349" i="24"/>
  <c r="X349" i="24"/>
  <c r="BR354" i="24"/>
  <c r="BQ354" i="24"/>
  <c r="Q354" i="24"/>
  <c r="S354" i="24"/>
  <c r="AT354" i="24"/>
  <c r="AU354" i="24"/>
  <c r="AV354" i="24"/>
  <c r="BK354" i="24"/>
  <c r="AP354" i="24"/>
  <c r="BM354" i="24"/>
  <c r="Y354" i="24"/>
  <c r="BS354" i="24"/>
  <c r="AW354" i="24"/>
  <c r="AN354" i="24"/>
  <c r="BT354" i="24"/>
  <c r="W354" i="24"/>
  <c r="X354" i="24"/>
  <c r="Z354" i="24"/>
  <c r="AV350" i="24"/>
  <c r="W350" i="24"/>
  <c r="X350" i="24"/>
  <c r="BK350" i="24"/>
  <c r="AU350" i="24"/>
  <c r="Z350" i="24"/>
  <c r="AT350" i="24"/>
  <c r="S350" i="24"/>
  <c r="BQ350" i="24"/>
  <c r="BR350" i="24"/>
  <c r="BS350" i="24"/>
  <c r="AW350" i="24"/>
  <c r="AN350" i="24"/>
  <c r="Q350" i="24"/>
  <c r="AP350" i="24"/>
  <c r="Y350" i="24"/>
  <c r="BT350" i="24"/>
  <c r="BM350" i="24"/>
  <c r="Q359" i="24"/>
  <c r="AN359" i="24"/>
  <c r="S359" i="24"/>
  <c r="AW359" i="24"/>
  <c r="Z359" i="24"/>
  <c r="AV359" i="24"/>
  <c r="X359" i="24"/>
  <c r="BQ359" i="24"/>
  <c r="BS359" i="24"/>
  <c r="AU359" i="24"/>
  <c r="BT359" i="24"/>
  <c r="BR359" i="24"/>
  <c r="W359" i="24"/>
  <c r="AP359" i="24"/>
  <c r="Y359" i="24"/>
  <c r="BK359" i="24"/>
  <c r="BM359" i="24"/>
  <c r="AT359" i="24"/>
  <c r="D342" i="24"/>
  <c r="AV342" i="23"/>
  <c r="BC342" i="23"/>
  <c r="BE342" i="23"/>
  <c r="BB342" i="23"/>
  <c r="BG342" i="23"/>
  <c r="BA342" i="23"/>
  <c r="AS342" i="23"/>
  <c r="BB324" i="23"/>
  <c r="D324" i="24"/>
  <c r="BA324" i="23"/>
  <c r="AV324" i="23"/>
  <c r="BC324" i="23"/>
  <c r="BE324" i="23"/>
  <c r="BG324" i="23"/>
  <c r="AS324" i="23"/>
  <c r="D358" i="24"/>
  <c r="BB358" i="23"/>
  <c r="BA358" i="23"/>
  <c r="BC358" i="23"/>
  <c r="AV358" i="23"/>
  <c r="AS358" i="23"/>
  <c r="BG358" i="23"/>
  <c r="BE358" i="23"/>
  <c r="BA325" i="23"/>
  <c r="D325" i="24"/>
  <c r="BG325" i="23"/>
  <c r="BB325" i="23"/>
  <c r="AS325" i="23"/>
  <c r="BE325" i="23"/>
  <c r="BC325" i="23"/>
  <c r="AV325" i="23"/>
  <c r="D292" i="24"/>
  <c r="AS292" i="23"/>
  <c r="BB292" i="23"/>
  <c r="BC292" i="23"/>
  <c r="BE292" i="23"/>
  <c r="BA292" i="23"/>
  <c r="AV292" i="23"/>
  <c r="BG292" i="23"/>
  <c r="BA356" i="23"/>
  <c r="D356" i="24"/>
  <c r="AV356" i="23"/>
  <c r="BE356" i="23"/>
  <c r="BG356" i="23"/>
  <c r="BC356" i="23"/>
  <c r="AS356" i="23"/>
  <c r="BB356" i="23"/>
  <c r="BA205" i="23"/>
  <c r="D205" i="24"/>
  <c r="AV205" i="23"/>
  <c r="AS205" i="23"/>
  <c r="BE205" i="23"/>
  <c r="BG205" i="23"/>
  <c r="BB205" i="23"/>
  <c r="BC205" i="23"/>
  <c r="D302" i="24"/>
  <c r="BB302" i="23"/>
  <c r="BE302" i="23"/>
  <c r="AS302" i="23"/>
  <c r="BA302" i="23"/>
  <c r="BG302" i="23"/>
  <c r="BC302" i="23"/>
  <c r="AV302" i="23"/>
  <c r="AF25" i="23"/>
  <c r="AH25" i="23" s="1"/>
  <c r="S25" i="23"/>
  <c r="F25" i="23"/>
  <c r="O25" i="23"/>
  <c r="AF292" i="24"/>
  <c r="BC226" i="24"/>
  <c r="I235" i="24"/>
  <c r="BC234" i="24"/>
  <c r="F127" i="23"/>
  <c r="BE314" i="24"/>
  <c r="BF314" i="24"/>
  <c r="AI240" i="24"/>
  <c r="AH240" i="24"/>
  <c r="BC233" i="24"/>
  <c r="I315" i="24"/>
  <c r="I214" i="24"/>
  <c r="BC245" i="24"/>
  <c r="BC268" i="24"/>
  <c r="K195" i="23"/>
  <c r="H195" i="24"/>
  <c r="AB195" i="24"/>
  <c r="BA195" i="24"/>
  <c r="BB195" i="24"/>
  <c r="AE195" i="24"/>
  <c r="G195" i="24"/>
  <c r="AD195" i="24"/>
  <c r="E195" i="24"/>
  <c r="F195" i="24" s="1"/>
  <c r="AC195" i="24"/>
  <c r="AY195" i="24"/>
  <c r="AZ195" i="24" s="1"/>
  <c r="J195" i="23"/>
  <c r="H195" i="23"/>
  <c r="I195" i="23" s="1"/>
  <c r="L195" i="23" s="1"/>
  <c r="G195" i="23"/>
  <c r="AH196" i="24"/>
  <c r="I273" i="24"/>
  <c r="I355" i="24"/>
  <c r="BC321" i="24"/>
  <c r="AF250" i="24"/>
  <c r="I350" i="24"/>
  <c r="AF212" i="24"/>
  <c r="I305" i="24"/>
  <c r="I304" i="24"/>
  <c r="BM263" i="24"/>
  <c r="AN263" i="24"/>
  <c r="X263" i="24"/>
  <c r="S263" i="24"/>
  <c r="BK263" i="24"/>
  <c r="Q263" i="24"/>
  <c r="AU263" i="24"/>
  <c r="W263" i="24"/>
  <c r="Y263" i="24"/>
  <c r="AP263" i="24"/>
  <c r="Z263" i="24"/>
  <c r="BT263" i="24"/>
  <c r="AW263" i="24"/>
  <c r="BQ263" i="24"/>
  <c r="AV263" i="24"/>
  <c r="BS263" i="24"/>
  <c r="BR263" i="24"/>
  <c r="AT263" i="24"/>
  <c r="AF49" i="23"/>
  <c r="AH49" i="23" s="1"/>
  <c r="W49" i="23"/>
  <c r="F49" i="23"/>
  <c r="AW291" i="24"/>
  <c r="BQ291" i="24"/>
  <c r="S291" i="24"/>
  <c r="BR291" i="24"/>
  <c r="BS291" i="24"/>
  <c r="Q291" i="24"/>
  <c r="AV291" i="24"/>
  <c r="Z291" i="24"/>
  <c r="AU291" i="24"/>
  <c r="W291" i="24"/>
  <c r="X291" i="24"/>
  <c r="AT291" i="24"/>
  <c r="BK291" i="24"/>
  <c r="AN291" i="24"/>
  <c r="Y291" i="24"/>
  <c r="BM291" i="24"/>
  <c r="AP291" i="24"/>
  <c r="BT291" i="24"/>
  <c r="I253" i="24"/>
  <c r="AU339" i="24"/>
  <c r="BR339" i="24"/>
  <c r="AT339" i="24"/>
  <c r="Q339" i="24"/>
  <c r="W339" i="24"/>
  <c r="BM339" i="24"/>
  <c r="AW339" i="24"/>
  <c r="AP339" i="24"/>
  <c r="Z339" i="24"/>
  <c r="BK339" i="24"/>
  <c r="AV339" i="24"/>
  <c r="BS339" i="24"/>
  <c r="Y339" i="24"/>
  <c r="BT339" i="24"/>
  <c r="S339" i="24"/>
  <c r="BQ339" i="24"/>
  <c r="X339" i="24"/>
  <c r="AN339" i="24"/>
  <c r="Q238" i="24"/>
  <c r="AT238" i="24"/>
  <c r="BK238" i="24"/>
  <c r="AW238" i="24"/>
  <c r="BM238" i="24"/>
  <c r="BQ238" i="24"/>
  <c r="BR238" i="24"/>
  <c r="BS238" i="24"/>
  <c r="BT238" i="24"/>
  <c r="AN238" i="24"/>
  <c r="W238" i="24"/>
  <c r="X238" i="24"/>
  <c r="Y238" i="24"/>
  <c r="Z238" i="24"/>
  <c r="AV238" i="24"/>
  <c r="AP238" i="24"/>
  <c r="AU238" i="24"/>
  <c r="S238" i="24"/>
  <c r="S207" i="24"/>
  <c r="Q207" i="24"/>
  <c r="BS207" i="24"/>
  <c r="Y207" i="24"/>
  <c r="AN207" i="24"/>
  <c r="Z207" i="24"/>
  <c r="AT207" i="24"/>
  <c r="X207" i="24"/>
  <c r="AW207" i="24"/>
  <c r="BR207" i="24"/>
  <c r="BT207" i="24"/>
  <c r="W207" i="24"/>
  <c r="AV207" i="24"/>
  <c r="BQ207" i="24"/>
  <c r="AU207" i="24"/>
  <c r="BK207" i="24"/>
  <c r="BM207" i="24"/>
  <c r="AP207" i="24"/>
  <c r="D201" i="24"/>
  <c r="BA201" i="23"/>
  <c r="BB201" i="23"/>
  <c r="BE201" i="23"/>
  <c r="AS201" i="23"/>
  <c r="BC201" i="23"/>
  <c r="BG201" i="23"/>
  <c r="AV201" i="23"/>
  <c r="X286" i="24"/>
  <c r="AN286" i="24"/>
  <c r="AW286" i="24"/>
  <c r="BK286" i="24"/>
  <c r="BQ286" i="24"/>
  <c r="AV286" i="24"/>
  <c r="W286" i="24"/>
  <c r="BS286" i="24"/>
  <c r="AU286" i="24"/>
  <c r="BR286" i="24"/>
  <c r="Q286" i="24"/>
  <c r="S286" i="24"/>
  <c r="AP286" i="24"/>
  <c r="Z286" i="24"/>
  <c r="AT286" i="24"/>
  <c r="BT286" i="24"/>
  <c r="BM286" i="24"/>
  <c r="Y286" i="24"/>
  <c r="AV336" i="24"/>
  <c r="AP336" i="24"/>
  <c r="AT336" i="24"/>
  <c r="BK336" i="24"/>
  <c r="AU336" i="24"/>
  <c r="Y336" i="24"/>
  <c r="BR336" i="24"/>
  <c r="Z336" i="24"/>
  <c r="BT336" i="24"/>
  <c r="X336" i="24"/>
  <c r="BQ336" i="24"/>
  <c r="W336" i="24"/>
  <c r="BM336" i="24"/>
  <c r="AN336" i="24"/>
  <c r="Q336" i="24"/>
  <c r="S336" i="24"/>
  <c r="BS336" i="24"/>
  <c r="AW336" i="24"/>
  <c r="D214" i="24"/>
  <c r="AV214" i="23"/>
  <c r="AS214" i="23"/>
  <c r="BE214" i="23"/>
  <c r="BG214" i="23"/>
  <c r="BC214" i="23"/>
  <c r="BB214" i="23"/>
  <c r="BA214" i="23"/>
  <c r="AV284" i="23"/>
  <c r="D284" i="24"/>
  <c r="BG284" i="23"/>
  <c r="BE284" i="23"/>
  <c r="BA284" i="23"/>
  <c r="BB284" i="23"/>
  <c r="BC284" i="23"/>
  <c r="AS284" i="23"/>
  <c r="BA343" i="23"/>
  <c r="D343" i="24"/>
  <c r="AS343" i="23"/>
  <c r="AV343" i="23"/>
  <c r="BG343" i="23"/>
  <c r="BB343" i="23"/>
  <c r="BE343" i="23"/>
  <c r="BC343" i="23"/>
  <c r="D287" i="24"/>
  <c r="AV287" i="23"/>
  <c r="BA287" i="23"/>
  <c r="BB287" i="23"/>
  <c r="BC287" i="23"/>
  <c r="BE287" i="23"/>
  <c r="AS287" i="23"/>
  <c r="BG287" i="23"/>
  <c r="D316" i="24"/>
  <c r="BC316" i="23"/>
  <c r="AV316" i="23"/>
  <c r="BE316" i="23"/>
  <c r="AS316" i="23"/>
  <c r="BG316" i="23"/>
  <c r="BA316" i="23"/>
  <c r="BB316" i="23"/>
  <c r="D274" i="24"/>
  <c r="BA274" i="23"/>
  <c r="BB274" i="23"/>
  <c r="AS274" i="23"/>
  <c r="BE274" i="23"/>
  <c r="BC274" i="23"/>
  <c r="AV274" i="23"/>
  <c r="BG274" i="23"/>
  <c r="D288" i="24"/>
  <c r="BA288" i="23"/>
  <c r="AS288" i="23"/>
  <c r="BE288" i="23"/>
  <c r="BC288" i="23"/>
  <c r="BG288" i="23"/>
  <c r="AV288" i="23"/>
  <c r="BB288" i="23"/>
  <c r="D228" i="24"/>
  <c r="BE228" i="23"/>
  <c r="BC228" i="23"/>
  <c r="BB228" i="23"/>
  <c r="AS228" i="23"/>
  <c r="BG228" i="23"/>
  <c r="AV228" i="23"/>
  <c r="BA228" i="23"/>
  <c r="D300" i="24"/>
  <c r="BC300" i="23"/>
  <c r="BG300" i="23"/>
  <c r="AS300" i="23"/>
  <c r="BB300" i="23"/>
  <c r="BE300" i="23"/>
  <c r="AV300" i="23"/>
  <c r="BA300" i="23"/>
  <c r="I292" i="24"/>
  <c r="BC213" i="24"/>
  <c r="O164" i="23"/>
  <c r="S185" i="23"/>
  <c r="L362" i="23"/>
  <c r="N355" i="23"/>
  <c r="Y355" i="23"/>
  <c r="BF355" i="23" s="1"/>
  <c r="Y234" i="23"/>
  <c r="BF234" i="23" s="1"/>
  <c r="N234" i="23"/>
  <c r="Y226" i="23"/>
  <c r="BF226" i="23" s="1"/>
  <c r="N226" i="23"/>
  <c r="Y312" i="23"/>
  <c r="BF312" i="23" s="1"/>
  <c r="N312" i="23"/>
  <c r="Y263" i="23"/>
  <c r="BF263" i="23" s="1"/>
  <c r="N263" i="23"/>
  <c r="N299" i="23"/>
  <c r="Y299" i="23"/>
  <c r="AI299" i="24" s="1"/>
  <c r="N228" i="23"/>
  <c r="Y228" i="23"/>
  <c r="L228" i="24" s="1"/>
  <c r="N277" i="23"/>
  <c r="Y277" i="23"/>
  <c r="BF277" i="23" s="1"/>
  <c r="N340" i="23"/>
  <c r="Y340" i="23"/>
  <c r="BF340" i="23" s="1"/>
  <c r="Y204" i="23"/>
  <c r="BF204" i="23" s="1"/>
  <c r="N204" i="23"/>
  <c r="Y290" i="23"/>
  <c r="BF290" i="23" s="1"/>
  <c r="N290" i="23"/>
  <c r="Y292" i="23"/>
  <c r="BF292" i="23" s="1"/>
  <c r="N292" i="23"/>
  <c r="Y297" i="23"/>
  <c r="BF297" i="23" s="1"/>
  <c r="N297" i="23"/>
  <c r="N298" i="23"/>
  <c r="Y298" i="23"/>
  <c r="Y305" i="23"/>
  <c r="BF305" i="23" s="1"/>
  <c r="N305" i="23"/>
  <c r="Y339" i="23"/>
  <c r="L339" i="24" s="1"/>
  <c r="N339" i="23"/>
  <c r="Y255" i="23"/>
  <c r="BF255" i="23" s="1"/>
  <c r="N255" i="23"/>
  <c r="N338" i="23"/>
  <c r="Y338" i="23"/>
  <c r="BF338" i="23" s="1"/>
  <c r="Y329" i="23"/>
  <c r="BF329" i="23" s="1"/>
  <c r="N329" i="23"/>
  <c r="N235" i="23"/>
  <c r="Y235" i="23"/>
  <c r="BF235" i="23" s="1"/>
  <c r="Y243" i="23"/>
  <c r="BF243" i="23" s="1"/>
  <c r="N243" i="23"/>
  <c r="N203" i="23"/>
  <c r="Y203" i="23"/>
  <c r="Y211" i="23"/>
  <c r="N211" i="23"/>
  <c r="N210" i="23"/>
  <c r="Y210" i="23"/>
  <c r="N303" i="23"/>
  <c r="Y303" i="23"/>
  <c r="BF303" i="23" s="1"/>
  <c r="N254" i="23"/>
  <c r="Y254" i="23"/>
  <c r="AI254" i="24" s="1"/>
  <c r="Y271" i="23"/>
  <c r="BF271" i="23" s="1"/>
  <c r="N271" i="23"/>
  <c r="N270" i="23"/>
  <c r="Y270" i="23"/>
  <c r="BF270" i="23" s="1"/>
  <c r="Y278" i="23"/>
  <c r="BF278" i="23" s="1"/>
  <c r="N278" i="23"/>
  <c r="N239" i="23"/>
  <c r="Y239" i="23"/>
  <c r="AI239" i="24" s="1"/>
  <c r="AW322" i="23"/>
  <c r="AX322" i="23"/>
  <c r="H205" i="23"/>
  <c r="I205" i="23" s="1"/>
  <c r="K205" i="23"/>
  <c r="G205" i="23"/>
  <c r="J205" i="23"/>
  <c r="N319" i="23"/>
  <c r="Y319" i="23"/>
  <c r="BF319" i="23" s="1"/>
  <c r="N356" i="23"/>
  <c r="Y356" i="23"/>
  <c r="AH222" i="23"/>
  <c r="H360" i="23"/>
  <c r="I360" i="23" s="1"/>
  <c r="J360" i="23"/>
  <c r="K360" i="23"/>
  <c r="G360" i="23"/>
  <c r="AX251" i="23"/>
  <c r="AW251" i="23"/>
  <c r="AX281" i="23"/>
  <c r="AW281" i="23"/>
  <c r="AY281" i="23" s="1"/>
  <c r="AH334" i="23"/>
  <c r="AX328" i="23"/>
  <c r="AW328" i="23"/>
  <c r="AY328" i="23" s="1"/>
  <c r="AW220" i="23"/>
  <c r="AX220" i="23"/>
  <c r="AY220" i="23" s="1"/>
  <c r="AH224" i="23"/>
  <c r="L207" i="23"/>
  <c r="AW204" i="23"/>
  <c r="AX204" i="23"/>
  <c r="AH343" i="23"/>
  <c r="Y336" i="23"/>
  <c r="BF336" i="23" s="1"/>
  <c r="N336" i="23"/>
  <c r="AH317" i="23"/>
  <c r="AW337" i="23"/>
  <c r="AX337" i="23"/>
  <c r="AY337" i="23" s="1"/>
  <c r="AH280" i="23"/>
  <c r="AH263" i="23"/>
  <c r="AW354" i="23"/>
  <c r="AX354" i="23"/>
  <c r="K327" i="23"/>
  <c r="J327" i="23"/>
  <c r="G327" i="23"/>
  <c r="H327" i="23"/>
  <c r="I327" i="23" s="1"/>
  <c r="AX203" i="23"/>
  <c r="AW203" i="23"/>
  <c r="AX355" i="23"/>
  <c r="AW355" i="23"/>
  <c r="AX259" i="23"/>
  <c r="AW259" i="23"/>
  <c r="L321" i="23"/>
  <c r="AH271" i="23"/>
  <c r="AH254" i="23"/>
  <c r="AW345" i="23"/>
  <c r="AX345" i="23"/>
  <c r="AW271" i="23"/>
  <c r="AX271" i="23"/>
  <c r="AH261" i="23"/>
  <c r="AH294" i="23"/>
  <c r="AH249" i="23"/>
  <c r="AW206" i="23"/>
  <c r="AX206" i="23"/>
  <c r="Y262" i="23"/>
  <c r="BF262" i="23" s="1"/>
  <c r="N262" i="23"/>
  <c r="AH246" i="23"/>
  <c r="AH211" i="23"/>
  <c r="AH199" i="23"/>
  <c r="AW255" i="23"/>
  <c r="AX255" i="23"/>
  <c r="AW282" i="23"/>
  <c r="AX282" i="23"/>
  <c r="AH287" i="23"/>
  <c r="AH198" i="23"/>
  <c r="AX286" i="23"/>
  <c r="AW286" i="23"/>
  <c r="G295" i="23"/>
  <c r="H295" i="23"/>
  <c r="I295" i="23" s="1"/>
  <c r="J295" i="23"/>
  <c r="K295" i="23"/>
  <c r="AX276" i="23"/>
  <c r="AW276" i="23"/>
  <c r="AW217" i="23"/>
  <c r="AX217" i="23"/>
  <c r="AY217" i="23" s="1"/>
  <c r="AW207" i="23"/>
  <c r="AX207" i="23"/>
  <c r="Y202" i="23"/>
  <c r="BF202" i="23" s="1"/>
  <c r="N202" i="23"/>
  <c r="AH296" i="23"/>
  <c r="AW261" i="23"/>
  <c r="AX261" i="23"/>
  <c r="AX225" i="23"/>
  <c r="AW225" i="23"/>
  <c r="N253" i="23"/>
  <c r="Y253" i="23"/>
  <c r="BF253" i="23" s="1"/>
  <c r="AH205" i="23"/>
  <c r="Y206" i="23"/>
  <c r="BF206" i="23" s="1"/>
  <c r="N206" i="23"/>
  <c r="N274" i="23"/>
  <c r="Y274" i="23"/>
  <c r="AI274" i="24" s="1"/>
  <c r="AW210" i="23"/>
  <c r="AX210" i="23"/>
  <c r="AW360" i="23"/>
  <c r="AX360" i="23"/>
  <c r="AY360" i="23" s="1"/>
  <c r="Y223" i="23"/>
  <c r="BF223" i="23" s="1"/>
  <c r="N223" i="23"/>
  <c r="N225" i="23"/>
  <c r="Y225" i="23"/>
  <c r="BF225" i="23" s="1"/>
  <c r="K260" i="23"/>
  <c r="J260" i="23"/>
  <c r="H260" i="23"/>
  <c r="I260" i="23" s="1"/>
  <c r="G260" i="23"/>
  <c r="G222" i="23"/>
  <c r="H222" i="23"/>
  <c r="I222" i="23" s="1"/>
  <c r="J222" i="23"/>
  <c r="K222" i="23"/>
  <c r="Y349" i="23"/>
  <c r="N349" i="23"/>
  <c r="AX244" i="23"/>
  <c r="AW244" i="23"/>
  <c r="N201" i="23"/>
  <c r="Y201" i="23"/>
  <c r="BF201" i="24" s="1"/>
  <c r="Y344" i="23"/>
  <c r="BF344" i="24" s="1"/>
  <c r="N344" i="23"/>
  <c r="AW260" i="23"/>
  <c r="AX260" i="23"/>
  <c r="AW321" i="23"/>
  <c r="AX321" i="23"/>
  <c r="G334" i="23"/>
  <c r="J334" i="23"/>
  <c r="K334" i="23"/>
  <c r="H334" i="23"/>
  <c r="I334" i="23" s="1"/>
  <c r="Y335" i="23"/>
  <c r="BF335" i="23" s="1"/>
  <c r="N335" i="23"/>
  <c r="H343" i="23"/>
  <c r="I343" i="23"/>
  <c r="K343" i="23"/>
  <c r="J343" i="23"/>
  <c r="G343" i="23"/>
  <c r="N296" i="23"/>
  <c r="Y296" i="23"/>
  <c r="BF296" i="23" s="1"/>
  <c r="N220" i="23"/>
  <c r="Y220" i="23"/>
  <c r="BF220" i="23" s="1"/>
  <c r="AW202" i="23"/>
  <c r="AX202" i="23"/>
  <c r="H332" i="23"/>
  <c r="I332" i="23" s="1"/>
  <c r="J332" i="23"/>
  <c r="K332" i="23"/>
  <c r="G332" i="23"/>
  <c r="G238" i="23"/>
  <c r="H238" i="23"/>
  <c r="I238" i="23" s="1"/>
  <c r="L238" i="23" s="1"/>
  <c r="K238" i="23"/>
  <c r="J238" i="23"/>
  <c r="Y250" i="23"/>
  <c r="BF250" i="23" s="1"/>
  <c r="N250" i="23"/>
  <c r="AX226" i="23"/>
  <c r="AW226" i="23"/>
  <c r="AY226" i="23" s="1"/>
  <c r="H317" i="23"/>
  <c r="I317" i="23" s="1"/>
  <c r="G317" i="23"/>
  <c r="J317" i="23"/>
  <c r="K317" i="23"/>
  <c r="G248" i="23"/>
  <c r="H248" i="23"/>
  <c r="I248" i="23" s="1"/>
  <c r="J248" i="23"/>
  <c r="K248" i="23"/>
  <c r="AH327" i="23"/>
  <c r="K216" i="23"/>
  <c r="G216" i="23"/>
  <c r="J216" i="23"/>
  <c r="H216" i="23"/>
  <c r="I216" i="23" s="1"/>
  <c r="L247" i="23"/>
  <c r="H217" i="23"/>
  <c r="I217" i="23" s="1"/>
  <c r="J217" i="23"/>
  <c r="K217" i="23"/>
  <c r="G217" i="23"/>
  <c r="AH323" i="23"/>
  <c r="K261" i="23"/>
  <c r="J261" i="23"/>
  <c r="H261" i="23"/>
  <c r="I261" i="23" s="1"/>
  <c r="G261" i="23"/>
  <c r="N208" i="23"/>
  <c r="Y208" i="23"/>
  <c r="BF208" i="23" s="1"/>
  <c r="L354" i="23"/>
  <c r="L323" i="23"/>
  <c r="G294" i="23"/>
  <c r="H294" i="23"/>
  <c r="I294" i="23" s="1"/>
  <c r="J294" i="23"/>
  <c r="K294" i="23"/>
  <c r="N345" i="23"/>
  <c r="Y345" i="23"/>
  <c r="BF345" i="23" s="1"/>
  <c r="H197" i="23"/>
  <c r="I197" i="23" s="1"/>
  <c r="J197" i="23"/>
  <c r="G197" i="23"/>
  <c r="K197" i="23"/>
  <c r="AH210" i="23"/>
  <c r="AH266" i="23"/>
  <c r="Y342" i="23"/>
  <c r="BF342" i="23" s="1"/>
  <c r="N342" i="23"/>
  <c r="G331" i="23"/>
  <c r="H331" i="23"/>
  <c r="I331" i="23" s="1"/>
  <c r="J331" i="23"/>
  <c r="K331" i="23"/>
  <c r="G308" i="23"/>
  <c r="H308" i="23"/>
  <c r="I308" i="23" s="1"/>
  <c r="J308" i="23"/>
  <c r="K308" i="23"/>
  <c r="AH332" i="23"/>
  <c r="N283" i="23"/>
  <c r="Y283" i="23"/>
  <c r="L283" i="24" s="1"/>
  <c r="AY216" i="23"/>
  <c r="AW216" i="23"/>
  <c r="AX216" i="23"/>
  <c r="L209" i="23"/>
  <c r="AX238" i="23"/>
  <c r="AW238" i="23"/>
  <c r="AY238" i="23" s="1"/>
  <c r="AH345" i="23"/>
  <c r="AX335" i="23"/>
  <c r="AW335" i="23"/>
  <c r="AW344" i="23"/>
  <c r="AX344" i="23"/>
  <c r="AW257" i="23"/>
  <c r="AX257" i="23"/>
  <c r="AH260" i="23"/>
  <c r="AX359" i="23"/>
  <c r="AW359" i="23"/>
  <c r="AY359" i="23" s="1"/>
  <c r="AW283" i="23"/>
  <c r="AX283" i="23"/>
  <c r="AW289" i="23"/>
  <c r="AX289" i="23"/>
  <c r="L302" i="23"/>
  <c r="AW219" i="23"/>
  <c r="AX219" i="23"/>
  <c r="K232" i="23"/>
  <c r="J232" i="23"/>
  <c r="H232" i="23"/>
  <c r="I232" i="23" s="1"/>
  <c r="G232" i="23"/>
  <c r="AW350" i="23"/>
  <c r="AX350" i="23"/>
  <c r="Y357" i="23"/>
  <c r="N357" i="23"/>
  <c r="AW265" i="23"/>
  <c r="AX265" i="23"/>
  <c r="H249" i="23"/>
  <c r="I249" i="23" s="1"/>
  <c r="J249" i="23"/>
  <c r="G249" i="23"/>
  <c r="K249" i="23"/>
  <c r="AX231" i="23"/>
  <c r="AW231" i="23"/>
  <c r="AW317" i="23"/>
  <c r="AX317" i="23"/>
  <c r="AX280" i="23"/>
  <c r="AW280" i="23"/>
  <c r="L307" i="23"/>
  <c r="AH258" i="23"/>
  <c r="AX198" i="23"/>
  <c r="AW198" i="23"/>
  <c r="J251" i="23"/>
  <c r="K251" i="23"/>
  <c r="G251" i="23"/>
  <c r="H251" i="23"/>
  <c r="I251" i="23" s="1"/>
  <c r="L251" i="23" s="1"/>
  <c r="L350" i="23"/>
  <c r="AX336" i="23"/>
  <c r="AW336" i="23"/>
  <c r="AW248" i="23"/>
  <c r="AY248" i="23" s="1"/>
  <c r="AX248" i="23"/>
  <c r="G221" i="23"/>
  <c r="K221" i="23"/>
  <c r="H221" i="23"/>
  <c r="I221" i="23" s="1"/>
  <c r="J221" i="23"/>
  <c r="L212" i="23"/>
  <c r="L359" i="23"/>
  <c r="N301" i="23"/>
  <c r="Y301" i="23"/>
  <c r="BF301" i="23" s="1"/>
  <c r="AW263" i="23"/>
  <c r="AX263" i="23"/>
  <c r="AH337" i="23"/>
  <c r="AY326" i="23"/>
  <c r="AW326" i="23"/>
  <c r="AX326" i="23"/>
  <c r="J241" i="23"/>
  <c r="K241" i="23"/>
  <c r="H241" i="23"/>
  <c r="I241" i="23" s="1"/>
  <c r="G241" i="23"/>
  <c r="AH226" i="23"/>
  <c r="AX295" i="23"/>
  <c r="AW295" i="23"/>
  <c r="L304" i="23"/>
  <c r="AW339" i="23"/>
  <c r="AX339" i="23"/>
  <c r="G322" i="23"/>
  <c r="J322" i="23"/>
  <c r="H322" i="23"/>
  <c r="I322" i="23"/>
  <c r="K322" i="23"/>
  <c r="L231" i="23"/>
  <c r="AH360" i="23"/>
  <c r="AH232" i="23"/>
  <c r="AX222" i="23"/>
  <c r="AW222" i="23"/>
  <c r="AY222" i="23" s="1"/>
  <c r="L282" i="23"/>
  <c r="AH265" i="23"/>
  <c r="L242" i="23"/>
  <c r="K256" i="23"/>
  <c r="J256" i="23"/>
  <c r="H256" i="23"/>
  <c r="I256" i="23" s="1"/>
  <c r="G256" i="23"/>
  <c r="AH204" i="23"/>
  <c r="G219" i="23"/>
  <c r="K219" i="23"/>
  <c r="H219" i="23"/>
  <c r="I219" i="23" s="1"/>
  <c r="J219" i="23"/>
  <c r="AX266" i="23"/>
  <c r="AW266" i="23"/>
  <c r="AH220" i="23"/>
  <c r="AH227" i="23"/>
  <c r="G286" i="23"/>
  <c r="H286" i="23"/>
  <c r="I286" i="23" s="1"/>
  <c r="K286" i="23"/>
  <c r="J286" i="23"/>
  <c r="N279" i="23"/>
  <c r="Y279" i="23"/>
  <c r="AH234" i="23"/>
  <c r="N215" i="23"/>
  <c r="Y215" i="23"/>
  <c r="L227" i="23"/>
  <c r="AW211" i="23"/>
  <c r="AY211" i="23" s="1"/>
  <c r="AX211" i="23"/>
  <c r="AW331" i="23"/>
  <c r="AX331" i="23"/>
  <c r="Y353" i="23"/>
  <c r="BF353" i="23" s="1"/>
  <c r="N353" i="23"/>
  <c r="AH289" i="23"/>
  <c r="AX249" i="23"/>
  <c r="AW249" i="23"/>
  <c r="AH251" i="23"/>
  <c r="AW338" i="23"/>
  <c r="AX338" i="23"/>
  <c r="AW197" i="23"/>
  <c r="AX197" i="23"/>
  <c r="AY197" i="23" s="1"/>
  <c r="AX237" i="23"/>
  <c r="AW237" i="23"/>
  <c r="H326" i="23"/>
  <c r="I326" i="23" s="1"/>
  <c r="G326" i="23"/>
  <c r="J326" i="23"/>
  <c r="K326" i="23"/>
  <c r="L311" i="23"/>
  <c r="AH282" i="23"/>
  <c r="AH221" i="23"/>
  <c r="AX296" i="23"/>
  <c r="AW296" i="23"/>
  <c r="G337" i="23"/>
  <c r="J337" i="23"/>
  <c r="H337" i="23"/>
  <c r="I337" i="23" s="1"/>
  <c r="K337" i="23"/>
  <c r="G280" i="23"/>
  <c r="H280" i="23"/>
  <c r="I280" i="23" s="1"/>
  <c r="J280" i="23"/>
  <c r="K280" i="23"/>
  <c r="AH248" i="23"/>
  <c r="AH241" i="23"/>
  <c r="AH292" i="23"/>
  <c r="AW349" i="23"/>
  <c r="AX349" i="23"/>
  <c r="G265" i="23"/>
  <c r="H265" i="23"/>
  <c r="I265" i="23" s="1"/>
  <c r="J265" i="23"/>
  <c r="K265" i="23"/>
  <c r="AX235" i="23"/>
  <c r="AW235" i="23"/>
  <c r="G266" i="23"/>
  <c r="H266" i="23"/>
  <c r="I266" i="23"/>
  <c r="J266" i="23"/>
  <c r="K266" i="23"/>
  <c r="AW291" i="23"/>
  <c r="AX291" i="23"/>
  <c r="AW243" i="23"/>
  <c r="AX243" i="23"/>
  <c r="AH350" i="23"/>
  <c r="AH328" i="23"/>
  <c r="G258" i="23"/>
  <c r="H258" i="23"/>
  <c r="I258" i="23" s="1"/>
  <c r="J258" i="23"/>
  <c r="K258" i="23"/>
  <c r="G199" i="23"/>
  <c r="H199" i="23"/>
  <c r="I199" i="23" s="1"/>
  <c r="K199" i="23"/>
  <c r="J199" i="23"/>
  <c r="L213" i="23"/>
  <c r="AW340" i="23"/>
  <c r="AX340" i="23"/>
  <c r="AW209" i="23"/>
  <c r="AY209" i="23" s="1"/>
  <c r="AX209" i="23"/>
  <c r="L252" i="23"/>
  <c r="AW234" i="23"/>
  <c r="AX234" i="23"/>
  <c r="AW213" i="23"/>
  <c r="AX213" i="23"/>
  <c r="AX308" i="23"/>
  <c r="AW308" i="23"/>
  <c r="I289" i="23"/>
  <c r="L289" i="23" s="1"/>
  <c r="G289" i="23"/>
  <c r="K289" i="23"/>
  <c r="H289" i="23"/>
  <c r="J289" i="23"/>
  <c r="L237" i="23"/>
  <c r="J287" i="23"/>
  <c r="K287" i="23"/>
  <c r="G287" i="23"/>
  <c r="H287" i="23"/>
  <c r="I287" i="23" s="1"/>
  <c r="H316" i="23"/>
  <c r="I316" i="23" s="1"/>
  <c r="L316" i="23" s="1"/>
  <c r="K316" i="23"/>
  <c r="J316" i="23"/>
  <c r="G316" i="23"/>
  <c r="J276" i="23"/>
  <c r="K276" i="23"/>
  <c r="H276" i="23"/>
  <c r="I276" i="23" s="1"/>
  <c r="G276" i="23"/>
  <c r="K328" i="23"/>
  <c r="G328" i="23"/>
  <c r="H328" i="23"/>
  <c r="I328" i="23" s="1"/>
  <c r="J328" i="23"/>
  <c r="AH340" i="23"/>
  <c r="N273" i="23"/>
  <c r="Y273" i="23"/>
  <c r="BF273" i="23" s="1"/>
  <c r="K257" i="23"/>
  <c r="G257" i="23"/>
  <c r="H257" i="23"/>
  <c r="I257" i="23" s="1"/>
  <c r="J257" i="23"/>
  <c r="AW199" i="23"/>
  <c r="AY199" i="23" s="1"/>
  <c r="AX199" i="23"/>
  <c r="J281" i="23"/>
  <c r="K281" i="23"/>
  <c r="G281" i="23"/>
  <c r="H281" i="23"/>
  <c r="I281" i="23" s="1"/>
  <c r="N358" i="23"/>
  <c r="Y358" i="23"/>
  <c r="AX311" i="23"/>
  <c r="AW311" i="23"/>
  <c r="AW221" i="23"/>
  <c r="AY221" i="23" s="1"/>
  <c r="AX221" i="23"/>
  <c r="AW254" i="23"/>
  <c r="AX254" i="23"/>
  <c r="N196" i="23"/>
  <c r="Y196" i="23"/>
  <c r="Y269" i="23"/>
  <c r="BF269" i="23" s="1"/>
  <c r="N269" i="23"/>
  <c r="J246" i="23"/>
  <c r="K246" i="23"/>
  <c r="H246" i="23"/>
  <c r="I246" i="23" s="1"/>
  <c r="G246" i="23"/>
  <c r="G198" i="23"/>
  <c r="H198" i="23"/>
  <c r="I198" i="23" s="1"/>
  <c r="J198" i="23"/>
  <c r="K198" i="23"/>
  <c r="K224" i="23"/>
  <c r="G224" i="23"/>
  <c r="H224" i="23"/>
  <c r="I224" i="23" s="1"/>
  <c r="J224" i="23"/>
  <c r="AH331" i="23"/>
  <c r="AW242" i="23"/>
  <c r="AX242" i="23"/>
  <c r="AH257" i="23"/>
  <c r="AX323" i="23"/>
  <c r="AW323" i="23"/>
  <c r="AY323" i="23" s="1"/>
  <c r="AH316" i="23"/>
  <c r="AH256" i="23"/>
  <c r="AX239" i="23"/>
  <c r="AW239" i="23"/>
  <c r="AB59" i="24"/>
  <c r="AC59" i="24" s="1"/>
  <c r="AD59" i="24"/>
  <c r="AE59" i="24"/>
  <c r="E59" i="24"/>
  <c r="F59" i="24" s="1"/>
  <c r="G59" i="24"/>
  <c r="BB59" i="24"/>
  <c r="H59" i="24"/>
  <c r="AY59" i="24"/>
  <c r="AZ59" i="24" s="1"/>
  <c r="BA59" i="24"/>
  <c r="AB14" i="24"/>
  <c r="AC14" i="24"/>
  <c r="BB14" i="24"/>
  <c r="G14" i="24"/>
  <c r="AD14" i="24"/>
  <c r="H14" i="24"/>
  <c r="AE14" i="24"/>
  <c r="AY14" i="24"/>
  <c r="AZ14" i="24"/>
  <c r="F14" i="24"/>
  <c r="E14" i="24"/>
  <c r="BA14" i="24"/>
  <c r="AY40" i="24"/>
  <c r="AZ40" i="24" s="1"/>
  <c r="BB40" i="24"/>
  <c r="BA40" i="24"/>
  <c r="AD40" i="24"/>
  <c r="E40" i="24"/>
  <c r="F40" i="24" s="1"/>
  <c r="AE40" i="24"/>
  <c r="G40" i="24"/>
  <c r="AB40" i="24"/>
  <c r="AC40" i="24" s="1"/>
  <c r="H40" i="24"/>
  <c r="BA45" i="24"/>
  <c r="G45" i="24"/>
  <c r="BB45" i="24"/>
  <c r="H45" i="24"/>
  <c r="E45" i="24"/>
  <c r="F45" i="24" s="1"/>
  <c r="I45" i="24" s="1"/>
  <c r="AE45" i="24"/>
  <c r="AY45" i="24"/>
  <c r="AZ45" i="24" s="1"/>
  <c r="AD45" i="24"/>
  <c r="AB45" i="24"/>
  <c r="AC45" i="24" s="1"/>
  <c r="E112" i="24"/>
  <c r="F112" i="24" s="1"/>
  <c r="AY112" i="24"/>
  <c r="AZ112" i="24" s="1"/>
  <c r="AE112" i="24"/>
  <c r="H112" i="24"/>
  <c r="G112" i="24"/>
  <c r="BA112" i="24"/>
  <c r="BB112" i="24"/>
  <c r="AB112" i="24"/>
  <c r="AC112" i="24" s="1"/>
  <c r="AD112" i="24"/>
  <c r="AY90" i="24"/>
  <c r="AZ90" i="24" s="1"/>
  <c r="E90" i="24"/>
  <c r="F90" i="24" s="1"/>
  <c r="BA90" i="24"/>
  <c r="AE90" i="24"/>
  <c r="H90" i="24"/>
  <c r="AD90" i="24"/>
  <c r="BB90" i="24"/>
  <c r="AB90" i="24"/>
  <c r="AC90" i="24"/>
  <c r="G90" i="24"/>
  <c r="AD4" i="24"/>
  <c r="AY4" i="24"/>
  <c r="AZ4" i="24" s="1"/>
  <c r="AE4" i="24"/>
  <c r="H4" i="24"/>
  <c r="AB4" i="24"/>
  <c r="AC4" i="24" s="1"/>
  <c r="AF4" i="24" s="1"/>
  <c r="E4" i="24"/>
  <c r="F4" i="24" s="1"/>
  <c r="G4" i="24"/>
  <c r="BA4" i="24"/>
  <c r="BB4" i="24"/>
  <c r="Q16" i="24"/>
  <c r="AT16" i="24"/>
  <c r="AV16" i="24"/>
  <c r="Z16" i="24"/>
  <c r="BS16" i="24"/>
  <c r="BR16" i="24"/>
  <c r="W16" i="24"/>
  <c r="BT16" i="24"/>
  <c r="BM16" i="24"/>
  <c r="S16" i="24"/>
  <c r="AP16" i="24"/>
  <c r="AW16" i="24"/>
  <c r="BQ16" i="24"/>
  <c r="AN16" i="24"/>
  <c r="Y16" i="24"/>
  <c r="AU16" i="24"/>
  <c r="L18" i="23"/>
  <c r="F22" i="23"/>
  <c r="AW48" i="24"/>
  <c r="BQ48" i="24"/>
  <c r="BR48" i="24"/>
  <c r="BK48" i="24"/>
  <c r="S48" i="24"/>
  <c r="AP48" i="24"/>
  <c r="W48" i="24"/>
  <c r="X48" i="24"/>
  <c r="Y48" i="24"/>
  <c r="BT48" i="24"/>
  <c r="AN48" i="24"/>
  <c r="AV48" i="24"/>
  <c r="BS48" i="24"/>
  <c r="Q48" i="24"/>
  <c r="AU48" i="24"/>
  <c r="BM48" i="24"/>
  <c r="AT48" i="24"/>
  <c r="Z88" i="24"/>
  <c r="AT88" i="24"/>
  <c r="AU88" i="24"/>
  <c r="AV88" i="24"/>
  <c r="BT88" i="24"/>
  <c r="Q88" i="24"/>
  <c r="AN88" i="24"/>
  <c r="W88" i="24"/>
  <c r="BM88" i="24"/>
  <c r="BQ88" i="24"/>
  <c r="BR88" i="24"/>
  <c r="S88" i="24"/>
  <c r="AW88" i="24"/>
  <c r="AP88" i="24"/>
  <c r="BK88" i="24"/>
  <c r="BS88" i="24"/>
  <c r="Y88" i="24"/>
  <c r="X88" i="24"/>
  <c r="H98" i="24"/>
  <c r="AB98" i="24"/>
  <c r="AC98" i="24" s="1"/>
  <c r="AD98" i="24"/>
  <c r="G98" i="24"/>
  <c r="BB98" i="24"/>
  <c r="E98" i="24"/>
  <c r="F98" i="24" s="1"/>
  <c r="I98" i="24" s="1"/>
  <c r="AY98" i="24"/>
  <c r="AZ98" i="24" s="1"/>
  <c r="BA98" i="24"/>
  <c r="AE98" i="24"/>
  <c r="F167" i="23"/>
  <c r="AV143" i="24"/>
  <c r="BT143" i="24"/>
  <c r="BQ143" i="24"/>
  <c r="AU143" i="24"/>
  <c r="W143" i="24"/>
  <c r="X143" i="24"/>
  <c r="Y143" i="24"/>
  <c r="Z143" i="24"/>
  <c r="AT143" i="24"/>
  <c r="BM143" i="24"/>
  <c r="AW143" i="24"/>
  <c r="AN143" i="24"/>
  <c r="S143" i="24"/>
  <c r="BK143" i="24"/>
  <c r="Q143" i="24"/>
  <c r="BR143" i="24"/>
  <c r="AP143" i="24"/>
  <c r="L73" i="23"/>
  <c r="X16" i="24"/>
  <c r="Z14" i="24"/>
  <c r="AN14" i="24"/>
  <c r="AT14" i="24"/>
  <c r="Y14" i="24"/>
  <c r="AW14" i="24"/>
  <c r="BR14" i="24"/>
  <c r="BS14" i="24"/>
  <c r="BT14" i="24"/>
  <c r="X14" i="24"/>
  <c r="AV14" i="24"/>
  <c r="BQ14" i="24"/>
  <c r="Q14" i="24"/>
  <c r="W14" i="24"/>
  <c r="AU14" i="24"/>
  <c r="BK14" i="24"/>
  <c r="S14" i="24"/>
  <c r="BM14" i="24"/>
  <c r="G5" i="24"/>
  <c r="AY5" i="24"/>
  <c r="AZ5" i="24" s="1"/>
  <c r="BC5" i="24" s="1"/>
  <c r="H5" i="24"/>
  <c r="BA5" i="24"/>
  <c r="BB5" i="24"/>
  <c r="E5" i="24"/>
  <c r="F5" i="24" s="1"/>
  <c r="AE5" i="24"/>
  <c r="AD5" i="24"/>
  <c r="AB5" i="24"/>
  <c r="AC5" i="24"/>
  <c r="AF5" i="24" s="1"/>
  <c r="Y26" i="24"/>
  <c r="Z26" i="24"/>
  <c r="AP26" i="24"/>
  <c r="AT26" i="24"/>
  <c r="S26" i="24"/>
  <c r="BK26" i="24"/>
  <c r="W26" i="24"/>
  <c r="AN26" i="24"/>
  <c r="AU26" i="24"/>
  <c r="X26" i="24"/>
  <c r="BM26" i="24"/>
  <c r="BS26" i="24"/>
  <c r="BT26" i="24"/>
  <c r="AV26" i="24"/>
  <c r="AW26" i="24"/>
  <c r="Q26" i="24"/>
  <c r="Y13" i="24"/>
  <c r="W13" i="24"/>
  <c r="X13" i="24"/>
  <c r="AP13" i="24"/>
  <c r="BT13" i="24"/>
  <c r="BS13" i="24"/>
  <c r="AT13" i="24"/>
  <c r="BK13" i="24"/>
  <c r="AV13" i="24"/>
  <c r="AU13" i="24"/>
  <c r="BQ13" i="24"/>
  <c r="S13" i="24"/>
  <c r="AW13" i="24"/>
  <c r="BM13" i="24"/>
  <c r="AN13" i="24"/>
  <c r="BR13" i="24"/>
  <c r="Q13" i="24"/>
  <c r="W13" i="23"/>
  <c r="AP31" i="24"/>
  <c r="S31" i="24"/>
  <c r="AV31" i="24"/>
  <c r="BK31" i="24"/>
  <c r="AW31" i="24"/>
  <c r="BM31" i="24"/>
  <c r="AU31" i="24"/>
  <c r="W31" i="24"/>
  <c r="AN31" i="24"/>
  <c r="X31" i="24"/>
  <c r="Y31" i="24"/>
  <c r="AT31" i="24"/>
  <c r="Q31" i="24"/>
  <c r="BQ31" i="24"/>
  <c r="BR31" i="24"/>
  <c r="BS31" i="24"/>
  <c r="Z31" i="24"/>
  <c r="BT31" i="24"/>
  <c r="AY9" i="24"/>
  <c r="AZ9" i="24"/>
  <c r="AB9" i="24"/>
  <c r="AC9" i="24" s="1"/>
  <c r="AD9" i="24"/>
  <c r="E9" i="24"/>
  <c r="F9" i="24" s="1"/>
  <c r="AE9" i="24"/>
  <c r="G9" i="24"/>
  <c r="BA9" i="24"/>
  <c r="H9" i="24"/>
  <c r="BB9" i="24"/>
  <c r="AB41" i="24"/>
  <c r="AC41" i="24" s="1"/>
  <c r="AD41" i="24"/>
  <c r="AE41" i="24"/>
  <c r="H41" i="24"/>
  <c r="BB41" i="24"/>
  <c r="AY41" i="24"/>
  <c r="AZ41" i="24" s="1"/>
  <c r="BA41" i="24"/>
  <c r="E41" i="24"/>
  <c r="F41" i="24" s="1"/>
  <c r="G41" i="24"/>
  <c r="AD77" i="24"/>
  <c r="E77" i="24"/>
  <c r="F77" i="24" s="1"/>
  <c r="AE77" i="24"/>
  <c r="G77" i="24"/>
  <c r="AB77" i="24"/>
  <c r="AC77" i="24" s="1"/>
  <c r="AY77" i="24"/>
  <c r="AZ77" i="24" s="1"/>
  <c r="H77" i="24"/>
  <c r="BB77" i="24"/>
  <c r="BA77" i="24"/>
  <c r="W70" i="24"/>
  <c r="X70" i="24"/>
  <c r="Y70" i="24"/>
  <c r="BK70" i="24"/>
  <c r="BM70" i="24"/>
  <c r="Z70" i="24"/>
  <c r="AT70" i="24"/>
  <c r="AU70" i="24"/>
  <c r="BR70" i="24"/>
  <c r="AW70" i="24"/>
  <c r="AN70" i="24"/>
  <c r="BQ70" i="24"/>
  <c r="AV70" i="24"/>
  <c r="Q70" i="24"/>
  <c r="BS70" i="24"/>
  <c r="S70" i="24"/>
  <c r="AD38" i="24"/>
  <c r="AE38" i="24"/>
  <c r="BA38" i="24"/>
  <c r="AY38" i="24"/>
  <c r="AZ38" i="24" s="1"/>
  <c r="G38" i="24"/>
  <c r="BB38" i="24"/>
  <c r="H38" i="24"/>
  <c r="AB38" i="24"/>
  <c r="AC38" i="24" s="1"/>
  <c r="E38" i="24"/>
  <c r="F38" i="24" s="1"/>
  <c r="Q90" i="24"/>
  <c r="AW90" i="24"/>
  <c r="BS90" i="24"/>
  <c r="BT90" i="24"/>
  <c r="S90" i="24"/>
  <c r="AU90" i="24"/>
  <c r="BR90" i="24"/>
  <c r="AN90" i="24"/>
  <c r="X90" i="24"/>
  <c r="Y90" i="24"/>
  <c r="AP90" i="24"/>
  <c r="Z90" i="24"/>
  <c r="AT90" i="24"/>
  <c r="W90" i="24"/>
  <c r="BQ90" i="24"/>
  <c r="BK90" i="24"/>
  <c r="AV90" i="24"/>
  <c r="BM90" i="24"/>
  <c r="BT57" i="24"/>
  <c r="BK57" i="24"/>
  <c r="Z57" i="24"/>
  <c r="X57" i="24"/>
  <c r="Y57" i="24"/>
  <c r="BM57" i="24"/>
  <c r="W57" i="24"/>
  <c r="Q57" i="24"/>
  <c r="AU57" i="24"/>
  <c r="AT57" i="24"/>
  <c r="S57" i="24"/>
  <c r="BQ57" i="24"/>
  <c r="AN57" i="24"/>
  <c r="BR57" i="24"/>
  <c r="BS57" i="24"/>
  <c r="AV57" i="24"/>
  <c r="AP57" i="24"/>
  <c r="AW57" i="24"/>
  <c r="AY155" i="24"/>
  <c r="AZ155" i="24" s="1"/>
  <c r="H155" i="24"/>
  <c r="AD155" i="24"/>
  <c r="E155" i="24"/>
  <c r="F155" i="24" s="1"/>
  <c r="AE155" i="24"/>
  <c r="G155" i="24"/>
  <c r="BA155" i="24"/>
  <c r="BB155" i="24"/>
  <c r="AB155" i="24"/>
  <c r="AC155" i="24" s="1"/>
  <c r="O167" i="23"/>
  <c r="X192" i="23"/>
  <c r="W192" i="23"/>
  <c r="AF158" i="23"/>
  <c r="O158" i="23"/>
  <c r="S158" i="23"/>
  <c r="Y187" i="24"/>
  <c r="BS187" i="24"/>
  <c r="Q187" i="24"/>
  <c r="BT187" i="24"/>
  <c r="Z187" i="24"/>
  <c r="AN187" i="24"/>
  <c r="BK187" i="24"/>
  <c r="AT187" i="24"/>
  <c r="BQ187" i="24"/>
  <c r="AU187" i="24"/>
  <c r="BR187" i="24"/>
  <c r="X187" i="24"/>
  <c r="AW187" i="24"/>
  <c r="W187" i="24"/>
  <c r="AV187" i="24"/>
  <c r="AP187" i="24"/>
  <c r="S187" i="24"/>
  <c r="BQ3" i="24"/>
  <c r="BK16" i="24"/>
  <c r="Z48" i="24"/>
  <c r="Y4" i="24"/>
  <c r="AW4" i="24"/>
  <c r="BK4" i="24"/>
  <c r="BQ4" i="24"/>
  <c r="BR4" i="24"/>
  <c r="AV4" i="24"/>
  <c r="X4" i="24"/>
  <c r="W4" i="24"/>
  <c r="BS4" i="24"/>
  <c r="BT4" i="24"/>
  <c r="AN4" i="24"/>
  <c r="Z4" i="24"/>
  <c r="AT4" i="24"/>
  <c r="S4" i="24"/>
  <c r="BM4" i="24"/>
  <c r="AU4" i="24"/>
  <c r="Q4" i="24"/>
  <c r="AP4" i="24"/>
  <c r="AT9" i="24"/>
  <c r="Q9" i="24"/>
  <c r="AU9" i="24"/>
  <c r="W9" i="24"/>
  <c r="BM9" i="24"/>
  <c r="Y9" i="24"/>
  <c r="AV9" i="24"/>
  <c r="AN9" i="24"/>
  <c r="BQ9" i="24"/>
  <c r="S9" i="24"/>
  <c r="AW9" i="24"/>
  <c r="X9" i="24"/>
  <c r="BR9" i="24"/>
  <c r="BT9" i="24"/>
  <c r="Z9" i="24"/>
  <c r="AB20" i="24"/>
  <c r="AC20" i="24" s="1"/>
  <c r="AY20" i="24"/>
  <c r="AZ20" i="24" s="1"/>
  <c r="BC20" i="24" s="1"/>
  <c r="BA20" i="24"/>
  <c r="E20" i="24"/>
  <c r="F20" i="24" s="1"/>
  <c r="AD20" i="24"/>
  <c r="BB20" i="24"/>
  <c r="G20" i="24"/>
  <c r="AE20" i="24"/>
  <c r="H20" i="24"/>
  <c r="AY37" i="24"/>
  <c r="AZ37" i="24"/>
  <c r="BC37" i="24" s="1"/>
  <c r="AB37" i="24"/>
  <c r="AC37" i="24" s="1"/>
  <c r="E37" i="24"/>
  <c r="F37" i="24" s="1"/>
  <c r="AD37" i="24"/>
  <c r="AE37" i="24"/>
  <c r="BA37" i="24"/>
  <c r="H37" i="24"/>
  <c r="BB37" i="24"/>
  <c r="G37" i="24"/>
  <c r="AB33" i="24"/>
  <c r="AC33" i="24" s="1"/>
  <c r="BA33" i="24"/>
  <c r="E33" i="24"/>
  <c r="F33" i="24" s="1"/>
  <c r="AD33" i="24"/>
  <c r="BB33" i="24"/>
  <c r="G33" i="24"/>
  <c r="AE33" i="24"/>
  <c r="AY33" i="24"/>
  <c r="AZ33" i="24" s="1"/>
  <c r="H33" i="24"/>
  <c r="W51" i="24"/>
  <c r="X51" i="24"/>
  <c r="Y51" i="24"/>
  <c r="AN51" i="24"/>
  <c r="BK51" i="24"/>
  <c r="BT51" i="24"/>
  <c r="BR51" i="24"/>
  <c r="BS51" i="24"/>
  <c r="BM51" i="24"/>
  <c r="Q51" i="24"/>
  <c r="AT51" i="24"/>
  <c r="AP51" i="24"/>
  <c r="AU51" i="24"/>
  <c r="AV51" i="24"/>
  <c r="S51" i="24"/>
  <c r="AW51" i="24"/>
  <c r="E76" i="24"/>
  <c r="AB76" i="24"/>
  <c r="AC76" i="24" s="1"/>
  <c r="AY76" i="24"/>
  <c r="AZ76" i="24" s="1"/>
  <c r="F76" i="24"/>
  <c r="AD76" i="24"/>
  <c r="BA76" i="24"/>
  <c r="AE76" i="24"/>
  <c r="G76" i="24"/>
  <c r="BB76" i="24"/>
  <c r="H76" i="24"/>
  <c r="AT75" i="24"/>
  <c r="AU75" i="24"/>
  <c r="AV75" i="24"/>
  <c r="Z75" i="24"/>
  <c r="BS75" i="24"/>
  <c r="Y75" i="24"/>
  <c r="BR75" i="24"/>
  <c r="BM75" i="24"/>
  <c r="X75" i="24"/>
  <c r="S75" i="24"/>
  <c r="BQ75" i="24"/>
  <c r="AN75" i="24"/>
  <c r="AW75" i="24"/>
  <c r="Q75" i="24"/>
  <c r="BK75" i="24"/>
  <c r="AP75" i="24"/>
  <c r="W75" i="24"/>
  <c r="AF61" i="23"/>
  <c r="S61" i="23"/>
  <c r="AB89" i="24"/>
  <c r="AC89" i="24" s="1"/>
  <c r="AD89" i="24"/>
  <c r="H89" i="24"/>
  <c r="G89" i="24"/>
  <c r="E89" i="24"/>
  <c r="F89" i="24" s="1"/>
  <c r="I89" i="24" s="1"/>
  <c r="AE89" i="24"/>
  <c r="AY89" i="24"/>
  <c r="AZ89" i="24" s="1"/>
  <c r="BA89" i="24"/>
  <c r="BB89" i="24"/>
  <c r="Q133" i="24"/>
  <c r="AU133" i="24"/>
  <c r="W133" i="24"/>
  <c r="AV133" i="24"/>
  <c r="BS133" i="24"/>
  <c r="X133" i="24"/>
  <c r="BT133" i="24"/>
  <c r="AW133" i="24"/>
  <c r="BR133" i="24"/>
  <c r="BM133" i="24"/>
  <c r="Z133" i="24"/>
  <c r="AP133" i="24"/>
  <c r="S133" i="24"/>
  <c r="BQ133" i="24"/>
  <c r="AN133" i="24"/>
  <c r="Y133" i="24"/>
  <c r="BK133" i="24"/>
  <c r="AT133" i="24"/>
  <c r="AY121" i="24"/>
  <c r="AZ121" i="24" s="1"/>
  <c r="AB121" i="24"/>
  <c r="AC121" i="24" s="1"/>
  <c r="BB121" i="24"/>
  <c r="AD121" i="24"/>
  <c r="BA121" i="24"/>
  <c r="H121" i="24"/>
  <c r="G121" i="24"/>
  <c r="AE121" i="24"/>
  <c r="E121" i="24"/>
  <c r="F121" i="24" s="1"/>
  <c r="AF177" i="23"/>
  <c r="X177" i="23"/>
  <c r="S177" i="23"/>
  <c r="O177" i="23"/>
  <c r="F177" i="23"/>
  <c r="W177" i="23"/>
  <c r="W5" i="24"/>
  <c r="BM5" i="24"/>
  <c r="X5" i="24"/>
  <c r="Y5" i="24"/>
  <c r="BQ5" i="24"/>
  <c r="S5" i="24"/>
  <c r="AW5" i="24"/>
  <c r="AV5" i="24"/>
  <c r="AU5" i="24"/>
  <c r="BT5" i="24"/>
  <c r="BK5" i="24"/>
  <c r="BR5" i="24"/>
  <c r="Q5" i="24"/>
  <c r="AP5" i="24"/>
  <c r="Z5" i="24"/>
  <c r="AT5" i="24"/>
  <c r="AN5" i="24"/>
  <c r="BS5" i="24"/>
  <c r="AP15" i="24"/>
  <c r="BR15" i="24"/>
  <c r="AT15" i="24"/>
  <c r="BS15" i="24"/>
  <c r="Q15" i="24"/>
  <c r="AU15" i="24"/>
  <c r="BT15" i="24"/>
  <c r="BQ15" i="24"/>
  <c r="S15" i="24"/>
  <c r="AN15" i="24"/>
  <c r="BK15" i="24"/>
  <c r="W15" i="24"/>
  <c r="AV15" i="24"/>
  <c r="X15" i="24"/>
  <c r="AW15" i="24"/>
  <c r="BM15" i="24"/>
  <c r="Y15" i="24"/>
  <c r="Z15" i="24"/>
  <c r="AP20" i="24"/>
  <c r="BT20" i="24"/>
  <c r="BK20" i="24"/>
  <c r="Z20" i="24"/>
  <c r="BM20" i="24"/>
  <c r="BQ20" i="24"/>
  <c r="AV20" i="24"/>
  <c r="Y20" i="24"/>
  <c r="X20" i="24"/>
  <c r="Q20" i="24"/>
  <c r="AU20" i="24"/>
  <c r="S20" i="24"/>
  <c r="AW20" i="24"/>
  <c r="AT20" i="24"/>
  <c r="BS20" i="24"/>
  <c r="AU41" i="24"/>
  <c r="BK41" i="24"/>
  <c r="AV41" i="24"/>
  <c r="Q41" i="24"/>
  <c r="AW41" i="24"/>
  <c r="BM41" i="24"/>
  <c r="Z41" i="24"/>
  <c r="AT41" i="24"/>
  <c r="Y41" i="24"/>
  <c r="X41" i="24"/>
  <c r="S41" i="24"/>
  <c r="W41" i="24"/>
  <c r="BS41" i="24"/>
  <c r="AN41" i="24"/>
  <c r="BR41" i="24"/>
  <c r="BQ41" i="24"/>
  <c r="BT41" i="24"/>
  <c r="AP41" i="24"/>
  <c r="H78" i="24"/>
  <c r="BB78" i="24"/>
  <c r="G78" i="24"/>
  <c r="BA78" i="24"/>
  <c r="AB78" i="24"/>
  <c r="AC78" i="24" s="1"/>
  <c r="AY78" i="24"/>
  <c r="AZ78" i="24" s="1"/>
  <c r="AD78" i="24"/>
  <c r="AE78" i="24"/>
  <c r="E78" i="24"/>
  <c r="F78" i="24" s="1"/>
  <c r="W56" i="23"/>
  <c r="F56" i="23"/>
  <c r="BS63" i="24"/>
  <c r="W63" i="24"/>
  <c r="BM63" i="24"/>
  <c r="X63" i="24"/>
  <c r="BQ63" i="24"/>
  <c r="Z63" i="24"/>
  <c r="AN63" i="24"/>
  <c r="BR63" i="24"/>
  <c r="BT63" i="24"/>
  <c r="AU63" i="24"/>
  <c r="AV63" i="24"/>
  <c r="AW63" i="24"/>
  <c r="BK63" i="24"/>
  <c r="S63" i="24"/>
  <c r="Q63" i="24"/>
  <c r="AP63" i="24"/>
  <c r="AV111" i="24"/>
  <c r="AW111" i="24"/>
  <c r="BK111" i="24"/>
  <c r="BR111" i="24"/>
  <c r="W111" i="24"/>
  <c r="BS111" i="24"/>
  <c r="X111" i="24"/>
  <c r="BT111" i="24"/>
  <c r="S111" i="24"/>
  <c r="AP111" i="24"/>
  <c r="BQ111" i="24"/>
  <c r="AN111" i="24"/>
  <c r="BM111" i="24"/>
  <c r="Q111" i="24"/>
  <c r="AT111" i="24"/>
  <c r="Z111" i="24"/>
  <c r="AU111" i="24"/>
  <c r="Y111" i="24"/>
  <c r="AD131" i="24"/>
  <c r="E131" i="24"/>
  <c r="F131" i="24" s="1"/>
  <c r="AE131" i="24"/>
  <c r="G131" i="24"/>
  <c r="BB131" i="24"/>
  <c r="AB131" i="24"/>
  <c r="AC131" i="24" s="1"/>
  <c r="H131" i="24"/>
  <c r="AY131" i="24"/>
  <c r="AZ131" i="24" s="1"/>
  <c r="BA131" i="24"/>
  <c r="G92" i="24"/>
  <c r="AD92" i="24"/>
  <c r="H92" i="24"/>
  <c r="AE92" i="24"/>
  <c r="AY92" i="24"/>
  <c r="AZ92" i="24" s="1"/>
  <c r="E92" i="24"/>
  <c r="F92" i="24" s="1"/>
  <c r="AB92" i="24"/>
  <c r="AC92" i="24" s="1"/>
  <c r="BB92" i="24"/>
  <c r="BA92" i="24"/>
  <c r="Z130" i="24"/>
  <c r="AT130" i="24"/>
  <c r="BK130" i="24"/>
  <c r="AU130" i="24"/>
  <c r="BT130" i="24"/>
  <c r="X130" i="24"/>
  <c r="Y130" i="24"/>
  <c r="W130" i="24"/>
  <c r="AV130" i="24"/>
  <c r="AP130" i="24"/>
  <c r="S130" i="24"/>
  <c r="BS130" i="24"/>
  <c r="Q130" i="24"/>
  <c r="AW130" i="24"/>
  <c r="BM130" i="24"/>
  <c r="BQ130" i="24"/>
  <c r="AN130" i="24"/>
  <c r="BR130" i="24"/>
  <c r="W132" i="24"/>
  <c r="Y132" i="24"/>
  <c r="AN132" i="24"/>
  <c r="BS132" i="24"/>
  <c r="Z132" i="24"/>
  <c r="AP132" i="24"/>
  <c r="AT132" i="24"/>
  <c r="AU132" i="24"/>
  <c r="BM132" i="24"/>
  <c r="X132" i="24"/>
  <c r="BT132" i="24"/>
  <c r="AV132" i="24"/>
  <c r="Q132" i="24"/>
  <c r="AW132" i="24"/>
  <c r="BQ132" i="24"/>
  <c r="BR132" i="24"/>
  <c r="S132" i="24"/>
  <c r="BK132" i="24"/>
  <c r="AF45" i="23"/>
  <c r="S45" i="23"/>
  <c r="W61" i="23"/>
  <c r="H190" i="24"/>
  <c r="AD190" i="24"/>
  <c r="AE190" i="24"/>
  <c r="G190" i="24"/>
  <c r="AB190" i="24"/>
  <c r="AC190" i="24" s="1"/>
  <c r="BB190" i="24"/>
  <c r="AY190" i="24"/>
  <c r="AZ190" i="24" s="1"/>
  <c r="BA190" i="24"/>
  <c r="E190" i="24"/>
  <c r="F190" i="24" s="1"/>
  <c r="W141" i="24"/>
  <c r="X141" i="24"/>
  <c r="AV141" i="24"/>
  <c r="BQ141" i="24"/>
  <c r="BR141" i="24"/>
  <c r="AW141" i="24"/>
  <c r="BS141" i="24"/>
  <c r="Y141" i="24"/>
  <c r="BT141" i="24"/>
  <c r="AN141" i="24"/>
  <c r="AU141" i="24"/>
  <c r="S141" i="24"/>
  <c r="AT141" i="24"/>
  <c r="AP141" i="24"/>
  <c r="Q141" i="24"/>
  <c r="BM141" i="24"/>
  <c r="BK141" i="24"/>
  <c r="Z141" i="24"/>
  <c r="E180" i="24"/>
  <c r="F180" i="24" s="1"/>
  <c r="G180" i="24"/>
  <c r="H180" i="24"/>
  <c r="AB180" i="24"/>
  <c r="AC180" i="24" s="1"/>
  <c r="AF180" i="24" s="1"/>
  <c r="BB180" i="24"/>
  <c r="AD180" i="24"/>
  <c r="BA180" i="24"/>
  <c r="AE180" i="24"/>
  <c r="AY180" i="24"/>
  <c r="AZ180" i="24" s="1"/>
  <c r="X167" i="23"/>
  <c r="BS148" i="24"/>
  <c r="AV148" i="24"/>
  <c r="AT148" i="24"/>
  <c r="Z148" i="24"/>
  <c r="BQ148" i="24"/>
  <c r="BR148" i="24"/>
  <c r="W148" i="24"/>
  <c r="BM148" i="24"/>
  <c r="AU148" i="24"/>
  <c r="S148" i="24"/>
  <c r="AW148" i="24"/>
  <c r="BK148" i="24"/>
  <c r="X148" i="24"/>
  <c r="Y148" i="24"/>
  <c r="AN148" i="24"/>
  <c r="AP148" i="24"/>
  <c r="BT148" i="24"/>
  <c r="X122" i="23"/>
  <c r="O122" i="23"/>
  <c r="W122" i="23"/>
  <c r="E151" i="24"/>
  <c r="F151" i="24" s="1"/>
  <c r="G151" i="24"/>
  <c r="H151" i="24"/>
  <c r="AB151" i="24"/>
  <c r="AC151" i="24" s="1"/>
  <c r="AY151" i="24"/>
  <c r="AZ151" i="24"/>
  <c r="BA151" i="24"/>
  <c r="BB151" i="24"/>
  <c r="AD151" i="24"/>
  <c r="AE151" i="24"/>
  <c r="F158" i="23"/>
  <c r="W20" i="24"/>
  <c r="Y63" i="24"/>
  <c r="BR26" i="24"/>
  <c r="BT70" i="24"/>
  <c r="Q40" i="24"/>
  <c r="BQ40" i="24"/>
  <c r="BR40" i="24"/>
  <c r="S40" i="24"/>
  <c r="AN40" i="24"/>
  <c r="BK40" i="24"/>
  <c r="X40" i="24"/>
  <c r="BT40" i="24"/>
  <c r="AP40" i="24"/>
  <c r="AU40" i="24"/>
  <c r="Z40" i="24"/>
  <c r="AV40" i="24"/>
  <c r="BS40" i="24"/>
  <c r="AW40" i="24"/>
  <c r="BM40" i="24"/>
  <c r="Y40" i="24"/>
  <c r="AT40" i="24"/>
  <c r="Q29" i="24"/>
  <c r="S29" i="24"/>
  <c r="AU29" i="24"/>
  <c r="BQ29" i="24"/>
  <c r="W29" i="24"/>
  <c r="Y29" i="24"/>
  <c r="AV29" i="24"/>
  <c r="X29" i="24"/>
  <c r="AT29" i="24"/>
  <c r="Z29" i="24"/>
  <c r="AP29" i="24"/>
  <c r="BT29" i="24"/>
  <c r="BM29" i="24"/>
  <c r="AW29" i="24"/>
  <c r="BK29" i="24"/>
  <c r="AN29" i="24"/>
  <c r="BS29" i="24"/>
  <c r="S75" i="23"/>
  <c r="AP89" i="24"/>
  <c r="BK89" i="24"/>
  <c r="AV89" i="24"/>
  <c r="Y89" i="24"/>
  <c r="BM89" i="24"/>
  <c r="Q89" i="24"/>
  <c r="AN89" i="24"/>
  <c r="BQ89" i="24"/>
  <c r="BR89" i="24"/>
  <c r="BS89" i="24"/>
  <c r="BT89" i="24"/>
  <c r="AW89" i="24"/>
  <c r="S89" i="24"/>
  <c r="Z89" i="24"/>
  <c r="AU89" i="24"/>
  <c r="W89" i="24"/>
  <c r="X89" i="24"/>
  <c r="AE57" i="24"/>
  <c r="BA57" i="24"/>
  <c r="BB57" i="24"/>
  <c r="AD57" i="24"/>
  <c r="H57" i="24"/>
  <c r="AB57" i="24"/>
  <c r="AC57" i="24" s="1"/>
  <c r="G57" i="24"/>
  <c r="E57" i="24"/>
  <c r="F57" i="24" s="1"/>
  <c r="I57" i="24" s="1"/>
  <c r="K57" i="24" s="1"/>
  <c r="AY57" i="24"/>
  <c r="AZ57" i="24" s="1"/>
  <c r="AP137" i="24"/>
  <c r="BK137" i="24"/>
  <c r="BT137" i="24"/>
  <c r="AU137" i="24"/>
  <c r="S137" i="24"/>
  <c r="AN137" i="24"/>
  <c r="BQ137" i="24"/>
  <c r="BM137" i="24"/>
  <c r="Y137" i="24"/>
  <c r="AV137" i="24"/>
  <c r="W137" i="24"/>
  <c r="Z137" i="24"/>
  <c r="AW137" i="24"/>
  <c r="X137" i="24"/>
  <c r="BR137" i="24"/>
  <c r="AT137" i="24"/>
  <c r="BS137" i="24"/>
  <c r="Q137" i="24"/>
  <c r="G139" i="24"/>
  <c r="H139" i="24"/>
  <c r="AB139" i="24"/>
  <c r="AC139" i="24" s="1"/>
  <c r="AY139" i="24"/>
  <c r="AZ139" i="24" s="1"/>
  <c r="AD139" i="24"/>
  <c r="AE139" i="24"/>
  <c r="BB139" i="24"/>
  <c r="E139" i="24"/>
  <c r="F139" i="24" s="1"/>
  <c r="BA139" i="24"/>
  <c r="AF101" i="23"/>
  <c r="W101" i="23"/>
  <c r="X101" i="23"/>
  <c r="Y146" i="24"/>
  <c r="S146" i="24"/>
  <c r="W146" i="24"/>
  <c r="AN146" i="24"/>
  <c r="BR146" i="24"/>
  <c r="BT146" i="24"/>
  <c r="BM146" i="24"/>
  <c r="X146" i="24"/>
  <c r="BK146" i="24"/>
  <c r="Q146" i="24"/>
  <c r="AT146" i="24"/>
  <c r="AU146" i="24"/>
  <c r="AV146" i="24"/>
  <c r="AP146" i="24"/>
  <c r="BS146" i="24"/>
  <c r="BQ146" i="24"/>
  <c r="AW146" i="24"/>
  <c r="Z146" i="24"/>
  <c r="BK188" i="24"/>
  <c r="AN188" i="24"/>
  <c r="BM188" i="24"/>
  <c r="BS188" i="24"/>
  <c r="Q188" i="24"/>
  <c r="AW188" i="24"/>
  <c r="S188" i="24"/>
  <c r="Z188" i="24"/>
  <c r="BQ188" i="24"/>
  <c r="AP188" i="24"/>
  <c r="X188" i="24"/>
  <c r="AU188" i="24"/>
  <c r="AT188" i="24"/>
  <c r="BT188" i="24"/>
  <c r="Y188" i="24"/>
  <c r="AV188" i="24"/>
  <c r="W188" i="24"/>
  <c r="BR188" i="24"/>
  <c r="Z13" i="24"/>
  <c r="S19" i="24"/>
  <c r="AT63" i="24"/>
  <c r="BQ26" i="24"/>
  <c r="Z36" i="24"/>
  <c r="BR36" i="24"/>
  <c r="Y36" i="24"/>
  <c r="BQ36" i="24"/>
  <c r="BM36" i="24"/>
  <c r="W36" i="24"/>
  <c r="X36" i="24"/>
  <c r="AV36" i="24"/>
  <c r="S36" i="24"/>
  <c r="BK36" i="24"/>
  <c r="BT36" i="24"/>
  <c r="AW36" i="24"/>
  <c r="AT36" i="24"/>
  <c r="AP36" i="24"/>
  <c r="Q36" i="24"/>
  <c r="AU36" i="24"/>
  <c r="AN36" i="24"/>
  <c r="BS36" i="24"/>
  <c r="AU71" i="24"/>
  <c r="AT71" i="24"/>
  <c r="AN71" i="24"/>
  <c r="AW71" i="24"/>
  <c r="Q71" i="24"/>
  <c r="BM71" i="24"/>
  <c r="BK71" i="24"/>
  <c r="W71" i="24"/>
  <c r="X71" i="24"/>
  <c r="AV71" i="24"/>
  <c r="BR71" i="24"/>
  <c r="BS71" i="24"/>
  <c r="BT71" i="24"/>
  <c r="S71" i="24"/>
  <c r="AP71" i="24"/>
  <c r="Y71" i="24"/>
  <c r="BQ71" i="24"/>
  <c r="AP83" i="24"/>
  <c r="Q83" i="24"/>
  <c r="AT83" i="24"/>
  <c r="AU83" i="24"/>
  <c r="BT83" i="24"/>
  <c r="W83" i="24"/>
  <c r="AV83" i="24"/>
  <c r="BK83" i="24"/>
  <c r="X83" i="24"/>
  <c r="AW83" i="24"/>
  <c r="BM83" i="24"/>
  <c r="Y83" i="24"/>
  <c r="BQ83" i="24"/>
  <c r="AN83" i="24"/>
  <c r="BR83" i="24"/>
  <c r="BS83" i="24"/>
  <c r="S83" i="24"/>
  <c r="Z83" i="24"/>
  <c r="S99" i="24"/>
  <c r="X99" i="24"/>
  <c r="AN99" i="24"/>
  <c r="Q99" i="24"/>
  <c r="BT99" i="24"/>
  <c r="BM99" i="24"/>
  <c r="W99" i="24"/>
  <c r="AP99" i="24"/>
  <c r="BQ99" i="24"/>
  <c r="AW99" i="24"/>
  <c r="AV99" i="24"/>
  <c r="Z99" i="24"/>
  <c r="AT99" i="24"/>
  <c r="BK99" i="24"/>
  <c r="BR99" i="24"/>
  <c r="BS99" i="24"/>
  <c r="Y99" i="24"/>
  <c r="H104" i="24"/>
  <c r="AD104" i="24"/>
  <c r="G104" i="24"/>
  <c r="BB104" i="24"/>
  <c r="AY104" i="24"/>
  <c r="BA104" i="24"/>
  <c r="AZ104" i="24"/>
  <c r="E104" i="24"/>
  <c r="F104" i="24" s="1"/>
  <c r="AB104" i="24"/>
  <c r="AC104" i="24" s="1"/>
  <c r="AF104" i="24" s="1"/>
  <c r="AH104" i="24" s="1"/>
  <c r="AE104" i="24"/>
  <c r="BR45" i="24"/>
  <c r="X45" i="24"/>
  <c r="BS45" i="24"/>
  <c r="Y45" i="24"/>
  <c r="BT45" i="24"/>
  <c r="S45" i="24"/>
  <c r="BQ45" i="24"/>
  <c r="AW45" i="24"/>
  <c r="BK45" i="24"/>
  <c r="AP45" i="24"/>
  <c r="AT45" i="24"/>
  <c r="Q45" i="24"/>
  <c r="AU45" i="24"/>
  <c r="AV45" i="24"/>
  <c r="Z45" i="24"/>
  <c r="W45" i="24"/>
  <c r="AN45" i="24"/>
  <c r="AB60" i="24"/>
  <c r="AC60" i="24" s="1"/>
  <c r="AD60" i="24"/>
  <c r="H60" i="24"/>
  <c r="E60" i="24"/>
  <c r="F60" i="24"/>
  <c r="G60" i="24"/>
  <c r="AE60" i="24"/>
  <c r="AY60" i="24"/>
  <c r="AZ60" i="24" s="1"/>
  <c r="BA60" i="24"/>
  <c r="BB60" i="24"/>
  <c r="W144" i="24"/>
  <c r="AT144" i="24"/>
  <c r="BK144" i="24"/>
  <c r="AW144" i="24"/>
  <c r="AP144" i="24"/>
  <c r="S144" i="24"/>
  <c r="AN144" i="24"/>
  <c r="BM144" i="24"/>
  <c r="Z144" i="24"/>
  <c r="BQ144" i="24"/>
  <c r="Y144" i="24"/>
  <c r="BT144" i="24"/>
  <c r="Q144" i="24"/>
  <c r="X144" i="24"/>
  <c r="AV144" i="24"/>
  <c r="BS144" i="24"/>
  <c r="BR144" i="24"/>
  <c r="Y156" i="24"/>
  <c r="AT156" i="24"/>
  <c r="BS156" i="24"/>
  <c r="AP156" i="24"/>
  <c r="W156" i="24"/>
  <c r="X156" i="24"/>
  <c r="BT156" i="24"/>
  <c r="Z156" i="24"/>
  <c r="AU156" i="24"/>
  <c r="BM156" i="24"/>
  <c r="S156" i="24"/>
  <c r="Q156" i="24"/>
  <c r="AN156" i="24"/>
  <c r="BK156" i="24"/>
  <c r="AV156" i="24"/>
  <c r="BQ156" i="24"/>
  <c r="BR156" i="24"/>
  <c r="AW156" i="24"/>
  <c r="H123" i="24"/>
  <c r="AE123" i="24"/>
  <c r="E123" i="24"/>
  <c r="F123" i="24" s="1"/>
  <c r="AD123" i="24"/>
  <c r="G123" i="24"/>
  <c r="AB123" i="24"/>
  <c r="AC123" i="24" s="1"/>
  <c r="AY123" i="24"/>
  <c r="AZ123" i="24" s="1"/>
  <c r="BA123" i="24"/>
  <c r="BB123" i="24"/>
  <c r="G106" i="24"/>
  <c r="AY106" i="24"/>
  <c r="AZ106" i="24" s="1"/>
  <c r="AB106" i="24"/>
  <c r="AC106" i="24" s="1"/>
  <c r="BA106" i="24"/>
  <c r="H106" i="24"/>
  <c r="E106" i="24"/>
  <c r="F106" i="24" s="1"/>
  <c r="BB106" i="24"/>
  <c r="AD106" i="24"/>
  <c r="AE106" i="24"/>
  <c r="BB95" i="24"/>
  <c r="AE95" i="24"/>
  <c r="BA95" i="24"/>
  <c r="E95" i="24"/>
  <c r="F95" i="24" s="1"/>
  <c r="G95" i="24"/>
  <c r="AB95" i="24"/>
  <c r="AY95" i="24"/>
  <c r="AZ95" i="24" s="1"/>
  <c r="H95" i="24"/>
  <c r="AC95" i="24"/>
  <c r="AD95" i="24"/>
  <c r="E168" i="24"/>
  <c r="F168" i="24"/>
  <c r="G168" i="24"/>
  <c r="AD168" i="24"/>
  <c r="BB168" i="24"/>
  <c r="H168" i="24"/>
  <c r="AE168" i="24"/>
  <c r="BA168" i="24"/>
  <c r="AY168" i="24"/>
  <c r="AZ168" i="24" s="1"/>
  <c r="AB168" i="24"/>
  <c r="AC168" i="24" s="1"/>
  <c r="BS134" i="24"/>
  <c r="BT134" i="24"/>
  <c r="BR134" i="24"/>
  <c r="Y134" i="24"/>
  <c r="BK134" i="24"/>
  <c r="X134" i="24"/>
  <c r="BM134" i="24"/>
  <c r="AN134" i="24"/>
  <c r="W134" i="24"/>
  <c r="BQ134" i="24"/>
  <c r="AT134" i="24"/>
  <c r="AW134" i="24"/>
  <c r="AV134" i="24"/>
  <c r="S134" i="24"/>
  <c r="Z134" i="24"/>
  <c r="AP134" i="24"/>
  <c r="AU134" i="24"/>
  <c r="H101" i="24"/>
  <c r="AE101" i="24"/>
  <c r="BA101" i="24"/>
  <c r="BB101" i="24"/>
  <c r="AD101" i="24"/>
  <c r="AY101" i="24"/>
  <c r="AZ101" i="24" s="1"/>
  <c r="E101" i="24"/>
  <c r="F101" i="24" s="1"/>
  <c r="AB101" i="24"/>
  <c r="AC101" i="24" s="1"/>
  <c r="G101" i="24"/>
  <c r="X114" i="24"/>
  <c r="Y114" i="24"/>
  <c r="BK114" i="24"/>
  <c r="Z114" i="24"/>
  <c r="AW114" i="24"/>
  <c r="BR114" i="24"/>
  <c r="W114" i="24"/>
  <c r="BT114" i="24"/>
  <c r="BS114" i="24"/>
  <c r="BQ114" i="24"/>
  <c r="AN114" i="24"/>
  <c r="AP114" i="24"/>
  <c r="S114" i="24"/>
  <c r="AT114" i="24"/>
  <c r="Q114" i="24"/>
  <c r="AU114" i="24"/>
  <c r="BM114" i="24"/>
  <c r="E169" i="24"/>
  <c r="F169" i="24"/>
  <c r="G169" i="24"/>
  <c r="AB169" i="24"/>
  <c r="AC169" i="24" s="1"/>
  <c r="BA169" i="24"/>
  <c r="H169" i="24"/>
  <c r="BB169" i="24"/>
  <c r="AY169" i="24"/>
  <c r="AZ169" i="24" s="1"/>
  <c r="AE169" i="24"/>
  <c r="AD169" i="24"/>
  <c r="S160" i="24"/>
  <c r="AW160" i="24"/>
  <c r="BS160" i="24"/>
  <c r="BT160" i="24"/>
  <c r="AN160" i="24"/>
  <c r="AP160" i="24"/>
  <c r="Y160" i="24"/>
  <c r="W160" i="24"/>
  <c r="X160" i="24"/>
  <c r="AV160" i="24"/>
  <c r="AT160" i="24"/>
  <c r="BR160" i="24"/>
  <c r="BK160" i="24"/>
  <c r="Z160" i="24"/>
  <c r="Q160" i="24"/>
  <c r="AU160" i="24"/>
  <c r="BM160" i="24"/>
  <c r="BQ160" i="24"/>
  <c r="BK9" i="24"/>
  <c r="BR20" i="24"/>
  <c r="Z51" i="24"/>
  <c r="Q134" i="24"/>
  <c r="W62" i="24"/>
  <c r="BS62" i="24"/>
  <c r="X62" i="24"/>
  <c r="AN62" i="24"/>
  <c r="BT62" i="24"/>
  <c r="Y62" i="24"/>
  <c r="S62" i="24"/>
  <c r="BR62" i="24"/>
  <c r="Q62" i="24"/>
  <c r="AP62" i="24"/>
  <c r="BK62" i="24"/>
  <c r="AT62" i="24"/>
  <c r="BM62" i="24"/>
  <c r="BQ62" i="24"/>
  <c r="AU62" i="24"/>
  <c r="AV62" i="24"/>
  <c r="AW62" i="24"/>
  <c r="Z62" i="24"/>
  <c r="Q47" i="24"/>
  <c r="Z47" i="24"/>
  <c r="BM47" i="24"/>
  <c r="AP47" i="24"/>
  <c r="BS47" i="24"/>
  <c r="W47" i="24"/>
  <c r="BR47" i="24"/>
  <c r="AT47" i="24"/>
  <c r="S47" i="24"/>
  <c r="AW47" i="24"/>
  <c r="BQ47" i="24"/>
  <c r="AN47" i="24"/>
  <c r="AV47" i="24"/>
  <c r="X47" i="24"/>
  <c r="BT47" i="24"/>
  <c r="AU47" i="24"/>
  <c r="BK47" i="24"/>
  <c r="H26" i="24"/>
  <c r="AE26" i="24"/>
  <c r="BB26" i="24"/>
  <c r="G26" i="24"/>
  <c r="E26" i="24"/>
  <c r="F26" i="24" s="1"/>
  <c r="AY26" i="24"/>
  <c r="AZ26" i="24" s="1"/>
  <c r="AB26" i="24"/>
  <c r="AC26" i="24" s="1"/>
  <c r="BA26" i="24"/>
  <c r="AD26" i="24"/>
  <c r="AD15" i="24"/>
  <c r="AE15" i="24"/>
  <c r="AB15" i="24"/>
  <c r="AC15" i="24" s="1"/>
  <c r="BB15" i="24"/>
  <c r="BA15" i="24"/>
  <c r="E15" i="24"/>
  <c r="F15" i="24" s="1"/>
  <c r="G15" i="24"/>
  <c r="AY15" i="24"/>
  <c r="AZ15" i="24" s="1"/>
  <c r="BC15" i="24" s="1"/>
  <c r="H15" i="24"/>
  <c r="AD21" i="24"/>
  <c r="AE21" i="24"/>
  <c r="E21" i="24"/>
  <c r="F21" i="24"/>
  <c r="AY21" i="24"/>
  <c r="G21" i="24"/>
  <c r="AZ21" i="24"/>
  <c r="AB21" i="24"/>
  <c r="AC21" i="24" s="1"/>
  <c r="AF21" i="24" s="1"/>
  <c r="H21" i="24"/>
  <c r="BA21" i="24"/>
  <c r="BB21" i="24"/>
  <c r="H16" i="24"/>
  <c r="BB16" i="24"/>
  <c r="AY16" i="24"/>
  <c r="AZ16" i="24" s="1"/>
  <c r="AB16" i="24"/>
  <c r="AC16" i="24" s="1"/>
  <c r="BA16" i="24"/>
  <c r="G16" i="24"/>
  <c r="E16" i="24"/>
  <c r="F16" i="24" s="1"/>
  <c r="I16" i="24" s="1"/>
  <c r="AD16" i="24"/>
  <c r="AE16" i="24"/>
  <c r="X22" i="23"/>
  <c r="G64" i="24"/>
  <c r="H64" i="24"/>
  <c r="BB64" i="24"/>
  <c r="AB64" i="24"/>
  <c r="AC64" i="24" s="1"/>
  <c r="AY64" i="24"/>
  <c r="AZ64" i="24" s="1"/>
  <c r="BA64" i="24"/>
  <c r="AD64" i="24"/>
  <c r="E64" i="24"/>
  <c r="F64" i="24" s="1"/>
  <c r="AE64" i="24"/>
  <c r="W59" i="24"/>
  <c r="AP59" i="24"/>
  <c r="BS59" i="24"/>
  <c r="BT59" i="24"/>
  <c r="Q59" i="24"/>
  <c r="AT59" i="24"/>
  <c r="Z59" i="24"/>
  <c r="BR59" i="24"/>
  <c r="S59" i="24"/>
  <c r="AN59" i="24"/>
  <c r="AU59" i="24"/>
  <c r="AV59" i="24"/>
  <c r="BM59" i="24"/>
  <c r="X59" i="24"/>
  <c r="AW59" i="24"/>
  <c r="Y59" i="24"/>
  <c r="BQ59" i="24"/>
  <c r="BK59" i="24"/>
  <c r="E87" i="24"/>
  <c r="F87" i="24" s="1"/>
  <c r="AD87" i="24"/>
  <c r="G87" i="24"/>
  <c r="AE87" i="24"/>
  <c r="H87" i="24"/>
  <c r="AB87" i="24"/>
  <c r="AC87" i="24" s="1"/>
  <c r="BB87" i="24"/>
  <c r="AY87" i="24"/>
  <c r="AZ87" i="24" s="1"/>
  <c r="BA87" i="24"/>
  <c r="F61" i="23"/>
  <c r="AD116" i="24"/>
  <c r="AE116" i="24"/>
  <c r="AY116" i="24"/>
  <c r="AZ116" i="24" s="1"/>
  <c r="E116" i="24"/>
  <c r="BA116" i="24"/>
  <c r="AB116" i="24"/>
  <c r="AC116" i="24" s="1"/>
  <c r="F116" i="24"/>
  <c r="G116" i="24"/>
  <c r="H116" i="24"/>
  <c r="BB116" i="24"/>
  <c r="G81" i="24"/>
  <c r="H81" i="24"/>
  <c r="BA81" i="24"/>
  <c r="BB81" i="24"/>
  <c r="AY81" i="24"/>
  <c r="AZ81" i="24" s="1"/>
  <c r="AB81" i="24"/>
  <c r="AC81" i="24" s="1"/>
  <c r="AD81" i="24"/>
  <c r="AE81" i="24"/>
  <c r="E81" i="24"/>
  <c r="F81" i="24" s="1"/>
  <c r="AD102" i="24"/>
  <c r="AB102" i="24"/>
  <c r="AC102" i="24" s="1"/>
  <c r="AE102" i="24"/>
  <c r="AY102" i="24"/>
  <c r="AZ102" i="24" s="1"/>
  <c r="BA102" i="24"/>
  <c r="BB102" i="24"/>
  <c r="H102" i="24"/>
  <c r="E102" i="24"/>
  <c r="F102" i="24" s="1"/>
  <c r="G102" i="24"/>
  <c r="G153" i="24"/>
  <c r="H153" i="24"/>
  <c r="AB153" i="24"/>
  <c r="AC153" i="24" s="1"/>
  <c r="AF153" i="24" s="1"/>
  <c r="AD153" i="24"/>
  <c r="AY153" i="24"/>
  <c r="AZ153" i="24" s="1"/>
  <c r="E153" i="24"/>
  <c r="F153" i="24" s="1"/>
  <c r="AE153" i="24"/>
  <c r="BA153" i="24"/>
  <c r="BB153" i="24"/>
  <c r="X101" i="24"/>
  <c r="Y101" i="24"/>
  <c r="AP101" i="24"/>
  <c r="W101" i="24"/>
  <c r="BT101" i="24"/>
  <c r="BR101" i="24"/>
  <c r="BS101" i="24"/>
  <c r="Q101" i="24"/>
  <c r="BQ101" i="24"/>
  <c r="BK101" i="24"/>
  <c r="AT101" i="24"/>
  <c r="BM101" i="24"/>
  <c r="Z101" i="24"/>
  <c r="S101" i="24"/>
  <c r="AU101" i="24"/>
  <c r="AV101" i="24"/>
  <c r="AW101" i="24"/>
  <c r="AN101" i="24"/>
  <c r="BF165" i="23"/>
  <c r="L165" i="24"/>
  <c r="BF165" i="24"/>
  <c r="AN20" i="24"/>
  <c r="W40" i="24"/>
  <c r="BQ51" i="24"/>
  <c r="Y47" i="24"/>
  <c r="BM187" i="24"/>
  <c r="Y3" i="24"/>
  <c r="AP3" i="24"/>
  <c r="Z3" i="24"/>
  <c r="BT3" i="24"/>
  <c r="AV3" i="24"/>
  <c r="W3" i="24"/>
  <c r="AW3" i="24"/>
  <c r="AU3" i="24"/>
  <c r="BM3" i="24"/>
  <c r="BK3" i="24"/>
  <c r="BR3" i="24"/>
  <c r="AT3" i="24"/>
  <c r="BS3" i="24"/>
  <c r="Q3" i="24"/>
  <c r="AN3" i="24"/>
  <c r="H31" i="24"/>
  <c r="AE31" i="24"/>
  <c r="AY31" i="24"/>
  <c r="AZ31" i="24" s="1"/>
  <c r="G31" i="24"/>
  <c r="AD31" i="24"/>
  <c r="E31" i="24"/>
  <c r="F31" i="24" s="1"/>
  <c r="BA31" i="24"/>
  <c r="AB31" i="24"/>
  <c r="AC31" i="24" s="1"/>
  <c r="BB31" i="24"/>
  <c r="X43" i="24"/>
  <c r="Y43" i="24"/>
  <c r="AN43" i="24"/>
  <c r="W43" i="24"/>
  <c r="AU43" i="24"/>
  <c r="BQ43" i="24"/>
  <c r="S43" i="24"/>
  <c r="AV43" i="24"/>
  <c r="BS43" i="24"/>
  <c r="AW43" i="24"/>
  <c r="BT43" i="24"/>
  <c r="Q43" i="24"/>
  <c r="BR43" i="24"/>
  <c r="AP43" i="24"/>
  <c r="Z43" i="24"/>
  <c r="AT43" i="24"/>
  <c r="BK43" i="24"/>
  <c r="BM43" i="24"/>
  <c r="E51" i="24"/>
  <c r="F51" i="24" s="1"/>
  <c r="G51" i="24"/>
  <c r="AE51" i="24"/>
  <c r="H51" i="24"/>
  <c r="AD51" i="24"/>
  <c r="BB51" i="24"/>
  <c r="AB51" i="24"/>
  <c r="AC51" i="24" s="1"/>
  <c r="BA51" i="24"/>
  <c r="AY51" i="24"/>
  <c r="AZ51" i="24" s="1"/>
  <c r="AB42" i="24"/>
  <c r="AC42" i="24" s="1"/>
  <c r="E42" i="24"/>
  <c r="F42" i="24" s="1"/>
  <c r="AD42" i="24"/>
  <c r="AY42" i="24"/>
  <c r="AZ42" i="24" s="1"/>
  <c r="G42" i="24"/>
  <c r="AE42" i="24"/>
  <c r="H42" i="24"/>
  <c r="BA42" i="24"/>
  <c r="BB42" i="24"/>
  <c r="Y19" i="24"/>
  <c r="AT19" i="24"/>
  <c r="Z19" i="24"/>
  <c r="AU19" i="24"/>
  <c r="AV19" i="24"/>
  <c r="BK19" i="24"/>
  <c r="X19" i="24"/>
  <c r="W19" i="24"/>
  <c r="BM19" i="24"/>
  <c r="Q19" i="24"/>
  <c r="BR19" i="24"/>
  <c r="BS19" i="24"/>
  <c r="BQ19" i="24"/>
  <c r="AN19" i="24"/>
  <c r="AP19" i="24"/>
  <c r="AW19" i="24"/>
  <c r="E6" i="24"/>
  <c r="F6" i="24" s="1"/>
  <c r="AE6" i="24"/>
  <c r="G6" i="24"/>
  <c r="H6" i="24"/>
  <c r="AD6" i="24"/>
  <c r="BB6" i="24"/>
  <c r="AB6" i="24"/>
  <c r="AC6" i="24" s="1"/>
  <c r="BA6" i="24"/>
  <c r="AY6" i="24"/>
  <c r="AZ6" i="24" s="1"/>
  <c r="W34" i="24"/>
  <c r="AW34" i="24"/>
  <c r="BR34" i="24"/>
  <c r="BS34" i="24"/>
  <c r="AV34" i="24"/>
  <c r="Q34" i="24"/>
  <c r="AN34" i="24"/>
  <c r="BQ34" i="24"/>
  <c r="X34" i="24"/>
  <c r="AT34" i="24"/>
  <c r="BT34" i="24"/>
  <c r="Y34" i="24"/>
  <c r="AU34" i="24"/>
  <c r="BM34" i="24"/>
  <c r="Z34" i="24"/>
  <c r="AP34" i="24"/>
  <c r="BK34" i="24"/>
  <c r="S34" i="24"/>
  <c r="W22" i="23"/>
  <c r="O76" i="23"/>
  <c r="AB23" i="24"/>
  <c r="AC23" i="24" s="1"/>
  <c r="BA23" i="24"/>
  <c r="AD23" i="24"/>
  <c r="BB23" i="24"/>
  <c r="E23" i="24"/>
  <c r="F23" i="24" s="1"/>
  <c r="AE23" i="24"/>
  <c r="G23" i="24"/>
  <c r="H23" i="24"/>
  <c r="AY23" i="24"/>
  <c r="AZ23" i="24" s="1"/>
  <c r="E52" i="24"/>
  <c r="AY52" i="24"/>
  <c r="AZ52" i="24" s="1"/>
  <c r="BC52" i="24" s="1"/>
  <c r="F52" i="24"/>
  <c r="G52" i="24"/>
  <c r="AD52" i="24"/>
  <c r="H52" i="24"/>
  <c r="AE52" i="24"/>
  <c r="BA52" i="24"/>
  <c r="BB52" i="24"/>
  <c r="AB52" i="24"/>
  <c r="AC52" i="24" s="1"/>
  <c r="O54" i="23"/>
  <c r="AV78" i="24"/>
  <c r="AU78" i="24"/>
  <c r="AT78" i="24"/>
  <c r="S78" i="24"/>
  <c r="BT78" i="24"/>
  <c r="BK78" i="24"/>
  <c r="AW78" i="24"/>
  <c r="Y78" i="24"/>
  <c r="BR78" i="24"/>
  <c r="BS78" i="24"/>
  <c r="X78" i="24"/>
  <c r="Z78" i="24"/>
  <c r="BQ78" i="24"/>
  <c r="BM78" i="24"/>
  <c r="W78" i="24"/>
  <c r="AP78" i="24"/>
  <c r="Q78" i="24"/>
  <c r="AV110" i="24"/>
  <c r="AU110" i="24"/>
  <c r="S110" i="24"/>
  <c r="BT110" i="24"/>
  <c r="W110" i="24"/>
  <c r="BQ110" i="24"/>
  <c r="X110" i="24"/>
  <c r="BR110" i="24"/>
  <c r="Y110" i="24"/>
  <c r="AT110" i="24"/>
  <c r="Q110" i="24"/>
  <c r="BS110" i="24"/>
  <c r="AW110" i="24"/>
  <c r="AN110" i="24"/>
  <c r="AP110" i="24"/>
  <c r="BM110" i="24"/>
  <c r="BK110" i="24"/>
  <c r="Z110" i="24"/>
  <c r="W142" i="24"/>
  <c r="X142" i="24"/>
  <c r="AN142" i="24"/>
  <c r="BS142" i="24"/>
  <c r="Y142" i="24"/>
  <c r="BT142" i="24"/>
  <c r="Z142" i="24"/>
  <c r="AP142" i="24"/>
  <c r="S142" i="24"/>
  <c r="BR142" i="24"/>
  <c r="Q142" i="24"/>
  <c r="AU142" i="24"/>
  <c r="AV142" i="24"/>
  <c r="AW142" i="24"/>
  <c r="BQ142" i="24"/>
  <c r="AT142" i="24"/>
  <c r="BM142" i="24"/>
  <c r="BK142" i="24"/>
  <c r="BT121" i="24"/>
  <c r="BR121" i="24"/>
  <c r="BS121" i="24"/>
  <c r="BM121" i="24"/>
  <c r="W121" i="24"/>
  <c r="Z121" i="24"/>
  <c r="AW121" i="24"/>
  <c r="Y121" i="24"/>
  <c r="AU121" i="24"/>
  <c r="AN121" i="24"/>
  <c r="AP121" i="24"/>
  <c r="AT121" i="24"/>
  <c r="Q121" i="24"/>
  <c r="AV121" i="24"/>
  <c r="BK121" i="24"/>
  <c r="BQ121" i="24"/>
  <c r="AB137" i="24"/>
  <c r="AC137" i="24" s="1"/>
  <c r="H137" i="24"/>
  <c r="G137" i="24"/>
  <c r="AD137" i="24"/>
  <c r="BB137" i="24"/>
  <c r="AE137" i="24"/>
  <c r="E137" i="24"/>
  <c r="F137" i="24" s="1"/>
  <c r="AY137" i="24"/>
  <c r="AZ137" i="24" s="1"/>
  <c r="BA137" i="24"/>
  <c r="BR168" i="24"/>
  <c r="Q168" i="24"/>
  <c r="W168" i="24"/>
  <c r="BQ168" i="24"/>
  <c r="AV168" i="24"/>
  <c r="X168" i="24"/>
  <c r="S168" i="24"/>
  <c r="Z168" i="24"/>
  <c r="AN168" i="24"/>
  <c r="AW168" i="24"/>
  <c r="BS168" i="24"/>
  <c r="AU168" i="24"/>
  <c r="Y168" i="24"/>
  <c r="AP168" i="24"/>
  <c r="BT168" i="24"/>
  <c r="BM168" i="24"/>
  <c r="BK168" i="24"/>
  <c r="AT168" i="24"/>
  <c r="F192" i="23"/>
  <c r="H166" i="24"/>
  <c r="AD166" i="24"/>
  <c r="BA166" i="24"/>
  <c r="AE166" i="24"/>
  <c r="BB166" i="24"/>
  <c r="E166" i="24"/>
  <c r="F166" i="24" s="1"/>
  <c r="G166" i="24"/>
  <c r="AY166" i="24"/>
  <c r="AZ166" i="24" s="1"/>
  <c r="AB166" i="24"/>
  <c r="AC166" i="24" s="1"/>
  <c r="AP9" i="24"/>
  <c r="BM45" i="24"/>
  <c r="BR29" i="24"/>
  <c r="Z71" i="24"/>
  <c r="Q148" i="24"/>
  <c r="H19" i="24"/>
  <c r="AB19" i="24"/>
  <c r="AC19" i="24" s="1"/>
  <c r="G19" i="24"/>
  <c r="AD19" i="24"/>
  <c r="E19" i="24"/>
  <c r="F19" i="24" s="1"/>
  <c r="AE19" i="24"/>
  <c r="BB19" i="24"/>
  <c r="AY19" i="24"/>
  <c r="AZ19" i="24" s="1"/>
  <c r="BA19" i="24"/>
  <c r="X33" i="24"/>
  <c r="BK33" i="24"/>
  <c r="BQ33" i="24"/>
  <c r="W33" i="24"/>
  <c r="AT33" i="24"/>
  <c r="AW33" i="24"/>
  <c r="BM33" i="24"/>
  <c r="AP33" i="24"/>
  <c r="S33" i="24"/>
  <c r="Z33" i="24"/>
  <c r="AN33" i="24"/>
  <c r="BR33" i="24"/>
  <c r="BS33" i="24"/>
  <c r="BT33" i="24"/>
  <c r="Y33" i="24"/>
  <c r="AV33" i="24"/>
  <c r="F13" i="23"/>
  <c r="AY34" i="24"/>
  <c r="AZ34" i="24" s="1"/>
  <c r="AE34" i="24"/>
  <c r="E34" i="24"/>
  <c r="F34" i="24" s="1"/>
  <c r="BA34" i="24"/>
  <c r="BB34" i="24"/>
  <c r="H34" i="24"/>
  <c r="AB34" i="24"/>
  <c r="AC34" i="24" s="1"/>
  <c r="AD34" i="24"/>
  <c r="G34" i="24"/>
  <c r="AT21" i="24"/>
  <c r="AU21" i="24"/>
  <c r="AV21" i="24"/>
  <c r="AP21" i="24"/>
  <c r="Q21" i="24"/>
  <c r="X21" i="24"/>
  <c r="AW21" i="24"/>
  <c r="BQ21" i="24"/>
  <c r="Y21" i="24"/>
  <c r="BR21" i="24"/>
  <c r="Z21" i="24"/>
  <c r="BS21" i="24"/>
  <c r="W21" i="24"/>
  <c r="AN21" i="24"/>
  <c r="BK21" i="24"/>
  <c r="BT21" i="24"/>
  <c r="BM21" i="24"/>
  <c r="Q22" i="24"/>
  <c r="BQ22" i="24"/>
  <c r="BT22" i="24"/>
  <c r="AW22" i="24"/>
  <c r="BM22" i="24"/>
  <c r="Y22" i="24"/>
  <c r="AU22" i="24"/>
  <c r="Z22" i="24"/>
  <c r="AV22" i="24"/>
  <c r="X22" i="24"/>
  <c r="AT22" i="24"/>
  <c r="S22" i="24"/>
  <c r="AP22" i="24"/>
  <c r="BS22" i="24"/>
  <c r="W22" i="24"/>
  <c r="BK22" i="24"/>
  <c r="AN22" i="24"/>
  <c r="BR22" i="24"/>
  <c r="Y67" i="24"/>
  <c r="AN67" i="24"/>
  <c r="Z67" i="24"/>
  <c r="AT67" i="24"/>
  <c r="BT67" i="24"/>
  <c r="AU67" i="24"/>
  <c r="AV67" i="24"/>
  <c r="BS67" i="24"/>
  <c r="Q67" i="24"/>
  <c r="BK67" i="24"/>
  <c r="AW67" i="24"/>
  <c r="BM67" i="24"/>
  <c r="S67" i="24"/>
  <c r="BR67" i="24"/>
  <c r="BQ67" i="24"/>
  <c r="W67" i="24"/>
  <c r="X67" i="24"/>
  <c r="AP67" i="24"/>
  <c r="AB68" i="24"/>
  <c r="AC68" i="24" s="1"/>
  <c r="AD68" i="24"/>
  <c r="E68" i="24"/>
  <c r="F68" i="24" s="1"/>
  <c r="G68" i="24"/>
  <c r="BB68" i="24"/>
  <c r="H68" i="24"/>
  <c r="AY68" i="24"/>
  <c r="AZ68" i="24" s="1"/>
  <c r="BA68" i="24"/>
  <c r="AE68" i="24"/>
  <c r="O56" i="23"/>
  <c r="Z77" i="24"/>
  <c r="BM77" i="24"/>
  <c r="Q77" i="24"/>
  <c r="BQ77" i="24"/>
  <c r="W77" i="24"/>
  <c r="AN77" i="24"/>
  <c r="Y77" i="24"/>
  <c r="AW77" i="24"/>
  <c r="AV77" i="24"/>
  <c r="AU77" i="24"/>
  <c r="BK77" i="24"/>
  <c r="AT77" i="24"/>
  <c r="BS77" i="24"/>
  <c r="BT77" i="24"/>
  <c r="S77" i="24"/>
  <c r="BR77" i="24"/>
  <c r="X77" i="24"/>
  <c r="O66" i="23"/>
  <c r="H80" i="24"/>
  <c r="AY80" i="24"/>
  <c r="AZ80" i="24"/>
  <c r="AB80" i="24"/>
  <c r="AC80" i="24" s="1"/>
  <c r="BA80" i="24"/>
  <c r="BB80" i="24"/>
  <c r="G80" i="24"/>
  <c r="E80" i="24"/>
  <c r="F80" i="24" s="1"/>
  <c r="AD80" i="24"/>
  <c r="AE80" i="24"/>
  <c r="Y128" i="24"/>
  <c r="S128" i="24"/>
  <c r="BK128" i="24"/>
  <c r="BQ128" i="24"/>
  <c r="W128" i="24"/>
  <c r="X128" i="24"/>
  <c r="AN128" i="24"/>
  <c r="Q128" i="24"/>
  <c r="BT128" i="24"/>
  <c r="AV128" i="24"/>
  <c r="AW128" i="24"/>
  <c r="AU128" i="24"/>
  <c r="BR128" i="24"/>
  <c r="BS128" i="24"/>
  <c r="AP128" i="24"/>
  <c r="BM128" i="24"/>
  <c r="AT128" i="24"/>
  <c r="Z128" i="24"/>
  <c r="E29" i="24"/>
  <c r="F29" i="24" s="1"/>
  <c r="H29" i="24"/>
  <c r="G29" i="24"/>
  <c r="AE29" i="24"/>
  <c r="AB29" i="24"/>
  <c r="AC29" i="24" s="1"/>
  <c r="AF29" i="24" s="1"/>
  <c r="AD29" i="24"/>
  <c r="BB29" i="24"/>
  <c r="AY29" i="24"/>
  <c r="AZ29" i="24" s="1"/>
  <c r="BA29" i="24"/>
  <c r="Q112" i="24"/>
  <c r="AV112" i="24"/>
  <c r="AW112" i="24"/>
  <c r="BK112" i="24"/>
  <c r="S112" i="24"/>
  <c r="BQ112" i="24"/>
  <c r="AU112" i="24"/>
  <c r="W112" i="24"/>
  <c r="AN112" i="24"/>
  <c r="X112" i="24"/>
  <c r="BR112" i="24"/>
  <c r="BS112" i="24"/>
  <c r="AT112" i="24"/>
  <c r="BT112" i="24"/>
  <c r="Y112" i="24"/>
  <c r="Z112" i="24"/>
  <c r="BM112" i="24"/>
  <c r="AP112" i="24"/>
  <c r="S89" i="23"/>
  <c r="S90" i="23"/>
  <c r="W81" i="24"/>
  <c r="BQ81" i="24"/>
  <c r="X81" i="24"/>
  <c r="BR81" i="24"/>
  <c r="Y81" i="24"/>
  <c r="AN81" i="24"/>
  <c r="BS81" i="24"/>
  <c r="BM81" i="24"/>
  <c r="S81" i="24"/>
  <c r="Z81" i="24"/>
  <c r="AP81" i="24"/>
  <c r="BK81" i="24"/>
  <c r="AT81" i="24"/>
  <c r="BT81" i="24"/>
  <c r="AU81" i="24"/>
  <c r="AV81" i="24"/>
  <c r="Q81" i="24"/>
  <c r="AW81" i="24"/>
  <c r="G178" i="24"/>
  <c r="AB178" i="24"/>
  <c r="AC178" i="24" s="1"/>
  <c r="AY178" i="24"/>
  <c r="AZ178" i="24" s="1"/>
  <c r="H178" i="24"/>
  <c r="AD178" i="24"/>
  <c r="BA178" i="24"/>
  <c r="AE178" i="24"/>
  <c r="BB178" i="24"/>
  <c r="E178" i="24"/>
  <c r="F178" i="24" s="1"/>
  <c r="AE170" i="24"/>
  <c r="BA170" i="24"/>
  <c r="BB170" i="24"/>
  <c r="AD170" i="24"/>
  <c r="AY170" i="24"/>
  <c r="AZ170" i="24" s="1"/>
  <c r="AB170" i="24"/>
  <c r="AC170" i="24" s="1"/>
  <c r="E170" i="24"/>
  <c r="F170" i="24" s="1"/>
  <c r="G170" i="24"/>
  <c r="H170" i="24"/>
  <c r="BS192" i="24"/>
  <c r="Z192" i="24"/>
  <c r="Y192" i="24"/>
  <c r="BT192" i="24"/>
  <c r="X192" i="24"/>
  <c r="AV192" i="24"/>
  <c r="BK192" i="24"/>
  <c r="BR192" i="24"/>
  <c r="AU192" i="24"/>
  <c r="BQ192" i="24"/>
  <c r="AW192" i="24"/>
  <c r="S192" i="24"/>
  <c r="AN192" i="24"/>
  <c r="AT192" i="24"/>
  <c r="Q192" i="24"/>
  <c r="BM192" i="24"/>
  <c r="W192" i="24"/>
  <c r="W158" i="23"/>
  <c r="X3" i="24"/>
  <c r="BS9" i="24"/>
  <c r="Q33" i="24"/>
  <c r="BT75" i="24"/>
  <c r="AN78" i="24"/>
  <c r="AP77" i="24"/>
  <c r="Y8" i="24"/>
  <c r="AN8" i="24"/>
  <c r="Z8" i="24"/>
  <c r="AP8" i="24"/>
  <c r="X8" i="24"/>
  <c r="W8" i="24"/>
  <c r="AV8" i="24"/>
  <c r="BR8" i="24"/>
  <c r="AW8" i="24"/>
  <c r="BS8" i="24"/>
  <c r="BT8" i="24"/>
  <c r="S8" i="24"/>
  <c r="AU8" i="24"/>
  <c r="BQ8" i="24"/>
  <c r="BK8" i="24"/>
  <c r="Q8" i="24"/>
  <c r="AT8" i="24"/>
  <c r="BM8" i="24"/>
  <c r="AT6" i="24"/>
  <c r="S6" i="24"/>
  <c r="AU6" i="24"/>
  <c r="BQ6" i="24"/>
  <c r="BK6" i="24"/>
  <c r="W6" i="24"/>
  <c r="BT6" i="24"/>
  <c r="AV6" i="24"/>
  <c r="AP6" i="24"/>
  <c r="AW6" i="24"/>
  <c r="AN6" i="24"/>
  <c r="BR6" i="24"/>
  <c r="BS6" i="24"/>
  <c r="X6" i="24"/>
  <c r="Y6" i="24"/>
  <c r="Z6" i="24"/>
  <c r="BM6" i="24"/>
  <c r="Q37" i="24"/>
  <c r="BT37" i="24"/>
  <c r="W37" i="24"/>
  <c r="X37" i="24"/>
  <c r="Y37" i="24"/>
  <c r="AN37" i="24"/>
  <c r="BQ37" i="24"/>
  <c r="AV37" i="24"/>
  <c r="BM37" i="24"/>
  <c r="AW37" i="24"/>
  <c r="BR37" i="24"/>
  <c r="BS37" i="24"/>
  <c r="Z37" i="24"/>
  <c r="AU37" i="24"/>
  <c r="BK37" i="24"/>
  <c r="AT37" i="24"/>
  <c r="S37" i="24"/>
  <c r="Q76" i="24"/>
  <c r="Z76" i="24"/>
  <c r="AV76" i="24"/>
  <c r="BM76" i="24"/>
  <c r="BT76" i="24"/>
  <c r="AP76" i="24"/>
  <c r="BK76" i="24"/>
  <c r="AW76" i="24"/>
  <c r="AN76" i="24"/>
  <c r="S76" i="24"/>
  <c r="BS76" i="24"/>
  <c r="Y76" i="24"/>
  <c r="AT76" i="24"/>
  <c r="BR76" i="24"/>
  <c r="AU76" i="24"/>
  <c r="BQ76" i="24"/>
  <c r="X76" i="24"/>
  <c r="AB36" i="24"/>
  <c r="AC36" i="24" s="1"/>
  <c r="BA36" i="24"/>
  <c r="AD36" i="24"/>
  <c r="BB36" i="24"/>
  <c r="H36" i="24"/>
  <c r="AY36" i="24"/>
  <c r="AZ36" i="24" s="1"/>
  <c r="G36" i="24"/>
  <c r="E36" i="24"/>
  <c r="F36" i="24" s="1"/>
  <c r="AE36" i="24"/>
  <c r="X69" i="24"/>
  <c r="BM69" i="24"/>
  <c r="AU69" i="24"/>
  <c r="AT69" i="24"/>
  <c r="Y69" i="24"/>
  <c r="Z69" i="24"/>
  <c r="AP69" i="24"/>
  <c r="AN69" i="24"/>
  <c r="BT69" i="24"/>
  <c r="Q69" i="24"/>
  <c r="AV69" i="24"/>
  <c r="BK69" i="24"/>
  <c r="AW69" i="24"/>
  <c r="BQ69" i="24"/>
  <c r="BR69" i="24"/>
  <c r="BS69" i="24"/>
  <c r="S69" i="24"/>
  <c r="W69" i="24"/>
  <c r="AD65" i="24"/>
  <c r="AY65" i="24"/>
  <c r="AZ65" i="24" s="1"/>
  <c r="AE65" i="24"/>
  <c r="BA65" i="24"/>
  <c r="BB65" i="24"/>
  <c r="E65" i="24"/>
  <c r="F65" i="24" s="1"/>
  <c r="AB65" i="24"/>
  <c r="H65" i="24"/>
  <c r="G65" i="24"/>
  <c r="AC65" i="24"/>
  <c r="AB71" i="24"/>
  <c r="AC71" i="24" s="1"/>
  <c r="AY71" i="24"/>
  <c r="AZ71" i="24" s="1"/>
  <c r="AD71" i="24"/>
  <c r="E71" i="24"/>
  <c r="F71" i="24" s="1"/>
  <c r="AE71" i="24"/>
  <c r="BA71" i="24"/>
  <c r="BB71" i="24"/>
  <c r="G71" i="24"/>
  <c r="H71" i="24"/>
  <c r="AP56" i="24"/>
  <c r="Q56" i="24"/>
  <c r="AV56" i="24"/>
  <c r="AW56" i="24"/>
  <c r="BK56" i="24"/>
  <c r="S56" i="24"/>
  <c r="AU56" i="24"/>
  <c r="BS56" i="24"/>
  <c r="X56" i="24"/>
  <c r="AT56" i="24"/>
  <c r="Y56" i="24"/>
  <c r="Z56" i="24"/>
  <c r="BQ56" i="24"/>
  <c r="W56" i="24"/>
  <c r="BM56" i="24"/>
  <c r="AN56" i="24"/>
  <c r="BR56" i="24"/>
  <c r="BT56" i="24"/>
  <c r="H94" i="24"/>
  <c r="BB94" i="24"/>
  <c r="AB94" i="24"/>
  <c r="AC94" i="24" s="1"/>
  <c r="BA94" i="24"/>
  <c r="E94" i="24"/>
  <c r="F94" i="24" s="1"/>
  <c r="AD94" i="24"/>
  <c r="AY94" i="24"/>
  <c r="AZ94" i="24" s="1"/>
  <c r="G94" i="24"/>
  <c r="AE94" i="24"/>
  <c r="E99" i="24"/>
  <c r="F99" i="24" s="1"/>
  <c r="AD99" i="24"/>
  <c r="BB99" i="24"/>
  <c r="G99" i="24"/>
  <c r="AE99" i="24"/>
  <c r="H99" i="24"/>
  <c r="AB99" i="24"/>
  <c r="AC99" i="24" s="1"/>
  <c r="BA99" i="24"/>
  <c r="AY99" i="24"/>
  <c r="AZ99" i="24" s="1"/>
  <c r="Y157" i="24"/>
  <c r="Q157" i="24"/>
  <c r="BS157" i="24"/>
  <c r="W157" i="24"/>
  <c r="BT157" i="24"/>
  <c r="AW157" i="24"/>
  <c r="BK157" i="24"/>
  <c r="BQ157" i="24"/>
  <c r="BR157" i="24"/>
  <c r="AN157" i="24"/>
  <c r="AT157" i="24"/>
  <c r="X157" i="24"/>
  <c r="AU157" i="24"/>
  <c r="Z157" i="24"/>
  <c r="AV157" i="24"/>
  <c r="AP157" i="24"/>
  <c r="S157" i="24"/>
  <c r="BM157" i="24"/>
  <c r="Y171" i="24"/>
  <c r="Z171" i="24"/>
  <c r="BM171" i="24"/>
  <c r="AW171" i="24"/>
  <c r="AN171" i="24"/>
  <c r="S171" i="24"/>
  <c r="AT171" i="24"/>
  <c r="AU171" i="24"/>
  <c r="W171" i="24"/>
  <c r="X171" i="24"/>
  <c r="BT171" i="24"/>
  <c r="BQ171" i="24"/>
  <c r="BR171" i="24"/>
  <c r="BS171" i="24"/>
  <c r="BK171" i="24"/>
  <c r="AP171" i="24"/>
  <c r="AV171" i="24"/>
  <c r="Q171" i="24"/>
  <c r="AP14" i="24"/>
  <c r="AD96" i="24"/>
  <c r="AE96" i="24"/>
  <c r="AY96" i="24"/>
  <c r="AZ96" i="24" s="1"/>
  <c r="AB96" i="24"/>
  <c r="AC96" i="24" s="1"/>
  <c r="E96" i="24"/>
  <c r="F96" i="24" s="1"/>
  <c r="BA96" i="24"/>
  <c r="G96" i="24"/>
  <c r="H96" i="24"/>
  <c r="BB96" i="24"/>
  <c r="BS28" i="24"/>
  <c r="BK28" i="24"/>
  <c r="AW28" i="24"/>
  <c r="Q28" i="24"/>
  <c r="BM28" i="24"/>
  <c r="S28" i="24"/>
  <c r="BQ28" i="24"/>
  <c r="AV28" i="24"/>
  <c r="X28" i="24"/>
  <c r="AP28" i="24"/>
  <c r="BR28" i="24"/>
  <c r="Y28" i="24"/>
  <c r="AT28" i="24"/>
  <c r="BT28" i="24"/>
  <c r="Z28" i="24"/>
  <c r="AU28" i="24"/>
  <c r="W28" i="24"/>
  <c r="AN28" i="24"/>
  <c r="Y113" i="24"/>
  <c r="Q113" i="24"/>
  <c r="BM113" i="24"/>
  <c r="S113" i="24"/>
  <c r="AW113" i="24"/>
  <c r="AU113" i="24"/>
  <c r="AP113" i="24"/>
  <c r="W113" i="24"/>
  <c r="X113" i="24"/>
  <c r="AT113" i="24"/>
  <c r="BT113" i="24"/>
  <c r="BK113" i="24"/>
  <c r="BQ113" i="24"/>
  <c r="Z113" i="24"/>
  <c r="AE133" i="24"/>
  <c r="BA133" i="24"/>
  <c r="AY133" i="24"/>
  <c r="AZ133" i="24" s="1"/>
  <c r="E133" i="24"/>
  <c r="F133" i="24" s="1"/>
  <c r="AB133" i="24"/>
  <c r="AC133" i="24" s="1"/>
  <c r="BB133" i="24"/>
  <c r="AD133" i="24"/>
  <c r="G133" i="24"/>
  <c r="H133" i="24"/>
  <c r="AV116" i="24"/>
  <c r="BK116" i="24"/>
  <c r="AW116" i="24"/>
  <c r="BQ116" i="24"/>
  <c r="AU116" i="24"/>
  <c r="BR116" i="24"/>
  <c r="Q116" i="24"/>
  <c r="AN116" i="24"/>
  <c r="Y116" i="24"/>
  <c r="Z116" i="24"/>
  <c r="S116" i="24"/>
  <c r="AT116" i="24"/>
  <c r="BS116" i="24"/>
  <c r="E67" i="24"/>
  <c r="F67" i="24" s="1"/>
  <c r="AB67" i="24"/>
  <c r="AC67" i="24" s="1"/>
  <c r="AE67" i="24"/>
  <c r="BA67" i="24"/>
  <c r="BB67" i="24"/>
  <c r="G67" i="24"/>
  <c r="AD67" i="24"/>
  <c r="AY67" i="24"/>
  <c r="AZ67" i="24" s="1"/>
  <c r="BC67" i="24" s="1"/>
  <c r="H67" i="24"/>
  <c r="AT155" i="24"/>
  <c r="S155" i="24"/>
  <c r="AV155" i="24"/>
  <c r="W155" i="24"/>
  <c r="AN155" i="24"/>
  <c r="X155" i="24"/>
  <c r="BT155" i="24"/>
  <c r="BQ155" i="24"/>
  <c r="Z155" i="24"/>
  <c r="AP155" i="24"/>
  <c r="BK155" i="24"/>
  <c r="BR155" i="24"/>
  <c r="Q155" i="24"/>
  <c r="BT189" i="24"/>
  <c r="W189" i="24"/>
  <c r="X189" i="24"/>
  <c r="AP189" i="24"/>
  <c r="Y189" i="24"/>
  <c r="AT189" i="24"/>
  <c r="BK189" i="24"/>
  <c r="Q189" i="24"/>
  <c r="BR189" i="24"/>
  <c r="AU189" i="24"/>
  <c r="Z189" i="24"/>
  <c r="S189" i="24"/>
  <c r="BQ189" i="24"/>
  <c r="AV189" i="24"/>
  <c r="AW189" i="24"/>
  <c r="BT95" i="24"/>
  <c r="Q95" i="24"/>
  <c r="S95" i="24"/>
  <c r="BS95" i="24"/>
  <c r="Z95" i="24"/>
  <c r="AW95" i="24"/>
  <c r="Y95" i="24"/>
  <c r="AU95" i="24"/>
  <c r="AT95" i="24"/>
  <c r="BR95" i="24"/>
  <c r="BQ95" i="24"/>
  <c r="X95" i="24"/>
  <c r="AP95" i="24"/>
  <c r="BM95" i="24"/>
  <c r="BK95" i="24"/>
  <c r="X114" i="23"/>
  <c r="O146" i="23"/>
  <c r="F146" i="23"/>
  <c r="AB171" i="24"/>
  <c r="AC171" i="24" s="1"/>
  <c r="AY171" i="24"/>
  <c r="AZ171" i="24" s="1"/>
  <c r="E171" i="24"/>
  <c r="F171" i="24" s="1"/>
  <c r="AD171" i="24"/>
  <c r="BA171" i="24"/>
  <c r="AE171" i="24"/>
  <c r="G171" i="24"/>
  <c r="H171" i="24"/>
  <c r="BB171" i="24"/>
  <c r="AN113" i="24"/>
  <c r="BM66" i="24"/>
  <c r="AP116" i="24"/>
  <c r="AS182" i="23"/>
  <c r="D182" i="24"/>
  <c r="BA182" i="23"/>
  <c r="A204" i="21"/>
  <c r="K204" i="21"/>
  <c r="AX204" i="21" s="1"/>
  <c r="U204" i="21"/>
  <c r="AE204" i="21"/>
  <c r="E204" i="21"/>
  <c r="P204" i="21"/>
  <c r="AA204" i="21"/>
  <c r="F204" i="21"/>
  <c r="Q204" i="21"/>
  <c r="AB204" i="21"/>
  <c r="G204" i="21"/>
  <c r="R204" i="21"/>
  <c r="AC204" i="21"/>
  <c r="BB182" i="23"/>
  <c r="BC182" i="23"/>
  <c r="N204" i="21"/>
  <c r="AF204" i="21"/>
  <c r="AN204" i="21" s="1"/>
  <c r="C204" i="21"/>
  <c r="BE182" i="23"/>
  <c r="O204" i="21"/>
  <c r="AG204" i="21"/>
  <c r="AQ204" i="21" s="1"/>
  <c r="AI204" i="21"/>
  <c r="AW204" i="21" s="1"/>
  <c r="B204" i="21"/>
  <c r="S204" i="21"/>
  <c r="AH204" i="21"/>
  <c r="T204" i="21"/>
  <c r="M204" i="21"/>
  <c r="AD204" i="21"/>
  <c r="Y204" i="21"/>
  <c r="AK204" i="21"/>
  <c r="Z204" i="21"/>
  <c r="H204" i="21"/>
  <c r="D204" i="21"/>
  <c r="AJ204" i="21"/>
  <c r="I204" i="21"/>
  <c r="J204" i="21"/>
  <c r="L204" i="21"/>
  <c r="V204" i="21"/>
  <c r="W204" i="21"/>
  <c r="X204" i="21"/>
  <c r="BE142" i="24"/>
  <c r="AP179" i="24"/>
  <c r="BL77" i="24"/>
  <c r="R77" i="24"/>
  <c r="R35" i="24"/>
  <c r="AO35" i="24"/>
  <c r="AF74" i="23"/>
  <c r="AH74" i="23" s="1"/>
  <c r="S74" i="23"/>
  <c r="O74" i="23"/>
  <c r="W74" i="23"/>
  <c r="X74" i="23"/>
  <c r="F74" i="23"/>
  <c r="X100" i="23"/>
  <c r="AF100" i="23"/>
  <c r="AH100" i="23" s="1"/>
  <c r="W100" i="23"/>
  <c r="S100" i="23"/>
  <c r="F100" i="23"/>
  <c r="D55" i="24"/>
  <c r="BA55" i="23"/>
  <c r="H77" i="21"/>
  <c r="R77" i="21"/>
  <c r="AB77" i="21"/>
  <c r="BG55" i="23"/>
  <c r="F77" i="21"/>
  <c r="Q77" i="21"/>
  <c r="AC77" i="21"/>
  <c r="G77" i="21"/>
  <c r="S77" i="21"/>
  <c r="AD77" i="21"/>
  <c r="I77" i="21"/>
  <c r="T77" i="21"/>
  <c r="AE77" i="21"/>
  <c r="E77" i="21"/>
  <c r="P77" i="21"/>
  <c r="AA77" i="21"/>
  <c r="C77" i="21"/>
  <c r="W77" i="21"/>
  <c r="D77" i="21"/>
  <c r="X77" i="21"/>
  <c r="J77" i="21"/>
  <c r="Y77" i="21"/>
  <c r="B77" i="21"/>
  <c r="V77" i="21"/>
  <c r="AK77" i="21"/>
  <c r="AF77" i="21"/>
  <c r="AN77" i="21" s="1"/>
  <c r="K77" i="21"/>
  <c r="AX77" i="21" s="1"/>
  <c r="AI77" i="21"/>
  <c r="AW77" i="21" s="1"/>
  <c r="AG77" i="21"/>
  <c r="AQ77" i="21" s="1"/>
  <c r="A77" i="21"/>
  <c r="AH77" i="21"/>
  <c r="L77" i="21"/>
  <c r="AJ77" i="21"/>
  <c r="M77" i="21"/>
  <c r="N77" i="21"/>
  <c r="O77" i="21"/>
  <c r="U77" i="21"/>
  <c r="Z77" i="21"/>
  <c r="R67" i="24"/>
  <c r="AO67" i="24"/>
  <c r="BL67" i="24"/>
  <c r="AV140" i="24"/>
  <c r="BK140" i="24"/>
  <c r="BS140" i="24"/>
  <c r="BT140" i="24"/>
  <c r="AU140" i="24"/>
  <c r="Y140" i="24"/>
  <c r="AT140" i="24"/>
  <c r="AW140" i="24"/>
  <c r="AN140" i="24"/>
  <c r="Q140" i="24"/>
  <c r="Z140" i="24"/>
  <c r="BR140" i="24"/>
  <c r="W140" i="24"/>
  <c r="AP140" i="24"/>
  <c r="S38" i="24"/>
  <c r="Q66" i="24"/>
  <c r="AV120" i="24"/>
  <c r="BS189" i="24"/>
  <c r="AN189" i="24"/>
  <c r="AU38" i="24"/>
  <c r="W38" i="24"/>
  <c r="S66" i="24"/>
  <c r="BR120" i="24"/>
  <c r="X140" i="24"/>
  <c r="AY145" i="24"/>
  <c r="AZ145" i="24" s="1"/>
  <c r="E145" i="24"/>
  <c r="BA145" i="24"/>
  <c r="F145" i="24"/>
  <c r="BB145" i="24"/>
  <c r="AE145" i="24"/>
  <c r="H145" i="24"/>
  <c r="AD145" i="24"/>
  <c r="G145" i="24"/>
  <c r="AB145" i="24"/>
  <c r="AC145" i="24"/>
  <c r="X169" i="24"/>
  <c r="BT169" i="24"/>
  <c r="Y169" i="24"/>
  <c r="AN169" i="24"/>
  <c r="W169" i="24"/>
  <c r="BS169" i="24"/>
  <c r="BR169" i="24"/>
  <c r="BK169" i="24"/>
  <c r="BM169" i="24"/>
  <c r="AP169" i="24"/>
  <c r="Q169" i="24"/>
  <c r="AT169" i="24"/>
  <c r="S169" i="24"/>
  <c r="Z169" i="24"/>
  <c r="AW169" i="24"/>
  <c r="AU169" i="24"/>
  <c r="AB176" i="24"/>
  <c r="AC176" i="24" s="1"/>
  <c r="H176" i="24"/>
  <c r="BB176" i="24"/>
  <c r="G176" i="24"/>
  <c r="AY176" i="24"/>
  <c r="AZ176" i="24" s="1"/>
  <c r="BA176" i="24"/>
  <c r="AD176" i="24"/>
  <c r="E176" i="24"/>
  <c r="F176" i="24" s="1"/>
  <c r="AE176" i="24"/>
  <c r="W118" i="24"/>
  <c r="AN118" i="24"/>
  <c r="BT118" i="24"/>
  <c r="AW118" i="24"/>
  <c r="BS118" i="24"/>
  <c r="BR118" i="24"/>
  <c r="AU118" i="24"/>
  <c r="AV118" i="24"/>
  <c r="X118" i="24"/>
  <c r="BK118" i="24"/>
  <c r="BM118" i="24"/>
  <c r="AT118" i="24"/>
  <c r="AP118" i="24"/>
  <c r="AB179" i="24"/>
  <c r="AC179" i="24" s="1"/>
  <c r="AD179" i="24"/>
  <c r="AE179" i="24"/>
  <c r="H179" i="24"/>
  <c r="AY179" i="24"/>
  <c r="AZ179" i="24" s="1"/>
  <c r="BC179" i="24" s="1"/>
  <c r="BA179" i="24"/>
  <c r="BB179" i="24"/>
  <c r="E179" i="24"/>
  <c r="F179" i="24" s="1"/>
  <c r="G179" i="24"/>
  <c r="AB193" i="24"/>
  <c r="AC193" i="24" s="1"/>
  <c r="E193" i="24"/>
  <c r="F193" i="24" s="1"/>
  <c r="AY193" i="24"/>
  <c r="AZ193" i="24" s="1"/>
  <c r="G193" i="24"/>
  <c r="H193" i="24"/>
  <c r="BA193" i="24"/>
  <c r="BB193" i="24"/>
  <c r="AD193" i="24"/>
  <c r="AE193" i="24"/>
  <c r="BQ38" i="24"/>
  <c r="AV113" i="24"/>
  <c r="BM140" i="24"/>
  <c r="BR151" i="24"/>
  <c r="AU155" i="24"/>
  <c r="BM189" i="24"/>
  <c r="BL96" i="24"/>
  <c r="R96" i="24"/>
  <c r="AO96" i="24"/>
  <c r="AD143" i="24"/>
  <c r="AY143" i="24"/>
  <c r="AZ143" i="24" s="1"/>
  <c r="AE143" i="24"/>
  <c r="BA143" i="24"/>
  <c r="AB143" i="24"/>
  <c r="AC143" i="24" s="1"/>
  <c r="H143" i="24"/>
  <c r="BB143" i="24"/>
  <c r="E143" i="24"/>
  <c r="F143" i="24" s="1"/>
  <c r="G143" i="24"/>
  <c r="L181" i="23"/>
  <c r="BT120" i="24"/>
  <c r="BM120" i="24"/>
  <c r="Q120" i="24"/>
  <c r="AP120" i="24"/>
  <c r="BK120" i="24"/>
  <c r="AN120" i="24"/>
  <c r="W120" i="24"/>
  <c r="AT120" i="24"/>
  <c r="Y120" i="24"/>
  <c r="AW120" i="24"/>
  <c r="BS120" i="24"/>
  <c r="S120" i="24"/>
  <c r="Z120" i="24"/>
  <c r="AP158" i="24"/>
  <c r="X158" i="24"/>
  <c r="Y158" i="24"/>
  <c r="AV158" i="24"/>
  <c r="BM158" i="24"/>
  <c r="Q158" i="24"/>
  <c r="AW158" i="24"/>
  <c r="AU158" i="24"/>
  <c r="BK158" i="24"/>
  <c r="BQ158" i="24"/>
  <c r="AN158" i="24"/>
  <c r="S158" i="24"/>
  <c r="AT158" i="24"/>
  <c r="W158" i="24"/>
  <c r="Z158" i="24"/>
  <c r="BR158" i="24"/>
  <c r="BS158" i="24"/>
  <c r="BT158" i="24"/>
  <c r="AO77" i="24"/>
  <c r="X116" i="24"/>
  <c r="BQ120" i="24"/>
  <c r="BQ140" i="24"/>
  <c r="Y155" i="24"/>
  <c r="BQ179" i="24"/>
  <c r="AF53" i="23"/>
  <c r="AH53" i="23" s="1"/>
  <c r="O53" i="23"/>
  <c r="S53" i="23"/>
  <c r="F53" i="23"/>
  <c r="X53" i="23"/>
  <c r="AO109" i="24"/>
  <c r="R109" i="24"/>
  <c r="BL109" i="24"/>
  <c r="E113" i="24"/>
  <c r="F113" i="24"/>
  <c r="BA113" i="24"/>
  <c r="G113" i="24"/>
  <c r="BB113" i="24"/>
  <c r="AY113" i="24"/>
  <c r="AZ113" i="24" s="1"/>
  <c r="AE113" i="24"/>
  <c r="AD113" i="24"/>
  <c r="H113" i="24"/>
  <c r="AB113" i="24"/>
  <c r="AC113" i="24" s="1"/>
  <c r="AF113" i="24" s="1"/>
  <c r="AU102" i="24"/>
  <c r="BS102" i="24"/>
  <c r="AT102" i="24"/>
  <c r="BR102" i="24"/>
  <c r="BM102" i="24"/>
  <c r="Z102" i="24"/>
  <c r="AW102" i="24"/>
  <c r="BK102" i="24"/>
  <c r="Y102" i="24"/>
  <c r="BQ102" i="24"/>
  <c r="AN102" i="24"/>
  <c r="BT102" i="24"/>
  <c r="Q102" i="24"/>
  <c r="AP102" i="24"/>
  <c r="AV102" i="24"/>
  <c r="S102" i="24"/>
  <c r="W102" i="24"/>
  <c r="X102" i="24"/>
  <c r="AE189" i="24"/>
  <c r="AZ189" i="24"/>
  <c r="E189" i="24"/>
  <c r="F189" i="24" s="1"/>
  <c r="G189" i="24"/>
  <c r="AY189" i="24"/>
  <c r="BA189" i="24"/>
  <c r="AB189" i="24"/>
  <c r="AC189" i="24" s="1"/>
  <c r="BB189" i="24"/>
  <c r="AD189" i="24"/>
  <c r="H189" i="24"/>
  <c r="L115" i="23"/>
  <c r="Y167" i="24"/>
  <c r="AT167" i="24"/>
  <c r="AU167" i="24"/>
  <c r="Q167" i="24"/>
  <c r="AV167" i="24"/>
  <c r="BK167" i="24"/>
  <c r="AP167" i="24"/>
  <c r="S167" i="24"/>
  <c r="AN167" i="24"/>
  <c r="W167" i="24"/>
  <c r="BT167" i="24"/>
  <c r="X167" i="24"/>
  <c r="Z167" i="24"/>
  <c r="BQ167" i="24"/>
  <c r="BR167" i="24"/>
  <c r="AW167" i="24"/>
  <c r="BS167" i="24"/>
  <c r="BM167" i="24"/>
  <c r="BR178" i="24"/>
  <c r="S178" i="24"/>
  <c r="AW178" i="24"/>
  <c r="BK178" i="24"/>
  <c r="Q178" i="24"/>
  <c r="AN178" i="24"/>
  <c r="X178" i="24"/>
  <c r="Y178" i="24"/>
  <c r="Z178" i="24"/>
  <c r="W178" i="24"/>
  <c r="BM178" i="24"/>
  <c r="BS178" i="24"/>
  <c r="AT178" i="24"/>
  <c r="AU178" i="24"/>
  <c r="W122" i="24"/>
  <c r="Z122" i="24"/>
  <c r="AN122" i="24"/>
  <c r="BT122" i="24"/>
  <c r="AP122" i="24"/>
  <c r="Y122" i="24"/>
  <c r="BS122" i="24"/>
  <c r="AU122" i="24"/>
  <c r="X122" i="24"/>
  <c r="AV122" i="24"/>
  <c r="AW122" i="24"/>
  <c r="BQ122" i="24"/>
  <c r="S122" i="24"/>
  <c r="AT122" i="24"/>
  <c r="BM122" i="24"/>
  <c r="Q122" i="24"/>
  <c r="BR122" i="24"/>
  <c r="AD134" i="24"/>
  <c r="BA134" i="24"/>
  <c r="AE134" i="24"/>
  <c r="BB134" i="24"/>
  <c r="AC134" i="24"/>
  <c r="AY134" i="24"/>
  <c r="AZ134" i="24" s="1"/>
  <c r="E134" i="24"/>
  <c r="F134" i="24" s="1"/>
  <c r="AB134" i="24"/>
  <c r="G134" i="24"/>
  <c r="H134" i="24"/>
  <c r="AP151" i="24"/>
  <c r="Y151" i="24"/>
  <c r="AU151" i="24"/>
  <c r="BM151" i="24"/>
  <c r="BQ151" i="24"/>
  <c r="Q151" i="24"/>
  <c r="BK151" i="24"/>
  <c r="AN151" i="24"/>
  <c r="S151" i="24"/>
  <c r="AT151" i="24"/>
  <c r="X151" i="24"/>
  <c r="W151" i="24"/>
  <c r="BS151" i="24"/>
  <c r="BT151" i="24"/>
  <c r="AW151" i="24"/>
  <c r="AB119" i="24"/>
  <c r="AC119" i="24" s="1"/>
  <c r="BB119" i="24"/>
  <c r="E119" i="24"/>
  <c r="AE119" i="24"/>
  <c r="BA119" i="24"/>
  <c r="F119" i="24"/>
  <c r="AY119" i="24"/>
  <c r="AZ119" i="24" s="1"/>
  <c r="G119" i="24"/>
  <c r="H119" i="24"/>
  <c r="AD119" i="24"/>
  <c r="E118" i="24"/>
  <c r="F118" i="24" s="1"/>
  <c r="BB118" i="24"/>
  <c r="G118" i="24"/>
  <c r="AD118" i="24"/>
  <c r="AY118" i="24"/>
  <c r="AZ118" i="24" s="1"/>
  <c r="H118" i="24"/>
  <c r="AE118" i="24"/>
  <c r="BA118" i="24"/>
  <c r="AB118" i="24"/>
  <c r="AC118" i="24" s="1"/>
  <c r="H124" i="24"/>
  <c r="AB124" i="24"/>
  <c r="AC124" i="24"/>
  <c r="G124" i="24"/>
  <c r="BA124" i="24"/>
  <c r="BB124" i="24"/>
  <c r="E124" i="24"/>
  <c r="F124" i="24" s="1"/>
  <c r="I124" i="24" s="1"/>
  <c r="AE124" i="24"/>
  <c r="AY124" i="24"/>
  <c r="AZ124" i="24" s="1"/>
  <c r="AD124" i="24"/>
  <c r="AW66" i="24"/>
  <c r="W116" i="24"/>
  <c r="X120" i="24"/>
  <c r="S140" i="24"/>
  <c r="AW155" i="24"/>
  <c r="AN179" i="24"/>
  <c r="AT179" i="24"/>
  <c r="AU179" i="24"/>
  <c r="Z179" i="24"/>
  <c r="BT179" i="24"/>
  <c r="Q179" i="24"/>
  <c r="W179" i="24"/>
  <c r="X179" i="24"/>
  <c r="Y179" i="24"/>
  <c r="BR179" i="24"/>
  <c r="BS179" i="24"/>
  <c r="BK179" i="24"/>
  <c r="AV179" i="24"/>
  <c r="BM179" i="24"/>
  <c r="AW179" i="24"/>
  <c r="BS113" i="24"/>
  <c r="BM116" i="24"/>
  <c r="AV169" i="24"/>
  <c r="BS155" i="24"/>
  <c r="BL79" i="24"/>
  <c r="R79" i="24"/>
  <c r="AO79" i="24"/>
  <c r="BA35" i="24"/>
  <c r="BB35" i="24"/>
  <c r="E35" i="24"/>
  <c r="F35" i="24" s="1"/>
  <c r="G35" i="24"/>
  <c r="AD35" i="24"/>
  <c r="H35" i="24"/>
  <c r="AE35" i="24"/>
  <c r="AY35" i="24"/>
  <c r="AZ35" i="24" s="1"/>
  <c r="AB35" i="24"/>
  <c r="AC35" i="24" s="1"/>
  <c r="AY58" i="24"/>
  <c r="AZ58" i="24" s="1"/>
  <c r="AB58" i="24"/>
  <c r="AC58" i="24" s="1"/>
  <c r="BA58" i="24"/>
  <c r="BB58" i="24"/>
  <c r="H58" i="24"/>
  <c r="AD58" i="24"/>
  <c r="AE58" i="24"/>
  <c r="E58" i="24"/>
  <c r="F58" i="24" s="1"/>
  <c r="G58" i="24"/>
  <c r="W66" i="24"/>
  <c r="BR66" i="24"/>
  <c r="BQ66" i="24"/>
  <c r="AN66" i="24"/>
  <c r="AV66" i="24"/>
  <c r="BK66" i="24"/>
  <c r="X66" i="24"/>
  <c r="BT66" i="24"/>
  <c r="AU66" i="24"/>
  <c r="AP66" i="24"/>
  <c r="BA63" i="24"/>
  <c r="BB63" i="24"/>
  <c r="H63" i="24"/>
  <c r="AY63" i="24"/>
  <c r="AZ63" i="24" s="1"/>
  <c r="G63" i="24"/>
  <c r="AD63" i="24"/>
  <c r="AE63" i="24"/>
  <c r="E63" i="24"/>
  <c r="F63" i="24" s="1"/>
  <c r="AB63" i="24"/>
  <c r="AC63" i="24" s="1"/>
  <c r="AF63" i="24" s="1"/>
  <c r="O28" i="23"/>
  <c r="G117" i="24"/>
  <c r="H117" i="24"/>
  <c r="AB117" i="24"/>
  <c r="AC117" i="24" s="1"/>
  <c r="F117" i="24"/>
  <c r="I117" i="24" s="1"/>
  <c r="BB117" i="24"/>
  <c r="AY117" i="24"/>
  <c r="AZ117" i="24" s="1"/>
  <c r="AD117" i="24"/>
  <c r="AE117" i="24"/>
  <c r="BA117" i="24"/>
  <c r="E117" i="24"/>
  <c r="BM38" i="24"/>
  <c r="Y38" i="24"/>
  <c r="BR38" i="24"/>
  <c r="Z38" i="24"/>
  <c r="X38" i="24"/>
  <c r="AW38" i="24"/>
  <c r="Q38" i="24"/>
  <c r="AV38" i="24"/>
  <c r="BS38" i="24"/>
  <c r="BK38" i="24"/>
  <c r="AU152" i="24"/>
  <c r="AV152" i="24"/>
  <c r="AW152" i="24"/>
  <c r="BM152" i="24"/>
  <c r="Z152" i="24"/>
  <c r="Q152" i="24"/>
  <c r="X152" i="24"/>
  <c r="Y152" i="24"/>
  <c r="BR152" i="24"/>
  <c r="W152" i="24"/>
  <c r="S152" i="24"/>
  <c r="AT152" i="24"/>
  <c r="BT152" i="24"/>
  <c r="AN152" i="24"/>
  <c r="AP152" i="24"/>
  <c r="BS152" i="24"/>
  <c r="O114" i="23"/>
  <c r="X187" i="23"/>
  <c r="AT38" i="24"/>
  <c r="BL35" i="24"/>
  <c r="AO23" i="24"/>
  <c r="BR113" i="24"/>
  <c r="Y66" i="24"/>
  <c r="BT116" i="24"/>
  <c r="BQ118" i="24"/>
  <c r="BQ152" i="24"/>
  <c r="BQ169" i="24"/>
  <c r="AV178" i="24"/>
  <c r="AF77" i="23"/>
  <c r="AH77" i="23" s="1"/>
  <c r="X77" i="23"/>
  <c r="R173" i="24"/>
  <c r="AO173" i="24"/>
  <c r="BL173" i="24"/>
  <c r="O7" i="23"/>
  <c r="F7" i="23"/>
  <c r="AF7" i="23"/>
  <c r="AH7" i="23" s="1"/>
  <c r="X71" i="23"/>
  <c r="AF71" i="23"/>
  <c r="AH71" i="23" s="1"/>
  <c r="W71" i="23"/>
  <c r="D7" i="24"/>
  <c r="D29" i="21"/>
  <c r="N29" i="21"/>
  <c r="X29" i="21"/>
  <c r="AH29" i="21"/>
  <c r="E29" i="21"/>
  <c r="O29" i="21"/>
  <c r="G29" i="21"/>
  <c r="S29" i="21"/>
  <c r="AD29" i="21"/>
  <c r="H29" i="21"/>
  <c r="T29" i="21"/>
  <c r="AE29" i="21"/>
  <c r="I29" i="21"/>
  <c r="U29" i="21"/>
  <c r="AF29" i="21"/>
  <c r="AN29" i="21" s="1"/>
  <c r="F29" i="21"/>
  <c r="R29" i="21"/>
  <c r="AC29" i="21"/>
  <c r="P29" i="21"/>
  <c r="AJ29" i="21"/>
  <c r="Q29" i="21"/>
  <c r="AK29" i="21"/>
  <c r="A29" i="21"/>
  <c r="W29" i="21"/>
  <c r="V29" i="21"/>
  <c r="B29" i="21"/>
  <c r="Y29" i="21"/>
  <c r="M29" i="21"/>
  <c r="AI29" i="21"/>
  <c r="AW29" i="21" s="1"/>
  <c r="Z29" i="21"/>
  <c r="AA29" i="21"/>
  <c r="AG29" i="21"/>
  <c r="AQ29" i="21" s="1"/>
  <c r="AB29" i="21"/>
  <c r="C29" i="21"/>
  <c r="J29" i="21"/>
  <c r="K29" i="21"/>
  <c r="AX29" i="21" s="1"/>
  <c r="L29" i="21"/>
  <c r="AE72" i="24"/>
  <c r="AY72" i="24"/>
  <c r="AZ72" i="24"/>
  <c r="BA72" i="24"/>
  <c r="AD72" i="24"/>
  <c r="F72" i="24"/>
  <c r="G72" i="24"/>
  <c r="BB72" i="24"/>
  <c r="H72" i="24"/>
  <c r="AB72" i="24"/>
  <c r="AC72" i="24" s="1"/>
  <c r="E72" i="24"/>
  <c r="G72" i="23"/>
  <c r="K72" i="23"/>
  <c r="R11" i="24"/>
  <c r="S149" i="23"/>
  <c r="F149" i="23"/>
  <c r="X149" i="23"/>
  <c r="W149" i="23"/>
  <c r="X7" i="23"/>
  <c r="O131" i="23"/>
  <c r="W131" i="23"/>
  <c r="S131" i="23"/>
  <c r="AF131" i="23"/>
  <c r="AH131" i="23" s="1"/>
  <c r="AF179" i="23"/>
  <c r="AH179" i="23" s="1"/>
  <c r="O179" i="23"/>
  <c r="R13" i="24"/>
  <c r="AO13" i="24"/>
  <c r="BL13" i="24"/>
  <c r="BL108" i="24"/>
  <c r="AO108" i="24"/>
  <c r="R108" i="24"/>
  <c r="BL89" i="24"/>
  <c r="AO89" i="24"/>
  <c r="R89" i="24"/>
  <c r="G2" i="24"/>
  <c r="H2" i="24"/>
  <c r="AY2" i="24"/>
  <c r="AZ2" i="24" s="1"/>
  <c r="BA2" i="24"/>
  <c r="E2" i="24"/>
  <c r="F2" i="24" s="1"/>
  <c r="AD2" i="24"/>
  <c r="AE2" i="24"/>
  <c r="BB2" i="24"/>
  <c r="J2" i="23"/>
  <c r="K2" i="23"/>
  <c r="AB2" i="24"/>
  <c r="AC2" i="24" s="1"/>
  <c r="AF2" i="24" s="1"/>
  <c r="G2" i="23"/>
  <c r="H2" i="23"/>
  <c r="I2" i="23" s="1"/>
  <c r="G86" i="23"/>
  <c r="AD86" i="24"/>
  <c r="AE86" i="24"/>
  <c r="E86" i="24"/>
  <c r="F86" i="24" s="1"/>
  <c r="AB86" i="24"/>
  <c r="AC86" i="24" s="1"/>
  <c r="BB86" i="24"/>
  <c r="BA86" i="24"/>
  <c r="G86" i="24"/>
  <c r="H86" i="24"/>
  <c r="H86" i="23"/>
  <c r="I86" i="23" s="1"/>
  <c r="AY86" i="24"/>
  <c r="AZ86" i="24" s="1"/>
  <c r="J86" i="23"/>
  <c r="K86" i="23"/>
  <c r="G73" i="24"/>
  <c r="E73" i="24"/>
  <c r="F73" i="24" s="1"/>
  <c r="AB73" i="24"/>
  <c r="AC73" i="24" s="1"/>
  <c r="AD73" i="24"/>
  <c r="BA73" i="24"/>
  <c r="AE73" i="24"/>
  <c r="BB73" i="24"/>
  <c r="H73" i="24"/>
  <c r="AY73" i="24"/>
  <c r="AZ73" i="24" s="1"/>
  <c r="E191" i="24"/>
  <c r="F191" i="24" s="1"/>
  <c r="AB191" i="24"/>
  <c r="AC191" i="24" s="1"/>
  <c r="AY191" i="24"/>
  <c r="AZ191" i="24" s="1"/>
  <c r="G191" i="24"/>
  <c r="AD191" i="24"/>
  <c r="BA191" i="24"/>
  <c r="H191" i="24"/>
  <c r="K191" i="23"/>
  <c r="L191" i="23" s="1"/>
  <c r="BB191" i="24"/>
  <c r="AE191" i="24"/>
  <c r="R50" i="24"/>
  <c r="AO50" i="24"/>
  <c r="BL50" i="24"/>
  <c r="F27" i="23"/>
  <c r="AF27" i="23"/>
  <c r="AH27" i="23" s="1"/>
  <c r="O27" i="23"/>
  <c r="AE188" i="24"/>
  <c r="BA188" i="24"/>
  <c r="BB188" i="24"/>
  <c r="H188" i="24"/>
  <c r="G188" i="24"/>
  <c r="AD188" i="24"/>
  <c r="E188" i="24"/>
  <c r="F188" i="24" s="1"/>
  <c r="AY188" i="24"/>
  <c r="AZ188" i="24" s="1"/>
  <c r="AB188" i="24"/>
  <c r="AC188" i="24" s="1"/>
  <c r="D35" i="24"/>
  <c r="AV35" i="23"/>
  <c r="BG35" i="23"/>
  <c r="C57" i="21"/>
  <c r="M57" i="21"/>
  <c r="W57" i="21"/>
  <c r="AG57" i="21"/>
  <c r="AQ57" i="21" s="1"/>
  <c r="B57" i="21"/>
  <c r="N57" i="21"/>
  <c r="Y57" i="21"/>
  <c r="AJ57" i="21"/>
  <c r="D57" i="21"/>
  <c r="O57" i="21"/>
  <c r="Z57" i="21"/>
  <c r="AK57" i="21"/>
  <c r="E57" i="21"/>
  <c r="P57" i="21"/>
  <c r="AA57" i="21"/>
  <c r="AS35" i="23"/>
  <c r="A57" i="21"/>
  <c r="L57" i="21"/>
  <c r="X57" i="21"/>
  <c r="AI57" i="21"/>
  <c r="AW57" i="21" s="1"/>
  <c r="S57" i="21"/>
  <c r="T57" i="21"/>
  <c r="F57" i="21"/>
  <c r="U57" i="21"/>
  <c r="H57" i="21"/>
  <c r="AB57" i="21"/>
  <c r="R57" i="21"/>
  <c r="AH57" i="21"/>
  <c r="AC57" i="21"/>
  <c r="AD57" i="21"/>
  <c r="AE57" i="21"/>
  <c r="AF57" i="21"/>
  <c r="AN57" i="21" s="1"/>
  <c r="G57" i="21"/>
  <c r="I57" i="21"/>
  <c r="J57" i="21"/>
  <c r="K57" i="21"/>
  <c r="AX57" i="21" s="1"/>
  <c r="Q57" i="21"/>
  <c r="V57" i="21"/>
  <c r="BL105" i="24"/>
  <c r="AO105" i="24"/>
  <c r="R105" i="24"/>
  <c r="O55" i="23"/>
  <c r="AF55" i="23"/>
  <c r="AH55" i="23" s="1"/>
  <c r="S55" i="23"/>
  <c r="AV154" i="23"/>
  <c r="D154" i="24"/>
  <c r="C176" i="21"/>
  <c r="M176" i="21"/>
  <c r="W176" i="21"/>
  <c r="AG176" i="21"/>
  <c r="AQ176" i="21" s="1"/>
  <c r="E176" i="21"/>
  <c r="P176" i="21"/>
  <c r="AA176" i="21"/>
  <c r="F176" i="21"/>
  <c r="Q176" i="21"/>
  <c r="AB176" i="21"/>
  <c r="G176" i="21"/>
  <c r="R176" i="21"/>
  <c r="AC176" i="21"/>
  <c r="A176" i="21"/>
  <c r="S176" i="21"/>
  <c r="AH176" i="21"/>
  <c r="V176" i="21"/>
  <c r="AK176" i="21"/>
  <c r="B176" i="21"/>
  <c r="T176" i="21"/>
  <c r="AI176" i="21"/>
  <c r="AW176" i="21" s="1"/>
  <c r="H176" i="21"/>
  <c r="D176" i="21"/>
  <c r="U176" i="21"/>
  <c r="AJ176" i="21"/>
  <c r="BE154" i="23"/>
  <c r="O176" i="21"/>
  <c r="AF176" i="21"/>
  <c r="AN176" i="21" s="1"/>
  <c r="L176" i="21"/>
  <c r="N176" i="21"/>
  <c r="Y176" i="21"/>
  <c r="X176" i="21"/>
  <c r="Z176" i="21"/>
  <c r="AD176" i="21"/>
  <c r="AE176" i="21"/>
  <c r="I176" i="21"/>
  <c r="J176" i="21"/>
  <c r="K176" i="21"/>
  <c r="AX176" i="21" s="1"/>
  <c r="AB11" i="24"/>
  <c r="AC11" i="24" s="1"/>
  <c r="AD11" i="24"/>
  <c r="AE11" i="24"/>
  <c r="H11" i="24"/>
  <c r="G11" i="24"/>
  <c r="BA11" i="24"/>
  <c r="BB11" i="24"/>
  <c r="E11" i="24"/>
  <c r="F11" i="24" s="1"/>
  <c r="AY11" i="24"/>
  <c r="AZ11" i="24" s="1"/>
  <c r="R56" i="24"/>
  <c r="BL56" i="24"/>
  <c r="AO56" i="24"/>
  <c r="AA53" i="23"/>
  <c r="Z74" i="23"/>
  <c r="D44" i="24"/>
  <c r="AV44" i="23"/>
  <c r="BE44" i="23"/>
  <c r="BG44" i="23"/>
  <c r="I66" i="21"/>
  <c r="S66" i="21"/>
  <c r="AC66" i="21"/>
  <c r="K66" i="21"/>
  <c r="AX66" i="21" s="1"/>
  <c r="V66" i="21"/>
  <c r="AG66" i="21"/>
  <c r="AQ66" i="21" s="1"/>
  <c r="A66" i="21"/>
  <c r="L66" i="21"/>
  <c r="W66" i="21"/>
  <c r="AH66" i="21"/>
  <c r="B66" i="21"/>
  <c r="M66" i="21"/>
  <c r="X66" i="21"/>
  <c r="AI66" i="21"/>
  <c r="AW66" i="21" s="1"/>
  <c r="J66" i="21"/>
  <c r="U66" i="21"/>
  <c r="AF66" i="21"/>
  <c r="AN66" i="21" s="1"/>
  <c r="P66" i="21"/>
  <c r="AJ66" i="21"/>
  <c r="Q66" i="21"/>
  <c r="AK66" i="21"/>
  <c r="C66" i="21"/>
  <c r="R66" i="21"/>
  <c r="E66" i="21"/>
  <c r="Y66" i="21"/>
  <c r="O66" i="21"/>
  <c r="AE66" i="21"/>
  <c r="Z66" i="21"/>
  <c r="AA66" i="21"/>
  <c r="AB66" i="21"/>
  <c r="AD66" i="21"/>
  <c r="D66" i="21"/>
  <c r="F66" i="21"/>
  <c r="G66" i="21"/>
  <c r="H66" i="21"/>
  <c r="N66" i="21"/>
  <c r="T66" i="21"/>
  <c r="W86" i="23"/>
  <c r="AA108" i="23"/>
  <c r="AF138" i="23"/>
  <c r="AH138" i="23" s="1"/>
  <c r="S138" i="23"/>
  <c r="W138" i="23"/>
  <c r="F138" i="23"/>
  <c r="BA82" i="23"/>
  <c r="D82" i="24"/>
  <c r="J104" i="21"/>
  <c r="T104" i="21"/>
  <c r="AD104" i="21"/>
  <c r="A104" i="21"/>
  <c r="K104" i="21"/>
  <c r="AX104" i="21" s="1"/>
  <c r="U104" i="21"/>
  <c r="AE104" i="21"/>
  <c r="B104" i="21"/>
  <c r="L104" i="21"/>
  <c r="V104" i="21"/>
  <c r="AF104" i="21"/>
  <c r="AN104" i="21" s="1"/>
  <c r="I104" i="21"/>
  <c r="S104" i="21"/>
  <c r="AC104" i="21"/>
  <c r="O104" i="21"/>
  <c r="AG104" i="21"/>
  <c r="AQ104" i="21" s="1"/>
  <c r="P104" i="21"/>
  <c r="AH104" i="21"/>
  <c r="C104" i="21"/>
  <c r="Q104" i="21"/>
  <c r="AI104" i="21"/>
  <c r="AW104" i="21" s="1"/>
  <c r="N104" i="21"/>
  <c r="AB104" i="21"/>
  <c r="G104" i="21"/>
  <c r="AK104" i="21"/>
  <c r="R104" i="21"/>
  <c r="H104" i="21"/>
  <c r="M104" i="21"/>
  <c r="W104" i="21"/>
  <c r="X104" i="21"/>
  <c r="Y104" i="21"/>
  <c r="E104" i="21"/>
  <c r="AA104" i="21"/>
  <c r="F104" i="21"/>
  <c r="AJ104" i="21"/>
  <c r="D104" i="21"/>
  <c r="Z104" i="21"/>
  <c r="I39" i="24"/>
  <c r="W73" i="23"/>
  <c r="D30" i="24"/>
  <c r="AV30" i="23"/>
  <c r="H52" i="21"/>
  <c r="R52" i="21"/>
  <c r="AB52" i="21"/>
  <c r="BG30" i="23"/>
  <c r="K52" i="21"/>
  <c r="AX52" i="21" s="1"/>
  <c r="V52" i="21"/>
  <c r="AG52" i="21"/>
  <c r="AQ52" i="21" s="1"/>
  <c r="A52" i="21"/>
  <c r="L52" i="21"/>
  <c r="W52" i="21"/>
  <c r="AH52" i="21"/>
  <c r="B52" i="21"/>
  <c r="M52" i="21"/>
  <c r="X52" i="21"/>
  <c r="AI52" i="21"/>
  <c r="AW52" i="21" s="1"/>
  <c r="J52" i="21"/>
  <c r="U52" i="21"/>
  <c r="AF52" i="21"/>
  <c r="AN52" i="21" s="1"/>
  <c r="C52" i="21"/>
  <c r="S52" i="21"/>
  <c r="D52" i="21"/>
  <c r="T52" i="21"/>
  <c r="E52" i="21"/>
  <c r="Y52" i="21"/>
  <c r="G52" i="21"/>
  <c r="AA52" i="21"/>
  <c r="Q52" i="21"/>
  <c r="AK52" i="21"/>
  <c r="AC52" i="21"/>
  <c r="AD52" i="21"/>
  <c r="AE52" i="21"/>
  <c r="AJ52" i="21"/>
  <c r="F52" i="21"/>
  <c r="I52" i="21"/>
  <c r="N52" i="21"/>
  <c r="O52" i="21"/>
  <c r="P52" i="21"/>
  <c r="Z52" i="21"/>
  <c r="AA21" i="23"/>
  <c r="AA172" i="23"/>
  <c r="I173" i="24"/>
  <c r="BL188" i="24"/>
  <c r="AO188" i="24"/>
  <c r="R188" i="24"/>
  <c r="Z153" i="23"/>
  <c r="AA37" i="23"/>
  <c r="AO87" i="24"/>
  <c r="R87" i="24"/>
  <c r="BL87" i="24"/>
  <c r="D104" i="24"/>
  <c r="AV104" i="23"/>
  <c r="BA104" i="23"/>
  <c r="BG104" i="23"/>
  <c r="H126" i="21"/>
  <c r="R126" i="21"/>
  <c r="AB126" i="21"/>
  <c r="I126" i="21"/>
  <c r="S126" i="21"/>
  <c r="AC126" i="21"/>
  <c r="J126" i="21"/>
  <c r="T126" i="21"/>
  <c r="AD126" i="21"/>
  <c r="G126" i="21"/>
  <c r="Q126" i="21"/>
  <c r="AA126" i="21"/>
  <c r="AK126" i="21"/>
  <c r="BC104" i="23"/>
  <c r="E126" i="21"/>
  <c r="W126" i="21"/>
  <c r="BE104" i="23"/>
  <c r="F126" i="21"/>
  <c r="X126" i="21"/>
  <c r="K126" i="21"/>
  <c r="AX126" i="21" s="1"/>
  <c r="Y126" i="21"/>
  <c r="AS104" i="23"/>
  <c r="BB104" i="23"/>
  <c r="D126" i="21"/>
  <c r="V126" i="21"/>
  <c r="AJ126" i="21"/>
  <c r="U126" i="21"/>
  <c r="B126" i="21"/>
  <c r="AF126" i="21"/>
  <c r="AN126" i="21" s="1"/>
  <c r="Z126" i="21"/>
  <c r="A126" i="21"/>
  <c r="AE126" i="21"/>
  <c r="C126" i="21"/>
  <c r="L126" i="21"/>
  <c r="AH126" i="21"/>
  <c r="M126" i="21"/>
  <c r="AI126" i="21"/>
  <c r="AW126" i="21" s="1"/>
  <c r="P126" i="21"/>
  <c r="AG126" i="21"/>
  <c r="AQ126" i="21" s="1"/>
  <c r="N126" i="21"/>
  <c r="O126" i="21"/>
  <c r="Z94" i="23"/>
  <c r="AA98" i="23"/>
  <c r="Z183" i="23"/>
  <c r="D174" i="24"/>
  <c r="AS174" i="23"/>
  <c r="E196" i="21"/>
  <c r="O196" i="21"/>
  <c r="Y196" i="21"/>
  <c r="AI196" i="21"/>
  <c r="AW196" i="21" s="1"/>
  <c r="BE174" i="23"/>
  <c r="BG174" i="23"/>
  <c r="J196" i="21"/>
  <c r="U196" i="21"/>
  <c r="AF196" i="21"/>
  <c r="AN196" i="21" s="1"/>
  <c r="K196" i="21"/>
  <c r="AX196" i="21" s="1"/>
  <c r="V196" i="21"/>
  <c r="AG196" i="21"/>
  <c r="AQ196" i="21" s="1"/>
  <c r="A196" i="21"/>
  <c r="L196" i="21"/>
  <c r="W196" i="21"/>
  <c r="AH196" i="21"/>
  <c r="C196" i="21"/>
  <c r="R196" i="21"/>
  <c r="AJ196" i="21"/>
  <c r="T196" i="21"/>
  <c r="D196" i="21"/>
  <c r="S196" i="21"/>
  <c r="AK196" i="21"/>
  <c r="X196" i="21"/>
  <c r="F196" i="21"/>
  <c r="G196" i="21"/>
  <c r="B196" i="21"/>
  <c r="Q196" i="21"/>
  <c r="AE196" i="21"/>
  <c r="AC196" i="21"/>
  <c r="AD196" i="21"/>
  <c r="I196" i="21"/>
  <c r="H196" i="21"/>
  <c r="M196" i="21"/>
  <c r="N196" i="21"/>
  <c r="P196" i="21"/>
  <c r="Z196" i="21"/>
  <c r="AA196" i="21"/>
  <c r="AB196" i="21"/>
  <c r="D115" i="24"/>
  <c r="E137" i="21"/>
  <c r="O137" i="21"/>
  <c r="Y137" i="21"/>
  <c r="AI137" i="21"/>
  <c r="AW137" i="21" s="1"/>
  <c r="G137" i="21"/>
  <c r="Q137" i="21"/>
  <c r="AA137" i="21"/>
  <c r="AK137" i="21"/>
  <c r="D137" i="21"/>
  <c r="N137" i="21"/>
  <c r="X137" i="21"/>
  <c r="AH137" i="21"/>
  <c r="M137" i="21"/>
  <c r="AC137" i="21"/>
  <c r="A137" i="21"/>
  <c r="P137" i="21"/>
  <c r="AD137" i="21"/>
  <c r="B137" i="21"/>
  <c r="R137" i="21"/>
  <c r="AE137" i="21"/>
  <c r="L137" i="21"/>
  <c r="AB137" i="21"/>
  <c r="I137" i="21"/>
  <c r="AG137" i="21"/>
  <c r="AQ137" i="21" s="1"/>
  <c r="J137" i="21"/>
  <c r="AJ137" i="21"/>
  <c r="S137" i="21"/>
  <c r="K137" i="21"/>
  <c r="AX137" i="21" s="1"/>
  <c r="T137" i="21"/>
  <c r="U137" i="21"/>
  <c r="V137" i="21"/>
  <c r="H137" i="21"/>
  <c r="AF137" i="21"/>
  <c r="AN137" i="21" s="1"/>
  <c r="C137" i="21"/>
  <c r="F137" i="21"/>
  <c r="W137" i="21"/>
  <c r="Z137" i="21"/>
  <c r="D165" i="24"/>
  <c r="AV165" i="23"/>
  <c r="F187" i="21"/>
  <c r="P187" i="21"/>
  <c r="Z187" i="21"/>
  <c r="AJ187" i="21"/>
  <c r="A187" i="21"/>
  <c r="L187" i="21"/>
  <c r="W187" i="21"/>
  <c r="AH187" i="21"/>
  <c r="B187" i="21"/>
  <c r="M187" i="21"/>
  <c r="X187" i="21"/>
  <c r="AI187" i="21"/>
  <c r="AW187" i="21" s="1"/>
  <c r="C187" i="21"/>
  <c r="N187" i="21"/>
  <c r="Y187" i="21"/>
  <c r="AK187" i="21"/>
  <c r="BG165" i="23"/>
  <c r="D187" i="21"/>
  <c r="S187" i="21"/>
  <c r="AG187" i="21"/>
  <c r="AQ187" i="21" s="1"/>
  <c r="E187" i="21"/>
  <c r="T187" i="21"/>
  <c r="H187" i="21"/>
  <c r="V187" i="21"/>
  <c r="G187" i="21"/>
  <c r="U187" i="21"/>
  <c r="R187" i="21"/>
  <c r="AF187" i="21"/>
  <c r="AN187" i="21" s="1"/>
  <c r="AD187" i="21"/>
  <c r="AE187" i="21"/>
  <c r="I187" i="21"/>
  <c r="J187" i="21"/>
  <c r="K187" i="21"/>
  <c r="AX187" i="21" s="1"/>
  <c r="O187" i="21"/>
  <c r="Q187" i="21"/>
  <c r="AA187" i="21"/>
  <c r="AB187" i="21"/>
  <c r="AC187" i="21"/>
  <c r="D24" i="24"/>
  <c r="BG24" i="23"/>
  <c r="BA24" i="23"/>
  <c r="E46" i="21"/>
  <c r="O46" i="21"/>
  <c r="Y46" i="21"/>
  <c r="AI46" i="21"/>
  <c r="AW46" i="21" s="1"/>
  <c r="AV24" i="23"/>
  <c r="F46" i="21"/>
  <c r="Q46" i="21"/>
  <c r="AB46" i="21"/>
  <c r="G46" i="21"/>
  <c r="R46" i="21"/>
  <c r="AC46" i="21"/>
  <c r="H46" i="21"/>
  <c r="S46" i="21"/>
  <c r="AD46" i="21"/>
  <c r="D46" i="21"/>
  <c r="P46" i="21"/>
  <c r="AA46" i="21"/>
  <c r="I46" i="21"/>
  <c r="X46" i="21"/>
  <c r="J46" i="21"/>
  <c r="Z46" i="21"/>
  <c r="L46" i="21"/>
  <c r="AF46" i="21"/>
  <c r="AN46" i="21" s="1"/>
  <c r="K46" i="21"/>
  <c r="AX46" i="21" s="1"/>
  <c r="AE46" i="21"/>
  <c r="M46" i="21"/>
  <c r="AG46" i="21"/>
  <c r="AQ46" i="21" s="1"/>
  <c r="C46" i="21"/>
  <c r="W46" i="21"/>
  <c r="AH46" i="21"/>
  <c r="AJ46" i="21"/>
  <c r="AK46" i="21"/>
  <c r="A46" i="21"/>
  <c r="B46" i="21"/>
  <c r="N46" i="21"/>
  <c r="T46" i="21"/>
  <c r="U46" i="21"/>
  <c r="V46" i="21"/>
  <c r="D23" i="24"/>
  <c r="BB23" i="23"/>
  <c r="C45" i="21"/>
  <c r="M45" i="21"/>
  <c r="W45" i="21"/>
  <c r="AG45" i="21"/>
  <c r="AQ45" i="21" s="1"/>
  <c r="J45" i="21"/>
  <c r="U45" i="21"/>
  <c r="AF45" i="21"/>
  <c r="AN45" i="21" s="1"/>
  <c r="K45" i="21"/>
  <c r="AX45" i="21" s="1"/>
  <c r="V45" i="21"/>
  <c r="AH45" i="21"/>
  <c r="A45" i="21"/>
  <c r="L45" i="21"/>
  <c r="X45" i="21"/>
  <c r="AI45" i="21"/>
  <c r="AW45" i="21" s="1"/>
  <c r="BA23" i="23"/>
  <c r="I45" i="21"/>
  <c r="T45" i="21"/>
  <c r="AE45" i="21"/>
  <c r="G45" i="21"/>
  <c r="AA45" i="21"/>
  <c r="AD45" i="21"/>
  <c r="H45" i="21"/>
  <c r="AB45" i="21"/>
  <c r="O45" i="21"/>
  <c r="N45" i="21"/>
  <c r="AC45" i="21"/>
  <c r="P45" i="21"/>
  <c r="AJ45" i="21"/>
  <c r="F45" i="21"/>
  <c r="Z45" i="21"/>
  <c r="S45" i="21"/>
  <c r="Y45" i="21"/>
  <c r="AK45" i="21"/>
  <c r="B45" i="21"/>
  <c r="D45" i="21"/>
  <c r="E45" i="21"/>
  <c r="Q45" i="21"/>
  <c r="R45" i="21"/>
  <c r="D96" i="24"/>
  <c r="BG96" i="23"/>
  <c r="BE96" i="23"/>
  <c r="B118" i="21"/>
  <c r="L118" i="21"/>
  <c r="V118" i="21"/>
  <c r="AF118" i="21"/>
  <c r="AN118" i="21" s="1"/>
  <c r="C118" i="21"/>
  <c r="M118" i="21"/>
  <c r="W118" i="21"/>
  <c r="AG118" i="21"/>
  <c r="AQ118" i="21" s="1"/>
  <c r="BA96" i="23"/>
  <c r="D118" i="21"/>
  <c r="N118" i="21"/>
  <c r="X118" i="21"/>
  <c r="AH118" i="21"/>
  <c r="A118" i="21"/>
  <c r="K118" i="21"/>
  <c r="AX118" i="21" s="1"/>
  <c r="U118" i="21"/>
  <c r="AE118" i="21"/>
  <c r="Q118" i="21"/>
  <c r="AI118" i="21"/>
  <c r="AW118" i="21" s="1"/>
  <c r="R118" i="21"/>
  <c r="AJ118" i="21"/>
  <c r="E118" i="21"/>
  <c r="S118" i="21"/>
  <c r="AK118" i="21"/>
  <c r="BB96" i="23"/>
  <c r="BC96" i="23"/>
  <c r="P118" i="21"/>
  <c r="AD118" i="21"/>
  <c r="Y118" i="21"/>
  <c r="F118" i="21"/>
  <c r="AB118" i="21"/>
  <c r="Z118" i="21"/>
  <c r="AA118" i="21"/>
  <c r="G118" i="21"/>
  <c r="AC118" i="21"/>
  <c r="H118" i="21"/>
  <c r="I118" i="21"/>
  <c r="O118" i="21"/>
  <c r="T118" i="21"/>
  <c r="J118" i="21"/>
  <c r="AO19" i="24"/>
  <c r="R19" i="24"/>
  <c r="BL19" i="24"/>
  <c r="R163" i="24"/>
  <c r="AO163" i="24"/>
  <c r="AO185" i="24"/>
  <c r="R185" i="24"/>
  <c r="BL185" i="24"/>
  <c r="BL100" i="24"/>
  <c r="AO100" i="24"/>
  <c r="R100" i="24"/>
  <c r="BG50" i="23"/>
  <c r="D50" i="24"/>
  <c r="BC50" i="23"/>
  <c r="BE50" i="23"/>
  <c r="BB50" i="23"/>
  <c r="AS50" i="23"/>
  <c r="B72" i="21"/>
  <c r="L72" i="21"/>
  <c r="V72" i="21"/>
  <c r="AF72" i="21"/>
  <c r="AN72" i="21" s="1"/>
  <c r="E72" i="21"/>
  <c r="P72" i="21"/>
  <c r="AA72" i="21"/>
  <c r="F72" i="21"/>
  <c r="Q72" i="21"/>
  <c r="AB72" i="21"/>
  <c r="G72" i="21"/>
  <c r="R72" i="21"/>
  <c r="AC72" i="21"/>
  <c r="AV50" i="23"/>
  <c r="D72" i="21"/>
  <c r="O72" i="21"/>
  <c r="Z72" i="21"/>
  <c r="AK72" i="21"/>
  <c r="J72" i="21"/>
  <c r="AD72" i="21"/>
  <c r="K72" i="21"/>
  <c r="AX72" i="21" s="1"/>
  <c r="AE72" i="21"/>
  <c r="M72" i="21"/>
  <c r="AG72" i="21"/>
  <c r="AQ72" i="21" s="1"/>
  <c r="S72" i="21"/>
  <c r="AI72" i="21"/>
  <c r="AW72" i="21" s="1"/>
  <c r="I72" i="21"/>
  <c r="Y72" i="21"/>
  <c r="T72" i="21"/>
  <c r="U72" i="21"/>
  <c r="W72" i="21"/>
  <c r="AH72" i="21"/>
  <c r="AJ72" i="21"/>
  <c r="A72" i="21"/>
  <c r="C72" i="21"/>
  <c r="H72" i="21"/>
  <c r="N72" i="21"/>
  <c r="X72" i="21"/>
  <c r="AF86" i="23"/>
  <c r="AH86" i="23" s="1"/>
  <c r="O86" i="23"/>
  <c r="BL86" i="24"/>
  <c r="R86" i="24"/>
  <c r="AO86" i="24"/>
  <c r="R52" i="24"/>
  <c r="AO52" i="24"/>
  <c r="G172" i="24"/>
  <c r="AB172" i="24"/>
  <c r="AC172" i="24" s="1"/>
  <c r="AY172" i="24"/>
  <c r="AZ172" i="24" s="1"/>
  <c r="H172" i="24"/>
  <c r="AD172" i="24"/>
  <c r="BA172" i="24"/>
  <c r="E172" i="24"/>
  <c r="F172" i="24" s="1"/>
  <c r="I172" i="24" s="1"/>
  <c r="AE172" i="24"/>
  <c r="BB172" i="24"/>
  <c r="AA123" i="23"/>
  <c r="Z37" i="23"/>
  <c r="BL184" i="24"/>
  <c r="AO184" i="24"/>
  <c r="R184" i="24"/>
  <c r="AF115" i="24"/>
  <c r="BL191" i="24"/>
  <c r="R191" i="24"/>
  <c r="AO191" i="24"/>
  <c r="R193" i="24"/>
  <c r="AO193" i="24"/>
  <c r="BE125" i="24"/>
  <c r="D109" i="24"/>
  <c r="AS109" i="23"/>
  <c r="B131" i="21"/>
  <c r="L131" i="21"/>
  <c r="V131" i="21"/>
  <c r="AF131" i="21"/>
  <c r="AN131" i="21" s="1"/>
  <c r="C131" i="21"/>
  <c r="M131" i="21"/>
  <c r="D131" i="21"/>
  <c r="N131" i="21"/>
  <c r="X131" i="21"/>
  <c r="AH131" i="21"/>
  <c r="A131" i="21"/>
  <c r="K131" i="21"/>
  <c r="AX131" i="21" s="1"/>
  <c r="U131" i="21"/>
  <c r="AE131" i="21"/>
  <c r="G131" i="21"/>
  <c r="W131" i="21"/>
  <c r="AK131" i="21"/>
  <c r="H131" i="21"/>
  <c r="Y131" i="21"/>
  <c r="I131" i="21"/>
  <c r="Z131" i="21"/>
  <c r="BC109" i="23"/>
  <c r="BE109" i="23"/>
  <c r="F131" i="21"/>
  <c r="T131" i="21"/>
  <c r="AJ131" i="21"/>
  <c r="S131" i="21"/>
  <c r="AC131" i="21"/>
  <c r="AA131" i="21"/>
  <c r="AB131" i="21"/>
  <c r="E131" i="21"/>
  <c r="AD131" i="21"/>
  <c r="J131" i="21"/>
  <c r="AG131" i="21"/>
  <c r="AQ131" i="21" s="1"/>
  <c r="O131" i="21"/>
  <c r="AI131" i="21"/>
  <c r="AW131" i="21" s="1"/>
  <c r="R131" i="21"/>
  <c r="P131" i="21"/>
  <c r="Q131" i="21"/>
  <c r="D97" i="24"/>
  <c r="BB97" i="23"/>
  <c r="BE97" i="23"/>
  <c r="BA97" i="23"/>
  <c r="C119" i="21"/>
  <c r="M119" i="21"/>
  <c r="W119" i="21"/>
  <c r="AG119" i="21"/>
  <c r="AQ119" i="21" s="1"/>
  <c r="D119" i="21"/>
  <c r="N119" i="21"/>
  <c r="X119" i="21"/>
  <c r="AH119" i="21"/>
  <c r="E119" i="21"/>
  <c r="O119" i="21"/>
  <c r="Y119" i="21"/>
  <c r="AI119" i="21"/>
  <c r="AW119" i="21" s="1"/>
  <c r="B119" i="21"/>
  <c r="L119" i="21"/>
  <c r="V119" i="21"/>
  <c r="AF119" i="21"/>
  <c r="AN119" i="21" s="1"/>
  <c r="J119" i="21"/>
  <c r="AB119" i="21"/>
  <c r="K119" i="21"/>
  <c r="AX119" i="21" s="1"/>
  <c r="AC119" i="21"/>
  <c r="P119" i="21"/>
  <c r="AD119" i="21"/>
  <c r="I119" i="21"/>
  <c r="AA119" i="21"/>
  <c r="H119" i="21"/>
  <c r="S119" i="21"/>
  <c r="Q119" i="21"/>
  <c r="R119" i="21"/>
  <c r="T119" i="21"/>
  <c r="U119" i="21"/>
  <c r="Z119" i="21"/>
  <c r="F119" i="21"/>
  <c r="AJ119" i="21"/>
  <c r="G119" i="21"/>
  <c r="AK119" i="21"/>
  <c r="A119" i="21"/>
  <c r="AE119" i="21"/>
  <c r="BB119" i="23"/>
  <c r="D119" i="24"/>
  <c r="BG119" i="23"/>
  <c r="AV119" i="23"/>
  <c r="AS119" i="23"/>
  <c r="I141" i="21"/>
  <c r="S141" i="21"/>
  <c r="AC141" i="21"/>
  <c r="A141" i="21"/>
  <c r="K141" i="21"/>
  <c r="AX141" i="21" s="1"/>
  <c r="U141" i="21"/>
  <c r="AE141" i="21"/>
  <c r="BE119" i="23"/>
  <c r="H141" i="21"/>
  <c r="R141" i="21"/>
  <c r="AB141" i="21"/>
  <c r="BC119" i="23"/>
  <c r="J141" i="21"/>
  <c r="X141" i="21"/>
  <c r="AK141" i="21"/>
  <c r="L141" i="21"/>
  <c r="Y141" i="21"/>
  <c r="M141" i="21"/>
  <c r="Z141" i="21"/>
  <c r="BA119" i="23"/>
  <c r="G141" i="21"/>
  <c r="W141" i="21"/>
  <c r="AJ141" i="21"/>
  <c r="D141" i="21"/>
  <c r="AD141" i="21"/>
  <c r="N141" i="21"/>
  <c r="AH141" i="21"/>
  <c r="E141" i="21"/>
  <c r="AF141" i="21"/>
  <c r="AN141" i="21" s="1"/>
  <c r="F141" i="21"/>
  <c r="AG141" i="21"/>
  <c r="AQ141" i="21" s="1"/>
  <c r="P141" i="21"/>
  <c r="Q141" i="21"/>
  <c r="C141" i="21"/>
  <c r="AA141" i="21"/>
  <c r="B141" i="21"/>
  <c r="T141" i="21"/>
  <c r="V141" i="21"/>
  <c r="AI141" i="21"/>
  <c r="AW141" i="21" s="1"/>
  <c r="O141" i="21"/>
  <c r="D17" i="24"/>
  <c r="I39" i="21"/>
  <c r="S39" i="21"/>
  <c r="AC39" i="21"/>
  <c r="H39" i="21"/>
  <c r="T39" i="21"/>
  <c r="AE39" i="21"/>
  <c r="J39" i="21"/>
  <c r="U39" i="21"/>
  <c r="AF39" i="21"/>
  <c r="AN39" i="21" s="1"/>
  <c r="K39" i="21"/>
  <c r="AX39" i="21" s="1"/>
  <c r="V39" i="21"/>
  <c r="AG39" i="21"/>
  <c r="AQ39" i="21" s="1"/>
  <c r="G39" i="21"/>
  <c r="R39" i="21"/>
  <c r="AD39" i="21"/>
  <c r="L39" i="21"/>
  <c r="AA39" i="21"/>
  <c r="M39" i="21"/>
  <c r="AB39" i="21"/>
  <c r="O39" i="21"/>
  <c r="AI39" i="21"/>
  <c r="AW39" i="21" s="1"/>
  <c r="N39" i="21"/>
  <c r="AH39" i="21"/>
  <c r="A39" i="21"/>
  <c r="P39" i="21"/>
  <c r="AJ39" i="21"/>
  <c r="F39" i="21"/>
  <c r="Z39" i="21"/>
  <c r="D39" i="21"/>
  <c r="E39" i="21"/>
  <c r="Q39" i="21"/>
  <c r="W39" i="21"/>
  <c r="X39" i="21"/>
  <c r="Y39" i="21"/>
  <c r="AK39" i="21"/>
  <c r="B39" i="21"/>
  <c r="C39" i="21"/>
  <c r="D61" i="24"/>
  <c r="B83" i="21"/>
  <c r="L83" i="21"/>
  <c r="V83" i="21"/>
  <c r="AF83" i="21"/>
  <c r="AN83" i="21" s="1"/>
  <c r="A83" i="21"/>
  <c r="M83" i="21"/>
  <c r="X83" i="21"/>
  <c r="AI83" i="21"/>
  <c r="AW83" i="21" s="1"/>
  <c r="AV61" i="23"/>
  <c r="C83" i="21"/>
  <c r="N83" i="21"/>
  <c r="Y83" i="21"/>
  <c r="AJ83" i="21"/>
  <c r="BB61" i="23"/>
  <c r="D83" i="21"/>
  <c r="O83" i="21"/>
  <c r="Z83" i="21"/>
  <c r="AK83" i="21"/>
  <c r="K83" i="21"/>
  <c r="AX83" i="21" s="1"/>
  <c r="W83" i="21"/>
  <c r="AH83" i="21"/>
  <c r="R83" i="21"/>
  <c r="S83" i="21"/>
  <c r="E83" i="21"/>
  <c r="T83" i="21"/>
  <c r="Q83" i="21"/>
  <c r="AG83" i="21"/>
  <c r="AQ83" i="21" s="1"/>
  <c r="G83" i="21"/>
  <c r="AE83" i="21"/>
  <c r="J83" i="21"/>
  <c r="H83" i="21"/>
  <c r="I83" i="21"/>
  <c r="P83" i="21"/>
  <c r="U83" i="21"/>
  <c r="AA83" i="21"/>
  <c r="AC83" i="21"/>
  <c r="F83" i="21"/>
  <c r="AD83" i="21"/>
  <c r="AB83" i="21"/>
  <c r="J82" i="23"/>
  <c r="G82" i="24"/>
  <c r="AD82" i="24"/>
  <c r="H82" i="24"/>
  <c r="AE82" i="24"/>
  <c r="AB82" i="24"/>
  <c r="AC82" i="24" s="1"/>
  <c r="BB82" i="24"/>
  <c r="E82" i="24"/>
  <c r="F82" i="24" s="1"/>
  <c r="BA82" i="24"/>
  <c r="AY82" i="24"/>
  <c r="AZ82" i="24" s="1"/>
  <c r="K82" i="23"/>
  <c r="AF94" i="23"/>
  <c r="AH94" i="23" s="1"/>
  <c r="S94" i="23"/>
  <c r="BL111" i="24"/>
  <c r="AO111" i="24"/>
  <c r="R111" i="24"/>
  <c r="E95" i="21"/>
  <c r="D73" i="24"/>
  <c r="A95" i="21"/>
  <c r="N95" i="21"/>
  <c r="AD95" i="21"/>
  <c r="M95" i="21"/>
  <c r="AE95" i="21"/>
  <c r="R95" i="21"/>
  <c r="AF95" i="21"/>
  <c r="AN95" i="21" s="1"/>
  <c r="B95" i="21"/>
  <c r="S95" i="21"/>
  <c r="AG95" i="21"/>
  <c r="AQ95" i="21" s="1"/>
  <c r="L95" i="21"/>
  <c r="AC95" i="21"/>
  <c r="T95" i="21"/>
  <c r="U95" i="21"/>
  <c r="V95" i="21"/>
  <c r="K95" i="21"/>
  <c r="AX95" i="21" s="1"/>
  <c r="C95" i="21"/>
  <c r="I95" i="21"/>
  <c r="D95" i="21"/>
  <c r="H95" i="21"/>
  <c r="J95" i="21"/>
  <c r="W95" i="21"/>
  <c r="X95" i="21"/>
  <c r="AH95" i="21"/>
  <c r="AB95" i="21"/>
  <c r="AO153" i="24"/>
  <c r="BL153" i="24"/>
  <c r="R153" i="24"/>
  <c r="AF163" i="24"/>
  <c r="BG184" i="23"/>
  <c r="D184" i="24"/>
  <c r="J206" i="21"/>
  <c r="T206" i="21"/>
  <c r="AD206" i="21"/>
  <c r="BE184" i="23"/>
  <c r="B206" i="21"/>
  <c r="M206" i="21"/>
  <c r="X206" i="21"/>
  <c r="AI206" i="21"/>
  <c r="AW206" i="21" s="1"/>
  <c r="C206" i="21"/>
  <c r="N206" i="21"/>
  <c r="Y206" i="21"/>
  <c r="AJ206" i="21"/>
  <c r="D206" i="21"/>
  <c r="O206" i="21"/>
  <c r="Z206" i="21"/>
  <c r="AK206" i="21"/>
  <c r="AV184" i="23"/>
  <c r="L206" i="21"/>
  <c r="AC206" i="21"/>
  <c r="R206" i="21"/>
  <c r="P206" i="21"/>
  <c r="AE206" i="21"/>
  <c r="A206" i="21"/>
  <c r="Q206" i="21"/>
  <c r="AF206" i="21"/>
  <c r="AN206" i="21" s="1"/>
  <c r="K206" i="21"/>
  <c r="AX206" i="21" s="1"/>
  <c r="AB206" i="21"/>
  <c r="AG206" i="21"/>
  <c r="AQ206" i="21" s="1"/>
  <c r="H206" i="21"/>
  <c r="I206" i="21"/>
  <c r="U206" i="21"/>
  <c r="S206" i="21"/>
  <c r="V206" i="21"/>
  <c r="W206" i="21"/>
  <c r="AA206" i="21"/>
  <c r="E206" i="21"/>
  <c r="AH206" i="21"/>
  <c r="F206" i="21"/>
  <c r="G206" i="21"/>
  <c r="BE161" i="23"/>
  <c r="D161" i="24"/>
  <c r="BG161" i="23"/>
  <c r="BA161" i="23"/>
  <c r="B183" i="21"/>
  <c r="L183" i="21"/>
  <c r="V183" i="21"/>
  <c r="AF183" i="21"/>
  <c r="AN183" i="21" s="1"/>
  <c r="BB161" i="23"/>
  <c r="BC161" i="23"/>
  <c r="A183" i="21"/>
  <c r="M183" i="21"/>
  <c r="X183" i="21"/>
  <c r="AI183" i="21"/>
  <c r="AW183" i="21" s="1"/>
  <c r="C183" i="21"/>
  <c r="N183" i="21"/>
  <c r="Y183" i="21"/>
  <c r="AJ183" i="21"/>
  <c r="D183" i="21"/>
  <c r="O183" i="21"/>
  <c r="Z183" i="21"/>
  <c r="AK183" i="21"/>
  <c r="Q183" i="21"/>
  <c r="AE183" i="21"/>
  <c r="R183" i="21"/>
  <c r="AG183" i="21"/>
  <c r="AQ183" i="21" s="1"/>
  <c r="E183" i="21"/>
  <c r="S183" i="21"/>
  <c r="AH183" i="21"/>
  <c r="T183" i="21"/>
  <c r="AV161" i="23"/>
  <c r="P183" i="21"/>
  <c r="AD183" i="21"/>
  <c r="F183" i="21"/>
  <c r="AB183" i="21"/>
  <c r="H183" i="21"/>
  <c r="AC183" i="21"/>
  <c r="G183" i="21"/>
  <c r="I183" i="21"/>
  <c r="J183" i="21"/>
  <c r="K183" i="21"/>
  <c r="AX183" i="21" s="1"/>
  <c r="U183" i="21"/>
  <c r="W183" i="21"/>
  <c r="AA183" i="21"/>
  <c r="Z155" i="23"/>
  <c r="Z174" i="23"/>
  <c r="D180" i="24"/>
  <c r="I202" i="21"/>
  <c r="S202" i="21"/>
  <c r="AC202" i="21"/>
  <c r="E202" i="21"/>
  <c r="P202" i="21"/>
  <c r="AA202" i="21"/>
  <c r="F202" i="21"/>
  <c r="Q202" i="21"/>
  <c r="AB202" i="21"/>
  <c r="G202" i="21"/>
  <c r="R202" i="21"/>
  <c r="AD202" i="21"/>
  <c r="M202" i="21"/>
  <c r="AE202" i="21"/>
  <c r="T202" i="21"/>
  <c r="N202" i="21"/>
  <c r="AF202" i="21"/>
  <c r="AN202" i="21" s="1"/>
  <c r="AH202" i="21"/>
  <c r="A202" i="21"/>
  <c r="O202" i="21"/>
  <c r="AG202" i="21"/>
  <c r="AQ202" i="21" s="1"/>
  <c r="B202" i="21"/>
  <c r="L202" i="21"/>
  <c r="Z202" i="21"/>
  <c r="J202" i="21"/>
  <c r="V202" i="21"/>
  <c r="K202" i="21"/>
  <c r="AX202" i="21" s="1"/>
  <c r="U202" i="21"/>
  <c r="W202" i="21"/>
  <c r="X202" i="21"/>
  <c r="Y202" i="21"/>
  <c r="C202" i="21"/>
  <c r="AI202" i="21"/>
  <c r="AW202" i="21" s="1"/>
  <c r="D202" i="21"/>
  <c r="AJ202" i="21"/>
  <c r="H202" i="21"/>
  <c r="AK202" i="21"/>
  <c r="D92" i="24"/>
  <c r="BA92" i="23"/>
  <c r="AV92" i="23"/>
  <c r="BE92" i="23"/>
  <c r="BG92" i="23"/>
  <c r="BC92" i="23"/>
  <c r="H114" i="21"/>
  <c r="R114" i="21"/>
  <c r="AB114" i="21"/>
  <c r="I114" i="21"/>
  <c r="S114" i="21"/>
  <c r="AC114" i="21"/>
  <c r="J114" i="21"/>
  <c r="T114" i="21"/>
  <c r="AD114" i="21"/>
  <c r="G114" i="21"/>
  <c r="Q114" i="21"/>
  <c r="AA114" i="21"/>
  <c r="AK114" i="21"/>
  <c r="A114" i="21"/>
  <c r="O114" i="21"/>
  <c r="AG114" i="21"/>
  <c r="AQ114" i="21" s="1"/>
  <c r="AS92" i="23"/>
  <c r="B114" i="21"/>
  <c r="P114" i="21"/>
  <c r="AH114" i="21"/>
  <c r="C114" i="21"/>
  <c r="U114" i="21"/>
  <c r="AI114" i="21"/>
  <c r="AW114" i="21" s="1"/>
  <c r="BB92" i="23"/>
  <c r="N114" i="21"/>
  <c r="AF114" i="21"/>
  <c r="AN114" i="21" s="1"/>
  <c r="Y114" i="21"/>
  <c r="F114" i="21"/>
  <c r="AJ114" i="21"/>
  <c r="D114" i="21"/>
  <c r="Z114" i="21"/>
  <c r="E114" i="21"/>
  <c r="AE114" i="21"/>
  <c r="K114" i="21"/>
  <c r="AX114" i="21" s="1"/>
  <c r="L114" i="21"/>
  <c r="M114" i="21"/>
  <c r="W114" i="21"/>
  <c r="X114" i="21"/>
  <c r="V114" i="21"/>
  <c r="BB173" i="23"/>
  <c r="D173" i="24"/>
  <c r="BC173" i="23"/>
  <c r="BA173" i="23"/>
  <c r="C195" i="21"/>
  <c r="M195" i="21"/>
  <c r="W195" i="21"/>
  <c r="AG195" i="21"/>
  <c r="AQ195" i="21" s="1"/>
  <c r="D195" i="21"/>
  <c r="O195" i="21"/>
  <c r="Z195" i="21"/>
  <c r="AK195" i="21"/>
  <c r="E195" i="21"/>
  <c r="P195" i="21"/>
  <c r="AA195" i="21"/>
  <c r="F195" i="21"/>
  <c r="Q195" i="21"/>
  <c r="AB195" i="21"/>
  <c r="AV173" i="23"/>
  <c r="I195" i="21"/>
  <c r="X195" i="21"/>
  <c r="AD195" i="21"/>
  <c r="J195" i="21"/>
  <c r="Y195" i="21"/>
  <c r="K195" i="21"/>
  <c r="AX195" i="21" s="1"/>
  <c r="AC195" i="21"/>
  <c r="L195" i="21"/>
  <c r="H195" i="21"/>
  <c r="V195" i="21"/>
  <c r="B195" i="21"/>
  <c r="AI195" i="21"/>
  <c r="AW195" i="21" s="1"/>
  <c r="R195" i="21"/>
  <c r="G195" i="21"/>
  <c r="AJ195" i="21"/>
  <c r="N195" i="21"/>
  <c r="S195" i="21"/>
  <c r="T195" i="21"/>
  <c r="U195" i="21"/>
  <c r="AE195" i="21"/>
  <c r="AF195" i="21"/>
  <c r="AN195" i="21" s="1"/>
  <c r="A195" i="21"/>
  <c r="AH195" i="21"/>
  <c r="D108" i="24"/>
  <c r="AS108" i="23"/>
  <c r="BG108" i="23"/>
  <c r="I130" i="21"/>
  <c r="S130" i="21"/>
  <c r="AC130" i="21"/>
  <c r="J130" i="21"/>
  <c r="T130" i="21"/>
  <c r="AD130" i="21"/>
  <c r="A130" i="21"/>
  <c r="K130" i="21"/>
  <c r="AX130" i="21" s="1"/>
  <c r="U130" i="21"/>
  <c r="AE130" i="21"/>
  <c r="AV108" i="23"/>
  <c r="H130" i="21"/>
  <c r="R130" i="21"/>
  <c r="AB130" i="21"/>
  <c r="L130" i="21"/>
  <c r="Z130" i="21"/>
  <c r="M130" i="21"/>
  <c r="AA130" i="21"/>
  <c r="N130" i="21"/>
  <c r="AF130" i="21"/>
  <c r="AN130" i="21" s="1"/>
  <c r="G130" i="21"/>
  <c r="Y130" i="21"/>
  <c r="D130" i="21"/>
  <c r="AH130" i="21"/>
  <c r="AK130" i="21"/>
  <c r="E130" i="21"/>
  <c r="AI130" i="21"/>
  <c r="AW130" i="21" s="1"/>
  <c r="F130" i="21"/>
  <c r="AJ130" i="21"/>
  <c r="O130" i="21"/>
  <c r="P130" i="21"/>
  <c r="Q130" i="21"/>
  <c r="V130" i="21"/>
  <c r="C130" i="21"/>
  <c r="AG130" i="21"/>
  <c r="AQ130" i="21" s="1"/>
  <c r="B130" i="21"/>
  <c r="W130" i="21"/>
  <c r="X130" i="21"/>
  <c r="D145" i="24"/>
  <c r="A167" i="21"/>
  <c r="K167" i="21"/>
  <c r="AX167" i="21" s="1"/>
  <c r="U167" i="21"/>
  <c r="AE167" i="21"/>
  <c r="BA145" i="23"/>
  <c r="C167" i="21"/>
  <c r="M167" i="21"/>
  <c r="W167" i="21"/>
  <c r="AG167" i="21"/>
  <c r="AQ167" i="21" s="1"/>
  <c r="H167" i="21"/>
  <c r="T167" i="21"/>
  <c r="AH167" i="21"/>
  <c r="I167" i="21"/>
  <c r="V167" i="21"/>
  <c r="AI167" i="21"/>
  <c r="AW167" i="21" s="1"/>
  <c r="J167" i="21"/>
  <c r="X167" i="21"/>
  <c r="AJ167" i="21"/>
  <c r="O167" i="21"/>
  <c r="AD167" i="21"/>
  <c r="R167" i="21"/>
  <c r="P167" i="21"/>
  <c r="AF167" i="21"/>
  <c r="AN167" i="21" s="1"/>
  <c r="Q167" i="21"/>
  <c r="AK167" i="21"/>
  <c r="B167" i="21"/>
  <c r="N167" i="21"/>
  <c r="AC167" i="21"/>
  <c r="AA167" i="21"/>
  <c r="AB167" i="21"/>
  <c r="D167" i="21"/>
  <c r="E167" i="21"/>
  <c r="F167" i="21"/>
  <c r="G167" i="21"/>
  <c r="L167" i="21"/>
  <c r="S167" i="21"/>
  <c r="Y167" i="21"/>
  <c r="Z167" i="21"/>
  <c r="D60" i="24"/>
  <c r="BG60" i="23"/>
  <c r="A82" i="21"/>
  <c r="K82" i="21"/>
  <c r="AX82" i="21" s="1"/>
  <c r="U82" i="21"/>
  <c r="AE82" i="21"/>
  <c r="G82" i="21"/>
  <c r="R82" i="21"/>
  <c r="AC82" i="21"/>
  <c r="H82" i="21"/>
  <c r="S82" i="21"/>
  <c r="AD82" i="21"/>
  <c r="I82" i="21"/>
  <c r="T82" i="21"/>
  <c r="AF82" i="21"/>
  <c r="AN82" i="21" s="1"/>
  <c r="F82" i="21"/>
  <c r="Q82" i="21"/>
  <c r="AB82" i="21"/>
  <c r="B82" i="21"/>
  <c r="V82" i="21"/>
  <c r="AK82" i="21"/>
  <c r="C82" i="21"/>
  <c r="W82" i="21"/>
  <c r="D82" i="21"/>
  <c r="X82" i="21"/>
  <c r="BA60" i="23"/>
  <c r="P82" i="21"/>
  <c r="AJ82" i="21"/>
  <c r="M82" i="21"/>
  <c r="Y82" i="21"/>
  <c r="N82" i="21"/>
  <c r="O82" i="21"/>
  <c r="Z82" i="21"/>
  <c r="AA82" i="21"/>
  <c r="AG82" i="21"/>
  <c r="AQ82" i="21" s="1"/>
  <c r="E82" i="21"/>
  <c r="J82" i="21"/>
  <c r="AI82" i="21"/>
  <c r="AW82" i="21" s="1"/>
  <c r="L82" i="21"/>
  <c r="AH82" i="21"/>
  <c r="AO15" i="24"/>
  <c r="BL15" i="24"/>
  <c r="R15" i="24"/>
  <c r="D27" i="24"/>
  <c r="BG27" i="23"/>
  <c r="E49" i="21"/>
  <c r="O49" i="21"/>
  <c r="Y49" i="21"/>
  <c r="AI49" i="21"/>
  <c r="AW49" i="21" s="1"/>
  <c r="AV27" i="23"/>
  <c r="C49" i="21"/>
  <c r="N49" i="21"/>
  <c r="Z49" i="21"/>
  <c r="AK49" i="21"/>
  <c r="D49" i="21"/>
  <c r="P49" i="21"/>
  <c r="AA49" i="21"/>
  <c r="F49" i="21"/>
  <c r="Q49" i="21"/>
  <c r="AB49" i="21"/>
  <c r="BA27" i="23"/>
  <c r="B49" i="21"/>
  <c r="M49" i="21"/>
  <c r="X49" i="21"/>
  <c r="AJ49" i="21"/>
  <c r="T49" i="21"/>
  <c r="A49" i="21"/>
  <c r="U49" i="21"/>
  <c r="G49" i="21"/>
  <c r="V49" i="21"/>
  <c r="I49" i="21"/>
  <c r="AC49" i="21"/>
  <c r="S49" i="21"/>
  <c r="AH49" i="21"/>
  <c r="AD49" i="21"/>
  <c r="AE49" i="21"/>
  <c r="AF49" i="21"/>
  <c r="AN49" i="21" s="1"/>
  <c r="AG49" i="21"/>
  <c r="AQ49" i="21" s="1"/>
  <c r="H49" i="21"/>
  <c r="J49" i="21"/>
  <c r="K49" i="21"/>
  <c r="AX49" i="21" s="1"/>
  <c r="L49" i="21"/>
  <c r="R49" i="21"/>
  <c r="W49" i="21"/>
  <c r="R80" i="24"/>
  <c r="AO80" i="24"/>
  <c r="BL80" i="24"/>
  <c r="R32" i="24"/>
  <c r="AO32" i="24"/>
  <c r="BL32" i="24"/>
  <c r="D131" i="24"/>
  <c r="AS131" i="23"/>
  <c r="AV131" i="23"/>
  <c r="H153" i="21"/>
  <c r="R153" i="21"/>
  <c r="AB153" i="21"/>
  <c r="J153" i="21"/>
  <c r="T153" i="21"/>
  <c r="AD153" i="21"/>
  <c r="G153" i="21"/>
  <c r="Q153" i="21"/>
  <c r="AA153" i="21"/>
  <c r="AK153" i="21"/>
  <c r="K153" i="21"/>
  <c r="AX153" i="21" s="1"/>
  <c r="X153" i="21"/>
  <c r="L153" i="21"/>
  <c r="Y153" i="21"/>
  <c r="M153" i="21"/>
  <c r="Z153" i="21"/>
  <c r="BA131" i="23"/>
  <c r="BC131" i="23"/>
  <c r="BE131" i="23"/>
  <c r="BG131" i="23"/>
  <c r="A153" i="21"/>
  <c r="S153" i="21"/>
  <c r="AJ153" i="21"/>
  <c r="D153" i="21"/>
  <c r="B153" i="21"/>
  <c r="U153" i="21"/>
  <c r="C153" i="21"/>
  <c r="V153" i="21"/>
  <c r="W153" i="21"/>
  <c r="F153" i="21"/>
  <c r="P153" i="21"/>
  <c r="AI153" i="21"/>
  <c r="AW153" i="21" s="1"/>
  <c r="N153" i="21"/>
  <c r="O153" i="21"/>
  <c r="AC153" i="21"/>
  <c r="AE153" i="21"/>
  <c r="AF153" i="21"/>
  <c r="AN153" i="21" s="1"/>
  <c r="AG153" i="21"/>
  <c r="AQ153" i="21" s="1"/>
  <c r="AH153" i="21"/>
  <c r="E153" i="21"/>
  <c r="I153" i="21"/>
  <c r="BA10" i="24"/>
  <c r="E10" i="24"/>
  <c r="F10" i="24" s="1"/>
  <c r="BB10" i="24"/>
  <c r="G10" i="24"/>
  <c r="AY10" i="24"/>
  <c r="AZ10" i="24" s="1"/>
  <c r="AB10" i="24"/>
  <c r="AC10" i="24" s="1"/>
  <c r="AF10" i="24" s="1"/>
  <c r="H10" i="24"/>
  <c r="AD10" i="24"/>
  <c r="AE10" i="24"/>
  <c r="G10" i="23"/>
  <c r="H10" i="23"/>
  <c r="I10" i="23" s="1"/>
  <c r="L10" i="23" s="1"/>
  <c r="BL31" i="24"/>
  <c r="R31" i="24"/>
  <c r="AO31" i="24"/>
  <c r="AF108" i="23"/>
  <c r="AH108" i="23" s="1"/>
  <c r="X108" i="23"/>
  <c r="S108" i="23"/>
  <c r="F108" i="23"/>
  <c r="D94" i="24"/>
  <c r="B116" i="21"/>
  <c r="L116" i="21"/>
  <c r="V116" i="21"/>
  <c r="AF116" i="21"/>
  <c r="AN116" i="21" s="1"/>
  <c r="C116" i="21"/>
  <c r="M116" i="21"/>
  <c r="W116" i="21"/>
  <c r="AG116" i="21"/>
  <c r="AQ116" i="21" s="1"/>
  <c r="D116" i="21"/>
  <c r="N116" i="21"/>
  <c r="X116" i="21"/>
  <c r="AH116" i="21"/>
  <c r="A116" i="21"/>
  <c r="K116" i="21"/>
  <c r="AX116" i="21" s="1"/>
  <c r="U116" i="21"/>
  <c r="AE116" i="21"/>
  <c r="BC94" i="23"/>
  <c r="G116" i="21"/>
  <c r="Y116" i="21"/>
  <c r="H116" i="21"/>
  <c r="Z116" i="21"/>
  <c r="I116" i="21"/>
  <c r="AA116" i="21"/>
  <c r="AV94" i="23"/>
  <c r="F116" i="21"/>
  <c r="T116" i="21"/>
  <c r="E116" i="21"/>
  <c r="AI116" i="21"/>
  <c r="AW116" i="21" s="1"/>
  <c r="P116" i="21"/>
  <c r="J116" i="21"/>
  <c r="AJ116" i="21"/>
  <c r="O116" i="21"/>
  <c r="AK116" i="21"/>
  <c r="Q116" i="21"/>
  <c r="R116" i="21"/>
  <c r="S116" i="21"/>
  <c r="AC116" i="21"/>
  <c r="AD116" i="21"/>
  <c r="AB116" i="21"/>
  <c r="D18" i="24"/>
  <c r="B40" i="21"/>
  <c r="L40" i="21"/>
  <c r="V40" i="21"/>
  <c r="AF40" i="21"/>
  <c r="AN40" i="21" s="1"/>
  <c r="BC18" i="23"/>
  <c r="E40" i="21"/>
  <c r="P40" i="21"/>
  <c r="AA40" i="21"/>
  <c r="F40" i="21"/>
  <c r="Q40" i="21"/>
  <c r="AB40" i="21"/>
  <c r="G40" i="21"/>
  <c r="R40" i="21"/>
  <c r="AC40" i="21"/>
  <c r="D40" i="21"/>
  <c r="O40" i="21"/>
  <c r="Z40" i="21"/>
  <c r="AK40" i="21"/>
  <c r="J40" i="21"/>
  <c r="AD40" i="21"/>
  <c r="K40" i="21"/>
  <c r="AX40" i="21" s="1"/>
  <c r="AE40" i="21"/>
  <c r="N40" i="21"/>
  <c r="AH40" i="21"/>
  <c r="M40" i="21"/>
  <c r="AG40" i="21"/>
  <c r="AQ40" i="21" s="1"/>
  <c r="S40" i="21"/>
  <c r="AI40" i="21"/>
  <c r="AW40" i="21" s="1"/>
  <c r="I40" i="21"/>
  <c r="Y40" i="21"/>
  <c r="T40" i="21"/>
  <c r="U40" i="21"/>
  <c r="W40" i="21"/>
  <c r="X40" i="21"/>
  <c r="AJ40" i="21"/>
  <c r="A40" i="21"/>
  <c r="C40" i="21"/>
  <c r="H40" i="21"/>
  <c r="BC79" i="24"/>
  <c r="D149" i="24"/>
  <c r="AS149" i="23"/>
  <c r="BA149" i="23"/>
  <c r="B171" i="21"/>
  <c r="L171" i="21"/>
  <c r="V171" i="21"/>
  <c r="AF171" i="21"/>
  <c r="AN171" i="21" s="1"/>
  <c r="D171" i="21"/>
  <c r="O171" i="21"/>
  <c r="Z171" i="21"/>
  <c r="AK171" i="21"/>
  <c r="E171" i="21"/>
  <c r="P171" i="21"/>
  <c r="AA171" i="21"/>
  <c r="F171" i="21"/>
  <c r="Q171" i="21"/>
  <c r="AB171" i="21"/>
  <c r="G171" i="21"/>
  <c r="U171" i="21"/>
  <c r="AJ171" i="21"/>
  <c r="J171" i="21"/>
  <c r="H171" i="21"/>
  <c r="W171" i="21"/>
  <c r="Y171" i="21"/>
  <c r="I171" i="21"/>
  <c r="X171" i="21"/>
  <c r="C171" i="21"/>
  <c r="T171" i="21"/>
  <c r="AI171" i="21"/>
  <c r="AW171" i="21" s="1"/>
  <c r="R171" i="21"/>
  <c r="S171" i="21"/>
  <c r="AC171" i="21"/>
  <c r="AD171" i="21"/>
  <c r="AE171" i="21"/>
  <c r="AG171" i="21"/>
  <c r="AQ171" i="21" s="1"/>
  <c r="A171" i="21"/>
  <c r="AH171" i="21"/>
  <c r="K171" i="21"/>
  <c r="AX171" i="21" s="1"/>
  <c r="M171" i="21"/>
  <c r="N171" i="21"/>
  <c r="AF21" i="23"/>
  <c r="AH21" i="23" s="1"/>
  <c r="W21" i="23"/>
  <c r="X21" i="23"/>
  <c r="AA149" i="23"/>
  <c r="AF165" i="24"/>
  <c r="Z186" i="23"/>
  <c r="BC194" i="24"/>
  <c r="AO175" i="24"/>
  <c r="R175" i="24"/>
  <c r="BL175" i="24"/>
  <c r="D172" i="24"/>
  <c r="BC172" i="23"/>
  <c r="A194" i="21"/>
  <c r="K194" i="21"/>
  <c r="AX194" i="21" s="1"/>
  <c r="U194" i="21"/>
  <c r="AE194" i="21"/>
  <c r="BB172" i="23"/>
  <c r="H194" i="21"/>
  <c r="S194" i="21"/>
  <c r="AD194" i="21"/>
  <c r="I194" i="21"/>
  <c r="T194" i="21"/>
  <c r="AF194" i="21"/>
  <c r="AN194" i="21" s="1"/>
  <c r="J194" i="21"/>
  <c r="V194" i="21"/>
  <c r="AG194" i="21"/>
  <c r="AQ194" i="21" s="1"/>
  <c r="O194" i="21"/>
  <c r="AC194" i="21"/>
  <c r="R194" i="21"/>
  <c r="B194" i="21"/>
  <c r="P194" i="21"/>
  <c r="AH194" i="21"/>
  <c r="AJ194" i="21"/>
  <c r="C194" i="21"/>
  <c r="Q194" i="21"/>
  <c r="AI194" i="21"/>
  <c r="AW194" i="21" s="1"/>
  <c r="D194" i="21"/>
  <c r="BA172" i="23"/>
  <c r="N194" i="21"/>
  <c r="AB194" i="21"/>
  <c r="L194" i="21"/>
  <c r="X194" i="21"/>
  <c r="M194" i="21"/>
  <c r="W194" i="21"/>
  <c r="Y194" i="21"/>
  <c r="Z194" i="21"/>
  <c r="AA194" i="21"/>
  <c r="E194" i="21"/>
  <c r="AK194" i="21"/>
  <c r="F194" i="21"/>
  <c r="G194" i="21"/>
  <c r="D136" i="24"/>
  <c r="R158" i="21"/>
  <c r="AF158" i="21"/>
  <c r="AN158" i="21" s="1"/>
  <c r="B158" i="21"/>
  <c r="T158" i="21"/>
  <c r="M158" i="21"/>
  <c r="AE158" i="21"/>
  <c r="H158" i="21"/>
  <c r="AC158" i="21"/>
  <c r="I158" i="21"/>
  <c r="AD158" i="21"/>
  <c r="J158" i="21"/>
  <c r="AG158" i="21"/>
  <c r="AQ158" i="21" s="1"/>
  <c r="A158" i="21"/>
  <c r="L158" i="21"/>
  <c r="C158" i="21"/>
  <c r="K158" i="21"/>
  <c r="AX158" i="21" s="1"/>
  <c r="W158" i="21"/>
  <c r="AB158" i="21"/>
  <c r="S158" i="21"/>
  <c r="U158" i="21"/>
  <c r="V158" i="21"/>
  <c r="Z104" i="23"/>
  <c r="Z110" i="23"/>
  <c r="I162" i="24"/>
  <c r="AA110" i="23"/>
  <c r="AD107" i="24"/>
  <c r="AB107" i="24"/>
  <c r="AC107" i="24" s="1"/>
  <c r="BB107" i="24"/>
  <c r="AY107" i="24"/>
  <c r="AZ107" i="24" s="1"/>
  <c r="BA107" i="24"/>
  <c r="E107" i="24"/>
  <c r="F107" i="24" s="1"/>
  <c r="AE107" i="24"/>
  <c r="G107" i="24"/>
  <c r="H107" i="24"/>
  <c r="AA183" i="23"/>
  <c r="Q185" i="24"/>
  <c r="AT185" i="24"/>
  <c r="AU185" i="24"/>
  <c r="BT185" i="24"/>
  <c r="BQ185" i="24"/>
  <c r="X185" i="24"/>
  <c r="AV185" i="24"/>
  <c r="Y185" i="24"/>
  <c r="AW185" i="24"/>
  <c r="Z185" i="24"/>
  <c r="BK185" i="24"/>
  <c r="S185" i="24"/>
  <c r="AP185" i="24"/>
  <c r="W185" i="24"/>
  <c r="AO180" i="24"/>
  <c r="BL180" i="24"/>
  <c r="R180" i="24"/>
  <c r="AV127" i="23"/>
  <c r="D127" i="24"/>
  <c r="BG127" i="23"/>
  <c r="BE127" i="23"/>
  <c r="BC127" i="23"/>
  <c r="E149" i="21"/>
  <c r="O149" i="21"/>
  <c r="Y149" i="21"/>
  <c r="AI149" i="21"/>
  <c r="AW149" i="21" s="1"/>
  <c r="G149" i="21"/>
  <c r="Q149" i="21"/>
  <c r="AA149" i="21"/>
  <c r="AK149" i="21"/>
  <c r="BB127" i="23"/>
  <c r="D149" i="21"/>
  <c r="N149" i="21"/>
  <c r="X149" i="21"/>
  <c r="AH149" i="21"/>
  <c r="A149" i="21"/>
  <c r="P149" i="21"/>
  <c r="AD149" i="21"/>
  <c r="B149" i="21"/>
  <c r="R149" i="21"/>
  <c r="AE149" i="21"/>
  <c r="BA127" i="23"/>
  <c r="C149" i="21"/>
  <c r="S149" i="21"/>
  <c r="AF149" i="21"/>
  <c r="AN149" i="21" s="1"/>
  <c r="AS127" i="23"/>
  <c r="L149" i="21"/>
  <c r="AJ149" i="21"/>
  <c r="M149" i="21"/>
  <c r="U149" i="21"/>
  <c r="T149" i="21"/>
  <c r="F149" i="21"/>
  <c r="W149" i="21"/>
  <c r="H149" i="21"/>
  <c r="Z149" i="21"/>
  <c r="K149" i="21"/>
  <c r="AX149" i="21" s="1"/>
  <c r="AG149" i="21"/>
  <c r="AQ149" i="21" s="1"/>
  <c r="AB149" i="21"/>
  <c r="AC149" i="21"/>
  <c r="I149" i="21"/>
  <c r="J149" i="21"/>
  <c r="V149" i="21"/>
  <c r="D159" i="24"/>
  <c r="B181" i="21"/>
  <c r="L181" i="21"/>
  <c r="V181" i="21"/>
  <c r="AF181" i="21"/>
  <c r="AN181" i="21" s="1"/>
  <c r="BG159" i="23"/>
  <c r="H181" i="21"/>
  <c r="S181" i="21"/>
  <c r="AD181" i="21"/>
  <c r="I181" i="21"/>
  <c r="T181" i="21"/>
  <c r="AE181" i="21"/>
  <c r="J181" i="21"/>
  <c r="U181" i="21"/>
  <c r="AG181" i="21"/>
  <c r="AQ181" i="21" s="1"/>
  <c r="BA159" i="23"/>
  <c r="G181" i="21"/>
  <c r="Y181" i="21"/>
  <c r="AB181" i="21"/>
  <c r="K181" i="21"/>
  <c r="AX181" i="21" s="1"/>
  <c r="Z181" i="21"/>
  <c r="N181" i="21"/>
  <c r="M181" i="21"/>
  <c r="AA181" i="21"/>
  <c r="F181" i="21"/>
  <c r="X181" i="21"/>
  <c r="D181" i="21"/>
  <c r="AJ181" i="21"/>
  <c r="E181" i="21"/>
  <c r="AK181" i="21"/>
  <c r="O181" i="21"/>
  <c r="P181" i="21"/>
  <c r="Q181" i="21"/>
  <c r="R181" i="21"/>
  <c r="W181" i="21"/>
  <c r="AC181" i="21"/>
  <c r="A181" i="21"/>
  <c r="AH181" i="21"/>
  <c r="C181" i="21"/>
  <c r="AI181" i="21"/>
  <c r="AW181" i="21" s="1"/>
  <c r="B212" i="21"/>
  <c r="D190" i="24"/>
  <c r="F212" i="21"/>
  <c r="T212" i="21"/>
  <c r="AK212" i="21"/>
  <c r="J212" i="21"/>
  <c r="AC212" i="21"/>
  <c r="K212" i="21"/>
  <c r="AX212" i="21" s="1"/>
  <c r="AD212" i="21"/>
  <c r="P212" i="21"/>
  <c r="AE212" i="21"/>
  <c r="I212" i="21"/>
  <c r="S212" i="21"/>
  <c r="Q212" i="21"/>
  <c r="R212" i="21"/>
  <c r="H212" i="21"/>
  <c r="AJ212" i="21"/>
  <c r="AB212" i="21"/>
  <c r="AI212" i="21"/>
  <c r="AW212" i="21" s="1"/>
  <c r="A212" i="21"/>
  <c r="G212" i="21"/>
  <c r="U212" i="21"/>
  <c r="Z212" i="21"/>
  <c r="AA212" i="21"/>
  <c r="BB117" i="23"/>
  <c r="D117" i="24"/>
  <c r="BG117" i="23"/>
  <c r="AS117" i="23"/>
  <c r="F139" i="21"/>
  <c r="P139" i="21"/>
  <c r="Z139" i="21"/>
  <c r="AJ139" i="21"/>
  <c r="AV117" i="23"/>
  <c r="H139" i="21"/>
  <c r="R139" i="21"/>
  <c r="AB139" i="21"/>
  <c r="E139" i="21"/>
  <c r="O139" i="21"/>
  <c r="Y139" i="21"/>
  <c r="AI139" i="21"/>
  <c r="AW139" i="21" s="1"/>
  <c r="BE117" i="23"/>
  <c r="C139" i="21"/>
  <c r="S139" i="21"/>
  <c r="AF139" i="21"/>
  <c r="AN139" i="21" s="1"/>
  <c r="D139" i="21"/>
  <c r="T139" i="21"/>
  <c r="AG139" i="21"/>
  <c r="AQ139" i="21" s="1"/>
  <c r="G139" i="21"/>
  <c r="U139" i="21"/>
  <c r="AH139" i="21"/>
  <c r="BA117" i="23"/>
  <c r="B139" i="21"/>
  <c r="Q139" i="21"/>
  <c r="AE139" i="21"/>
  <c r="N139" i="21"/>
  <c r="V139" i="21"/>
  <c r="W139" i="21"/>
  <c r="X139" i="21"/>
  <c r="A139" i="21"/>
  <c r="AA139" i="21"/>
  <c r="I139" i="21"/>
  <c r="AC139" i="21"/>
  <c r="J139" i="21"/>
  <c r="AD139" i="21"/>
  <c r="M139" i="21"/>
  <c r="K139" i="21"/>
  <c r="AX139" i="21" s="1"/>
  <c r="L139" i="21"/>
  <c r="AK139" i="21"/>
  <c r="S121" i="24"/>
  <c r="BB18" i="24"/>
  <c r="AB18" i="24"/>
  <c r="AC18" i="24" s="1"/>
  <c r="BA18" i="24"/>
  <c r="E18" i="24"/>
  <c r="F18" i="24" s="1"/>
  <c r="AD18" i="24"/>
  <c r="G18" i="24"/>
  <c r="AE18" i="24"/>
  <c r="H18" i="24"/>
  <c r="AY18" i="24"/>
  <c r="AZ18" i="24" s="1"/>
  <c r="BE39" i="24"/>
  <c r="D64" i="24"/>
  <c r="BE64" i="23"/>
  <c r="AS64" i="23"/>
  <c r="BG64" i="23"/>
  <c r="BC64" i="23"/>
  <c r="BB64" i="23"/>
  <c r="B86" i="21"/>
  <c r="L86" i="21"/>
  <c r="V86" i="21"/>
  <c r="AF86" i="21"/>
  <c r="AN86" i="21" s="1"/>
  <c r="BA64" i="23"/>
  <c r="F86" i="21"/>
  <c r="Q86" i="21"/>
  <c r="AB86" i="21"/>
  <c r="G86" i="21"/>
  <c r="R86" i="21"/>
  <c r="AC86" i="21"/>
  <c r="H86" i="21"/>
  <c r="S86" i="21"/>
  <c r="AD86" i="21"/>
  <c r="E86" i="21"/>
  <c r="P86" i="21"/>
  <c r="AA86" i="21"/>
  <c r="N86" i="21"/>
  <c r="AH86" i="21"/>
  <c r="O86" i="21"/>
  <c r="AI86" i="21"/>
  <c r="AW86" i="21" s="1"/>
  <c r="AV64" i="23"/>
  <c r="T86" i="21"/>
  <c r="AJ86" i="21"/>
  <c r="M86" i="21"/>
  <c r="AG86" i="21"/>
  <c r="AQ86" i="21" s="1"/>
  <c r="Y86" i="21"/>
  <c r="D86" i="21"/>
  <c r="AK86" i="21"/>
  <c r="A86" i="21"/>
  <c r="Z86" i="21"/>
  <c r="C86" i="21"/>
  <c r="AE86" i="21"/>
  <c r="I86" i="21"/>
  <c r="J86" i="21"/>
  <c r="K86" i="21"/>
  <c r="AX86" i="21" s="1"/>
  <c r="W86" i="21"/>
  <c r="X86" i="21"/>
  <c r="U86" i="21"/>
  <c r="BL62" i="24"/>
  <c r="AO62" i="24"/>
  <c r="R62" i="24"/>
  <c r="Z149" i="23"/>
  <c r="D124" i="24"/>
  <c r="B146" i="21"/>
  <c r="L146" i="21"/>
  <c r="V146" i="21"/>
  <c r="AF146" i="21"/>
  <c r="AN146" i="21" s="1"/>
  <c r="D146" i="21"/>
  <c r="N146" i="21"/>
  <c r="X146" i="21"/>
  <c r="AH146" i="21"/>
  <c r="A146" i="21"/>
  <c r="K146" i="21"/>
  <c r="AX146" i="21" s="1"/>
  <c r="U146" i="21"/>
  <c r="AE146" i="21"/>
  <c r="E146" i="21"/>
  <c r="R146" i="21"/>
  <c r="AG146" i="21"/>
  <c r="AQ146" i="21" s="1"/>
  <c r="F146" i="21"/>
  <c r="S146" i="21"/>
  <c r="AI146" i="21"/>
  <c r="AW146" i="21" s="1"/>
  <c r="G146" i="21"/>
  <c r="T146" i="21"/>
  <c r="AJ146" i="21"/>
  <c r="C146" i="21"/>
  <c r="Q146" i="21"/>
  <c r="AD146" i="21"/>
  <c r="Y146" i="21"/>
  <c r="H146" i="21"/>
  <c r="AB146" i="21"/>
  <c r="Z146" i="21"/>
  <c r="AA146" i="21"/>
  <c r="J146" i="21"/>
  <c r="AK146" i="21"/>
  <c r="M146" i="21"/>
  <c r="W146" i="21"/>
  <c r="I146" i="21"/>
  <c r="O146" i="21"/>
  <c r="P146" i="21"/>
  <c r="AC146" i="21"/>
  <c r="AP127" i="24"/>
  <c r="R172" i="24"/>
  <c r="BL172" i="24"/>
  <c r="AO172" i="24"/>
  <c r="AA153" i="23"/>
  <c r="Z106" i="23"/>
  <c r="D170" i="24"/>
  <c r="H192" i="21"/>
  <c r="R192" i="21"/>
  <c r="AB192" i="21"/>
  <c r="A192" i="21"/>
  <c r="L192" i="21"/>
  <c r="W192" i="21"/>
  <c r="AH192" i="21"/>
  <c r="B192" i="21"/>
  <c r="M192" i="21"/>
  <c r="X192" i="21"/>
  <c r="AI192" i="21"/>
  <c r="AW192" i="21" s="1"/>
  <c r="C192" i="21"/>
  <c r="N192" i="21"/>
  <c r="Y192" i="21"/>
  <c r="AJ192" i="21"/>
  <c r="E192" i="21"/>
  <c r="T192" i="21"/>
  <c r="AK192" i="21"/>
  <c r="I192" i="21"/>
  <c r="F192" i="21"/>
  <c r="U192" i="21"/>
  <c r="Z192" i="21"/>
  <c r="G192" i="21"/>
  <c r="V192" i="21"/>
  <c r="D192" i="21"/>
  <c r="S192" i="21"/>
  <c r="AG192" i="21"/>
  <c r="AQ192" i="21" s="1"/>
  <c r="P192" i="21"/>
  <c r="AC192" i="21"/>
  <c r="Q192" i="21"/>
  <c r="AA192" i="21"/>
  <c r="AD192" i="21"/>
  <c r="AE192" i="21"/>
  <c r="AF192" i="21"/>
  <c r="AN192" i="21" s="1"/>
  <c r="J192" i="21"/>
  <c r="K192" i="21"/>
  <c r="AX192" i="21" s="1"/>
  <c r="O192" i="21"/>
  <c r="AF191" i="23"/>
  <c r="AH191" i="23" s="1"/>
  <c r="W191" i="23"/>
  <c r="BG183" i="23"/>
  <c r="D183" i="24"/>
  <c r="AS183" i="23"/>
  <c r="BB183" i="23"/>
  <c r="J205" i="21"/>
  <c r="T205" i="21"/>
  <c r="AD205" i="21"/>
  <c r="BC183" i="23"/>
  <c r="BE183" i="23"/>
  <c r="BA183" i="23"/>
  <c r="H205" i="21"/>
  <c r="S205" i="21"/>
  <c r="AE205" i="21"/>
  <c r="I205" i="21"/>
  <c r="U205" i="21"/>
  <c r="AF205" i="21"/>
  <c r="AN205" i="21" s="1"/>
  <c r="AV183" i="23"/>
  <c r="K205" i="21"/>
  <c r="AX205" i="21" s="1"/>
  <c r="V205" i="21"/>
  <c r="AG205" i="21"/>
  <c r="AQ205" i="21" s="1"/>
  <c r="E205" i="21"/>
  <c r="W205" i="21"/>
  <c r="AK205" i="21"/>
  <c r="F205" i="21"/>
  <c r="X205" i="21"/>
  <c r="Z205" i="21"/>
  <c r="G205" i="21"/>
  <c r="Y205" i="21"/>
  <c r="L205" i="21"/>
  <c r="D205" i="21"/>
  <c r="R205" i="21"/>
  <c r="AJ205" i="21"/>
  <c r="P205" i="21"/>
  <c r="Q205" i="21"/>
  <c r="AB205" i="21"/>
  <c r="AA205" i="21"/>
  <c r="A205" i="21"/>
  <c r="AC205" i="21"/>
  <c r="B205" i="21"/>
  <c r="AH205" i="21"/>
  <c r="C205" i="21"/>
  <c r="AI205" i="21"/>
  <c r="AW205" i="21" s="1"/>
  <c r="M205" i="21"/>
  <c r="N205" i="21"/>
  <c r="O205" i="21"/>
  <c r="S186" i="24"/>
  <c r="X186" i="24"/>
  <c r="AN186" i="24"/>
  <c r="BT186" i="24"/>
  <c r="Y186" i="24"/>
  <c r="AT186" i="24"/>
  <c r="Z186" i="24"/>
  <c r="AO155" i="24"/>
  <c r="R155" i="24"/>
  <c r="BL155" i="24"/>
  <c r="AX185" i="23"/>
  <c r="AW185" i="23"/>
  <c r="S175" i="24"/>
  <c r="BT175" i="24"/>
  <c r="W175" i="24"/>
  <c r="X175" i="24"/>
  <c r="AP175" i="24"/>
  <c r="BQ175" i="24"/>
  <c r="Z175" i="24"/>
  <c r="AT175" i="24"/>
  <c r="AV175" i="24"/>
  <c r="BM175" i="24"/>
  <c r="AW175" i="24"/>
  <c r="Q175" i="24"/>
  <c r="BK175" i="24"/>
  <c r="BA194" i="23"/>
  <c r="AV194" i="23"/>
  <c r="D194" i="24"/>
  <c r="I216" i="21"/>
  <c r="S216" i="21"/>
  <c r="AC216" i="21"/>
  <c r="AS194" i="23"/>
  <c r="C216" i="21"/>
  <c r="N216" i="21"/>
  <c r="Y216" i="21"/>
  <c r="AJ216" i="21"/>
  <c r="D216" i="21"/>
  <c r="O216" i="21"/>
  <c r="Z216" i="21"/>
  <c r="AK216" i="21"/>
  <c r="BC194" i="23"/>
  <c r="BB194" i="23"/>
  <c r="E216" i="21"/>
  <c r="P216" i="21"/>
  <c r="AA216" i="21"/>
  <c r="BE194" i="23"/>
  <c r="M216" i="21"/>
  <c r="AE216" i="21"/>
  <c r="T216" i="21"/>
  <c r="Q216" i="21"/>
  <c r="AF216" i="21"/>
  <c r="AN216" i="21" s="1"/>
  <c r="A216" i="21"/>
  <c r="R216" i="21"/>
  <c r="AG216" i="21"/>
  <c r="AQ216" i="21" s="1"/>
  <c r="AH216" i="21"/>
  <c r="BG194" i="23"/>
  <c r="L216" i="21"/>
  <c r="AD216" i="21"/>
  <c r="B216" i="21"/>
  <c r="J216" i="21"/>
  <c r="V216" i="21"/>
  <c r="K216" i="21"/>
  <c r="AX216" i="21" s="1"/>
  <c r="U216" i="21"/>
  <c r="W216" i="21"/>
  <c r="X216" i="21"/>
  <c r="AB216" i="21"/>
  <c r="F216" i="21"/>
  <c r="AI216" i="21"/>
  <c r="AW216" i="21" s="1"/>
  <c r="G216" i="21"/>
  <c r="H216" i="21"/>
  <c r="D163" i="24"/>
  <c r="BA163" i="23"/>
  <c r="D185" i="21"/>
  <c r="N185" i="21"/>
  <c r="X185" i="21"/>
  <c r="AH185" i="21"/>
  <c r="A185" i="21"/>
  <c r="L185" i="21"/>
  <c r="W185" i="21"/>
  <c r="AI185" i="21"/>
  <c r="AW185" i="21" s="1"/>
  <c r="B185" i="21"/>
  <c r="M185" i="21"/>
  <c r="Y185" i="21"/>
  <c r="AJ185" i="21"/>
  <c r="AV163" i="23"/>
  <c r="C185" i="21"/>
  <c r="O185" i="21"/>
  <c r="Z185" i="21"/>
  <c r="AK185" i="21"/>
  <c r="AS163" i="23"/>
  <c r="R185" i="21"/>
  <c r="AF185" i="21"/>
  <c r="AN185" i="21" s="1"/>
  <c r="U185" i="21"/>
  <c r="E185" i="21"/>
  <c r="S185" i="21"/>
  <c r="AG185" i="21"/>
  <c r="AQ185" i="21" s="1"/>
  <c r="G185" i="21"/>
  <c r="F185" i="21"/>
  <c r="T185" i="21"/>
  <c r="Q185" i="21"/>
  <c r="AE185" i="21"/>
  <c r="K185" i="21"/>
  <c r="AX185" i="21" s="1"/>
  <c r="P185" i="21"/>
  <c r="V185" i="21"/>
  <c r="AA185" i="21"/>
  <c r="AB185" i="21"/>
  <c r="AC185" i="21"/>
  <c r="AD185" i="21"/>
  <c r="H185" i="21"/>
  <c r="I185" i="21"/>
  <c r="J185" i="21"/>
  <c r="D93" i="24"/>
  <c r="J115" i="21"/>
  <c r="T115" i="21"/>
  <c r="AD115" i="21"/>
  <c r="A115" i="21"/>
  <c r="K115" i="21"/>
  <c r="AX115" i="21" s="1"/>
  <c r="U115" i="21"/>
  <c r="AE115" i="21"/>
  <c r="B115" i="21"/>
  <c r="L115" i="21"/>
  <c r="V115" i="21"/>
  <c r="AF115" i="21"/>
  <c r="AN115" i="21" s="1"/>
  <c r="I115" i="21"/>
  <c r="S115" i="21"/>
  <c r="AC115" i="21"/>
  <c r="M115" i="21"/>
  <c r="AA115" i="21"/>
  <c r="N115" i="21"/>
  <c r="AB115" i="21"/>
  <c r="O115" i="21"/>
  <c r="AG115" i="21"/>
  <c r="AQ115" i="21" s="1"/>
  <c r="H115" i="21"/>
  <c r="Z115" i="21"/>
  <c r="Q115" i="21"/>
  <c r="X115" i="21"/>
  <c r="R115" i="21"/>
  <c r="W115" i="21"/>
  <c r="C115" i="21"/>
  <c r="D115" i="21"/>
  <c r="AH115" i="21"/>
  <c r="E115" i="21"/>
  <c r="AI115" i="21"/>
  <c r="AW115" i="21" s="1"/>
  <c r="G115" i="21"/>
  <c r="AK115" i="21"/>
  <c r="P115" i="21"/>
  <c r="F115" i="21"/>
  <c r="Y115" i="21"/>
  <c r="AJ115" i="21"/>
  <c r="D164" i="24"/>
  <c r="BE164" i="23"/>
  <c r="E186" i="21"/>
  <c r="O186" i="21"/>
  <c r="Y186" i="21"/>
  <c r="AI186" i="21"/>
  <c r="AW186" i="21" s="1"/>
  <c r="G186" i="21"/>
  <c r="R186" i="21"/>
  <c r="AC186" i="21"/>
  <c r="H186" i="21"/>
  <c r="S186" i="21"/>
  <c r="AD186" i="21"/>
  <c r="I186" i="21"/>
  <c r="T186" i="21"/>
  <c r="AE186" i="21"/>
  <c r="K186" i="21"/>
  <c r="AX186" i="21" s="1"/>
  <c r="Z186" i="21"/>
  <c r="AF186" i="21"/>
  <c r="AN186" i="21" s="1"/>
  <c r="L186" i="21"/>
  <c r="AA186" i="21"/>
  <c r="N186" i="21"/>
  <c r="M186" i="21"/>
  <c r="AB186" i="21"/>
  <c r="BC164" i="23"/>
  <c r="J186" i="21"/>
  <c r="X186" i="21"/>
  <c r="D186" i="21"/>
  <c r="AK186" i="21"/>
  <c r="F186" i="21"/>
  <c r="P186" i="21"/>
  <c r="Q186" i="21"/>
  <c r="U186" i="21"/>
  <c r="V186" i="21"/>
  <c r="W186" i="21"/>
  <c r="A186" i="21"/>
  <c r="AG186" i="21"/>
  <c r="AQ186" i="21" s="1"/>
  <c r="B186" i="21"/>
  <c r="AH186" i="21"/>
  <c r="C186" i="21"/>
  <c r="AJ186" i="21"/>
  <c r="K109" i="23"/>
  <c r="H109" i="24"/>
  <c r="AB109" i="24"/>
  <c r="AC109" i="24" s="1"/>
  <c r="E109" i="24"/>
  <c r="F109" i="24" s="1"/>
  <c r="AY109" i="24"/>
  <c r="AZ109" i="24" s="1"/>
  <c r="AD109" i="24"/>
  <c r="BA109" i="24"/>
  <c r="AE109" i="24"/>
  <c r="BB109" i="24"/>
  <c r="G109" i="24"/>
  <c r="J109" i="23"/>
  <c r="D46" i="24"/>
  <c r="BG46" i="23"/>
  <c r="I68" i="21"/>
  <c r="S68" i="21"/>
  <c r="AC68" i="21"/>
  <c r="AV46" i="23"/>
  <c r="D68" i="21"/>
  <c r="O68" i="21"/>
  <c r="Z68" i="21"/>
  <c r="AK68" i="21"/>
  <c r="E68" i="21"/>
  <c r="P68" i="21"/>
  <c r="AA68" i="21"/>
  <c r="F68" i="21"/>
  <c r="Q68" i="21"/>
  <c r="AB68" i="21"/>
  <c r="BA46" i="23"/>
  <c r="C68" i="21"/>
  <c r="N68" i="21"/>
  <c r="Y68" i="21"/>
  <c r="AJ68" i="21"/>
  <c r="BC46" i="23"/>
  <c r="L68" i="21"/>
  <c r="AF68" i="21"/>
  <c r="AN68" i="21" s="1"/>
  <c r="M68" i="21"/>
  <c r="AG68" i="21"/>
  <c r="AQ68" i="21" s="1"/>
  <c r="R68" i="21"/>
  <c r="AH68" i="21"/>
  <c r="A68" i="21"/>
  <c r="U68" i="21"/>
  <c r="K68" i="21"/>
  <c r="AX68" i="21" s="1"/>
  <c r="AE68" i="21"/>
  <c r="V68" i="21"/>
  <c r="W68" i="21"/>
  <c r="X68" i="21"/>
  <c r="AD68" i="21"/>
  <c r="AI68" i="21"/>
  <c r="AW68" i="21" s="1"/>
  <c r="B68" i="21"/>
  <c r="G68" i="21"/>
  <c r="H68" i="21"/>
  <c r="J68" i="21"/>
  <c r="T68" i="21"/>
  <c r="AF84" i="23"/>
  <c r="AH84" i="23" s="1"/>
  <c r="O84" i="23"/>
  <c r="BL116" i="24"/>
  <c r="R116" i="24"/>
  <c r="AO116" i="24"/>
  <c r="AO53" i="24"/>
  <c r="R53" i="24"/>
  <c r="BL53" i="24"/>
  <c r="O94" i="23"/>
  <c r="I156" i="24"/>
  <c r="AO18" i="24"/>
  <c r="R18" i="24"/>
  <c r="BL18" i="24"/>
  <c r="R73" i="24"/>
  <c r="AO73" i="24"/>
  <c r="BL73" i="24"/>
  <c r="AO149" i="24"/>
  <c r="R149" i="24"/>
  <c r="BL149" i="24"/>
  <c r="D98" i="24"/>
  <c r="C120" i="21"/>
  <c r="M120" i="21"/>
  <c r="W120" i="21"/>
  <c r="AG120" i="21"/>
  <c r="AQ120" i="21" s="1"/>
  <c r="D120" i="21"/>
  <c r="N120" i="21"/>
  <c r="X120" i="21"/>
  <c r="AH120" i="21"/>
  <c r="E120" i="21"/>
  <c r="O120" i="21"/>
  <c r="Y120" i="21"/>
  <c r="AI120" i="21"/>
  <c r="AW120" i="21" s="1"/>
  <c r="B120" i="21"/>
  <c r="L120" i="21"/>
  <c r="V120" i="21"/>
  <c r="AF120" i="21"/>
  <c r="AN120" i="21" s="1"/>
  <c r="F120" i="21"/>
  <c r="T120" i="21"/>
  <c r="G120" i="21"/>
  <c r="U120" i="21"/>
  <c r="H120" i="21"/>
  <c r="Z120" i="21"/>
  <c r="A120" i="21"/>
  <c r="S120" i="21"/>
  <c r="AK120" i="21"/>
  <c r="AB120" i="21"/>
  <c r="I120" i="21"/>
  <c r="AE120" i="21"/>
  <c r="AC120" i="21"/>
  <c r="AD120" i="21"/>
  <c r="J120" i="21"/>
  <c r="AJ120" i="21"/>
  <c r="K120" i="21"/>
  <c r="AX120" i="21" s="1"/>
  <c r="P120" i="21"/>
  <c r="R120" i="21"/>
  <c r="AA120" i="21"/>
  <c r="Q120" i="21"/>
  <c r="AF173" i="24"/>
  <c r="AY181" i="24"/>
  <c r="AZ181" i="24" s="1"/>
  <c r="BA181" i="24"/>
  <c r="E181" i="24"/>
  <c r="F181" i="24" s="1"/>
  <c r="AE181" i="24"/>
  <c r="G181" i="24"/>
  <c r="H181" i="24"/>
  <c r="AD181" i="24"/>
  <c r="AB181" i="24"/>
  <c r="AC181" i="24" s="1"/>
  <c r="BB181" i="24"/>
  <c r="AA186" i="23"/>
  <c r="I163" i="24"/>
  <c r="AF175" i="23"/>
  <c r="AH175" i="23" s="1"/>
  <c r="F175" i="23"/>
  <c r="H110" i="24"/>
  <c r="E110" i="24"/>
  <c r="F110" i="24" s="1"/>
  <c r="G110" i="24"/>
  <c r="AE110" i="24"/>
  <c r="AY110" i="24"/>
  <c r="AZ110" i="24" s="1"/>
  <c r="BA110" i="24"/>
  <c r="BB110" i="24"/>
  <c r="J110" i="23"/>
  <c r="AB110" i="24"/>
  <c r="AC110" i="24" s="1"/>
  <c r="AD110" i="24"/>
  <c r="K110" i="23"/>
  <c r="G110" i="23"/>
  <c r="H110" i="23"/>
  <c r="I110" i="23" s="1"/>
  <c r="L110" i="23" s="1"/>
  <c r="N110" i="23" s="1"/>
  <c r="D106" i="24"/>
  <c r="B128" i="21"/>
  <c r="L128" i="21"/>
  <c r="V128" i="21"/>
  <c r="AF128" i="21"/>
  <c r="AN128" i="21" s="1"/>
  <c r="C128" i="21"/>
  <c r="M128" i="21"/>
  <c r="W128" i="21"/>
  <c r="AG128" i="21"/>
  <c r="AQ128" i="21" s="1"/>
  <c r="D128" i="21"/>
  <c r="N128" i="21"/>
  <c r="X128" i="21"/>
  <c r="AH128" i="21"/>
  <c r="A128" i="21"/>
  <c r="K128" i="21"/>
  <c r="AX128" i="21" s="1"/>
  <c r="U128" i="21"/>
  <c r="AE128" i="21"/>
  <c r="O128" i="21"/>
  <c r="AC128" i="21"/>
  <c r="P128" i="21"/>
  <c r="AD128" i="21"/>
  <c r="Q128" i="21"/>
  <c r="AI128" i="21"/>
  <c r="AW128" i="21" s="1"/>
  <c r="J128" i="21"/>
  <c r="AB128" i="21"/>
  <c r="E128" i="21"/>
  <c r="AA128" i="21"/>
  <c r="H128" i="21"/>
  <c r="F128" i="21"/>
  <c r="AJ128" i="21"/>
  <c r="G128" i="21"/>
  <c r="AK128" i="21"/>
  <c r="I128" i="21"/>
  <c r="R128" i="21"/>
  <c r="S128" i="21"/>
  <c r="Z128" i="21"/>
  <c r="T128" i="21"/>
  <c r="Y128" i="21"/>
  <c r="K129" i="23"/>
  <c r="G129" i="24"/>
  <c r="BA129" i="24"/>
  <c r="H129" i="24"/>
  <c r="BB129" i="24"/>
  <c r="AY129" i="24"/>
  <c r="AZ129" i="24" s="1"/>
  <c r="AD129" i="24"/>
  <c r="E129" i="24"/>
  <c r="F129" i="24" s="1"/>
  <c r="I129" i="24" s="1"/>
  <c r="AE129" i="24"/>
  <c r="AB129" i="24"/>
  <c r="AC129" i="24" s="1"/>
  <c r="G129" i="23"/>
  <c r="J129" i="23"/>
  <c r="I129" i="23"/>
  <c r="H129" i="23"/>
  <c r="AA166" i="23"/>
  <c r="BA166" i="23"/>
  <c r="D166" i="24"/>
  <c r="BG166" i="23"/>
  <c r="G188" i="21"/>
  <c r="Q188" i="21"/>
  <c r="AA188" i="21"/>
  <c r="AK188" i="21"/>
  <c r="AS166" i="23"/>
  <c r="F188" i="21"/>
  <c r="R188" i="21"/>
  <c r="AC188" i="21"/>
  <c r="H188" i="21"/>
  <c r="S188" i="21"/>
  <c r="AD188" i="21"/>
  <c r="I188" i="21"/>
  <c r="T188" i="21"/>
  <c r="AE188" i="21"/>
  <c r="AV166" i="23"/>
  <c r="L188" i="21"/>
  <c r="Z188" i="21"/>
  <c r="A188" i="21"/>
  <c r="M188" i="21"/>
  <c r="AB188" i="21"/>
  <c r="AG188" i="21"/>
  <c r="AQ188" i="21" s="1"/>
  <c r="N188" i="21"/>
  <c r="AF188" i="21"/>
  <c r="AN188" i="21" s="1"/>
  <c r="O188" i="21"/>
  <c r="BC166" i="23"/>
  <c r="BE166" i="23"/>
  <c r="K188" i="21"/>
  <c r="AX188" i="21" s="1"/>
  <c r="Y188" i="21"/>
  <c r="W188" i="21"/>
  <c r="C188" i="21"/>
  <c r="X188" i="21"/>
  <c r="B188" i="21"/>
  <c r="AH188" i="21"/>
  <c r="AI188" i="21"/>
  <c r="AW188" i="21" s="1"/>
  <c r="D188" i="21"/>
  <c r="AJ188" i="21"/>
  <c r="E188" i="21"/>
  <c r="J188" i="21"/>
  <c r="P188" i="21"/>
  <c r="U188" i="21"/>
  <c r="V188" i="21"/>
  <c r="O155" i="23"/>
  <c r="AB184" i="24"/>
  <c r="AC184" i="24" s="1"/>
  <c r="BB184" i="24"/>
  <c r="G184" i="24"/>
  <c r="H184" i="24"/>
  <c r="AD184" i="24"/>
  <c r="AY184" i="24"/>
  <c r="E184" i="24"/>
  <c r="F184" i="24" s="1"/>
  <c r="AZ184" i="24"/>
  <c r="BA184" i="24"/>
  <c r="AE184" i="24"/>
  <c r="H184" i="23"/>
  <c r="I184" i="23" s="1"/>
  <c r="L184" i="23" s="1"/>
  <c r="G184" i="23"/>
  <c r="BG126" i="23"/>
  <c r="D126" i="24"/>
  <c r="BA126" i="23"/>
  <c r="BB126" i="23"/>
  <c r="BC126" i="23"/>
  <c r="AS126" i="23"/>
  <c r="D148" i="21"/>
  <c r="N148" i="21"/>
  <c r="X148" i="21"/>
  <c r="AH148" i="21"/>
  <c r="BE126" i="23"/>
  <c r="F148" i="21"/>
  <c r="P148" i="21"/>
  <c r="Z148" i="21"/>
  <c r="AJ148" i="21"/>
  <c r="C148" i="21"/>
  <c r="M148" i="21"/>
  <c r="W148" i="21"/>
  <c r="AG148" i="21"/>
  <c r="AQ148" i="21" s="1"/>
  <c r="K148" i="21"/>
  <c r="AX148" i="21" s="1"/>
  <c r="AA148" i="21"/>
  <c r="L148" i="21"/>
  <c r="AB148" i="21"/>
  <c r="O148" i="21"/>
  <c r="AC148" i="21"/>
  <c r="J148" i="21"/>
  <c r="AF148" i="21"/>
  <c r="AN148" i="21" s="1"/>
  <c r="S148" i="21"/>
  <c r="Q148" i="21"/>
  <c r="AI148" i="21"/>
  <c r="AW148" i="21" s="1"/>
  <c r="R148" i="21"/>
  <c r="AK148" i="21"/>
  <c r="B148" i="21"/>
  <c r="U148" i="21"/>
  <c r="E148" i="21"/>
  <c r="V148" i="21"/>
  <c r="I148" i="21"/>
  <c r="AE148" i="21"/>
  <c r="A148" i="21"/>
  <c r="G148" i="21"/>
  <c r="H148" i="21"/>
  <c r="T148" i="21"/>
  <c r="Y148" i="21"/>
  <c r="AD148" i="21"/>
  <c r="D162" i="24"/>
  <c r="BA162" i="23"/>
  <c r="BB162" i="23"/>
  <c r="B184" i="21"/>
  <c r="L184" i="21"/>
  <c r="V184" i="21"/>
  <c r="AF184" i="21"/>
  <c r="AN184" i="21" s="1"/>
  <c r="F184" i="21"/>
  <c r="Q184" i="21"/>
  <c r="AB184" i="21"/>
  <c r="G184" i="21"/>
  <c r="R184" i="21"/>
  <c r="AC184" i="21"/>
  <c r="H184" i="21"/>
  <c r="S184" i="21"/>
  <c r="AD184" i="21"/>
  <c r="I184" i="21"/>
  <c r="X184" i="21"/>
  <c r="M184" i="21"/>
  <c r="J184" i="21"/>
  <c r="Y184" i="21"/>
  <c r="K184" i="21"/>
  <c r="AX184" i="21" s="1"/>
  <c r="Z184" i="21"/>
  <c r="AA184" i="21"/>
  <c r="E184" i="21"/>
  <c r="W184" i="21"/>
  <c r="AK184" i="21"/>
  <c r="T184" i="21"/>
  <c r="U184" i="21"/>
  <c r="AE184" i="21"/>
  <c r="AG184" i="21"/>
  <c r="AQ184" i="21" s="1"/>
  <c r="A184" i="21"/>
  <c r="AH184" i="21"/>
  <c r="C184" i="21"/>
  <c r="AI184" i="21"/>
  <c r="AW184" i="21" s="1"/>
  <c r="D184" i="21"/>
  <c r="AJ184" i="21"/>
  <c r="N184" i="21"/>
  <c r="O184" i="21"/>
  <c r="P184" i="21"/>
  <c r="BG80" i="23"/>
  <c r="D80" i="24"/>
  <c r="I102" i="21"/>
  <c r="AS80" i="23"/>
  <c r="H102" i="21"/>
  <c r="S102" i="21"/>
  <c r="AC102" i="21"/>
  <c r="J102" i="21"/>
  <c r="T102" i="21"/>
  <c r="AD102" i="21"/>
  <c r="K102" i="21"/>
  <c r="AX102" i="21" s="1"/>
  <c r="U102" i="21"/>
  <c r="AE102" i="21"/>
  <c r="G102" i="21"/>
  <c r="R102" i="21"/>
  <c r="AB102" i="21"/>
  <c r="C102" i="21"/>
  <c r="V102" i="21"/>
  <c r="AJ102" i="21"/>
  <c r="D102" i="21"/>
  <c r="W102" i="21"/>
  <c r="AK102" i="21"/>
  <c r="E102" i="21"/>
  <c r="X102" i="21"/>
  <c r="B102" i="21"/>
  <c r="Q102" i="21"/>
  <c r="AI102" i="21"/>
  <c r="AW102" i="21" s="1"/>
  <c r="P102" i="21"/>
  <c r="AA102" i="21"/>
  <c r="Y102" i="21"/>
  <c r="Z102" i="21"/>
  <c r="A102" i="21"/>
  <c r="AF102" i="21"/>
  <c r="AN102" i="21" s="1"/>
  <c r="F102" i="21"/>
  <c r="AG102" i="21"/>
  <c r="AQ102" i="21" s="1"/>
  <c r="L102" i="21"/>
  <c r="AH102" i="21"/>
  <c r="N102" i="21"/>
  <c r="O102" i="21"/>
  <c r="M102" i="21"/>
  <c r="BB79" i="23"/>
  <c r="D79" i="24"/>
  <c r="I101" i="21"/>
  <c r="S101" i="21"/>
  <c r="AC101" i="21"/>
  <c r="D101" i="21"/>
  <c r="O101" i="21"/>
  <c r="Z101" i="21"/>
  <c r="AK101" i="21"/>
  <c r="E101" i="21"/>
  <c r="P101" i="21"/>
  <c r="AA101" i="21"/>
  <c r="F101" i="21"/>
  <c r="Q101" i="21"/>
  <c r="AB101" i="21"/>
  <c r="C101" i="21"/>
  <c r="N101" i="21"/>
  <c r="Y101" i="21"/>
  <c r="AJ101" i="21"/>
  <c r="G101" i="21"/>
  <c r="W101" i="21"/>
  <c r="H101" i="21"/>
  <c r="X101" i="21"/>
  <c r="J101" i="21"/>
  <c r="AD101" i="21"/>
  <c r="B101" i="21"/>
  <c r="V101" i="21"/>
  <c r="AF101" i="21"/>
  <c r="AN101" i="21" s="1"/>
  <c r="K101" i="21"/>
  <c r="AX101" i="21" s="1"/>
  <c r="AI101" i="21"/>
  <c r="AW101" i="21" s="1"/>
  <c r="L101" i="21"/>
  <c r="AG101" i="21"/>
  <c r="AQ101" i="21" s="1"/>
  <c r="A101" i="21"/>
  <c r="AH101" i="21"/>
  <c r="M101" i="21"/>
  <c r="R101" i="21"/>
  <c r="U101" i="21"/>
  <c r="AE101" i="21"/>
  <c r="T101" i="21"/>
  <c r="R33" i="24"/>
  <c r="AO33" i="24"/>
  <c r="BL33" i="24"/>
  <c r="AO44" i="24"/>
  <c r="BL44" i="24"/>
  <c r="R44" i="24"/>
  <c r="R160" i="24"/>
  <c r="AO160" i="24"/>
  <c r="BL160" i="24"/>
  <c r="BL161" i="24"/>
  <c r="AO161" i="24"/>
  <c r="R161" i="24"/>
  <c r="R54" i="24"/>
  <c r="BL54" i="24"/>
  <c r="AO54" i="24"/>
  <c r="R30" i="24"/>
  <c r="AO30" i="24"/>
  <c r="BL30" i="24"/>
  <c r="E136" i="24"/>
  <c r="F136" i="24" s="1"/>
  <c r="AY136" i="24"/>
  <c r="AZ136" i="24" s="1"/>
  <c r="G136" i="24"/>
  <c r="BA136" i="24"/>
  <c r="AB136" i="24"/>
  <c r="AC136" i="24" s="1"/>
  <c r="BB136" i="24"/>
  <c r="H136" i="24"/>
  <c r="AD136" i="24"/>
  <c r="AE136" i="24"/>
  <c r="K186" i="23"/>
  <c r="AE186" i="24"/>
  <c r="E186" i="24"/>
  <c r="F186" i="24" s="1"/>
  <c r="J186" i="23"/>
  <c r="L186" i="23" s="1"/>
  <c r="Y186" i="23" s="1"/>
  <c r="BF186" i="23" s="1"/>
  <c r="G186" i="24"/>
  <c r="AY186" i="24"/>
  <c r="AZ186" i="24" s="1"/>
  <c r="H186" i="24"/>
  <c r="AB186" i="24"/>
  <c r="AC186" i="24" s="1"/>
  <c r="BA186" i="24"/>
  <c r="BB186" i="24"/>
  <c r="AD186" i="24"/>
  <c r="Z87" i="23"/>
  <c r="D123" i="24"/>
  <c r="BC123" i="23"/>
  <c r="I145" i="21"/>
  <c r="S145" i="21"/>
  <c r="AC145" i="21"/>
  <c r="A145" i="21"/>
  <c r="K145" i="21"/>
  <c r="AX145" i="21" s="1"/>
  <c r="U145" i="21"/>
  <c r="AE145" i="21"/>
  <c r="H145" i="21"/>
  <c r="R145" i="21"/>
  <c r="AB145" i="21"/>
  <c r="M145" i="21"/>
  <c r="Z145" i="21"/>
  <c r="N145" i="21"/>
  <c r="AA145" i="21"/>
  <c r="B145" i="21"/>
  <c r="O145" i="21"/>
  <c r="AD145" i="21"/>
  <c r="L145" i="21"/>
  <c r="Y145" i="21"/>
  <c r="J145" i="21"/>
  <c r="AI145" i="21"/>
  <c r="AW145" i="21" s="1"/>
  <c r="T145" i="21"/>
  <c r="P145" i="21"/>
  <c r="AJ145" i="21"/>
  <c r="Q145" i="21"/>
  <c r="AK145" i="21"/>
  <c r="V145" i="21"/>
  <c r="C145" i="21"/>
  <c r="W145" i="21"/>
  <c r="D145" i="21"/>
  <c r="X145" i="21"/>
  <c r="G145" i="21"/>
  <c r="AH145" i="21"/>
  <c r="AF145" i="21"/>
  <c r="AN145" i="21" s="1"/>
  <c r="AG145" i="21"/>
  <c r="AQ145" i="21" s="1"/>
  <c r="E145" i="21"/>
  <c r="F145" i="21"/>
  <c r="BC163" i="24"/>
  <c r="AO113" i="24"/>
  <c r="R113" i="24"/>
  <c r="BL113" i="24"/>
  <c r="AO76" i="24"/>
  <c r="R76" i="24"/>
  <c r="BL76" i="24"/>
  <c r="AO103" i="24"/>
  <c r="R103" i="24"/>
  <c r="BL103" i="24"/>
  <c r="AS191" i="23"/>
  <c r="D191" i="24"/>
  <c r="BB191" i="23"/>
  <c r="BC191" i="23"/>
  <c r="F213" i="21"/>
  <c r="P213" i="21"/>
  <c r="Z213" i="21"/>
  <c r="AJ213" i="21"/>
  <c r="B213" i="21"/>
  <c r="M213" i="21"/>
  <c r="X213" i="21"/>
  <c r="AI213" i="21"/>
  <c r="AW213" i="21" s="1"/>
  <c r="C213" i="21"/>
  <c r="N213" i="21"/>
  <c r="Y213" i="21"/>
  <c r="AK213" i="21"/>
  <c r="D213" i="21"/>
  <c r="O213" i="21"/>
  <c r="AA213" i="21"/>
  <c r="BA191" i="23"/>
  <c r="K213" i="21"/>
  <c r="AX213" i="21" s="1"/>
  <c r="AC213" i="21"/>
  <c r="AF213" i="21"/>
  <c r="AN213" i="21" s="1"/>
  <c r="L213" i="21"/>
  <c r="AD213" i="21"/>
  <c r="R213" i="21"/>
  <c r="Q213" i="21"/>
  <c r="AE213" i="21"/>
  <c r="J213" i="21"/>
  <c r="AB213" i="21"/>
  <c r="V213" i="21"/>
  <c r="A213" i="21"/>
  <c r="AH213" i="21"/>
  <c r="W213" i="21"/>
  <c r="E213" i="21"/>
  <c r="AG213" i="21"/>
  <c r="AQ213" i="21" s="1"/>
  <c r="G213" i="21"/>
  <c r="H213" i="21"/>
  <c r="I213" i="21"/>
  <c r="S213" i="21"/>
  <c r="T213" i="21"/>
  <c r="U213" i="21"/>
  <c r="Z193" i="23"/>
  <c r="Z176" i="24"/>
  <c r="AT176" i="24"/>
  <c r="BK176" i="24"/>
  <c r="Y176" i="24"/>
  <c r="BR176" i="24"/>
  <c r="BS176" i="24"/>
  <c r="BT176" i="24"/>
  <c r="AW176" i="24"/>
  <c r="W176" i="24"/>
  <c r="X176" i="24"/>
  <c r="AS58" i="23"/>
  <c r="D58" i="24"/>
  <c r="J80" i="21"/>
  <c r="T80" i="21"/>
  <c r="AD80" i="21"/>
  <c r="AV58" i="23"/>
  <c r="B80" i="21"/>
  <c r="M80" i="21"/>
  <c r="X80" i="21"/>
  <c r="AI80" i="21"/>
  <c r="AW80" i="21" s="1"/>
  <c r="C80" i="21"/>
  <c r="N80" i="21"/>
  <c r="Y80" i="21"/>
  <c r="AJ80" i="21"/>
  <c r="BC58" i="23"/>
  <c r="D80" i="21"/>
  <c r="O80" i="21"/>
  <c r="Z80" i="21"/>
  <c r="AK80" i="21"/>
  <c r="A80" i="21"/>
  <c r="L80" i="21"/>
  <c r="W80" i="21"/>
  <c r="AH80" i="21"/>
  <c r="E80" i="21"/>
  <c r="U80" i="21"/>
  <c r="F80" i="21"/>
  <c r="V80" i="21"/>
  <c r="G80" i="21"/>
  <c r="AA80" i="21"/>
  <c r="S80" i="21"/>
  <c r="R80" i="21"/>
  <c r="AE80" i="21"/>
  <c r="AB80" i="21"/>
  <c r="AC80" i="21"/>
  <c r="AF80" i="21"/>
  <c r="AN80" i="21" s="1"/>
  <c r="H80" i="21"/>
  <c r="AG80" i="21"/>
  <c r="AQ80" i="21" s="1"/>
  <c r="I80" i="21"/>
  <c r="K80" i="21"/>
  <c r="AX80" i="21" s="1"/>
  <c r="P80" i="21"/>
  <c r="Q80" i="21"/>
  <c r="D139" i="24"/>
  <c r="BC139" i="23"/>
  <c r="BE139" i="23"/>
  <c r="AS139" i="23"/>
  <c r="BG139" i="23"/>
  <c r="BB139" i="23"/>
  <c r="I161" i="21"/>
  <c r="S161" i="21"/>
  <c r="AC161" i="21"/>
  <c r="AV139" i="23"/>
  <c r="A161" i="21"/>
  <c r="K161" i="21"/>
  <c r="AX161" i="21" s="1"/>
  <c r="U161" i="21"/>
  <c r="AE161" i="21"/>
  <c r="H161" i="21"/>
  <c r="V161" i="21"/>
  <c r="AH161" i="21"/>
  <c r="J161" i="21"/>
  <c r="W161" i="21"/>
  <c r="AI161" i="21"/>
  <c r="AW161" i="21" s="1"/>
  <c r="L161" i="21"/>
  <c r="X161" i="21"/>
  <c r="AJ161" i="21"/>
  <c r="BA139" i="23"/>
  <c r="P161" i="21"/>
  <c r="AG161" i="21"/>
  <c r="AQ161" i="21" s="1"/>
  <c r="D161" i="21"/>
  <c r="B161" i="21"/>
  <c r="Q161" i="21"/>
  <c r="AK161" i="21"/>
  <c r="T161" i="21"/>
  <c r="C161" i="21"/>
  <c r="R161" i="21"/>
  <c r="O161" i="21"/>
  <c r="AF161" i="21"/>
  <c r="AN161" i="21" s="1"/>
  <c r="AB161" i="21"/>
  <c r="AD161" i="21"/>
  <c r="E161" i="21"/>
  <c r="F161" i="21"/>
  <c r="G161" i="21"/>
  <c r="M161" i="21"/>
  <c r="N161" i="21"/>
  <c r="Y161" i="21"/>
  <c r="Z161" i="21"/>
  <c r="AA161" i="21"/>
  <c r="D10" i="24"/>
  <c r="BB10" i="23"/>
  <c r="BC10" i="23"/>
  <c r="BE10" i="23"/>
  <c r="G32" i="21"/>
  <c r="Q32" i="21"/>
  <c r="AA32" i="21"/>
  <c r="AK32" i="21"/>
  <c r="BG10" i="23"/>
  <c r="AS10" i="23"/>
  <c r="D32" i="21"/>
  <c r="O32" i="21"/>
  <c r="Z32" i="21"/>
  <c r="E32" i="21"/>
  <c r="P32" i="21"/>
  <c r="AB32" i="21"/>
  <c r="F32" i="21"/>
  <c r="R32" i="21"/>
  <c r="AC32" i="21"/>
  <c r="C32" i="21"/>
  <c r="N32" i="21"/>
  <c r="Y32" i="21"/>
  <c r="AJ32" i="21"/>
  <c r="S32" i="21"/>
  <c r="AH32" i="21"/>
  <c r="T32" i="21"/>
  <c r="AI32" i="21"/>
  <c r="AW32" i="21" s="1"/>
  <c r="B32" i="21"/>
  <c r="V32" i="21"/>
  <c r="A32" i="21"/>
  <c r="U32" i="21"/>
  <c r="H32" i="21"/>
  <c r="W32" i="21"/>
  <c r="M32" i="21"/>
  <c r="AG32" i="21"/>
  <c r="AQ32" i="21" s="1"/>
  <c r="AE32" i="21"/>
  <c r="AF32" i="21"/>
  <c r="AN32" i="21" s="1"/>
  <c r="I32" i="21"/>
  <c r="J32" i="21"/>
  <c r="K32" i="21"/>
  <c r="AX32" i="21" s="1"/>
  <c r="L32" i="21"/>
  <c r="X32" i="21"/>
  <c r="AD32" i="21"/>
  <c r="D39" i="24"/>
  <c r="AV39" i="23"/>
  <c r="E61" i="21"/>
  <c r="O61" i="21"/>
  <c r="Y61" i="21"/>
  <c r="AI61" i="21"/>
  <c r="AW61" i="21" s="1"/>
  <c r="BG39" i="23"/>
  <c r="I61" i="21"/>
  <c r="T61" i="21"/>
  <c r="AE61" i="21"/>
  <c r="J61" i="21"/>
  <c r="U61" i="21"/>
  <c r="AF61" i="21"/>
  <c r="AN61" i="21" s="1"/>
  <c r="K61" i="21"/>
  <c r="AX61" i="21" s="1"/>
  <c r="V61" i="21"/>
  <c r="AG61" i="21"/>
  <c r="AQ61" i="21" s="1"/>
  <c r="H61" i="21"/>
  <c r="S61" i="21"/>
  <c r="AD61" i="21"/>
  <c r="A61" i="21"/>
  <c r="Q61" i="21"/>
  <c r="AK61" i="21"/>
  <c r="B61" i="21"/>
  <c r="R61" i="21"/>
  <c r="C61" i="21"/>
  <c r="W61" i="21"/>
  <c r="F61" i="21"/>
  <c r="Z61" i="21"/>
  <c r="P61" i="21"/>
  <c r="AJ61" i="21"/>
  <c r="AA61" i="21"/>
  <c r="AB61" i="21"/>
  <c r="AC61" i="21"/>
  <c r="AH61" i="21"/>
  <c r="D61" i="21"/>
  <c r="G61" i="21"/>
  <c r="L61" i="21"/>
  <c r="M61" i="21"/>
  <c r="N61" i="21"/>
  <c r="X61" i="21"/>
  <c r="D105" i="24"/>
  <c r="A127" i="21"/>
  <c r="K127" i="21"/>
  <c r="AX127" i="21" s="1"/>
  <c r="U127" i="21"/>
  <c r="AE127" i="21"/>
  <c r="B127" i="21"/>
  <c r="L127" i="21"/>
  <c r="V127" i="21"/>
  <c r="AF127" i="21"/>
  <c r="AN127" i="21" s="1"/>
  <c r="C127" i="21"/>
  <c r="M127" i="21"/>
  <c r="W127" i="21"/>
  <c r="AG127" i="21"/>
  <c r="AQ127" i="21" s="1"/>
  <c r="J127" i="21"/>
  <c r="T127" i="21"/>
  <c r="AD127" i="21"/>
  <c r="D127" i="21"/>
  <c r="R127" i="21"/>
  <c r="AJ127" i="21"/>
  <c r="E127" i="21"/>
  <c r="S127" i="21"/>
  <c r="AK127" i="21"/>
  <c r="F127" i="21"/>
  <c r="X127" i="21"/>
  <c r="Q127" i="21"/>
  <c r="AI127" i="21"/>
  <c r="AW127" i="21" s="1"/>
  <c r="N127" i="21"/>
  <c r="Y127" i="21"/>
  <c r="O127" i="21"/>
  <c r="P127" i="21"/>
  <c r="Z127" i="21"/>
  <c r="AA127" i="21"/>
  <c r="AB127" i="21"/>
  <c r="I127" i="21"/>
  <c r="G127" i="21"/>
  <c r="H127" i="21"/>
  <c r="AC127" i="21"/>
  <c r="AH127" i="21"/>
  <c r="AY186" i="23"/>
  <c r="Y177" i="24"/>
  <c r="AW177" i="24"/>
  <c r="BQ177" i="24"/>
  <c r="S177" i="24"/>
  <c r="BR177" i="24"/>
  <c r="BS177" i="24"/>
  <c r="Q177" i="24"/>
  <c r="AV177" i="24"/>
  <c r="BK177" i="24"/>
  <c r="AT177" i="24"/>
  <c r="AU177" i="24"/>
  <c r="Z177" i="24"/>
  <c r="AP177" i="24"/>
  <c r="W177" i="24"/>
  <c r="X177" i="24"/>
  <c r="BT177" i="24"/>
  <c r="AN177" i="24"/>
  <c r="BL163" i="24"/>
  <c r="AS85" i="23"/>
  <c r="D85" i="24"/>
  <c r="A107" i="21"/>
  <c r="K107" i="21"/>
  <c r="AX107" i="21" s="1"/>
  <c r="U107" i="21"/>
  <c r="AE107" i="21"/>
  <c r="B107" i="21"/>
  <c r="L107" i="21"/>
  <c r="V107" i="21"/>
  <c r="AF107" i="21"/>
  <c r="AN107" i="21" s="1"/>
  <c r="C107" i="21"/>
  <c r="M107" i="21"/>
  <c r="W107" i="21"/>
  <c r="AG107" i="21"/>
  <c r="AQ107" i="21" s="1"/>
  <c r="J107" i="21"/>
  <c r="T107" i="21"/>
  <c r="AD107" i="21"/>
  <c r="D107" i="21"/>
  <c r="R107" i="21"/>
  <c r="AJ107" i="21"/>
  <c r="E107" i="21"/>
  <c r="S107" i="21"/>
  <c r="AK107" i="21"/>
  <c r="F107" i="21"/>
  <c r="X107" i="21"/>
  <c r="Q107" i="21"/>
  <c r="AI107" i="21"/>
  <c r="AW107" i="21" s="1"/>
  <c r="N107" i="21"/>
  <c r="Y107" i="21"/>
  <c r="O107" i="21"/>
  <c r="P107" i="21"/>
  <c r="Z107" i="21"/>
  <c r="AA107" i="21"/>
  <c r="AB107" i="21"/>
  <c r="H107" i="21"/>
  <c r="AH107" i="21"/>
  <c r="I107" i="21"/>
  <c r="AC107" i="21"/>
  <c r="G107" i="21"/>
  <c r="AI2" i="23"/>
  <c r="AK2" i="23" s="1"/>
  <c r="AE3" i="23" s="1"/>
  <c r="AI3" i="23" s="1"/>
  <c r="AK3" i="23" s="1"/>
  <c r="AE4" i="23" s="1"/>
  <c r="AG4" i="23" s="1"/>
  <c r="K46" i="23"/>
  <c r="AB46" i="24"/>
  <c r="AC46" i="24" s="1"/>
  <c r="AD46" i="24"/>
  <c r="H46" i="24"/>
  <c r="AY46" i="24"/>
  <c r="AZ46" i="24" s="1"/>
  <c r="BA46" i="24"/>
  <c r="E46" i="24"/>
  <c r="F46" i="24" s="1"/>
  <c r="BB46" i="24"/>
  <c r="AE46" i="24"/>
  <c r="G46" i="24"/>
  <c r="G46" i="23"/>
  <c r="H46" i="23"/>
  <c r="I46" i="23" s="1"/>
  <c r="J46" i="23"/>
  <c r="D72" i="24"/>
  <c r="J94" i="21"/>
  <c r="T94" i="21"/>
  <c r="AD94" i="21"/>
  <c r="BA72" i="23"/>
  <c r="E94" i="21"/>
  <c r="P94" i="21"/>
  <c r="AA94" i="21"/>
  <c r="BB72" i="23"/>
  <c r="F94" i="21"/>
  <c r="Q94" i="21"/>
  <c r="AB94" i="21"/>
  <c r="G94" i="21"/>
  <c r="R94" i="21"/>
  <c r="AC94" i="21"/>
  <c r="D94" i="21"/>
  <c r="O94" i="21"/>
  <c r="Z94" i="21"/>
  <c r="AK94" i="21"/>
  <c r="M94" i="21"/>
  <c r="AG94" i="21"/>
  <c r="AQ94" i="21" s="1"/>
  <c r="N94" i="21"/>
  <c r="AH94" i="21"/>
  <c r="S94" i="21"/>
  <c r="AI94" i="21"/>
  <c r="AW94" i="21" s="1"/>
  <c r="L94" i="21"/>
  <c r="AF94" i="21"/>
  <c r="AN94" i="21" s="1"/>
  <c r="H94" i="21"/>
  <c r="U94" i="21"/>
  <c r="I94" i="21"/>
  <c r="V94" i="21"/>
  <c r="K94" i="21"/>
  <c r="AX94" i="21" s="1"/>
  <c r="W94" i="21"/>
  <c r="X94" i="21"/>
  <c r="B94" i="21"/>
  <c r="AE94" i="21"/>
  <c r="C94" i="21"/>
  <c r="AJ94" i="21"/>
  <c r="A94" i="21"/>
  <c r="Y94" i="21"/>
  <c r="J84" i="23"/>
  <c r="AB84" i="24"/>
  <c r="AC84" i="24" s="1"/>
  <c r="AF84" i="24" s="1"/>
  <c r="AY84" i="24"/>
  <c r="AZ84" i="24" s="1"/>
  <c r="BA84" i="24"/>
  <c r="BB84" i="24"/>
  <c r="H84" i="24"/>
  <c r="AD84" i="24"/>
  <c r="AE84" i="24"/>
  <c r="E84" i="24"/>
  <c r="F84" i="24" s="1"/>
  <c r="G84" i="24"/>
  <c r="K84" i="23"/>
  <c r="R10" i="24"/>
  <c r="AO10" i="24"/>
  <c r="BL10" i="24"/>
  <c r="BA2" i="23"/>
  <c r="D2" i="24"/>
  <c r="AV2" i="23"/>
  <c r="AS2" i="23"/>
  <c r="C24" i="21"/>
  <c r="M24" i="21"/>
  <c r="W24" i="21"/>
  <c r="AG24" i="21"/>
  <c r="AQ24" i="21" s="1"/>
  <c r="BE2" i="23"/>
  <c r="D24" i="21"/>
  <c r="N24" i="21"/>
  <c r="X24" i="21"/>
  <c r="AH24" i="21"/>
  <c r="BG2" i="23"/>
  <c r="BC2" i="23"/>
  <c r="H24" i="21"/>
  <c r="T24" i="21"/>
  <c r="AF24" i="21"/>
  <c r="AN24" i="21" s="1"/>
  <c r="I24" i="21"/>
  <c r="U24" i="21"/>
  <c r="AI24" i="21"/>
  <c r="AW24" i="21" s="1"/>
  <c r="J24" i="21"/>
  <c r="V24" i="21"/>
  <c r="AJ24" i="21"/>
  <c r="G24" i="21"/>
  <c r="S24" i="21"/>
  <c r="AE24" i="21"/>
  <c r="O24" i="21"/>
  <c r="AK24" i="21"/>
  <c r="P24" i="21"/>
  <c r="R24" i="21"/>
  <c r="Q24" i="21"/>
  <c r="A24" i="21"/>
  <c r="Y24" i="21"/>
  <c r="L24" i="21"/>
  <c r="AD24" i="21"/>
  <c r="F24" i="21"/>
  <c r="K24" i="21"/>
  <c r="AX24" i="21" s="1"/>
  <c r="Z24" i="21"/>
  <c r="AA24" i="21"/>
  <c r="AB24" i="21"/>
  <c r="AC24" i="21"/>
  <c r="B24" i="21"/>
  <c r="E24" i="21"/>
  <c r="D100" i="24"/>
  <c r="BA100" i="23"/>
  <c r="BC100" i="23"/>
  <c r="D122" i="21"/>
  <c r="N122" i="21"/>
  <c r="X122" i="21"/>
  <c r="AH122" i="21"/>
  <c r="E122" i="21"/>
  <c r="O122" i="21"/>
  <c r="Y122" i="21"/>
  <c r="AI122" i="21"/>
  <c r="AW122" i="21" s="1"/>
  <c r="F122" i="21"/>
  <c r="P122" i="21"/>
  <c r="Z122" i="21"/>
  <c r="AJ122" i="21"/>
  <c r="C122" i="21"/>
  <c r="M122" i="21"/>
  <c r="W122" i="21"/>
  <c r="AG122" i="21"/>
  <c r="AQ122" i="21" s="1"/>
  <c r="Q122" i="21"/>
  <c r="AE122" i="21"/>
  <c r="R122" i="21"/>
  <c r="AF122" i="21"/>
  <c r="AN122" i="21" s="1"/>
  <c r="A122" i="21"/>
  <c r="S122" i="21"/>
  <c r="AK122" i="21"/>
  <c r="BB100" i="23"/>
  <c r="L122" i="21"/>
  <c r="AD122" i="21"/>
  <c r="K122" i="21"/>
  <c r="AX122" i="21" s="1"/>
  <c r="V122" i="21"/>
  <c r="AA122" i="21"/>
  <c r="T122" i="21"/>
  <c r="U122" i="21"/>
  <c r="B122" i="21"/>
  <c r="AB122" i="21"/>
  <c r="G122" i="21"/>
  <c r="AC122" i="21"/>
  <c r="I122" i="21"/>
  <c r="J122" i="21"/>
  <c r="H122" i="21"/>
  <c r="BA86" i="23"/>
  <c r="D86" i="24"/>
  <c r="AV86" i="23"/>
  <c r="BB86" i="23"/>
  <c r="BC86" i="23"/>
  <c r="AS86" i="23"/>
  <c r="B108" i="21"/>
  <c r="L108" i="21"/>
  <c r="V108" i="21"/>
  <c r="AF108" i="21"/>
  <c r="AN108" i="21" s="1"/>
  <c r="C108" i="21"/>
  <c r="M108" i="21"/>
  <c r="W108" i="21"/>
  <c r="AG108" i="21"/>
  <c r="AQ108" i="21" s="1"/>
  <c r="D108" i="21"/>
  <c r="N108" i="21"/>
  <c r="X108" i="21"/>
  <c r="AH108" i="21"/>
  <c r="BG86" i="23"/>
  <c r="A108" i="21"/>
  <c r="K108" i="21"/>
  <c r="AX108" i="21" s="1"/>
  <c r="U108" i="21"/>
  <c r="AE108" i="21"/>
  <c r="O108" i="21"/>
  <c r="AC108" i="21"/>
  <c r="P108" i="21"/>
  <c r="AD108" i="21"/>
  <c r="Q108" i="21"/>
  <c r="AI108" i="21"/>
  <c r="AW108" i="21" s="1"/>
  <c r="J108" i="21"/>
  <c r="AB108" i="21"/>
  <c r="E108" i="21"/>
  <c r="AA108" i="21"/>
  <c r="H108" i="21"/>
  <c r="F108" i="21"/>
  <c r="AJ108" i="21"/>
  <c r="G108" i="21"/>
  <c r="AK108" i="21"/>
  <c r="I108" i="21"/>
  <c r="R108" i="21"/>
  <c r="S108" i="21"/>
  <c r="Y108" i="21"/>
  <c r="Z108" i="21"/>
  <c r="T108" i="21"/>
  <c r="AB91" i="24"/>
  <c r="AC91" i="24" s="1"/>
  <c r="AD91" i="24"/>
  <c r="G91" i="24"/>
  <c r="BA91" i="24"/>
  <c r="H91" i="24"/>
  <c r="BB91" i="24"/>
  <c r="E91" i="24"/>
  <c r="F91" i="24" s="1"/>
  <c r="AE91" i="24"/>
  <c r="AY91" i="24"/>
  <c r="AZ91" i="24" s="1"/>
  <c r="D68" i="24"/>
  <c r="G90" i="21"/>
  <c r="Q90" i="21"/>
  <c r="AA90" i="21"/>
  <c r="AK90" i="21"/>
  <c r="AV68" i="23"/>
  <c r="I90" i="21"/>
  <c r="T90" i="21"/>
  <c r="AE90" i="21"/>
  <c r="J90" i="21"/>
  <c r="U90" i="21"/>
  <c r="AF90" i="21"/>
  <c r="AN90" i="21" s="1"/>
  <c r="K90" i="21"/>
  <c r="AX90" i="21" s="1"/>
  <c r="V90" i="21"/>
  <c r="AG90" i="21"/>
  <c r="AQ90" i="21" s="1"/>
  <c r="BG68" i="23"/>
  <c r="H90" i="21"/>
  <c r="S90" i="21"/>
  <c r="AD90" i="21"/>
  <c r="N90" i="21"/>
  <c r="AH90" i="21"/>
  <c r="O90" i="21"/>
  <c r="AI90" i="21"/>
  <c r="AW90" i="21" s="1"/>
  <c r="A90" i="21"/>
  <c r="P90" i="21"/>
  <c r="AJ90" i="21"/>
  <c r="BB68" i="23"/>
  <c r="BC68" i="23"/>
  <c r="M90" i="21"/>
  <c r="AC90" i="21"/>
  <c r="L90" i="21"/>
  <c r="X90" i="21"/>
  <c r="R90" i="21"/>
  <c r="W90" i="21"/>
  <c r="Y90" i="21"/>
  <c r="B90" i="21"/>
  <c r="Z90" i="21"/>
  <c r="C90" i="21"/>
  <c r="AB90" i="21"/>
  <c r="E90" i="21"/>
  <c r="F90" i="21"/>
  <c r="D90" i="21"/>
  <c r="D54" i="24"/>
  <c r="BB54" i="23"/>
  <c r="H76" i="21"/>
  <c r="R76" i="21"/>
  <c r="AB76" i="21"/>
  <c r="B76" i="21"/>
  <c r="M76" i="21"/>
  <c r="X76" i="21"/>
  <c r="AI76" i="21"/>
  <c r="AW76" i="21" s="1"/>
  <c r="C76" i="21"/>
  <c r="N76" i="21"/>
  <c r="Y76" i="21"/>
  <c r="AJ76" i="21"/>
  <c r="D76" i="21"/>
  <c r="O76" i="21"/>
  <c r="Z76" i="21"/>
  <c r="AK76" i="21"/>
  <c r="A76" i="21"/>
  <c r="L76" i="21"/>
  <c r="W76" i="21"/>
  <c r="AH76" i="21"/>
  <c r="G76" i="21"/>
  <c r="AA76" i="21"/>
  <c r="I76" i="21"/>
  <c r="AC76" i="21"/>
  <c r="J76" i="21"/>
  <c r="AD76" i="21"/>
  <c r="F76" i="21"/>
  <c r="V76" i="21"/>
  <c r="E76" i="21"/>
  <c r="Q76" i="21"/>
  <c r="K76" i="21"/>
  <c r="AX76" i="21" s="1"/>
  <c r="P76" i="21"/>
  <c r="S76" i="21"/>
  <c r="T76" i="21"/>
  <c r="U76" i="21"/>
  <c r="AE76" i="21"/>
  <c r="AF76" i="21"/>
  <c r="AN76" i="21" s="1"/>
  <c r="AG76" i="21"/>
  <c r="AQ76" i="21" s="1"/>
  <c r="G97" i="23"/>
  <c r="E97" i="24"/>
  <c r="BA97" i="24"/>
  <c r="F97" i="24"/>
  <c r="BB97" i="24"/>
  <c r="G97" i="24"/>
  <c r="AY97" i="24"/>
  <c r="AZ97" i="24" s="1"/>
  <c r="AD97" i="24"/>
  <c r="AE97" i="24"/>
  <c r="H97" i="24"/>
  <c r="AB97" i="24"/>
  <c r="AC97" i="24" s="1"/>
  <c r="H97" i="23"/>
  <c r="I97" i="23" s="1"/>
  <c r="J97" i="23"/>
  <c r="K97" i="23"/>
  <c r="AF194" i="24"/>
  <c r="AC2" i="23"/>
  <c r="Z25" i="23"/>
  <c r="AA25" i="23"/>
  <c r="Z65" i="23"/>
  <c r="AA80" i="23"/>
  <c r="AA26" i="23"/>
  <c r="AA60" i="23"/>
  <c r="AA61" i="23"/>
  <c r="Z85" i="23"/>
  <c r="AA119" i="23"/>
  <c r="Z26" i="23"/>
  <c r="AA46" i="23"/>
  <c r="AA65" i="23"/>
  <c r="AA72" i="23"/>
  <c r="AA84" i="23"/>
  <c r="AA85" i="23"/>
  <c r="Z27" i="23"/>
  <c r="AA34" i="23"/>
  <c r="Z97" i="23"/>
  <c r="AA109" i="23"/>
  <c r="AA117" i="23"/>
  <c r="Z139" i="23"/>
  <c r="Z159" i="23"/>
  <c r="Z7" i="23"/>
  <c r="AA24" i="23"/>
  <c r="AA42" i="23"/>
  <c r="AA88" i="23"/>
  <c r="AA105" i="23"/>
  <c r="Z119" i="23"/>
  <c r="AA130" i="23"/>
  <c r="Z154" i="23"/>
  <c r="AA165" i="23"/>
  <c r="Z12" i="23"/>
  <c r="AA13" i="23"/>
  <c r="Z31" i="23"/>
  <c r="Z49" i="23"/>
  <c r="Z107" i="23"/>
  <c r="AA139" i="23"/>
  <c r="Z194" i="23"/>
  <c r="AA12" i="23"/>
  <c r="AA33" i="23"/>
  <c r="Z39" i="23"/>
  <c r="Z60" i="23"/>
  <c r="AA107" i="23"/>
  <c r="Z116" i="23"/>
  <c r="AA176" i="23"/>
  <c r="AA194" i="23"/>
  <c r="Z17" i="23"/>
  <c r="Z156" i="23"/>
  <c r="Z164" i="23"/>
  <c r="Z24" i="23"/>
  <c r="AA32" i="23"/>
  <c r="AA27" i="23"/>
  <c r="Z51" i="23"/>
  <c r="Z21" i="23"/>
  <c r="AA35" i="23"/>
  <c r="Z42" i="23"/>
  <c r="AA50" i="23"/>
  <c r="AA68" i="23"/>
  <c r="AA133" i="23"/>
  <c r="AA163" i="23"/>
  <c r="Z142" i="23"/>
  <c r="AA142" i="23"/>
  <c r="Z181" i="23"/>
  <c r="Z185" i="23"/>
  <c r="Z50" i="23"/>
  <c r="Z127" i="23"/>
  <c r="AA185" i="23"/>
  <c r="Z88" i="23"/>
  <c r="AA127" i="23"/>
  <c r="Z136" i="23"/>
  <c r="Z152" i="23"/>
  <c r="Z92" i="23"/>
  <c r="AA152" i="23"/>
  <c r="AA156" i="23"/>
  <c r="Z163" i="23"/>
  <c r="Z165" i="23"/>
  <c r="AA167" i="23"/>
  <c r="Z173" i="23"/>
  <c r="Z35" i="23"/>
  <c r="AA92" i="23"/>
  <c r="AA145" i="23"/>
  <c r="AA103" i="23"/>
  <c r="Z124" i="23"/>
  <c r="Z132" i="23"/>
  <c r="Z52" i="23"/>
  <c r="Z129" i="23"/>
  <c r="AA52" i="23"/>
  <c r="AA97" i="23"/>
  <c r="AA121" i="23"/>
  <c r="Z125" i="23"/>
  <c r="Z105" i="23"/>
  <c r="AA125" i="23"/>
  <c r="AA182" i="23"/>
  <c r="AA173" i="23"/>
  <c r="B5" i="21"/>
  <c r="AA159" i="23"/>
  <c r="AA193" i="23"/>
  <c r="AA143" i="23"/>
  <c r="Z182" i="23"/>
  <c r="AA164" i="23"/>
  <c r="Z175" i="23"/>
  <c r="AA175" i="23"/>
  <c r="Z184" i="23"/>
  <c r="BC173" i="24"/>
  <c r="AO136" i="24"/>
  <c r="R136" i="24"/>
  <c r="BL136" i="24"/>
  <c r="O37" i="23"/>
  <c r="D153" i="24"/>
  <c r="AV153" i="23"/>
  <c r="BA153" i="23"/>
  <c r="J175" i="21"/>
  <c r="T175" i="21"/>
  <c r="AD175" i="21"/>
  <c r="BB153" i="23"/>
  <c r="BC153" i="23"/>
  <c r="H175" i="21"/>
  <c r="S175" i="21"/>
  <c r="AE175" i="21"/>
  <c r="BE153" i="23"/>
  <c r="I175" i="21"/>
  <c r="U175" i="21"/>
  <c r="AF175" i="21"/>
  <c r="AN175" i="21" s="1"/>
  <c r="BG153" i="23"/>
  <c r="K175" i="21"/>
  <c r="AX175" i="21" s="1"/>
  <c r="V175" i="21"/>
  <c r="AG175" i="21"/>
  <c r="AQ175" i="21" s="1"/>
  <c r="AS153" i="23"/>
  <c r="F175" i="21"/>
  <c r="X175" i="21"/>
  <c r="M175" i="21"/>
  <c r="G175" i="21"/>
  <c r="Y175" i="21"/>
  <c r="L175" i="21"/>
  <c r="Z175" i="21"/>
  <c r="AA175" i="21"/>
  <c r="E175" i="21"/>
  <c r="W175" i="21"/>
  <c r="AK175" i="21"/>
  <c r="Q175" i="21"/>
  <c r="R175" i="21"/>
  <c r="AB175" i="21"/>
  <c r="A175" i="21"/>
  <c r="AC175" i="21"/>
  <c r="B175" i="21"/>
  <c r="AH175" i="21"/>
  <c r="C175" i="21"/>
  <c r="AI175" i="21"/>
  <c r="AW175" i="21" s="1"/>
  <c r="D175" i="21"/>
  <c r="AJ175" i="21"/>
  <c r="N175" i="21"/>
  <c r="O175" i="21"/>
  <c r="P175" i="21"/>
  <c r="AO123" i="24"/>
  <c r="BL123" i="24"/>
  <c r="R123" i="24"/>
  <c r="AA184" i="23"/>
  <c r="Z103" i="23"/>
  <c r="AO106" i="24"/>
  <c r="BL106" i="24"/>
  <c r="R106" i="24"/>
  <c r="AB103" i="24"/>
  <c r="AC103" i="24" s="1"/>
  <c r="H103" i="24"/>
  <c r="E103" i="24"/>
  <c r="F103" i="24" s="1"/>
  <c r="G103" i="24"/>
  <c r="AD103" i="24"/>
  <c r="AY103" i="24"/>
  <c r="AZ103" i="24" s="1"/>
  <c r="AE103" i="24"/>
  <c r="BB103" i="24"/>
  <c r="BA103" i="24"/>
  <c r="H103" i="23"/>
  <c r="I103" i="23" s="1"/>
  <c r="L103" i="23" s="1"/>
  <c r="G103" i="23"/>
  <c r="D129" i="24"/>
  <c r="K157" i="22" s="1"/>
  <c r="BE129" i="23"/>
  <c r="BC129" i="23"/>
  <c r="F151" i="21"/>
  <c r="P151" i="21"/>
  <c r="Z151" i="21"/>
  <c r="AJ151" i="21"/>
  <c r="H151" i="21"/>
  <c r="R151" i="21"/>
  <c r="AB151" i="21"/>
  <c r="BA129" i="23"/>
  <c r="E151" i="21"/>
  <c r="O151" i="21"/>
  <c r="Y151" i="21"/>
  <c r="AI151" i="21"/>
  <c r="AW151" i="21" s="1"/>
  <c r="D151" i="21"/>
  <c r="T151" i="21"/>
  <c r="AG151" i="21"/>
  <c r="AQ151" i="21" s="1"/>
  <c r="G151" i="21"/>
  <c r="U151" i="21"/>
  <c r="AH151" i="21"/>
  <c r="AS129" i="23"/>
  <c r="I151" i="21"/>
  <c r="V151" i="21"/>
  <c r="AK151" i="21"/>
  <c r="N151" i="21"/>
  <c r="A151" i="21"/>
  <c r="W151" i="21"/>
  <c r="Q151" i="21"/>
  <c r="S151" i="21"/>
  <c r="C151" i="21"/>
  <c r="AA151" i="21"/>
  <c r="J151" i="21"/>
  <c r="AC151" i="21"/>
  <c r="M151" i="21"/>
  <c r="AF151" i="21"/>
  <c r="AN151" i="21" s="1"/>
  <c r="B151" i="21"/>
  <c r="K151" i="21"/>
  <c r="AX151" i="21" s="1"/>
  <c r="L151" i="21"/>
  <c r="X151" i="21"/>
  <c r="AD151" i="21"/>
  <c r="AE151" i="21"/>
  <c r="O191" i="23"/>
  <c r="Z166" i="23"/>
  <c r="E183" i="24"/>
  <c r="F183" i="24" s="1"/>
  <c r="G183" i="24"/>
  <c r="AB183" i="24"/>
  <c r="AC183" i="24" s="1"/>
  <c r="G183" i="23"/>
  <c r="H183" i="23"/>
  <c r="I183" i="23" s="1"/>
  <c r="AY183" i="24"/>
  <c r="AZ183" i="24" s="1"/>
  <c r="BA183" i="24"/>
  <c r="AD183" i="24"/>
  <c r="BB183" i="24"/>
  <c r="AE183" i="24"/>
  <c r="H183" i="24"/>
  <c r="G9" i="21"/>
  <c r="G8" i="21"/>
  <c r="AW175" i="23"/>
  <c r="AX175" i="23"/>
  <c r="AF174" i="23"/>
  <c r="AH174" i="23" s="1"/>
  <c r="X174" i="23"/>
  <c r="O174" i="23"/>
  <c r="AV125" i="23"/>
  <c r="D125" i="24"/>
  <c r="BE125" i="23"/>
  <c r="BG125" i="23"/>
  <c r="BC125" i="23"/>
  <c r="C147" i="21"/>
  <c r="M147" i="21"/>
  <c r="W147" i="21"/>
  <c r="AG147" i="21"/>
  <c r="AQ147" i="21" s="1"/>
  <c r="AS125" i="23"/>
  <c r="E147" i="21"/>
  <c r="O147" i="21"/>
  <c r="Y147" i="21"/>
  <c r="AI147" i="21"/>
  <c r="AW147" i="21" s="1"/>
  <c r="B147" i="21"/>
  <c r="L147" i="21"/>
  <c r="V147" i="21"/>
  <c r="AF147" i="21"/>
  <c r="AN147" i="21" s="1"/>
  <c r="H147" i="21"/>
  <c r="U147" i="21"/>
  <c r="AK147" i="21"/>
  <c r="I147" i="21"/>
  <c r="X147" i="21"/>
  <c r="J147" i="21"/>
  <c r="Z147" i="21"/>
  <c r="BA125" i="23"/>
  <c r="BB125" i="23"/>
  <c r="G147" i="21"/>
  <c r="T147" i="21"/>
  <c r="F147" i="21"/>
  <c r="AD147" i="21"/>
  <c r="P147" i="21"/>
  <c r="AJ147" i="21"/>
  <c r="K147" i="21"/>
  <c r="AX147" i="21" s="1"/>
  <c r="AE147" i="21"/>
  <c r="N147" i="21"/>
  <c r="AH147" i="21"/>
  <c r="Q147" i="21"/>
  <c r="R147" i="21"/>
  <c r="S147" i="21"/>
  <c r="D147" i="21"/>
  <c r="AC147" i="21"/>
  <c r="A147" i="21"/>
  <c r="AA147" i="21"/>
  <c r="AB147" i="21"/>
  <c r="BA25" i="23"/>
  <c r="D25" i="24"/>
  <c r="AS25" i="23"/>
  <c r="BG25" i="23"/>
  <c r="BB25" i="23"/>
  <c r="D47" i="21"/>
  <c r="N47" i="21"/>
  <c r="X47" i="21"/>
  <c r="AH47" i="21"/>
  <c r="BC25" i="23"/>
  <c r="BE25" i="23"/>
  <c r="AV25" i="23"/>
  <c r="I47" i="21"/>
  <c r="T47" i="21"/>
  <c r="AE47" i="21"/>
  <c r="J47" i="21"/>
  <c r="U47" i="21"/>
  <c r="AF47" i="21"/>
  <c r="AN47" i="21" s="1"/>
  <c r="K47" i="21"/>
  <c r="AX47" i="21" s="1"/>
  <c r="V47" i="21"/>
  <c r="AG47" i="21"/>
  <c r="AQ47" i="21" s="1"/>
  <c r="H47" i="21"/>
  <c r="S47" i="21"/>
  <c r="AD47" i="21"/>
  <c r="C47" i="21"/>
  <c r="W47" i="21"/>
  <c r="E47" i="21"/>
  <c r="Y47" i="21"/>
  <c r="F47" i="21"/>
  <c r="Z47" i="21"/>
  <c r="L47" i="21"/>
  <c r="AB47" i="21"/>
  <c r="B47" i="21"/>
  <c r="R47" i="21"/>
  <c r="AC47" i="21"/>
  <c r="AI47" i="21"/>
  <c r="AW47" i="21" s="1"/>
  <c r="AJ47" i="21"/>
  <c r="A47" i="21"/>
  <c r="AK47" i="21"/>
  <c r="G47" i="21"/>
  <c r="M47" i="21"/>
  <c r="O47" i="21"/>
  <c r="P47" i="21"/>
  <c r="Q47" i="21"/>
  <c r="AA47" i="21"/>
  <c r="P129" i="21"/>
  <c r="D107" i="24"/>
  <c r="G129" i="21"/>
  <c r="AC129" i="21"/>
  <c r="H129" i="21"/>
  <c r="I129" i="21"/>
  <c r="F129" i="21"/>
  <c r="AB129" i="21"/>
  <c r="T129" i="21"/>
  <c r="U129" i="21"/>
  <c r="Z129" i="21"/>
  <c r="K129" i="21"/>
  <c r="AX129" i="21" s="1"/>
  <c r="J129" i="21"/>
  <c r="AA129" i="21"/>
  <c r="BG32" i="23"/>
  <c r="D32" i="24"/>
  <c r="BA32" i="23"/>
  <c r="BB32" i="23"/>
  <c r="BC32" i="23"/>
  <c r="J54" i="21"/>
  <c r="T54" i="21"/>
  <c r="AD54" i="21"/>
  <c r="AS32" i="23"/>
  <c r="F54" i="21"/>
  <c r="Q54" i="21"/>
  <c r="AB54" i="21"/>
  <c r="G54" i="21"/>
  <c r="R54" i="21"/>
  <c r="AC54" i="21"/>
  <c r="AV32" i="23"/>
  <c r="H54" i="21"/>
  <c r="S54" i="21"/>
  <c r="AE54" i="21"/>
  <c r="E54" i="21"/>
  <c r="P54" i="21"/>
  <c r="AA54" i="21"/>
  <c r="A54" i="21"/>
  <c r="U54" i="21"/>
  <c r="AJ54" i="21"/>
  <c r="B54" i="21"/>
  <c r="V54" i="21"/>
  <c r="AK54" i="21"/>
  <c r="C54" i="21"/>
  <c r="W54" i="21"/>
  <c r="I54" i="21"/>
  <c r="Y54" i="21"/>
  <c r="O54" i="21"/>
  <c r="AI54" i="21"/>
  <c r="AW54" i="21" s="1"/>
  <c r="Z54" i="21"/>
  <c r="AF54" i="21"/>
  <c r="AN54" i="21" s="1"/>
  <c r="AG54" i="21"/>
  <c r="AQ54" i="21" s="1"/>
  <c r="AH54" i="21"/>
  <c r="D54" i="21"/>
  <c r="K54" i="21"/>
  <c r="AX54" i="21" s="1"/>
  <c r="L54" i="21"/>
  <c r="M54" i="21"/>
  <c r="N54" i="21"/>
  <c r="X54" i="21"/>
  <c r="BL46" i="24"/>
  <c r="AO46" i="24"/>
  <c r="R46" i="24"/>
  <c r="K55" i="23"/>
  <c r="AB55" i="24"/>
  <c r="AC55" i="24" s="1"/>
  <c r="AF55" i="24" s="1"/>
  <c r="AD55" i="24"/>
  <c r="BB55" i="24"/>
  <c r="H55" i="24"/>
  <c r="AE55" i="24"/>
  <c r="BA55" i="24"/>
  <c r="AY55" i="24"/>
  <c r="AZ55" i="24" s="1"/>
  <c r="E55" i="24"/>
  <c r="F55" i="24"/>
  <c r="I55" i="24" s="1"/>
  <c r="G55" i="24"/>
  <c r="G55" i="23"/>
  <c r="H55" i="23"/>
  <c r="I55" i="23" s="1"/>
  <c r="J55" i="23"/>
  <c r="AO72" i="24"/>
  <c r="BL72" i="24"/>
  <c r="R72" i="24"/>
  <c r="D84" i="24"/>
  <c r="BA84" i="23"/>
  <c r="BB84" i="23"/>
  <c r="B106" i="21"/>
  <c r="L106" i="21"/>
  <c r="V106" i="21"/>
  <c r="AF106" i="21"/>
  <c r="AN106" i="21" s="1"/>
  <c r="C106" i="21"/>
  <c r="M106" i="21"/>
  <c r="W106" i="21"/>
  <c r="AG106" i="21"/>
  <c r="AQ106" i="21" s="1"/>
  <c r="D106" i="21"/>
  <c r="N106" i="21"/>
  <c r="X106" i="21"/>
  <c r="AH106" i="21"/>
  <c r="A106" i="21"/>
  <c r="K106" i="21"/>
  <c r="AX106" i="21" s="1"/>
  <c r="U106" i="21"/>
  <c r="AE106" i="21"/>
  <c r="BC84" i="23"/>
  <c r="I106" i="21"/>
  <c r="AA106" i="21"/>
  <c r="J106" i="21"/>
  <c r="AB106" i="21"/>
  <c r="O106" i="21"/>
  <c r="AC106" i="21"/>
  <c r="H106" i="21"/>
  <c r="Z106" i="21"/>
  <c r="Y106" i="21"/>
  <c r="F106" i="21"/>
  <c r="AJ106" i="21"/>
  <c r="AD106" i="21"/>
  <c r="E106" i="21"/>
  <c r="AI106" i="21"/>
  <c r="AW106" i="21" s="1"/>
  <c r="G106" i="21"/>
  <c r="AK106" i="21"/>
  <c r="P106" i="21"/>
  <c r="Q106" i="21"/>
  <c r="S106" i="21"/>
  <c r="T106" i="21"/>
  <c r="R106" i="21"/>
  <c r="AF19" i="23"/>
  <c r="AH19" i="23" s="1"/>
  <c r="S19" i="23"/>
  <c r="BL5" i="24"/>
  <c r="AO5" i="24"/>
  <c r="R5" i="24"/>
  <c r="R2" i="24"/>
  <c r="BL2" i="24"/>
  <c r="AO2" i="24"/>
  <c r="D53" i="24"/>
  <c r="F75" i="21"/>
  <c r="P75" i="21"/>
  <c r="Z75" i="21"/>
  <c r="AJ75" i="21"/>
  <c r="G75" i="21"/>
  <c r="R75" i="21"/>
  <c r="AC75" i="21"/>
  <c r="H75" i="21"/>
  <c r="S75" i="21"/>
  <c r="AD75" i="21"/>
  <c r="AV53" i="23"/>
  <c r="I75" i="21"/>
  <c r="T75" i="21"/>
  <c r="AE75" i="21"/>
  <c r="E75" i="21"/>
  <c r="Q75" i="21"/>
  <c r="AB75" i="21"/>
  <c r="J75" i="21"/>
  <c r="Y75" i="21"/>
  <c r="K75" i="21"/>
  <c r="AX75" i="21" s="1"/>
  <c r="AA75" i="21"/>
  <c r="L75" i="21"/>
  <c r="AF75" i="21"/>
  <c r="AN75" i="21" s="1"/>
  <c r="D75" i="21"/>
  <c r="X75" i="21"/>
  <c r="N75" i="21"/>
  <c r="O75" i="21"/>
  <c r="U75" i="21"/>
  <c r="V75" i="21"/>
  <c r="W75" i="21"/>
  <c r="AG75" i="21"/>
  <c r="AQ75" i="21" s="1"/>
  <c r="A75" i="21"/>
  <c r="AH75" i="21"/>
  <c r="B75" i="21"/>
  <c r="AI75" i="21"/>
  <c r="AW75" i="21" s="1"/>
  <c r="C75" i="21"/>
  <c r="AK75" i="21"/>
  <c r="M75" i="21"/>
  <c r="BE74" i="23"/>
  <c r="D74" i="24"/>
  <c r="J102" i="22" s="1"/>
  <c r="BC74" i="23"/>
  <c r="BG74" i="23"/>
  <c r="AS74" i="23"/>
  <c r="BB74" i="23"/>
  <c r="AV74" i="23"/>
  <c r="F96" i="21"/>
  <c r="P96" i="21"/>
  <c r="Z96" i="21"/>
  <c r="AJ96" i="21"/>
  <c r="H96" i="21"/>
  <c r="S96" i="21"/>
  <c r="AD96" i="21"/>
  <c r="I96" i="21"/>
  <c r="T96" i="21"/>
  <c r="AE96" i="21"/>
  <c r="BA74" i="23"/>
  <c r="J96" i="21"/>
  <c r="U96" i="21"/>
  <c r="AF96" i="21"/>
  <c r="AN96" i="21" s="1"/>
  <c r="G96" i="21"/>
  <c r="R96" i="21"/>
  <c r="AC96" i="21"/>
  <c r="D96" i="21"/>
  <c r="X96" i="21"/>
  <c r="E96" i="21"/>
  <c r="Y96" i="21"/>
  <c r="K96" i="21"/>
  <c r="AX96" i="21" s="1"/>
  <c r="AA96" i="21"/>
  <c r="C96" i="21"/>
  <c r="W96" i="21"/>
  <c r="B96" i="21"/>
  <c r="AI96" i="21"/>
  <c r="AW96" i="21" s="1"/>
  <c r="N96" i="21"/>
  <c r="L96" i="21"/>
  <c r="AK96" i="21"/>
  <c r="M96" i="21"/>
  <c r="O96" i="21"/>
  <c r="Q96" i="21"/>
  <c r="V96" i="21"/>
  <c r="AG96" i="21"/>
  <c r="AQ96" i="21" s="1"/>
  <c r="A96" i="21"/>
  <c r="AH96" i="21"/>
  <c r="AB96" i="21"/>
  <c r="AF135" i="23"/>
  <c r="AH135" i="23" s="1"/>
  <c r="W135" i="23"/>
  <c r="R144" i="24"/>
  <c r="BL144" i="24"/>
  <c r="AO144" i="24"/>
  <c r="D135" i="24"/>
  <c r="H157" i="21"/>
  <c r="R157" i="21"/>
  <c r="AB157" i="21"/>
  <c r="J157" i="21"/>
  <c r="T157" i="21"/>
  <c r="AD157" i="21"/>
  <c r="G157" i="21"/>
  <c r="Q157" i="21"/>
  <c r="AA157" i="21"/>
  <c r="AK157" i="21"/>
  <c r="M157" i="21"/>
  <c r="Z157" i="21"/>
  <c r="A157" i="21"/>
  <c r="N157" i="21"/>
  <c r="AC157" i="21"/>
  <c r="B157" i="21"/>
  <c r="O157" i="21"/>
  <c r="AE157" i="21"/>
  <c r="U157" i="21"/>
  <c r="E157" i="21"/>
  <c r="C157" i="21"/>
  <c r="V157" i="21"/>
  <c r="X157" i="21"/>
  <c r="D157" i="21"/>
  <c r="W157" i="21"/>
  <c r="S157" i="21"/>
  <c r="AJ157" i="21"/>
  <c r="L157" i="21"/>
  <c r="P157" i="21"/>
  <c r="Y157" i="21"/>
  <c r="AF157" i="21"/>
  <c r="AN157" i="21" s="1"/>
  <c r="AG157" i="21"/>
  <c r="AQ157" i="21" s="1"/>
  <c r="AH157" i="21"/>
  <c r="AI157" i="21"/>
  <c r="AW157" i="21" s="1"/>
  <c r="F157" i="21"/>
  <c r="I157" i="21"/>
  <c r="K157" i="21"/>
  <c r="AX157" i="21" s="1"/>
  <c r="AA141" i="23"/>
  <c r="BC87" i="23"/>
  <c r="D87" i="24"/>
  <c r="BA87" i="23"/>
  <c r="AS87" i="23"/>
  <c r="B109" i="21"/>
  <c r="L109" i="21"/>
  <c r="V109" i="21"/>
  <c r="AF109" i="21"/>
  <c r="AN109" i="21" s="1"/>
  <c r="C109" i="21"/>
  <c r="M109" i="21"/>
  <c r="W109" i="21"/>
  <c r="AG109" i="21"/>
  <c r="AQ109" i="21" s="1"/>
  <c r="D109" i="21"/>
  <c r="N109" i="21"/>
  <c r="X109" i="21"/>
  <c r="AH109" i="21"/>
  <c r="A109" i="21"/>
  <c r="K109" i="21"/>
  <c r="AX109" i="21" s="1"/>
  <c r="U109" i="21"/>
  <c r="AE109" i="21"/>
  <c r="G109" i="21"/>
  <c r="Y109" i="21"/>
  <c r="H109" i="21"/>
  <c r="Z109" i="21"/>
  <c r="I109" i="21"/>
  <c r="AA109" i="21"/>
  <c r="F109" i="21"/>
  <c r="T109" i="21"/>
  <c r="Q109" i="21"/>
  <c r="AB109" i="21"/>
  <c r="R109" i="21"/>
  <c r="S109" i="21"/>
  <c r="AC109" i="21"/>
  <c r="AD109" i="21"/>
  <c r="E109" i="21"/>
  <c r="AI109" i="21"/>
  <c r="AW109" i="21" s="1"/>
  <c r="O109" i="21"/>
  <c r="AK109" i="21"/>
  <c r="P109" i="21"/>
  <c r="J109" i="21"/>
  <c r="AJ109" i="21"/>
  <c r="S110" i="23"/>
  <c r="D103" i="24"/>
  <c r="C131" i="22" s="1"/>
  <c r="E125" i="21"/>
  <c r="O125" i="21"/>
  <c r="Y125" i="21"/>
  <c r="AI125" i="21"/>
  <c r="AW125" i="21" s="1"/>
  <c r="F125" i="21"/>
  <c r="P125" i="21"/>
  <c r="Z125" i="21"/>
  <c r="AJ125" i="21"/>
  <c r="G125" i="21"/>
  <c r="Q125" i="21"/>
  <c r="AA125" i="21"/>
  <c r="AK125" i="21"/>
  <c r="D125" i="21"/>
  <c r="N125" i="21"/>
  <c r="X125" i="21"/>
  <c r="AH125" i="21"/>
  <c r="J125" i="21"/>
  <c r="AB125" i="21"/>
  <c r="K125" i="21"/>
  <c r="AX125" i="21" s="1"/>
  <c r="AC125" i="21"/>
  <c r="AV103" i="23"/>
  <c r="L125" i="21"/>
  <c r="AD125" i="21"/>
  <c r="BA103" i="23"/>
  <c r="I125" i="21"/>
  <c r="W125" i="21"/>
  <c r="B125" i="21"/>
  <c r="AF125" i="21"/>
  <c r="AN125" i="21" s="1"/>
  <c r="M125" i="21"/>
  <c r="C125" i="21"/>
  <c r="AG125" i="21"/>
  <c r="AQ125" i="21" s="1"/>
  <c r="R125" i="21"/>
  <c r="H125" i="21"/>
  <c r="S125" i="21"/>
  <c r="T125" i="21"/>
  <c r="A125" i="21"/>
  <c r="AE125" i="21"/>
  <c r="U125" i="21"/>
  <c r="V125" i="21"/>
  <c r="R129" i="24"/>
  <c r="BL129" i="24"/>
  <c r="AO129" i="24"/>
  <c r="Z191" i="23"/>
  <c r="AM197" i="21"/>
  <c r="AP197" i="21"/>
  <c r="AV197" i="21"/>
  <c r="AP198" i="21"/>
  <c r="AM198" i="21"/>
  <c r="AV198" i="21"/>
  <c r="AF125" i="24"/>
  <c r="W174" i="23"/>
  <c r="D52" i="24"/>
  <c r="AV52" i="23"/>
  <c r="BA52" i="23"/>
  <c r="BB52" i="23"/>
  <c r="D74" i="21"/>
  <c r="N74" i="21"/>
  <c r="X74" i="21"/>
  <c r="AH74" i="21"/>
  <c r="K74" i="21"/>
  <c r="AX74" i="21" s="1"/>
  <c r="V74" i="21"/>
  <c r="AG74" i="21"/>
  <c r="AQ74" i="21" s="1"/>
  <c r="A74" i="21"/>
  <c r="L74" i="21"/>
  <c r="W74" i="21"/>
  <c r="AI74" i="21"/>
  <c r="AW74" i="21" s="1"/>
  <c r="B74" i="21"/>
  <c r="M74" i="21"/>
  <c r="Y74" i="21"/>
  <c r="AJ74" i="21"/>
  <c r="AS52" i="23"/>
  <c r="J74" i="21"/>
  <c r="U74" i="21"/>
  <c r="AF74" i="21"/>
  <c r="AN74" i="21" s="1"/>
  <c r="H74" i="21"/>
  <c r="AB74" i="21"/>
  <c r="I74" i="21"/>
  <c r="AC74" i="21"/>
  <c r="O74" i="21"/>
  <c r="AD74" i="21"/>
  <c r="Q74" i="21"/>
  <c r="AK74" i="21"/>
  <c r="BC52" i="23"/>
  <c r="BE52" i="23"/>
  <c r="BG52" i="23"/>
  <c r="G74" i="21"/>
  <c r="AA74" i="21"/>
  <c r="R74" i="21"/>
  <c r="Z74" i="21"/>
  <c r="S74" i="21"/>
  <c r="T74" i="21"/>
  <c r="AE74" i="21"/>
  <c r="C74" i="21"/>
  <c r="E74" i="21"/>
  <c r="F74" i="21"/>
  <c r="P74" i="21"/>
  <c r="D147" i="24"/>
  <c r="B169" i="21"/>
  <c r="L169" i="21"/>
  <c r="V169" i="21"/>
  <c r="AF169" i="21"/>
  <c r="AN169" i="21" s="1"/>
  <c r="D169" i="21"/>
  <c r="N169" i="21"/>
  <c r="X169" i="21"/>
  <c r="AH169" i="21"/>
  <c r="G169" i="21"/>
  <c r="S169" i="21"/>
  <c r="AE169" i="21"/>
  <c r="H169" i="21"/>
  <c r="T169" i="21"/>
  <c r="AG169" i="21"/>
  <c r="AQ169" i="21" s="1"/>
  <c r="I169" i="21"/>
  <c r="U169" i="21"/>
  <c r="AI169" i="21"/>
  <c r="AW169" i="21" s="1"/>
  <c r="BC147" i="23"/>
  <c r="K169" i="21"/>
  <c r="AX169" i="21" s="1"/>
  <c r="AB169" i="21"/>
  <c r="P169" i="21"/>
  <c r="M169" i="21"/>
  <c r="AC169" i="21"/>
  <c r="O169" i="21"/>
  <c r="AD169" i="21"/>
  <c r="AJ169" i="21"/>
  <c r="J169" i="21"/>
  <c r="AA169" i="21"/>
  <c r="Y169" i="21"/>
  <c r="Z169" i="21"/>
  <c r="AK169" i="21"/>
  <c r="A169" i="21"/>
  <c r="C169" i="21"/>
  <c r="E169" i="21"/>
  <c r="F169" i="21"/>
  <c r="Q169" i="21"/>
  <c r="R169" i="21"/>
  <c r="W169" i="21"/>
  <c r="D11" i="24"/>
  <c r="AS11" i="23"/>
  <c r="BG11" i="23"/>
  <c r="G33" i="21"/>
  <c r="Q33" i="21"/>
  <c r="AA33" i="21"/>
  <c r="AK33" i="21"/>
  <c r="AV11" i="23"/>
  <c r="BA11" i="23"/>
  <c r="I33" i="21"/>
  <c r="T33" i="21"/>
  <c r="AE33" i="21"/>
  <c r="BB11" i="23"/>
  <c r="J33" i="21"/>
  <c r="U33" i="21"/>
  <c r="AF33" i="21"/>
  <c r="AN33" i="21" s="1"/>
  <c r="BC11" i="23"/>
  <c r="K33" i="21"/>
  <c r="AX33" i="21" s="1"/>
  <c r="V33" i="21"/>
  <c r="AG33" i="21"/>
  <c r="AQ33" i="21" s="1"/>
  <c r="BE11" i="23"/>
  <c r="H33" i="21"/>
  <c r="S33" i="21"/>
  <c r="AD33" i="21"/>
  <c r="N33" i="21"/>
  <c r="AH33" i="21"/>
  <c r="R33" i="21"/>
  <c r="O33" i="21"/>
  <c r="AI33" i="21"/>
  <c r="AW33" i="21" s="1"/>
  <c r="B33" i="21"/>
  <c r="A33" i="21"/>
  <c r="P33" i="21"/>
  <c r="AJ33" i="21"/>
  <c r="C33" i="21"/>
  <c r="W33" i="21"/>
  <c r="M33" i="21"/>
  <c r="AC33" i="21"/>
  <c r="D33" i="21"/>
  <c r="E33" i="21"/>
  <c r="F33" i="21"/>
  <c r="L33" i="21"/>
  <c r="X33" i="21"/>
  <c r="Y33" i="21"/>
  <c r="Z33" i="21"/>
  <c r="AB33" i="21"/>
  <c r="D49" i="24"/>
  <c r="J71" i="21"/>
  <c r="T71" i="21"/>
  <c r="AD71" i="21"/>
  <c r="I71" i="21"/>
  <c r="U71" i="21"/>
  <c r="AF71" i="21"/>
  <c r="AN71" i="21" s="1"/>
  <c r="K71" i="21"/>
  <c r="AX71" i="21" s="1"/>
  <c r="V71" i="21"/>
  <c r="AG71" i="21"/>
  <c r="AQ71" i="21" s="1"/>
  <c r="A71" i="21"/>
  <c r="L71" i="21"/>
  <c r="W71" i="21"/>
  <c r="AH71" i="21"/>
  <c r="BA49" i="23"/>
  <c r="BG49" i="23"/>
  <c r="H71" i="21"/>
  <c r="S71" i="21"/>
  <c r="AE71" i="21"/>
  <c r="M71" i="21"/>
  <c r="AB71" i="21"/>
  <c r="N71" i="21"/>
  <c r="AC71" i="21"/>
  <c r="O71" i="21"/>
  <c r="AI71" i="21"/>
  <c r="AW71" i="21" s="1"/>
  <c r="B71" i="21"/>
  <c r="Q71" i="21"/>
  <c r="AK71" i="21"/>
  <c r="G71" i="21"/>
  <c r="AA71" i="21"/>
  <c r="R71" i="21"/>
  <c r="X71" i="21"/>
  <c r="Y71" i="21"/>
  <c r="Z71" i="21"/>
  <c r="AJ71" i="21"/>
  <c r="C71" i="21"/>
  <c r="D71" i="21"/>
  <c r="E71" i="21"/>
  <c r="F71" i="21"/>
  <c r="P71" i="21"/>
  <c r="D12" i="24"/>
  <c r="BA12" i="23"/>
  <c r="BC12" i="23"/>
  <c r="F34" i="21"/>
  <c r="P34" i="21"/>
  <c r="Z34" i="21"/>
  <c r="AJ34" i="21"/>
  <c r="BB12" i="23"/>
  <c r="A34" i="21"/>
  <c r="L34" i="21"/>
  <c r="W34" i="21"/>
  <c r="AH34" i="21"/>
  <c r="B34" i="21"/>
  <c r="M34" i="21"/>
  <c r="X34" i="21"/>
  <c r="AI34" i="21"/>
  <c r="AW34" i="21" s="1"/>
  <c r="C34" i="21"/>
  <c r="N34" i="21"/>
  <c r="Y34" i="21"/>
  <c r="AK34" i="21"/>
  <c r="K34" i="21"/>
  <c r="AX34" i="21" s="1"/>
  <c r="V34" i="21"/>
  <c r="AG34" i="21"/>
  <c r="AQ34" i="21" s="1"/>
  <c r="I34" i="21"/>
  <c r="AC34" i="21"/>
  <c r="J34" i="21"/>
  <c r="AD34" i="21"/>
  <c r="Q34" i="21"/>
  <c r="AF34" i="21"/>
  <c r="AN34" i="21" s="1"/>
  <c r="O34" i="21"/>
  <c r="AE34" i="21"/>
  <c r="R34" i="21"/>
  <c r="H34" i="21"/>
  <c r="AB34" i="21"/>
  <c r="D34" i="21"/>
  <c r="E34" i="21"/>
  <c r="G34" i="21"/>
  <c r="S34" i="21"/>
  <c r="T34" i="21"/>
  <c r="U34" i="21"/>
  <c r="AA34" i="21"/>
  <c r="R66" i="24"/>
  <c r="AO66" i="24"/>
  <c r="BL66" i="24"/>
  <c r="W117" i="23"/>
  <c r="O117" i="23"/>
  <c r="E44" i="24"/>
  <c r="F44" i="24" s="1"/>
  <c r="AB44" i="24"/>
  <c r="AC44" i="24" s="1"/>
  <c r="AY44" i="24"/>
  <c r="AZ44" i="24" s="1"/>
  <c r="AD44" i="24"/>
  <c r="AE44" i="24"/>
  <c r="G44" i="24"/>
  <c r="BA44" i="24"/>
  <c r="H44" i="24"/>
  <c r="BB44" i="24"/>
  <c r="H44" i="23"/>
  <c r="I44" i="23" s="1"/>
  <c r="L44" i="23" s="1"/>
  <c r="G44" i="23"/>
  <c r="S86" i="23"/>
  <c r="X135" i="23"/>
  <c r="R82" i="24"/>
  <c r="BL82" i="24"/>
  <c r="AO82" i="24"/>
  <c r="D91" i="24"/>
  <c r="E113" i="21"/>
  <c r="O113" i="21"/>
  <c r="Y113" i="21"/>
  <c r="AI113" i="21"/>
  <c r="AW113" i="21" s="1"/>
  <c r="F113" i="21"/>
  <c r="P113" i="21"/>
  <c r="Z113" i="21"/>
  <c r="AJ113" i="21"/>
  <c r="G113" i="21"/>
  <c r="Q113" i="21"/>
  <c r="AA113" i="21"/>
  <c r="AK113" i="21"/>
  <c r="D113" i="21"/>
  <c r="N113" i="21"/>
  <c r="X113" i="21"/>
  <c r="AH113" i="21"/>
  <c r="B113" i="21"/>
  <c r="T113" i="21"/>
  <c r="C113" i="21"/>
  <c r="U113" i="21"/>
  <c r="H113" i="21"/>
  <c r="V113" i="21"/>
  <c r="A113" i="21"/>
  <c r="S113" i="21"/>
  <c r="AG113" i="21"/>
  <c r="AQ113" i="21" s="1"/>
  <c r="J113" i="21"/>
  <c r="AF113" i="21"/>
  <c r="AN113" i="21" s="1"/>
  <c r="M113" i="21"/>
  <c r="K113" i="21"/>
  <c r="AX113" i="21" s="1"/>
  <c r="L113" i="21"/>
  <c r="R113" i="21"/>
  <c r="W113" i="21"/>
  <c r="AB113" i="21"/>
  <c r="AD113" i="21"/>
  <c r="I113" i="21"/>
  <c r="AE113" i="21"/>
  <c r="AC113" i="21"/>
  <c r="R68" i="24"/>
  <c r="AO68" i="24"/>
  <c r="BL68" i="24"/>
  <c r="D138" i="24"/>
  <c r="D166" i="22" s="1"/>
  <c r="BG138" i="23"/>
  <c r="AS138" i="23"/>
  <c r="H160" i="21"/>
  <c r="R160" i="21"/>
  <c r="AB160" i="21"/>
  <c r="J160" i="21"/>
  <c r="T160" i="21"/>
  <c r="AD160" i="21"/>
  <c r="G160" i="21"/>
  <c r="K160" i="21"/>
  <c r="AX160" i="21" s="1"/>
  <c r="W160" i="21"/>
  <c r="AI160" i="21"/>
  <c r="AW160" i="21" s="1"/>
  <c r="L160" i="21"/>
  <c r="X160" i="21"/>
  <c r="AJ160" i="21"/>
  <c r="M160" i="21"/>
  <c r="Y160" i="21"/>
  <c r="AK160" i="21"/>
  <c r="B160" i="21"/>
  <c r="S160" i="21"/>
  <c r="E160" i="21"/>
  <c r="C160" i="21"/>
  <c r="U160" i="21"/>
  <c r="Z160" i="21"/>
  <c r="D160" i="21"/>
  <c r="V160" i="21"/>
  <c r="A160" i="21"/>
  <c r="Q160" i="21"/>
  <c r="AH160" i="21"/>
  <c r="AF160" i="21"/>
  <c r="AN160" i="21" s="1"/>
  <c r="AG160" i="21"/>
  <c r="AQ160" i="21" s="1"/>
  <c r="F160" i="21"/>
  <c r="I160" i="21"/>
  <c r="N160" i="21"/>
  <c r="O160" i="21"/>
  <c r="P160" i="21"/>
  <c r="AA160" i="21"/>
  <c r="AC160" i="21"/>
  <c r="AE160" i="21"/>
  <c r="I142" i="24"/>
  <c r="R22" i="24"/>
  <c r="BL22" i="24"/>
  <c r="AO22" i="24"/>
  <c r="G30" i="24"/>
  <c r="AB30" i="24"/>
  <c r="AC30" i="24" s="1"/>
  <c r="H30" i="24"/>
  <c r="AY30" i="24"/>
  <c r="AZ30" i="24" s="1"/>
  <c r="AD30" i="24"/>
  <c r="BA30" i="24"/>
  <c r="BB30" i="24"/>
  <c r="E30" i="24"/>
  <c r="F30" i="24" s="1"/>
  <c r="AE30" i="24"/>
  <c r="H30" i="23"/>
  <c r="I30" i="23" s="1"/>
  <c r="L30" i="23" s="1"/>
  <c r="N30" i="23" s="1"/>
  <c r="F135" i="23"/>
  <c r="AA104" i="23"/>
  <c r="AA129" i="23"/>
  <c r="BL132" i="24"/>
  <c r="AO132" i="24"/>
  <c r="R132" i="24"/>
  <c r="X191" i="23"/>
  <c r="R166" i="24"/>
  <c r="AO166" i="24"/>
  <c r="BL166" i="24"/>
  <c r="BG193" i="23"/>
  <c r="D193" i="24"/>
  <c r="BC193" i="23"/>
  <c r="F215" i="21"/>
  <c r="P215" i="21"/>
  <c r="Z215" i="21"/>
  <c r="AJ215" i="21"/>
  <c r="BE193" i="23"/>
  <c r="BB193" i="23"/>
  <c r="G215" i="21"/>
  <c r="R215" i="21"/>
  <c r="AC215" i="21"/>
  <c r="H215" i="21"/>
  <c r="S215" i="21"/>
  <c r="AD215" i="21"/>
  <c r="AS193" i="23"/>
  <c r="I215" i="21"/>
  <c r="T215" i="21"/>
  <c r="AE215" i="21"/>
  <c r="C215" i="21"/>
  <c r="U215" i="21"/>
  <c r="AI215" i="21"/>
  <c r="AW215" i="21" s="1"/>
  <c r="D215" i="21"/>
  <c r="V215" i="21"/>
  <c r="AK215" i="21"/>
  <c r="X215" i="21"/>
  <c r="E215" i="21"/>
  <c r="W215" i="21"/>
  <c r="J215" i="21"/>
  <c r="BA193" i="23"/>
  <c r="B215" i="21"/>
  <c r="Q215" i="21"/>
  <c r="AH215" i="21"/>
  <c r="N215" i="21"/>
  <c r="O215" i="21"/>
  <c r="AA215" i="21"/>
  <c r="Y215" i="21"/>
  <c r="AB215" i="21"/>
  <c r="AF215" i="21"/>
  <c r="AN215" i="21" s="1"/>
  <c r="A215" i="21"/>
  <c r="AG215" i="21"/>
  <c r="AQ215" i="21" s="1"/>
  <c r="K215" i="21"/>
  <c r="AX215" i="21" s="1"/>
  <c r="L215" i="21"/>
  <c r="M215" i="21"/>
  <c r="S175" i="23"/>
  <c r="F174" i="23"/>
  <c r="W180" i="23"/>
  <c r="B172" i="21"/>
  <c r="D150" i="24"/>
  <c r="E172" i="21"/>
  <c r="T172" i="21"/>
  <c r="AH172" i="21"/>
  <c r="L172" i="21"/>
  <c r="AE172" i="21"/>
  <c r="Q172" i="21"/>
  <c r="AF172" i="21"/>
  <c r="AN172" i="21" s="1"/>
  <c r="R172" i="21"/>
  <c r="AG172" i="21"/>
  <c r="AQ172" i="21" s="1"/>
  <c r="V172" i="21"/>
  <c r="G172" i="21"/>
  <c r="W172" i="21"/>
  <c r="AC172" i="21"/>
  <c r="A172" i="21"/>
  <c r="AB172" i="21"/>
  <c r="U172" i="21"/>
  <c r="K172" i="21"/>
  <c r="AX172" i="21" s="1"/>
  <c r="S172" i="21"/>
  <c r="AD172" i="21"/>
  <c r="H172" i="21"/>
  <c r="I172" i="21"/>
  <c r="J172" i="21"/>
  <c r="D181" i="24"/>
  <c r="A203" i="21"/>
  <c r="K203" i="21"/>
  <c r="AX203" i="21" s="1"/>
  <c r="U203" i="21"/>
  <c r="AE203" i="21"/>
  <c r="BC181" i="23"/>
  <c r="L203" i="21"/>
  <c r="W203" i="21"/>
  <c r="AH203" i="21"/>
  <c r="B203" i="21"/>
  <c r="M203" i="21"/>
  <c r="X203" i="21"/>
  <c r="AI203" i="21"/>
  <c r="AW203" i="21" s="1"/>
  <c r="C203" i="21"/>
  <c r="N203" i="21"/>
  <c r="Y203" i="21"/>
  <c r="AJ203" i="21"/>
  <c r="BB181" i="23"/>
  <c r="G203" i="21"/>
  <c r="V203" i="21"/>
  <c r="H203" i="21"/>
  <c r="Z203" i="21"/>
  <c r="I203" i="21"/>
  <c r="AA203" i="21"/>
  <c r="J203" i="21"/>
  <c r="AB203" i="21"/>
  <c r="BA181" i="23"/>
  <c r="F203" i="21"/>
  <c r="T203" i="21"/>
  <c r="D203" i="21"/>
  <c r="AG203" i="21"/>
  <c r="AQ203" i="21" s="1"/>
  <c r="E203" i="21"/>
  <c r="AK203" i="21"/>
  <c r="O203" i="21"/>
  <c r="P203" i="21"/>
  <c r="Q203" i="21"/>
  <c r="R203" i="21"/>
  <c r="S203" i="21"/>
  <c r="AC203" i="21"/>
  <c r="AD203" i="21"/>
  <c r="AF203" i="21"/>
  <c r="AN203" i="21" s="1"/>
  <c r="D65" i="24"/>
  <c r="G93" i="22" s="1"/>
  <c r="E87" i="21"/>
  <c r="O87" i="21"/>
  <c r="Y87" i="21"/>
  <c r="AI87" i="21"/>
  <c r="AW87" i="21" s="1"/>
  <c r="B87" i="21"/>
  <c r="M87" i="21"/>
  <c r="X87" i="21"/>
  <c r="AJ87" i="21"/>
  <c r="C87" i="21"/>
  <c r="N87" i="21"/>
  <c r="Z87" i="21"/>
  <c r="AK87" i="21"/>
  <c r="D87" i="21"/>
  <c r="P87" i="21"/>
  <c r="AA87" i="21"/>
  <c r="A87" i="21"/>
  <c r="L87" i="21"/>
  <c r="W87" i="21"/>
  <c r="AH87" i="21"/>
  <c r="Q87" i="21"/>
  <c r="AF87" i="21"/>
  <c r="AN87" i="21" s="1"/>
  <c r="R87" i="21"/>
  <c r="AG87" i="21"/>
  <c r="AQ87" i="21" s="1"/>
  <c r="S87" i="21"/>
  <c r="K87" i="21"/>
  <c r="AX87" i="21" s="1"/>
  <c r="AE87" i="21"/>
  <c r="U87" i="21"/>
  <c r="V87" i="21"/>
  <c r="AB87" i="21"/>
  <c r="AC87" i="21"/>
  <c r="F87" i="21"/>
  <c r="G87" i="21"/>
  <c r="H87" i="21"/>
  <c r="J87" i="21"/>
  <c r="T87" i="21"/>
  <c r="AD87" i="21"/>
  <c r="I87" i="21"/>
  <c r="D42" i="24"/>
  <c r="G64" i="21"/>
  <c r="Q64" i="21"/>
  <c r="AA64" i="21"/>
  <c r="AK64" i="21"/>
  <c r="BE42" i="23"/>
  <c r="BG42" i="23"/>
  <c r="D64" i="21"/>
  <c r="O64" i="21"/>
  <c r="Z64" i="21"/>
  <c r="E64" i="21"/>
  <c r="P64" i="21"/>
  <c r="AB64" i="21"/>
  <c r="F64" i="21"/>
  <c r="R64" i="21"/>
  <c r="AC64" i="21"/>
  <c r="AV42" i="23"/>
  <c r="C64" i="21"/>
  <c r="N64" i="21"/>
  <c r="Y64" i="21"/>
  <c r="AJ64" i="21"/>
  <c r="S64" i="21"/>
  <c r="AH64" i="21"/>
  <c r="T64" i="21"/>
  <c r="AI64" i="21"/>
  <c r="AW64" i="21" s="1"/>
  <c r="A64" i="21"/>
  <c r="U64" i="21"/>
  <c r="H64" i="21"/>
  <c r="W64" i="21"/>
  <c r="M64" i="21"/>
  <c r="AG64" i="21"/>
  <c r="AQ64" i="21" s="1"/>
  <c r="X64" i="21"/>
  <c r="AD64" i="21"/>
  <c r="AE64" i="21"/>
  <c r="AF64" i="21"/>
  <c r="AN64" i="21" s="1"/>
  <c r="B64" i="21"/>
  <c r="I64" i="21"/>
  <c r="J64" i="21"/>
  <c r="K64" i="21"/>
  <c r="AX64" i="21" s="1"/>
  <c r="L64" i="21"/>
  <c r="V64" i="21"/>
  <c r="AQ9" i="24"/>
  <c r="AR9" i="24"/>
  <c r="T21" i="24"/>
  <c r="U21" i="24"/>
  <c r="U20" i="24"/>
  <c r="T20" i="24"/>
  <c r="AR34" i="24"/>
  <c r="AQ34" i="24"/>
  <c r="T37" i="24"/>
  <c r="V37" i="24" s="1"/>
  <c r="U37" i="24"/>
  <c r="T26" i="24"/>
  <c r="U26" i="24"/>
  <c r="AQ67" i="24"/>
  <c r="AR67" i="24"/>
  <c r="AQ57" i="24"/>
  <c r="AR57" i="24"/>
  <c r="AQ70" i="24"/>
  <c r="AR70" i="24"/>
  <c r="AS70" i="24" s="1"/>
  <c r="K79" i="24"/>
  <c r="T29" i="24"/>
  <c r="U29" i="24"/>
  <c r="AQ95" i="24"/>
  <c r="AR95" i="24"/>
  <c r="T66" i="24"/>
  <c r="U66" i="24"/>
  <c r="AQ77" i="24"/>
  <c r="AR77" i="24"/>
  <c r="T130" i="24"/>
  <c r="V130" i="24" s="1"/>
  <c r="U130" i="24"/>
  <c r="BO156" i="24"/>
  <c r="BN156" i="24"/>
  <c r="BN130" i="24"/>
  <c r="BO130" i="24"/>
  <c r="AQ110" i="24"/>
  <c r="AR110" i="24"/>
  <c r="BO133" i="24"/>
  <c r="BN133" i="24"/>
  <c r="AR41" i="24"/>
  <c r="AQ41" i="24"/>
  <c r="T34" i="24"/>
  <c r="U34" i="24"/>
  <c r="V34" i="24" s="1"/>
  <c r="AQ38" i="24"/>
  <c r="AR38" i="24"/>
  <c r="U88" i="24"/>
  <c r="T88" i="24"/>
  <c r="BN157" i="24"/>
  <c r="BO157" i="24"/>
  <c r="BN77" i="24"/>
  <c r="BO77" i="24"/>
  <c r="BN141" i="24"/>
  <c r="BO141" i="24"/>
  <c r="T148" i="24"/>
  <c r="U148" i="24"/>
  <c r="T176" i="24"/>
  <c r="V176" i="24" s="1"/>
  <c r="U176" i="24"/>
  <c r="T13" i="24"/>
  <c r="U13" i="24"/>
  <c r="BN21" i="24"/>
  <c r="BP21" i="24" s="1"/>
  <c r="BO21" i="24"/>
  <c r="AQ16" i="24"/>
  <c r="AR16" i="24"/>
  <c r="T57" i="24"/>
  <c r="U57" i="24"/>
  <c r="V57" i="24" s="1"/>
  <c r="T51" i="24"/>
  <c r="U51" i="24"/>
  <c r="V51" i="24"/>
  <c r="T70" i="24"/>
  <c r="U70" i="24"/>
  <c r="BN29" i="24"/>
  <c r="BO29" i="24"/>
  <c r="T78" i="24"/>
  <c r="U78" i="24"/>
  <c r="U116" i="24"/>
  <c r="T116" i="24"/>
  <c r="T6" i="24"/>
  <c r="U6" i="24"/>
  <c r="AQ141" i="24"/>
  <c r="AR141" i="24"/>
  <c r="AQ152" i="24"/>
  <c r="AR152" i="24"/>
  <c r="BO137" i="24"/>
  <c r="BN137" i="24"/>
  <c r="T157" i="24"/>
  <c r="U157" i="24"/>
  <c r="T187" i="24"/>
  <c r="U187" i="24"/>
  <c r="AQ188" i="24"/>
  <c r="AR188" i="24"/>
  <c r="BN8" i="24"/>
  <c r="BP8" i="24" s="1"/>
  <c r="BO8" i="24"/>
  <c r="BO13" i="24"/>
  <c r="BN13" i="24"/>
  <c r="BO3" i="24"/>
  <c r="BN3" i="24"/>
  <c r="BN9" i="24"/>
  <c r="BP9" i="24" s="1"/>
  <c r="BO9" i="24"/>
  <c r="T19" i="24"/>
  <c r="U19" i="24"/>
  <c r="BN40" i="24"/>
  <c r="BP40" i="24" s="1"/>
  <c r="BO40" i="24"/>
  <c r="AR14" i="24"/>
  <c r="AQ14" i="24"/>
  <c r="BO33" i="24"/>
  <c r="BN33" i="24"/>
  <c r="BN67" i="24"/>
  <c r="BO67" i="24"/>
  <c r="BN78" i="24"/>
  <c r="BO78" i="24"/>
  <c r="BN66" i="24"/>
  <c r="BP66" i="24" s="1"/>
  <c r="BO66" i="24"/>
  <c r="BE115" i="24"/>
  <c r="T120" i="24"/>
  <c r="U120" i="24"/>
  <c r="U141" i="24"/>
  <c r="T141" i="24"/>
  <c r="BN143" i="24"/>
  <c r="BP143" i="24" s="1"/>
  <c r="BO143" i="24"/>
  <c r="BN160" i="24"/>
  <c r="BO160" i="24"/>
  <c r="AQ155" i="24"/>
  <c r="AR155" i="24"/>
  <c r="BN121" i="24"/>
  <c r="BO121" i="24"/>
  <c r="U189" i="24"/>
  <c r="T189" i="24"/>
  <c r="AR157" i="24"/>
  <c r="AQ157" i="24"/>
  <c r="BN178" i="24"/>
  <c r="BO178" i="24"/>
  <c r="BN185" i="24"/>
  <c r="BP185" i="24" s="1"/>
  <c r="BO185" i="24"/>
  <c r="T14" i="24"/>
  <c r="U14" i="24"/>
  <c r="U33" i="24"/>
  <c r="T33" i="24"/>
  <c r="T36" i="24"/>
  <c r="U36" i="24"/>
  <c r="AR36" i="24"/>
  <c r="AQ36" i="24"/>
  <c r="BN128" i="24"/>
  <c r="BP128" i="24" s="1"/>
  <c r="BO128" i="24"/>
  <c r="K117" i="24"/>
  <c r="AQ66" i="24"/>
  <c r="AS66" i="24" s="1"/>
  <c r="AR66" i="24"/>
  <c r="AR146" i="24"/>
  <c r="AQ146" i="24"/>
  <c r="AQ118" i="24"/>
  <c r="AR118" i="24"/>
  <c r="T143" i="24"/>
  <c r="V143" i="24" s="1"/>
  <c r="U143" i="24"/>
  <c r="T169" i="24"/>
  <c r="U169" i="24"/>
  <c r="T156" i="24"/>
  <c r="U156" i="24"/>
  <c r="BN148" i="24"/>
  <c r="BP148" i="24" s="1"/>
  <c r="BO148" i="24"/>
  <c r="AQ176" i="24"/>
  <c r="AR176" i="24"/>
  <c r="AR130" i="24"/>
  <c r="AQ130" i="24"/>
  <c r="AR178" i="24"/>
  <c r="AQ178" i="24"/>
  <c r="BN168" i="24"/>
  <c r="BO168" i="24"/>
  <c r="BN192" i="24"/>
  <c r="BO192" i="24"/>
  <c r="BO16" i="24"/>
  <c r="BN16" i="24"/>
  <c r="AQ29" i="24"/>
  <c r="AR29" i="24"/>
  <c r="T134" i="24"/>
  <c r="U134" i="24"/>
  <c r="BN167" i="24"/>
  <c r="BO167" i="24"/>
  <c r="T114" i="24"/>
  <c r="V114" i="24" s="1"/>
  <c r="U114" i="24"/>
  <c r="AQ71" i="24"/>
  <c r="AR71" i="24"/>
  <c r="AR6" i="24"/>
  <c r="AQ6" i="24"/>
  <c r="T118" i="24"/>
  <c r="U118" i="24"/>
  <c r="T152" i="24"/>
  <c r="V152" i="24" s="1"/>
  <c r="U152" i="24"/>
  <c r="BN155" i="24"/>
  <c r="BP155" i="24" s="1"/>
  <c r="BO155" i="24"/>
  <c r="T151" i="24"/>
  <c r="U151" i="24"/>
  <c r="AQ121" i="24"/>
  <c r="AR121" i="24"/>
  <c r="U192" i="24"/>
  <c r="T192" i="24"/>
  <c r="AQ179" i="24"/>
  <c r="AR179" i="24"/>
  <c r="BO186" i="24"/>
  <c r="BN186" i="24"/>
  <c r="U168" i="24"/>
  <c r="T168" i="24"/>
  <c r="BN6" i="24"/>
  <c r="BO6" i="24"/>
  <c r="AQ143" i="24"/>
  <c r="AR143" i="24"/>
  <c r="T140" i="24"/>
  <c r="U140" i="24"/>
  <c r="U137" i="24"/>
  <c r="V137" i="24" s="1"/>
  <c r="T137" i="24"/>
  <c r="BN179" i="24"/>
  <c r="BO179" i="24"/>
  <c r="T99" i="24"/>
  <c r="U99" i="24"/>
  <c r="AR187" i="24"/>
  <c r="AQ187" i="24"/>
  <c r="AS187" i="24" s="1"/>
  <c r="T171" i="24"/>
  <c r="V171" i="24" s="1"/>
  <c r="U171" i="24"/>
  <c r="BN189" i="24"/>
  <c r="BO189" i="24"/>
  <c r="T3" i="24"/>
  <c r="U3" i="24"/>
  <c r="T4" i="24"/>
  <c r="U4" i="24"/>
  <c r="BN45" i="24"/>
  <c r="BO45" i="24"/>
  <c r="U38" i="24"/>
  <c r="T38" i="24"/>
  <c r="AQ43" i="24"/>
  <c r="AR43" i="24"/>
  <c r="BO26" i="24"/>
  <c r="BN26" i="24"/>
  <c r="AQ75" i="24"/>
  <c r="AR75" i="24"/>
  <c r="AS75" i="24" s="1"/>
  <c r="T47" i="24"/>
  <c r="V47" i="24" s="1"/>
  <c r="U47" i="24"/>
  <c r="BN88" i="24"/>
  <c r="BO88" i="24"/>
  <c r="BO187" i="24"/>
  <c r="BN187" i="24"/>
  <c r="AQ114" i="24"/>
  <c r="AR114" i="24"/>
  <c r="T77" i="24"/>
  <c r="U77" i="24"/>
  <c r="BO176" i="24"/>
  <c r="BN176" i="24"/>
  <c r="T110" i="24"/>
  <c r="V110" i="24" s="1"/>
  <c r="U110" i="24"/>
  <c r="T133" i="24"/>
  <c r="U133" i="24"/>
  <c r="BN99" i="24"/>
  <c r="BP99" i="24" s="1"/>
  <c r="BO99" i="24"/>
  <c r="AQ22" i="24"/>
  <c r="AR22" i="24"/>
  <c r="BO20" i="24"/>
  <c r="BN20" i="24"/>
  <c r="BN43" i="24"/>
  <c r="BP43" i="24" s="1"/>
  <c r="BO43" i="24"/>
  <c r="AQ33" i="24"/>
  <c r="AR33" i="24"/>
  <c r="T76" i="24"/>
  <c r="U76" i="24"/>
  <c r="T9" i="24"/>
  <c r="U9" i="24"/>
  <c r="AR4" i="24"/>
  <c r="AQ4" i="24"/>
  <c r="T16" i="24"/>
  <c r="V16" i="24" s="1"/>
  <c r="U16" i="24"/>
  <c r="AR37" i="24"/>
  <c r="AQ37" i="24"/>
  <c r="AS37" i="24" s="1"/>
  <c r="BN14" i="24"/>
  <c r="BO14" i="24"/>
  <c r="AQ51" i="24"/>
  <c r="AR51" i="24"/>
  <c r="BN95" i="24"/>
  <c r="BO95" i="24"/>
  <c r="AQ112" i="24"/>
  <c r="AR112" i="24"/>
  <c r="AQ88" i="24"/>
  <c r="AR88" i="24"/>
  <c r="AR116" i="24"/>
  <c r="AQ116" i="24"/>
  <c r="BO114" i="24"/>
  <c r="BN114" i="24"/>
  <c r="BN118" i="24"/>
  <c r="BO118" i="24"/>
  <c r="AQ134" i="24"/>
  <c r="AR134" i="24"/>
  <c r="BN140" i="24"/>
  <c r="BO140" i="24"/>
  <c r="AQ171" i="24"/>
  <c r="AR171" i="24"/>
  <c r="AQ168" i="24"/>
  <c r="AR168" i="24"/>
  <c r="AQ192" i="24"/>
  <c r="AR192" i="24"/>
  <c r="AQ19" i="24"/>
  <c r="AR19" i="24"/>
  <c r="U69" i="24"/>
  <c r="T69" i="24"/>
  <c r="U67" i="24"/>
  <c r="T67" i="24"/>
  <c r="BO90" i="24"/>
  <c r="BN90" i="24"/>
  <c r="BN116" i="24"/>
  <c r="BO116" i="24"/>
  <c r="BN177" i="24"/>
  <c r="BO177" i="24"/>
  <c r="BN4" i="24"/>
  <c r="BO4" i="24"/>
  <c r="AH39" i="24"/>
  <c r="BN48" i="24"/>
  <c r="BO48" i="24"/>
  <c r="BN112" i="24"/>
  <c r="BO112" i="24"/>
  <c r="AQ78" i="24"/>
  <c r="AS78" i="24" s="1"/>
  <c r="AR78" i="24"/>
  <c r="BO71" i="24"/>
  <c r="BN71" i="24"/>
  <c r="T71" i="24"/>
  <c r="U71" i="24"/>
  <c r="AQ148" i="24"/>
  <c r="AS148" i="24" s="1"/>
  <c r="AR148" i="24"/>
  <c r="AQ140" i="24"/>
  <c r="AR140" i="24"/>
  <c r="BN110" i="24"/>
  <c r="BO110" i="24"/>
  <c r="AR133" i="24"/>
  <c r="AQ133" i="24"/>
  <c r="K129" i="24"/>
  <c r="AQ99" i="24"/>
  <c r="AR99" i="24"/>
  <c r="T179" i="24"/>
  <c r="U179" i="24"/>
  <c r="AQ186" i="24"/>
  <c r="AR186" i="24"/>
  <c r="G26" i="23"/>
  <c r="J26" i="23"/>
  <c r="K26" i="23"/>
  <c r="H26" i="23"/>
  <c r="I26" i="23" s="1"/>
  <c r="C87" i="22"/>
  <c r="O87" i="22"/>
  <c r="G87" i="22"/>
  <c r="A87" i="22"/>
  <c r="P87" i="22"/>
  <c r="B87" i="22"/>
  <c r="Q87" i="22"/>
  <c r="D87" i="22"/>
  <c r="N87" i="22"/>
  <c r="K87" i="22"/>
  <c r="M87" i="22"/>
  <c r="J87" i="22"/>
  <c r="E87" i="22"/>
  <c r="H87" i="22"/>
  <c r="I87" i="22"/>
  <c r="Y107" i="23"/>
  <c r="BF107" i="23" s="1"/>
  <c r="N107" i="23"/>
  <c r="I104" i="22"/>
  <c r="G104" i="22"/>
  <c r="E104" i="22"/>
  <c r="H104" i="22"/>
  <c r="J104" i="22"/>
  <c r="D104" i="22"/>
  <c r="B104" i="22"/>
  <c r="C104" i="22"/>
  <c r="K104" i="22"/>
  <c r="M104" i="22"/>
  <c r="A104" i="22"/>
  <c r="O104" i="22"/>
  <c r="P104" i="22"/>
  <c r="Q104" i="22"/>
  <c r="N104" i="22"/>
  <c r="I48" i="22"/>
  <c r="J48" i="22"/>
  <c r="M48" i="22"/>
  <c r="N48" i="22"/>
  <c r="A48" i="22"/>
  <c r="O48" i="22"/>
  <c r="K48" i="22"/>
  <c r="P48" i="22"/>
  <c r="Q48" i="22"/>
  <c r="H48" i="22"/>
  <c r="G48" i="22"/>
  <c r="B48" i="22"/>
  <c r="C48" i="22"/>
  <c r="D48" i="22"/>
  <c r="E48" i="22"/>
  <c r="AI4" i="23"/>
  <c r="AK4" i="23" s="1"/>
  <c r="AE5" i="23" s="1"/>
  <c r="N18" i="23"/>
  <c r="Y18" i="23"/>
  <c r="BF18" i="23" s="1"/>
  <c r="C41" i="22"/>
  <c r="O41" i="22"/>
  <c r="D41" i="22"/>
  <c r="P41" i="22"/>
  <c r="B41" i="22"/>
  <c r="E41" i="22"/>
  <c r="G41" i="22"/>
  <c r="A41" i="22"/>
  <c r="Q41" i="22"/>
  <c r="M41" i="22"/>
  <c r="N41" i="22"/>
  <c r="K41" i="22"/>
  <c r="J41" i="22"/>
  <c r="H41" i="22"/>
  <c r="I41" i="22"/>
  <c r="C99" i="22"/>
  <c r="O99" i="22"/>
  <c r="D99" i="22"/>
  <c r="Q99" i="22"/>
  <c r="H99" i="22"/>
  <c r="I99" i="22"/>
  <c r="J99" i="22"/>
  <c r="G99" i="22"/>
  <c r="A99" i="22"/>
  <c r="P99" i="22"/>
  <c r="E99" i="22"/>
  <c r="K99" i="22"/>
  <c r="M99" i="22"/>
  <c r="N99" i="22"/>
  <c r="B99" i="22"/>
  <c r="I32" i="22"/>
  <c r="J32" i="22"/>
  <c r="K32" i="22"/>
  <c r="G32" i="22"/>
  <c r="H32" i="22"/>
  <c r="M32" i="22"/>
  <c r="E32" i="22"/>
  <c r="A32" i="22"/>
  <c r="Q32" i="22"/>
  <c r="D32" i="22"/>
  <c r="N32" i="22"/>
  <c r="O32" i="22"/>
  <c r="P32" i="22"/>
  <c r="C32" i="22"/>
  <c r="B32" i="22"/>
  <c r="H154" i="22"/>
  <c r="I154" i="22"/>
  <c r="J154" i="22"/>
  <c r="K154" i="22"/>
  <c r="G154" i="22"/>
  <c r="Q154" i="22"/>
  <c r="A154" i="22"/>
  <c r="B154" i="22"/>
  <c r="P154" i="22"/>
  <c r="O154" i="22"/>
  <c r="C154" i="22"/>
  <c r="D154" i="22"/>
  <c r="E154" i="22"/>
  <c r="M154" i="22"/>
  <c r="N154" i="22"/>
  <c r="K169" i="22"/>
  <c r="A169" i="22"/>
  <c r="M169" i="22"/>
  <c r="B169" i="22"/>
  <c r="N169" i="22"/>
  <c r="J169" i="22"/>
  <c r="Q169" i="22"/>
  <c r="C169" i="22"/>
  <c r="P169" i="22"/>
  <c r="D169" i="22"/>
  <c r="E169" i="22"/>
  <c r="G169" i="22"/>
  <c r="H169" i="22"/>
  <c r="I169" i="22"/>
  <c r="O169" i="22"/>
  <c r="E164" i="22"/>
  <c r="Q164" i="22"/>
  <c r="G164" i="22"/>
  <c r="H164" i="22"/>
  <c r="D164" i="22"/>
  <c r="P164" i="22"/>
  <c r="I164" i="22"/>
  <c r="J164" i="22"/>
  <c r="K164" i="22"/>
  <c r="C164" i="22"/>
  <c r="N164" i="22"/>
  <c r="O164" i="22"/>
  <c r="A164" i="22"/>
  <c r="B164" i="22"/>
  <c r="M164" i="22"/>
  <c r="E170" i="22"/>
  <c r="Q170" i="22"/>
  <c r="G170" i="22"/>
  <c r="H170" i="22"/>
  <c r="D170" i="22"/>
  <c r="P170" i="22"/>
  <c r="A170" i="22"/>
  <c r="B170" i="22"/>
  <c r="O170" i="22"/>
  <c r="I170" i="22"/>
  <c r="J170" i="22"/>
  <c r="K170" i="22"/>
  <c r="M170" i="22"/>
  <c r="N170" i="22"/>
  <c r="C170" i="22"/>
  <c r="I110" i="22"/>
  <c r="E110" i="22"/>
  <c r="B110" i="22"/>
  <c r="P110" i="22"/>
  <c r="C110" i="22"/>
  <c r="Q110" i="22"/>
  <c r="D110" i="22"/>
  <c r="A110" i="22"/>
  <c r="O110" i="22"/>
  <c r="N110" i="22"/>
  <c r="G110" i="22"/>
  <c r="H110" i="22"/>
  <c r="J110" i="22"/>
  <c r="K110" i="22"/>
  <c r="M110" i="22"/>
  <c r="I94" i="22"/>
  <c r="A94" i="22"/>
  <c r="N94" i="22"/>
  <c r="H94" i="22"/>
  <c r="J94" i="22"/>
  <c r="K94" i="22"/>
  <c r="G94" i="22"/>
  <c r="M94" i="22"/>
  <c r="O94" i="22"/>
  <c r="P94" i="22"/>
  <c r="Q94" i="22"/>
  <c r="E94" i="22"/>
  <c r="B94" i="22"/>
  <c r="C94" i="22"/>
  <c r="D94" i="22"/>
  <c r="K189" i="22"/>
  <c r="A189" i="22"/>
  <c r="M189" i="22"/>
  <c r="B189" i="22"/>
  <c r="N189" i="22"/>
  <c r="J189" i="22"/>
  <c r="Q189" i="22"/>
  <c r="C189" i="22"/>
  <c r="P189" i="22"/>
  <c r="D189" i="22"/>
  <c r="E189" i="22"/>
  <c r="G189" i="22"/>
  <c r="H189" i="22"/>
  <c r="I189" i="22"/>
  <c r="O189" i="22"/>
  <c r="BE6" i="23"/>
  <c r="AV6" i="23"/>
  <c r="AS6" i="23"/>
  <c r="BA6" i="23"/>
  <c r="BB6" i="23"/>
  <c r="BC6" i="23"/>
  <c r="BG6" i="23"/>
  <c r="J28" i="21"/>
  <c r="T28" i="21"/>
  <c r="AD28" i="21"/>
  <c r="A28" i="21"/>
  <c r="K28" i="21"/>
  <c r="AX28" i="21" s="1"/>
  <c r="U28" i="21"/>
  <c r="AE28" i="21"/>
  <c r="B28" i="21"/>
  <c r="L28" i="21"/>
  <c r="V28" i="21"/>
  <c r="AF28" i="21"/>
  <c r="AN28" i="21" s="1"/>
  <c r="I28" i="21"/>
  <c r="S28" i="21"/>
  <c r="AC28" i="21"/>
  <c r="F28" i="21"/>
  <c r="X28" i="21"/>
  <c r="G28" i="21"/>
  <c r="Y28" i="21"/>
  <c r="H28" i="21"/>
  <c r="Z28" i="21"/>
  <c r="E28" i="21"/>
  <c r="W28" i="21"/>
  <c r="AK28" i="21"/>
  <c r="P28" i="21"/>
  <c r="Q28" i="21"/>
  <c r="R28" i="21"/>
  <c r="AA28" i="21"/>
  <c r="O28" i="21"/>
  <c r="C28" i="21"/>
  <c r="D28" i="21"/>
  <c r="M28" i="21"/>
  <c r="N28" i="21"/>
  <c r="AB28" i="21"/>
  <c r="AG28" i="21"/>
  <c r="AQ28" i="21" s="1"/>
  <c r="AH28" i="21"/>
  <c r="AI28" i="21"/>
  <c r="AW28" i="21" s="1"/>
  <c r="AJ28" i="21"/>
  <c r="AV34" i="23"/>
  <c r="BG34" i="23"/>
  <c r="BC34" i="23"/>
  <c r="AS34" i="23"/>
  <c r="BE34" i="23"/>
  <c r="BB34" i="23"/>
  <c r="BA34" i="23"/>
  <c r="G56" i="21"/>
  <c r="Q56" i="21"/>
  <c r="AA56" i="21"/>
  <c r="AK56" i="21"/>
  <c r="H56" i="21"/>
  <c r="R56" i="21"/>
  <c r="AB56" i="21"/>
  <c r="I56" i="21"/>
  <c r="S56" i="21"/>
  <c r="AC56" i="21"/>
  <c r="F56" i="21"/>
  <c r="P56" i="21"/>
  <c r="Z56" i="21"/>
  <c r="AJ56" i="21"/>
  <c r="N56" i="21"/>
  <c r="AF56" i="21"/>
  <c r="AN56" i="21" s="1"/>
  <c r="A56" i="21"/>
  <c r="O56" i="21"/>
  <c r="AG56" i="21"/>
  <c r="AQ56" i="21" s="1"/>
  <c r="B56" i="21"/>
  <c r="T56" i="21"/>
  <c r="AH56" i="21"/>
  <c r="M56" i="21"/>
  <c r="AE56" i="21"/>
  <c r="D56" i="21"/>
  <c r="AD56" i="21"/>
  <c r="E56" i="21"/>
  <c r="AI56" i="21"/>
  <c r="AW56" i="21" s="1"/>
  <c r="J56" i="21"/>
  <c r="K56" i="21"/>
  <c r="AX56" i="21" s="1"/>
  <c r="L56" i="21"/>
  <c r="U56" i="21"/>
  <c r="V56" i="21"/>
  <c r="W56" i="21"/>
  <c r="X56" i="21"/>
  <c r="C56" i="21"/>
  <c r="Y56" i="21"/>
  <c r="C51" i="22"/>
  <c r="O51" i="22"/>
  <c r="M51" i="22"/>
  <c r="A51" i="22"/>
  <c r="N51" i="22"/>
  <c r="B51" i="22"/>
  <c r="P51" i="22"/>
  <c r="K51" i="22"/>
  <c r="G51" i="22"/>
  <c r="H51" i="22"/>
  <c r="I51" i="22"/>
  <c r="E51" i="22"/>
  <c r="D51" i="22"/>
  <c r="J51" i="22"/>
  <c r="Q51" i="22"/>
  <c r="C57" i="22"/>
  <c r="O57" i="22"/>
  <c r="K57" i="22"/>
  <c r="M57" i="22"/>
  <c r="A57" i="22"/>
  <c r="N57" i="22"/>
  <c r="J57" i="22"/>
  <c r="H57" i="22"/>
  <c r="I57" i="22"/>
  <c r="P57" i="22"/>
  <c r="G57" i="22"/>
  <c r="D57" i="22"/>
  <c r="E57" i="22"/>
  <c r="Q57" i="22"/>
  <c r="B57" i="22"/>
  <c r="E172" i="22"/>
  <c r="Q172" i="22"/>
  <c r="G172" i="22"/>
  <c r="H172" i="22"/>
  <c r="D172" i="22"/>
  <c r="P172" i="22"/>
  <c r="B172" i="22"/>
  <c r="C172" i="22"/>
  <c r="I172" i="22"/>
  <c r="A172" i="22"/>
  <c r="J172" i="22"/>
  <c r="K172" i="22"/>
  <c r="M172" i="22"/>
  <c r="N172" i="22"/>
  <c r="O172" i="22"/>
  <c r="I122" i="22"/>
  <c r="C122" i="22"/>
  <c r="P122" i="22"/>
  <c r="H122" i="22"/>
  <c r="J122" i="22"/>
  <c r="K122" i="22"/>
  <c r="G122" i="22"/>
  <c r="A122" i="22"/>
  <c r="B122" i="22"/>
  <c r="D122" i="22"/>
  <c r="E122" i="22"/>
  <c r="M122" i="22"/>
  <c r="N122" i="22"/>
  <c r="O122" i="22"/>
  <c r="Q122" i="22"/>
  <c r="B133" i="22"/>
  <c r="N133" i="22"/>
  <c r="M133" i="22"/>
  <c r="A133" i="22"/>
  <c r="O133" i="22"/>
  <c r="C133" i="22"/>
  <c r="P133" i="22"/>
  <c r="K133" i="22"/>
  <c r="D133" i="22"/>
  <c r="E133" i="22"/>
  <c r="G133" i="22"/>
  <c r="H133" i="22"/>
  <c r="I133" i="22"/>
  <c r="J133" i="22"/>
  <c r="Q133" i="22"/>
  <c r="H148" i="22"/>
  <c r="J148" i="22"/>
  <c r="K148" i="22"/>
  <c r="M148" i="22"/>
  <c r="I148" i="22"/>
  <c r="P148" i="22"/>
  <c r="Q148" i="22"/>
  <c r="A148" i="22"/>
  <c r="O148" i="22"/>
  <c r="N148" i="22"/>
  <c r="B148" i="22"/>
  <c r="C148" i="22"/>
  <c r="D148" i="22"/>
  <c r="E148" i="22"/>
  <c r="G148" i="22"/>
  <c r="I42" i="22"/>
  <c r="J42" i="22"/>
  <c r="A42" i="22"/>
  <c r="O42" i="22"/>
  <c r="B42" i="22"/>
  <c r="P42" i="22"/>
  <c r="C42" i="22"/>
  <c r="Q42" i="22"/>
  <c r="N42" i="22"/>
  <c r="D42" i="22"/>
  <c r="E42" i="22"/>
  <c r="G42" i="22"/>
  <c r="H42" i="22"/>
  <c r="K42" i="22"/>
  <c r="M42" i="22"/>
  <c r="A93" i="22"/>
  <c r="I112" i="22"/>
  <c r="J112" i="22"/>
  <c r="K112" i="22"/>
  <c r="M112" i="22"/>
  <c r="N112" i="22"/>
  <c r="H112" i="22"/>
  <c r="E112" i="22"/>
  <c r="G112" i="22"/>
  <c r="O112" i="22"/>
  <c r="A112" i="22"/>
  <c r="B112" i="22"/>
  <c r="C112" i="22"/>
  <c r="P112" i="22"/>
  <c r="Q112" i="22"/>
  <c r="H158" i="22"/>
  <c r="C158" i="22"/>
  <c r="P158" i="22"/>
  <c r="D158" i="22"/>
  <c r="Q158" i="22"/>
  <c r="E158" i="22"/>
  <c r="B158" i="22"/>
  <c r="O158" i="22"/>
  <c r="M158" i="22"/>
  <c r="N158" i="22"/>
  <c r="K158" i="22"/>
  <c r="A158" i="22"/>
  <c r="G158" i="22"/>
  <c r="I158" i="22"/>
  <c r="J158" i="22"/>
  <c r="K199" i="22"/>
  <c r="A199" i="22"/>
  <c r="M199" i="22"/>
  <c r="B199" i="22"/>
  <c r="N199" i="22"/>
  <c r="J199" i="22"/>
  <c r="Q199" i="22"/>
  <c r="C199" i="22"/>
  <c r="P199" i="22"/>
  <c r="O199" i="22"/>
  <c r="I199" i="22"/>
  <c r="D199" i="22"/>
  <c r="E199" i="22"/>
  <c r="G199" i="22"/>
  <c r="H199" i="22"/>
  <c r="E168" i="22"/>
  <c r="Q168" i="22"/>
  <c r="G168" i="22"/>
  <c r="H168" i="22"/>
  <c r="D168" i="22"/>
  <c r="P168" i="22"/>
  <c r="N168" i="22"/>
  <c r="O168" i="22"/>
  <c r="M168" i="22"/>
  <c r="I168" i="22"/>
  <c r="J168" i="22"/>
  <c r="K168" i="22"/>
  <c r="A168" i="22"/>
  <c r="B168" i="22"/>
  <c r="C168" i="22"/>
  <c r="K203" i="22"/>
  <c r="A203" i="22"/>
  <c r="M203" i="22"/>
  <c r="B203" i="22"/>
  <c r="N203" i="22"/>
  <c r="J203" i="22"/>
  <c r="E203" i="22"/>
  <c r="G203" i="22"/>
  <c r="H203" i="22"/>
  <c r="D203" i="22"/>
  <c r="O203" i="22"/>
  <c r="P203" i="22"/>
  <c r="Q203" i="22"/>
  <c r="I203" i="22"/>
  <c r="C203" i="22"/>
  <c r="H140" i="22"/>
  <c r="G140" i="22"/>
  <c r="I140" i="22"/>
  <c r="J140" i="22"/>
  <c r="E140" i="22"/>
  <c r="C140" i="22"/>
  <c r="D140" i="22"/>
  <c r="K140" i="22"/>
  <c r="B140" i="22"/>
  <c r="N140" i="22"/>
  <c r="O140" i="22"/>
  <c r="P140" i="22"/>
  <c r="Q140" i="22"/>
  <c r="A140" i="22"/>
  <c r="M140" i="22"/>
  <c r="I102" i="22"/>
  <c r="E102" i="22"/>
  <c r="H102" i="22"/>
  <c r="I78" i="22"/>
  <c r="H78" i="22"/>
  <c r="E78" i="22"/>
  <c r="O78" i="22"/>
  <c r="A78" i="22"/>
  <c r="P78" i="22"/>
  <c r="B78" i="22"/>
  <c r="Q78" i="22"/>
  <c r="N78" i="22"/>
  <c r="K78" i="22"/>
  <c r="M78" i="22"/>
  <c r="J78" i="22"/>
  <c r="C78" i="22"/>
  <c r="D78" i="22"/>
  <c r="G78" i="22"/>
  <c r="H144" i="22"/>
  <c r="B144" i="22"/>
  <c r="O144" i="22"/>
  <c r="C144" i="22"/>
  <c r="P144" i="22"/>
  <c r="D144" i="22"/>
  <c r="Q144" i="22"/>
  <c r="A144" i="22"/>
  <c r="N144" i="22"/>
  <c r="E144" i="22"/>
  <c r="K144" i="22"/>
  <c r="M144" i="22"/>
  <c r="G144" i="22"/>
  <c r="I144" i="22"/>
  <c r="J144" i="22"/>
  <c r="K165" i="22"/>
  <c r="A165" i="22"/>
  <c r="M165" i="22"/>
  <c r="B165" i="22"/>
  <c r="N165" i="22"/>
  <c r="J165" i="22"/>
  <c r="H165" i="22"/>
  <c r="I165" i="22"/>
  <c r="O165" i="22"/>
  <c r="G165" i="22"/>
  <c r="C165" i="22"/>
  <c r="D165" i="22"/>
  <c r="E165" i="22"/>
  <c r="P165" i="22"/>
  <c r="Q165" i="22"/>
  <c r="E220" i="22"/>
  <c r="Q220" i="22"/>
  <c r="G220" i="22"/>
  <c r="H220" i="22"/>
  <c r="D220" i="22"/>
  <c r="P220" i="22"/>
  <c r="A220" i="22"/>
  <c r="B220" i="22"/>
  <c r="O220" i="22"/>
  <c r="I220" i="22"/>
  <c r="J220" i="22"/>
  <c r="K220" i="22"/>
  <c r="M220" i="22"/>
  <c r="C220" i="22"/>
  <c r="N220" i="22"/>
  <c r="K211" i="22"/>
  <c r="A211" i="22"/>
  <c r="M211" i="22"/>
  <c r="B211" i="22"/>
  <c r="N211" i="22"/>
  <c r="J211" i="22"/>
  <c r="C211" i="22"/>
  <c r="D211" i="22"/>
  <c r="E211" i="22"/>
  <c r="G211" i="22"/>
  <c r="H211" i="22"/>
  <c r="I211" i="22"/>
  <c r="O211" i="22"/>
  <c r="P211" i="22"/>
  <c r="Q211" i="22"/>
  <c r="B155" i="22"/>
  <c r="N155" i="22"/>
  <c r="D155" i="22"/>
  <c r="Q155" i="22"/>
  <c r="E155" i="22"/>
  <c r="G155" i="22"/>
  <c r="C155" i="22"/>
  <c r="P155" i="22"/>
  <c r="A155" i="22"/>
  <c r="H155" i="22"/>
  <c r="I155" i="22"/>
  <c r="J155" i="22"/>
  <c r="K155" i="22"/>
  <c r="M155" i="22"/>
  <c r="O155" i="22"/>
  <c r="H150" i="22"/>
  <c r="A150" i="22"/>
  <c r="N150" i="22"/>
  <c r="B150" i="22"/>
  <c r="O150" i="22"/>
  <c r="C150" i="22"/>
  <c r="P150" i="22"/>
  <c r="M150" i="22"/>
  <c r="D150" i="22"/>
  <c r="E150" i="22"/>
  <c r="G150" i="22"/>
  <c r="Q150" i="22"/>
  <c r="I150" i="22"/>
  <c r="J150" i="22"/>
  <c r="K150" i="22"/>
  <c r="K195" i="22"/>
  <c r="A195" i="22"/>
  <c r="M195" i="22"/>
  <c r="B195" i="22"/>
  <c r="N195" i="22"/>
  <c r="J195" i="22"/>
  <c r="H195" i="22"/>
  <c r="I195" i="22"/>
  <c r="O195" i="22"/>
  <c r="G195" i="22"/>
  <c r="C195" i="22"/>
  <c r="D195" i="22"/>
  <c r="E195" i="22"/>
  <c r="P195" i="22"/>
  <c r="Q195" i="22"/>
  <c r="G5" i="23"/>
  <c r="K5" i="23"/>
  <c r="J5" i="23"/>
  <c r="H5" i="23"/>
  <c r="I5" i="23" s="1"/>
  <c r="BE19" i="23"/>
  <c r="BA19" i="23"/>
  <c r="AV19" i="23"/>
  <c r="BB19" i="23"/>
  <c r="BC19" i="23"/>
  <c r="AS19" i="23"/>
  <c r="BG19" i="23"/>
  <c r="G41" i="21"/>
  <c r="Q41" i="21"/>
  <c r="AA41" i="21"/>
  <c r="AK41" i="21"/>
  <c r="H41" i="21"/>
  <c r="R41" i="21"/>
  <c r="AB41" i="21"/>
  <c r="F41" i="21"/>
  <c r="P41" i="21"/>
  <c r="Z41" i="21"/>
  <c r="AJ41" i="21"/>
  <c r="B41" i="21"/>
  <c r="O41" i="21"/>
  <c r="AE41" i="21"/>
  <c r="C41" i="21"/>
  <c r="S41" i="21"/>
  <c r="AF41" i="21"/>
  <c r="AN41" i="21" s="1"/>
  <c r="D41" i="21"/>
  <c r="T41" i="21"/>
  <c r="AG41" i="21"/>
  <c r="AQ41" i="21" s="1"/>
  <c r="A41" i="21"/>
  <c r="N41" i="21"/>
  <c r="AD41" i="21"/>
  <c r="J41" i="21"/>
  <c r="AH41" i="21"/>
  <c r="K41" i="21"/>
  <c r="AX41" i="21" s="1"/>
  <c r="AI41" i="21"/>
  <c r="AW41" i="21" s="1"/>
  <c r="L41" i="21"/>
  <c r="M41" i="21"/>
  <c r="I41" i="21"/>
  <c r="AC41" i="21"/>
  <c r="E41" i="21"/>
  <c r="U41" i="21"/>
  <c r="V41" i="21"/>
  <c r="W41" i="21"/>
  <c r="X41" i="21"/>
  <c r="Y41" i="21"/>
  <c r="AF50" i="23"/>
  <c r="O50" i="23"/>
  <c r="W50" i="23"/>
  <c r="X50" i="23"/>
  <c r="AV48" i="23"/>
  <c r="BG48" i="23"/>
  <c r="AS48" i="23"/>
  <c r="BE48" i="23"/>
  <c r="BB48" i="23"/>
  <c r="BC48" i="23"/>
  <c r="BA48" i="23"/>
  <c r="G70" i="21"/>
  <c r="Q70" i="21"/>
  <c r="AA70" i="21"/>
  <c r="AK70" i="21"/>
  <c r="H70" i="21"/>
  <c r="R70" i="21"/>
  <c r="AB70" i="21"/>
  <c r="I70" i="21"/>
  <c r="S70" i="21"/>
  <c r="AC70" i="21"/>
  <c r="F70" i="21"/>
  <c r="P70" i="21"/>
  <c r="Z70" i="21"/>
  <c r="AJ70" i="21"/>
  <c r="M70" i="21"/>
  <c r="AE70" i="21"/>
  <c r="N70" i="21"/>
  <c r="AF70" i="21"/>
  <c r="AN70" i="21" s="1"/>
  <c r="A70" i="21"/>
  <c r="O70" i="21"/>
  <c r="AG70" i="21"/>
  <c r="AQ70" i="21" s="1"/>
  <c r="L70" i="21"/>
  <c r="AD70" i="21"/>
  <c r="D70" i="21"/>
  <c r="AH70" i="21"/>
  <c r="E70" i="21"/>
  <c r="AI70" i="21"/>
  <c r="AW70" i="21" s="1"/>
  <c r="J70" i="21"/>
  <c r="K70" i="21"/>
  <c r="AX70" i="21" s="1"/>
  <c r="T70" i="21"/>
  <c r="U70" i="21"/>
  <c r="V70" i="21"/>
  <c r="W70" i="21"/>
  <c r="B70" i="21"/>
  <c r="X70" i="21"/>
  <c r="C70" i="21"/>
  <c r="Y70" i="21"/>
  <c r="AX60" i="23"/>
  <c r="AW60" i="23"/>
  <c r="G41" i="23"/>
  <c r="J41" i="23"/>
  <c r="H41" i="23"/>
  <c r="I41" i="23" s="1"/>
  <c r="K41" i="23"/>
  <c r="BG78" i="23"/>
  <c r="AS78" i="23"/>
  <c r="BC78" i="23"/>
  <c r="AV78" i="23"/>
  <c r="BB78" i="23"/>
  <c r="BE78" i="23"/>
  <c r="BA78" i="23"/>
  <c r="C100" i="21"/>
  <c r="M100" i="21"/>
  <c r="W100" i="21"/>
  <c r="AG100" i="21"/>
  <c r="AQ100" i="21" s="1"/>
  <c r="D100" i="21"/>
  <c r="N100" i="21"/>
  <c r="X100" i="21"/>
  <c r="AH100" i="21"/>
  <c r="E100" i="21"/>
  <c r="O100" i="21"/>
  <c r="Y100" i="21"/>
  <c r="AI100" i="21"/>
  <c r="AW100" i="21" s="1"/>
  <c r="B100" i="21"/>
  <c r="L100" i="21"/>
  <c r="V100" i="21"/>
  <c r="AF100" i="21"/>
  <c r="AN100" i="21" s="1"/>
  <c r="G100" i="21"/>
  <c r="U100" i="21"/>
  <c r="H100" i="21"/>
  <c r="Z100" i="21"/>
  <c r="I100" i="21"/>
  <c r="AA100" i="21"/>
  <c r="F100" i="21"/>
  <c r="T100" i="21"/>
  <c r="K100" i="21"/>
  <c r="AX100" i="21" s="1"/>
  <c r="AK100" i="21"/>
  <c r="P100" i="21"/>
  <c r="Q100" i="21"/>
  <c r="R100" i="21"/>
  <c r="S100" i="21"/>
  <c r="AB100" i="21"/>
  <c r="AC100" i="21"/>
  <c r="AD100" i="21"/>
  <c r="A100" i="21"/>
  <c r="AE100" i="21"/>
  <c r="J100" i="21"/>
  <c r="AJ100" i="21"/>
  <c r="J77" i="23"/>
  <c r="K77" i="23"/>
  <c r="G77" i="23"/>
  <c r="H77" i="23"/>
  <c r="I77" i="23" s="1"/>
  <c r="AF93" i="23"/>
  <c r="F93" i="23"/>
  <c r="S93" i="23"/>
  <c r="BB111" i="23"/>
  <c r="AS111" i="23"/>
  <c r="BC111" i="23"/>
  <c r="BA111" i="23"/>
  <c r="AV111" i="23"/>
  <c r="BE111" i="23"/>
  <c r="BG111" i="23"/>
  <c r="B133" i="21"/>
  <c r="L133" i="21"/>
  <c r="V133" i="21"/>
  <c r="AF133" i="21"/>
  <c r="AN133" i="21" s="1"/>
  <c r="C133" i="21"/>
  <c r="M133" i="21"/>
  <c r="W133" i="21"/>
  <c r="AG133" i="21"/>
  <c r="AQ133" i="21" s="1"/>
  <c r="D133" i="21"/>
  <c r="N133" i="21"/>
  <c r="X133" i="21"/>
  <c r="AH133" i="21"/>
  <c r="A133" i="21"/>
  <c r="K133" i="21"/>
  <c r="AX133" i="21" s="1"/>
  <c r="U133" i="21"/>
  <c r="AE133" i="21"/>
  <c r="R133" i="21"/>
  <c r="AJ133" i="21"/>
  <c r="E133" i="21"/>
  <c r="S133" i="21"/>
  <c r="AK133" i="21"/>
  <c r="F133" i="21"/>
  <c r="T133" i="21"/>
  <c r="Q133" i="21"/>
  <c r="AI133" i="21"/>
  <c r="AW133" i="21" s="1"/>
  <c r="Z133" i="21"/>
  <c r="AA133" i="21"/>
  <c r="AB133" i="21"/>
  <c r="G133" i="21"/>
  <c r="AC133" i="21"/>
  <c r="J133" i="21"/>
  <c r="Y133" i="21"/>
  <c r="O133" i="21"/>
  <c r="P133" i="21"/>
  <c r="AD133" i="21"/>
  <c r="H133" i="21"/>
  <c r="I133" i="21"/>
  <c r="X130" i="23"/>
  <c r="F130" i="23"/>
  <c r="S130" i="23"/>
  <c r="AF130" i="23"/>
  <c r="K67" i="23"/>
  <c r="J67" i="23"/>
  <c r="G67" i="23"/>
  <c r="H67" i="23"/>
  <c r="I67" i="23" s="1"/>
  <c r="AW100" i="23"/>
  <c r="AX100" i="23"/>
  <c r="BB121" i="23"/>
  <c r="BA121" i="23"/>
  <c r="BC121" i="23"/>
  <c r="BE121" i="23"/>
  <c r="AV121" i="23"/>
  <c r="AS121" i="23"/>
  <c r="BG121" i="23"/>
  <c r="I143" i="21"/>
  <c r="S143" i="21"/>
  <c r="AC143" i="21"/>
  <c r="J143" i="21"/>
  <c r="T143" i="21"/>
  <c r="AD143" i="21"/>
  <c r="A143" i="21"/>
  <c r="K143" i="21"/>
  <c r="AX143" i="21" s="1"/>
  <c r="U143" i="21"/>
  <c r="AE143" i="21"/>
  <c r="H143" i="21"/>
  <c r="R143" i="21"/>
  <c r="AB143" i="21"/>
  <c r="L143" i="21"/>
  <c r="Z143" i="21"/>
  <c r="M143" i="21"/>
  <c r="AA143" i="21"/>
  <c r="N143" i="21"/>
  <c r="AF143" i="21"/>
  <c r="AN143" i="21" s="1"/>
  <c r="G143" i="21"/>
  <c r="Y143" i="21"/>
  <c r="P143" i="21"/>
  <c r="Q143" i="21"/>
  <c r="V143" i="21"/>
  <c r="W143" i="21"/>
  <c r="O143" i="21"/>
  <c r="AK143" i="21"/>
  <c r="X143" i="21"/>
  <c r="AG143" i="21"/>
  <c r="AQ143" i="21" s="1"/>
  <c r="AH143" i="21"/>
  <c r="AI143" i="21"/>
  <c r="AW143" i="21" s="1"/>
  <c r="AJ143" i="21"/>
  <c r="B143" i="21"/>
  <c r="C143" i="21"/>
  <c r="D143" i="21"/>
  <c r="E143" i="21"/>
  <c r="F143" i="21"/>
  <c r="J137" i="23"/>
  <c r="K137" i="23"/>
  <c r="G137" i="23"/>
  <c r="H137" i="23"/>
  <c r="I137" i="23" s="1"/>
  <c r="AW123" i="23"/>
  <c r="AX123" i="23"/>
  <c r="AH96" i="23"/>
  <c r="BB167" i="23"/>
  <c r="AS167" i="23"/>
  <c r="BC167" i="23"/>
  <c r="BA167" i="23"/>
  <c r="AV167" i="23"/>
  <c r="BE167" i="23"/>
  <c r="BG167" i="23"/>
  <c r="D189" i="21"/>
  <c r="N189" i="21"/>
  <c r="X189" i="21"/>
  <c r="AH189" i="21"/>
  <c r="E189" i="21"/>
  <c r="O189" i="21"/>
  <c r="Y189" i="21"/>
  <c r="AI189" i="21"/>
  <c r="AW189" i="21" s="1"/>
  <c r="F189" i="21"/>
  <c r="P189" i="21"/>
  <c r="Z189" i="21"/>
  <c r="AJ189" i="21"/>
  <c r="C189" i="21"/>
  <c r="M189" i="21"/>
  <c r="W189" i="21"/>
  <c r="AG189" i="21"/>
  <c r="AQ189" i="21" s="1"/>
  <c r="B189" i="21"/>
  <c r="T189" i="21"/>
  <c r="G189" i="21"/>
  <c r="U189" i="21"/>
  <c r="H189" i="21"/>
  <c r="V189" i="21"/>
  <c r="A189" i="21"/>
  <c r="S189" i="21"/>
  <c r="AK189" i="21"/>
  <c r="K189" i="21"/>
  <c r="AX189" i="21" s="1"/>
  <c r="L189" i="21"/>
  <c r="Q189" i="21"/>
  <c r="R189" i="21"/>
  <c r="AA189" i="21"/>
  <c r="AB189" i="21"/>
  <c r="AC189" i="21"/>
  <c r="AD189" i="21"/>
  <c r="I189" i="21"/>
  <c r="AE189" i="21"/>
  <c r="J189" i="21"/>
  <c r="AF189" i="21"/>
  <c r="AN189" i="21" s="1"/>
  <c r="W148" i="23"/>
  <c r="C127" i="22"/>
  <c r="O127" i="22"/>
  <c r="G127" i="22"/>
  <c r="H127" i="22"/>
  <c r="I127" i="22"/>
  <c r="J127" i="22"/>
  <c r="E127" i="22"/>
  <c r="K127" i="22"/>
  <c r="M127" i="22"/>
  <c r="N127" i="22"/>
  <c r="D127" i="22"/>
  <c r="Q127" i="22"/>
  <c r="A127" i="22"/>
  <c r="B127" i="22"/>
  <c r="P127" i="22"/>
  <c r="I120" i="22"/>
  <c r="M120" i="22"/>
  <c r="A120" i="22"/>
  <c r="O120" i="22"/>
  <c r="B120" i="22"/>
  <c r="P120" i="22"/>
  <c r="C120" i="22"/>
  <c r="Q120" i="22"/>
  <c r="N120" i="22"/>
  <c r="J120" i="22"/>
  <c r="K120" i="22"/>
  <c r="H120" i="22"/>
  <c r="D120" i="22"/>
  <c r="E120" i="22"/>
  <c r="G120" i="22"/>
  <c r="I116" i="22"/>
  <c r="D116" i="22"/>
  <c r="Q116" i="22"/>
  <c r="M116" i="22"/>
  <c r="N116" i="22"/>
  <c r="A116" i="22"/>
  <c r="O116" i="22"/>
  <c r="K116" i="22"/>
  <c r="H116" i="22"/>
  <c r="J116" i="22"/>
  <c r="P116" i="22"/>
  <c r="G116" i="22"/>
  <c r="E116" i="22"/>
  <c r="B116" i="22"/>
  <c r="C116" i="22"/>
  <c r="AG2" i="23"/>
  <c r="AH2" i="23"/>
  <c r="AH30" i="23"/>
  <c r="AW18" i="23"/>
  <c r="AX18" i="23"/>
  <c r="G20" i="23"/>
  <c r="H20" i="23"/>
  <c r="I20" i="23" s="1"/>
  <c r="K20" i="23"/>
  <c r="J20" i="23"/>
  <c r="BA36" i="23"/>
  <c r="AV36" i="23"/>
  <c r="BG36" i="23"/>
  <c r="BB36" i="23"/>
  <c r="BC36" i="23"/>
  <c r="AS36" i="23"/>
  <c r="BE36" i="23"/>
  <c r="E58" i="21"/>
  <c r="O58" i="21"/>
  <c r="Y58" i="21"/>
  <c r="AI58" i="21"/>
  <c r="AW58" i="21" s="1"/>
  <c r="F58" i="21"/>
  <c r="P58" i="21"/>
  <c r="Z58" i="21"/>
  <c r="AJ58" i="21"/>
  <c r="G58" i="21"/>
  <c r="Q58" i="21"/>
  <c r="AA58" i="21"/>
  <c r="AK58" i="21"/>
  <c r="D58" i="21"/>
  <c r="N58" i="21"/>
  <c r="X58" i="21"/>
  <c r="AH58" i="21"/>
  <c r="I58" i="21"/>
  <c r="W58" i="21"/>
  <c r="J58" i="21"/>
  <c r="AB58" i="21"/>
  <c r="K58" i="21"/>
  <c r="AX58" i="21" s="1"/>
  <c r="AC58" i="21"/>
  <c r="H58" i="21"/>
  <c r="V58" i="21"/>
  <c r="S58" i="21"/>
  <c r="T58" i="21"/>
  <c r="U58" i="21"/>
  <c r="AD58" i="21"/>
  <c r="A58" i="21"/>
  <c r="AE58" i="21"/>
  <c r="B58" i="21"/>
  <c r="AF58" i="21"/>
  <c r="AN58" i="21" s="1"/>
  <c r="C58" i="21"/>
  <c r="AG58" i="21"/>
  <c r="AQ58" i="21" s="1"/>
  <c r="L58" i="21"/>
  <c r="M58" i="21"/>
  <c r="R58" i="21"/>
  <c r="H76" i="23"/>
  <c r="I76" i="23" s="1"/>
  <c r="J76" i="23"/>
  <c r="G76" i="23"/>
  <c r="K76" i="23"/>
  <c r="K52" i="23"/>
  <c r="G52" i="23"/>
  <c r="H52" i="23"/>
  <c r="I52" i="23" s="1"/>
  <c r="J52" i="23"/>
  <c r="X54" i="23"/>
  <c r="AF54" i="23"/>
  <c r="S54" i="23"/>
  <c r="AF43" i="23"/>
  <c r="O43" i="23"/>
  <c r="W43" i="23"/>
  <c r="S43" i="23"/>
  <c r="X43" i="23"/>
  <c r="AF59" i="23"/>
  <c r="W59" i="23"/>
  <c r="S59" i="23"/>
  <c r="X59" i="23"/>
  <c r="AF83" i="23"/>
  <c r="F83" i="23"/>
  <c r="W83" i="23"/>
  <c r="O83" i="23"/>
  <c r="X83" i="23"/>
  <c r="AX79" i="23"/>
  <c r="AW79" i="23"/>
  <c r="AW80" i="23"/>
  <c r="AX80" i="23"/>
  <c r="H80" i="23"/>
  <c r="I80" i="23" s="1"/>
  <c r="J80" i="23"/>
  <c r="K80" i="23"/>
  <c r="G80" i="23"/>
  <c r="AH73" i="23"/>
  <c r="AH67" i="23"/>
  <c r="AX138" i="23"/>
  <c r="AW138" i="23"/>
  <c r="AX193" i="23"/>
  <c r="AW193" i="23"/>
  <c r="G180" i="23"/>
  <c r="H180" i="23"/>
  <c r="I180" i="23" s="1"/>
  <c r="J180" i="23"/>
  <c r="K180" i="23"/>
  <c r="AW149" i="23"/>
  <c r="AX149" i="23"/>
  <c r="G170" i="23"/>
  <c r="H170" i="23"/>
  <c r="I170" i="23" s="1"/>
  <c r="K170" i="23"/>
  <c r="J170" i="23"/>
  <c r="AW91" i="23"/>
  <c r="AX91" i="23"/>
  <c r="E210" i="22"/>
  <c r="Q210" i="22"/>
  <c r="G210" i="22"/>
  <c r="H210" i="22"/>
  <c r="D210" i="22"/>
  <c r="P210" i="22"/>
  <c r="A210" i="22"/>
  <c r="B210" i="22"/>
  <c r="O210" i="22"/>
  <c r="N210" i="22"/>
  <c r="M210" i="22"/>
  <c r="C210" i="22"/>
  <c r="I210" i="22"/>
  <c r="J210" i="22"/>
  <c r="K210" i="22"/>
  <c r="C125" i="22"/>
  <c r="O125" i="22"/>
  <c r="B125" i="22"/>
  <c r="P125" i="22"/>
  <c r="M125" i="22"/>
  <c r="N125" i="22"/>
  <c r="A125" i="22"/>
  <c r="Q125" i="22"/>
  <c r="K125" i="22"/>
  <c r="D125" i="22"/>
  <c r="I125" i="22"/>
  <c r="J125" i="22"/>
  <c r="E125" i="22"/>
  <c r="G125" i="22"/>
  <c r="H125" i="22"/>
  <c r="E166" i="22"/>
  <c r="Q166" i="22"/>
  <c r="G166" i="22"/>
  <c r="H166" i="22"/>
  <c r="P166" i="22"/>
  <c r="K166" i="22"/>
  <c r="M166" i="22"/>
  <c r="N166" i="22"/>
  <c r="J166" i="22"/>
  <c r="I166" i="22"/>
  <c r="O166" i="22"/>
  <c r="A166" i="22"/>
  <c r="B166" i="22"/>
  <c r="C69" i="22"/>
  <c r="O69" i="22"/>
  <c r="I69" i="22"/>
  <c r="J69" i="22"/>
  <c r="H69" i="22"/>
  <c r="Q69" i="22"/>
  <c r="A69" i="22"/>
  <c r="B69" i="22"/>
  <c r="P69" i="22"/>
  <c r="D69" i="22"/>
  <c r="E69" i="22"/>
  <c r="K69" i="22"/>
  <c r="M69" i="22"/>
  <c r="N69" i="22"/>
  <c r="G69" i="22"/>
  <c r="B159" i="22"/>
  <c r="K159" i="22"/>
  <c r="M159" i="22"/>
  <c r="A159" i="22"/>
  <c r="N159" i="22"/>
  <c r="J159" i="22"/>
  <c r="Q159" i="22"/>
  <c r="C159" i="22"/>
  <c r="P159" i="22"/>
  <c r="E159" i="22"/>
  <c r="G159" i="22"/>
  <c r="H159" i="22"/>
  <c r="I159" i="22"/>
  <c r="O159" i="22"/>
  <c r="D159" i="22"/>
  <c r="AS5" i="23"/>
  <c r="BC5" i="23"/>
  <c r="BE5" i="23"/>
  <c r="BA5" i="23"/>
  <c r="BB5" i="23"/>
  <c r="BG5" i="23"/>
  <c r="AV5" i="23"/>
  <c r="J27" i="21"/>
  <c r="T27" i="21"/>
  <c r="AD27" i="21"/>
  <c r="A27" i="21"/>
  <c r="K27" i="21"/>
  <c r="AX27" i="21" s="1"/>
  <c r="U27" i="21"/>
  <c r="AE27" i="21"/>
  <c r="B27" i="21"/>
  <c r="L27" i="21"/>
  <c r="V27" i="21"/>
  <c r="AF27" i="21"/>
  <c r="AN27" i="21" s="1"/>
  <c r="I27" i="21"/>
  <c r="S27" i="21"/>
  <c r="AC27" i="21"/>
  <c r="N27" i="21"/>
  <c r="AB27" i="21"/>
  <c r="O27" i="21"/>
  <c r="AG27" i="21"/>
  <c r="AQ27" i="21" s="1"/>
  <c r="P27" i="21"/>
  <c r="AH27" i="21"/>
  <c r="M27" i="21"/>
  <c r="AA27" i="21"/>
  <c r="D27" i="21"/>
  <c r="Z27" i="21"/>
  <c r="E27" i="21"/>
  <c r="AI27" i="21"/>
  <c r="AW27" i="21" s="1"/>
  <c r="F27" i="21"/>
  <c r="AJ27" i="21"/>
  <c r="G27" i="21"/>
  <c r="AK27" i="21"/>
  <c r="C27" i="21"/>
  <c r="Y27" i="21"/>
  <c r="H27" i="21"/>
  <c r="Q27" i="21"/>
  <c r="R27" i="21"/>
  <c r="W27" i="21"/>
  <c r="X27" i="21"/>
  <c r="AH10" i="23"/>
  <c r="BA26" i="23"/>
  <c r="AV26" i="23"/>
  <c r="BG26" i="23"/>
  <c r="BB26" i="23"/>
  <c r="BC26" i="23"/>
  <c r="BE26" i="23"/>
  <c r="AS26" i="23"/>
  <c r="H48" i="21"/>
  <c r="R48" i="21"/>
  <c r="AB48" i="21"/>
  <c r="I48" i="21"/>
  <c r="S48" i="21"/>
  <c r="AC48" i="21"/>
  <c r="D48" i="21"/>
  <c r="P48" i="21"/>
  <c r="AD48" i="21"/>
  <c r="E48" i="21"/>
  <c r="Q48" i="21"/>
  <c r="AE48" i="21"/>
  <c r="F48" i="21"/>
  <c r="T48" i="21"/>
  <c r="AF48" i="21"/>
  <c r="AN48" i="21" s="1"/>
  <c r="C48" i="21"/>
  <c r="O48" i="21"/>
  <c r="AA48" i="21"/>
  <c r="G48" i="21"/>
  <c r="Y48" i="21"/>
  <c r="J48" i="21"/>
  <c r="Z48" i="21"/>
  <c r="K48" i="21"/>
  <c r="AX48" i="21" s="1"/>
  <c r="AG48" i="21"/>
  <c r="AQ48" i="21" s="1"/>
  <c r="L48" i="21"/>
  <c r="AH48" i="21"/>
  <c r="B48" i="21"/>
  <c r="X48" i="21"/>
  <c r="V48" i="21"/>
  <c r="W48" i="21"/>
  <c r="AI48" i="21"/>
  <c r="AW48" i="21" s="1"/>
  <c r="AJ48" i="21"/>
  <c r="AK48" i="21"/>
  <c r="A48" i="21"/>
  <c r="M48" i="21"/>
  <c r="N48" i="21"/>
  <c r="U48" i="21"/>
  <c r="BA13" i="23"/>
  <c r="BB13" i="23"/>
  <c r="AV13" i="23"/>
  <c r="BC13" i="23"/>
  <c r="BE13" i="23"/>
  <c r="BG13" i="23"/>
  <c r="AS13" i="23"/>
  <c r="J35" i="21"/>
  <c r="T35" i="21"/>
  <c r="AD35" i="21"/>
  <c r="A35" i="21"/>
  <c r="K35" i="21"/>
  <c r="AX35" i="21" s="1"/>
  <c r="U35" i="21"/>
  <c r="AE35" i="21"/>
  <c r="I35" i="21"/>
  <c r="S35" i="21"/>
  <c r="AC35" i="21"/>
  <c r="C35" i="21"/>
  <c r="P35" i="21"/>
  <c r="AF35" i="21"/>
  <c r="AN35" i="21" s="1"/>
  <c r="D35" i="21"/>
  <c r="Q35" i="21"/>
  <c r="AG35" i="21"/>
  <c r="AQ35" i="21" s="1"/>
  <c r="E35" i="21"/>
  <c r="R35" i="21"/>
  <c r="AH35" i="21"/>
  <c r="B35" i="21"/>
  <c r="O35" i="21"/>
  <c r="AB35" i="21"/>
  <c r="M35" i="21"/>
  <c r="AK35" i="21"/>
  <c r="N35" i="21"/>
  <c r="V35" i="21"/>
  <c r="W35" i="21"/>
  <c r="L35" i="21"/>
  <c r="AJ35" i="21"/>
  <c r="F35" i="21"/>
  <c r="G35" i="21"/>
  <c r="H35" i="21"/>
  <c r="X35" i="21"/>
  <c r="Y35" i="21"/>
  <c r="Z35" i="21"/>
  <c r="AA35" i="21"/>
  <c r="AI35" i="21"/>
  <c r="AW35" i="21" s="1"/>
  <c r="AV8" i="23"/>
  <c r="BG8" i="23"/>
  <c r="BA8" i="23"/>
  <c r="AS8" i="23"/>
  <c r="BB8" i="23"/>
  <c r="BC8" i="23"/>
  <c r="BE8" i="23"/>
  <c r="I30" i="21"/>
  <c r="S30" i="21"/>
  <c r="AC30" i="21"/>
  <c r="J30" i="21"/>
  <c r="T30" i="21"/>
  <c r="AD30" i="21"/>
  <c r="A30" i="21"/>
  <c r="K30" i="21"/>
  <c r="AX30" i="21" s="1"/>
  <c r="U30" i="21"/>
  <c r="AE30" i="21"/>
  <c r="H30" i="21"/>
  <c r="R30" i="21"/>
  <c r="AB30" i="21"/>
  <c r="D30" i="21"/>
  <c r="V30" i="21"/>
  <c r="AJ30" i="21"/>
  <c r="E30" i="21"/>
  <c r="W30" i="21"/>
  <c r="AK30" i="21"/>
  <c r="F30" i="21"/>
  <c r="X30" i="21"/>
  <c r="C30" i="21"/>
  <c r="Q30" i="21"/>
  <c r="AI30" i="21"/>
  <c r="AW30" i="21" s="1"/>
  <c r="N30" i="21"/>
  <c r="O30" i="21"/>
  <c r="P30" i="21"/>
  <c r="Y30" i="21"/>
  <c r="M30" i="21"/>
  <c r="Z30" i="21"/>
  <c r="AA30" i="21"/>
  <c r="AF30" i="21"/>
  <c r="AN30" i="21" s="1"/>
  <c r="AG30" i="21"/>
  <c r="AQ30" i="21" s="1"/>
  <c r="AH30" i="21"/>
  <c r="B30" i="21"/>
  <c r="G30" i="21"/>
  <c r="L30" i="21"/>
  <c r="F3" i="23"/>
  <c r="AF3" i="23"/>
  <c r="G6" i="23"/>
  <c r="H6" i="23"/>
  <c r="I6" i="23" s="1"/>
  <c r="J6" i="23"/>
  <c r="K6" i="23"/>
  <c r="H21" i="23"/>
  <c r="I21" i="23" s="1"/>
  <c r="G21" i="23"/>
  <c r="J21" i="23"/>
  <c r="K21" i="23"/>
  <c r="J9" i="23"/>
  <c r="K9" i="23"/>
  <c r="G9" i="23"/>
  <c r="H9" i="23"/>
  <c r="I9" i="23" s="1"/>
  <c r="BE16" i="23"/>
  <c r="BG16" i="23"/>
  <c r="BC16" i="23"/>
  <c r="AS16" i="23"/>
  <c r="AV16" i="23"/>
  <c r="BA16" i="23"/>
  <c r="BB16" i="23"/>
  <c r="A38" i="21"/>
  <c r="K38" i="21"/>
  <c r="AX38" i="21" s="1"/>
  <c r="U38" i="21"/>
  <c r="AE38" i="21"/>
  <c r="B38" i="21"/>
  <c r="L38" i="21"/>
  <c r="V38" i="21"/>
  <c r="AF38" i="21"/>
  <c r="AN38" i="21" s="1"/>
  <c r="J38" i="21"/>
  <c r="T38" i="21"/>
  <c r="AD38" i="21"/>
  <c r="M38" i="21"/>
  <c r="Z38" i="21"/>
  <c r="N38" i="21"/>
  <c r="AA38" i="21"/>
  <c r="O38" i="21"/>
  <c r="AB38" i="21"/>
  <c r="I38" i="21"/>
  <c r="Y38" i="21"/>
  <c r="P38" i="21"/>
  <c r="AJ38" i="21"/>
  <c r="Q38" i="21"/>
  <c r="AK38" i="21"/>
  <c r="R38" i="21"/>
  <c r="S38" i="21"/>
  <c r="H38" i="21"/>
  <c r="AI38" i="21"/>
  <c r="AW38" i="21" s="1"/>
  <c r="W38" i="21"/>
  <c r="X38" i="21"/>
  <c r="AC38" i="21"/>
  <c r="AG38" i="21"/>
  <c r="AQ38" i="21" s="1"/>
  <c r="AH38" i="21"/>
  <c r="C38" i="21"/>
  <c r="D38" i="21"/>
  <c r="E38" i="21"/>
  <c r="F38" i="21"/>
  <c r="G38" i="21"/>
  <c r="K34" i="23"/>
  <c r="G34" i="23"/>
  <c r="H34" i="23"/>
  <c r="I34" i="23" s="1"/>
  <c r="J34" i="23"/>
  <c r="BE20" i="23"/>
  <c r="AV20" i="23"/>
  <c r="BA20" i="23"/>
  <c r="BB20" i="23"/>
  <c r="AS20" i="23"/>
  <c r="BG20" i="23"/>
  <c r="BC20" i="23"/>
  <c r="F42" i="21"/>
  <c r="P42" i="21"/>
  <c r="Z42" i="21"/>
  <c r="AJ42" i="21"/>
  <c r="G42" i="21"/>
  <c r="Q42" i="21"/>
  <c r="AA42" i="21"/>
  <c r="AK42" i="21"/>
  <c r="E42" i="21"/>
  <c r="O42" i="21"/>
  <c r="Y42" i="21"/>
  <c r="AI42" i="21"/>
  <c r="AW42" i="21" s="1"/>
  <c r="C42" i="21"/>
  <c r="S42" i="21"/>
  <c r="AF42" i="21"/>
  <c r="AN42" i="21" s="1"/>
  <c r="D42" i="21"/>
  <c r="T42" i="21"/>
  <c r="AG42" i="21"/>
  <c r="AQ42" i="21" s="1"/>
  <c r="H42" i="21"/>
  <c r="U42" i="21"/>
  <c r="AH42" i="21"/>
  <c r="B42" i="21"/>
  <c r="R42" i="21"/>
  <c r="AE42" i="21"/>
  <c r="M42" i="21"/>
  <c r="N42" i="21"/>
  <c r="V42" i="21"/>
  <c r="W42" i="21"/>
  <c r="L42" i="21"/>
  <c r="J42" i="21"/>
  <c r="K42" i="21"/>
  <c r="AX42" i="21" s="1"/>
  <c r="X42" i="21"/>
  <c r="AB42" i="21"/>
  <c r="AC42" i="21"/>
  <c r="AD42" i="21"/>
  <c r="A42" i="21"/>
  <c r="I42" i="21"/>
  <c r="J51" i="23"/>
  <c r="K51" i="23"/>
  <c r="G51" i="23"/>
  <c r="H51" i="23"/>
  <c r="I51" i="23"/>
  <c r="W69" i="23"/>
  <c r="AF69" i="23"/>
  <c r="F69" i="23"/>
  <c r="S69" i="23"/>
  <c r="X69" i="23"/>
  <c r="AH15" i="23"/>
  <c r="H68" i="23"/>
  <c r="I68" i="23" s="1"/>
  <c r="J68" i="23"/>
  <c r="G68" i="23"/>
  <c r="K68" i="23"/>
  <c r="BG41" i="23"/>
  <c r="AV41" i="23"/>
  <c r="BE41" i="23"/>
  <c r="AS41" i="23"/>
  <c r="BA41" i="23"/>
  <c r="BB41" i="23"/>
  <c r="BC41" i="23"/>
  <c r="G63" i="21"/>
  <c r="Q63" i="21"/>
  <c r="AA63" i="21"/>
  <c r="AK63" i="21"/>
  <c r="H63" i="21"/>
  <c r="R63" i="21"/>
  <c r="AB63" i="21"/>
  <c r="I63" i="21"/>
  <c r="S63" i="21"/>
  <c r="AC63" i="21"/>
  <c r="F63" i="21"/>
  <c r="P63" i="21"/>
  <c r="Z63" i="21"/>
  <c r="AJ63" i="21"/>
  <c r="L63" i="21"/>
  <c r="AD63" i="21"/>
  <c r="M63" i="21"/>
  <c r="AE63" i="21"/>
  <c r="N63" i="21"/>
  <c r="AF63" i="21"/>
  <c r="AN63" i="21" s="1"/>
  <c r="K63" i="21"/>
  <c r="AX63" i="21" s="1"/>
  <c r="Y63" i="21"/>
  <c r="B63" i="21"/>
  <c r="X63" i="21"/>
  <c r="C63" i="21"/>
  <c r="AG63" i="21"/>
  <c r="AQ63" i="21" s="1"/>
  <c r="D63" i="21"/>
  <c r="AH63" i="21"/>
  <c r="E63" i="21"/>
  <c r="AI63" i="21"/>
  <c r="AW63" i="21" s="1"/>
  <c r="J63" i="21"/>
  <c r="O63" i="21"/>
  <c r="T63" i="21"/>
  <c r="U63" i="21"/>
  <c r="V63" i="21"/>
  <c r="A63" i="21"/>
  <c r="W63" i="21"/>
  <c r="S83" i="23"/>
  <c r="H56" i="23"/>
  <c r="I56" i="23" s="1"/>
  <c r="J56" i="23"/>
  <c r="G56" i="23"/>
  <c r="K56" i="23"/>
  <c r="K63" i="23"/>
  <c r="J63" i="23"/>
  <c r="H63" i="23"/>
  <c r="I63" i="23" s="1"/>
  <c r="G63" i="23"/>
  <c r="AW65" i="23"/>
  <c r="AX65" i="23"/>
  <c r="K94" i="23"/>
  <c r="J94" i="23"/>
  <c r="G94" i="23"/>
  <c r="H94" i="23"/>
  <c r="I94" i="23" s="1"/>
  <c r="BA128" i="23"/>
  <c r="AV128" i="23"/>
  <c r="BB128" i="23"/>
  <c r="BC128" i="23"/>
  <c r="AS128" i="23"/>
  <c r="BE128" i="23"/>
  <c r="D150" i="21"/>
  <c r="N150" i="21"/>
  <c r="X150" i="21"/>
  <c r="AH150" i="21"/>
  <c r="E150" i="21"/>
  <c r="O150" i="21"/>
  <c r="Y150" i="21"/>
  <c r="AI150" i="21"/>
  <c r="AW150" i="21" s="1"/>
  <c r="F150" i="21"/>
  <c r="P150" i="21"/>
  <c r="Z150" i="21"/>
  <c r="AJ150" i="21"/>
  <c r="BG128" i="23"/>
  <c r="C150" i="21"/>
  <c r="M150" i="21"/>
  <c r="W150" i="21"/>
  <c r="AG150" i="21"/>
  <c r="AQ150" i="21" s="1"/>
  <c r="B150" i="21"/>
  <c r="T150" i="21"/>
  <c r="G150" i="21"/>
  <c r="U150" i="21"/>
  <c r="H150" i="21"/>
  <c r="V150" i="21"/>
  <c r="A150" i="21"/>
  <c r="S150" i="21"/>
  <c r="AK150" i="21"/>
  <c r="J150" i="21"/>
  <c r="AF150" i="21"/>
  <c r="AN150" i="21" s="1"/>
  <c r="K150" i="21"/>
  <c r="AX150" i="21" s="1"/>
  <c r="L150" i="21"/>
  <c r="Q150" i="21"/>
  <c r="I150" i="21"/>
  <c r="AE150" i="21"/>
  <c r="AD150" i="21"/>
  <c r="R150" i="21"/>
  <c r="AA150" i="21"/>
  <c r="AB150" i="21"/>
  <c r="AC150" i="21"/>
  <c r="BA45" i="23"/>
  <c r="AV45" i="23"/>
  <c r="BG45" i="23"/>
  <c r="AS45" i="23"/>
  <c r="BE45" i="23"/>
  <c r="BC45" i="23"/>
  <c r="BB45" i="23"/>
  <c r="J67" i="21"/>
  <c r="T67" i="21"/>
  <c r="AD67" i="21"/>
  <c r="A67" i="21"/>
  <c r="K67" i="21"/>
  <c r="AX67" i="21" s="1"/>
  <c r="U67" i="21"/>
  <c r="AE67" i="21"/>
  <c r="B67" i="21"/>
  <c r="L67" i="21"/>
  <c r="V67" i="21"/>
  <c r="AF67" i="21"/>
  <c r="AN67" i="21" s="1"/>
  <c r="I67" i="21"/>
  <c r="S67" i="21"/>
  <c r="AC67" i="21"/>
  <c r="G67" i="21"/>
  <c r="Y67" i="21"/>
  <c r="H67" i="21"/>
  <c r="Z67" i="21"/>
  <c r="M67" i="21"/>
  <c r="AA67" i="21"/>
  <c r="F67" i="21"/>
  <c r="X67" i="21"/>
  <c r="W67" i="21"/>
  <c r="AB67" i="21"/>
  <c r="C67" i="21"/>
  <c r="AG67" i="21"/>
  <c r="AQ67" i="21" s="1"/>
  <c r="D67" i="21"/>
  <c r="AH67" i="21"/>
  <c r="E67" i="21"/>
  <c r="AI67" i="21"/>
  <c r="AW67" i="21" s="1"/>
  <c r="N67" i="21"/>
  <c r="AJ67" i="21"/>
  <c r="O67" i="21"/>
  <c r="AK67" i="21"/>
  <c r="P67" i="21"/>
  <c r="Q67" i="21"/>
  <c r="R67" i="21"/>
  <c r="J89" i="23"/>
  <c r="K89" i="23"/>
  <c r="H89" i="23"/>
  <c r="I89" i="23" s="1"/>
  <c r="G89" i="23"/>
  <c r="AF90" i="23"/>
  <c r="O90" i="23"/>
  <c r="W90" i="23"/>
  <c r="X90" i="23"/>
  <c r="S141" i="23"/>
  <c r="AF141" i="23"/>
  <c r="F141" i="23"/>
  <c r="W141" i="23"/>
  <c r="O141" i="23"/>
  <c r="AH186" i="23"/>
  <c r="G189" i="23"/>
  <c r="H189" i="23"/>
  <c r="I189" i="23" s="1"/>
  <c r="J189" i="23"/>
  <c r="K189" i="23"/>
  <c r="AF157" i="23"/>
  <c r="O157" i="23"/>
  <c r="X157" i="23"/>
  <c r="G168" i="23"/>
  <c r="H168" i="23"/>
  <c r="I168" i="23" s="1"/>
  <c r="J168" i="23"/>
  <c r="K168" i="23"/>
  <c r="AF148" i="23"/>
  <c r="F148" i="23"/>
  <c r="G153" i="23"/>
  <c r="K153" i="23"/>
  <c r="H153" i="23"/>
  <c r="I153" i="23" s="1"/>
  <c r="J153" i="23"/>
  <c r="N172" i="23"/>
  <c r="Y172" i="23"/>
  <c r="BF172" i="23" s="1"/>
  <c r="BB151" i="23"/>
  <c r="AV151" i="23"/>
  <c r="BG151" i="23"/>
  <c r="AS151" i="23"/>
  <c r="BE151" i="23"/>
  <c r="BC151" i="23"/>
  <c r="BA151" i="23"/>
  <c r="E173" i="21"/>
  <c r="O173" i="21"/>
  <c r="Y173" i="21"/>
  <c r="AI173" i="21"/>
  <c r="AW173" i="21" s="1"/>
  <c r="G173" i="21"/>
  <c r="R173" i="21"/>
  <c r="AC173" i="21"/>
  <c r="H173" i="21"/>
  <c r="S173" i="21"/>
  <c r="AD173" i="21"/>
  <c r="I173" i="21"/>
  <c r="T173" i="21"/>
  <c r="AE173" i="21"/>
  <c r="F173" i="21"/>
  <c r="Q173" i="21"/>
  <c r="AB173" i="21"/>
  <c r="P173" i="21"/>
  <c r="AJ173" i="21"/>
  <c r="A173" i="21"/>
  <c r="U173" i="21"/>
  <c r="AK173" i="21"/>
  <c r="B173" i="21"/>
  <c r="V173" i="21"/>
  <c r="C173" i="21"/>
  <c r="W173" i="21"/>
  <c r="N173" i="21"/>
  <c r="AH173" i="21"/>
  <c r="AF173" i="21"/>
  <c r="AN173" i="21" s="1"/>
  <c r="AG173" i="21"/>
  <c r="AQ173" i="21" s="1"/>
  <c r="D173" i="21"/>
  <c r="J173" i="21"/>
  <c r="K173" i="21"/>
  <c r="AX173" i="21" s="1"/>
  <c r="L173" i="21"/>
  <c r="M173" i="21"/>
  <c r="X173" i="21"/>
  <c r="Z173" i="21"/>
  <c r="AA173" i="21"/>
  <c r="AX145" i="23"/>
  <c r="AW145" i="23"/>
  <c r="BE158" i="23"/>
  <c r="AV158" i="23"/>
  <c r="BG158" i="23"/>
  <c r="AS158" i="23"/>
  <c r="BB158" i="23"/>
  <c r="BC158" i="23"/>
  <c r="BA158" i="23"/>
  <c r="G180" i="21"/>
  <c r="Q180" i="21"/>
  <c r="AA180" i="21"/>
  <c r="AK180" i="21"/>
  <c r="I180" i="21"/>
  <c r="T180" i="21"/>
  <c r="AE180" i="21"/>
  <c r="J180" i="21"/>
  <c r="U180" i="21"/>
  <c r="AF180" i="21"/>
  <c r="AN180" i="21" s="1"/>
  <c r="K180" i="21"/>
  <c r="AX180" i="21" s="1"/>
  <c r="V180" i="21"/>
  <c r="AG180" i="21"/>
  <c r="AQ180" i="21" s="1"/>
  <c r="H180" i="21"/>
  <c r="S180" i="21"/>
  <c r="AD180" i="21"/>
  <c r="L180" i="21"/>
  <c r="AB180" i="21"/>
  <c r="M180" i="21"/>
  <c r="AC180" i="21"/>
  <c r="N180" i="21"/>
  <c r="AH180" i="21"/>
  <c r="O180" i="21"/>
  <c r="AI180" i="21"/>
  <c r="AW180" i="21" s="1"/>
  <c r="F180" i="21"/>
  <c r="Z180" i="21"/>
  <c r="E180" i="21"/>
  <c r="P180" i="21"/>
  <c r="R180" i="21"/>
  <c r="W180" i="21"/>
  <c r="X180" i="21"/>
  <c r="Y180" i="21"/>
  <c r="A180" i="21"/>
  <c r="AJ180" i="21"/>
  <c r="B180" i="21"/>
  <c r="C180" i="21"/>
  <c r="D180" i="21"/>
  <c r="K179" i="22"/>
  <c r="A179" i="22"/>
  <c r="M179" i="22"/>
  <c r="B179" i="22"/>
  <c r="N179" i="22"/>
  <c r="J179" i="22"/>
  <c r="Q179" i="22"/>
  <c r="C179" i="22"/>
  <c r="P179" i="22"/>
  <c r="H179" i="22"/>
  <c r="I179" i="22"/>
  <c r="O179" i="22"/>
  <c r="E179" i="22"/>
  <c r="G179" i="22"/>
  <c r="D179" i="22"/>
  <c r="I36" i="22"/>
  <c r="J36" i="22"/>
  <c r="C36" i="22"/>
  <c r="Q36" i="22"/>
  <c r="D36" i="22"/>
  <c r="E36" i="22"/>
  <c r="B36" i="22"/>
  <c r="P36" i="22"/>
  <c r="G36" i="22"/>
  <c r="H36" i="22"/>
  <c r="K36" i="22"/>
  <c r="A36" i="22"/>
  <c r="M36" i="22"/>
  <c r="N36" i="22"/>
  <c r="O36" i="22"/>
  <c r="H136" i="22"/>
  <c r="M136" i="22"/>
  <c r="A136" i="22"/>
  <c r="N136" i="22"/>
  <c r="B136" i="22"/>
  <c r="O136" i="22"/>
  <c r="K136" i="22"/>
  <c r="I136" i="22"/>
  <c r="J136" i="22"/>
  <c r="P136" i="22"/>
  <c r="G136" i="22"/>
  <c r="E136" i="22"/>
  <c r="Q136" i="22"/>
  <c r="C136" i="22"/>
  <c r="D136" i="22"/>
  <c r="B157" i="22"/>
  <c r="N157" i="22"/>
  <c r="H157" i="22"/>
  <c r="I157" i="22"/>
  <c r="J157" i="22"/>
  <c r="G157" i="22"/>
  <c r="M157" i="22"/>
  <c r="O157" i="22"/>
  <c r="E157" i="22"/>
  <c r="A157" i="22"/>
  <c r="C157" i="22"/>
  <c r="D157" i="22"/>
  <c r="P157" i="22"/>
  <c r="Q157" i="22"/>
  <c r="AV31" i="23"/>
  <c r="BA31" i="23"/>
  <c r="BB31" i="23"/>
  <c r="AS31" i="23"/>
  <c r="BG31" i="23"/>
  <c r="BE31" i="23"/>
  <c r="BC31" i="23"/>
  <c r="A53" i="21"/>
  <c r="K53" i="21"/>
  <c r="AX53" i="21" s="1"/>
  <c r="U53" i="21"/>
  <c r="AE53" i="21"/>
  <c r="G53" i="21"/>
  <c r="R53" i="21"/>
  <c r="AC53" i="21"/>
  <c r="H53" i="21"/>
  <c r="S53" i="21"/>
  <c r="AD53" i="21"/>
  <c r="I53" i="21"/>
  <c r="T53" i="21"/>
  <c r="AF53" i="21"/>
  <c r="AN53" i="21" s="1"/>
  <c r="F53" i="21"/>
  <c r="Q53" i="21"/>
  <c r="AB53" i="21"/>
  <c r="J53" i="21"/>
  <c r="Z53" i="21"/>
  <c r="L53" i="21"/>
  <c r="AA53" i="21"/>
  <c r="M53" i="21"/>
  <c r="AG53" i="21"/>
  <c r="AQ53" i="21" s="1"/>
  <c r="N53" i="21"/>
  <c r="AH53" i="21"/>
  <c r="E53" i="21"/>
  <c r="Y53" i="21"/>
  <c r="W53" i="21"/>
  <c r="X53" i="21"/>
  <c r="AI53" i="21"/>
  <c r="AW53" i="21" s="1"/>
  <c r="AJ53" i="21"/>
  <c r="B53" i="21"/>
  <c r="AK53" i="21"/>
  <c r="C53" i="21"/>
  <c r="D53" i="21"/>
  <c r="O53" i="21"/>
  <c r="P53" i="21"/>
  <c r="V53" i="21"/>
  <c r="BB37" i="23"/>
  <c r="BC37" i="23"/>
  <c r="BA37" i="23"/>
  <c r="AV37" i="23"/>
  <c r="BE37" i="23"/>
  <c r="BG37" i="23"/>
  <c r="AS37" i="23"/>
  <c r="B59" i="21"/>
  <c r="L59" i="21"/>
  <c r="V59" i="21"/>
  <c r="AF59" i="21"/>
  <c r="AN59" i="21" s="1"/>
  <c r="C59" i="21"/>
  <c r="M59" i="21"/>
  <c r="W59" i="21"/>
  <c r="AG59" i="21"/>
  <c r="AQ59" i="21" s="1"/>
  <c r="D59" i="21"/>
  <c r="N59" i="21"/>
  <c r="X59" i="21"/>
  <c r="AH59" i="21"/>
  <c r="A59" i="21"/>
  <c r="K59" i="21"/>
  <c r="AX59" i="21" s="1"/>
  <c r="U59" i="21"/>
  <c r="AE59" i="21"/>
  <c r="P59" i="21"/>
  <c r="AD59" i="21"/>
  <c r="Q59" i="21"/>
  <c r="AI59" i="21"/>
  <c r="AW59" i="21" s="1"/>
  <c r="R59" i="21"/>
  <c r="AJ59" i="21"/>
  <c r="O59" i="21"/>
  <c r="AC59" i="21"/>
  <c r="F59" i="21"/>
  <c r="AB59" i="21"/>
  <c r="G59" i="21"/>
  <c r="AK59" i="21"/>
  <c r="H59" i="21"/>
  <c r="I59" i="21"/>
  <c r="J59" i="21"/>
  <c r="S59" i="21"/>
  <c r="T59" i="21"/>
  <c r="Y59" i="21"/>
  <c r="Z59" i="21"/>
  <c r="E59" i="21"/>
  <c r="AA59" i="21"/>
  <c r="BG22" i="23"/>
  <c r="BC22" i="23"/>
  <c r="AS22" i="23"/>
  <c r="BE22" i="23"/>
  <c r="BB22" i="23"/>
  <c r="BA22" i="23"/>
  <c r="AV22" i="23"/>
  <c r="C44" i="21"/>
  <c r="M44" i="21"/>
  <c r="W44" i="21"/>
  <c r="AG44" i="21"/>
  <c r="AQ44" i="21" s="1"/>
  <c r="D44" i="21"/>
  <c r="N44" i="21"/>
  <c r="X44" i="21"/>
  <c r="AH44" i="21"/>
  <c r="B44" i="21"/>
  <c r="L44" i="21"/>
  <c r="V44" i="21"/>
  <c r="AF44" i="21"/>
  <c r="AN44" i="21" s="1"/>
  <c r="G44" i="21"/>
  <c r="T44" i="21"/>
  <c r="AJ44" i="21"/>
  <c r="H44" i="21"/>
  <c r="U44" i="21"/>
  <c r="AK44" i="21"/>
  <c r="I44" i="21"/>
  <c r="Y44" i="21"/>
  <c r="F44" i="21"/>
  <c r="S44" i="21"/>
  <c r="AI44" i="21"/>
  <c r="AW44" i="21" s="1"/>
  <c r="A44" i="21"/>
  <c r="AB44" i="21"/>
  <c r="E44" i="21"/>
  <c r="AC44" i="21"/>
  <c r="J44" i="21"/>
  <c r="AD44" i="21"/>
  <c r="K44" i="21"/>
  <c r="AX44" i="21" s="1"/>
  <c r="AE44" i="21"/>
  <c r="AA44" i="21"/>
  <c r="R44" i="21"/>
  <c r="Z44" i="21"/>
  <c r="O44" i="21"/>
  <c r="P44" i="21"/>
  <c r="Q44" i="21"/>
  <c r="G59" i="23"/>
  <c r="J59" i="23"/>
  <c r="H59" i="23"/>
  <c r="I59" i="23" s="1"/>
  <c r="K59" i="23"/>
  <c r="AX72" i="23"/>
  <c r="AW72" i="23"/>
  <c r="N79" i="23"/>
  <c r="Y79" i="23"/>
  <c r="AS132" i="23"/>
  <c r="BC132" i="23"/>
  <c r="BE132" i="23"/>
  <c r="BA132" i="23"/>
  <c r="BB132" i="23"/>
  <c r="BG132" i="23"/>
  <c r="H154" i="21"/>
  <c r="R154" i="21"/>
  <c r="AB154" i="21"/>
  <c r="I154" i="21"/>
  <c r="S154" i="21"/>
  <c r="AC154" i="21"/>
  <c r="AV132" i="23"/>
  <c r="J154" i="21"/>
  <c r="T154" i="21"/>
  <c r="AD154" i="21"/>
  <c r="G154" i="21"/>
  <c r="Q154" i="21"/>
  <c r="AA154" i="21"/>
  <c r="AK154" i="21"/>
  <c r="B154" i="21"/>
  <c r="P154" i="21"/>
  <c r="AH154" i="21"/>
  <c r="C154" i="21"/>
  <c r="U154" i="21"/>
  <c r="AI154" i="21"/>
  <c r="AW154" i="21" s="1"/>
  <c r="D154" i="21"/>
  <c r="V154" i="21"/>
  <c r="AJ154" i="21"/>
  <c r="A154" i="21"/>
  <c r="O154" i="21"/>
  <c r="AG154" i="21"/>
  <c r="AQ154" i="21" s="1"/>
  <c r="L154" i="21"/>
  <c r="M154" i="21"/>
  <c r="N154" i="21"/>
  <c r="W154" i="21"/>
  <c r="K154" i="21"/>
  <c r="AX154" i="21" s="1"/>
  <c r="Y154" i="21"/>
  <c r="Z154" i="21"/>
  <c r="AE154" i="21"/>
  <c r="AF154" i="21"/>
  <c r="AN154" i="21" s="1"/>
  <c r="E154" i="21"/>
  <c r="F154" i="21"/>
  <c r="X154" i="21"/>
  <c r="AW109" i="23"/>
  <c r="AX109" i="23"/>
  <c r="N186" i="23"/>
  <c r="BE134" i="23"/>
  <c r="BG134" i="23"/>
  <c r="BC134" i="23"/>
  <c r="AS134" i="23"/>
  <c r="BB134" i="23"/>
  <c r="BA134" i="23"/>
  <c r="AV134" i="23"/>
  <c r="G156" i="21"/>
  <c r="Q156" i="21"/>
  <c r="AA156" i="21"/>
  <c r="AK156" i="21"/>
  <c r="H156" i="21"/>
  <c r="R156" i="21"/>
  <c r="AB156" i="21"/>
  <c r="I156" i="21"/>
  <c r="S156" i="21"/>
  <c r="AC156" i="21"/>
  <c r="F156" i="21"/>
  <c r="P156" i="21"/>
  <c r="Z156" i="21"/>
  <c r="AJ156" i="21"/>
  <c r="C156" i="21"/>
  <c r="U156" i="21"/>
  <c r="AI156" i="21"/>
  <c r="AW156" i="21" s="1"/>
  <c r="D156" i="21"/>
  <c r="V156" i="21"/>
  <c r="E156" i="21"/>
  <c r="W156" i="21"/>
  <c r="B156" i="21"/>
  <c r="T156" i="21"/>
  <c r="AH156" i="21"/>
  <c r="M156" i="21"/>
  <c r="N156" i="21"/>
  <c r="O156" i="21"/>
  <c r="X156" i="21"/>
  <c r="L156" i="21"/>
  <c r="A156" i="21"/>
  <c r="J156" i="21"/>
  <c r="K156" i="21"/>
  <c r="AX156" i="21" s="1"/>
  <c r="Y156" i="21"/>
  <c r="AD156" i="21"/>
  <c r="AE156" i="21"/>
  <c r="AF156" i="21"/>
  <c r="AN156" i="21" s="1"/>
  <c r="AG156" i="21"/>
  <c r="AQ156" i="21" s="1"/>
  <c r="AH153" i="23"/>
  <c r="F157" i="23"/>
  <c r="O69" i="23"/>
  <c r="J23" i="23"/>
  <c r="K23" i="23"/>
  <c r="H23" i="23"/>
  <c r="I23" i="23" s="1"/>
  <c r="G23" i="23"/>
  <c r="AV43" i="23"/>
  <c r="BG43" i="23"/>
  <c r="BA43" i="23"/>
  <c r="BB43" i="23"/>
  <c r="BC43" i="23"/>
  <c r="AS43" i="23"/>
  <c r="BE43" i="23"/>
  <c r="D65" i="21"/>
  <c r="N65" i="21"/>
  <c r="X65" i="21"/>
  <c r="AH65" i="21"/>
  <c r="E65" i="21"/>
  <c r="O65" i="21"/>
  <c r="Y65" i="21"/>
  <c r="AI65" i="21"/>
  <c r="AW65" i="21" s="1"/>
  <c r="F65" i="21"/>
  <c r="P65" i="21"/>
  <c r="Z65" i="21"/>
  <c r="AJ65" i="21"/>
  <c r="C65" i="21"/>
  <c r="M65" i="21"/>
  <c r="W65" i="21"/>
  <c r="AG65" i="21"/>
  <c r="AQ65" i="21" s="1"/>
  <c r="A65" i="21"/>
  <c r="S65" i="21"/>
  <c r="AK65" i="21"/>
  <c r="B65" i="21"/>
  <c r="T65" i="21"/>
  <c r="G65" i="21"/>
  <c r="U65" i="21"/>
  <c r="R65" i="21"/>
  <c r="AF65" i="21"/>
  <c r="AN65" i="21" s="1"/>
  <c r="K65" i="21"/>
  <c r="AX65" i="21" s="1"/>
  <c r="L65" i="21"/>
  <c r="Q65" i="21"/>
  <c r="V65" i="21"/>
  <c r="AA65" i="21"/>
  <c r="AB65" i="21"/>
  <c r="AC65" i="21"/>
  <c r="H65" i="21"/>
  <c r="AD65" i="21"/>
  <c r="I65" i="21"/>
  <c r="AE65" i="21"/>
  <c r="J65" i="21"/>
  <c r="AX84" i="23"/>
  <c r="AW84" i="23"/>
  <c r="BA63" i="23"/>
  <c r="BB63" i="23"/>
  <c r="BC63" i="23"/>
  <c r="AV63" i="23"/>
  <c r="AS63" i="23"/>
  <c r="BG63" i="23"/>
  <c r="BE63" i="23"/>
  <c r="H85" i="21"/>
  <c r="R85" i="21"/>
  <c r="AB85" i="21"/>
  <c r="I85" i="21"/>
  <c r="S85" i="21"/>
  <c r="AC85" i="21"/>
  <c r="J85" i="21"/>
  <c r="T85" i="21"/>
  <c r="AD85" i="21"/>
  <c r="G85" i="21"/>
  <c r="Q85" i="21"/>
  <c r="AA85" i="21"/>
  <c r="AK85" i="21"/>
  <c r="B85" i="21"/>
  <c r="P85" i="21"/>
  <c r="AH85" i="21"/>
  <c r="C85" i="21"/>
  <c r="U85" i="21"/>
  <c r="AI85" i="21"/>
  <c r="AW85" i="21" s="1"/>
  <c r="D85" i="21"/>
  <c r="V85" i="21"/>
  <c r="AJ85" i="21"/>
  <c r="A85" i="21"/>
  <c r="O85" i="21"/>
  <c r="AG85" i="21"/>
  <c r="AQ85" i="21" s="1"/>
  <c r="N85" i="21"/>
  <c r="W85" i="21"/>
  <c r="X85" i="21"/>
  <c r="Y85" i="21"/>
  <c r="Z85" i="21"/>
  <c r="E85" i="21"/>
  <c r="AE85" i="21"/>
  <c r="F85" i="21"/>
  <c r="AF85" i="21"/>
  <c r="AN85" i="21" s="1"/>
  <c r="K85" i="21"/>
  <c r="AX85" i="21" s="1"/>
  <c r="L85" i="21"/>
  <c r="M85" i="21"/>
  <c r="F132" i="23"/>
  <c r="X132" i="23"/>
  <c r="W132" i="23"/>
  <c r="AF132" i="23"/>
  <c r="S132" i="23"/>
  <c r="G112" i="23"/>
  <c r="H112" i="23"/>
  <c r="I112" i="23" s="1"/>
  <c r="J112" i="23"/>
  <c r="K112" i="23"/>
  <c r="BA75" i="23"/>
  <c r="BB75" i="23"/>
  <c r="AV75" i="23"/>
  <c r="BC75" i="23"/>
  <c r="AS75" i="23"/>
  <c r="BE75" i="23"/>
  <c r="BG75" i="23"/>
  <c r="E97" i="21"/>
  <c r="O97" i="21"/>
  <c r="Y97" i="21"/>
  <c r="AI97" i="21"/>
  <c r="AW97" i="21" s="1"/>
  <c r="F97" i="21"/>
  <c r="P97" i="21"/>
  <c r="Z97" i="21"/>
  <c r="AJ97" i="21"/>
  <c r="G97" i="21"/>
  <c r="Q97" i="21"/>
  <c r="AA97" i="21"/>
  <c r="AK97" i="21"/>
  <c r="D97" i="21"/>
  <c r="N97" i="21"/>
  <c r="X97" i="21"/>
  <c r="AH97" i="21"/>
  <c r="K97" i="21"/>
  <c r="AX97" i="21" s="1"/>
  <c r="AC97" i="21"/>
  <c r="L97" i="21"/>
  <c r="AD97" i="21"/>
  <c r="M97" i="21"/>
  <c r="AE97" i="21"/>
  <c r="J97" i="21"/>
  <c r="AB97" i="21"/>
  <c r="U97" i="21"/>
  <c r="V97" i="21"/>
  <c r="A97" i="21"/>
  <c r="W97" i="21"/>
  <c r="B97" i="21"/>
  <c r="AF97" i="21"/>
  <c r="AN97" i="21" s="1"/>
  <c r="C97" i="21"/>
  <c r="AG97" i="21"/>
  <c r="AQ97" i="21" s="1"/>
  <c r="H97" i="21"/>
  <c r="I97" i="21"/>
  <c r="R97" i="21"/>
  <c r="S97" i="21"/>
  <c r="T97" i="21"/>
  <c r="G61" i="23"/>
  <c r="H61" i="23"/>
  <c r="I61" i="23" s="1"/>
  <c r="J61" i="23"/>
  <c r="K61" i="23"/>
  <c r="BG89" i="23"/>
  <c r="AS89" i="23"/>
  <c r="BE89" i="23"/>
  <c r="AV89" i="23"/>
  <c r="BA89" i="23"/>
  <c r="BC89" i="23"/>
  <c r="H111" i="21"/>
  <c r="R111" i="21"/>
  <c r="AB111" i="21"/>
  <c r="I111" i="21"/>
  <c r="S111" i="21"/>
  <c r="AC111" i="21"/>
  <c r="BB89" i="23"/>
  <c r="J111" i="21"/>
  <c r="T111" i="21"/>
  <c r="AD111" i="21"/>
  <c r="G111" i="21"/>
  <c r="Q111" i="21"/>
  <c r="AA111" i="21"/>
  <c r="AK111" i="21"/>
  <c r="M111" i="21"/>
  <c r="AE111" i="21"/>
  <c r="N111" i="21"/>
  <c r="AF111" i="21"/>
  <c r="AN111" i="21" s="1"/>
  <c r="A111" i="21"/>
  <c r="O111" i="21"/>
  <c r="AG111" i="21"/>
  <c r="AQ111" i="21" s="1"/>
  <c r="L111" i="21"/>
  <c r="Z111" i="21"/>
  <c r="V111" i="21"/>
  <c r="W111" i="21"/>
  <c r="B111" i="21"/>
  <c r="X111" i="21"/>
  <c r="C111" i="21"/>
  <c r="Y111" i="21"/>
  <c r="D111" i="21"/>
  <c r="AH111" i="21"/>
  <c r="E111" i="21"/>
  <c r="AI111" i="21"/>
  <c r="AW111" i="21" s="1"/>
  <c r="F111" i="21"/>
  <c r="AJ111" i="21"/>
  <c r="K111" i="21"/>
  <c r="AX111" i="21" s="1"/>
  <c r="P111" i="21"/>
  <c r="U111" i="21"/>
  <c r="J90" i="23"/>
  <c r="K90" i="23"/>
  <c r="H90" i="23"/>
  <c r="I90" i="23" s="1"/>
  <c r="G90" i="23"/>
  <c r="G81" i="23"/>
  <c r="H81" i="23"/>
  <c r="I81" i="23" s="1"/>
  <c r="J81" i="23"/>
  <c r="K81" i="23"/>
  <c r="AF182" i="23"/>
  <c r="F182" i="23"/>
  <c r="W182" i="23"/>
  <c r="O182" i="23"/>
  <c r="X182" i="23"/>
  <c r="AS168" i="23"/>
  <c r="BC168" i="23"/>
  <c r="BE168" i="23"/>
  <c r="BB168" i="23"/>
  <c r="BA168" i="23"/>
  <c r="AV168" i="23"/>
  <c r="BG168" i="23"/>
  <c r="C190" i="21"/>
  <c r="M190" i="21"/>
  <c r="W190" i="21"/>
  <c r="AG190" i="21"/>
  <c r="AQ190" i="21" s="1"/>
  <c r="D190" i="21"/>
  <c r="N190" i="21"/>
  <c r="X190" i="21"/>
  <c r="AH190" i="21"/>
  <c r="E190" i="21"/>
  <c r="O190" i="21"/>
  <c r="Y190" i="21"/>
  <c r="AI190" i="21"/>
  <c r="AW190" i="21" s="1"/>
  <c r="B190" i="21"/>
  <c r="L190" i="21"/>
  <c r="V190" i="21"/>
  <c r="AF190" i="21"/>
  <c r="AN190" i="21" s="1"/>
  <c r="K190" i="21"/>
  <c r="AX190" i="21" s="1"/>
  <c r="AC190" i="21"/>
  <c r="P190" i="21"/>
  <c r="AD190" i="21"/>
  <c r="Q190" i="21"/>
  <c r="AE190" i="21"/>
  <c r="J190" i="21"/>
  <c r="AB190" i="21"/>
  <c r="Z190" i="21"/>
  <c r="A190" i="21"/>
  <c r="AA190" i="21"/>
  <c r="F190" i="21"/>
  <c r="AJ190" i="21"/>
  <c r="G190" i="21"/>
  <c r="AK190" i="21"/>
  <c r="I190" i="21"/>
  <c r="R190" i="21"/>
  <c r="S190" i="21"/>
  <c r="T190" i="21"/>
  <c r="U190" i="21"/>
  <c r="H190" i="21"/>
  <c r="Y191" i="23"/>
  <c r="BF191" i="23" s="1"/>
  <c r="N191" i="23"/>
  <c r="G139" i="23"/>
  <c r="H139" i="23"/>
  <c r="J139" i="23"/>
  <c r="K139" i="23"/>
  <c r="I139" i="23"/>
  <c r="L139" i="23" s="1"/>
  <c r="I58" i="22"/>
  <c r="G58" i="22"/>
  <c r="H58" i="22"/>
  <c r="J58" i="22"/>
  <c r="E58" i="22"/>
  <c r="N58" i="22"/>
  <c r="O58" i="22"/>
  <c r="P58" i="22"/>
  <c r="M58" i="22"/>
  <c r="A58" i="22"/>
  <c r="C58" i="22"/>
  <c r="D58" i="22"/>
  <c r="K58" i="22"/>
  <c r="Q58" i="22"/>
  <c r="B58" i="22"/>
  <c r="K175" i="22"/>
  <c r="A175" i="22"/>
  <c r="M175" i="22"/>
  <c r="B175" i="22"/>
  <c r="N175" i="22"/>
  <c r="J175" i="22"/>
  <c r="H175" i="22"/>
  <c r="I175" i="22"/>
  <c r="O175" i="22"/>
  <c r="G175" i="22"/>
  <c r="Q175" i="22"/>
  <c r="C175" i="22"/>
  <c r="E175" i="22"/>
  <c r="P175" i="22"/>
  <c r="D175" i="22"/>
  <c r="C89" i="22"/>
  <c r="O89" i="22"/>
  <c r="J89" i="22"/>
  <c r="I89" i="22"/>
  <c r="K89" i="22"/>
  <c r="M89" i="22"/>
  <c r="H89" i="22"/>
  <c r="B89" i="22"/>
  <c r="D89" i="22"/>
  <c r="E89" i="22"/>
  <c r="G89" i="22"/>
  <c r="A89" i="22"/>
  <c r="N89" i="22"/>
  <c r="P89" i="22"/>
  <c r="Q89" i="22"/>
  <c r="I60" i="22"/>
  <c r="K60" i="22"/>
  <c r="M60" i="22"/>
  <c r="A60" i="22"/>
  <c r="N60" i="22"/>
  <c r="J60" i="22"/>
  <c r="B60" i="22"/>
  <c r="C60" i="22"/>
  <c r="D60" i="22"/>
  <c r="Q60" i="22"/>
  <c r="E60" i="22"/>
  <c r="G60" i="22"/>
  <c r="H60" i="22"/>
  <c r="O60" i="22"/>
  <c r="P60" i="22"/>
  <c r="K167" i="22"/>
  <c r="A167" i="22"/>
  <c r="M167" i="22"/>
  <c r="B167" i="22"/>
  <c r="N167" i="22"/>
  <c r="J167" i="22"/>
  <c r="O167" i="22"/>
  <c r="P167" i="22"/>
  <c r="Q167" i="22"/>
  <c r="I167" i="22"/>
  <c r="C167" i="22"/>
  <c r="D167" i="22"/>
  <c r="E167" i="22"/>
  <c r="G167" i="22"/>
  <c r="H167" i="22"/>
  <c r="K183" i="22"/>
  <c r="A183" i="22"/>
  <c r="M183" i="22"/>
  <c r="B183" i="22"/>
  <c r="N183" i="22"/>
  <c r="J183" i="22"/>
  <c r="E183" i="22"/>
  <c r="G183" i="22"/>
  <c r="H183" i="22"/>
  <c r="D183" i="22"/>
  <c r="C183" i="22"/>
  <c r="I183" i="22"/>
  <c r="O183" i="22"/>
  <c r="P183" i="22"/>
  <c r="Q183" i="22"/>
  <c r="K221" i="22"/>
  <c r="A221" i="22"/>
  <c r="M221" i="22"/>
  <c r="B221" i="22"/>
  <c r="N221" i="22"/>
  <c r="J221" i="22"/>
  <c r="C221" i="22"/>
  <c r="D221" i="22"/>
  <c r="E221" i="22"/>
  <c r="Q221" i="22"/>
  <c r="P221" i="22"/>
  <c r="G221" i="22"/>
  <c r="H221" i="22"/>
  <c r="I221" i="22"/>
  <c r="O221" i="22"/>
  <c r="AW7" i="23"/>
  <c r="AY7" i="23" s="1"/>
  <c r="AX7" i="23"/>
  <c r="C33" i="22"/>
  <c r="O33" i="22"/>
  <c r="D33" i="22"/>
  <c r="P33" i="22"/>
  <c r="E33" i="22"/>
  <c r="Q33" i="22"/>
  <c r="H33" i="22"/>
  <c r="I33" i="22"/>
  <c r="J33" i="22"/>
  <c r="G33" i="22"/>
  <c r="A33" i="22"/>
  <c r="B33" i="22"/>
  <c r="K33" i="22"/>
  <c r="M33" i="22"/>
  <c r="N33" i="22"/>
  <c r="I44" i="22"/>
  <c r="J44" i="22"/>
  <c r="H44" i="22"/>
  <c r="K44" i="22"/>
  <c r="M44" i="22"/>
  <c r="G44" i="22"/>
  <c r="N44" i="22"/>
  <c r="O44" i="22"/>
  <c r="P44" i="22"/>
  <c r="E44" i="22"/>
  <c r="C44" i="22"/>
  <c r="D44" i="22"/>
  <c r="Q44" i="22"/>
  <c r="B44" i="22"/>
  <c r="A44" i="22"/>
  <c r="I86" i="22"/>
  <c r="K86" i="22"/>
  <c r="D86" i="22"/>
  <c r="E86" i="22"/>
  <c r="G86" i="22"/>
  <c r="C86" i="22"/>
  <c r="Q86" i="22"/>
  <c r="H86" i="22"/>
  <c r="J86" i="22"/>
  <c r="M86" i="22"/>
  <c r="N86" i="22"/>
  <c r="B86" i="22"/>
  <c r="A86" i="22"/>
  <c r="O86" i="22"/>
  <c r="P86" i="22"/>
  <c r="C47" i="22"/>
  <c r="O47" i="22"/>
  <c r="D47" i="22"/>
  <c r="P47" i="22"/>
  <c r="N47" i="22"/>
  <c r="A47" i="22"/>
  <c r="Q47" i="22"/>
  <c r="B47" i="22"/>
  <c r="M47" i="22"/>
  <c r="H47" i="22"/>
  <c r="I47" i="22"/>
  <c r="J47" i="22"/>
  <c r="G47" i="22"/>
  <c r="E47" i="22"/>
  <c r="K47" i="22"/>
  <c r="A131" i="22"/>
  <c r="N131" i="22"/>
  <c r="I131" i="22"/>
  <c r="J131" i="22"/>
  <c r="K131" i="22"/>
  <c r="H131" i="22"/>
  <c r="M131" i="22"/>
  <c r="O131" i="22"/>
  <c r="P131" i="22"/>
  <c r="B131" i="22"/>
  <c r="D131" i="22"/>
  <c r="E131" i="22"/>
  <c r="Q131" i="22"/>
  <c r="E190" i="22"/>
  <c r="Q190" i="22"/>
  <c r="G190" i="22"/>
  <c r="H190" i="22"/>
  <c r="D190" i="22"/>
  <c r="P190" i="22"/>
  <c r="A190" i="22"/>
  <c r="B190" i="22"/>
  <c r="O190" i="22"/>
  <c r="K190" i="22"/>
  <c r="M190" i="22"/>
  <c r="N190" i="22"/>
  <c r="J190" i="22"/>
  <c r="C190" i="22"/>
  <c r="I190" i="22"/>
  <c r="B145" i="22"/>
  <c r="N145" i="22"/>
  <c r="J145" i="22"/>
  <c r="K145" i="22"/>
  <c r="M145" i="22"/>
  <c r="I145" i="22"/>
  <c r="D145" i="22"/>
  <c r="E145" i="22"/>
  <c r="G145" i="22"/>
  <c r="C145" i="22"/>
  <c r="A145" i="22"/>
  <c r="H145" i="22"/>
  <c r="O145" i="22"/>
  <c r="P145" i="22"/>
  <c r="Q145" i="22"/>
  <c r="N10" i="23"/>
  <c r="Y10" i="23"/>
  <c r="BF10" i="23" s="1"/>
  <c r="AV21" i="23"/>
  <c r="BG21" i="23"/>
  <c r="BB21" i="23"/>
  <c r="BC21" i="23"/>
  <c r="BA21" i="23"/>
  <c r="AS21" i="23"/>
  <c r="BE21" i="23"/>
  <c r="F43" i="21"/>
  <c r="P43" i="21"/>
  <c r="Z43" i="21"/>
  <c r="AJ43" i="21"/>
  <c r="G43" i="21"/>
  <c r="Q43" i="21"/>
  <c r="AA43" i="21"/>
  <c r="AK43" i="21"/>
  <c r="E43" i="21"/>
  <c r="O43" i="21"/>
  <c r="Y43" i="21"/>
  <c r="AI43" i="21"/>
  <c r="AW43" i="21" s="1"/>
  <c r="H43" i="21"/>
  <c r="U43" i="21"/>
  <c r="AH43" i="21"/>
  <c r="I43" i="21"/>
  <c r="V43" i="21"/>
  <c r="J43" i="21"/>
  <c r="W43" i="21"/>
  <c r="D43" i="21"/>
  <c r="T43" i="21"/>
  <c r="AG43" i="21"/>
  <c r="AQ43" i="21" s="1"/>
  <c r="X43" i="21"/>
  <c r="A43" i="21"/>
  <c r="AB43" i="21"/>
  <c r="B43" i="21"/>
  <c r="AC43" i="21"/>
  <c r="C43" i="21"/>
  <c r="AD43" i="21"/>
  <c r="S43" i="21"/>
  <c r="N43" i="21"/>
  <c r="R43" i="21"/>
  <c r="AE43" i="21"/>
  <c r="AF43" i="21"/>
  <c r="AN43" i="21" s="1"/>
  <c r="K43" i="21"/>
  <c r="AX43" i="21" s="1"/>
  <c r="L43" i="21"/>
  <c r="M43" i="21"/>
  <c r="E218" i="22"/>
  <c r="Q218" i="22"/>
  <c r="G218" i="22"/>
  <c r="H218" i="22"/>
  <c r="D218" i="22"/>
  <c r="P218" i="22"/>
  <c r="N218" i="22"/>
  <c r="O218" i="22"/>
  <c r="M218" i="22"/>
  <c r="I218" i="22"/>
  <c r="J218" i="22"/>
  <c r="K218" i="22"/>
  <c r="C218" i="22"/>
  <c r="A218" i="22"/>
  <c r="B218" i="22"/>
  <c r="C75" i="22"/>
  <c r="O75" i="22"/>
  <c r="I75" i="22"/>
  <c r="G75" i="22"/>
  <c r="B75" i="22"/>
  <c r="D75" i="22"/>
  <c r="E75" i="22"/>
  <c r="A75" i="22"/>
  <c r="Q75" i="22"/>
  <c r="K75" i="22"/>
  <c r="M75" i="22"/>
  <c r="N75" i="22"/>
  <c r="P75" i="22"/>
  <c r="J75" i="22"/>
  <c r="H75" i="22"/>
  <c r="I88" i="22"/>
  <c r="B88" i="22"/>
  <c r="O88" i="22"/>
  <c r="M88" i="22"/>
  <c r="N88" i="22"/>
  <c r="A88" i="22"/>
  <c r="P88" i="22"/>
  <c r="K88" i="22"/>
  <c r="C88" i="22"/>
  <c r="D88" i="22"/>
  <c r="G88" i="22"/>
  <c r="H88" i="22"/>
  <c r="J88" i="22"/>
  <c r="Q88" i="22"/>
  <c r="E88" i="22"/>
  <c r="K209" i="22"/>
  <c r="A209" i="22"/>
  <c r="M209" i="22"/>
  <c r="B209" i="22"/>
  <c r="N209" i="22"/>
  <c r="J209" i="22"/>
  <c r="Q209" i="22"/>
  <c r="C209" i="22"/>
  <c r="P209" i="22"/>
  <c r="E209" i="22"/>
  <c r="G209" i="22"/>
  <c r="H209" i="22"/>
  <c r="I209" i="22"/>
  <c r="D209" i="22"/>
  <c r="O209" i="22"/>
  <c r="G14" i="23"/>
  <c r="H14" i="23"/>
  <c r="I14" i="23" s="1"/>
  <c r="J14" i="23"/>
  <c r="K14" i="23"/>
  <c r="X32" i="23"/>
  <c r="AF32" i="23"/>
  <c r="F32" i="23"/>
  <c r="W32" i="23"/>
  <c r="S32" i="23"/>
  <c r="AW17" i="23"/>
  <c r="AX17" i="23"/>
  <c r="J22" i="23"/>
  <c r="G22" i="23"/>
  <c r="H22" i="23"/>
  <c r="I22" i="23" s="1"/>
  <c r="K22" i="23"/>
  <c r="AF76" i="23"/>
  <c r="S76" i="23"/>
  <c r="W76" i="23"/>
  <c r="J64" i="23"/>
  <c r="G64" i="23"/>
  <c r="H64" i="23"/>
  <c r="I64" i="23" s="1"/>
  <c r="K64" i="23"/>
  <c r="AF48" i="23"/>
  <c r="W48" i="23"/>
  <c r="X48" i="23"/>
  <c r="F48" i="23"/>
  <c r="AV88" i="23"/>
  <c r="BG88" i="23"/>
  <c r="BB88" i="23"/>
  <c r="BC88" i="23"/>
  <c r="BE88" i="23"/>
  <c r="BA88" i="23"/>
  <c r="AS88" i="23"/>
  <c r="H110" i="21"/>
  <c r="R110" i="21"/>
  <c r="AB110" i="21"/>
  <c r="I110" i="21"/>
  <c r="S110" i="21"/>
  <c r="AC110" i="21"/>
  <c r="J110" i="21"/>
  <c r="T110" i="21"/>
  <c r="AD110" i="21"/>
  <c r="G110" i="21"/>
  <c r="Q110" i="21"/>
  <c r="AA110" i="21"/>
  <c r="AK110" i="21"/>
  <c r="C110" i="21"/>
  <c r="U110" i="21"/>
  <c r="AI110" i="21"/>
  <c r="AW110" i="21" s="1"/>
  <c r="D110" i="21"/>
  <c r="V110" i="21"/>
  <c r="AJ110" i="21"/>
  <c r="E110" i="21"/>
  <c r="W110" i="21"/>
  <c r="B110" i="21"/>
  <c r="P110" i="21"/>
  <c r="AH110" i="21"/>
  <c r="F110" i="21"/>
  <c r="AF110" i="21"/>
  <c r="AN110" i="21" s="1"/>
  <c r="K110" i="21"/>
  <c r="AX110" i="21" s="1"/>
  <c r="AG110" i="21"/>
  <c r="AQ110" i="21" s="1"/>
  <c r="L110" i="21"/>
  <c r="M110" i="21"/>
  <c r="N110" i="21"/>
  <c r="O110" i="21"/>
  <c r="X110" i="21"/>
  <c r="Y110" i="21"/>
  <c r="Z110" i="21"/>
  <c r="A110" i="21"/>
  <c r="AE110" i="21"/>
  <c r="AF111" i="23"/>
  <c r="S111" i="23"/>
  <c r="W111" i="23"/>
  <c r="J117" i="23"/>
  <c r="G117" i="23"/>
  <c r="H117" i="23"/>
  <c r="I117" i="23" s="1"/>
  <c r="K117" i="23"/>
  <c r="AV38" i="23"/>
  <c r="BG38" i="23"/>
  <c r="BB38" i="23"/>
  <c r="BC38" i="23"/>
  <c r="BE38" i="23"/>
  <c r="BA38" i="23"/>
  <c r="AS38" i="23"/>
  <c r="J60" i="21"/>
  <c r="T60" i="21"/>
  <c r="AD60" i="21"/>
  <c r="A60" i="21"/>
  <c r="K60" i="21"/>
  <c r="AX60" i="21" s="1"/>
  <c r="U60" i="21"/>
  <c r="AE60" i="21"/>
  <c r="B60" i="21"/>
  <c r="L60" i="21"/>
  <c r="V60" i="21"/>
  <c r="AF60" i="21"/>
  <c r="AN60" i="21" s="1"/>
  <c r="I60" i="21"/>
  <c r="S60" i="21"/>
  <c r="AC60" i="21"/>
  <c r="F60" i="21"/>
  <c r="X60" i="21"/>
  <c r="G60" i="21"/>
  <c r="Y60" i="21"/>
  <c r="H60" i="21"/>
  <c r="Z60" i="21"/>
  <c r="E60" i="21"/>
  <c r="W60" i="21"/>
  <c r="AK60" i="21"/>
  <c r="P60" i="21"/>
  <c r="Q60" i="21"/>
  <c r="R60" i="21"/>
  <c r="AA60" i="21"/>
  <c r="AB60" i="21"/>
  <c r="C60" i="21"/>
  <c r="AG60" i="21"/>
  <c r="AQ60" i="21" s="1"/>
  <c r="D60" i="21"/>
  <c r="AH60" i="21"/>
  <c r="M60" i="21"/>
  <c r="AI60" i="21"/>
  <c r="AW60" i="21" s="1"/>
  <c r="N60" i="21"/>
  <c r="AJ60" i="21"/>
  <c r="O60" i="21"/>
  <c r="AH60" i="23"/>
  <c r="BB152" i="23"/>
  <c r="BC152" i="23"/>
  <c r="AS152" i="23"/>
  <c r="BA152" i="23"/>
  <c r="BG152" i="23"/>
  <c r="AV152" i="23"/>
  <c r="D174" i="21"/>
  <c r="N174" i="21"/>
  <c r="X174" i="21"/>
  <c r="AH174" i="21"/>
  <c r="BE152" i="23"/>
  <c r="J174" i="21"/>
  <c r="U174" i="21"/>
  <c r="AF174" i="21"/>
  <c r="AN174" i="21" s="1"/>
  <c r="K174" i="21"/>
  <c r="AX174" i="21" s="1"/>
  <c r="V174" i="21"/>
  <c r="AG174" i="21"/>
  <c r="AQ174" i="21" s="1"/>
  <c r="A174" i="21"/>
  <c r="L174" i="21"/>
  <c r="W174" i="21"/>
  <c r="AI174" i="21"/>
  <c r="AW174" i="21" s="1"/>
  <c r="I174" i="21"/>
  <c r="T174" i="21"/>
  <c r="AE174" i="21"/>
  <c r="O174" i="21"/>
  <c r="AD174" i="21"/>
  <c r="P174" i="21"/>
  <c r="AJ174" i="21"/>
  <c r="Q174" i="21"/>
  <c r="AK174" i="21"/>
  <c r="B174" i="21"/>
  <c r="R174" i="21"/>
  <c r="M174" i="21"/>
  <c r="AC174" i="21"/>
  <c r="AA174" i="21"/>
  <c r="AB174" i="21"/>
  <c r="C174" i="21"/>
  <c r="E174" i="21"/>
  <c r="F174" i="21"/>
  <c r="G174" i="21"/>
  <c r="H174" i="21"/>
  <c r="S174" i="21"/>
  <c r="Y174" i="21"/>
  <c r="Z174" i="21"/>
  <c r="Y115" i="23"/>
  <c r="N115" i="23"/>
  <c r="W168" i="23"/>
  <c r="AF168" i="23"/>
  <c r="X168" i="23"/>
  <c r="G178" i="23"/>
  <c r="J178" i="23"/>
  <c r="K178" i="23"/>
  <c r="H178" i="23"/>
  <c r="I178" i="23" s="1"/>
  <c r="AW172" i="23"/>
  <c r="AX172" i="23"/>
  <c r="AH119" i="23"/>
  <c r="C95" i="22"/>
  <c r="O95" i="22"/>
  <c r="I95" i="22"/>
  <c r="E95" i="22"/>
  <c r="G95" i="22"/>
  <c r="H95" i="22"/>
  <c r="D95" i="22"/>
  <c r="P95" i="22"/>
  <c r="Q95" i="22"/>
  <c r="N95" i="22"/>
  <c r="A95" i="22"/>
  <c r="B95" i="22"/>
  <c r="J95" i="22"/>
  <c r="K95" i="22"/>
  <c r="M95" i="22"/>
  <c r="G29" i="23"/>
  <c r="K29" i="23"/>
  <c r="J29" i="23"/>
  <c r="H29" i="23"/>
  <c r="I29" i="23" s="1"/>
  <c r="AH80" i="23"/>
  <c r="AH117" i="23"/>
  <c r="BC90" i="23"/>
  <c r="BE90" i="23"/>
  <c r="BB90" i="23"/>
  <c r="BG90" i="23"/>
  <c r="BA90" i="23"/>
  <c r="AV90" i="23"/>
  <c r="AS90" i="23"/>
  <c r="F112" i="21"/>
  <c r="P112" i="21"/>
  <c r="Z112" i="21"/>
  <c r="AJ112" i="21"/>
  <c r="G112" i="21"/>
  <c r="Q112" i="21"/>
  <c r="AA112" i="21"/>
  <c r="AK112" i="21"/>
  <c r="H112" i="21"/>
  <c r="R112" i="21"/>
  <c r="AB112" i="21"/>
  <c r="E112" i="21"/>
  <c r="O112" i="21"/>
  <c r="Y112" i="21"/>
  <c r="AI112" i="21"/>
  <c r="AW112" i="21" s="1"/>
  <c r="C112" i="21"/>
  <c r="U112" i="21"/>
  <c r="D112" i="21"/>
  <c r="V112" i="21"/>
  <c r="I112" i="21"/>
  <c r="W112" i="21"/>
  <c r="B112" i="21"/>
  <c r="T112" i="21"/>
  <c r="AH112" i="21"/>
  <c r="J112" i="21"/>
  <c r="AF112" i="21"/>
  <c r="AN112" i="21" s="1"/>
  <c r="K112" i="21"/>
  <c r="AX112" i="21" s="1"/>
  <c r="AG112" i="21"/>
  <c r="AQ112" i="21" s="1"/>
  <c r="L112" i="21"/>
  <c r="M112" i="21"/>
  <c r="N112" i="21"/>
  <c r="S112" i="21"/>
  <c r="X112" i="21"/>
  <c r="AC112" i="21"/>
  <c r="AD112" i="21"/>
  <c r="A112" i="21"/>
  <c r="AE112" i="21"/>
  <c r="BG81" i="23"/>
  <c r="AV81" i="23"/>
  <c r="BA81" i="23"/>
  <c r="BB81" i="23"/>
  <c r="BC81" i="23"/>
  <c r="BE81" i="23"/>
  <c r="AS81" i="23"/>
  <c r="B103" i="21"/>
  <c r="L103" i="21"/>
  <c r="V103" i="21"/>
  <c r="AF103" i="21"/>
  <c r="AN103" i="21" s="1"/>
  <c r="C103" i="21"/>
  <c r="M103" i="21"/>
  <c r="W103" i="21"/>
  <c r="AG103" i="21"/>
  <c r="AQ103" i="21" s="1"/>
  <c r="D103" i="21"/>
  <c r="N103" i="21"/>
  <c r="X103" i="21"/>
  <c r="AH103" i="21"/>
  <c r="A103" i="21"/>
  <c r="K103" i="21"/>
  <c r="AX103" i="21" s="1"/>
  <c r="U103" i="21"/>
  <c r="AE103" i="21"/>
  <c r="P103" i="21"/>
  <c r="AD103" i="21"/>
  <c r="Q103" i="21"/>
  <c r="AI103" i="21"/>
  <c r="AW103" i="21" s="1"/>
  <c r="R103" i="21"/>
  <c r="AJ103" i="21"/>
  <c r="O103" i="21"/>
  <c r="AC103" i="21"/>
  <c r="Z103" i="21"/>
  <c r="E103" i="21"/>
  <c r="AA103" i="21"/>
  <c r="F103" i="21"/>
  <c r="AB103" i="21"/>
  <c r="G103" i="21"/>
  <c r="AK103" i="21"/>
  <c r="H103" i="21"/>
  <c r="I103" i="21"/>
  <c r="J103" i="21"/>
  <c r="S103" i="21"/>
  <c r="T103" i="21"/>
  <c r="Y103" i="21"/>
  <c r="AS57" i="23"/>
  <c r="BC57" i="23"/>
  <c r="BE57" i="23"/>
  <c r="BB57" i="23"/>
  <c r="BG57" i="23"/>
  <c r="BA57" i="23"/>
  <c r="AV57" i="23"/>
  <c r="D79" i="21"/>
  <c r="N79" i="21"/>
  <c r="X79" i="21"/>
  <c r="AH79" i="21"/>
  <c r="E79" i="21"/>
  <c r="O79" i="21"/>
  <c r="Y79" i="21"/>
  <c r="AI79" i="21"/>
  <c r="AW79" i="21" s="1"/>
  <c r="F79" i="21"/>
  <c r="P79" i="21"/>
  <c r="Z79" i="21"/>
  <c r="AJ79" i="21"/>
  <c r="C79" i="21"/>
  <c r="M79" i="21"/>
  <c r="W79" i="21"/>
  <c r="AG79" i="21"/>
  <c r="AQ79" i="21" s="1"/>
  <c r="I79" i="21"/>
  <c r="AA79" i="21"/>
  <c r="J79" i="21"/>
  <c r="AB79" i="21"/>
  <c r="K79" i="21"/>
  <c r="AX79" i="21" s="1"/>
  <c r="AC79" i="21"/>
  <c r="H79" i="21"/>
  <c r="V79" i="21"/>
  <c r="B79" i="21"/>
  <c r="AF79" i="21"/>
  <c r="AN79" i="21" s="1"/>
  <c r="G79" i="21"/>
  <c r="AK79" i="21"/>
  <c r="L79" i="21"/>
  <c r="Q79" i="21"/>
  <c r="R79" i="21"/>
  <c r="S79" i="21"/>
  <c r="T79" i="21"/>
  <c r="U79" i="21"/>
  <c r="AD79" i="21"/>
  <c r="A79" i="21"/>
  <c r="AE79" i="21"/>
  <c r="J143" i="23"/>
  <c r="H143" i="23"/>
  <c r="I143" i="23" s="1"/>
  <c r="K143" i="23"/>
  <c r="G143" i="23"/>
  <c r="AW162" i="23"/>
  <c r="AX162" i="23"/>
  <c r="N181" i="23"/>
  <c r="Y181" i="23"/>
  <c r="H145" i="23"/>
  <c r="I145" i="23" s="1"/>
  <c r="K145" i="23"/>
  <c r="J145" i="23"/>
  <c r="G145" i="23"/>
  <c r="J192" i="23"/>
  <c r="K192" i="23"/>
  <c r="H192" i="23"/>
  <c r="I192" i="23" s="1"/>
  <c r="G192" i="23"/>
  <c r="J151" i="23"/>
  <c r="K151" i="23"/>
  <c r="G151" i="23"/>
  <c r="H151" i="23"/>
  <c r="I151" i="23" s="1"/>
  <c r="L162" i="23"/>
  <c r="I38" i="22"/>
  <c r="J38" i="22"/>
  <c r="M38" i="22"/>
  <c r="N38" i="22"/>
  <c r="A38" i="22"/>
  <c r="O38" i="22"/>
  <c r="K38" i="22"/>
  <c r="B38" i="22"/>
  <c r="Q38" i="22"/>
  <c r="C38" i="22"/>
  <c r="D38" i="22"/>
  <c r="E38" i="22"/>
  <c r="G38" i="22"/>
  <c r="H38" i="22"/>
  <c r="P38" i="22"/>
  <c r="G4" i="23"/>
  <c r="H4" i="23"/>
  <c r="I4" i="23" s="1"/>
  <c r="J4" i="23"/>
  <c r="K4" i="23"/>
  <c r="O26" i="23"/>
  <c r="AF26" i="23"/>
  <c r="S26" i="23"/>
  <c r="E208" i="22"/>
  <c r="Q208" i="22"/>
  <c r="G208" i="22"/>
  <c r="H208" i="22"/>
  <c r="D208" i="22"/>
  <c r="P208" i="22"/>
  <c r="N208" i="22"/>
  <c r="O208" i="22"/>
  <c r="M208" i="22"/>
  <c r="A208" i="22"/>
  <c r="B208" i="22"/>
  <c r="C208" i="22"/>
  <c r="I208" i="22"/>
  <c r="J208" i="22"/>
  <c r="K208" i="22"/>
  <c r="E162" i="22"/>
  <c r="Q162" i="22"/>
  <c r="G162" i="22"/>
  <c r="H162" i="22"/>
  <c r="D162" i="22"/>
  <c r="P162" i="22"/>
  <c r="B162" i="22"/>
  <c r="C162" i="22"/>
  <c r="I162" i="22"/>
  <c r="A162" i="22"/>
  <c r="N162" i="22"/>
  <c r="O162" i="22"/>
  <c r="J162" i="22"/>
  <c r="K162" i="22"/>
  <c r="M162" i="22"/>
  <c r="I46" i="22"/>
  <c r="J46" i="22"/>
  <c r="C46" i="22"/>
  <c r="Q46" i="22"/>
  <c r="D46" i="22"/>
  <c r="E46" i="22"/>
  <c r="B46" i="22"/>
  <c r="P46" i="22"/>
  <c r="A46" i="22"/>
  <c r="G46" i="22"/>
  <c r="M46" i="22"/>
  <c r="N46" i="22"/>
  <c r="O46" i="22"/>
  <c r="K46" i="22"/>
  <c r="H46" i="22"/>
  <c r="C61" i="22"/>
  <c r="O61" i="22"/>
  <c r="G61" i="22"/>
  <c r="H61" i="22"/>
  <c r="I61" i="22"/>
  <c r="E61" i="22"/>
  <c r="B61" i="22"/>
  <c r="D61" i="22"/>
  <c r="J61" i="22"/>
  <c r="A61" i="22"/>
  <c r="K61" i="22"/>
  <c r="M61" i="22"/>
  <c r="N61" i="22"/>
  <c r="P61" i="22"/>
  <c r="Q61" i="22"/>
  <c r="C107" i="22"/>
  <c r="O107" i="22"/>
  <c r="G107" i="22"/>
  <c r="K107" i="22"/>
  <c r="M107" i="22"/>
  <c r="N107" i="22"/>
  <c r="J107" i="22"/>
  <c r="A107" i="22"/>
  <c r="B107" i="22"/>
  <c r="D107" i="22"/>
  <c r="H107" i="22"/>
  <c r="I107" i="22"/>
  <c r="P107" i="22"/>
  <c r="Q107" i="22"/>
  <c r="E107" i="22"/>
  <c r="K181" i="22"/>
  <c r="A181" i="22"/>
  <c r="M181" i="22"/>
  <c r="B181" i="22"/>
  <c r="N181" i="22"/>
  <c r="J181" i="22"/>
  <c r="C181" i="22"/>
  <c r="D181" i="22"/>
  <c r="E181" i="22"/>
  <c r="H181" i="22"/>
  <c r="I181" i="22"/>
  <c r="O181" i="22"/>
  <c r="P181" i="22"/>
  <c r="Q181" i="22"/>
  <c r="G181" i="22"/>
  <c r="BB4" i="23"/>
  <c r="AS4" i="23"/>
  <c r="BC4" i="23"/>
  <c r="BG4" i="23"/>
  <c r="AV4" i="23"/>
  <c r="BE4" i="23"/>
  <c r="BA4" i="23"/>
  <c r="J26" i="21"/>
  <c r="T26" i="21"/>
  <c r="AD26" i="21"/>
  <c r="A26" i="21"/>
  <c r="K26" i="21"/>
  <c r="AX26" i="21" s="1"/>
  <c r="U26" i="21"/>
  <c r="AE26" i="21"/>
  <c r="B26" i="21"/>
  <c r="L26" i="21"/>
  <c r="V26" i="21"/>
  <c r="AF26" i="21"/>
  <c r="AN26" i="21" s="1"/>
  <c r="I26" i="21"/>
  <c r="S26" i="21"/>
  <c r="AC26" i="21"/>
  <c r="D26" i="21"/>
  <c r="R26" i="21"/>
  <c r="AJ26" i="21"/>
  <c r="E26" i="21"/>
  <c r="W26" i="21"/>
  <c r="AK26" i="21"/>
  <c r="F26" i="21"/>
  <c r="X26" i="21"/>
  <c r="C26" i="21"/>
  <c r="Q26" i="21"/>
  <c r="AI26" i="21"/>
  <c r="AW26" i="21" s="1"/>
  <c r="N26" i="21"/>
  <c r="O26" i="21"/>
  <c r="P26" i="21"/>
  <c r="Y26" i="21"/>
  <c r="M26" i="21"/>
  <c r="Z26" i="21"/>
  <c r="AA26" i="21"/>
  <c r="AB26" i="21"/>
  <c r="AG26" i="21"/>
  <c r="AQ26" i="21" s="1"/>
  <c r="AH26" i="21"/>
  <c r="G26" i="21"/>
  <c r="H26" i="21"/>
  <c r="AW12" i="23"/>
  <c r="AX12" i="23"/>
  <c r="AX10" i="23"/>
  <c r="AW10" i="23"/>
  <c r="AY10" i="23" s="1"/>
  <c r="AW55" i="23"/>
  <c r="AX55" i="23"/>
  <c r="AX23" i="23"/>
  <c r="AW23" i="23"/>
  <c r="BB76" i="23"/>
  <c r="AV76" i="23"/>
  <c r="BG76" i="23"/>
  <c r="BE76" i="23"/>
  <c r="BA76" i="23"/>
  <c r="BC76" i="23"/>
  <c r="D98" i="21"/>
  <c r="N98" i="21"/>
  <c r="X98" i="21"/>
  <c r="AH98" i="21"/>
  <c r="E98" i="21"/>
  <c r="O98" i="21"/>
  <c r="Y98" i="21"/>
  <c r="AI98" i="21"/>
  <c r="AW98" i="21" s="1"/>
  <c r="F98" i="21"/>
  <c r="P98" i="21"/>
  <c r="Z98" i="21"/>
  <c r="AJ98" i="21"/>
  <c r="AS76" i="23"/>
  <c r="C98" i="21"/>
  <c r="M98" i="21"/>
  <c r="W98" i="21"/>
  <c r="AG98" i="21"/>
  <c r="AQ98" i="21" s="1"/>
  <c r="B98" i="21"/>
  <c r="T98" i="21"/>
  <c r="G98" i="21"/>
  <c r="U98" i="21"/>
  <c r="H98" i="21"/>
  <c r="V98" i="21"/>
  <c r="A98" i="21"/>
  <c r="S98" i="21"/>
  <c r="AK98" i="21"/>
  <c r="J98" i="21"/>
  <c r="AF98" i="21"/>
  <c r="AN98" i="21" s="1"/>
  <c r="K98" i="21"/>
  <c r="AX98" i="21" s="1"/>
  <c r="L98" i="21"/>
  <c r="Q98" i="21"/>
  <c r="R98" i="21"/>
  <c r="AA98" i="21"/>
  <c r="AB98" i="21"/>
  <c r="AC98" i="21"/>
  <c r="AD98" i="21"/>
  <c r="I98" i="21"/>
  <c r="AE98" i="21"/>
  <c r="G36" i="23"/>
  <c r="H36" i="23"/>
  <c r="I36" i="23" s="1"/>
  <c r="J36" i="23"/>
  <c r="K36" i="23"/>
  <c r="H40" i="23"/>
  <c r="I40" i="23" s="1"/>
  <c r="G40" i="23"/>
  <c r="J40" i="23"/>
  <c r="K40" i="23"/>
  <c r="BE59" i="23"/>
  <c r="AV59" i="23"/>
  <c r="BG59" i="23"/>
  <c r="AS59" i="23"/>
  <c r="BA59" i="23"/>
  <c r="BB59" i="23"/>
  <c r="BC59" i="23"/>
  <c r="D81" i="21"/>
  <c r="N81" i="21"/>
  <c r="X81" i="21"/>
  <c r="AH81" i="21"/>
  <c r="E81" i="21"/>
  <c r="O81" i="21"/>
  <c r="Y81" i="21"/>
  <c r="AI81" i="21"/>
  <c r="AW81" i="21" s="1"/>
  <c r="F81" i="21"/>
  <c r="P81" i="21"/>
  <c r="Z81" i="21"/>
  <c r="AJ81" i="21"/>
  <c r="C81" i="21"/>
  <c r="M81" i="21"/>
  <c r="W81" i="21"/>
  <c r="AG81" i="21"/>
  <c r="AQ81" i="21" s="1"/>
  <c r="A81" i="21"/>
  <c r="S81" i="21"/>
  <c r="AK81" i="21"/>
  <c r="B81" i="21"/>
  <c r="T81" i="21"/>
  <c r="G81" i="21"/>
  <c r="U81" i="21"/>
  <c r="R81" i="21"/>
  <c r="AF81" i="21"/>
  <c r="AN81" i="21" s="1"/>
  <c r="Q81" i="21"/>
  <c r="V81" i="21"/>
  <c r="AA81" i="21"/>
  <c r="AB81" i="21"/>
  <c r="AC81" i="21"/>
  <c r="H81" i="21"/>
  <c r="AD81" i="21"/>
  <c r="I81" i="21"/>
  <c r="AE81" i="21"/>
  <c r="J81" i="21"/>
  <c r="K81" i="21"/>
  <c r="AX81" i="21" s="1"/>
  <c r="L81" i="21"/>
  <c r="BG71" i="23"/>
  <c r="AV71" i="23"/>
  <c r="AS71" i="23"/>
  <c r="BC71" i="23"/>
  <c r="BA71" i="23"/>
  <c r="BB71" i="23"/>
  <c r="BE71" i="23"/>
  <c r="I93" i="21"/>
  <c r="S93" i="21"/>
  <c r="AC93" i="21"/>
  <c r="J93" i="21"/>
  <c r="T93" i="21"/>
  <c r="AD93" i="21"/>
  <c r="A93" i="21"/>
  <c r="K93" i="21"/>
  <c r="AX93" i="21" s="1"/>
  <c r="U93" i="21"/>
  <c r="AE93" i="21"/>
  <c r="H93" i="21"/>
  <c r="R93" i="21"/>
  <c r="AB93" i="21"/>
  <c r="N93" i="21"/>
  <c r="AF93" i="21"/>
  <c r="AN93" i="21" s="1"/>
  <c r="O93" i="21"/>
  <c r="AG93" i="21"/>
  <c r="AQ93" i="21" s="1"/>
  <c r="B93" i="21"/>
  <c r="P93" i="21"/>
  <c r="AH93" i="21"/>
  <c r="M93" i="21"/>
  <c r="AA93" i="21"/>
  <c r="W93" i="21"/>
  <c r="X93" i="21"/>
  <c r="C93" i="21"/>
  <c r="Y93" i="21"/>
  <c r="D93" i="21"/>
  <c r="Z93" i="21"/>
  <c r="E93" i="21"/>
  <c r="AI93" i="21"/>
  <c r="AW93" i="21" s="1"/>
  <c r="F93" i="21"/>
  <c r="AJ93" i="21"/>
  <c r="G93" i="21"/>
  <c r="AK93" i="21"/>
  <c r="L93" i="21"/>
  <c r="Q93" i="21"/>
  <c r="V93" i="21"/>
  <c r="G78" i="23"/>
  <c r="H78" i="23"/>
  <c r="I78" i="23" s="1"/>
  <c r="K78" i="23"/>
  <c r="J78" i="23"/>
  <c r="K98" i="23"/>
  <c r="J98" i="23"/>
  <c r="H98" i="23"/>
  <c r="I98" i="23" s="1"/>
  <c r="G98" i="23"/>
  <c r="C31" i="22"/>
  <c r="O31" i="22"/>
  <c r="D31" i="22"/>
  <c r="P31" i="22"/>
  <c r="E31" i="22"/>
  <c r="Q31" i="22"/>
  <c r="B31" i="22"/>
  <c r="N31" i="22"/>
  <c r="H31" i="22"/>
  <c r="I31" i="22"/>
  <c r="J31" i="22"/>
  <c r="G31" i="22"/>
  <c r="K31" i="22"/>
  <c r="M31" i="22"/>
  <c r="A31" i="22"/>
  <c r="C77" i="22"/>
  <c r="O77" i="22"/>
  <c r="M77" i="22"/>
  <c r="J77" i="22"/>
  <c r="A77" i="22"/>
  <c r="Q77" i="22"/>
  <c r="B77" i="22"/>
  <c r="D77" i="22"/>
  <c r="P77" i="22"/>
  <c r="E77" i="22"/>
  <c r="G77" i="22"/>
  <c r="H77" i="22"/>
  <c r="I77" i="22"/>
  <c r="K77" i="22"/>
  <c r="N77" i="22"/>
  <c r="C67" i="22"/>
  <c r="O67" i="22"/>
  <c r="E67" i="22"/>
  <c r="G67" i="22"/>
  <c r="D67" i="22"/>
  <c r="Q67" i="22"/>
  <c r="N67" i="22"/>
  <c r="P67" i="22"/>
  <c r="M67" i="22"/>
  <c r="A67" i="22"/>
  <c r="B67" i="22"/>
  <c r="H67" i="22"/>
  <c r="I67" i="22"/>
  <c r="J67" i="22"/>
  <c r="K67" i="22"/>
  <c r="I82" i="22"/>
  <c r="C82" i="22"/>
  <c r="P82" i="22"/>
  <c r="A82" i="22"/>
  <c r="N82" i="22"/>
  <c r="J82" i="22"/>
  <c r="K82" i="22"/>
  <c r="M82" i="22"/>
  <c r="H82" i="22"/>
  <c r="B82" i="22"/>
  <c r="D82" i="22"/>
  <c r="G82" i="22"/>
  <c r="O82" i="22"/>
  <c r="Q82" i="22"/>
  <c r="E82" i="22"/>
  <c r="E200" i="22"/>
  <c r="Q200" i="22"/>
  <c r="G200" i="22"/>
  <c r="H200" i="22"/>
  <c r="D200" i="22"/>
  <c r="P200" i="22"/>
  <c r="A200" i="22"/>
  <c r="B200" i="22"/>
  <c r="O200" i="22"/>
  <c r="C200" i="22"/>
  <c r="I200" i="22"/>
  <c r="J200" i="22"/>
  <c r="K200" i="22"/>
  <c r="M200" i="22"/>
  <c r="N200" i="22"/>
  <c r="E202" i="22"/>
  <c r="Q202" i="22"/>
  <c r="G202" i="22"/>
  <c r="H202" i="22"/>
  <c r="D202" i="22"/>
  <c r="P202" i="22"/>
  <c r="B202" i="22"/>
  <c r="C202" i="22"/>
  <c r="I202" i="22"/>
  <c r="A202" i="22"/>
  <c r="J202" i="22"/>
  <c r="M202" i="22"/>
  <c r="N202" i="22"/>
  <c r="O202" i="22"/>
  <c r="K202" i="22"/>
  <c r="E214" i="22"/>
  <c r="Q214" i="22"/>
  <c r="G214" i="22"/>
  <c r="H214" i="22"/>
  <c r="D214" i="22"/>
  <c r="P214" i="22"/>
  <c r="I214" i="22"/>
  <c r="J214" i="22"/>
  <c r="K214" i="22"/>
  <c r="C214" i="22"/>
  <c r="N214" i="22"/>
  <c r="O214" i="22"/>
  <c r="M214" i="22"/>
  <c r="A214" i="22"/>
  <c r="B214" i="22"/>
  <c r="C123" i="22"/>
  <c r="O123" i="22"/>
  <c r="K123" i="22"/>
  <c r="E123" i="22"/>
  <c r="G123" i="22"/>
  <c r="H123" i="22"/>
  <c r="D123" i="22"/>
  <c r="I123" i="22"/>
  <c r="J123" i="22"/>
  <c r="M123" i="22"/>
  <c r="B123" i="22"/>
  <c r="A123" i="22"/>
  <c r="N123" i="22"/>
  <c r="P123" i="22"/>
  <c r="Q123" i="22"/>
  <c r="I108" i="22"/>
  <c r="B108" i="22"/>
  <c r="O108" i="22"/>
  <c r="H108" i="22"/>
  <c r="J108" i="22"/>
  <c r="K108" i="22"/>
  <c r="G108" i="22"/>
  <c r="D108" i="22"/>
  <c r="E108" i="22"/>
  <c r="M108" i="22"/>
  <c r="C108" i="22"/>
  <c r="A108" i="22"/>
  <c r="N108" i="22"/>
  <c r="P108" i="22"/>
  <c r="Q108" i="22"/>
  <c r="I128" i="22"/>
  <c r="B128" i="22"/>
  <c r="O128" i="22"/>
  <c r="D128" i="22"/>
  <c r="E128" i="22"/>
  <c r="G128" i="22"/>
  <c r="C128" i="22"/>
  <c r="Q128" i="22"/>
  <c r="N128" i="22"/>
  <c r="P128" i="22"/>
  <c r="M128" i="22"/>
  <c r="A128" i="22"/>
  <c r="H128" i="22"/>
  <c r="J128" i="22"/>
  <c r="K128" i="22"/>
  <c r="E182" i="22"/>
  <c r="Q182" i="22"/>
  <c r="G182" i="22"/>
  <c r="H182" i="22"/>
  <c r="D182" i="22"/>
  <c r="P182" i="22"/>
  <c r="B182" i="22"/>
  <c r="C182" i="22"/>
  <c r="I182" i="22"/>
  <c r="A182" i="22"/>
  <c r="J182" i="22"/>
  <c r="K182" i="22"/>
  <c r="N182" i="22"/>
  <c r="O182" i="22"/>
  <c r="M182" i="22"/>
  <c r="B139" i="22"/>
  <c r="N139" i="22"/>
  <c r="K139" i="22"/>
  <c r="M139" i="22"/>
  <c r="A139" i="22"/>
  <c r="O139" i="22"/>
  <c r="J139" i="22"/>
  <c r="C139" i="22"/>
  <c r="D139" i="22"/>
  <c r="E139" i="22"/>
  <c r="G139" i="22"/>
  <c r="H139" i="22"/>
  <c r="I139" i="22"/>
  <c r="P139" i="22"/>
  <c r="Q139" i="22"/>
  <c r="B151" i="22"/>
  <c r="N151" i="22"/>
  <c r="I151" i="22"/>
  <c r="J151" i="22"/>
  <c r="K151" i="22"/>
  <c r="H151" i="22"/>
  <c r="E151" i="22"/>
  <c r="G151" i="22"/>
  <c r="M151" i="22"/>
  <c r="D151" i="22"/>
  <c r="A151" i="22"/>
  <c r="C151" i="22"/>
  <c r="O151" i="22"/>
  <c r="P151" i="22"/>
  <c r="Q151" i="22"/>
  <c r="G19" i="23"/>
  <c r="K19" i="23"/>
  <c r="H19" i="23"/>
  <c r="I19" i="23" s="1"/>
  <c r="L19" i="23" s="1"/>
  <c r="J19" i="23"/>
  <c r="O3" i="23"/>
  <c r="W62" i="23"/>
  <c r="F62" i="23"/>
  <c r="AF62" i="23"/>
  <c r="S62" i="23"/>
  <c r="W36" i="23"/>
  <c r="AS67" i="23"/>
  <c r="BC67" i="23"/>
  <c r="BE67" i="23"/>
  <c r="BB67" i="23"/>
  <c r="BG67" i="23"/>
  <c r="AV67" i="23"/>
  <c r="BA67" i="23"/>
  <c r="C89" i="21"/>
  <c r="M89" i="21"/>
  <c r="W89" i="21"/>
  <c r="AG89" i="21"/>
  <c r="AQ89" i="21" s="1"/>
  <c r="D89" i="21"/>
  <c r="N89" i="21"/>
  <c r="X89" i="21"/>
  <c r="AH89" i="21"/>
  <c r="E89" i="21"/>
  <c r="O89" i="21"/>
  <c r="Y89" i="21"/>
  <c r="AI89" i="21"/>
  <c r="AW89" i="21" s="1"/>
  <c r="B89" i="21"/>
  <c r="L89" i="21"/>
  <c r="V89" i="21"/>
  <c r="AF89" i="21"/>
  <c r="AN89" i="21" s="1"/>
  <c r="F89" i="21"/>
  <c r="T89" i="21"/>
  <c r="G89" i="21"/>
  <c r="U89" i="21"/>
  <c r="H89" i="21"/>
  <c r="Z89" i="21"/>
  <c r="A89" i="21"/>
  <c r="S89" i="21"/>
  <c r="AK89" i="21"/>
  <c r="AD89" i="21"/>
  <c r="I89" i="21"/>
  <c r="AE89" i="21"/>
  <c r="J89" i="21"/>
  <c r="AJ89" i="21"/>
  <c r="K89" i="21"/>
  <c r="AX89" i="21" s="1"/>
  <c r="P89" i="21"/>
  <c r="Q89" i="21"/>
  <c r="R89" i="21"/>
  <c r="AA89" i="21"/>
  <c r="AB89" i="21"/>
  <c r="AC89" i="21"/>
  <c r="S48" i="23"/>
  <c r="J65" i="23"/>
  <c r="K65" i="23"/>
  <c r="G65" i="23"/>
  <c r="H65" i="23"/>
  <c r="I65" i="23" s="1"/>
  <c r="L65" i="23" s="1"/>
  <c r="F54" i="23"/>
  <c r="AF41" i="23"/>
  <c r="W41" i="23"/>
  <c r="S41" i="23"/>
  <c r="O59" i="23"/>
  <c r="AS77" i="23"/>
  <c r="BC77" i="23"/>
  <c r="BB77" i="23"/>
  <c r="BE77" i="23"/>
  <c r="BA77" i="23"/>
  <c r="BG77" i="23"/>
  <c r="AV77" i="23"/>
  <c r="B99" i="21"/>
  <c r="L99" i="21"/>
  <c r="V99" i="21"/>
  <c r="AF99" i="21"/>
  <c r="AN99" i="21" s="1"/>
  <c r="C99" i="21"/>
  <c r="M99" i="21"/>
  <c r="W99" i="21"/>
  <c r="AG99" i="21"/>
  <c r="AQ99" i="21" s="1"/>
  <c r="D99" i="21"/>
  <c r="N99" i="21"/>
  <c r="X99" i="21"/>
  <c r="AH99" i="21"/>
  <c r="A99" i="21"/>
  <c r="K99" i="21"/>
  <c r="AX99" i="21" s="1"/>
  <c r="U99" i="21"/>
  <c r="AE99" i="21"/>
  <c r="J99" i="21"/>
  <c r="AB99" i="21"/>
  <c r="O99" i="21"/>
  <c r="AC99" i="21"/>
  <c r="P99" i="21"/>
  <c r="AD99" i="21"/>
  <c r="I99" i="21"/>
  <c r="AA99" i="21"/>
  <c r="T99" i="21"/>
  <c r="Y99" i="21"/>
  <c r="Z99" i="21"/>
  <c r="E99" i="21"/>
  <c r="AI99" i="21"/>
  <c r="AW99" i="21" s="1"/>
  <c r="F99" i="21"/>
  <c r="AJ99" i="21"/>
  <c r="G99" i="21"/>
  <c r="AK99" i="21"/>
  <c r="H99" i="21"/>
  <c r="Q99" i="21"/>
  <c r="R99" i="21"/>
  <c r="S99" i="21"/>
  <c r="AH35" i="23"/>
  <c r="J58" i="23"/>
  <c r="K58" i="23"/>
  <c r="H58" i="23"/>
  <c r="I58" i="23" s="1"/>
  <c r="G58" i="23"/>
  <c r="BB66" i="23"/>
  <c r="AV66" i="23"/>
  <c r="BG66" i="23"/>
  <c r="BA66" i="23"/>
  <c r="BC66" i="23"/>
  <c r="AS66" i="23"/>
  <c r="BE66" i="23"/>
  <c r="F88" i="21"/>
  <c r="P88" i="21"/>
  <c r="Z88" i="21"/>
  <c r="AJ88" i="21"/>
  <c r="G88" i="21"/>
  <c r="Q88" i="21"/>
  <c r="AA88" i="21"/>
  <c r="AK88" i="21"/>
  <c r="H88" i="21"/>
  <c r="R88" i="21"/>
  <c r="AB88" i="21"/>
  <c r="E88" i="21"/>
  <c r="O88" i="21"/>
  <c r="Y88" i="21"/>
  <c r="AI88" i="21"/>
  <c r="AW88" i="21" s="1"/>
  <c r="M88" i="21"/>
  <c r="AE88" i="21"/>
  <c r="N88" i="21"/>
  <c r="AF88" i="21"/>
  <c r="AN88" i="21" s="1"/>
  <c r="A88" i="21"/>
  <c r="S88" i="21"/>
  <c r="AG88" i="21"/>
  <c r="AQ88" i="21" s="1"/>
  <c r="L88" i="21"/>
  <c r="AD88" i="21"/>
  <c r="U88" i="21"/>
  <c r="V88" i="21"/>
  <c r="W88" i="21"/>
  <c r="B88" i="21"/>
  <c r="X88" i="21"/>
  <c r="C88" i="21"/>
  <c r="AC88" i="21"/>
  <c r="D88" i="21"/>
  <c r="AH88" i="21"/>
  <c r="I88" i="21"/>
  <c r="J88" i="21"/>
  <c r="K88" i="21"/>
  <c r="AX88" i="21" s="1"/>
  <c r="T88" i="21"/>
  <c r="O93" i="23"/>
  <c r="O130" i="23"/>
  <c r="BE99" i="23"/>
  <c r="AS99" i="23"/>
  <c r="BG99" i="23"/>
  <c r="BB99" i="23"/>
  <c r="BC99" i="23"/>
  <c r="BA99" i="23"/>
  <c r="D121" i="21"/>
  <c r="N121" i="21"/>
  <c r="X121" i="21"/>
  <c r="AH121" i="21"/>
  <c r="E121" i="21"/>
  <c r="O121" i="21"/>
  <c r="Y121" i="21"/>
  <c r="AI121" i="21"/>
  <c r="AW121" i="21" s="1"/>
  <c r="AV99" i="23"/>
  <c r="F121" i="21"/>
  <c r="P121" i="21"/>
  <c r="Z121" i="21"/>
  <c r="AJ121" i="21"/>
  <c r="C121" i="21"/>
  <c r="M121" i="21"/>
  <c r="W121" i="21"/>
  <c r="AG121" i="21"/>
  <c r="AQ121" i="21" s="1"/>
  <c r="A121" i="21"/>
  <c r="S121" i="21"/>
  <c r="AK121" i="21"/>
  <c r="B121" i="21"/>
  <c r="T121" i="21"/>
  <c r="G121" i="21"/>
  <c r="U121" i="21"/>
  <c r="R121" i="21"/>
  <c r="AF121" i="21"/>
  <c r="AN121" i="21" s="1"/>
  <c r="K121" i="21"/>
  <c r="AX121" i="21" s="1"/>
  <c r="L121" i="21"/>
  <c r="Q121" i="21"/>
  <c r="V121" i="21"/>
  <c r="AB121" i="21"/>
  <c r="AC121" i="21"/>
  <c r="H121" i="21"/>
  <c r="AD121" i="21"/>
  <c r="I121" i="21"/>
  <c r="AE121" i="21"/>
  <c r="J121" i="21"/>
  <c r="AA121" i="21"/>
  <c r="G104" i="23"/>
  <c r="H104" i="23"/>
  <c r="I104" i="23" s="1"/>
  <c r="K104" i="23"/>
  <c r="J104" i="23"/>
  <c r="AF81" i="23"/>
  <c r="X81" i="23"/>
  <c r="S81" i="23"/>
  <c r="G190" i="23"/>
  <c r="H190" i="23"/>
  <c r="I190" i="23" s="1"/>
  <c r="J190" i="23"/>
  <c r="K190" i="23"/>
  <c r="AF147" i="23"/>
  <c r="S147" i="23"/>
  <c r="X147" i="23"/>
  <c r="AS122" i="23"/>
  <c r="BC122" i="23"/>
  <c r="BE122" i="23"/>
  <c r="BG122" i="23"/>
  <c r="BB122" i="23"/>
  <c r="BA122" i="23"/>
  <c r="F144" i="21"/>
  <c r="P144" i="21"/>
  <c r="Z144" i="21"/>
  <c r="AJ144" i="21"/>
  <c r="G144" i="21"/>
  <c r="Q144" i="21"/>
  <c r="AA144" i="21"/>
  <c r="AK144" i="21"/>
  <c r="H144" i="21"/>
  <c r="R144" i="21"/>
  <c r="AB144" i="21"/>
  <c r="AV122" i="23"/>
  <c r="E144" i="21"/>
  <c r="O144" i="21"/>
  <c r="Y144" i="21"/>
  <c r="AI144" i="21"/>
  <c r="AW144" i="21" s="1"/>
  <c r="A144" i="21"/>
  <c r="S144" i="21"/>
  <c r="AG144" i="21"/>
  <c r="AQ144" i="21" s="1"/>
  <c r="B144" i="21"/>
  <c r="T144" i="21"/>
  <c r="AH144" i="21"/>
  <c r="C144" i="21"/>
  <c r="U144" i="21"/>
  <c r="N144" i="21"/>
  <c r="AF144" i="21"/>
  <c r="AN144" i="21" s="1"/>
  <c r="AC144" i="21"/>
  <c r="D144" i="21"/>
  <c r="AD144" i="21"/>
  <c r="I144" i="21"/>
  <c r="AE144" i="21"/>
  <c r="J144" i="21"/>
  <c r="X144" i="21"/>
  <c r="K144" i="21"/>
  <c r="AX144" i="21" s="1"/>
  <c r="L144" i="21"/>
  <c r="M144" i="21"/>
  <c r="V144" i="21"/>
  <c r="W144" i="21"/>
  <c r="G134" i="23"/>
  <c r="H134" i="23"/>
  <c r="I134" i="23" s="1"/>
  <c r="J134" i="23"/>
  <c r="K134" i="23"/>
  <c r="AF143" i="23"/>
  <c r="O143" i="23"/>
  <c r="X143" i="23"/>
  <c r="S148" i="23"/>
  <c r="J101" i="23"/>
  <c r="K101" i="23"/>
  <c r="H101" i="23"/>
  <c r="I101" i="23" s="1"/>
  <c r="G101" i="23"/>
  <c r="C63" i="22"/>
  <c r="O63" i="22"/>
  <c r="J63" i="22"/>
  <c r="K63" i="22"/>
  <c r="I63" i="22"/>
  <c r="M63" i="22"/>
  <c r="N63" i="22"/>
  <c r="P63" i="22"/>
  <c r="H63" i="22"/>
  <c r="E63" i="22"/>
  <c r="G63" i="22"/>
  <c r="Q63" i="22"/>
  <c r="D63" i="22"/>
  <c r="A63" i="22"/>
  <c r="B63" i="22"/>
  <c r="I92" i="22"/>
  <c r="J92" i="22"/>
  <c r="A92" i="22"/>
  <c r="O92" i="22"/>
  <c r="B92" i="22"/>
  <c r="P92" i="22"/>
  <c r="C92" i="22"/>
  <c r="Q92" i="22"/>
  <c r="N92" i="22"/>
  <c r="D92" i="22"/>
  <c r="E92" i="22"/>
  <c r="G92" i="22"/>
  <c r="H92" i="22"/>
  <c r="K92" i="22"/>
  <c r="M92" i="22"/>
  <c r="C79" i="22"/>
  <c r="O79" i="22"/>
  <c r="D79" i="22"/>
  <c r="Q79" i="22"/>
  <c r="A79" i="22"/>
  <c r="N79" i="22"/>
  <c r="M79" i="22"/>
  <c r="P79" i="22"/>
  <c r="K79" i="22"/>
  <c r="B79" i="22"/>
  <c r="E79" i="22"/>
  <c r="H79" i="22"/>
  <c r="I79" i="22"/>
  <c r="J79" i="22"/>
  <c r="G79" i="22"/>
  <c r="I126" i="22"/>
  <c r="K126" i="22"/>
  <c r="J126" i="22"/>
  <c r="M126" i="22"/>
  <c r="N126" i="22"/>
  <c r="H126" i="22"/>
  <c r="C126" i="22"/>
  <c r="D126" i="22"/>
  <c r="E126" i="22"/>
  <c r="B126" i="22"/>
  <c r="A126" i="22"/>
  <c r="G126" i="22"/>
  <c r="O126" i="22"/>
  <c r="P126" i="22"/>
  <c r="Q126" i="22"/>
  <c r="E178" i="22"/>
  <c r="Q178" i="22"/>
  <c r="G178" i="22"/>
  <c r="H178" i="22"/>
  <c r="D178" i="22"/>
  <c r="P178" i="22"/>
  <c r="N178" i="22"/>
  <c r="O178" i="22"/>
  <c r="M178" i="22"/>
  <c r="A178" i="22"/>
  <c r="B178" i="22"/>
  <c r="C178" i="22"/>
  <c r="I178" i="22"/>
  <c r="J178" i="22"/>
  <c r="K178" i="22"/>
  <c r="H132" i="22"/>
  <c r="D132" i="22"/>
  <c r="Q132" i="22"/>
  <c r="E132" i="22"/>
  <c r="G132" i="22"/>
  <c r="C132" i="22"/>
  <c r="P132" i="22"/>
  <c r="N132" i="22"/>
  <c r="O132" i="22"/>
  <c r="M132" i="22"/>
  <c r="I132" i="22"/>
  <c r="J132" i="22"/>
  <c r="K132" i="22"/>
  <c r="A132" i="22"/>
  <c r="B132" i="22"/>
  <c r="C35" i="22"/>
  <c r="O35" i="22"/>
  <c r="D35" i="22"/>
  <c r="P35" i="22"/>
  <c r="E35" i="22"/>
  <c r="G35" i="22"/>
  <c r="H35" i="22"/>
  <c r="I35" i="22"/>
  <c r="B35" i="22"/>
  <c r="A35" i="22"/>
  <c r="J35" i="22"/>
  <c r="K35" i="22"/>
  <c r="M35" i="22"/>
  <c r="Q35" i="22"/>
  <c r="N35" i="22"/>
  <c r="K217" i="22"/>
  <c r="A217" i="22"/>
  <c r="M217" i="22"/>
  <c r="B217" i="22"/>
  <c r="N217" i="22"/>
  <c r="J217" i="22"/>
  <c r="O217" i="22"/>
  <c r="P217" i="22"/>
  <c r="Q217" i="22"/>
  <c r="I217" i="22"/>
  <c r="C217" i="22"/>
  <c r="D217" i="22"/>
  <c r="G217" i="22"/>
  <c r="H217" i="22"/>
  <c r="E217" i="22"/>
  <c r="AS15" i="23"/>
  <c r="BC15" i="23"/>
  <c r="BB15" i="23"/>
  <c r="BE15" i="23"/>
  <c r="BA15" i="23"/>
  <c r="BG15" i="23"/>
  <c r="AV15" i="23"/>
  <c r="A37" i="21"/>
  <c r="K37" i="21"/>
  <c r="AX37" i="21" s="1"/>
  <c r="U37" i="21"/>
  <c r="AE37" i="21"/>
  <c r="B37" i="21"/>
  <c r="L37" i="21"/>
  <c r="V37" i="21"/>
  <c r="AF37" i="21"/>
  <c r="AN37" i="21" s="1"/>
  <c r="J37" i="21"/>
  <c r="T37" i="21"/>
  <c r="AD37" i="21"/>
  <c r="H37" i="21"/>
  <c r="X37" i="21"/>
  <c r="AK37" i="21"/>
  <c r="I37" i="21"/>
  <c r="Y37" i="21"/>
  <c r="M37" i="21"/>
  <c r="Z37" i="21"/>
  <c r="G37" i="21"/>
  <c r="W37" i="21"/>
  <c r="AJ37" i="21"/>
  <c r="E37" i="21"/>
  <c r="AC37" i="21"/>
  <c r="F37" i="21"/>
  <c r="AG37" i="21"/>
  <c r="AQ37" i="21" s="1"/>
  <c r="N37" i="21"/>
  <c r="AH37" i="21"/>
  <c r="O37" i="21"/>
  <c r="AI37" i="21"/>
  <c r="AW37" i="21" s="1"/>
  <c r="D37" i="21"/>
  <c r="AB37" i="21"/>
  <c r="P37" i="21"/>
  <c r="Q37" i="21"/>
  <c r="R37" i="21"/>
  <c r="S37" i="21"/>
  <c r="AA37" i="21"/>
  <c r="C37" i="21"/>
  <c r="BG9" i="23"/>
  <c r="BE9" i="23"/>
  <c r="AS9" i="23"/>
  <c r="BA9" i="23"/>
  <c r="BB9" i="23"/>
  <c r="BC9" i="23"/>
  <c r="AV9" i="23"/>
  <c r="A31" i="21"/>
  <c r="K31" i="21"/>
  <c r="AX31" i="21" s="1"/>
  <c r="U31" i="21"/>
  <c r="AE31" i="21"/>
  <c r="B31" i="21"/>
  <c r="L31" i="21"/>
  <c r="V31" i="21"/>
  <c r="AF31" i="21"/>
  <c r="AN31" i="21" s="1"/>
  <c r="J31" i="21"/>
  <c r="T31" i="21"/>
  <c r="AD31" i="21"/>
  <c r="N31" i="21"/>
  <c r="AA31" i="21"/>
  <c r="O31" i="21"/>
  <c r="AB31" i="21"/>
  <c r="C31" i="21"/>
  <c r="P31" i="21"/>
  <c r="AC31" i="21"/>
  <c r="M31" i="21"/>
  <c r="Z31" i="21"/>
  <c r="E31" i="21"/>
  <c r="Y31" i="21"/>
  <c r="F31" i="21"/>
  <c r="AG31" i="21"/>
  <c r="AQ31" i="21" s="1"/>
  <c r="G31" i="21"/>
  <c r="AH31" i="21"/>
  <c r="H31" i="21"/>
  <c r="AI31" i="21"/>
  <c r="AW31" i="21" s="1"/>
  <c r="D31" i="21"/>
  <c r="X31" i="21"/>
  <c r="AJ31" i="21"/>
  <c r="AK31" i="21"/>
  <c r="I31" i="21"/>
  <c r="Q31" i="21"/>
  <c r="R31" i="21"/>
  <c r="S31" i="21"/>
  <c r="W31" i="21"/>
  <c r="J33" i="23"/>
  <c r="K33" i="23"/>
  <c r="H33" i="23"/>
  <c r="I33" i="23" s="1"/>
  <c r="G33" i="23"/>
  <c r="H138" i="22"/>
  <c r="C138" i="22"/>
  <c r="P138" i="22"/>
  <c r="D138" i="22"/>
  <c r="Q138" i="22"/>
  <c r="E138" i="22"/>
  <c r="B138" i="22"/>
  <c r="O138" i="22"/>
  <c r="N138" i="22"/>
  <c r="J138" i="22"/>
  <c r="K138" i="22"/>
  <c r="M138" i="22"/>
  <c r="A138" i="22"/>
  <c r="G138" i="22"/>
  <c r="I138" i="22"/>
  <c r="E180" i="22"/>
  <c r="Q180" i="22"/>
  <c r="G180" i="22"/>
  <c r="H180" i="22"/>
  <c r="D180" i="22"/>
  <c r="P180" i="22"/>
  <c r="A180" i="22"/>
  <c r="B180" i="22"/>
  <c r="O180" i="22"/>
  <c r="C180" i="22"/>
  <c r="I180" i="22"/>
  <c r="J180" i="22"/>
  <c r="K180" i="22"/>
  <c r="N180" i="22"/>
  <c r="M180" i="22"/>
  <c r="C81" i="22"/>
  <c r="O81" i="22"/>
  <c r="H81" i="22"/>
  <c r="E81" i="22"/>
  <c r="K81" i="22"/>
  <c r="M81" i="22"/>
  <c r="N81" i="22"/>
  <c r="J81" i="22"/>
  <c r="P81" i="22"/>
  <c r="Q81" i="22"/>
  <c r="I81" i="22"/>
  <c r="A81" i="22"/>
  <c r="B81" i="22"/>
  <c r="D81" i="22"/>
  <c r="G81" i="22"/>
  <c r="E192" i="22"/>
  <c r="Q192" i="22"/>
  <c r="G192" i="22"/>
  <c r="H192" i="22"/>
  <c r="D192" i="22"/>
  <c r="P192" i="22"/>
  <c r="B192" i="22"/>
  <c r="C192" i="22"/>
  <c r="I192" i="22"/>
  <c r="A192" i="22"/>
  <c r="K192" i="22"/>
  <c r="M192" i="22"/>
  <c r="N192" i="22"/>
  <c r="O192" i="22"/>
  <c r="J192" i="22"/>
  <c r="E184" i="22"/>
  <c r="Q184" i="22"/>
  <c r="G184" i="22"/>
  <c r="H184" i="22"/>
  <c r="D184" i="22"/>
  <c r="P184" i="22"/>
  <c r="I184" i="22"/>
  <c r="J184" i="22"/>
  <c r="K184" i="22"/>
  <c r="C184" i="22"/>
  <c r="A184" i="22"/>
  <c r="B184" i="22"/>
  <c r="N184" i="22"/>
  <c r="O184" i="22"/>
  <c r="M184" i="22"/>
  <c r="L39" i="23"/>
  <c r="K201" i="22"/>
  <c r="A201" i="22"/>
  <c r="M201" i="22"/>
  <c r="B201" i="22"/>
  <c r="N201" i="22"/>
  <c r="J201" i="22"/>
  <c r="C201" i="22"/>
  <c r="D201" i="22"/>
  <c r="E201" i="22"/>
  <c r="O201" i="22"/>
  <c r="P201" i="22"/>
  <c r="Q201" i="22"/>
  <c r="I201" i="22"/>
  <c r="G201" i="22"/>
  <c r="H201" i="22"/>
  <c r="C105" i="22"/>
  <c r="O105" i="22"/>
  <c r="B105" i="22"/>
  <c r="P105" i="22"/>
  <c r="D105" i="22"/>
  <c r="E105" i="22"/>
  <c r="G105" i="22"/>
  <c r="A105" i="22"/>
  <c r="Q105" i="22"/>
  <c r="J105" i="22"/>
  <c r="K105" i="22"/>
  <c r="M105" i="22"/>
  <c r="N105" i="22"/>
  <c r="I105" i="22"/>
  <c r="H105" i="22"/>
  <c r="I114" i="22"/>
  <c r="A114" i="22"/>
  <c r="N114" i="22"/>
  <c r="D114" i="22"/>
  <c r="E114" i="22"/>
  <c r="G114" i="22"/>
  <c r="C114" i="22"/>
  <c r="Q114" i="22"/>
  <c r="P114" i="22"/>
  <c r="H114" i="22"/>
  <c r="J114" i="22"/>
  <c r="K114" i="22"/>
  <c r="M114" i="22"/>
  <c r="O114" i="22"/>
  <c r="B114" i="22"/>
  <c r="I90" i="22"/>
  <c r="E90" i="22"/>
  <c r="G90" i="22"/>
  <c r="H90" i="22"/>
  <c r="J90" i="22"/>
  <c r="D90" i="22"/>
  <c r="K90" i="22"/>
  <c r="M90" i="22"/>
  <c r="N90" i="22"/>
  <c r="O90" i="22"/>
  <c r="C90" i="22"/>
  <c r="Q90" i="22"/>
  <c r="A90" i="22"/>
  <c r="B90" i="22"/>
  <c r="P90" i="22"/>
  <c r="E176" i="22"/>
  <c r="Q176" i="22"/>
  <c r="G176" i="22"/>
  <c r="H176" i="22"/>
  <c r="D176" i="22"/>
  <c r="P176" i="22"/>
  <c r="K176" i="22"/>
  <c r="M176" i="22"/>
  <c r="N176" i="22"/>
  <c r="J176" i="22"/>
  <c r="A176" i="22"/>
  <c r="B176" i="22"/>
  <c r="C176" i="22"/>
  <c r="I176" i="22"/>
  <c r="O176" i="22"/>
  <c r="K173" i="22"/>
  <c r="A173" i="22"/>
  <c r="M173" i="22"/>
  <c r="B173" i="22"/>
  <c r="N173" i="22"/>
  <c r="J173" i="22"/>
  <c r="E173" i="22"/>
  <c r="G173" i="22"/>
  <c r="H173" i="22"/>
  <c r="D173" i="22"/>
  <c r="Q173" i="22"/>
  <c r="C173" i="22"/>
  <c r="I173" i="22"/>
  <c r="O173" i="22"/>
  <c r="P173" i="22"/>
  <c r="S3" i="23"/>
  <c r="J15" i="23"/>
  <c r="K15" i="23"/>
  <c r="G15" i="23"/>
  <c r="H15" i="23"/>
  <c r="I15" i="23" s="1"/>
  <c r="H31" i="23"/>
  <c r="G31" i="23"/>
  <c r="I31" i="23"/>
  <c r="J31" i="23"/>
  <c r="K31" i="23"/>
  <c r="AW54" i="23"/>
  <c r="AX54" i="23"/>
  <c r="C53" i="22"/>
  <c r="O53" i="22"/>
  <c r="D53" i="22"/>
  <c r="Q53" i="22"/>
  <c r="E53" i="22"/>
  <c r="G53" i="22"/>
  <c r="B53" i="22"/>
  <c r="P53" i="22"/>
  <c r="M53" i="22"/>
  <c r="N53" i="22"/>
  <c r="K53" i="22"/>
  <c r="A53" i="22"/>
  <c r="H53" i="22"/>
  <c r="I53" i="22"/>
  <c r="J53" i="22"/>
  <c r="C101" i="22"/>
  <c r="O101" i="22"/>
  <c r="H101" i="22"/>
  <c r="A101" i="22"/>
  <c r="P101" i="22"/>
  <c r="B101" i="22"/>
  <c r="Q101" i="22"/>
  <c r="D101" i="22"/>
  <c r="N101" i="22"/>
  <c r="I101" i="22"/>
  <c r="J101" i="22"/>
  <c r="K101" i="22"/>
  <c r="M101" i="22"/>
  <c r="G101" i="22"/>
  <c r="E101" i="22"/>
  <c r="B147" i="22"/>
  <c r="N147" i="22"/>
  <c r="A147" i="22"/>
  <c r="O147" i="22"/>
  <c r="C147" i="22"/>
  <c r="P147" i="22"/>
  <c r="D147" i="22"/>
  <c r="Q147" i="22"/>
  <c r="M147" i="22"/>
  <c r="J147" i="22"/>
  <c r="K147" i="22"/>
  <c r="I147" i="22"/>
  <c r="E147" i="22"/>
  <c r="G147" i="22"/>
  <c r="H147" i="22"/>
  <c r="H134" i="22"/>
  <c r="I134" i="22"/>
  <c r="J134" i="22"/>
  <c r="K134" i="22"/>
  <c r="G134" i="22"/>
  <c r="B134" i="22"/>
  <c r="C134" i="22"/>
  <c r="D134" i="22"/>
  <c r="A134" i="22"/>
  <c r="M134" i="22"/>
  <c r="N134" i="22"/>
  <c r="O134" i="22"/>
  <c r="P134" i="22"/>
  <c r="Q134" i="22"/>
  <c r="E134" i="22"/>
  <c r="H142" i="22"/>
  <c r="K142" i="22"/>
  <c r="M142" i="22"/>
  <c r="A142" i="22"/>
  <c r="N142" i="22"/>
  <c r="J142" i="22"/>
  <c r="O142" i="22"/>
  <c r="P142" i="22"/>
  <c r="Q142" i="22"/>
  <c r="I142" i="22"/>
  <c r="G142" i="22"/>
  <c r="B142" i="22"/>
  <c r="C142" i="22"/>
  <c r="D142" i="22"/>
  <c r="E142" i="22"/>
  <c r="K163" i="22"/>
  <c r="A163" i="22"/>
  <c r="M163" i="22"/>
  <c r="B163" i="22"/>
  <c r="N163" i="22"/>
  <c r="J163" i="22"/>
  <c r="E163" i="22"/>
  <c r="G163" i="22"/>
  <c r="H163" i="22"/>
  <c r="D163" i="22"/>
  <c r="C163" i="22"/>
  <c r="I163" i="22"/>
  <c r="O163" i="22"/>
  <c r="P163" i="22"/>
  <c r="Q163" i="22"/>
  <c r="E174" i="22"/>
  <c r="Q174" i="22"/>
  <c r="G174" i="22"/>
  <c r="H174" i="22"/>
  <c r="D174" i="22"/>
  <c r="P174" i="22"/>
  <c r="I174" i="22"/>
  <c r="J174" i="22"/>
  <c r="K174" i="22"/>
  <c r="C174" i="22"/>
  <c r="A174" i="22"/>
  <c r="B174" i="22"/>
  <c r="M174" i="22"/>
  <c r="N174" i="22"/>
  <c r="O174" i="22"/>
  <c r="E216" i="22"/>
  <c r="Q216" i="22"/>
  <c r="G216" i="22"/>
  <c r="H216" i="22"/>
  <c r="D216" i="22"/>
  <c r="P216" i="22"/>
  <c r="K216" i="22"/>
  <c r="M216" i="22"/>
  <c r="N216" i="22"/>
  <c r="J216" i="22"/>
  <c r="I216" i="22"/>
  <c r="O216" i="22"/>
  <c r="C216" i="22"/>
  <c r="A216" i="22"/>
  <c r="B216" i="22"/>
  <c r="I30" i="22"/>
  <c r="J30" i="22"/>
  <c r="K30" i="22"/>
  <c r="H30" i="22"/>
  <c r="D30" i="22"/>
  <c r="E30" i="22"/>
  <c r="G30" i="22"/>
  <c r="C30" i="22"/>
  <c r="A30" i="22"/>
  <c r="B30" i="22"/>
  <c r="M30" i="22"/>
  <c r="O30" i="22"/>
  <c r="P30" i="22"/>
  <c r="Q30" i="22"/>
  <c r="N30" i="22"/>
  <c r="C85" i="22"/>
  <c r="O85" i="22"/>
  <c r="B85" i="22"/>
  <c r="P85" i="22"/>
  <c r="M85" i="22"/>
  <c r="G85" i="22"/>
  <c r="H85" i="22"/>
  <c r="I85" i="22"/>
  <c r="E85" i="22"/>
  <c r="A85" i="22"/>
  <c r="D85" i="22"/>
  <c r="K85" i="22"/>
  <c r="N85" i="22"/>
  <c r="Q85" i="22"/>
  <c r="J85" i="22"/>
  <c r="K161" i="22"/>
  <c r="A161" i="22"/>
  <c r="M161" i="22"/>
  <c r="B161" i="22"/>
  <c r="N161" i="22"/>
  <c r="J161" i="22"/>
  <c r="C161" i="22"/>
  <c r="D161" i="22"/>
  <c r="E161" i="22"/>
  <c r="G161" i="22"/>
  <c r="H161" i="22"/>
  <c r="I161" i="22"/>
  <c r="O161" i="22"/>
  <c r="P161" i="22"/>
  <c r="Q161" i="22"/>
  <c r="C97" i="22"/>
  <c r="O97" i="22"/>
  <c r="M97" i="22"/>
  <c r="N97" i="22"/>
  <c r="A97" i="22"/>
  <c r="P97" i="22"/>
  <c r="B97" i="22"/>
  <c r="Q97" i="22"/>
  <c r="K97" i="22"/>
  <c r="G97" i="22"/>
  <c r="H97" i="22"/>
  <c r="I97" i="22"/>
  <c r="J97" i="22"/>
  <c r="E97" i="22"/>
  <c r="D97" i="22"/>
  <c r="I72" i="22"/>
  <c r="H72" i="22"/>
  <c r="J72" i="22"/>
  <c r="G72" i="22"/>
  <c r="B72" i="22"/>
  <c r="C72" i="22"/>
  <c r="D72" i="22"/>
  <c r="A72" i="22"/>
  <c r="Q72" i="22"/>
  <c r="E72" i="22"/>
  <c r="K72" i="22"/>
  <c r="M72" i="22"/>
  <c r="N72" i="22"/>
  <c r="P72" i="22"/>
  <c r="O72" i="22"/>
  <c r="H146" i="22"/>
  <c r="E146" i="22"/>
  <c r="G146" i="22"/>
  <c r="I146" i="22"/>
  <c r="D146" i="22"/>
  <c r="Q146" i="22"/>
  <c r="J146" i="22"/>
  <c r="K146" i="22"/>
  <c r="M146" i="22"/>
  <c r="C146" i="22"/>
  <c r="O146" i="22"/>
  <c r="P146" i="22"/>
  <c r="A146" i="22"/>
  <c r="B146" i="22"/>
  <c r="N146" i="22"/>
  <c r="S14" i="23"/>
  <c r="AF14" i="23"/>
  <c r="W14" i="23"/>
  <c r="F8" i="23"/>
  <c r="O8" i="23"/>
  <c r="AF8" i="23"/>
  <c r="J13" i="23"/>
  <c r="K13" i="23"/>
  <c r="H13" i="23"/>
  <c r="I13" i="23" s="1"/>
  <c r="L13" i="23" s="1"/>
  <c r="G13" i="23"/>
  <c r="BA3" i="23"/>
  <c r="BB3" i="23"/>
  <c r="AS3" i="23"/>
  <c r="BC3" i="23"/>
  <c r="AV3" i="23"/>
  <c r="BG3" i="23"/>
  <c r="BE3" i="23"/>
  <c r="I25" i="21"/>
  <c r="S25" i="21"/>
  <c r="AC25" i="21"/>
  <c r="J25" i="21"/>
  <c r="T25" i="21"/>
  <c r="AD25" i="21"/>
  <c r="A25" i="21"/>
  <c r="K25" i="21"/>
  <c r="AX25" i="21" s="1"/>
  <c r="U25" i="21"/>
  <c r="AE25" i="21"/>
  <c r="H25" i="21"/>
  <c r="R25" i="21"/>
  <c r="AB25" i="21"/>
  <c r="G25" i="21"/>
  <c r="Y25" i="21"/>
  <c r="L25" i="21"/>
  <c r="Z25" i="21"/>
  <c r="M25" i="21"/>
  <c r="AA25" i="21"/>
  <c r="F25" i="21"/>
  <c r="X25" i="21"/>
  <c r="W25" i="21"/>
  <c r="B25" i="21"/>
  <c r="AF25" i="21"/>
  <c r="AN25" i="21" s="1"/>
  <c r="C25" i="21"/>
  <c r="AG25" i="21"/>
  <c r="AQ25" i="21" s="1"/>
  <c r="D25" i="21"/>
  <c r="AH25" i="21"/>
  <c r="V25" i="21"/>
  <c r="E25" i="21"/>
  <c r="N25" i="21"/>
  <c r="O25" i="21"/>
  <c r="P25" i="21"/>
  <c r="Q25" i="21"/>
  <c r="AI25" i="21"/>
  <c r="AW25" i="21" s="1"/>
  <c r="AJ25" i="21"/>
  <c r="AK25" i="21"/>
  <c r="G16" i="23"/>
  <c r="H16" i="23"/>
  <c r="I16" i="23" s="1"/>
  <c r="L16" i="23" s="1"/>
  <c r="K16" i="23"/>
  <c r="J16" i="23"/>
  <c r="L11" i="23"/>
  <c r="S50" i="23"/>
  <c r="J42" i="23"/>
  <c r="K42" i="23"/>
  <c r="G42" i="23"/>
  <c r="H42" i="23"/>
  <c r="I42" i="23" s="1"/>
  <c r="AH36" i="23"/>
  <c r="BE69" i="23"/>
  <c r="AV69" i="23"/>
  <c r="BG69" i="23"/>
  <c r="AS69" i="23"/>
  <c r="BA69" i="23"/>
  <c r="BB69" i="23"/>
  <c r="BC69" i="23"/>
  <c r="A91" i="21"/>
  <c r="K91" i="21"/>
  <c r="AX91" i="21" s="1"/>
  <c r="U91" i="21"/>
  <c r="AE91" i="21"/>
  <c r="B91" i="21"/>
  <c r="L91" i="21"/>
  <c r="V91" i="21"/>
  <c r="AF91" i="21"/>
  <c r="AN91" i="21" s="1"/>
  <c r="C91" i="21"/>
  <c r="M91" i="21"/>
  <c r="W91" i="21"/>
  <c r="AG91" i="21"/>
  <c r="AQ91" i="21" s="1"/>
  <c r="J91" i="21"/>
  <c r="T91" i="21"/>
  <c r="AD91" i="21"/>
  <c r="N91" i="21"/>
  <c r="AB91" i="21"/>
  <c r="O91" i="21"/>
  <c r="AC91" i="21"/>
  <c r="P91" i="21"/>
  <c r="AH91" i="21"/>
  <c r="I91" i="21"/>
  <c r="AA91" i="21"/>
  <c r="S91" i="21"/>
  <c r="X91" i="21"/>
  <c r="Y91" i="21"/>
  <c r="D91" i="21"/>
  <c r="Z91" i="21"/>
  <c r="E91" i="21"/>
  <c r="AI91" i="21"/>
  <c r="AW91" i="21" s="1"/>
  <c r="F91" i="21"/>
  <c r="AJ91" i="21"/>
  <c r="G91" i="21"/>
  <c r="AK91" i="21"/>
  <c r="H91" i="21"/>
  <c r="Q91" i="21"/>
  <c r="R91" i="21"/>
  <c r="F43" i="23"/>
  <c r="AF40" i="23"/>
  <c r="O40" i="23"/>
  <c r="S40" i="23"/>
  <c r="BE83" i="23"/>
  <c r="AS83" i="23"/>
  <c r="AV83" i="23"/>
  <c r="BA83" i="23"/>
  <c r="BB83" i="23"/>
  <c r="BG83" i="23"/>
  <c r="BC83" i="23"/>
  <c r="A105" i="21"/>
  <c r="K105" i="21"/>
  <c r="AX105" i="21" s="1"/>
  <c r="U105" i="21"/>
  <c r="AE105" i="21"/>
  <c r="B105" i="21"/>
  <c r="L105" i="21"/>
  <c r="V105" i="21"/>
  <c r="AF105" i="21"/>
  <c r="AN105" i="21" s="1"/>
  <c r="C105" i="21"/>
  <c r="M105" i="21"/>
  <c r="W105" i="21"/>
  <c r="AG105" i="21"/>
  <c r="AQ105" i="21" s="1"/>
  <c r="J105" i="21"/>
  <c r="T105" i="21"/>
  <c r="AD105" i="21"/>
  <c r="H105" i="21"/>
  <c r="Z105" i="21"/>
  <c r="I105" i="21"/>
  <c r="AA105" i="21"/>
  <c r="N105" i="21"/>
  <c r="AB105" i="21"/>
  <c r="G105" i="21"/>
  <c r="Y105" i="21"/>
  <c r="P105" i="21"/>
  <c r="Q105" i="21"/>
  <c r="R105" i="21"/>
  <c r="S105" i="21"/>
  <c r="X105" i="21"/>
  <c r="AC105" i="21"/>
  <c r="D105" i="21"/>
  <c r="AH105" i="21"/>
  <c r="E105" i="21"/>
  <c r="AI105" i="21"/>
  <c r="AW105" i="21" s="1"/>
  <c r="F105" i="21"/>
  <c r="AJ105" i="21"/>
  <c r="O105" i="21"/>
  <c r="AK105" i="21"/>
  <c r="AF56" i="23"/>
  <c r="S56" i="23"/>
  <c r="X105" i="23"/>
  <c r="AF105" i="23"/>
  <c r="S105" i="23"/>
  <c r="O105" i="23"/>
  <c r="F105" i="23"/>
  <c r="X41" i="23"/>
  <c r="F111" i="23"/>
  <c r="AF29" i="23"/>
  <c r="W29" i="23"/>
  <c r="O29" i="23"/>
  <c r="S29" i="23"/>
  <c r="AH104" i="23"/>
  <c r="AF75" i="23"/>
  <c r="F75" i="23"/>
  <c r="X75" i="23"/>
  <c r="G38" i="23"/>
  <c r="H38" i="23"/>
  <c r="I38" i="23" s="1"/>
  <c r="L38" i="23" s="1"/>
  <c r="J38" i="23"/>
  <c r="K38" i="23"/>
  <c r="G45" i="23"/>
  <c r="H45" i="23"/>
  <c r="I45" i="23" s="1"/>
  <c r="J45" i="23"/>
  <c r="K45" i="23"/>
  <c r="BE113" i="23"/>
  <c r="AV113" i="23"/>
  <c r="AS113" i="23"/>
  <c r="BC113" i="23"/>
  <c r="BA113" i="23"/>
  <c r="BB113" i="23"/>
  <c r="BG113" i="23"/>
  <c r="I135" i="21"/>
  <c r="S135" i="21"/>
  <c r="AC135" i="21"/>
  <c r="J135" i="21"/>
  <c r="T135" i="21"/>
  <c r="AD135" i="21"/>
  <c r="A135" i="21"/>
  <c r="K135" i="21"/>
  <c r="AX135" i="21" s="1"/>
  <c r="U135" i="21"/>
  <c r="AE135" i="21"/>
  <c r="H135" i="21"/>
  <c r="R135" i="21"/>
  <c r="AB135" i="21"/>
  <c r="C135" i="21"/>
  <c r="Q135" i="21"/>
  <c r="AI135" i="21"/>
  <c r="AW135" i="21" s="1"/>
  <c r="D135" i="21"/>
  <c r="V135" i="21"/>
  <c r="AJ135" i="21"/>
  <c r="E135" i="21"/>
  <c r="W135" i="21"/>
  <c r="AK135" i="21"/>
  <c r="B135" i="21"/>
  <c r="P135" i="21"/>
  <c r="AH135" i="21"/>
  <c r="Y135" i="21"/>
  <c r="Z135" i="21"/>
  <c r="AA135" i="21"/>
  <c r="F135" i="21"/>
  <c r="AF135" i="21"/>
  <c r="AN135" i="21" s="1"/>
  <c r="X135" i="21"/>
  <c r="G135" i="21"/>
  <c r="L135" i="21"/>
  <c r="M135" i="21"/>
  <c r="N135" i="21"/>
  <c r="O135" i="21"/>
  <c r="AG135" i="21"/>
  <c r="AQ135" i="21" s="1"/>
  <c r="AS156" i="23"/>
  <c r="BC156" i="23"/>
  <c r="BE156" i="23"/>
  <c r="AV156" i="23"/>
  <c r="BG156" i="23"/>
  <c r="H178" i="21"/>
  <c r="R178" i="21"/>
  <c r="AB178" i="21"/>
  <c r="BA156" i="23"/>
  <c r="BB156" i="23"/>
  <c r="A178" i="21"/>
  <c r="L178" i="21"/>
  <c r="W178" i="21"/>
  <c r="AH178" i="21"/>
  <c r="B178" i="21"/>
  <c r="M178" i="21"/>
  <c r="X178" i="21"/>
  <c r="AI178" i="21"/>
  <c r="AW178" i="21" s="1"/>
  <c r="C178" i="21"/>
  <c r="N178" i="21"/>
  <c r="Y178" i="21"/>
  <c r="AJ178" i="21"/>
  <c r="K178" i="21"/>
  <c r="AX178" i="21" s="1"/>
  <c r="V178" i="21"/>
  <c r="AG178" i="21"/>
  <c r="AQ178" i="21" s="1"/>
  <c r="Q178" i="21"/>
  <c r="AK178" i="21"/>
  <c r="S178" i="21"/>
  <c r="D178" i="21"/>
  <c r="T178" i="21"/>
  <c r="E178" i="21"/>
  <c r="U178" i="21"/>
  <c r="P178" i="21"/>
  <c r="AF178" i="21"/>
  <c r="AN178" i="21" s="1"/>
  <c r="O178" i="21"/>
  <c r="Z178" i="21"/>
  <c r="AA178" i="21"/>
  <c r="AC178" i="21"/>
  <c r="AD178" i="21"/>
  <c r="AE178" i="21"/>
  <c r="F178" i="21"/>
  <c r="G178" i="21"/>
  <c r="I178" i="21"/>
  <c r="J178" i="21"/>
  <c r="H123" i="23"/>
  <c r="I123" i="23" s="1"/>
  <c r="J123" i="23"/>
  <c r="K123" i="23"/>
  <c r="G123" i="23"/>
  <c r="AX85" i="23"/>
  <c r="AW85" i="23"/>
  <c r="G106" i="23"/>
  <c r="H106" i="23"/>
  <c r="I106" i="23" s="1"/>
  <c r="J106" i="23"/>
  <c r="K106" i="23"/>
  <c r="AH123" i="23"/>
  <c r="G167" i="23"/>
  <c r="H167" i="23"/>
  <c r="I167" i="23" s="1"/>
  <c r="J167" i="23"/>
  <c r="K167" i="23"/>
  <c r="AF95" i="23"/>
  <c r="S95" i="23"/>
  <c r="O95" i="23"/>
  <c r="W95" i="23"/>
  <c r="AX174" i="23"/>
  <c r="AW174" i="23"/>
  <c r="F147" i="23"/>
  <c r="AF122" i="23"/>
  <c r="S122" i="23"/>
  <c r="F122" i="23"/>
  <c r="W157" i="23"/>
  <c r="BA120" i="23"/>
  <c r="AS120" i="23"/>
  <c r="BC120" i="23"/>
  <c r="BB120" i="23"/>
  <c r="BG120" i="23"/>
  <c r="BE120" i="23"/>
  <c r="AV120" i="23"/>
  <c r="J142" i="21"/>
  <c r="T142" i="21"/>
  <c r="AD142" i="21"/>
  <c r="A142" i="21"/>
  <c r="K142" i="21"/>
  <c r="AX142" i="21" s="1"/>
  <c r="U142" i="21"/>
  <c r="AE142" i="21"/>
  <c r="B142" i="21"/>
  <c r="L142" i="21"/>
  <c r="V142" i="21"/>
  <c r="AF142" i="21"/>
  <c r="AN142" i="21" s="1"/>
  <c r="I142" i="21"/>
  <c r="S142" i="21"/>
  <c r="AC142" i="21"/>
  <c r="C142" i="21"/>
  <c r="Q142" i="21"/>
  <c r="AI142" i="21"/>
  <c r="AW142" i="21" s="1"/>
  <c r="D142" i="21"/>
  <c r="R142" i="21"/>
  <c r="AJ142" i="21"/>
  <c r="E142" i="21"/>
  <c r="W142" i="21"/>
  <c r="AK142" i="21"/>
  <c r="P142" i="21"/>
  <c r="AH142" i="21"/>
  <c r="AA142" i="21"/>
  <c r="F142" i="21"/>
  <c r="AB142" i="21"/>
  <c r="G142" i="21"/>
  <c r="AG142" i="21"/>
  <c r="AQ142" i="21" s="1"/>
  <c r="H142" i="21"/>
  <c r="Z142" i="21"/>
  <c r="M142" i="21"/>
  <c r="N142" i="21"/>
  <c r="O142" i="21"/>
  <c r="X142" i="21"/>
  <c r="Y142" i="21"/>
  <c r="L91" i="23"/>
  <c r="AW170" i="23"/>
  <c r="AX170" i="23"/>
  <c r="K191" i="22"/>
  <c r="A191" i="22"/>
  <c r="M191" i="22"/>
  <c r="B191" i="22"/>
  <c r="N191" i="22"/>
  <c r="J191" i="22"/>
  <c r="C191" i="22"/>
  <c r="D191" i="22"/>
  <c r="E191" i="22"/>
  <c r="G191" i="22"/>
  <c r="H191" i="22"/>
  <c r="I191" i="22"/>
  <c r="O191" i="22"/>
  <c r="P191" i="22"/>
  <c r="Q191" i="22"/>
  <c r="E188" i="22"/>
  <c r="Q188" i="22"/>
  <c r="G188" i="22"/>
  <c r="H188" i="22"/>
  <c r="D188" i="22"/>
  <c r="P188" i="22"/>
  <c r="N188" i="22"/>
  <c r="O188" i="22"/>
  <c r="M188" i="22"/>
  <c r="K188" i="22"/>
  <c r="J188" i="22"/>
  <c r="A188" i="22"/>
  <c r="B188" i="22"/>
  <c r="C188" i="22"/>
  <c r="I188" i="22"/>
  <c r="E198" i="22"/>
  <c r="Q198" i="22"/>
  <c r="G198" i="22"/>
  <c r="H198" i="22"/>
  <c r="D198" i="22"/>
  <c r="P198" i="22"/>
  <c r="N198" i="22"/>
  <c r="O198" i="22"/>
  <c r="M198" i="22"/>
  <c r="B198" i="22"/>
  <c r="C198" i="22"/>
  <c r="I198" i="22"/>
  <c r="J198" i="22"/>
  <c r="K198" i="22"/>
  <c r="A198" i="22"/>
  <c r="K193" i="22"/>
  <c r="A193" i="22"/>
  <c r="M193" i="22"/>
  <c r="B193" i="22"/>
  <c r="N193" i="22"/>
  <c r="J193" i="22"/>
  <c r="E193" i="22"/>
  <c r="G193" i="22"/>
  <c r="H193" i="22"/>
  <c r="D193" i="22"/>
  <c r="C193" i="22"/>
  <c r="P193" i="22"/>
  <c r="Q193" i="22"/>
  <c r="I193" i="22"/>
  <c r="O193" i="22"/>
  <c r="K219" i="22"/>
  <c r="A219" i="22"/>
  <c r="M219" i="22"/>
  <c r="B219" i="22"/>
  <c r="N219" i="22"/>
  <c r="J219" i="22"/>
  <c r="Q219" i="22"/>
  <c r="C219" i="22"/>
  <c r="P219" i="22"/>
  <c r="D219" i="22"/>
  <c r="E219" i="22"/>
  <c r="G219" i="22"/>
  <c r="H219" i="22"/>
  <c r="I219" i="22"/>
  <c r="O219" i="22"/>
  <c r="C113" i="22"/>
  <c r="O113" i="22"/>
  <c r="E113" i="22"/>
  <c r="H113" i="22"/>
  <c r="I113" i="22"/>
  <c r="J113" i="22"/>
  <c r="G113" i="22"/>
  <c r="N113" i="22"/>
  <c r="P113" i="22"/>
  <c r="Q113" i="22"/>
  <c r="M113" i="22"/>
  <c r="A113" i="22"/>
  <c r="B113" i="22"/>
  <c r="D113" i="22"/>
  <c r="K113" i="22"/>
  <c r="O14" i="23"/>
  <c r="BB14" i="23"/>
  <c r="AV14" i="23"/>
  <c r="BG14" i="23"/>
  <c r="BE14" i="23"/>
  <c r="BA14" i="23"/>
  <c r="AS14" i="23"/>
  <c r="BC14" i="23"/>
  <c r="B36" i="21"/>
  <c r="L36" i="21"/>
  <c r="V36" i="21"/>
  <c r="AF36" i="21"/>
  <c r="AN36" i="21" s="1"/>
  <c r="C36" i="21"/>
  <c r="M36" i="21"/>
  <c r="W36" i="21"/>
  <c r="AG36" i="21"/>
  <c r="AQ36" i="21" s="1"/>
  <c r="A36" i="21"/>
  <c r="K36" i="21"/>
  <c r="AX36" i="21" s="1"/>
  <c r="U36" i="21"/>
  <c r="AE36" i="21"/>
  <c r="G36" i="21"/>
  <c r="T36" i="21"/>
  <c r="AJ36" i="21"/>
  <c r="H36" i="21"/>
  <c r="X36" i="21"/>
  <c r="AK36" i="21"/>
  <c r="I36" i="21"/>
  <c r="Y36" i="21"/>
  <c r="F36" i="21"/>
  <c r="S36" i="21"/>
  <c r="AI36" i="21"/>
  <c r="AW36" i="21" s="1"/>
  <c r="Z36" i="21"/>
  <c r="AA36" i="21"/>
  <c r="D36" i="21"/>
  <c r="AB36" i="21"/>
  <c r="E36" i="21"/>
  <c r="AC36" i="21"/>
  <c r="R36" i="21"/>
  <c r="J36" i="21"/>
  <c r="N36" i="21"/>
  <c r="O36" i="21"/>
  <c r="P36" i="21"/>
  <c r="Q36" i="21"/>
  <c r="AD36" i="21"/>
  <c r="AH36" i="21"/>
  <c r="O32" i="23"/>
  <c r="X3" i="23"/>
  <c r="AF13" i="23"/>
  <c r="X13" i="23"/>
  <c r="O13" i="23"/>
  <c r="AF34" i="23"/>
  <c r="X34" i="23"/>
  <c r="W34" i="23"/>
  <c r="AH24" i="23"/>
  <c r="AF20" i="23"/>
  <c r="S20" i="23"/>
  <c r="X20" i="23"/>
  <c r="AF22" i="23"/>
  <c r="O22" i="23"/>
  <c r="F50" i="23"/>
  <c r="BB51" i="23"/>
  <c r="BC51" i="23"/>
  <c r="BA51" i="23"/>
  <c r="AV51" i="23"/>
  <c r="BG51" i="23"/>
  <c r="AS51" i="23"/>
  <c r="BE51" i="23"/>
  <c r="D73" i="21"/>
  <c r="N73" i="21"/>
  <c r="X73" i="21"/>
  <c r="AH73" i="21"/>
  <c r="E73" i="21"/>
  <c r="O73" i="21"/>
  <c r="Y73" i="21"/>
  <c r="AI73" i="21"/>
  <c r="AW73" i="21" s="1"/>
  <c r="F73" i="21"/>
  <c r="P73" i="21"/>
  <c r="Z73" i="21"/>
  <c r="AJ73" i="21"/>
  <c r="C73" i="21"/>
  <c r="M73" i="21"/>
  <c r="W73" i="21"/>
  <c r="AG73" i="21"/>
  <c r="AQ73" i="21" s="1"/>
  <c r="H73" i="21"/>
  <c r="V73" i="21"/>
  <c r="I73" i="21"/>
  <c r="AA73" i="21"/>
  <c r="J73" i="21"/>
  <c r="AB73" i="21"/>
  <c r="G73" i="21"/>
  <c r="U73" i="21"/>
  <c r="S73" i="21"/>
  <c r="T73" i="21"/>
  <c r="AC73" i="21"/>
  <c r="AD73" i="21"/>
  <c r="A73" i="21"/>
  <c r="AE73" i="21"/>
  <c r="B73" i="21"/>
  <c r="AF73" i="21"/>
  <c r="AN73" i="21" s="1"/>
  <c r="K73" i="21"/>
  <c r="AX73" i="21" s="1"/>
  <c r="AK73" i="21"/>
  <c r="L73" i="21"/>
  <c r="Q73" i="21"/>
  <c r="R73" i="21"/>
  <c r="O62" i="23"/>
  <c r="X93" i="23"/>
  <c r="W93" i="23"/>
  <c r="AH68" i="23"/>
  <c r="G87" i="23"/>
  <c r="H87" i="23"/>
  <c r="I87" i="23" s="1"/>
  <c r="K87" i="23"/>
  <c r="J87" i="23"/>
  <c r="O111" i="23"/>
  <c r="AF126" i="23"/>
  <c r="W126" i="23"/>
  <c r="X126" i="23"/>
  <c r="F126" i="23"/>
  <c r="S126" i="23"/>
  <c r="AH107" i="23"/>
  <c r="W130" i="23"/>
  <c r="O75" i="23"/>
  <c r="H133" i="23"/>
  <c r="I133" i="23" s="1"/>
  <c r="G133" i="23"/>
  <c r="J133" i="23"/>
  <c r="K133" i="23"/>
  <c r="AF154" i="23"/>
  <c r="X154" i="23"/>
  <c r="O154" i="23"/>
  <c r="S154" i="23"/>
  <c r="F154" i="23"/>
  <c r="J102" i="23"/>
  <c r="G102" i="23"/>
  <c r="H102" i="23"/>
  <c r="I102" i="23" s="1"/>
  <c r="L102" i="23" s="1"/>
  <c r="K102" i="23"/>
  <c r="G57" i="23"/>
  <c r="K57" i="23"/>
  <c r="J57" i="23"/>
  <c r="H57" i="23"/>
  <c r="I57" i="23" s="1"/>
  <c r="AW129" i="23"/>
  <c r="AX129" i="23"/>
  <c r="AH159" i="23"/>
  <c r="G155" i="23"/>
  <c r="H155" i="23"/>
  <c r="I155" i="23" s="1"/>
  <c r="J155" i="23"/>
  <c r="K155" i="23"/>
  <c r="L183" i="23"/>
  <c r="J95" i="23"/>
  <c r="K95" i="23"/>
  <c r="H95" i="23"/>
  <c r="I95" i="23" s="1"/>
  <c r="L95" i="23" s="1"/>
  <c r="G95" i="23"/>
  <c r="X148" i="23"/>
  <c r="AF120" i="23"/>
  <c r="W120" i="23"/>
  <c r="F120" i="23"/>
  <c r="S120" i="23"/>
  <c r="G158" i="23"/>
  <c r="K158" i="23"/>
  <c r="H158" i="23"/>
  <c r="I158" i="23" s="1"/>
  <c r="J158" i="23"/>
  <c r="Y73" i="23"/>
  <c r="BF73" i="23" s="1"/>
  <c r="N73" i="23"/>
  <c r="L136" i="23"/>
  <c r="G124" i="23"/>
  <c r="K124" i="23"/>
  <c r="H124" i="23"/>
  <c r="I124" i="23" s="1"/>
  <c r="J124" i="23"/>
  <c r="BG160" i="23"/>
  <c r="BA160" i="23"/>
  <c r="BB160" i="23"/>
  <c r="BC160" i="23"/>
  <c r="AV160" i="23"/>
  <c r="AS160" i="23"/>
  <c r="C182" i="21"/>
  <c r="M182" i="21"/>
  <c r="W182" i="21"/>
  <c r="AG182" i="21"/>
  <c r="AQ182" i="21" s="1"/>
  <c r="BE160" i="23"/>
  <c r="I182" i="21"/>
  <c r="T182" i="21"/>
  <c r="AE182" i="21"/>
  <c r="J182" i="21"/>
  <c r="U182" i="21"/>
  <c r="AF182" i="21"/>
  <c r="AN182" i="21" s="1"/>
  <c r="K182" i="21"/>
  <c r="AX182" i="21" s="1"/>
  <c r="V182" i="21"/>
  <c r="AH182" i="21"/>
  <c r="H182" i="21"/>
  <c r="S182" i="21"/>
  <c r="AD182" i="21"/>
  <c r="D182" i="21"/>
  <c r="X182" i="21"/>
  <c r="E182" i="21"/>
  <c r="Y182" i="21"/>
  <c r="F182" i="21"/>
  <c r="Z182" i="21"/>
  <c r="G182" i="21"/>
  <c r="AA182" i="21"/>
  <c r="B182" i="21"/>
  <c r="R182" i="21"/>
  <c r="A182" i="21"/>
  <c r="AK182" i="21"/>
  <c r="L182" i="21"/>
  <c r="N182" i="21"/>
  <c r="O182" i="21"/>
  <c r="P182" i="21"/>
  <c r="Q182" i="21"/>
  <c r="AB182" i="21"/>
  <c r="AC182" i="21"/>
  <c r="AI182" i="21"/>
  <c r="AW182" i="21" s="1"/>
  <c r="AJ182" i="21"/>
  <c r="AH5" i="23"/>
  <c r="K37" i="23"/>
  <c r="G37" i="23"/>
  <c r="H37" i="23"/>
  <c r="I37" i="23" s="1"/>
  <c r="J37" i="23"/>
  <c r="BA33" i="23"/>
  <c r="BB33" i="23"/>
  <c r="AV33" i="23"/>
  <c r="BG33" i="23"/>
  <c r="BE33" i="23"/>
  <c r="AS33" i="23"/>
  <c r="BC33" i="23"/>
  <c r="H55" i="21"/>
  <c r="R55" i="21"/>
  <c r="AB55" i="21"/>
  <c r="I55" i="21"/>
  <c r="S55" i="21"/>
  <c r="AC55" i="21"/>
  <c r="J55" i="21"/>
  <c r="T55" i="21"/>
  <c r="AD55" i="21"/>
  <c r="G55" i="21"/>
  <c r="Q55" i="21"/>
  <c r="AA55" i="21"/>
  <c r="AK55" i="21"/>
  <c r="E55" i="21"/>
  <c r="W55" i="21"/>
  <c r="F55" i="21"/>
  <c r="X55" i="21"/>
  <c r="K55" i="21"/>
  <c r="AX55" i="21" s="1"/>
  <c r="Y55" i="21"/>
  <c r="D55" i="21"/>
  <c r="V55" i="21"/>
  <c r="AJ55" i="21"/>
  <c r="O55" i="21"/>
  <c r="P55" i="21"/>
  <c r="U55" i="21"/>
  <c r="Z55" i="21"/>
  <c r="A55" i="21"/>
  <c r="AE55" i="21"/>
  <c r="B55" i="21"/>
  <c r="AF55" i="21"/>
  <c r="AN55" i="21" s="1"/>
  <c r="C55" i="21"/>
  <c r="AG55" i="21"/>
  <c r="AQ55" i="21" s="1"/>
  <c r="L55" i="21"/>
  <c r="AH55" i="21"/>
  <c r="M55" i="21"/>
  <c r="AI55" i="21"/>
  <c r="AW55" i="21" s="1"/>
  <c r="N55" i="21"/>
  <c r="AH42" i="23"/>
  <c r="AW49" i="23"/>
  <c r="AX49" i="23"/>
  <c r="AW97" i="23"/>
  <c r="AX97" i="23"/>
  <c r="AH33" i="23"/>
  <c r="L72" i="23"/>
  <c r="AH110" i="23"/>
  <c r="F28" i="23"/>
  <c r="AS142" i="23"/>
  <c r="BC142" i="23"/>
  <c r="BE142" i="23"/>
  <c r="BA142" i="23"/>
  <c r="BB142" i="23"/>
  <c r="AV142" i="23"/>
  <c r="BG142" i="23"/>
  <c r="G164" i="21"/>
  <c r="Q164" i="21"/>
  <c r="AA164" i="21"/>
  <c r="AK164" i="21"/>
  <c r="B164" i="21"/>
  <c r="M164" i="21"/>
  <c r="X164" i="21"/>
  <c r="AI164" i="21"/>
  <c r="AW164" i="21" s="1"/>
  <c r="C164" i="21"/>
  <c r="N164" i="21"/>
  <c r="Y164" i="21"/>
  <c r="AJ164" i="21"/>
  <c r="D164" i="21"/>
  <c r="O164" i="21"/>
  <c r="Z164" i="21"/>
  <c r="A164" i="21"/>
  <c r="L164" i="21"/>
  <c r="W164" i="21"/>
  <c r="AH164" i="21"/>
  <c r="K164" i="21"/>
  <c r="AX164" i="21" s="1"/>
  <c r="AE164" i="21"/>
  <c r="P164" i="21"/>
  <c r="AF164" i="21"/>
  <c r="AN164" i="21" s="1"/>
  <c r="R164" i="21"/>
  <c r="AG164" i="21"/>
  <c r="AQ164" i="21" s="1"/>
  <c r="S164" i="21"/>
  <c r="J164" i="21"/>
  <c r="AD164" i="21"/>
  <c r="U164" i="21"/>
  <c r="V164" i="21"/>
  <c r="AB164" i="21"/>
  <c r="AC164" i="21"/>
  <c r="E164" i="21"/>
  <c r="F164" i="21"/>
  <c r="H164" i="21"/>
  <c r="I164" i="21"/>
  <c r="T164" i="21"/>
  <c r="AV29" i="23"/>
  <c r="BG29" i="23"/>
  <c r="AS29" i="23"/>
  <c r="BB29" i="23"/>
  <c r="BC29" i="23"/>
  <c r="BE29" i="23"/>
  <c r="BA29" i="23"/>
  <c r="E51" i="21"/>
  <c r="O51" i="21"/>
  <c r="Y51" i="21"/>
  <c r="AI51" i="21"/>
  <c r="AW51" i="21" s="1"/>
  <c r="G51" i="21"/>
  <c r="R51" i="21"/>
  <c r="AC51" i="21"/>
  <c r="H51" i="21"/>
  <c r="S51" i="21"/>
  <c r="AD51" i="21"/>
  <c r="I51" i="21"/>
  <c r="T51" i="21"/>
  <c r="AE51" i="21"/>
  <c r="F51" i="21"/>
  <c r="Q51" i="21"/>
  <c r="AB51" i="21"/>
  <c r="K51" i="21"/>
  <c r="AX51" i="21" s="1"/>
  <c r="AA51" i="21"/>
  <c r="L51" i="21"/>
  <c r="AF51" i="21"/>
  <c r="AN51" i="21" s="1"/>
  <c r="M51" i="21"/>
  <c r="AG51" i="21"/>
  <c r="AQ51" i="21" s="1"/>
  <c r="N51" i="21"/>
  <c r="AH51" i="21"/>
  <c r="J51" i="21"/>
  <c r="Z51" i="21"/>
  <c r="W51" i="21"/>
  <c r="X51" i="21"/>
  <c r="AJ51" i="21"/>
  <c r="A51" i="21"/>
  <c r="AK51" i="21"/>
  <c r="B51" i="21"/>
  <c r="C51" i="21"/>
  <c r="D51" i="21"/>
  <c r="P51" i="21"/>
  <c r="U51" i="21"/>
  <c r="V51" i="21"/>
  <c r="AW87" i="23"/>
  <c r="AX87" i="23"/>
  <c r="AS112" i="23"/>
  <c r="BC112" i="23"/>
  <c r="BE112" i="23"/>
  <c r="BB112" i="23"/>
  <c r="BG112" i="23"/>
  <c r="BA112" i="23"/>
  <c r="AV112" i="23"/>
  <c r="I134" i="21"/>
  <c r="S134" i="21"/>
  <c r="AC134" i="21"/>
  <c r="J134" i="21"/>
  <c r="T134" i="21"/>
  <c r="AD134" i="21"/>
  <c r="A134" i="21"/>
  <c r="K134" i="21"/>
  <c r="AX134" i="21" s="1"/>
  <c r="U134" i="21"/>
  <c r="AE134" i="21"/>
  <c r="H134" i="21"/>
  <c r="R134" i="21"/>
  <c r="AB134" i="21"/>
  <c r="G134" i="21"/>
  <c r="Y134" i="21"/>
  <c r="L134" i="21"/>
  <c r="Z134" i="21"/>
  <c r="M134" i="21"/>
  <c r="AA134" i="21"/>
  <c r="F134" i="21"/>
  <c r="X134" i="21"/>
  <c r="E134" i="21"/>
  <c r="AI134" i="21"/>
  <c r="AW134" i="21" s="1"/>
  <c r="N134" i="21"/>
  <c r="AJ134" i="21"/>
  <c r="O134" i="21"/>
  <c r="AK134" i="21"/>
  <c r="P134" i="21"/>
  <c r="D134" i="21"/>
  <c r="AH134" i="21"/>
  <c r="AG134" i="21"/>
  <c r="AQ134" i="21" s="1"/>
  <c r="B134" i="21"/>
  <c r="C134" i="21"/>
  <c r="Q134" i="21"/>
  <c r="V134" i="21"/>
  <c r="W134" i="21"/>
  <c r="AF134" i="21"/>
  <c r="AN134" i="21" s="1"/>
  <c r="X45" i="23"/>
  <c r="AH149" i="23"/>
  <c r="BG116" i="23"/>
  <c r="BB116" i="23"/>
  <c r="BC116" i="23"/>
  <c r="BA116" i="23"/>
  <c r="AS116" i="23"/>
  <c r="AV116" i="23"/>
  <c r="BE116" i="23"/>
  <c r="F138" i="21"/>
  <c r="P138" i="21"/>
  <c r="Z138" i="21"/>
  <c r="AJ138" i="21"/>
  <c r="G138" i="21"/>
  <c r="Q138" i="21"/>
  <c r="AA138" i="21"/>
  <c r="AK138" i="21"/>
  <c r="H138" i="21"/>
  <c r="R138" i="21"/>
  <c r="AB138" i="21"/>
  <c r="E138" i="21"/>
  <c r="O138" i="21"/>
  <c r="Y138" i="21"/>
  <c r="AI138" i="21"/>
  <c r="AW138" i="21" s="1"/>
  <c r="C138" i="21"/>
  <c r="U138" i="21"/>
  <c r="D138" i="21"/>
  <c r="V138" i="21"/>
  <c r="I138" i="21"/>
  <c r="W138" i="21"/>
  <c r="B138" i="21"/>
  <c r="T138" i="21"/>
  <c r="AH138" i="21"/>
  <c r="AC138" i="21"/>
  <c r="AD138" i="21"/>
  <c r="A138" i="21"/>
  <c r="AE138" i="21"/>
  <c r="J138" i="21"/>
  <c r="AF138" i="21"/>
  <c r="AN138" i="21" s="1"/>
  <c r="X138" i="21"/>
  <c r="AG138" i="21"/>
  <c r="AQ138" i="21" s="1"/>
  <c r="K138" i="21"/>
  <c r="AX138" i="21" s="1"/>
  <c r="L138" i="21"/>
  <c r="M138" i="21"/>
  <c r="N138" i="21"/>
  <c r="S138" i="21"/>
  <c r="X102" i="23"/>
  <c r="AF102" i="23"/>
  <c r="AV102" i="23"/>
  <c r="BG102" i="23"/>
  <c r="BE102" i="23"/>
  <c r="BC102" i="23"/>
  <c r="AS102" i="23"/>
  <c r="BA102" i="23"/>
  <c r="G124" i="21"/>
  <c r="Q124" i="21"/>
  <c r="AA124" i="21"/>
  <c r="AK124" i="21"/>
  <c r="H124" i="21"/>
  <c r="R124" i="21"/>
  <c r="AB124" i="21"/>
  <c r="I124" i="21"/>
  <c r="S124" i="21"/>
  <c r="AC124" i="21"/>
  <c r="BB102" i="23"/>
  <c r="F124" i="21"/>
  <c r="P124" i="21"/>
  <c r="Z124" i="21"/>
  <c r="AJ124" i="21"/>
  <c r="N124" i="21"/>
  <c r="AF124" i="21"/>
  <c r="AN124" i="21" s="1"/>
  <c r="A124" i="21"/>
  <c r="O124" i="21"/>
  <c r="AG124" i="21"/>
  <c r="AQ124" i="21" s="1"/>
  <c r="B124" i="21"/>
  <c r="T124" i="21"/>
  <c r="AH124" i="21"/>
  <c r="M124" i="21"/>
  <c r="AE124" i="21"/>
  <c r="J124" i="21"/>
  <c r="K124" i="21"/>
  <c r="AX124" i="21" s="1"/>
  <c r="L124" i="21"/>
  <c r="U124" i="21"/>
  <c r="W124" i="21"/>
  <c r="X124" i="21"/>
  <c r="C124" i="21"/>
  <c r="Y124" i="21"/>
  <c r="D124" i="21"/>
  <c r="AD124" i="21"/>
  <c r="E124" i="21"/>
  <c r="AI124" i="21"/>
  <c r="AW124" i="21" s="1"/>
  <c r="V124" i="21"/>
  <c r="AH57" i="23"/>
  <c r="S137" i="23"/>
  <c r="AF137" i="23"/>
  <c r="S167" i="23"/>
  <c r="AF167" i="23"/>
  <c r="AH139" i="23"/>
  <c r="L163" i="23"/>
  <c r="BA157" i="23"/>
  <c r="BB157" i="23"/>
  <c r="BC157" i="23"/>
  <c r="BE157" i="23"/>
  <c r="AV157" i="23"/>
  <c r="BG157" i="23"/>
  <c r="AS157" i="23"/>
  <c r="G179" i="21"/>
  <c r="Q179" i="21"/>
  <c r="AA179" i="21"/>
  <c r="AK179" i="21"/>
  <c r="D179" i="21"/>
  <c r="O179" i="21"/>
  <c r="Z179" i="21"/>
  <c r="E179" i="21"/>
  <c r="P179" i="21"/>
  <c r="AB179" i="21"/>
  <c r="F179" i="21"/>
  <c r="R179" i="21"/>
  <c r="AC179" i="21"/>
  <c r="C179" i="21"/>
  <c r="N179" i="21"/>
  <c r="Y179" i="21"/>
  <c r="AJ179" i="21"/>
  <c r="L179" i="21"/>
  <c r="AF179" i="21"/>
  <c r="AN179" i="21" s="1"/>
  <c r="M179" i="21"/>
  <c r="AG179" i="21"/>
  <c r="AQ179" i="21" s="1"/>
  <c r="S179" i="21"/>
  <c r="AH179" i="21"/>
  <c r="T179" i="21"/>
  <c r="AI179" i="21"/>
  <c r="AW179" i="21" s="1"/>
  <c r="K179" i="21"/>
  <c r="AX179" i="21" s="1"/>
  <c r="AE179" i="21"/>
  <c r="J179" i="21"/>
  <c r="U179" i="21"/>
  <c r="V179" i="21"/>
  <c r="W179" i="21"/>
  <c r="X179" i="21"/>
  <c r="AD179" i="21"/>
  <c r="A179" i="21"/>
  <c r="B179" i="21"/>
  <c r="H179" i="21"/>
  <c r="I179" i="21"/>
  <c r="AX164" i="23"/>
  <c r="AW164" i="23"/>
  <c r="BG192" i="23"/>
  <c r="AV192" i="23"/>
  <c r="BA192" i="23"/>
  <c r="BB192" i="23"/>
  <c r="BC192" i="23"/>
  <c r="AS192" i="23"/>
  <c r="J214" i="21"/>
  <c r="T214" i="21"/>
  <c r="AD214" i="21"/>
  <c r="A214" i="21"/>
  <c r="K214" i="21"/>
  <c r="AX214" i="21" s="1"/>
  <c r="U214" i="21"/>
  <c r="AE214" i="21"/>
  <c r="B214" i="21"/>
  <c r="L214" i="21"/>
  <c r="V214" i="21"/>
  <c r="AF214" i="21"/>
  <c r="AN214" i="21" s="1"/>
  <c r="BE192" i="23"/>
  <c r="I214" i="21"/>
  <c r="S214" i="21"/>
  <c r="AC214" i="21"/>
  <c r="D214" i="21"/>
  <c r="R214" i="21"/>
  <c r="AJ214" i="21"/>
  <c r="E214" i="21"/>
  <c r="W214" i="21"/>
  <c r="AK214" i="21"/>
  <c r="F214" i="21"/>
  <c r="X214" i="21"/>
  <c r="C214" i="21"/>
  <c r="Q214" i="21"/>
  <c r="AI214" i="21"/>
  <c r="AW214" i="21" s="1"/>
  <c r="M214" i="21"/>
  <c r="N214" i="21"/>
  <c r="O214" i="21"/>
  <c r="P214" i="21"/>
  <c r="Y214" i="21"/>
  <c r="Z214" i="21"/>
  <c r="AA214" i="21"/>
  <c r="AB214" i="21"/>
  <c r="G214" i="21"/>
  <c r="AG214" i="21"/>
  <c r="AQ214" i="21" s="1"/>
  <c r="H214" i="21"/>
  <c r="AH214" i="21"/>
  <c r="O101" i="23"/>
  <c r="X151" i="23"/>
  <c r="X158" i="23"/>
  <c r="F114" i="23"/>
  <c r="F187" i="23"/>
  <c r="AW180" i="23"/>
  <c r="AX180" i="23"/>
  <c r="G188" i="23"/>
  <c r="K188" i="23"/>
  <c r="J188" i="23"/>
  <c r="H188" i="23"/>
  <c r="I188" i="23" s="1"/>
  <c r="X140" i="23"/>
  <c r="S140" i="23"/>
  <c r="AF171" i="23"/>
  <c r="W171" i="23"/>
  <c r="AV70" i="23"/>
  <c r="BB70" i="23"/>
  <c r="BC70" i="23"/>
  <c r="AS70" i="23"/>
  <c r="BA70" i="23"/>
  <c r="BE70" i="23"/>
  <c r="BG70" i="23"/>
  <c r="J92" i="21"/>
  <c r="T92" i="21"/>
  <c r="AD92" i="21"/>
  <c r="A92" i="21"/>
  <c r="K92" i="21"/>
  <c r="AX92" i="21" s="1"/>
  <c r="U92" i="21"/>
  <c r="AE92" i="21"/>
  <c r="B92" i="21"/>
  <c r="L92" i="21"/>
  <c r="V92" i="21"/>
  <c r="AF92" i="21"/>
  <c r="AN92" i="21" s="1"/>
  <c r="I92" i="21"/>
  <c r="S92" i="21"/>
  <c r="AC92" i="21"/>
  <c r="E92" i="21"/>
  <c r="W92" i="21"/>
  <c r="AK92" i="21"/>
  <c r="F92" i="21"/>
  <c r="X92" i="21"/>
  <c r="G92" i="21"/>
  <c r="Y92" i="21"/>
  <c r="D92" i="21"/>
  <c r="R92" i="21"/>
  <c r="AJ92" i="21"/>
  <c r="H92" i="21"/>
  <c r="AH92" i="21"/>
  <c r="M92" i="21"/>
  <c r="AI92" i="21"/>
  <c r="AW92" i="21" s="1"/>
  <c r="N92" i="21"/>
  <c r="O92" i="21"/>
  <c r="P92" i="21"/>
  <c r="Q92" i="21"/>
  <c r="Z92" i="21"/>
  <c r="AA92" i="21"/>
  <c r="AB92" i="21"/>
  <c r="C92" i="21"/>
  <c r="AG92" i="21"/>
  <c r="AQ92" i="21" s="1"/>
  <c r="AF112" i="23"/>
  <c r="W112" i="23"/>
  <c r="AH28" i="23"/>
  <c r="G92" i="23"/>
  <c r="H92" i="23"/>
  <c r="I92" i="23" s="1"/>
  <c r="J92" i="23"/>
  <c r="K92" i="23"/>
  <c r="G99" i="23"/>
  <c r="H99" i="23"/>
  <c r="I99" i="23" s="1"/>
  <c r="J99" i="23"/>
  <c r="K99" i="23"/>
  <c r="W161" i="23"/>
  <c r="F161" i="23"/>
  <c r="AF161" i="23"/>
  <c r="S161" i="23"/>
  <c r="AH61" i="23"/>
  <c r="AF89" i="23"/>
  <c r="O89" i="23"/>
  <c r="W89" i="23"/>
  <c r="AV133" i="23"/>
  <c r="BB133" i="23"/>
  <c r="BC133" i="23"/>
  <c r="BE133" i="23"/>
  <c r="BA133" i="23"/>
  <c r="AS133" i="23"/>
  <c r="BG133" i="23"/>
  <c r="H155" i="21"/>
  <c r="R155" i="21"/>
  <c r="AB155" i="21"/>
  <c r="I155" i="21"/>
  <c r="S155" i="21"/>
  <c r="AC155" i="21"/>
  <c r="J155" i="21"/>
  <c r="T155" i="21"/>
  <c r="AD155" i="21"/>
  <c r="G155" i="21"/>
  <c r="Q155" i="21"/>
  <c r="AA155" i="21"/>
  <c r="AK155" i="21"/>
  <c r="L155" i="21"/>
  <c r="Z155" i="21"/>
  <c r="M155" i="21"/>
  <c r="AE155" i="21"/>
  <c r="N155" i="21"/>
  <c r="AF155" i="21"/>
  <c r="AN155" i="21" s="1"/>
  <c r="K155" i="21"/>
  <c r="AX155" i="21" s="1"/>
  <c r="Y155" i="21"/>
  <c r="B155" i="21"/>
  <c r="X155" i="21"/>
  <c r="C155" i="21"/>
  <c r="AG155" i="21"/>
  <c r="AQ155" i="21" s="1"/>
  <c r="D155" i="21"/>
  <c r="AH155" i="21"/>
  <c r="AI155" i="21"/>
  <c r="AW155" i="21" s="1"/>
  <c r="A155" i="21"/>
  <c r="W155" i="21"/>
  <c r="AJ155" i="21"/>
  <c r="E155" i="21"/>
  <c r="F155" i="21"/>
  <c r="O155" i="21"/>
  <c r="P155" i="21"/>
  <c r="U155" i="21"/>
  <c r="V155" i="21"/>
  <c r="G121" i="23"/>
  <c r="H121" i="23"/>
  <c r="I121" i="23" s="1"/>
  <c r="J121" i="23"/>
  <c r="K121" i="23"/>
  <c r="AW93" i="23"/>
  <c r="AX93" i="23"/>
  <c r="BB155" i="23"/>
  <c r="AV155" i="23"/>
  <c r="BG155" i="23"/>
  <c r="AS155" i="23"/>
  <c r="I177" i="21"/>
  <c r="S177" i="21"/>
  <c r="AC177" i="21"/>
  <c r="BA155" i="23"/>
  <c r="BC155" i="23"/>
  <c r="H177" i="21"/>
  <c r="T177" i="21"/>
  <c r="AE177" i="21"/>
  <c r="J177" i="21"/>
  <c r="U177" i="21"/>
  <c r="AF177" i="21"/>
  <c r="AN177" i="21" s="1"/>
  <c r="K177" i="21"/>
  <c r="AX177" i="21" s="1"/>
  <c r="V177" i="21"/>
  <c r="AG177" i="21"/>
  <c r="AQ177" i="21" s="1"/>
  <c r="BE155" i="23"/>
  <c r="G177" i="21"/>
  <c r="R177" i="21"/>
  <c r="AD177" i="21"/>
  <c r="C177" i="21"/>
  <c r="W177" i="21"/>
  <c r="D177" i="21"/>
  <c r="X177" i="21"/>
  <c r="E177" i="21"/>
  <c r="Y177" i="21"/>
  <c r="F177" i="21"/>
  <c r="Z177" i="21"/>
  <c r="B177" i="21"/>
  <c r="Q177" i="21"/>
  <c r="AK177" i="21"/>
  <c r="P177" i="21"/>
  <c r="AA177" i="21"/>
  <c r="AB177" i="21"/>
  <c r="AH177" i="21"/>
  <c r="AI177" i="21"/>
  <c r="AW177" i="21" s="1"/>
  <c r="A177" i="21"/>
  <c r="AJ177" i="21"/>
  <c r="L177" i="21"/>
  <c r="M177" i="21"/>
  <c r="N177" i="21"/>
  <c r="O177" i="21"/>
  <c r="AW105" i="23"/>
  <c r="AX105" i="23"/>
  <c r="AS95" i="23"/>
  <c r="BC95" i="23"/>
  <c r="BE95" i="23"/>
  <c r="AV95" i="23"/>
  <c r="BG95" i="23"/>
  <c r="BA95" i="23"/>
  <c r="BB95" i="23"/>
  <c r="J117" i="21"/>
  <c r="T117" i="21"/>
  <c r="AD117" i="21"/>
  <c r="A117" i="21"/>
  <c r="K117" i="21"/>
  <c r="AX117" i="21" s="1"/>
  <c r="U117" i="21"/>
  <c r="AE117" i="21"/>
  <c r="B117" i="21"/>
  <c r="L117" i="21"/>
  <c r="V117" i="21"/>
  <c r="AF117" i="21"/>
  <c r="AN117" i="21" s="1"/>
  <c r="I117" i="21"/>
  <c r="S117" i="21"/>
  <c r="AC117" i="21"/>
  <c r="G117" i="21"/>
  <c r="Y117" i="21"/>
  <c r="H117" i="21"/>
  <c r="Z117" i="21"/>
  <c r="M117" i="21"/>
  <c r="AA117" i="21"/>
  <c r="F117" i="21"/>
  <c r="X117" i="21"/>
  <c r="W117" i="21"/>
  <c r="AB117" i="21"/>
  <c r="C117" i="21"/>
  <c r="AG117" i="21"/>
  <c r="AQ117" i="21" s="1"/>
  <c r="D117" i="21"/>
  <c r="AH117" i="21"/>
  <c r="E117" i="21"/>
  <c r="AI117" i="21"/>
  <c r="AW117" i="21" s="1"/>
  <c r="N117" i="21"/>
  <c r="AJ117" i="21"/>
  <c r="O117" i="21"/>
  <c r="AK117" i="21"/>
  <c r="P117" i="21"/>
  <c r="Q117" i="21"/>
  <c r="R117" i="21"/>
  <c r="AS178" i="23"/>
  <c r="BC178" i="23"/>
  <c r="BE178" i="23"/>
  <c r="BB178" i="23"/>
  <c r="BA178" i="23"/>
  <c r="BG178" i="23"/>
  <c r="AV178" i="23"/>
  <c r="G200" i="21"/>
  <c r="Q200" i="21"/>
  <c r="AA200" i="21"/>
  <c r="AK200" i="21"/>
  <c r="H200" i="21"/>
  <c r="R200" i="21"/>
  <c r="AB200" i="21"/>
  <c r="I200" i="21"/>
  <c r="S200" i="21"/>
  <c r="AC200" i="21"/>
  <c r="F200" i="21"/>
  <c r="P200" i="21"/>
  <c r="Z200" i="21"/>
  <c r="AJ200" i="21"/>
  <c r="K200" i="21"/>
  <c r="AX200" i="21" s="1"/>
  <c r="Y200" i="21"/>
  <c r="L200" i="21"/>
  <c r="AD200" i="21"/>
  <c r="M200" i="21"/>
  <c r="AE200" i="21"/>
  <c r="J200" i="21"/>
  <c r="X200" i="21"/>
  <c r="D200" i="21"/>
  <c r="AH200" i="21"/>
  <c r="E200" i="21"/>
  <c r="AI200" i="21"/>
  <c r="AW200" i="21" s="1"/>
  <c r="N200" i="21"/>
  <c r="O200" i="21"/>
  <c r="T200" i="21"/>
  <c r="U200" i="21"/>
  <c r="V200" i="21"/>
  <c r="A200" i="21"/>
  <c r="W200" i="21"/>
  <c r="B200" i="21"/>
  <c r="AF200" i="21"/>
  <c r="AN200" i="21" s="1"/>
  <c r="C200" i="21"/>
  <c r="AG200" i="21"/>
  <c r="AQ200" i="21" s="1"/>
  <c r="AW135" i="23"/>
  <c r="AX135" i="23"/>
  <c r="BA143" i="23"/>
  <c r="AV143" i="23"/>
  <c r="AS143" i="23"/>
  <c r="BG143" i="23"/>
  <c r="BB143" i="23"/>
  <c r="G165" i="21"/>
  <c r="Q165" i="21"/>
  <c r="AA165" i="21"/>
  <c r="AK165" i="21"/>
  <c r="BC143" i="23"/>
  <c r="BE143" i="23"/>
  <c r="F165" i="21"/>
  <c r="R165" i="21"/>
  <c r="AC165" i="21"/>
  <c r="H165" i="21"/>
  <c r="S165" i="21"/>
  <c r="AD165" i="21"/>
  <c r="I165" i="21"/>
  <c r="T165" i="21"/>
  <c r="AE165" i="21"/>
  <c r="E165" i="21"/>
  <c r="P165" i="21"/>
  <c r="AB165" i="21"/>
  <c r="K165" i="21"/>
  <c r="AX165" i="21" s="1"/>
  <c r="Z165" i="21"/>
  <c r="L165" i="21"/>
  <c r="AF165" i="21"/>
  <c r="AN165" i="21" s="1"/>
  <c r="M165" i="21"/>
  <c r="AG165" i="21"/>
  <c r="AQ165" i="21" s="1"/>
  <c r="N165" i="21"/>
  <c r="AH165" i="21"/>
  <c r="J165" i="21"/>
  <c r="Y165" i="21"/>
  <c r="U165" i="21"/>
  <c r="V165" i="21"/>
  <c r="W165" i="21"/>
  <c r="X165" i="21"/>
  <c r="AI165" i="21"/>
  <c r="AW165" i="21" s="1"/>
  <c r="A165" i="21"/>
  <c r="AJ165" i="21"/>
  <c r="B165" i="21"/>
  <c r="C165" i="21"/>
  <c r="D165" i="21"/>
  <c r="O165" i="21"/>
  <c r="AH163" i="23"/>
  <c r="L173" i="23"/>
  <c r="AH158" i="23"/>
  <c r="AH114" i="23"/>
  <c r="S114" i="23"/>
  <c r="BE169" i="23"/>
  <c r="AV169" i="23"/>
  <c r="AS169" i="23"/>
  <c r="BC169" i="23"/>
  <c r="BA169" i="23"/>
  <c r="BB169" i="23"/>
  <c r="BG169" i="23"/>
  <c r="A191" i="21"/>
  <c r="K191" i="21"/>
  <c r="AX191" i="21" s="1"/>
  <c r="U191" i="21"/>
  <c r="AE191" i="21"/>
  <c r="B191" i="21"/>
  <c r="L191" i="21"/>
  <c r="V191" i="21"/>
  <c r="AF191" i="21"/>
  <c r="AN191" i="21" s="1"/>
  <c r="C191" i="21"/>
  <c r="M191" i="21"/>
  <c r="W191" i="21"/>
  <c r="AG191" i="21"/>
  <c r="AQ191" i="21" s="1"/>
  <c r="J191" i="21"/>
  <c r="T191" i="21"/>
  <c r="AD191" i="21"/>
  <c r="E191" i="21"/>
  <c r="S191" i="21"/>
  <c r="AK191" i="21"/>
  <c r="F191" i="21"/>
  <c r="X191" i="21"/>
  <c r="G191" i="21"/>
  <c r="Y191" i="21"/>
  <c r="D191" i="21"/>
  <c r="R191" i="21"/>
  <c r="AJ191" i="21"/>
  <c r="N191" i="21"/>
  <c r="Z191" i="21"/>
  <c r="O191" i="21"/>
  <c r="P191" i="21"/>
  <c r="Q191" i="21"/>
  <c r="AA191" i="21"/>
  <c r="AB191" i="21"/>
  <c r="AC191" i="21"/>
  <c r="H191" i="21"/>
  <c r="AH191" i="21"/>
  <c r="I191" i="21"/>
  <c r="AI191" i="21"/>
  <c r="AW191" i="21" s="1"/>
  <c r="J176" i="23"/>
  <c r="K176" i="23"/>
  <c r="G176" i="23"/>
  <c r="H176" i="23"/>
  <c r="I176" i="23" s="1"/>
  <c r="AH169" i="23"/>
  <c r="F140" i="23"/>
  <c r="J177" i="23"/>
  <c r="K177" i="23"/>
  <c r="H177" i="23"/>
  <c r="I177" i="23" s="1"/>
  <c r="G177" i="23"/>
  <c r="S171" i="23"/>
  <c r="AV40" i="23"/>
  <c r="BA40" i="23"/>
  <c r="BB40" i="23"/>
  <c r="BE40" i="23"/>
  <c r="BG40" i="23"/>
  <c r="BC40" i="23"/>
  <c r="AS40" i="23"/>
  <c r="G62" i="21"/>
  <c r="Q62" i="21"/>
  <c r="AA62" i="21"/>
  <c r="AK62" i="21"/>
  <c r="H62" i="21"/>
  <c r="R62" i="21"/>
  <c r="AB62" i="21"/>
  <c r="I62" i="21"/>
  <c r="S62" i="21"/>
  <c r="AC62" i="21"/>
  <c r="F62" i="21"/>
  <c r="P62" i="21"/>
  <c r="Z62" i="21"/>
  <c r="AJ62" i="21"/>
  <c r="B62" i="21"/>
  <c r="T62" i="21"/>
  <c r="AH62" i="21"/>
  <c r="C62" i="21"/>
  <c r="U62" i="21"/>
  <c r="AI62" i="21"/>
  <c r="AW62" i="21" s="1"/>
  <c r="D62" i="21"/>
  <c r="V62" i="21"/>
  <c r="A62" i="21"/>
  <c r="O62" i="21"/>
  <c r="AG62" i="21"/>
  <c r="AQ62" i="21" s="1"/>
  <c r="L62" i="21"/>
  <c r="M62" i="21"/>
  <c r="N62" i="21"/>
  <c r="W62" i="21"/>
  <c r="X62" i="21"/>
  <c r="Y62" i="21"/>
  <c r="AD62" i="21"/>
  <c r="E62" i="21"/>
  <c r="AE62" i="21"/>
  <c r="J62" i="21"/>
  <c r="AF62" i="21"/>
  <c r="AN62" i="21" s="1"/>
  <c r="K62" i="21"/>
  <c r="AX62" i="21" s="1"/>
  <c r="G71" i="23"/>
  <c r="H71" i="23"/>
  <c r="I71" i="23" s="1"/>
  <c r="K71" i="23"/>
  <c r="J71" i="23"/>
  <c r="AF66" i="23"/>
  <c r="S66" i="23"/>
  <c r="S112" i="23"/>
  <c r="J131" i="23"/>
  <c r="K131" i="23"/>
  <c r="H131" i="23"/>
  <c r="I131" i="23" s="1"/>
  <c r="G131" i="23"/>
  <c r="S28" i="23"/>
  <c r="AH92" i="23"/>
  <c r="AH129" i="23"/>
  <c r="X112" i="23"/>
  <c r="AW126" i="23"/>
  <c r="AX126" i="23"/>
  <c r="X161" i="23"/>
  <c r="AH45" i="23"/>
  <c r="X61" i="23"/>
  <c r="G113" i="23"/>
  <c r="H113" i="23"/>
  <c r="I113" i="23" s="1"/>
  <c r="J113" i="23"/>
  <c r="K113" i="23"/>
  <c r="AX82" i="23"/>
  <c r="AW82" i="23"/>
  <c r="K116" i="23"/>
  <c r="G116" i="23"/>
  <c r="H116" i="23"/>
  <c r="I116" i="23" s="1"/>
  <c r="J116" i="23"/>
  <c r="BB141" i="23"/>
  <c r="AV141" i="23"/>
  <c r="BG141" i="23"/>
  <c r="AS141" i="23"/>
  <c r="BA141" i="23"/>
  <c r="J163" i="21"/>
  <c r="T163" i="21"/>
  <c r="AD163" i="21"/>
  <c r="BE141" i="23"/>
  <c r="A163" i="21"/>
  <c r="K163" i="21"/>
  <c r="AX163" i="21" s="1"/>
  <c r="BC141" i="23"/>
  <c r="L163" i="21"/>
  <c r="W163" i="21"/>
  <c r="AH163" i="21"/>
  <c r="M163" i="21"/>
  <c r="X163" i="21"/>
  <c r="AI163" i="21"/>
  <c r="AW163" i="21" s="1"/>
  <c r="B163" i="21"/>
  <c r="N163" i="21"/>
  <c r="Y163" i="21"/>
  <c r="AJ163" i="21"/>
  <c r="I163" i="21"/>
  <c r="V163" i="21"/>
  <c r="AG163" i="21"/>
  <c r="AQ163" i="21" s="1"/>
  <c r="R163" i="21"/>
  <c r="C163" i="21"/>
  <c r="S163" i="21"/>
  <c r="D163" i="21"/>
  <c r="U163" i="21"/>
  <c r="E163" i="21"/>
  <c r="Z163" i="21"/>
  <c r="Q163" i="21"/>
  <c r="AK163" i="21"/>
  <c r="AB163" i="21"/>
  <c r="AC163" i="21"/>
  <c r="AE163" i="21"/>
  <c r="AF163" i="21"/>
  <c r="AN163" i="21" s="1"/>
  <c r="F163" i="21"/>
  <c r="G163" i="21"/>
  <c r="H163" i="21"/>
  <c r="O163" i="21"/>
  <c r="P163" i="21"/>
  <c r="AA163" i="21"/>
  <c r="AX115" i="23"/>
  <c r="AW115" i="23"/>
  <c r="BE189" i="23"/>
  <c r="AV189" i="23"/>
  <c r="AS189" i="23"/>
  <c r="BC189" i="23"/>
  <c r="BA189" i="23"/>
  <c r="BB189" i="23"/>
  <c r="BG189" i="23"/>
  <c r="E211" i="21"/>
  <c r="O211" i="21"/>
  <c r="Y211" i="21"/>
  <c r="AI211" i="21"/>
  <c r="AW211" i="21" s="1"/>
  <c r="F211" i="21"/>
  <c r="P211" i="21"/>
  <c r="Z211" i="21"/>
  <c r="AJ211" i="21"/>
  <c r="G211" i="21"/>
  <c r="Q211" i="21"/>
  <c r="AA211" i="21"/>
  <c r="AK211" i="21"/>
  <c r="D211" i="21"/>
  <c r="N211" i="21"/>
  <c r="X211" i="21"/>
  <c r="AH211" i="21"/>
  <c r="I211" i="21"/>
  <c r="W211" i="21"/>
  <c r="J211" i="21"/>
  <c r="AB211" i="21"/>
  <c r="K211" i="21"/>
  <c r="AX211" i="21" s="1"/>
  <c r="AC211" i="21"/>
  <c r="H211" i="21"/>
  <c r="V211" i="21"/>
  <c r="M211" i="21"/>
  <c r="R211" i="21"/>
  <c r="S211" i="21"/>
  <c r="T211" i="21"/>
  <c r="U211" i="21"/>
  <c r="AD211" i="21"/>
  <c r="A211" i="21"/>
  <c r="AE211" i="21"/>
  <c r="B211" i="21"/>
  <c r="AF211" i="21"/>
  <c r="AN211" i="21" s="1"/>
  <c r="C211" i="21"/>
  <c r="AG211" i="21"/>
  <c r="AQ211" i="21" s="1"/>
  <c r="L211" i="21"/>
  <c r="AW191" i="23"/>
  <c r="AY191" i="23" s="1"/>
  <c r="AX191" i="23"/>
  <c r="AV137" i="23"/>
  <c r="BG137" i="23"/>
  <c r="BE137" i="23"/>
  <c r="BC137" i="23"/>
  <c r="AS137" i="23"/>
  <c r="BB137" i="23"/>
  <c r="B159" i="21"/>
  <c r="L159" i="21"/>
  <c r="V159" i="21"/>
  <c r="AF159" i="21"/>
  <c r="AN159" i="21" s="1"/>
  <c r="C159" i="21"/>
  <c r="M159" i="21"/>
  <c r="W159" i="21"/>
  <c r="AG159" i="21"/>
  <c r="AQ159" i="21" s="1"/>
  <c r="D159" i="21"/>
  <c r="N159" i="21"/>
  <c r="X159" i="21"/>
  <c r="AH159" i="21"/>
  <c r="BA137" i="23"/>
  <c r="A159" i="21"/>
  <c r="K159" i="21"/>
  <c r="AX159" i="21" s="1"/>
  <c r="U159" i="21"/>
  <c r="AE159" i="21"/>
  <c r="R159" i="21"/>
  <c r="AJ159" i="21"/>
  <c r="E159" i="21"/>
  <c r="S159" i="21"/>
  <c r="AK159" i="21"/>
  <c r="F159" i="21"/>
  <c r="T159" i="21"/>
  <c r="Q159" i="21"/>
  <c r="AI159" i="21"/>
  <c r="AW159" i="21" s="1"/>
  <c r="Y159" i="21"/>
  <c r="Z159" i="21"/>
  <c r="AA159" i="21"/>
  <c r="AB159" i="21"/>
  <c r="P159" i="21"/>
  <c r="G159" i="21"/>
  <c r="H159" i="21"/>
  <c r="I159" i="21"/>
  <c r="J159" i="21"/>
  <c r="O159" i="21"/>
  <c r="AC159" i="21"/>
  <c r="AD159" i="21"/>
  <c r="BA148" i="23"/>
  <c r="AV148" i="23"/>
  <c r="BG148" i="23"/>
  <c r="AS148" i="23"/>
  <c r="BB148" i="23"/>
  <c r="A170" i="21"/>
  <c r="K170" i="21"/>
  <c r="AX170" i="21" s="1"/>
  <c r="U170" i="21"/>
  <c r="AE170" i="21"/>
  <c r="BC148" i="23"/>
  <c r="BE148" i="23"/>
  <c r="C170" i="21"/>
  <c r="N170" i="21"/>
  <c r="Y170" i="21"/>
  <c r="AJ170" i="21"/>
  <c r="D170" i="21"/>
  <c r="O170" i="21"/>
  <c r="Z170" i="21"/>
  <c r="AK170" i="21"/>
  <c r="E170" i="21"/>
  <c r="P170" i="21"/>
  <c r="AA170" i="21"/>
  <c r="B170" i="21"/>
  <c r="M170" i="21"/>
  <c r="X170" i="21"/>
  <c r="AI170" i="21"/>
  <c r="AW170" i="21" s="1"/>
  <c r="Q170" i="21"/>
  <c r="AG170" i="21"/>
  <c r="AQ170" i="21" s="1"/>
  <c r="R170" i="21"/>
  <c r="AH170" i="21"/>
  <c r="S170" i="21"/>
  <c r="T170" i="21"/>
  <c r="L170" i="21"/>
  <c r="AF170" i="21"/>
  <c r="AN170" i="21" s="1"/>
  <c r="H170" i="21"/>
  <c r="I170" i="21"/>
  <c r="J170" i="21"/>
  <c r="V170" i="21"/>
  <c r="W170" i="21"/>
  <c r="AB170" i="21"/>
  <c r="AC170" i="21"/>
  <c r="AD170" i="21"/>
  <c r="F170" i="21"/>
  <c r="G170" i="21"/>
  <c r="AX147" i="23"/>
  <c r="AW147" i="23"/>
  <c r="AW124" i="23"/>
  <c r="AX124" i="23"/>
  <c r="AF192" i="23"/>
  <c r="O192" i="23"/>
  <c r="AH101" i="23"/>
  <c r="AF151" i="23"/>
  <c r="O151" i="23"/>
  <c r="AX73" i="23"/>
  <c r="AW73" i="23"/>
  <c r="AW181" i="23"/>
  <c r="AX181" i="23"/>
  <c r="BB187" i="23"/>
  <c r="AS187" i="23"/>
  <c r="BC187" i="23"/>
  <c r="BA187" i="23"/>
  <c r="BE187" i="23"/>
  <c r="BG187" i="23"/>
  <c r="F209" i="21"/>
  <c r="P209" i="21"/>
  <c r="Z209" i="21"/>
  <c r="AJ209" i="21"/>
  <c r="G209" i="21"/>
  <c r="Q209" i="21"/>
  <c r="AA209" i="21"/>
  <c r="AK209" i="21"/>
  <c r="H209" i="21"/>
  <c r="R209" i="21"/>
  <c r="AB209" i="21"/>
  <c r="AV187" i="23"/>
  <c r="E209" i="21"/>
  <c r="O209" i="21"/>
  <c r="Y209" i="21"/>
  <c r="AI209" i="21"/>
  <c r="AW209" i="21" s="1"/>
  <c r="D209" i="21"/>
  <c r="V209" i="21"/>
  <c r="I209" i="21"/>
  <c r="W209" i="21"/>
  <c r="J209" i="21"/>
  <c r="X209" i="21"/>
  <c r="C209" i="21"/>
  <c r="U209" i="21"/>
  <c r="L209" i="21"/>
  <c r="AH209" i="21"/>
  <c r="M209" i="21"/>
  <c r="N209" i="21"/>
  <c r="S209" i="21"/>
  <c r="T209" i="21"/>
  <c r="AC209" i="21"/>
  <c r="AD209" i="21"/>
  <c r="A209" i="21"/>
  <c r="AE209" i="21"/>
  <c r="B209" i="21"/>
  <c r="AF209" i="21"/>
  <c r="AN209" i="21" s="1"/>
  <c r="K209" i="21"/>
  <c r="AX209" i="21" s="1"/>
  <c r="AG209" i="21"/>
  <c r="AQ209" i="21" s="1"/>
  <c r="AH176" i="23"/>
  <c r="BA118" i="23"/>
  <c r="BB118" i="23"/>
  <c r="BC118" i="23"/>
  <c r="BE118" i="23"/>
  <c r="AV118" i="23"/>
  <c r="BG118" i="23"/>
  <c r="AS118" i="23"/>
  <c r="C140" i="21"/>
  <c r="M140" i="21"/>
  <c r="W140" i="21"/>
  <c r="AG140" i="21"/>
  <c r="AQ140" i="21" s="1"/>
  <c r="D140" i="21"/>
  <c r="N140" i="21"/>
  <c r="X140" i="21"/>
  <c r="AH140" i="21"/>
  <c r="E140" i="21"/>
  <c r="O140" i="21"/>
  <c r="Y140" i="21"/>
  <c r="AI140" i="21"/>
  <c r="AW140" i="21" s="1"/>
  <c r="B140" i="21"/>
  <c r="L140" i="21"/>
  <c r="V140" i="21"/>
  <c r="AF140" i="21"/>
  <c r="AN140" i="21" s="1"/>
  <c r="J140" i="21"/>
  <c r="AB140" i="21"/>
  <c r="K140" i="21"/>
  <c r="AX140" i="21" s="1"/>
  <c r="AC140" i="21"/>
  <c r="P140" i="21"/>
  <c r="AD140" i="21"/>
  <c r="I140" i="21"/>
  <c r="AA140" i="21"/>
  <c r="R140" i="21"/>
  <c r="S140" i="21"/>
  <c r="T140" i="21"/>
  <c r="U140" i="21"/>
  <c r="Q140" i="21"/>
  <c r="A140" i="21"/>
  <c r="F140" i="21"/>
  <c r="G140" i="21"/>
  <c r="H140" i="21"/>
  <c r="Z140" i="21"/>
  <c r="AE140" i="21"/>
  <c r="AJ140" i="21"/>
  <c r="AK140" i="21"/>
  <c r="AX107" i="23"/>
  <c r="AW107" i="23"/>
  <c r="AH160" i="23"/>
  <c r="F160" i="23"/>
  <c r="AS188" i="23"/>
  <c r="BC188" i="23"/>
  <c r="BE188" i="23"/>
  <c r="BB188" i="23"/>
  <c r="BG188" i="23"/>
  <c r="BA188" i="23"/>
  <c r="E210" i="21"/>
  <c r="O210" i="21"/>
  <c r="Y210" i="21"/>
  <c r="AI210" i="21"/>
  <c r="AW210" i="21" s="1"/>
  <c r="AV188" i="23"/>
  <c r="F210" i="21"/>
  <c r="P210" i="21"/>
  <c r="Z210" i="21"/>
  <c r="AJ210" i="21"/>
  <c r="G210" i="21"/>
  <c r="Q210" i="21"/>
  <c r="AA210" i="21"/>
  <c r="AK210" i="21"/>
  <c r="D210" i="21"/>
  <c r="N210" i="21"/>
  <c r="X210" i="21"/>
  <c r="AH210" i="21"/>
  <c r="M210" i="21"/>
  <c r="AE210" i="21"/>
  <c r="R210" i="21"/>
  <c r="AF210" i="21"/>
  <c r="AN210" i="21" s="1"/>
  <c r="A210" i="21"/>
  <c r="S210" i="21"/>
  <c r="AG210" i="21"/>
  <c r="AQ210" i="21" s="1"/>
  <c r="L210" i="21"/>
  <c r="AD210" i="21"/>
  <c r="W210" i="21"/>
  <c r="B210" i="21"/>
  <c r="AB210" i="21"/>
  <c r="C210" i="21"/>
  <c r="AC210" i="21"/>
  <c r="H210" i="21"/>
  <c r="I210" i="21"/>
  <c r="J210" i="21"/>
  <c r="K210" i="21"/>
  <c r="AX210" i="21" s="1"/>
  <c r="T210" i="21"/>
  <c r="U210" i="21"/>
  <c r="V210" i="21"/>
  <c r="W140" i="23"/>
  <c r="AV171" i="23"/>
  <c r="BG171" i="23"/>
  <c r="BE171" i="23"/>
  <c r="BC171" i="23"/>
  <c r="AS171" i="23"/>
  <c r="BA171" i="23"/>
  <c r="BB171" i="23"/>
  <c r="G193" i="21"/>
  <c r="Q193" i="21"/>
  <c r="AA193" i="21"/>
  <c r="AK193" i="21"/>
  <c r="H193" i="21"/>
  <c r="R193" i="21"/>
  <c r="AB193" i="21"/>
  <c r="I193" i="21"/>
  <c r="S193" i="21"/>
  <c r="AC193" i="21"/>
  <c r="F193" i="21"/>
  <c r="P193" i="21"/>
  <c r="Z193" i="21"/>
  <c r="AJ193" i="21"/>
  <c r="N193" i="21"/>
  <c r="AF193" i="21"/>
  <c r="AN193" i="21" s="1"/>
  <c r="A193" i="21"/>
  <c r="O193" i="21"/>
  <c r="AG193" i="21"/>
  <c r="AQ193" i="21" s="1"/>
  <c r="B193" i="21"/>
  <c r="T193" i="21"/>
  <c r="AH193" i="21"/>
  <c r="M193" i="21"/>
  <c r="AE193" i="21"/>
  <c r="J193" i="21"/>
  <c r="K193" i="21"/>
  <c r="AX193" i="21" s="1"/>
  <c r="L193" i="21"/>
  <c r="U193" i="21"/>
  <c r="V193" i="21"/>
  <c r="W193" i="21"/>
  <c r="X193" i="21"/>
  <c r="C193" i="21"/>
  <c r="Y193" i="21"/>
  <c r="D193" i="21"/>
  <c r="AD193" i="21"/>
  <c r="E193" i="21"/>
  <c r="AI193" i="21"/>
  <c r="AW193" i="21" s="1"/>
  <c r="AW150" i="23"/>
  <c r="AX150" i="23"/>
  <c r="AY150" i="23"/>
  <c r="AH140" i="23"/>
  <c r="BB177" i="23"/>
  <c r="AS177" i="23"/>
  <c r="BC177" i="23"/>
  <c r="BA177" i="23"/>
  <c r="BE177" i="23"/>
  <c r="BG177" i="23"/>
  <c r="H199" i="21"/>
  <c r="R199" i="21"/>
  <c r="AB199" i="21"/>
  <c r="I199" i="21"/>
  <c r="S199" i="21"/>
  <c r="AC199" i="21"/>
  <c r="J199" i="21"/>
  <c r="T199" i="21"/>
  <c r="AD199" i="21"/>
  <c r="AV177" i="23"/>
  <c r="G199" i="21"/>
  <c r="Q199" i="21"/>
  <c r="AA199" i="21"/>
  <c r="AK199" i="21"/>
  <c r="B199" i="21"/>
  <c r="P199" i="21"/>
  <c r="AH199" i="21"/>
  <c r="C199" i="21"/>
  <c r="U199" i="21"/>
  <c r="AI199" i="21"/>
  <c r="AW199" i="21" s="1"/>
  <c r="D199" i="21"/>
  <c r="V199" i="21"/>
  <c r="AJ199" i="21"/>
  <c r="A199" i="21"/>
  <c r="O199" i="21"/>
  <c r="AG199" i="21"/>
  <c r="AQ199" i="21" s="1"/>
  <c r="W199" i="21"/>
  <c r="X199" i="21"/>
  <c r="Y199" i="21"/>
  <c r="Z199" i="21"/>
  <c r="E199" i="21"/>
  <c r="AE199" i="21"/>
  <c r="F199" i="21"/>
  <c r="AF199" i="21"/>
  <c r="AN199" i="21" s="1"/>
  <c r="K199" i="21"/>
  <c r="AX199" i="21" s="1"/>
  <c r="L199" i="21"/>
  <c r="M199" i="21"/>
  <c r="N199" i="21"/>
  <c r="BE62" i="23"/>
  <c r="AV62" i="23"/>
  <c r="BG62" i="23"/>
  <c r="AS62" i="23"/>
  <c r="BC62" i="23"/>
  <c r="BB62" i="23"/>
  <c r="G84" i="21"/>
  <c r="Q84" i="21"/>
  <c r="AA84" i="21"/>
  <c r="AK84" i="21"/>
  <c r="H84" i="21"/>
  <c r="R84" i="21"/>
  <c r="AB84" i="21"/>
  <c r="I84" i="21"/>
  <c r="S84" i="21"/>
  <c r="AC84" i="21"/>
  <c r="BA62" i="23"/>
  <c r="F84" i="21"/>
  <c r="P84" i="21"/>
  <c r="Z84" i="21"/>
  <c r="AJ84" i="21"/>
  <c r="E84" i="21"/>
  <c r="W84" i="21"/>
  <c r="J84" i="21"/>
  <c r="X84" i="21"/>
  <c r="K84" i="21"/>
  <c r="AX84" i="21" s="1"/>
  <c r="Y84" i="21"/>
  <c r="D84" i="21"/>
  <c r="V84" i="21"/>
  <c r="A84" i="21"/>
  <c r="AE84" i="21"/>
  <c r="B84" i="21"/>
  <c r="AF84" i="21"/>
  <c r="AN84" i="21" s="1"/>
  <c r="C84" i="21"/>
  <c r="AG84" i="21"/>
  <c r="AQ84" i="21" s="1"/>
  <c r="L84" i="21"/>
  <c r="AH84" i="21"/>
  <c r="M84" i="21"/>
  <c r="AI84" i="21"/>
  <c r="AW84" i="21" s="1"/>
  <c r="N84" i="21"/>
  <c r="O84" i="21"/>
  <c r="T84" i="21"/>
  <c r="U84" i="21"/>
  <c r="AD84" i="21"/>
  <c r="AS47" i="23"/>
  <c r="BC47" i="23"/>
  <c r="BA47" i="23"/>
  <c r="BB47" i="23"/>
  <c r="BG47" i="23"/>
  <c r="BE47" i="23"/>
  <c r="AV47" i="23"/>
  <c r="F69" i="21"/>
  <c r="P69" i="21"/>
  <c r="Z69" i="21"/>
  <c r="AJ69" i="21"/>
  <c r="G69" i="21"/>
  <c r="Q69" i="21"/>
  <c r="AA69" i="21"/>
  <c r="AK69" i="21"/>
  <c r="H69" i="21"/>
  <c r="R69" i="21"/>
  <c r="AB69" i="21"/>
  <c r="E69" i="21"/>
  <c r="O69" i="21"/>
  <c r="Y69" i="21"/>
  <c r="AI69" i="21"/>
  <c r="AW69" i="21" s="1"/>
  <c r="B69" i="21"/>
  <c r="T69" i="21"/>
  <c r="AH69" i="21"/>
  <c r="C69" i="21"/>
  <c r="U69" i="21"/>
  <c r="D69" i="21"/>
  <c r="V69" i="21"/>
  <c r="A69" i="21"/>
  <c r="S69" i="21"/>
  <c r="AG69" i="21"/>
  <c r="AQ69" i="21" s="1"/>
  <c r="M69" i="21"/>
  <c r="N69" i="21"/>
  <c r="W69" i="21"/>
  <c r="X69" i="21"/>
  <c r="AC69" i="21"/>
  <c r="AD69" i="21"/>
  <c r="I69" i="21"/>
  <c r="AE69" i="21"/>
  <c r="J69" i="21"/>
  <c r="AF69" i="21"/>
  <c r="AN69" i="21" s="1"/>
  <c r="K69" i="21"/>
  <c r="AX69" i="21" s="1"/>
  <c r="L69" i="21"/>
  <c r="AH23" i="23"/>
  <c r="AH52" i="23"/>
  <c r="O85" i="23"/>
  <c r="X85" i="23"/>
  <c r="F85" i="23"/>
  <c r="AF85" i="23"/>
  <c r="AF65" i="23"/>
  <c r="O65" i="23"/>
  <c r="AF88" i="23"/>
  <c r="O88" i="23"/>
  <c r="F88" i="23"/>
  <c r="W88" i="23"/>
  <c r="X88" i="23"/>
  <c r="AS56" i="23"/>
  <c r="BC56" i="23"/>
  <c r="BA56" i="23"/>
  <c r="BB56" i="23"/>
  <c r="BE56" i="23"/>
  <c r="BG56" i="23"/>
  <c r="AV56" i="23"/>
  <c r="G78" i="21"/>
  <c r="Q78" i="21"/>
  <c r="AA78" i="21"/>
  <c r="AK78" i="21"/>
  <c r="H78" i="21"/>
  <c r="R78" i="21"/>
  <c r="AB78" i="21"/>
  <c r="I78" i="21"/>
  <c r="S78" i="21"/>
  <c r="AC78" i="21"/>
  <c r="F78" i="21"/>
  <c r="P78" i="21"/>
  <c r="Z78" i="21"/>
  <c r="AJ78" i="21"/>
  <c r="B78" i="21"/>
  <c r="T78" i="21"/>
  <c r="AH78" i="21"/>
  <c r="C78" i="21"/>
  <c r="U78" i="21"/>
  <c r="AI78" i="21"/>
  <c r="AW78" i="21" s="1"/>
  <c r="D78" i="21"/>
  <c r="V78" i="21"/>
  <c r="A78" i="21"/>
  <c r="O78" i="21"/>
  <c r="AG78" i="21"/>
  <c r="AQ78" i="21" s="1"/>
  <c r="W78" i="21"/>
  <c r="X78" i="21"/>
  <c r="Y78" i="21"/>
  <c r="AD78" i="21"/>
  <c r="E78" i="21"/>
  <c r="AE78" i="21"/>
  <c r="J78" i="21"/>
  <c r="AF78" i="21"/>
  <c r="AN78" i="21" s="1"/>
  <c r="K78" i="21"/>
  <c r="AX78" i="21" s="1"/>
  <c r="L78" i="21"/>
  <c r="M78" i="21"/>
  <c r="N78" i="21"/>
  <c r="I96" i="23"/>
  <c r="H96" i="23"/>
  <c r="J96" i="23"/>
  <c r="K96" i="23"/>
  <c r="G96" i="23"/>
  <c r="J35" i="23"/>
  <c r="G35" i="23"/>
  <c r="H35" i="23"/>
  <c r="I35" i="23" s="1"/>
  <c r="K35" i="23"/>
  <c r="F66" i="23"/>
  <c r="BA110" i="23"/>
  <c r="BB110" i="23"/>
  <c r="AS110" i="23"/>
  <c r="BC110" i="23"/>
  <c r="AV110" i="23"/>
  <c r="BE110" i="23"/>
  <c r="BG110" i="23"/>
  <c r="B132" i="21"/>
  <c r="L132" i="21"/>
  <c r="V132" i="21"/>
  <c r="AF132" i="21"/>
  <c r="AN132" i="21" s="1"/>
  <c r="C132" i="21"/>
  <c r="M132" i="21"/>
  <c r="W132" i="21"/>
  <c r="AG132" i="21"/>
  <c r="AQ132" i="21" s="1"/>
  <c r="D132" i="21"/>
  <c r="N132" i="21"/>
  <c r="X132" i="21"/>
  <c r="AH132" i="21"/>
  <c r="A132" i="21"/>
  <c r="K132" i="21"/>
  <c r="AX132" i="21" s="1"/>
  <c r="U132" i="21"/>
  <c r="AE132" i="21"/>
  <c r="H132" i="21"/>
  <c r="Z132" i="21"/>
  <c r="I132" i="21"/>
  <c r="AA132" i="21"/>
  <c r="J132" i="21"/>
  <c r="AB132" i="21"/>
  <c r="G132" i="21"/>
  <c r="Y132" i="21"/>
  <c r="F132" i="21"/>
  <c r="AJ132" i="21"/>
  <c r="O132" i="21"/>
  <c r="AK132" i="21"/>
  <c r="P132" i="21"/>
  <c r="Q132" i="21"/>
  <c r="T132" i="21"/>
  <c r="E132" i="21"/>
  <c r="AI132" i="21"/>
  <c r="AW132" i="21" s="1"/>
  <c r="R132" i="21"/>
  <c r="S132" i="21"/>
  <c r="AC132" i="21"/>
  <c r="AD132" i="21"/>
  <c r="AS28" i="23"/>
  <c r="BC28" i="23"/>
  <c r="BA28" i="23"/>
  <c r="BB28" i="23"/>
  <c r="BE28" i="23"/>
  <c r="BG28" i="23"/>
  <c r="AV28" i="23"/>
  <c r="F50" i="21"/>
  <c r="P50" i="21"/>
  <c r="Z50" i="21"/>
  <c r="AJ50" i="21"/>
  <c r="G50" i="21"/>
  <c r="Q50" i="21"/>
  <c r="AA50" i="21"/>
  <c r="L50" i="21"/>
  <c r="X50" i="21"/>
  <c r="AK50" i="21"/>
  <c r="A50" i="21"/>
  <c r="M50" i="21"/>
  <c r="Y50" i="21"/>
  <c r="B50" i="21"/>
  <c r="N50" i="21"/>
  <c r="AB50" i="21"/>
  <c r="K50" i="21"/>
  <c r="AX50" i="21" s="1"/>
  <c r="W50" i="21"/>
  <c r="AI50" i="21"/>
  <c r="AW50" i="21" s="1"/>
  <c r="J50" i="21"/>
  <c r="AF50" i="21"/>
  <c r="AN50" i="21" s="1"/>
  <c r="O50" i="21"/>
  <c r="AG50" i="21"/>
  <c r="AQ50" i="21" s="1"/>
  <c r="R50" i="21"/>
  <c r="AH50" i="21"/>
  <c r="S50" i="21"/>
  <c r="I50" i="21"/>
  <c r="AE50" i="21"/>
  <c r="AC50" i="21"/>
  <c r="AD50" i="21"/>
  <c r="C50" i="21"/>
  <c r="D50" i="21"/>
  <c r="E50" i="21"/>
  <c r="H50" i="21"/>
  <c r="T50" i="21"/>
  <c r="U50" i="21"/>
  <c r="V50" i="21"/>
  <c r="BA130" i="23"/>
  <c r="AS130" i="23"/>
  <c r="BC130" i="23"/>
  <c r="AV130" i="23"/>
  <c r="BE130" i="23"/>
  <c r="BB130" i="23"/>
  <c r="BG130" i="23"/>
  <c r="A152" i="21"/>
  <c r="K152" i="21"/>
  <c r="AX152" i="21" s="1"/>
  <c r="U152" i="21"/>
  <c r="AE152" i="21"/>
  <c r="B152" i="21"/>
  <c r="L152" i="21"/>
  <c r="V152" i="21"/>
  <c r="AF152" i="21"/>
  <c r="AN152" i="21" s="1"/>
  <c r="C152" i="21"/>
  <c r="M152" i="21"/>
  <c r="W152" i="21"/>
  <c r="AG152" i="21"/>
  <c r="AQ152" i="21" s="1"/>
  <c r="J152" i="21"/>
  <c r="T152" i="21"/>
  <c r="AD152" i="21"/>
  <c r="I152" i="21"/>
  <c r="AA152" i="21"/>
  <c r="N152" i="21"/>
  <c r="AB152" i="21"/>
  <c r="O152" i="21"/>
  <c r="AC152" i="21"/>
  <c r="H152" i="21"/>
  <c r="Z152" i="21"/>
  <c r="Y152" i="21"/>
  <c r="D152" i="21"/>
  <c r="AH152" i="21"/>
  <c r="E152" i="21"/>
  <c r="AI152" i="21"/>
  <c r="AW152" i="21" s="1"/>
  <c r="F152" i="21"/>
  <c r="AJ152" i="21"/>
  <c r="X152" i="21"/>
  <c r="P152" i="21"/>
  <c r="Q152" i="21"/>
  <c r="R152" i="21"/>
  <c r="S152" i="21"/>
  <c r="AK152" i="21"/>
  <c r="G152" i="21"/>
  <c r="AH98" i="23"/>
  <c r="AH103" i="23"/>
  <c r="F128" i="23"/>
  <c r="AF128" i="23"/>
  <c r="S128" i="23"/>
  <c r="X128" i="23"/>
  <c r="AW96" i="23"/>
  <c r="AX96" i="23"/>
  <c r="AY96" i="23" s="1"/>
  <c r="H60" i="23"/>
  <c r="I60" i="23" s="1"/>
  <c r="K60" i="23"/>
  <c r="J60" i="23"/>
  <c r="G60" i="23"/>
  <c r="L125" i="23"/>
  <c r="BE144" i="23"/>
  <c r="AV144" i="23"/>
  <c r="BG144" i="23"/>
  <c r="BB144" i="23"/>
  <c r="BC144" i="23"/>
  <c r="BA144" i="23"/>
  <c r="AS144" i="23"/>
  <c r="E166" i="21"/>
  <c r="O166" i="21"/>
  <c r="Y166" i="21"/>
  <c r="AI166" i="21"/>
  <c r="AW166" i="21" s="1"/>
  <c r="I166" i="21"/>
  <c r="T166" i="21"/>
  <c r="AE166" i="21"/>
  <c r="J166" i="21"/>
  <c r="U166" i="21"/>
  <c r="AF166" i="21"/>
  <c r="AN166" i="21" s="1"/>
  <c r="K166" i="21"/>
  <c r="AX166" i="21" s="1"/>
  <c r="V166" i="21"/>
  <c r="AG166" i="21"/>
  <c r="AQ166" i="21" s="1"/>
  <c r="H166" i="21"/>
  <c r="S166" i="21"/>
  <c r="AD166" i="21"/>
  <c r="D166" i="21"/>
  <c r="X166" i="21"/>
  <c r="F166" i="21"/>
  <c r="Z166" i="21"/>
  <c r="G166" i="21"/>
  <c r="AA166" i="21"/>
  <c r="L166" i="21"/>
  <c r="AB166" i="21"/>
  <c r="C166" i="21"/>
  <c r="W166" i="21"/>
  <c r="N166" i="21"/>
  <c r="P166" i="21"/>
  <c r="Q166" i="21"/>
  <c r="R166" i="21"/>
  <c r="AC166" i="21"/>
  <c r="AH166" i="21"/>
  <c r="AJ166" i="21"/>
  <c r="A166" i="21"/>
  <c r="AK166" i="21"/>
  <c r="B166" i="21"/>
  <c r="M166" i="21"/>
  <c r="O150" i="23"/>
  <c r="AF150" i="23"/>
  <c r="S150" i="23"/>
  <c r="F150" i="23"/>
  <c r="AW106" i="23"/>
  <c r="AX106" i="23"/>
  <c r="AW159" i="23"/>
  <c r="AX159" i="23"/>
  <c r="AW182" i="23"/>
  <c r="AX182" i="23"/>
  <c r="AW98" i="23"/>
  <c r="AX98" i="23"/>
  <c r="S192" i="23"/>
  <c r="BG101" i="23"/>
  <c r="BA101" i="23"/>
  <c r="BB101" i="23"/>
  <c r="BC101" i="23"/>
  <c r="AV101" i="23"/>
  <c r="BE101" i="23"/>
  <c r="AS101" i="23"/>
  <c r="J123" i="21"/>
  <c r="T123" i="21"/>
  <c r="AD123" i="21"/>
  <c r="A123" i="21"/>
  <c r="K123" i="21"/>
  <c r="AX123" i="21" s="1"/>
  <c r="U123" i="21"/>
  <c r="AE123" i="21"/>
  <c r="B123" i="21"/>
  <c r="L123" i="21"/>
  <c r="V123" i="21"/>
  <c r="AF123" i="21"/>
  <c r="AN123" i="21" s="1"/>
  <c r="I123" i="21"/>
  <c r="S123" i="21"/>
  <c r="AC123" i="21"/>
  <c r="G123" i="21"/>
  <c r="Y123" i="21"/>
  <c r="H123" i="21"/>
  <c r="Z123" i="21"/>
  <c r="M123" i="21"/>
  <c r="AA123" i="21"/>
  <c r="F123" i="21"/>
  <c r="X123" i="21"/>
  <c r="W123" i="21"/>
  <c r="AB123" i="21"/>
  <c r="C123" i="21"/>
  <c r="AG123" i="21"/>
  <c r="AQ123" i="21" s="1"/>
  <c r="D123" i="21"/>
  <c r="AH123" i="21"/>
  <c r="N123" i="21"/>
  <c r="AJ123" i="21"/>
  <c r="O123" i="21"/>
  <c r="AK123" i="21"/>
  <c r="P123" i="21"/>
  <c r="Q123" i="21"/>
  <c r="R123" i="21"/>
  <c r="E123" i="21"/>
  <c r="AI123" i="21"/>
  <c r="AW123" i="21" s="1"/>
  <c r="G119" i="23"/>
  <c r="J119" i="23"/>
  <c r="K119" i="23"/>
  <c r="H119" i="23"/>
  <c r="I119" i="23" s="1"/>
  <c r="BE114" i="23"/>
  <c r="AV114" i="23"/>
  <c r="BG114" i="23"/>
  <c r="BB114" i="23"/>
  <c r="BC114" i="23"/>
  <c r="BA114" i="23"/>
  <c r="AS114" i="23"/>
  <c r="G136" i="21"/>
  <c r="Q136" i="21"/>
  <c r="AA136" i="21"/>
  <c r="AK136" i="21"/>
  <c r="H136" i="21"/>
  <c r="R136" i="21"/>
  <c r="AB136" i="21"/>
  <c r="I136" i="21"/>
  <c r="S136" i="21"/>
  <c r="AC136" i="21"/>
  <c r="F136" i="21"/>
  <c r="P136" i="21"/>
  <c r="Z136" i="21"/>
  <c r="AJ136" i="21"/>
  <c r="K136" i="21"/>
  <c r="AX136" i="21" s="1"/>
  <c r="Y136" i="21"/>
  <c r="L136" i="21"/>
  <c r="AD136" i="21"/>
  <c r="M136" i="21"/>
  <c r="AE136" i="21"/>
  <c r="J136" i="21"/>
  <c r="X136" i="21"/>
  <c r="E136" i="21"/>
  <c r="AI136" i="21"/>
  <c r="AW136" i="21" s="1"/>
  <c r="N136" i="21"/>
  <c r="O136" i="21"/>
  <c r="T136" i="21"/>
  <c r="D136" i="21"/>
  <c r="AH136" i="21"/>
  <c r="C136" i="21"/>
  <c r="U136" i="21"/>
  <c r="V136" i="21"/>
  <c r="W136" i="21"/>
  <c r="AF136" i="21"/>
  <c r="AN136" i="21" s="1"/>
  <c r="AG136" i="21"/>
  <c r="AQ136" i="21" s="1"/>
  <c r="A136" i="21"/>
  <c r="B136" i="21"/>
  <c r="AF146" i="23"/>
  <c r="W146" i="23"/>
  <c r="X146" i="23"/>
  <c r="K118" i="23"/>
  <c r="G118" i="23"/>
  <c r="H118" i="23"/>
  <c r="I118" i="23" s="1"/>
  <c r="J118" i="23"/>
  <c r="G179" i="23"/>
  <c r="H179" i="23"/>
  <c r="I179" i="23" s="1"/>
  <c r="K179" i="23"/>
  <c r="J179" i="23"/>
  <c r="O160" i="23"/>
  <c r="S160" i="23"/>
  <c r="O140" i="23"/>
  <c r="H171" i="23"/>
  <c r="I171" i="23" s="1"/>
  <c r="J171" i="23"/>
  <c r="G171" i="23"/>
  <c r="K171" i="23"/>
  <c r="G146" i="23"/>
  <c r="H146" i="23"/>
  <c r="I146" i="23" s="1"/>
  <c r="J146" i="23"/>
  <c r="K146" i="23"/>
  <c r="Y184" i="23"/>
  <c r="BF184" i="23" s="1"/>
  <c r="N184" i="23"/>
  <c r="BG146" i="23"/>
  <c r="BE146" i="23"/>
  <c r="AS146" i="23"/>
  <c r="BC146" i="23"/>
  <c r="AV146" i="23"/>
  <c r="BB146" i="23"/>
  <c r="BA146" i="23"/>
  <c r="B168" i="21"/>
  <c r="L168" i="21"/>
  <c r="V168" i="21"/>
  <c r="AF168" i="21"/>
  <c r="AN168" i="21" s="1"/>
  <c r="J168" i="21"/>
  <c r="U168" i="21"/>
  <c r="AG168" i="21"/>
  <c r="AQ168" i="21" s="1"/>
  <c r="K168" i="21"/>
  <c r="AX168" i="21" s="1"/>
  <c r="W168" i="21"/>
  <c r="AH168" i="21"/>
  <c r="A168" i="21"/>
  <c r="M168" i="21"/>
  <c r="X168" i="21"/>
  <c r="AI168" i="21"/>
  <c r="AW168" i="21" s="1"/>
  <c r="I168" i="21"/>
  <c r="T168" i="21"/>
  <c r="AE168" i="21"/>
  <c r="C168" i="21"/>
  <c r="R168" i="21"/>
  <c r="D168" i="21"/>
  <c r="S168" i="21"/>
  <c r="E168" i="21"/>
  <c r="Y168" i="21"/>
  <c r="F168" i="21"/>
  <c r="Z168" i="21"/>
  <c r="Q168" i="21"/>
  <c r="AK168" i="21"/>
  <c r="N168" i="21"/>
  <c r="O168" i="21"/>
  <c r="P168" i="21"/>
  <c r="AA168" i="21"/>
  <c r="AB168" i="21"/>
  <c r="AC168" i="21"/>
  <c r="AD168" i="21"/>
  <c r="AJ168" i="21"/>
  <c r="G168" i="21"/>
  <c r="H168" i="21"/>
  <c r="H166" i="23"/>
  <c r="I166" i="23" s="1"/>
  <c r="J166" i="23"/>
  <c r="G166" i="23"/>
  <c r="K166" i="23"/>
  <c r="AW136" i="23"/>
  <c r="AX136" i="23"/>
  <c r="J193" i="23"/>
  <c r="K193" i="23"/>
  <c r="G193" i="23"/>
  <c r="H193" i="23"/>
  <c r="I193" i="23" s="1"/>
  <c r="O171" i="23"/>
  <c r="AH166" i="23"/>
  <c r="AF187" i="23"/>
  <c r="S187" i="23"/>
  <c r="BE179" i="23"/>
  <c r="AV179" i="23"/>
  <c r="AS179" i="23"/>
  <c r="BC179" i="23"/>
  <c r="BG179" i="23"/>
  <c r="BB179" i="23"/>
  <c r="BA179" i="23"/>
  <c r="G201" i="21"/>
  <c r="Q201" i="21"/>
  <c r="AA201" i="21"/>
  <c r="AK201" i="21"/>
  <c r="H201" i="21"/>
  <c r="R201" i="21"/>
  <c r="AB201" i="21"/>
  <c r="I201" i="21"/>
  <c r="S201" i="21"/>
  <c r="AC201" i="21"/>
  <c r="F201" i="21"/>
  <c r="P201" i="21"/>
  <c r="Z201" i="21"/>
  <c r="AJ201" i="21"/>
  <c r="C201" i="21"/>
  <c r="U201" i="21"/>
  <c r="AI201" i="21"/>
  <c r="AW201" i="21" s="1"/>
  <c r="D201" i="21"/>
  <c r="V201" i="21"/>
  <c r="E201" i="21"/>
  <c r="W201" i="21"/>
  <c r="B201" i="21"/>
  <c r="T201" i="21"/>
  <c r="AH201" i="21"/>
  <c r="X201" i="21"/>
  <c r="Y201" i="21"/>
  <c r="AD201" i="21"/>
  <c r="A201" i="21"/>
  <c r="AE201" i="21"/>
  <c r="J201" i="21"/>
  <c r="AF201" i="21"/>
  <c r="AN201" i="21" s="1"/>
  <c r="K201" i="21"/>
  <c r="AX201" i="21" s="1"/>
  <c r="AG201" i="21"/>
  <c r="AQ201" i="21" s="1"/>
  <c r="L201" i="21"/>
  <c r="M201" i="21"/>
  <c r="N201" i="21"/>
  <c r="O201" i="21"/>
  <c r="AH190" i="23"/>
  <c r="AH193" i="23"/>
  <c r="X160" i="23"/>
  <c r="AW190" i="23"/>
  <c r="AX190" i="23"/>
  <c r="BA140" i="23"/>
  <c r="BB140" i="23"/>
  <c r="BC140" i="23"/>
  <c r="AS140" i="23"/>
  <c r="BG140" i="23"/>
  <c r="BE140" i="23"/>
  <c r="AV140" i="23"/>
  <c r="A162" i="21"/>
  <c r="K162" i="21"/>
  <c r="AX162" i="21" s="1"/>
  <c r="U162" i="21"/>
  <c r="AE162" i="21"/>
  <c r="B162" i="21"/>
  <c r="L162" i="21"/>
  <c r="V162" i="21"/>
  <c r="AF162" i="21"/>
  <c r="AN162" i="21" s="1"/>
  <c r="C162" i="21"/>
  <c r="M162" i="21"/>
  <c r="J162" i="21"/>
  <c r="T162" i="21"/>
  <c r="AD162" i="21"/>
  <c r="I162" i="21"/>
  <c r="Z162" i="21"/>
  <c r="N162" i="21"/>
  <c r="AA162" i="21"/>
  <c r="O162" i="21"/>
  <c r="AB162" i="21"/>
  <c r="H162" i="21"/>
  <c r="Y162" i="21"/>
  <c r="Q162" i="21"/>
  <c r="AK162" i="21"/>
  <c r="R162" i="21"/>
  <c r="S162" i="21"/>
  <c r="W162" i="21"/>
  <c r="P162" i="21"/>
  <c r="AJ162" i="21"/>
  <c r="AC162" i="21"/>
  <c r="AG162" i="21"/>
  <c r="AQ162" i="21" s="1"/>
  <c r="AH162" i="21"/>
  <c r="AI162" i="21"/>
  <c r="AW162" i="21" s="1"/>
  <c r="D162" i="21"/>
  <c r="E162" i="21"/>
  <c r="F162" i="21"/>
  <c r="G162" i="21"/>
  <c r="X162" i="21"/>
  <c r="G169" i="23"/>
  <c r="H169" i="23"/>
  <c r="I169" i="23" s="1"/>
  <c r="J169" i="23"/>
  <c r="K169" i="23"/>
  <c r="AH118" i="23"/>
  <c r="AH124" i="23"/>
  <c r="W160" i="23"/>
  <c r="AH177" i="23"/>
  <c r="Y320" i="23" l="1"/>
  <c r="BF320" i="23" s="1"/>
  <c r="N320" i="23"/>
  <c r="N156" i="23"/>
  <c r="Y156" i="23"/>
  <c r="L99" i="23"/>
  <c r="L42" i="23"/>
  <c r="L94" i="23"/>
  <c r="M102" i="22"/>
  <c r="V134" i="24"/>
  <c r="BC117" i="24"/>
  <c r="I80" i="24"/>
  <c r="BC166" i="24"/>
  <c r="AY254" i="23"/>
  <c r="AY291" i="23"/>
  <c r="L360" i="23"/>
  <c r="BC362" i="24"/>
  <c r="I204" i="24"/>
  <c r="I306" i="24"/>
  <c r="BC348" i="24"/>
  <c r="BC345" i="24"/>
  <c r="BC246" i="24"/>
  <c r="I308" i="24"/>
  <c r="AF333" i="24"/>
  <c r="BC334" i="24"/>
  <c r="I241" i="24"/>
  <c r="AF216" i="24"/>
  <c r="AF261" i="24"/>
  <c r="AF357" i="24"/>
  <c r="AY180" i="23"/>
  <c r="AY129" i="23"/>
  <c r="L15" i="23"/>
  <c r="AY72" i="23"/>
  <c r="P102" i="22"/>
  <c r="BC30" i="24"/>
  <c r="BC107" i="24"/>
  <c r="BC72" i="24"/>
  <c r="I176" i="24"/>
  <c r="AF168" i="24"/>
  <c r="AF45" i="24"/>
  <c r="AY198" i="23"/>
  <c r="I316" i="24"/>
  <c r="BC198" i="24"/>
  <c r="I205" i="24"/>
  <c r="I221" i="24"/>
  <c r="BC261" i="24"/>
  <c r="BC328" i="24"/>
  <c r="BC258" i="24"/>
  <c r="AY147" i="23"/>
  <c r="L57" i="23"/>
  <c r="L22" i="23"/>
  <c r="L112" i="23"/>
  <c r="Q93" i="22"/>
  <c r="AF30" i="24"/>
  <c r="AH30" i="24" s="1"/>
  <c r="BC184" i="24"/>
  <c r="L82" i="23"/>
  <c r="I72" i="24"/>
  <c r="L294" i="23"/>
  <c r="I362" i="24"/>
  <c r="L293" i="23"/>
  <c r="AF316" i="24"/>
  <c r="AF313" i="24"/>
  <c r="BC241" i="24"/>
  <c r="I217" i="24"/>
  <c r="AF317" i="24"/>
  <c r="I258" i="24"/>
  <c r="L143" i="23"/>
  <c r="AY109" i="23"/>
  <c r="B102" i="22"/>
  <c r="I93" i="22"/>
  <c r="V19" i="24"/>
  <c r="L84" i="23"/>
  <c r="I81" i="24"/>
  <c r="I106" i="24"/>
  <c r="BC89" i="24"/>
  <c r="L257" i="23"/>
  <c r="AY340" i="23"/>
  <c r="L332" i="23"/>
  <c r="AY354" i="23"/>
  <c r="I238" i="24"/>
  <c r="I360" i="24"/>
  <c r="L131" i="23"/>
  <c r="N93" i="22"/>
  <c r="BP192" i="24"/>
  <c r="BC129" i="24"/>
  <c r="BC58" i="24"/>
  <c r="BE58" i="24" s="1"/>
  <c r="AF65" i="24"/>
  <c r="AF78" i="24"/>
  <c r="AY321" i="23"/>
  <c r="AF362" i="24"/>
  <c r="BC341" i="24"/>
  <c r="BC280" i="24"/>
  <c r="I198" i="24"/>
  <c r="AF222" i="24"/>
  <c r="I261" i="24"/>
  <c r="I286" i="24"/>
  <c r="L176" i="23"/>
  <c r="L151" i="23"/>
  <c r="E93" i="22"/>
  <c r="AF86" i="24"/>
  <c r="I76" i="24"/>
  <c r="K76" i="24" s="1"/>
  <c r="AY202" i="23"/>
  <c r="AF265" i="24"/>
  <c r="I254" i="24"/>
  <c r="K254" i="24" s="1"/>
  <c r="L188" i="23"/>
  <c r="AY49" i="23"/>
  <c r="G131" i="22"/>
  <c r="L63" i="23"/>
  <c r="C166" i="22"/>
  <c r="D102" i="22"/>
  <c r="O93" i="22"/>
  <c r="BP112" i="24"/>
  <c r="BP3" i="24"/>
  <c r="I86" i="24"/>
  <c r="BC35" i="24"/>
  <c r="I42" i="24"/>
  <c r="AF31" i="24"/>
  <c r="AH31" i="24" s="1"/>
  <c r="I151" i="24"/>
  <c r="BC92" i="24"/>
  <c r="BC131" i="24"/>
  <c r="L281" i="23"/>
  <c r="L217" i="23"/>
  <c r="AY260" i="23"/>
  <c r="I255" i="24"/>
  <c r="I285" i="24"/>
  <c r="BC330" i="24"/>
  <c r="BC263" i="24"/>
  <c r="I313" i="24"/>
  <c r="BC337" i="24"/>
  <c r="I289" i="24"/>
  <c r="I260" i="24"/>
  <c r="BC327" i="24"/>
  <c r="AF286" i="24"/>
  <c r="I317" i="24"/>
  <c r="L233" i="23"/>
  <c r="L78" i="23"/>
  <c r="Q102" i="22"/>
  <c r="V88" i="24"/>
  <c r="V66" i="24"/>
  <c r="AS57" i="24"/>
  <c r="I97" i="24"/>
  <c r="I191" i="24"/>
  <c r="AF176" i="24"/>
  <c r="I133" i="24"/>
  <c r="I96" i="24"/>
  <c r="AF42" i="24"/>
  <c r="BC106" i="24"/>
  <c r="I190" i="24"/>
  <c r="K190" i="24" s="1"/>
  <c r="AF92" i="24"/>
  <c r="AY338" i="23"/>
  <c r="AY339" i="23"/>
  <c r="L221" i="23"/>
  <c r="AY219" i="23"/>
  <c r="L334" i="23"/>
  <c r="AF345" i="24"/>
  <c r="I256" i="24"/>
  <c r="AF326" i="24"/>
  <c r="AF238" i="24"/>
  <c r="I199" i="24"/>
  <c r="I300" i="24"/>
  <c r="BC360" i="24"/>
  <c r="BE360" i="24" s="1"/>
  <c r="AF260" i="24"/>
  <c r="AF249" i="24"/>
  <c r="I357" i="24"/>
  <c r="K357" i="24" s="1"/>
  <c r="AY159" i="23"/>
  <c r="AY126" i="23"/>
  <c r="L137" i="23"/>
  <c r="K102" i="22"/>
  <c r="I107" i="24"/>
  <c r="I67" i="24"/>
  <c r="K67" i="24" s="1"/>
  <c r="BC133" i="24"/>
  <c r="AF96" i="24"/>
  <c r="AF166" i="24"/>
  <c r="I31" i="24"/>
  <c r="I60" i="24"/>
  <c r="K60" i="24" s="1"/>
  <c r="AF131" i="24"/>
  <c r="L216" i="23"/>
  <c r="BC255" i="24"/>
  <c r="I340" i="24"/>
  <c r="I347" i="24"/>
  <c r="I348" i="24"/>
  <c r="K348" i="24" s="1"/>
  <c r="I345" i="24"/>
  <c r="AF256" i="24"/>
  <c r="BC257" i="24"/>
  <c r="I197" i="24"/>
  <c r="BC286" i="24"/>
  <c r="AY93" i="23"/>
  <c r="AS99" i="24"/>
  <c r="AS168" i="24"/>
  <c r="BP176" i="24"/>
  <c r="AS146" i="24"/>
  <c r="AS16" i="24"/>
  <c r="AY255" i="23"/>
  <c r="AY295" i="23"/>
  <c r="AY355" i="23"/>
  <c r="V71" i="24"/>
  <c r="AS116" i="24"/>
  <c r="V26" i="24"/>
  <c r="AS9" i="24"/>
  <c r="AY311" i="23"/>
  <c r="AY263" i="23"/>
  <c r="AY231" i="23"/>
  <c r="AY350" i="23"/>
  <c r="V239" i="24"/>
  <c r="AS133" i="24"/>
  <c r="AS143" i="24"/>
  <c r="BP168" i="24"/>
  <c r="V156" i="24"/>
  <c r="V141" i="24"/>
  <c r="AY237" i="23"/>
  <c r="AY266" i="23"/>
  <c r="AY203" i="23"/>
  <c r="BP335" i="24"/>
  <c r="BP110" i="24"/>
  <c r="AS33" i="24"/>
  <c r="AY296" i="23"/>
  <c r="AY283" i="23"/>
  <c r="AY345" i="23"/>
  <c r="AY97" i="23"/>
  <c r="AY138" i="23"/>
  <c r="AS140" i="24"/>
  <c r="AS19" i="24"/>
  <c r="AS112" i="24"/>
  <c r="V168" i="24"/>
  <c r="AS29" i="24"/>
  <c r="V120" i="24"/>
  <c r="BP157" i="24"/>
  <c r="AS77" i="24"/>
  <c r="AS34" i="24"/>
  <c r="AY213" i="23"/>
  <c r="AY235" i="23"/>
  <c r="AY123" i="23"/>
  <c r="AY100" i="23"/>
  <c r="V179" i="24"/>
  <c r="BP116" i="24"/>
  <c r="BP95" i="24"/>
  <c r="AS4" i="24"/>
  <c r="BP189" i="24"/>
  <c r="AY242" i="23"/>
  <c r="AY234" i="23"/>
  <c r="AY210" i="23"/>
  <c r="AY276" i="23"/>
  <c r="AY206" i="23"/>
  <c r="AY259" i="23"/>
  <c r="BD343" i="23"/>
  <c r="BD298" i="23"/>
  <c r="BD248" i="23"/>
  <c r="BD278" i="23"/>
  <c r="BD352" i="23"/>
  <c r="BD332" i="23"/>
  <c r="BD232" i="23"/>
  <c r="BD306" i="23"/>
  <c r="BD202" i="23"/>
  <c r="BD299" i="23"/>
  <c r="BD272" i="23"/>
  <c r="BD287" i="23"/>
  <c r="BD305" i="23"/>
  <c r="BD234" i="23"/>
  <c r="BD295" i="23"/>
  <c r="BD200" i="23"/>
  <c r="BD199" i="23"/>
  <c r="BD289" i="23"/>
  <c r="BD230" i="23"/>
  <c r="BD273" i="23"/>
  <c r="BD293" i="23"/>
  <c r="BD318" i="23"/>
  <c r="BD285" i="23"/>
  <c r="BD237" i="23"/>
  <c r="N195" i="23"/>
  <c r="Y195" i="23"/>
  <c r="BF195" i="23" s="1"/>
  <c r="BE255" i="24"/>
  <c r="BF255" i="24"/>
  <c r="K347" i="24"/>
  <c r="AH256" i="24"/>
  <c r="BE257" i="24"/>
  <c r="AH343" i="24"/>
  <c r="L204" i="24"/>
  <c r="K204" i="24"/>
  <c r="N194" i="23"/>
  <c r="Y194" i="23"/>
  <c r="K306" i="24"/>
  <c r="BE348" i="24"/>
  <c r="BE345" i="24"/>
  <c r="BF345" i="24"/>
  <c r="BE246" i="24"/>
  <c r="K308" i="24"/>
  <c r="K241" i="24"/>
  <c r="AH216" i="24"/>
  <c r="K316" i="24"/>
  <c r="BE261" i="24"/>
  <c r="BE328" i="24"/>
  <c r="BE258" i="24"/>
  <c r="BE242" i="24"/>
  <c r="BE331" i="24"/>
  <c r="BE199" i="24"/>
  <c r="Y300" i="23"/>
  <c r="BF300" i="23" s="1"/>
  <c r="N300" i="23"/>
  <c r="K248" i="24"/>
  <c r="K362" i="24"/>
  <c r="BE256" i="24"/>
  <c r="AH316" i="24"/>
  <c r="AH313" i="24"/>
  <c r="BE241" i="24"/>
  <c r="K217" i="24"/>
  <c r="AH317" i="24"/>
  <c r="K258" i="24"/>
  <c r="AH362" i="24"/>
  <c r="BE341" i="24"/>
  <c r="BE275" i="24"/>
  <c r="AH222" i="24"/>
  <c r="K261" i="24"/>
  <c r="K286" i="24"/>
  <c r="AH348" i="24"/>
  <c r="BE343" i="24"/>
  <c r="AH265" i="24"/>
  <c r="BF263" i="24"/>
  <c r="BE263" i="24"/>
  <c r="BE337" i="24"/>
  <c r="K260" i="24"/>
  <c r="BE327" i="24"/>
  <c r="AH286" i="24"/>
  <c r="K317" i="24"/>
  <c r="N44" i="23"/>
  <c r="Y44" i="23"/>
  <c r="BF44" i="23" s="1"/>
  <c r="AH326" i="24"/>
  <c r="AH238" i="24"/>
  <c r="K199" i="24"/>
  <c r="AH249" i="24"/>
  <c r="L41" i="23"/>
  <c r="N102" i="22"/>
  <c r="D93" i="22"/>
  <c r="V77" i="24"/>
  <c r="BP33" i="24"/>
  <c r="AS188" i="24"/>
  <c r="AS38" i="24"/>
  <c r="AY175" i="23"/>
  <c r="AF103" i="24"/>
  <c r="BC91" i="24"/>
  <c r="AF186" i="24"/>
  <c r="BC110" i="24"/>
  <c r="BC10" i="24"/>
  <c r="BE10" i="24" s="1"/>
  <c r="AF191" i="24"/>
  <c r="BC170" i="24"/>
  <c r="I121" i="24"/>
  <c r="BD255" i="23"/>
  <c r="BD217" i="23"/>
  <c r="BD258" i="23"/>
  <c r="BD302" i="23"/>
  <c r="BD303" i="23"/>
  <c r="BD271" i="23"/>
  <c r="L261" i="23"/>
  <c r="BD340" i="23"/>
  <c r="BD275" i="23"/>
  <c r="AW287" i="23"/>
  <c r="AX287" i="23"/>
  <c r="T286" i="24"/>
  <c r="V286" i="24" s="1"/>
  <c r="U286" i="24"/>
  <c r="AR207" i="24"/>
  <c r="AQ207" i="24"/>
  <c r="AR238" i="24"/>
  <c r="AQ238" i="24"/>
  <c r="T291" i="24"/>
  <c r="V291" i="24" s="1"/>
  <c r="U291" i="24"/>
  <c r="T263" i="24"/>
  <c r="U263" i="24"/>
  <c r="K355" i="24"/>
  <c r="L355" i="24"/>
  <c r="I195" i="24"/>
  <c r="BE245" i="24"/>
  <c r="BF245" i="24"/>
  <c r="AW302" i="23"/>
  <c r="AX302" i="23"/>
  <c r="AQ226" i="24"/>
  <c r="AR226" i="24"/>
  <c r="AR276" i="24"/>
  <c r="AQ276" i="24"/>
  <c r="BE311" i="24"/>
  <c r="BE362" i="24"/>
  <c r="K213" i="24"/>
  <c r="AX218" i="23"/>
  <c r="AW218" i="23"/>
  <c r="AW346" i="23"/>
  <c r="AY346" i="23" s="1"/>
  <c r="AX346" i="23"/>
  <c r="AW277" i="23"/>
  <c r="AY277" i="23" s="1"/>
  <c r="AX277" i="23"/>
  <c r="AW352" i="23"/>
  <c r="AX352" i="23"/>
  <c r="AQ345" i="24"/>
  <c r="AR345" i="24"/>
  <c r="BO331" i="24"/>
  <c r="BN331" i="24"/>
  <c r="AR281" i="24"/>
  <c r="AQ281" i="24"/>
  <c r="U213" i="24"/>
  <c r="T213" i="24"/>
  <c r="L271" i="24"/>
  <c r="K271" i="24"/>
  <c r="BE244" i="24"/>
  <c r="BF244" i="24"/>
  <c r="AY70" i="24"/>
  <c r="AZ70" i="24" s="1"/>
  <c r="J70" i="23"/>
  <c r="K70" i="23"/>
  <c r="AD70" i="24"/>
  <c r="AE70" i="24"/>
  <c r="E70" i="24"/>
  <c r="F70" i="24" s="1"/>
  <c r="BB70" i="24"/>
  <c r="G70" i="23"/>
  <c r="G70" i="24"/>
  <c r="H70" i="24"/>
  <c r="BA70" i="24"/>
  <c r="AB70" i="24"/>
  <c r="AC70" i="24" s="1"/>
  <c r="H70" i="23"/>
  <c r="I70" i="23" s="1"/>
  <c r="L70" i="23" s="1"/>
  <c r="Z330" i="24"/>
  <c r="AU330" i="24"/>
  <c r="BK330" i="24"/>
  <c r="AV330" i="24"/>
  <c r="BS330" i="24"/>
  <c r="BT330" i="24"/>
  <c r="Y330" i="24"/>
  <c r="AT330" i="24"/>
  <c r="Q330" i="24"/>
  <c r="X330" i="24"/>
  <c r="W330" i="24"/>
  <c r="AP330" i="24"/>
  <c r="AW330" i="24"/>
  <c r="BM330" i="24"/>
  <c r="S330" i="24"/>
  <c r="BQ330" i="24"/>
  <c r="AN330" i="24"/>
  <c r="BR330" i="24"/>
  <c r="AW361" i="23"/>
  <c r="AX361" i="23"/>
  <c r="AX301" i="23"/>
  <c r="AW301" i="23"/>
  <c r="W272" i="24"/>
  <c r="BS272" i="24"/>
  <c r="X272" i="24"/>
  <c r="BT272" i="24"/>
  <c r="Y272" i="24"/>
  <c r="AN272" i="24"/>
  <c r="S272" i="24"/>
  <c r="BR272" i="24"/>
  <c r="AV272" i="24"/>
  <c r="AW272" i="24"/>
  <c r="AU272" i="24"/>
  <c r="BQ272" i="24"/>
  <c r="Q272" i="24"/>
  <c r="Z272" i="24"/>
  <c r="AT272" i="24"/>
  <c r="AP272" i="24"/>
  <c r="BK272" i="24"/>
  <c r="BM272" i="24"/>
  <c r="AW215" i="23"/>
  <c r="AX215" i="23"/>
  <c r="AR266" i="24"/>
  <c r="AQ266" i="24"/>
  <c r="AI270" i="24"/>
  <c r="AH270" i="24"/>
  <c r="K255" i="24"/>
  <c r="L255" i="24"/>
  <c r="BF223" i="24"/>
  <c r="BE223" i="24"/>
  <c r="L347" i="23"/>
  <c r="T203" i="24"/>
  <c r="U203" i="24"/>
  <c r="AX278" i="23"/>
  <c r="AW278" i="23"/>
  <c r="AW334" i="23"/>
  <c r="AX334" i="23"/>
  <c r="Q241" i="24"/>
  <c r="BM241" i="24"/>
  <c r="BQ241" i="24"/>
  <c r="BR241" i="24"/>
  <c r="X241" i="24"/>
  <c r="Z241" i="24"/>
  <c r="W241" i="24"/>
  <c r="AT241" i="24"/>
  <c r="AU241" i="24"/>
  <c r="AW241" i="24"/>
  <c r="S241" i="24"/>
  <c r="BK241" i="24"/>
  <c r="BS241" i="24"/>
  <c r="AV241" i="24"/>
  <c r="AN241" i="24"/>
  <c r="BT241" i="24"/>
  <c r="AP241" i="24"/>
  <c r="Y241" i="24"/>
  <c r="U225" i="24"/>
  <c r="T225" i="24"/>
  <c r="L296" i="24"/>
  <c r="K296" i="24"/>
  <c r="AH201" i="24"/>
  <c r="AI201" i="24"/>
  <c r="BK279" i="24"/>
  <c r="AU279" i="24"/>
  <c r="BT279" i="24"/>
  <c r="Q279" i="24"/>
  <c r="Y279" i="24"/>
  <c r="BM279" i="24"/>
  <c r="S279" i="24"/>
  <c r="BS279" i="24"/>
  <c r="AN279" i="24"/>
  <c r="AV279" i="24"/>
  <c r="AP279" i="24"/>
  <c r="W279" i="24"/>
  <c r="X279" i="24"/>
  <c r="AT279" i="24"/>
  <c r="AW279" i="24"/>
  <c r="BQ279" i="24"/>
  <c r="BR279" i="24"/>
  <c r="Z279" i="24"/>
  <c r="BN248" i="24"/>
  <c r="BO248" i="24"/>
  <c r="AR231" i="24"/>
  <c r="AQ231" i="24"/>
  <c r="T328" i="24"/>
  <c r="U328" i="24"/>
  <c r="BE206" i="24"/>
  <c r="BF206" i="24"/>
  <c r="AI297" i="24"/>
  <c r="AH297" i="24"/>
  <c r="L244" i="24"/>
  <c r="K244" i="24"/>
  <c r="AX208" i="23"/>
  <c r="AW208" i="23"/>
  <c r="Q285" i="24"/>
  <c r="X285" i="24"/>
  <c r="BR285" i="24"/>
  <c r="S285" i="24"/>
  <c r="BS285" i="24"/>
  <c r="W285" i="24"/>
  <c r="BT285" i="24"/>
  <c r="Y285" i="24"/>
  <c r="AN285" i="24"/>
  <c r="BQ285" i="24"/>
  <c r="BK285" i="24"/>
  <c r="Z285" i="24"/>
  <c r="AP285" i="24"/>
  <c r="BM285" i="24"/>
  <c r="AW285" i="24"/>
  <c r="AV285" i="24"/>
  <c r="AT285" i="24"/>
  <c r="AU285" i="24"/>
  <c r="BR304" i="24"/>
  <c r="Q304" i="24"/>
  <c r="Z304" i="24"/>
  <c r="BS304" i="24"/>
  <c r="Y304" i="24"/>
  <c r="AV304" i="24"/>
  <c r="BK304" i="24"/>
  <c r="S304" i="24"/>
  <c r="W304" i="24"/>
  <c r="AT304" i="24"/>
  <c r="AW304" i="24"/>
  <c r="X304" i="24"/>
  <c r="AN304" i="24"/>
  <c r="AU304" i="24"/>
  <c r="BQ304" i="24"/>
  <c r="BM304" i="24"/>
  <c r="BT304" i="24"/>
  <c r="AP304" i="24"/>
  <c r="BD362" i="23"/>
  <c r="BN259" i="24"/>
  <c r="BO259" i="24"/>
  <c r="T244" i="24"/>
  <c r="U244" i="24"/>
  <c r="AH220" i="24"/>
  <c r="AI220" i="24"/>
  <c r="AI303" i="24"/>
  <c r="AH303" i="24"/>
  <c r="AH293" i="24"/>
  <c r="AN293" i="24"/>
  <c r="S293" i="24"/>
  <c r="AP293" i="24"/>
  <c r="X293" i="24"/>
  <c r="Z293" i="24"/>
  <c r="BM293" i="24"/>
  <c r="AT293" i="24"/>
  <c r="BT293" i="24"/>
  <c r="AU293" i="24"/>
  <c r="AV293" i="24"/>
  <c r="BQ293" i="24"/>
  <c r="BR293" i="24"/>
  <c r="Q293" i="24"/>
  <c r="AW293" i="24"/>
  <c r="Y293" i="24"/>
  <c r="BK293" i="24"/>
  <c r="BS293" i="24"/>
  <c r="W293" i="24"/>
  <c r="AU333" i="24"/>
  <c r="BR333" i="24"/>
  <c r="BS333" i="24"/>
  <c r="AW333" i="24"/>
  <c r="Y333" i="24"/>
  <c r="BT333" i="24"/>
  <c r="AP333" i="24"/>
  <c r="Z333" i="24"/>
  <c r="W333" i="24"/>
  <c r="S333" i="24"/>
  <c r="AN333" i="24"/>
  <c r="AT333" i="24"/>
  <c r="Q333" i="24"/>
  <c r="X333" i="24"/>
  <c r="BK333" i="24"/>
  <c r="BQ333" i="24"/>
  <c r="AV333" i="24"/>
  <c r="BM333" i="24"/>
  <c r="BO249" i="24"/>
  <c r="BN249" i="24"/>
  <c r="AQ337" i="24"/>
  <c r="AR337" i="24"/>
  <c r="U257" i="24"/>
  <c r="T257" i="24"/>
  <c r="V257" i="24" s="1"/>
  <c r="BN280" i="24"/>
  <c r="BO280" i="24"/>
  <c r="T280" i="24"/>
  <c r="U280" i="24"/>
  <c r="AW318" i="23"/>
  <c r="AX318" i="23"/>
  <c r="W329" i="24"/>
  <c r="AU329" i="24"/>
  <c r="Y329" i="24"/>
  <c r="AW329" i="24"/>
  <c r="S329" i="24"/>
  <c r="AN329" i="24"/>
  <c r="Q329" i="24"/>
  <c r="BM329" i="24"/>
  <c r="AP329" i="24"/>
  <c r="AV329" i="24"/>
  <c r="BR329" i="24"/>
  <c r="AT329" i="24"/>
  <c r="X329" i="24"/>
  <c r="BQ329" i="24"/>
  <c r="BK329" i="24"/>
  <c r="Z329" i="24"/>
  <c r="BS329" i="24"/>
  <c r="BT329" i="24"/>
  <c r="AW200" i="23"/>
  <c r="AY200" i="23" s="1"/>
  <c r="AX200" i="23"/>
  <c r="S245" i="24"/>
  <c r="BS245" i="24"/>
  <c r="AN245" i="24"/>
  <c r="AP245" i="24"/>
  <c r="AV245" i="24"/>
  <c r="AW245" i="24"/>
  <c r="Y245" i="24"/>
  <c r="W245" i="24"/>
  <c r="Q245" i="24"/>
  <c r="BR245" i="24"/>
  <c r="X245" i="24"/>
  <c r="BQ245" i="24"/>
  <c r="Z245" i="24"/>
  <c r="BK245" i="24"/>
  <c r="AU245" i="24"/>
  <c r="BM245" i="24"/>
  <c r="BT245" i="24"/>
  <c r="AT245" i="24"/>
  <c r="BN222" i="24"/>
  <c r="BO222" i="24"/>
  <c r="BO322" i="24"/>
  <c r="BN322" i="24"/>
  <c r="K331" i="24"/>
  <c r="BD260" i="23"/>
  <c r="BF305" i="24"/>
  <c r="I333" i="24"/>
  <c r="L312" i="24"/>
  <c r="AI296" i="24"/>
  <c r="BC222" i="24"/>
  <c r="AF334" i="24"/>
  <c r="I276" i="24"/>
  <c r="K287" i="24"/>
  <c r="BE317" i="24"/>
  <c r="L158" i="23"/>
  <c r="L178" i="23"/>
  <c r="J93" i="22"/>
  <c r="BP118" i="24"/>
  <c r="V140" i="24"/>
  <c r="BP16" i="24"/>
  <c r="AF183" i="24"/>
  <c r="BC97" i="24"/>
  <c r="AF109" i="24"/>
  <c r="I73" i="24"/>
  <c r="I36" i="24"/>
  <c r="BC68" i="24"/>
  <c r="I19" i="24"/>
  <c r="K19" i="24" s="1"/>
  <c r="BC169" i="24"/>
  <c r="AF33" i="24"/>
  <c r="AF155" i="24"/>
  <c r="BC38" i="24"/>
  <c r="BD229" i="23"/>
  <c r="AY308" i="23"/>
  <c r="BD259" i="23"/>
  <c r="BD215" i="23"/>
  <c r="AY331" i="23"/>
  <c r="L219" i="23"/>
  <c r="BD227" i="23"/>
  <c r="BD204" i="23"/>
  <c r="BD254" i="23"/>
  <c r="AY317" i="23"/>
  <c r="BD345" i="23"/>
  <c r="AY344" i="23"/>
  <c r="BD276" i="23"/>
  <c r="BF201" i="23"/>
  <c r="L201" i="24"/>
  <c r="BD224" i="23"/>
  <c r="AY282" i="23"/>
  <c r="AY271" i="23"/>
  <c r="BD324" i="23"/>
  <c r="BD342" i="23"/>
  <c r="BF356" i="23"/>
  <c r="BF356" i="24"/>
  <c r="BF210" i="23"/>
  <c r="AI210" i="24"/>
  <c r="BF298" i="23"/>
  <c r="L298" i="24"/>
  <c r="W300" i="24"/>
  <c r="AN300" i="24"/>
  <c r="AW300" i="24"/>
  <c r="X300" i="24"/>
  <c r="BQ300" i="24"/>
  <c r="BR300" i="24"/>
  <c r="BS300" i="24"/>
  <c r="Z300" i="24"/>
  <c r="Q300" i="24"/>
  <c r="AV300" i="24"/>
  <c r="Y300" i="24"/>
  <c r="AU300" i="24"/>
  <c r="AP300" i="24"/>
  <c r="BM300" i="24"/>
  <c r="BT300" i="24"/>
  <c r="S300" i="24"/>
  <c r="AT300" i="24"/>
  <c r="BK300" i="24"/>
  <c r="AW288" i="23"/>
  <c r="AY288" i="23" s="1"/>
  <c r="AX288" i="23"/>
  <c r="AX316" i="23"/>
  <c r="AW316" i="23"/>
  <c r="W287" i="24"/>
  <c r="X287" i="24"/>
  <c r="Y287" i="24"/>
  <c r="Z287" i="24"/>
  <c r="Q287" i="24"/>
  <c r="BT287" i="24"/>
  <c r="AW287" i="24"/>
  <c r="BQ287" i="24"/>
  <c r="BS287" i="24"/>
  <c r="AU287" i="24"/>
  <c r="AV287" i="24"/>
  <c r="AT287" i="24"/>
  <c r="AP287" i="24"/>
  <c r="AN287" i="24"/>
  <c r="S287" i="24"/>
  <c r="BR287" i="24"/>
  <c r="BK287" i="24"/>
  <c r="BM287" i="24"/>
  <c r="BN336" i="24"/>
  <c r="BO336" i="24"/>
  <c r="BO207" i="24"/>
  <c r="BN207" i="24"/>
  <c r="BN238" i="24"/>
  <c r="BP238" i="24" s="1"/>
  <c r="BO238" i="24"/>
  <c r="L273" i="24"/>
  <c r="K273" i="24"/>
  <c r="K214" i="24"/>
  <c r="L214" i="24"/>
  <c r="E127" i="24"/>
  <c r="F127" i="24" s="1"/>
  <c r="H127" i="24"/>
  <c r="AD127" i="24"/>
  <c r="AB127" i="24"/>
  <c r="AC127" i="24" s="1"/>
  <c r="AF127" i="24" s="1"/>
  <c r="AH127" i="24" s="1"/>
  <c r="J127" i="23"/>
  <c r="BB127" i="24"/>
  <c r="AE127" i="24"/>
  <c r="H127" i="23"/>
  <c r="I127" i="23" s="1"/>
  <c r="G127" i="24"/>
  <c r="K127" i="23"/>
  <c r="AY127" i="24"/>
  <c r="AZ127" i="24" s="1"/>
  <c r="G127" i="23"/>
  <c r="BA127" i="24"/>
  <c r="AW356" i="23"/>
  <c r="AY356" i="23" s="1"/>
  <c r="AX356" i="23"/>
  <c r="Y292" i="24"/>
  <c r="Z292" i="24"/>
  <c r="AT292" i="24"/>
  <c r="AU292" i="24"/>
  <c r="X292" i="24"/>
  <c r="AN292" i="24"/>
  <c r="BT292" i="24"/>
  <c r="BS292" i="24"/>
  <c r="AW292" i="24"/>
  <c r="BR292" i="24"/>
  <c r="Q292" i="24"/>
  <c r="AV292" i="24"/>
  <c r="BQ292" i="24"/>
  <c r="BM292" i="24"/>
  <c r="S292" i="24"/>
  <c r="AP292" i="24"/>
  <c r="W292" i="24"/>
  <c r="BK292" i="24"/>
  <c r="T206" i="24"/>
  <c r="U206" i="24"/>
  <c r="K290" i="24"/>
  <c r="L290" i="24"/>
  <c r="BF243" i="24"/>
  <c r="BE243" i="24"/>
  <c r="AW298" i="23"/>
  <c r="AX298" i="23"/>
  <c r="BR352" i="24"/>
  <c r="X352" i="24"/>
  <c r="BQ352" i="24"/>
  <c r="AN352" i="24"/>
  <c r="W352" i="24"/>
  <c r="BK352" i="24"/>
  <c r="Z352" i="24"/>
  <c r="AP352" i="24"/>
  <c r="BT352" i="24"/>
  <c r="BS352" i="24"/>
  <c r="AW352" i="24"/>
  <c r="BM352" i="24"/>
  <c r="AU352" i="24"/>
  <c r="AT352" i="24"/>
  <c r="Y352" i="24"/>
  <c r="Q352" i="24"/>
  <c r="S352" i="24"/>
  <c r="AV352" i="24"/>
  <c r="AR317" i="24"/>
  <c r="AQ317" i="24"/>
  <c r="AH350" i="24"/>
  <c r="L352" i="24"/>
  <c r="K352" i="24"/>
  <c r="L239" i="24"/>
  <c r="BD195" i="23"/>
  <c r="W332" i="24"/>
  <c r="AT332" i="24"/>
  <c r="X332" i="24"/>
  <c r="BT332" i="24"/>
  <c r="BQ332" i="24"/>
  <c r="BS332" i="24"/>
  <c r="AU332" i="24"/>
  <c r="AW332" i="24"/>
  <c r="BK332" i="24"/>
  <c r="BM332" i="24"/>
  <c r="AV332" i="24"/>
  <c r="BR332" i="24"/>
  <c r="AN332" i="24"/>
  <c r="Q332" i="24"/>
  <c r="S332" i="24"/>
  <c r="AP332" i="24"/>
  <c r="Y332" i="24"/>
  <c r="Z332" i="24"/>
  <c r="T296" i="24"/>
  <c r="U296" i="24"/>
  <c r="AQ340" i="24"/>
  <c r="AR340" i="24"/>
  <c r="AR311" i="24"/>
  <c r="AQ311" i="24"/>
  <c r="BN326" i="24"/>
  <c r="BO326" i="24"/>
  <c r="AQ199" i="24"/>
  <c r="AR199" i="24"/>
  <c r="H17" i="23"/>
  <c r="I17" i="23" s="1"/>
  <c r="H17" i="24"/>
  <c r="E17" i="24"/>
  <c r="F17" i="24" s="1"/>
  <c r="BA17" i="24"/>
  <c r="AY17" i="24"/>
  <c r="AZ17" i="24" s="1"/>
  <c r="AD17" i="24"/>
  <c r="AE17" i="24"/>
  <c r="G17" i="23"/>
  <c r="J17" i="23"/>
  <c r="BB17" i="24"/>
  <c r="K17" i="23"/>
  <c r="G17" i="24"/>
  <c r="AB17" i="24"/>
  <c r="AC17" i="24" s="1"/>
  <c r="AF204" i="24"/>
  <c r="BO282" i="24"/>
  <c r="BN282" i="24"/>
  <c r="AW240" i="23"/>
  <c r="AX240" i="23"/>
  <c r="S215" i="24"/>
  <c r="Z215" i="24"/>
  <c r="BT215" i="24"/>
  <c r="AV215" i="24"/>
  <c r="BK215" i="24"/>
  <c r="Q215" i="24"/>
  <c r="AW215" i="24"/>
  <c r="BS215" i="24"/>
  <c r="AU215" i="24"/>
  <c r="Y215" i="24"/>
  <c r="AT215" i="24"/>
  <c r="BM215" i="24"/>
  <c r="BQ215" i="24"/>
  <c r="BR215" i="24"/>
  <c r="AN215" i="24"/>
  <c r="AP215" i="24"/>
  <c r="W215" i="24"/>
  <c r="X215" i="24"/>
  <c r="AW307" i="23"/>
  <c r="AX307" i="23"/>
  <c r="X294" i="24"/>
  <c r="AN294" i="24"/>
  <c r="BR294" i="24"/>
  <c r="Y294" i="24"/>
  <c r="AV294" i="24"/>
  <c r="Z294" i="24"/>
  <c r="S294" i="24"/>
  <c r="BT294" i="24"/>
  <c r="Q294" i="24"/>
  <c r="AW294" i="24"/>
  <c r="BQ294" i="24"/>
  <c r="AP294" i="24"/>
  <c r="AU294" i="24"/>
  <c r="BK294" i="24"/>
  <c r="BS294" i="24"/>
  <c r="BM294" i="24"/>
  <c r="AT294" i="24"/>
  <c r="W294" i="24"/>
  <c r="AH231" i="24"/>
  <c r="K285" i="24"/>
  <c r="K341" i="24"/>
  <c r="AQ203" i="24"/>
  <c r="AR203" i="24"/>
  <c r="AS203" i="24" s="1"/>
  <c r="AU334" i="24"/>
  <c r="S334" i="24"/>
  <c r="AN334" i="24"/>
  <c r="Q334" i="24"/>
  <c r="AP334" i="24"/>
  <c r="BK334" i="24"/>
  <c r="X334" i="24"/>
  <c r="BM334" i="24"/>
  <c r="Y334" i="24"/>
  <c r="BT334" i="24"/>
  <c r="AT334" i="24"/>
  <c r="AV334" i="24"/>
  <c r="BR334" i="24"/>
  <c r="AW334" i="24"/>
  <c r="BS334" i="24"/>
  <c r="W334" i="24"/>
  <c r="BQ334" i="24"/>
  <c r="Z334" i="24"/>
  <c r="U344" i="24"/>
  <c r="T344" i="24"/>
  <c r="T202" i="24"/>
  <c r="V202" i="24" s="1"/>
  <c r="U202" i="24"/>
  <c r="BF283" i="24"/>
  <c r="BE283" i="24"/>
  <c r="L275" i="23"/>
  <c r="K227" i="24"/>
  <c r="W232" i="24"/>
  <c r="X232" i="24"/>
  <c r="Y232" i="24"/>
  <c r="AN232" i="24"/>
  <c r="BT232" i="24"/>
  <c r="Q232" i="24"/>
  <c r="AT232" i="24"/>
  <c r="BK232" i="24"/>
  <c r="AU232" i="24"/>
  <c r="BR232" i="24"/>
  <c r="Z232" i="24"/>
  <c r="AV232" i="24"/>
  <c r="BS232" i="24"/>
  <c r="AW232" i="24"/>
  <c r="BQ232" i="24"/>
  <c r="BM232" i="24"/>
  <c r="S232" i="24"/>
  <c r="AP232" i="24"/>
  <c r="AX315" i="23"/>
  <c r="AW315" i="23"/>
  <c r="AX267" i="23"/>
  <c r="AW267" i="23"/>
  <c r="AQ328" i="24"/>
  <c r="AR328" i="24"/>
  <c r="AH302" i="24"/>
  <c r="BE278" i="24"/>
  <c r="BF278" i="24"/>
  <c r="L348" i="23"/>
  <c r="AW250" i="23"/>
  <c r="AX250" i="23"/>
  <c r="AX233" i="23"/>
  <c r="AW233" i="23"/>
  <c r="BE302" i="24"/>
  <c r="U260" i="24"/>
  <c r="T260" i="24"/>
  <c r="AH321" i="24"/>
  <c r="I330" i="24"/>
  <c r="L279" i="24"/>
  <c r="K279" i="24"/>
  <c r="BE293" i="24"/>
  <c r="L356" i="24"/>
  <c r="AW269" i="23"/>
  <c r="AX269" i="23"/>
  <c r="BN257" i="24"/>
  <c r="BP257" i="24" s="1"/>
  <c r="BO257" i="24"/>
  <c r="AW275" i="23"/>
  <c r="AX275" i="23"/>
  <c r="AW353" i="23"/>
  <c r="AX353" i="23"/>
  <c r="AQ237" i="24"/>
  <c r="AR237" i="24"/>
  <c r="AS237" i="24" s="1"/>
  <c r="BO265" i="24"/>
  <c r="BN265" i="24"/>
  <c r="BP265" i="24" s="1"/>
  <c r="AF263" i="24"/>
  <c r="L262" i="24"/>
  <c r="I246" i="24"/>
  <c r="BD338" i="23"/>
  <c r="BD344" i="23"/>
  <c r="AH281" i="24"/>
  <c r="I257" i="24"/>
  <c r="BF297" i="24"/>
  <c r="BF355" i="24"/>
  <c r="AF337" i="24"/>
  <c r="AI269" i="24"/>
  <c r="AH333" i="24"/>
  <c r="N267" i="23"/>
  <c r="Y267" i="23"/>
  <c r="I322" i="24"/>
  <c r="AF276" i="24"/>
  <c r="BE289" i="24"/>
  <c r="K328" i="24"/>
  <c r="K249" i="24"/>
  <c r="BE265" i="24"/>
  <c r="BD337" i="23"/>
  <c r="AH287" i="24"/>
  <c r="BE286" i="24"/>
  <c r="I91" i="24"/>
  <c r="AF184" i="24"/>
  <c r="L109" i="23"/>
  <c r="BF196" i="23"/>
  <c r="L196" i="24"/>
  <c r="BF358" i="23"/>
  <c r="L358" i="24"/>
  <c r="AI358" i="24"/>
  <c r="BD201" i="23"/>
  <c r="BD253" i="23"/>
  <c r="BD247" i="23"/>
  <c r="BD333" i="23"/>
  <c r="BD240" i="23"/>
  <c r="BD323" i="23"/>
  <c r="BD208" i="23"/>
  <c r="BD308" i="23"/>
  <c r="BD312" i="23"/>
  <c r="BD211" i="23"/>
  <c r="BD316" i="23"/>
  <c r="BF283" i="23"/>
  <c r="AI283" i="24"/>
  <c r="BD218" i="23"/>
  <c r="BD242" i="23"/>
  <c r="BD297" i="23"/>
  <c r="BD268" i="23"/>
  <c r="BD310" i="23"/>
  <c r="BD283" i="23"/>
  <c r="BD274" i="23"/>
  <c r="BE213" i="24"/>
  <c r="AR336" i="24"/>
  <c r="AQ336" i="24"/>
  <c r="AY201" i="23"/>
  <c r="AX201" i="23"/>
  <c r="AW201" i="23"/>
  <c r="BE234" i="24"/>
  <c r="BF234" i="24"/>
  <c r="Q356" i="24"/>
  <c r="BQ356" i="24"/>
  <c r="W356" i="24"/>
  <c r="BR356" i="24"/>
  <c r="X356" i="24"/>
  <c r="BS356" i="24"/>
  <c r="BM356" i="24"/>
  <c r="AW356" i="24"/>
  <c r="AN356" i="24"/>
  <c r="Y356" i="24"/>
  <c r="AT356" i="24"/>
  <c r="Z356" i="24"/>
  <c r="AV356" i="24"/>
  <c r="BK356" i="24"/>
  <c r="BT356" i="24"/>
  <c r="AP356" i="24"/>
  <c r="S356" i="24"/>
  <c r="AU356" i="24"/>
  <c r="AW325" i="23"/>
  <c r="AX325" i="23"/>
  <c r="AW324" i="23"/>
  <c r="AY324" i="23" s="1"/>
  <c r="AX324" i="23"/>
  <c r="AX342" i="23"/>
  <c r="AW342" i="23"/>
  <c r="BP350" i="24"/>
  <c r="BN350" i="24"/>
  <c r="BO350" i="24"/>
  <c r="U350" i="24"/>
  <c r="T350" i="24"/>
  <c r="AQ349" i="24"/>
  <c r="AR349" i="24"/>
  <c r="BO206" i="24"/>
  <c r="BN206" i="24"/>
  <c r="BP206" i="24" s="1"/>
  <c r="AH230" i="24"/>
  <c r="AI230" i="24"/>
  <c r="AN218" i="24"/>
  <c r="X218" i="24"/>
  <c r="AT218" i="24"/>
  <c r="AP218" i="24"/>
  <c r="BK218" i="24"/>
  <c r="BM218" i="24"/>
  <c r="BQ218" i="24"/>
  <c r="Z218" i="24"/>
  <c r="BR218" i="24"/>
  <c r="Q218" i="24"/>
  <c r="BS218" i="24"/>
  <c r="AU218" i="24"/>
  <c r="BT218" i="24"/>
  <c r="AV218" i="24"/>
  <c r="W218" i="24"/>
  <c r="AW218" i="24"/>
  <c r="Y218" i="24"/>
  <c r="S218" i="24"/>
  <c r="T345" i="24"/>
  <c r="U345" i="24"/>
  <c r="BO209" i="24"/>
  <c r="BN209" i="24"/>
  <c r="BP209" i="24" s="1"/>
  <c r="U251" i="24"/>
  <c r="T251" i="24"/>
  <c r="K311" i="24"/>
  <c r="BE336" i="24"/>
  <c r="BF336" i="24"/>
  <c r="AH207" i="24"/>
  <c r="T311" i="24"/>
  <c r="U311" i="24"/>
  <c r="BE204" i="24"/>
  <c r="BF204" i="24"/>
  <c r="BF225" i="24"/>
  <c r="BA47" i="24"/>
  <c r="H47" i="24"/>
  <c r="E47" i="24"/>
  <c r="F47" i="24" s="1"/>
  <c r="G47" i="24"/>
  <c r="AB47" i="24"/>
  <c r="AC47" i="24" s="1"/>
  <c r="AY47" i="24"/>
  <c r="AZ47" i="24" s="1"/>
  <c r="H47" i="23"/>
  <c r="I47" i="23" s="1"/>
  <c r="AD47" i="24"/>
  <c r="K47" i="23"/>
  <c r="AE47" i="24"/>
  <c r="G47" i="23"/>
  <c r="BB47" i="24"/>
  <c r="J47" i="23"/>
  <c r="W240" i="24"/>
  <c r="X240" i="24"/>
  <c r="Y240" i="24"/>
  <c r="AN240" i="24"/>
  <c r="S240" i="24"/>
  <c r="BT240" i="24"/>
  <c r="Q240" i="24"/>
  <c r="AT240" i="24"/>
  <c r="AU240" i="24"/>
  <c r="BQ240" i="24"/>
  <c r="AV240" i="24"/>
  <c r="BR240" i="24"/>
  <c r="AW240" i="24"/>
  <c r="Z240" i="24"/>
  <c r="BS240" i="24"/>
  <c r="BK240" i="24"/>
  <c r="AP240" i="24"/>
  <c r="BM240" i="24"/>
  <c r="BE209" i="24"/>
  <c r="K340" i="24"/>
  <c r="L340" i="24"/>
  <c r="BF196" i="24"/>
  <c r="AF347" i="24"/>
  <c r="BQ246" i="24"/>
  <c r="Z246" i="24"/>
  <c r="AW246" i="24"/>
  <c r="BK246" i="24"/>
  <c r="Y246" i="24"/>
  <c r="X246" i="24"/>
  <c r="Q246" i="24"/>
  <c r="AT246" i="24"/>
  <c r="BS246" i="24"/>
  <c r="BT246" i="24"/>
  <c r="W246" i="24"/>
  <c r="AV246" i="24"/>
  <c r="BM246" i="24"/>
  <c r="AP246" i="24"/>
  <c r="S246" i="24"/>
  <c r="AN246" i="24"/>
  <c r="BR246" i="24"/>
  <c r="AU246" i="24"/>
  <c r="BO225" i="24"/>
  <c r="BN225" i="24"/>
  <c r="BN295" i="24"/>
  <c r="BO295" i="24"/>
  <c r="BP295" i="24" s="1"/>
  <c r="U235" i="24"/>
  <c r="T235" i="24"/>
  <c r="BO202" i="24"/>
  <c r="BN202" i="24"/>
  <c r="BE262" i="24"/>
  <c r="BF262" i="24"/>
  <c r="BB24" i="24"/>
  <c r="AY24" i="24"/>
  <c r="AZ24" i="24" s="1"/>
  <c r="AE24" i="24"/>
  <c r="G24" i="24"/>
  <c r="H24" i="24"/>
  <c r="K24" i="23"/>
  <c r="E24" i="24"/>
  <c r="F24" i="24" s="1"/>
  <c r="H24" i="23"/>
  <c r="I24" i="23" s="1"/>
  <c r="AD24" i="24"/>
  <c r="J24" i="23"/>
  <c r="BA24" i="24"/>
  <c r="G24" i="23"/>
  <c r="AB24" i="24"/>
  <c r="AC24" i="24" s="1"/>
  <c r="AF24" i="24" s="1"/>
  <c r="U271" i="24"/>
  <c r="T271" i="24"/>
  <c r="AQ271" i="24"/>
  <c r="AR271" i="24"/>
  <c r="AS271" i="24" s="1"/>
  <c r="BO243" i="24"/>
  <c r="BP243" i="24" s="1"/>
  <c r="BN243" i="24"/>
  <c r="AH247" i="24"/>
  <c r="L306" i="23"/>
  <c r="AI234" i="24"/>
  <c r="Q250" i="24"/>
  <c r="Z250" i="24"/>
  <c r="AV250" i="24"/>
  <c r="BR250" i="24"/>
  <c r="BQ250" i="24"/>
  <c r="AN250" i="24"/>
  <c r="AU250" i="24"/>
  <c r="BM250" i="24"/>
  <c r="AT250" i="24"/>
  <c r="W250" i="24"/>
  <c r="AP250" i="24"/>
  <c r="Y250" i="24"/>
  <c r="S250" i="24"/>
  <c r="AW250" i="24"/>
  <c r="BK250" i="24"/>
  <c r="X250" i="24"/>
  <c r="BS250" i="24"/>
  <c r="BT250" i="24"/>
  <c r="AW303" i="23"/>
  <c r="AX303" i="23"/>
  <c r="AW319" i="23"/>
  <c r="AX319" i="23"/>
  <c r="AY319" i="23"/>
  <c r="AT233" i="24"/>
  <c r="AU233" i="24"/>
  <c r="BK233" i="24"/>
  <c r="Z233" i="24"/>
  <c r="AN233" i="24"/>
  <c r="X233" i="24"/>
  <c r="Y233" i="24"/>
  <c r="W233" i="24"/>
  <c r="BQ233" i="24"/>
  <c r="S233" i="24"/>
  <c r="Q233" i="24"/>
  <c r="AV233" i="24"/>
  <c r="BM233" i="24"/>
  <c r="BR233" i="24"/>
  <c r="BS233" i="24"/>
  <c r="AP233" i="24"/>
  <c r="BT233" i="24"/>
  <c r="AW233" i="24"/>
  <c r="AH290" i="24"/>
  <c r="AI290" i="24"/>
  <c r="I293" i="24"/>
  <c r="BE353" i="24"/>
  <c r="BF353" i="24"/>
  <c r="AU270" i="24"/>
  <c r="X270" i="24"/>
  <c r="AT270" i="24"/>
  <c r="BK270" i="24"/>
  <c r="Q270" i="24"/>
  <c r="W270" i="24"/>
  <c r="AW270" i="24"/>
  <c r="AP270" i="24"/>
  <c r="BT270" i="24"/>
  <c r="BR270" i="24"/>
  <c r="Z270" i="24"/>
  <c r="AV270" i="24"/>
  <c r="AN270" i="24"/>
  <c r="S270" i="24"/>
  <c r="BQ270" i="24"/>
  <c r="Y270" i="24"/>
  <c r="BM270" i="24"/>
  <c r="BS270" i="24"/>
  <c r="AW258" i="23"/>
  <c r="AX258" i="23"/>
  <c r="Q290" i="24"/>
  <c r="AV290" i="24"/>
  <c r="AW290" i="24"/>
  <c r="BK290" i="24"/>
  <c r="Z290" i="24"/>
  <c r="AT290" i="24"/>
  <c r="BQ290" i="24"/>
  <c r="AN290" i="24"/>
  <c r="BR290" i="24"/>
  <c r="BS290" i="24"/>
  <c r="W290" i="24"/>
  <c r="BT290" i="24"/>
  <c r="X290" i="24"/>
  <c r="Y290" i="24"/>
  <c r="AP290" i="24"/>
  <c r="S290" i="24"/>
  <c r="AU290" i="24"/>
  <c r="BM290" i="24"/>
  <c r="AW264" i="23"/>
  <c r="AX264" i="23"/>
  <c r="BN283" i="24"/>
  <c r="BO283" i="24"/>
  <c r="BP283" i="24" s="1"/>
  <c r="AX320" i="23"/>
  <c r="AW320" i="23"/>
  <c r="AQ216" i="24"/>
  <c r="AR216" i="24"/>
  <c r="AS216" i="24"/>
  <c r="AR322" i="24"/>
  <c r="AQ322" i="24"/>
  <c r="I263" i="24"/>
  <c r="K278" i="24"/>
  <c r="L278" i="24"/>
  <c r="AH233" i="24"/>
  <c r="BC316" i="24"/>
  <c r="AH200" i="24"/>
  <c r="BD294" i="23"/>
  <c r="AF224" i="24"/>
  <c r="L269" i="24"/>
  <c r="BC333" i="24"/>
  <c r="AI342" i="24"/>
  <c r="BF271" i="24"/>
  <c r="BC205" i="24"/>
  <c r="I232" i="24"/>
  <c r="BD243" i="23"/>
  <c r="BC217" i="24"/>
  <c r="I216" i="24"/>
  <c r="BC221" i="24"/>
  <c r="I294" i="24"/>
  <c r="BD284" i="23"/>
  <c r="O17" i="20"/>
  <c r="AY181" i="23"/>
  <c r="AY124" i="23"/>
  <c r="AY65" i="23"/>
  <c r="AY60" i="23"/>
  <c r="G102" i="22"/>
  <c r="C102" i="22"/>
  <c r="K93" i="22"/>
  <c r="L26" i="23"/>
  <c r="AS176" i="24"/>
  <c r="AS118" i="24"/>
  <c r="V187" i="24"/>
  <c r="BP141" i="24"/>
  <c r="BP130" i="24"/>
  <c r="AF34" i="24"/>
  <c r="AF151" i="24"/>
  <c r="I180" i="24"/>
  <c r="BC41" i="24"/>
  <c r="BE41" i="24" s="1"/>
  <c r="BC14" i="24"/>
  <c r="BE14" i="24" s="1"/>
  <c r="BC59" i="24"/>
  <c r="AY239" i="23"/>
  <c r="AY243" i="23"/>
  <c r="AY349" i="23"/>
  <c r="BD246" i="23"/>
  <c r="BD348" i="23"/>
  <c r="AY336" i="23"/>
  <c r="BD360" i="23"/>
  <c r="BD330" i="23"/>
  <c r="BD353" i="23"/>
  <c r="BD355" i="23"/>
  <c r="BD270" i="23"/>
  <c r="L197" i="23"/>
  <c r="BD311" i="23"/>
  <c r="BD290" i="23"/>
  <c r="BD221" i="23"/>
  <c r="BD321" i="23"/>
  <c r="BD341" i="23"/>
  <c r="L205" i="23"/>
  <c r="K292" i="24"/>
  <c r="L292" i="24"/>
  <c r="AX228" i="23"/>
  <c r="AW228" i="23"/>
  <c r="Q316" i="24"/>
  <c r="AW316" i="24"/>
  <c r="BM316" i="24"/>
  <c r="BQ316" i="24"/>
  <c r="BR316" i="24"/>
  <c r="AT316" i="24"/>
  <c r="BK316" i="24"/>
  <c r="Z316" i="24"/>
  <c r="Y316" i="24"/>
  <c r="BT316" i="24"/>
  <c r="AN316" i="24"/>
  <c r="AP316" i="24"/>
  <c r="BS316" i="24"/>
  <c r="X316" i="24"/>
  <c r="W316" i="24"/>
  <c r="AV316" i="24"/>
  <c r="AU316" i="24"/>
  <c r="S316" i="24"/>
  <c r="BA49" i="24"/>
  <c r="BB49" i="24"/>
  <c r="AY49" i="24"/>
  <c r="AZ49" i="24" s="1"/>
  <c r="G49" i="23"/>
  <c r="H49" i="24"/>
  <c r="J49" i="23"/>
  <c r="AB49" i="24"/>
  <c r="AC49" i="24" s="1"/>
  <c r="H49" i="23"/>
  <c r="I49" i="23" s="1"/>
  <c r="AD49" i="24"/>
  <c r="G49" i="24"/>
  <c r="K49" i="23"/>
  <c r="E49" i="24"/>
  <c r="F49" i="24" s="1"/>
  <c r="AE49" i="24"/>
  <c r="BN263" i="24"/>
  <c r="BO263" i="24"/>
  <c r="AI196" i="24"/>
  <c r="K235" i="24"/>
  <c r="L235" i="24"/>
  <c r="AW205" i="23"/>
  <c r="AX205" i="23"/>
  <c r="AW358" i="23"/>
  <c r="AX358" i="23"/>
  <c r="X342" i="24"/>
  <c r="AV342" i="24"/>
  <c r="BQ342" i="24"/>
  <c r="AW342" i="24"/>
  <c r="BR342" i="24"/>
  <c r="AN342" i="24"/>
  <c r="BS342" i="24"/>
  <c r="AU342" i="24"/>
  <c r="AP342" i="24"/>
  <c r="BT342" i="24"/>
  <c r="BM342" i="24"/>
  <c r="AT342" i="24"/>
  <c r="Q342" i="24"/>
  <c r="Y342" i="24"/>
  <c r="Z342" i="24"/>
  <c r="W342" i="24"/>
  <c r="BK342" i="24"/>
  <c r="S342" i="24"/>
  <c r="T255" i="24"/>
  <c r="U255" i="24"/>
  <c r="L229" i="24"/>
  <c r="K229" i="24"/>
  <c r="BE202" i="24"/>
  <c r="BF202" i="24"/>
  <c r="BK305" i="24"/>
  <c r="Y305" i="24"/>
  <c r="BS305" i="24"/>
  <c r="BR305" i="24"/>
  <c r="BM305" i="24"/>
  <c r="W305" i="24"/>
  <c r="BQ305" i="24"/>
  <c r="Q305" i="24"/>
  <c r="AU305" i="24"/>
  <c r="BT305" i="24"/>
  <c r="X305" i="24"/>
  <c r="AV305" i="24"/>
  <c r="AT305" i="24"/>
  <c r="AW305" i="24"/>
  <c r="AN305" i="24"/>
  <c r="Z305" i="24"/>
  <c r="AP305" i="24"/>
  <c r="S305" i="24"/>
  <c r="Q346" i="24"/>
  <c r="Z346" i="24"/>
  <c r="AN346" i="24"/>
  <c r="AT346" i="24"/>
  <c r="AV346" i="24"/>
  <c r="Y346" i="24"/>
  <c r="BK346" i="24"/>
  <c r="W346" i="24"/>
  <c r="BT346" i="24"/>
  <c r="X346" i="24"/>
  <c r="BQ346" i="24"/>
  <c r="AW346" i="24"/>
  <c r="BR346" i="24"/>
  <c r="BS346" i="24"/>
  <c r="BM346" i="24"/>
  <c r="AU346" i="24"/>
  <c r="S346" i="24"/>
  <c r="AP346" i="24"/>
  <c r="AQ213" i="24"/>
  <c r="AS213" i="24" s="1"/>
  <c r="AR213" i="24"/>
  <c r="BE359" i="24"/>
  <c r="AI214" i="24"/>
  <c r="AH214" i="24"/>
  <c r="AR217" i="24"/>
  <c r="AQ217" i="24"/>
  <c r="BN311" i="24"/>
  <c r="BO311" i="24"/>
  <c r="AR308" i="24"/>
  <c r="AQ308" i="24"/>
  <c r="BE227" i="24"/>
  <c r="AX351" i="23"/>
  <c r="AW351" i="23"/>
  <c r="AY351" i="23" s="1"/>
  <c r="BS273" i="24"/>
  <c r="Q273" i="24"/>
  <c r="AV273" i="24"/>
  <c r="X273" i="24"/>
  <c r="AW273" i="24"/>
  <c r="BR273" i="24"/>
  <c r="Z273" i="24"/>
  <c r="BK273" i="24"/>
  <c r="AN273" i="24"/>
  <c r="BM273" i="24"/>
  <c r="AU273" i="24"/>
  <c r="AT273" i="24"/>
  <c r="AP273" i="24"/>
  <c r="Y273" i="24"/>
  <c r="BT273" i="24"/>
  <c r="W273" i="24"/>
  <c r="S273" i="24"/>
  <c r="BQ273" i="24"/>
  <c r="AW256" i="23"/>
  <c r="AX256" i="23"/>
  <c r="AR360" i="24"/>
  <c r="AQ360" i="24"/>
  <c r="AF285" i="24"/>
  <c r="N346" i="23"/>
  <c r="Y346" i="23"/>
  <c r="AI346" i="24" s="1"/>
  <c r="AN278" i="24"/>
  <c r="Z278" i="24"/>
  <c r="BS278" i="24"/>
  <c r="BT278" i="24"/>
  <c r="W278" i="24"/>
  <c r="X278" i="24"/>
  <c r="BR278" i="24"/>
  <c r="AV278" i="24"/>
  <c r="BK278" i="24"/>
  <c r="AT278" i="24"/>
  <c r="BM278" i="24"/>
  <c r="Q278" i="24"/>
  <c r="Y278" i="24"/>
  <c r="AU278" i="24"/>
  <c r="BQ278" i="24"/>
  <c r="AP278" i="24"/>
  <c r="S278" i="24"/>
  <c r="AW278" i="24"/>
  <c r="U197" i="24"/>
  <c r="T197" i="24"/>
  <c r="AI277" i="24"/>
  <c r="AH277" i="24"/>
  <c r="G159" i="23"/>
  <c r="AD159" i="24"/>
  <c r="AY159" i="24"/>
  <c r="AZ159" i="24" s="1"/>
  <c r="AB159" i="24"/>
  <c r="AC159" i="24" s="1"/>
  <c r="AF159" i="24" s="1"/>
  <c r="H159" i="24"/>
  <c r="BA159" i="24"/>
  <c r="AE159" i="24"/>
  <c r="G159" i="24"/>
  <c r="H159" i="23"/>
  <c r="I159" i="23" s="1"/>
  <c r="BB159" i="24"/>
  <c r="K159" i="23"/>
  <c r="E159" i="24"/>
  <c r="F159" i="24" s="1"/>
  <c r="J159" i="23"/>
  <c r="Q196" i="24"/>
  <c r="AP196" i="24"/>
  <c r="W196" i="24"/>
  <c r="AT196" i="24"/>
  <c r="AU196" i="24"/>
  <c r="S196" i="24"/>
  <c r="BS196" i="24"/>
  <c r="BK196" i="24"/>
  <c r="BT196" i="24"/>
  <c r="BM196" i="24"/>
  <c r="Y196" i="24"/>
  <c r="AW196" i="24"/>
  <c r="BQ196" i="24"/>
  <c r="AN196" i="24"/>
  <c r="AV196" i="24"/>
  <c r="BR196" i="24"/>
  <c r="Z196" i="24"/>
  <c r="X196" i="24"/>
  <c r="Q306" i="24"/>
  <c r="AP306" i="24"/>
  <c r="AT306" i="24"/>
  <c r="AW306" i="24"/>
  <c r="BK306" i="24"/>
  <c r="Z306" i="24"/>
  <c r="BT306" i="24"/>
  <c r="W306" i="24"/>
  <c r="X306" i="24"/>
  <c r="Y306" i="24"/>
  <c r="BS306" i="24"/>
  <c r="AN306" i="24"/>
  <c r="BR306" i="24"/>
  <c r="BM306" i="24"/>
  <c r="BQ306" i="24"/>
  <c r="S306" i="24"/>
  <c r="AU306" i="24"/>
  <c r="AV306" i="24"/>
  <c r="AW212" i="23"/>
  <c r="AX212" i="23"/>
  <c r="AQ248" i="24"/>
  <c r="AR248" i="24"/>
  <c r="BO271" i="24"/>
  <c r="BN271" i="24"/>
  <c r="AH307" i="24"/>
  <c r="AX285" i="23"/>
  <c r="AW285" i="23"/>
  <c r="AQ220" i="24"/>
  <c r="AR220" i="24"/>
  <c r="U219" i="24"/>
  <c r="T219" i="24"/>
  <c r="BF298" i="24"/>
  <c r="BE298" i="24"/>
  <c r="AH330" i="24"/>
  <c r="BE342" i="24"/>
  <c r="BF342" i="24"/>
  <c r="AX310" i="23"/>
  <c r="AW310" i="23"/>
  <c r="U337" i="24"/>
  <c r="T337" i="24"/>
  <c r="AI335" i="24"/>
  <c r="AR280" i="24"/>
  <c r="AQ280" i="24"/>
  <c r="AS280" i="24" s="1"/>
  <c r="W353" i="24"/>
  <c r="BS353" i="24"/>
  <c r="BT353" i="24"/>
  <c r="AW353" i="24"/>
  <c r="BR353" i="24"/>
  <c r="Z353" i="24"/>
  <c r="Y353" i="24"/>
  <c r="AV353" i="24"/>
  <c r="Q353" i="24"/>
  <c r="X353" i="24"/>
  <c r="BQ353" i="24"/>
  <c r="AN353" i="24"/>
  <c r="AT353" i="24"/>
  <c r="AU353" i="24"/>
  <c r="BK353" i="24"/>
  <c r="BM353" i="24"/>
  <c r="S353" i="24"/>
  <c r="AP353" i="24"/>
  <c r="AU200" i="24"/>
  <c r="Q200" i="24"/>
  <c r="X200" i="24"/>
  <c r="AW200" i="24"/>
  <c r="AN200" i="24"/>
  <c r="AV200" i="24"/>
  <c r="BR200" i="24"/>
  <c r="W200" i="24"/>
  <c r="BS200" i="24"/>
  <c r="AP200" i="24"/>
  <c r="Y200" i="24"/>
  <c r="BT200" i="24"/>
  <c r="Z200" i="24"/>
  <c r="BK200" i="24"/>
  <c r="BQ200" i="24"/>
  <c r="S200" i="24"/>
  <c r="AT200" i="24"/>
  <c r="BM200" i="24"/>
  <c r="BN237" i="24"/>
  <c r="BO237" i="24"/>
  <c r="U210" i="24"/>
  <c r="T210" i="24"/>
  <c r="L223" i="24"/>
  <c r="AI336" i="24"/>
  <c r="AI353" i="24"/>
  <c r="AH331" i="24"/>
  <c r="I281" i="24"/>
  <c r="BF250" i="24"/>
  <c r="BF329" i="24"/>
  <c r="BE198" i="24"/>
  <c r="K326" i="24"/>
  <c r="K238" i="24"/>
  <c r="BD266" i="23"/>
  <c r="AI319" i="24"/>
  <c r="AH319" i="24"/>
  <c r="N218" i="23"/>
  <c r="Y218" i="23"/>
  <c r="AI218" i="24" s="1"/>
  <c r="L250" i="24"/>
  <c r="BD282" i="23"/>
  <c r="K205" i="24"/>
  <c r="BE334" i="24"/>
  <c r="BC197" i="24"/>
  <c r="AH221" i="24"/>
  <c r="AF328" i="24"/>
  <c r="BE260" i="24"/>
  <c r="L119" i="23"/>
  <c r="L177" i="23"/>
  <c r="L167" i="23"/>
  <c r="L98" i="23"/>
  <c r="BP114" i="24"/>
  <c r="V157" i="24"/>
  <c r="V116" i="24"/>
  <c r="BP77" i="24"/>
  <c r="AS41" i="24"/>
  <c r="I181" i="24"/>
  <c r="K181" i="24" s="1"/>
  <c r="BC172" i="24"/>
  <c r="BC176" i="24"/>
  <c r="I145" i="24"/>
  <c r="I171" i="24"/>
  <c r="BC96" i="24"/>
  <c r="BC29" i="24"/>
  <c r="I23" i="24"/>
  <c r="BC51" i="24"/>
  <c r="I102" i="24"/>
  <c r="BC21" i="24"/>
  <c r="AF139" i="24"/>
  <c r="BC180" i="24"/>
  <c r="BE180" i="24" s="1"/>
  <c r="I92" i="24"/>
  <c r="BC77" i="24"/>
  <c r="I59" i="24"/>
  <c r="BD264" i="23"/>
  <c r="BD319" i="23"/>
  <c r="BD269" i="23"/>
  <c r="BD326" i="23"/>
  <c r="L326" i="23"/>
  <c r="AY249" i="23"/>
  <c r="BD291" i="23"/>
  <c r="L256" i="23"/>
  <c r="BD206" i="23"/>
  <c r="BD288" i="23"/>
  <c r="BD209" i="23"/>
  <c r="AY335" i="23"/>
  <c r="BD236" i="23"/>
  <c r="BD358" i="23"/>
  <c r="BD301" i="23"/>
  <c r="AY244" i="23"/>
  <c r="L260" i="23"/>
  <c r="L295" i="23"/>
  <c r="BD335" i="23"/>
  <c r="BD313" i="23"/>
  <c r="BF211" i="23"/>
  <c r="BF211" i="24"/>
  <c r="AW214" i="23"/>
  <c r="AX214" i="23"/>
  <c r="K253" i="24"/>
  <c r="L253" i="24"/>
  <c r="AR263" i="24"/>
  <c r="AQ263" i="24"/>
  <c r="K304" i="24"/>
  <c r="L315" i="24"/>
  <c r="K315" i="24"/>
  <c r="BE226" i="24"/>
  <c r="BF226" i="24"/>
  <c r="BM205" i="24"/>
  <c r="S205" i="24"/>
  <c r="AT205" i="24"/>
  <c r="Q205" i="24"/>
  <c r="BR205" i="24"/>
  <c r="AW205" i="24"/>
  <c r="BT205" i="24"/>
  <c r="AU205" i="24"/>
  <c r="BS205" i="24"/>
  <c r="AN205" i="24"/>
  <c r="AP205" i="24"/>
  <c r="W205" i="24"/>
  <c r="X205" i="24"/>
  <c r="Y205" i="24"/>
  <c r="Z205" i="24"/>
  <c r="BQ205" i="24"/>
  <c r="BK205" i="24"/>
  <c r="AV205" i="24"/>
  <c r="Y324" i="24"/>
  <c r="AN324" i="24"/>
  <c r="AT324" i="24"/>
  <c r="AU324" i="24"/>
  <c r="BM324" i="24"/>
  <c r="W324" i="24"/>
  <c r="BQ324" i="24"/>
  <c r="S324" i="24"/>
  <c r="Q324" i="24"/>
  <c r="AP324" i="24"/>
  <c r="Z324" i="24"/>
  <c r="BS324" i="24"/>
  <c r="BT324" i="24"/>
  <c r="AV324" i="24"/>
  <c r="X324" i="24"/>
  <c r="AW324" i="24"/>
  <c r="BK324" i="24"/>
  <c r="BR324" i="24"/>
  <c r="T354" i="24"/>
  <c r="U354" i="24"/>
  <c r="AR206" i="24"/>
  <c r="AQ206" i="24"/>
  <c r="BN226" i="24"/>
  <c r="BO226" i="24"/>
  <c r="BN276" i="24"/>
  <c r="BO276" i="24"/>
  <c r="BO255" i="24"/>
  <c r="BN255" i="24"/>
  <c r="K207" i="24"/>
  <c r="AV277" i="24"/>
  <c r="BK277" i="24"/>
  <c r="AT277" i="24"/>
  <c r="AU277" i="24"/>
  <c r="BM277" i="24"/>
  <c r="Z277" i="24"/>
  <c r="AP277" i="24"/>
  <c r="BT277" i="24"/>
  <c r="Y277" i="24"/>
  <c r="BS277" i="24"/>
  <c r="X277" i="24"/>
  <c r="AN277" i="24"/>
  <c r="AW277" i="24"/>
  <c r="Q277" i="24"/>
  <c r="S277" i="24"/>
  <c r="W277" i="24"/>
  <c r="BR277" i="24"/>
  <c r="BQ277" i="24"/>
  <c r="U209" i="24"/>
  <c r="T209" i="24"/>
  <c r="W301" i="24"/>
  <c r="X301" i="24"/>
  <c r="AN301" i="24"/>
  <c r="Z301" i="24"/>
  <c r="AT301" i="24"/>
  <c r="Q301" i="24"/>
  <c r="BT301" i="24"/>
  <c r="BS301" i="24"/>
  <c r="AU301" i="24"/>
  <c r="AV301" i="24"/>
  <c r="AW301" i="24"/>
  <c r="BR301" i="24"/>
  <c r="BK301" i="24"/>
  <c r="BQ301" i="24"/>
  <c r="S301" i="24"/>
  <c r="AP301" i="24"/>
  <c r="BM301" i="24"/>
  <c r="Y301" i="24"/>
  <c r="AW236" i="23"/>
  <c r="AX236" i="23"/>
  <c r="AW230" i="24"/>
  <c r="BK230" i="24"/>
  <c r="S230" i="24"/>
  <c r="AN230" i="24"/>
  <c r="Z230" i="24"/>
  <c r="BQ230" i="24"/>
  <c r="AP230" i="24"/>
  <c r="AV230" i="24"/>
  <c r="X230" i="24"/>
  <c r="Q230" i="24"/>
  <c r="BM230" i="24"/>
  <c r="AU230" i="24"/>
  <c r="Y230" i="24"/>
  <c r="AT230" i="24"/>
  <c r="BT230" i="24"/>
  <c r="W230" i="24"/>
  <c r="BR230" i="24"/>
  <c r="BS230" i="24"/>
  <c r="U326" i="24"/>
  <c r="T326" i="24"/>
  <c r="T355" i="24"/>
  <c r="U355" i="24"/>
  <c r="Q351" i="24"/>
  <c r="BR351" i="24"/>
  <c r="BS351" i="24"/>
  <c r="W351" i="24"/>
  <c r="BT351" i="24"/>
  <c r="BQ351" i="24"/>
  <c r="BK351" i="24"/>
  <c r="X351" i="24"/>
  <c r="AN351" i="24"/>
  <c r="Y351" i="24"/>
  <c r="AT351" i="24"/>
  <c r="AV351" i="24"/>
  <c r="AW351" i="24"/>
  <c r="Z351" i="24"/>
  <c r="AP351" i="24"/>
  <c r="BM351" i="24"/>
  <c r="AU351" i="24"/>
  <c r="S351" i="24"/>
  <c r="AW227" i="23"/>
  <c r="AX227" i="23"/>
  <c r="BN266" i="24"/>
  <c r="BO266" i="24"/>
  <c r="BO321" i="24"/>
  <c r="BN321" i="24"/>
  <c r="AQ289" i="24"/>
  <c r="AR289" i="24"/>
  <c r="AS289" i="24" s="1"/>
  <c r="BF301" i="24"/>
  <c r="BE301" i="24"/>
  <c r="AI202" i="24"/>
  <c r="AN253" i="24"/>
  <c r="Z253" i="24"/>
  <c r="AU253" i="24"/>
  <c r="AV253" i="24"/>
  <c r="BR253" i="24"/>
  <c r="BS253" i="24"/>
  <c r="AW253" i="24"/>
  <c r="X253" i="24"/>
  <c r="BK253" i="24"/>
  <c r="AP253" i="24"/>
  <c r="BT253" i="24"/>
  <c r="W253" i="24"/>
  <c r="S253" i="24"/>
  <c r="BQ253" i="24"/>
  <c r="Y253" i="24"/>
  <c r="BM253" i="24"/>
  <c r="Q253" i="24"/>
  <c r="AT253" i="24"/>
  <c r="BO197" i="24"/>
  <c r="BN197" i="24"/>
  <c r="I275" i="24"/>
  <c r="T198" i="24"/>
  <c r="U198" i="24"/>
  <c r="AW247" i="23"/>
  <c r="AX247" i="23"/>
  <c r="Q267" i="24"/>
  <c r="AW267" i="24"/>
  <c r="BK267" i="24"/>
  <c r="BQ267" i="24"/>
  <c r="W267" i="24"/>
  <c r="BR267" i="24"/>
  <c r="AV267" i="24"/>
  <c r="AU267" i="24"/>
  <c r="Z267" i="24"/>
  <c r="AT267" i="24"/>
  <c r="BT267" i="24"/>
  <c r="Y267" i="24"/>
  <c r="BS267" i="24"/>
  <c r="X267" i="24"/>
  <c r="AN267" i="24"/>
  <c r="AP267" i="24"/>
  <c r="S267" i="24"/>
  <c r="BM267" i="24"/>
  <c r="AW252" i="23"/>
  <c r="AX252" i="23"/>
  <c r="BO254" i="24"/>
  <c r="BN254" i="24"/>
  <c r="T231" i="24"/>
  <c r="U231" i="24"/>
  <c r="AH355" i="24"/>
  <c r="AI355" i="24"/>
  <c r="BE215" i="24"/>
  <c r="BF215" i="24"/>
  <c r="BS208" i="24"/>
  <c r="BK208" i="24"/>
  <c r="AP208" i="24"/>
  <c r="X208" i="24"/>
  <c r="Q208" i="24"/>
  <c r="AW208" i="24"/>
  <c r="BR208" i="24"/>
  <c r="Y208" i="24"/>
  <c r="S208" i="24"/>
  <c r="BM208" i="24"/>
  <c r="AV208" i="24"/>
  <c r="AN208" i="24"/>
  <c r="Z208" i="24"/>
  <c r="AT208" i="24"/>
  <c r="AU208" i="24"/>
  <c r="BT208" i="24"/>
  <c r="W208" i="24"/>
  <c r="BQ208" i="24"/>
  <c r="AW319" i="24"/>
  <c r="BK319" i="24"/>
  <c r="Q319" i="24"/>
  <c r="BM319" i="24"/>
  <c r="AU319" i="24"/>
  <c r="S319" i="24"/>
  <c r="W319" i="24"/>
  <c r="AN319" i="24"/>
  <c r="BQ319" i="24"/>
  <c r="Y319" i="24"/>
  <c r="Z319" i="24"/>
  <c r="X319" i="24"/>
  <c r="BR319" i="24"/>
  <c r="AT319" i="24"/>
  <c r="BT319" i="24"/>
  <c r="BS319" i="24"/>
  <c r="AP319" i="24"/>
  <c r="AV319" i="24"/>
  <c r="AW362" i="23"/>
  <c r="AX362" i="23"/>
  <c r="BO220" i="24"/>
  <c r="BN220" i="24"/>
  <c r="BO261" i="24"/>
  <c r="BN261" i="24"/>
  <c r="BN219" i="24"/>
  <c r="BO219" i="24"/>
  <c r="BO244" i="24"/>
  <c r="BN244" i="24"/>
  <c r="L142" i="23"/>
  <c r="AH223" i="24"/>
  <c r="AI223" i="24"/>
  <c r="K310" i="24"/>
  <c r="L310" i="24"/>
  <c r="L274" i="24"/>
  <c r="K274" i="24"/>
  <c r="AX313" i="23"/>
  <c r="AW313" i="23"/>
  <c r="W310" i="24"/>
  <c r="Q310" i="24"/>
  <c r="X310" i="24"/>
  <c r="BM310" i="24"/>
  <c r="AV310" i="24"/>
  <c r="BS310" i="24"/>
  <c r="Y310" i="24"/>
  <c r="AT310" i="24"/>
  <c r="BR310" i="24"/>
  <c r="BT310" i="24"/>
  <c r="AU310" i="24"/>
  <c r="BK310" i="24"/>
  <c r="AP310" i="24"/>
  <c r="Z310" i="24"/>
  <c r="AN310" i="24"/>
  <c r="S310" i="24"/>
  <c r="AW310" i="24"/>
  <c r="BQ310" i="24"/>
  <c r="BT269" i="24"/>
  <c r="Y269" i="24"/>
  <c r="Z269" i="24"/>
  <c r="X269" i="24"/>
  <c r="W269" i="24"/>
  <c r="AW269" i="24"/>
  <c r="BK269" i="24"/>
  <c r="BQ269" i="24"/>
  <c r="AT269" i="24"/>
  <c r="AV269" i="24"/>
  <c r="BR269" i="24"/>
  <c r="BM269" i="24"/>
  <c r="AU269" i="24"/>
  <c r="S269" i="24"/>
  <c r="BS269" i="24"/>
  <c r="Q269" i="24"/>
  <c r="AP269" i="24"/>
  <c r="AN269" i="24"/>
  <c r="BN337" i="24"/>
  <c r="BO337" i="24"/>
  <c r="AX329" i="23"/>
  <c r="AW329" i="23"/>
  <c r="AX268" i="23"/>
  <c r="AW268" i="23"/>
  <c r="AY268" i="23" s="1"/>
  <c r="U265" i="24"/>
  <c r="T265" i="24"/>
  <c r="K267" i="24"/>
  <c r="L267" i="24"/>
  <c r="BC251" i="24"/>
  <c r="AF257" i="24"/>
  <c r="BF349" i="24"/>
  <c r="BE349" i="24"/>
  <c r="L353" i="24"/>
  <c r="BC313" i="24"/>
  <c r="AI301" i="24"/>
  <c r="AH218" i="24"/>
  <c r="AI243" i="24"/>
  <c r="L320" i="24"/>
  <c r="I295" i="24"/>
  <c r="BD296" i="23"/>
  <c r="K360" i="24"/>
  <c r="I219" i="24"/>
  <c r="AF205" i="24"/>
  <c r="BD226" i="23"/>
  <c r="AF322" i="24"/>
  <c r="K197" i="24"/>
  <c r="BD281" i="23"/>
  <c r="BD231" i="23"/>
  <c r="AF248" i="24"/>
  <c r="BC287" i="24"/>
  <c r="I266" i="24"/>
  <c r="I186" i="24"/>
  <c r="BC136" i="24"/>
  <c r="BC86" i="24"/>
  <c r="I193" i="24"/>
  <c r="AF81" i="24"/>
  <c r="I116" i="24"/>
  <c r="I15" i="24"/>
  <c r="BC57" i="24"/>
  <c r="BE57" i="24" s="1"/>
  <c r="BD277" i="23"/>
  <c r="BD256" i="23"/>
  <c r="BD300" i="23"/>
  <c r="BD241" i="23"/>
  <c r="BD279" i="23"/>
  <c r="BD263" i="23"/>
  <c r="BD262" i="23"/>
  <c r="BD315" i="23"/>
  <c r="BD265" i="23"/>
  <c r="BD309" i="23"/>
  <c r="BD203" i="23"/>
  <c r="BF203" i="23"/>
  <c r="BF203" i="24"/>
  <c r="BF228" i="23"/>
  <c r="AI228" i="24"/>
  <c r="AX300" i="23"/>
  <c r="AW300" i="23"/>
  <c r="S274" i="24"/>
  <c r="W274" i="24"/>
  <c r="AV274" i="24"/>
  <c r="BK274" i="24"/>
  <c r="BT274" i="24"/>
  <c r="Z274" i="24"/>
  <c r="AN274" i="24"/>
  <c r="BM274" i="24"/>
  <c r="Y274" i="24"/>
  <c r="AT274" i="24"/>
  <c r="X274" i="24"/>
  <c r="AP274" i="24"/>
  <c r="BQ274" i="24"/>
  <c r="BS274" i="24"/>
  <c r="Q274" i="24"/>
  <c r="AU274" i="24"/>
  <c r="AW274" i="24"/>
  <c r="BR274" i="24"/>
  <c r="X214" i="24"/>
  <c r="BS214" i="24"/>
  <c r="AT214" i="24"/>
  <c r="AW214" i="24"/>
  <c r="BR214" i="24"/>
  <c r="BT214" i="24"/>
  <c r="AV214" i="24"/>
  <c r="BQ214" i="24"/>
  <c r="Z214" i="24"/>
  <c r="Y214" i="24"/>
  <c r="Q214" i="24"/>
  <c r="AP214" i="24"/>
  <c r="AU214" i="24"/>
  <c r="S214" i="24"/>
  <c r="AN214" i="24"/>
  <c r="W214" i="24"/>
  <c r="BK214" i="24"/>
  <c r="BM214" i="24"/>
  <c r="BN286" i="24"/>
  <c r="BO286" i="24"/>
  <c r="L305" i="24"/>
  <c r="K305" i="24"/>
  <c r="BE233" i="24"/>
  <c r="AI292" i="24"/>
  <c r="AH292" i="24"/>
  <c r="AX292" i="23"/>
  <c r="AW292" i="23"/>
  <c r="BN359" i="24"/>
  <c r="BO359" i="24"/>
  <c r="AQ350" i="24"/>
  <c r="AR350" i="24"/>
  <c r="BO349" i="24"/>
  <c r="BN349" i="24"/>
  <c r="T226" i="24"/>
  <c r="U226" i="24"/>
  <c r="N200" i="23"/>
  <c r="Y200" i="23"/>
  <c r="BF200" i="24" s="1"/>
  <c r="U281" i="24"/>
  <c r="T281" i="24"/>
  <c r="AQ209" i="24"/>
  <c r="AR209" i="24"/>
  <c r="AS209" i="24" s="1"/>
  <c r="AR251" i="24"/>
  <c r="AQ251" i="24"/>
  <c r="AS251" i="24" s="1"/>
  <c r="T317" i="24"/>
  <c r="U317" i="24"/>
  <c r="I242" i="24"/>
  <c r="L208" i="24"/>
  <c r="U217" i="24"/>
  <c r="T217" i="24"/>
  <c r="V217" i="24" s="1"/>
  <c r="AW195" i="23"/>
  <c r="AX195" i="23"/>
  <c r="Q361" i="24"/>
  <c r="Z361" i="24"/>
  <c r="BS361" i="24"/>
  <c r="BT361" i="24"/>
  <c r="AN361" i="24"/>
  <c r="Y361" i="24"/>
  <c r="BR361" i="24"/>
  <c r="W361" i="24"/>
  <c r="X361" i="24"/>
  <c r="AP361" i="24"/>
  <c r="AW361" i="24"/>
  <c r="BK361" i="24"/>
  <c r="BQ361" i="24"/>
  <c r="AT361" i="24"/>
  <c r="AV361" i="24"/>
  <c r="BM361" i="24"/>
  <c r="S361" i="24"/>
  <c r="AU361" i="24"/>
  <c r="AX332" i="23"/>
  <c r="AW332" i="23"/>
  <c r="AX272" i="23"/>
  <c r="AW272" i="23"/>
  <c r="BO296" i="24"/>
  <c r="BN296" i="24"/>
  <c r="BP296" i="24" s="1"/>
  <c r="BN355" i="24"/>
  <c r="BO355" i="24"/>
  <c r="BN199" i="24"/>
  <c r="BO199" i="24"/>
  <c r="L203" i="24"/>
  <c r="BE207" i="24"/>
  <c r="AW348" i="23"/>
  <c r="AX348" i="23"/>
  <c r="T266" i="24"/>
  <c r="U266" i="24"/>
  <c r="V266" i="24" s="1"/>
  <c r="AQ323" i="24"/>
  <c r="AR323" i="24"/>
  <c r="T321" i="24"/>
  <c r="U321" i="24"/>
  <c r="BO289" i="24"/>
  <c r="BN289" i="24"/>
  <c r="L344" i="24"/>
  <c r="K344" i="24"/>
  <c r="AX246" i="23"/>
  <c r="AW246" i="23"/>
  <c r="AW299" i="23"/>
  <c r="AY299" i="23" s="1"/>
  <c r="AX299" i="23"/>
  <c r="AW327" i="23"/>
  <c r="AX327" i="23"/>
  <c r="AY327" i="23" s="1"/>
  <c r="AX347" i="23"/>
  <c r="AW347" i="23"/>
  <c r="AY347" i="23" s="1"/>
  <c r="AX224" i="23"/>
  <c r="AY224" i="23" s="1"/>
  <c r="AW224" i="23"/>
  <c r="AH203" i="24"/>
  <c r="AI203" i="24"/>
  <c r="AH359" i="24"/>
  <c r="AF275" i="24"/>
  <c r="BE352" i="24"/>
  <c r="BF352" i="24"/>
  <c r="AQ198" i="24"/>
  <c r="AR198" i="24"/>
  <c r="AP212" i="24"/>
  <c r="Q212" i="24"/>
  <c r="AW212" i="24"/>
  <c r="BK212" i="24"/>
  <c r="W212" i="24"/>
  <c r="Z212" i="24"/>
  <c r="AT212" i="24"/>
  <c r="BQ212" i="24"/>
  <c r="AU212" i="24"/>
  <c r="BR212" i="24"/>
  <c r="Y212" i="24"/>
  <c r="AN212" i="24"/>
  <c r="BS212" i="24"/>
  <c r="BT212" i="24"/>
  <c r="AV212" i="24"/>
  <c r="X212" i="24"/>
  <c r="BM212" i="24"/>
  <c r="S212" i="24"/>
  <c r="AR254" i="24"/>
  <c r="AQ254" i="24"/>
  <c r="AS254" i="24" s="1"/>
  <c r="T254" i="24"/>
  <c r="V254" i="24" s="1"/>
  <c r="U254" i="24"/>
  <c r="AI208" i="24"/>
  <c r="AH208" i="24"/>
  <c r="AF306" i="24"/>
  <c r="H12" i="23"/>
  <c r="I12" i="23" s="1"/>
  <c r="J12" i="23"/>
  <c r="AD12" i="24"/>
  <c r="AY12" i="24"/>
  <c r="AZ12" i="24" s="1"/>
  <c r="H12" i="24"/>
  <c r="AE12" i="24"/>
  <c r="K12" i="23"/>
  <c r="AB12" i="24"/>
  <c r="AC12" i="24" s="1"/>
  <c r="AF12" i="24" s="1"/>
  <c r="AH12" i="24" s="1"/>
  <c r="G12" i="23"/>
  <c r="BA12" i="24"/>
  <c r="E12" i="24"/>
  <c r="F12" i="24" s="1"/>
  <c r="BB12" i="24"/>
  <c r="G12" i="24"/>
  <c r="Q303" i="24"/>
  <c r="AN303" i="24"/>
  <c r="X303" i="24"/>
  <c r="AT303" i="24"/>
  <c r="Y303" i="24"/>
  <c r="AW303" i="24"/>
  <c r="BQ303" i="24"/>
  <c r="BT303" i="24"/>
  <c r="BR303" i="24"/>
  <c r="BS303" i="24"/>
  <c r="BK303" i="24"/>
  <c r="W303" i="24"/>
  <c r="Z303" i="24"/>
  <c r="AP303" i="24"/>
  <c r="BM303" i="24"/>
  <c r="S303" i="24"/>
  <c r="AU303" i="24"/>
  <c r="AV303" i="24"/>
  <c r="BS362" i="24"/>
  <c r="AT362" i="24"/>
  <c r="Q362" i="24"/>
  <c r="AU362" i="24"/>
  <c r="X362" i="24"/>
  <c r="Y362" i="24"/>
  <c r="BQ362" i="24"/>
  <c r="BM362" i="24"/>
  <c r="AN362" i="24"/>
  <c r="BR362" i="24"/>
  <c r="AW362" i="24"/>
  <c r="S362" i="24"/>
  <c r="Z362" i="24"/>
  <c r="BK362" i="24"/>
  <c r="W362" i="24"/>
  <c r="AV362" i="24"/>
  <c r="BT362" i="24"/>
  <c r="AP362" i="24"/>
  <c r="AQ219" i="24"/>
  <c r="AR219" i="24"/>
  <c r="AS219" i="24"/>
  <c r="BE282" i="24"/>
  <c r="BF291" i="24"/>
  <c r="BE291" i="24"/>
  <c r="H185" i="24"/>
  <c r="BA185" i="24"/>
  <c r="BB185" i="24"/>
  <c r="E185" i="24"/>
  <c r="F185" i="24" s="1"/>
  <c r="I185" i="24" s="1"/>
  <c r="J185" i="23"/>
  <c r="AY185" i="24"/>
  <c r="AZ185" i="24" s="1"/>
  <c r="G185" i="24"/>
  <c r="AE185" i="24"/>
  <c r="G185" i="23"/>
  <c r="K185" i="23"/>
  <c r="AB185" i="24"/>
  <c r="AC185" i="24" s="1"/>
  <c r="H185" i="23"/>
  <c r="I185" i="23" s="1"/>
  <c r="AD185" i="24"/>
  <c r="AW293" i="23"/>
  <c r="AY293" i="23" s="1"/>
  <c r="AX293" i="23"/>
  <c r="W313" i="24"/>
  <c r="AN313" i="24"/>
  <c r="BR313" i="24"/>
  <c r="AP313" i="24"/>
  <c r="Z313" i="24"/>
  <c r="AT313" i="24"/>
  <c r="X313" i="24"/>
  <c r="AU313" i="24"/>
  <c r="BM313" i="24"/>
  <c r="Y313" i="24"/>
  <c r="AV313" i="24"/>
  <c r="S313" i="24"/>
  <c r="AW313" i="24"/>
  <c r="BT313" i="24"/>
  <c r="Q313" i="24"/>
  <c r="BS313" i="24"/>
  <c r="BQ313" i="24"/>
  <c r="BK313" i="24"/>
  <c r="AX229" i="23"/>
  <c r="AW229" i="23"/>
  <c r="U221" i="24"/>
  <c r="T221" i="24"/>
  <c r="U242" i="24"/>
  <c r="T242" i="24"/>
  <c r="V242" i="24" s="1"/>
  <c r="U234" i="24"/>
  <c r="V234" i="24" s="1"/>
  <c r="T234" i="24"/>
  <c r="BO234" i="24"/>
  <c r="BN234" i="24"/>
  <c r="BP234" i="24" s="1"/>
  <c r="AI271" i="24"/>
  <c r="L243" i="24"/>
  <c r="W318" i="24"/>
  <c r="AU318" i="24"/>
  <c r="AV318" i="24"/>
  <c r="AW318" i="24"/>
  <c r="AT318" i="24"/>
  <c r="Q318" i="24"/>
  <c r="BR318" i="24"/>
  <c r="X318" i="24"/>
  <c r="BS318" i="24"/>
  <c r="Y318" i="24"/>
  <c r="BT318" i="24"/>
  <c r="Z318" i="24"/>
  <c r="BQ318" i="24"/>
  <c r="AN318" i="24"/>
  <c r="S318" i="24"/>
  <c r="AP318" i="24"/>
  <c r="BK318" i="24"/>
  <c r="BM318" i="24"/>
  <c r="W320" i="24"/>
  <c r="BK320" i="24"/>
  <c r="Q320" i="24"/>
  <c r="AT320" i="24"/>
  <c r="BS320" i="24"/>
  <c r="AV320" i="24"/>
  <c r="BT320" i="24"/>
  <c r="AW320" i="24"/>
  <c r="BM320" i="24"/>
  <c r="AN320" i="24"/>
  <c r="BR320" i="24"/>
  <c r="X320" i="24"/>
  <c r="S320" i="24"/>
  <c r="BQ320" i="24"/>
  <c r="Z320" i="24"/>
  <c r="Y320" i="24"/>
  <c r="AP320" i="24"/>
  <c r="AU320" i="24"/>
  <c r="AW245" i="23"/>
  <c r="AX245" i="23"/>
  <c r="AY245" i="23" s="1"/>
  <c r="T322" i="24"/>
  <c r="U322" i="24"/>
  <c r="AR265" i="24"/>
  <c r="AQ265" i="24"/>
  <c r="AI338" i="24"/>
  <c r="AH338" i="24"/>
  <c r="L225" i="24"/>
  <c r="AH267" i="24"/>
  <c r="AI267" i="24"/>
  <c r="AF332" i="24"/>
  <c r="AF280" i="24"/>
  <c r="BF296" i="24"/>
  <c r="AI356" i="24"/>
  <c r="BF303" i="24"/>
  <c r="K319" i="24"/>
  <c r="L319" i="24"/>
  <c r="K337" i="24"/>
  <c r="I224" i="24"/>
  <c r="T211" i="24"/>
  <c r="U211" i="24"/>
  <c r="BF290" i="24"/>
  <c r="BC300" i="24"/>
  <c r="AF360" i="24"/>
  <c r="BC219" i="24"/>
  <c r="BC216" i="24"/>
  <c r="Y144" i="23"/>
  <c r="K221" i="24"/>
  <c r="BD339" i="23"/>
  <c r="AY73" i="23"/>
  <c r="AY174" i="23"/>
  <c r="BD11" i="23"/>
  <c r="AY55" i="23"/>
  <c r="L81" i="23"/>
  <c r="AY193" i="23"/>
  <c r="AY18" i="23"/>
  <c r="B93" i="22"/>
  <c r="C93" i="22"/>
  <c r="BP71" i="24"/>
  <c r="AS171" i="24"/>
  <c r="V3" i="24"/>
  <c r="BP6" i="24"/>
  <c r="V118" i="24"/>
  <c r="V36" i="24"/>
  <c r="AS157" i="24"/>
  <c r="BP78" i="24"/>
  <c r="BP137" i="24"/>
  <c r="V13" i="24"/>
  <c r="AS95" i="24"/>
  <c r="I184" i="24"/>
  <c r="BC73" i="24"/>
  <c r="AF117" i="24"/>
  <c r="I65" i="24"/>
  <c r="AF80" i="24"/>
  <c r="BC81" i="24"/>
  <c r="AF116" i="24"/>
  <c r="AF87" i="24"/>
  <c r="AH87" i="24" s="1"/>
  <c r="AF16" i="24"/>
  <c r="AF60" i="24"/>
  <c r="I104" i="24"/>
  <c r="I155" i="24"/>
  <c r="I38" i="24"/>
  <c r="L337" i="23"/>
  <c r="BF215" i="23"/>
  <c r="AI215" i="24"/>
  <c r="BD314" i="23"/>
  <c r="BD320" i="23"/>
  <c r="AY280" i="23"/>
  <c r="AY265" i="23"/>
  <c r="AY289" i="23"/>
  <c r="BD354" i="23"/>
  <c r="BD307" i="23"/>
  <c r="AY225" i="23"/>
  <c r="AY207" i="23"/>
  <c r="AY286" i="23"/>
  <c r="AY204" i="23"/>
  <c r="BD356" i="23"/>
  <c r="AY322" i="23"/>
  <c r="AW343" i="23"/>
  <c r="AX343" i="23"/>
  <c r="Q284" i="24"/>
  <c r="BT284" i="24"/>
  <c r="X284" i="24"/>
  <c r="Y284" i="24"/>
  <c r="BK284" i="24"/>
  <c r="W284" i="24"/>
  <c r="BM284" i="24"/>
  <c r="AU284" i="24"/>
  <c r="AV284" i="24"/>
  <c r="BQ284" i="24"/>
  <c r="Z284" i="24"/>
  <c r="AP284" i="24"/>
  <c r="S284" i="24"/>
  <c r="AW284" i="24"/>
  <c r="AN284" i="24"/>
  <c r="BR284" i="24"/>
  <c r="AT284" i="24"/>
  <c r="BS284" i="24"/>
  <c r="AQ339" i="24"/>
  <c r="AR339" i="24"/>
  <c r="AR291" i="24"/>
  <c r="AQ291" i="24"/>
  <c r="AH212" i="24"/>
  <c r="AQ255" i="24"/>
  <c r="AR255" i="24"/>
  <c r="K245" i="24"/>
  <c r="L245" i="24"/>
  <c r="T335" i="24"/>
  <c r="U335" i="24"/>
  <c r="BO213" i="24"/>
  <c r="BN213" i="24"/>
  <c r="AF242" i="24"/>
  <c r="N236" i="23"/>
  <c r="Y236" i="23"/>
  <c r="Q236" i="24"/>
  <c r="S236" i="24"/>
  <c r="BT236" i="24"/>
  <c r="X236" i="24"/>
  <c r="AN236" i="24"/>
  <c r="AP236" i="24"/>
  <c r="BM236" i="24"/>
  <c r="AW236" i="24"/>
  <c r="BQ236" i="24"/>
  <c r="BS236" i="24"/>
  <c r="BK236" i="24"/>
  <c r="AV236" i="24"/>
  <c r="Z236" i="24"/>
  <c r="AT236" i="24"/>
  <c r="AU236" i="24"/>
  <c r="BR236" i="24"/>
  <c r="W236" i="24"/>
  <c r="Y236" i="24"/>
  <c r="U340" i="24"/>
  <c r="T340" i="24"/>
  <c r="V340" i="24"/>
  <c r="U308" i="24"/>
  <c r="T308" i="24"/>
  <c r="K234" i="24"/>
  <c r="L234" i="24"/>
  <c r="BO360" i="24"/>
  <c r="BN360" i="24"/>
  <c r="T323" i="24"/>
  <c r="U323" i="24"/>
  <c r="AQ321" i="24"/>
  <c r="AR321" i="24"/>
  <c r="T289" i="24"/>
  <c r="V289" i="24"/>
  <c r="U289" i="24"/>
  <c r="BE304" i="24"/>
  <c r="AF340" i="24"/>
  <c r="L285" i="23"/>
  <c r="K284" i="24"/>
  <c r="L284" i="24"/>
  <c r="AD164" i="24"/>
  <c r="AY164" i="24"/>
  <c r="AZ164" i="24" s="1"/>
  <c r="H164" i="24"/>
  <c r="G164" i="24"/>
  <c r="AE164" i="24"/>
  <c r="J164" i="23"/>
  <c r="BA164" i="24"/>
  <c r="H164" i="23"/>
  <c r="I164" i="23" s="1"/>
  <c r="BB164" i="24"/>
  <c r="G164" i="23"/>
  <c r="K164" i="23"/>
  <c r="AB164" i="24"/>
  <c r="AC164" i="24" s="1"/>
  <c r="AF164" i="24" s="1"/>
  <c r="E164" i="24"/>
  <c r="F164" i="24" s="1"/>
  <c r="AW347" i="24"/>
  <c r="BR347" i="24"/>
  <c r="BS347" i="24"/>
  <c r="AV347" i="24"/>
  <c r="BQ347" i="24"/>
  <c r="AN347" i="24"/>
  <c r="X347" i="24"/>
  <c r="Q347" i="24"/>
  <c r="W347" i="24"/>
  <c r="BK347" i="24"/>
  <c r="S347" i="24"/>
  <c r="BM347" i="24"/>
  <c r="Z347" i="24"/>
  <c r="AP347" i="24"/>
  <c r="BT347" i="24"/>
  <c r="AT347" i="24"/>
  <c r="AU347" i="24"/>
  <c r="Y347" i="24"/>
  <c r="AX241" i="23"/>
  <c r="AW241" i="23"/>
  <c r="BN344" i="24"/>
  <c r="BO344" i="24"/>
  <c r="BC277" i="24"/>
  <c r="BE208" i="24"/>
  <c r="BF208" i="24"/>
  <c r="AI324" i="24"/>
  <c r="AH324" i="24"/>
  <c r="AX196" i="23"/>
  <c r="AW196" i="23"/>
  <c r="AW279" i="23"/>
  <c r="AX279" i="23"/>
  <c r="AY279" i="23" s="1"/>
  <c r="Y252" i="24"/>
  <c r="S252" i="24"/>
  <c r="W252" i="24"/>
  <c r="AN252" i="24"/>
  <c r="BR252" i="24"/>
  <c r="BT252" i="24"/>
  <c r="AW252" i="24"/>
  <c r="BQ252" i="24"/>
  <c r="AT252" i="24"/>
  <c r="AU252" i="24"/>
  <c r="AV252" i="24"/>
  <c r="Q252" i="24"/>
  <c r="X252" i="24"/>
  <c r="BK252" i="24"/>
  <c r="Z252" i="24"/>
  <c r="BM252" i="24"/>
  <c r="AP252" i="24"/>
  <c r="BS252" i="24"/>
  <c r="T248" i="24"/>
  <c r="U248" i="24"/>
  <c r="L349" i="24"/>
  <c r="K349" i="24"/>
  <c r="AH346" i="24"/>
  <c r="AW309" i="23"/>
  <c r="AX309" i="23"/>
  <c r="AX223" i="23"/>
  <c r="AW223" i="23"/>
  <c r="AR261" i="24"/>
  <c r="AQ261" i="24"/>
  <c r="AS261" i="24" s="1"/>
  <c r="AR259" i="24"/>
  <c r="AQ259" i="24"/>
  <c r="AR244" i="24"/>
  <c r="AQ244" i="24"/>
  <c r="AS244" i="24" s="1"/>
  <c r="BF228" i="24"/>
  <c r="BE228" i="24"/>
  <c r="L329" i="24"/>
  <c r="K329" i="24"/>
  <c r="L330" i="23"/>
  <c r="Q258" i="24"/>
  <c r="AT258" i="24"/>
  <c r="BQ258" i="24"/>
  <c r="Z258" i="24"/>
  <c r="BR258" i="24"/>
  <c r="S258" i="24"/>
  <c r="BT258" i="24"/>
  <c r="AU258" i="24"/>
  <c r="Y258" i="24"/>
  <c r="AV258" i="24"/>
  <c r="BS258" i="24"/>
  <c r="X258" i="24"/>
  <c r="W258" i="24"/>
  <c r="BK258" i="24"/>
  <c r="AW258" i="24"/>
  <c r="AN258" i="24"/>
  <c r="BM258" i="24"/>
  <c r="AP258" i="24"/>
  <c r="AW290" i="23"/>
  <c r="AX290" i="23"/>
  <c r="AX333" i="23"/>
  <c r="AW333" i="23"/>
  <c r="BM229" i="24"/>
  <c r="Q229" i="24"/>
  <c r="BT229" i="24"/>
  <c r="W229" i="24"/>
  <c r="AP229" i="24"/>
  <c r="X229" i="24"/>
  <c r="AT229" i="24"/>
  <c r="BK229" i="24"/>
  <c r="AN229" i="24"/>
  <c r="Z229" i="24"/>
  <c r="AU229" i="24"/>
  <c r="BQ229" i="24"/>
  <c r="BR229" i="24"/>
  <c r="AW229" i="24"/>
  <c r="AV229" i="24"/>
  <c r="S229" i="24"/>
  <c r="BS229" i="24"/>
  <c r="Y229" i="24"/>
  <c r="BN242" i="24"/>
  <c r="BO242" i="24"/>
  <c r="AR234" i="24"/>
  <c r="AQ234" i="24"/>
  <c r="AI206" i="24"/>
  <c r="AQ257" i="24"/>
  <c r="AR257" i="24"/>
  <c r="AW314" i="23"/>
  <c r="AX314" i="23"/>
  <c r="AV312" i="24"/>
  <c r="AU312" i="24"/>
  <c r="BK312" i="24"/>
  <c r="W312" i="24"/>
  <c r="Y312" i="24"/>
  <c r="BR312" i="24"/>
  <c r="Z312" i="24"/>
  <c r="AN312" i="24"/>
  <c r="AP312" i="24"/>
  <c r="BS312" i="24"/>
  <c r="BT312" i="24"/>
  <c r="BM312" i="24"/>
  <c r="AT312" i="24"/>
  <c r="AW312" i="24"/>
  <c r="BQ312" i="24"/>
  <c r="X312" i="24"/>
  <c r="S312" i="24"/>
  <c r="Q312" i="24"/>
  <c r="T216" i="24"/>
  <c r="U216" i="24"/>
  <c r="T237" i="24"/>
  <c r="U237" i="24"/>
  <c r="AI310" i="24"/>
  <c r="AH310" i="24"/>
  <c r="I251" i="24"/>
  <c r="BD322" i="23"/>
  <c r="AF308" i="24"/>
  <c r="BE237" i="24"/>
  <c r="L297" i="24"/>
  <c r="AF295" i="24"/>
  <c r="AF300" i="24"/>
  <c r="AI262" i="24"/>
  <c r="BC276" i="24"/>
  <c r="BC232" i="24"/>
  <c r="AF294" i="24"/>
  <c r="BD336" i="23"/>
  <c r="BC266" i="24"/>
  <c r="AY182" i="23"/>
  <c r="AF44" i="24"/>
  <c r="I188" i="24"/>
  <c r="K188" i="24" s="1"/>
  <c r="L2" i="23"/>
  <c r="BC63" i="24"/>
  <c r="BE63" i="24" s="1"/>
  <c r="AF145" i="24"/>
  <c r="I94" i="24"/>
  <c r="I71" i="24"/>
  <c r="BC36" i="24"/>
  <c r="I34" i="24"/>
  <c r="AF190" i="24"/>
  <c r="AF38" i="24"/>
  <c r="L246" i="23"/>
  <c r="N246" i="23" s="1"/>
  <c r="BD357" i="23"/>
  <c r="BD251" i="23"/>
  <c r="BD213" i="23"/>
  <c r="BD347" i="23"/>
  <c r="BD328" i="23"/>
  <c r="BD205" i="23"/>
  <c r="BD292" i="23"/>
  <c r="AY257" i="23"/>
  <c r="BD239" i="23"/>
  <c r="L308" i="23"/>
  <c r="N308" i="23" s="1"/>
  <c r="BD280" i="23"/>
  <c r="L248" i="23"/>
  <c r="BD223" i="23"/>
  <c r="BF349" i="23"/>
  <c r="AI349" i="24"/>
  <c r="BF274" i="23"/>
  <c r="BF274" i="24"/>
  <c r="BD214" i="23"/>
  <c r="BD238" i="23"/>
  <c r="BF254" i="23"/>
  <c r="L254" i="24"/>
  <c r="BF299" i="23"/>
  <c r="BF299" i="24"/>
  <c r="S288" i="24"/>
  <c r="Z288" i="24"/>
  <c r="AT288" i="24"/>
  <c r="AN288" i="24"/>
  <c r="AV288" i="24"/>
  <c r="BR288" i="24"/>
  <c r="AU288" i="24"/>
  <c r="X288" i="24"/>
  <c r="Q288" i="24"/>
  <c r="AW288" i="24"/>
  <c r="BQ288" i="24"/>
  <c r="AP288" i="24"/>
  <c r="W288" i="24"/>
  <c r="BT288" i="24"/>
  <c r="BS288" i="24"/>
  <c r="BK288" i="24"/>
  <c r="BM288" i="24"/>
  <c r="Y288" i="24"/>
  <c r="AX284" i="23"/>
  <c r="AW284" i="23"/>
  <c r="T207" i="24"/>
  <c r="U207" i="24"/>
  <c r="V207" i="24"/>
  <c r="BO291" i="24"/>
  <c r="BN291" i="24"/>
  <c r="K350" i="24"/>
  <c r="G25" i="23"/>
  <c r="AE25" i="24"/>
  <c r="J25" i="23"/>
  <c r="AY25" i="24"/>
  <c r="AZ25" i="24" s="1"/>
  <c r="H25" i="23"/>
  <c r="I25" i="23" s="1"/>
  <c r="BA25" i="24"/>
  <c r="AD25" i="24"/>
  <c r="AB25" i="24"/>
  <c r="AC25" i="24" s="1"/>
  <c r="H25" i="24"/>
  <c r="G25" i="24"/>
  <c r="E25" i="24"/>
  <c r="F25" i="24" s="1"/>
  <c r="I25" i="24" s="1"/>
  <c r="K25" i="24" s="1"/>
  <c r="BB25" i="24"/>
  <c r="K25" i="23"/>
  <c r="AW302" i="24"/>
  <c r="Q302" i="24"/>
  <c r="X302" i="24"/>
  <c r="AT302" i="24"/>
  <c r="BQ302" i="24"/>
  <c r="Y302" i="24"/>
  <c r="AV302" i="24"/>
  <c r="BR302" i="24"/>
  <c r="BS302" i="24"/>
  <c r="AU302" i="24"/>
  <c r="W302" i="24"/>
  <c r="BK302" i="24"/>
  <c r="S302" i="24"/>
  <c r="AN302" i="24"/>
  <c r="BT302" i="24"/>
  <c r="Z302" i="24"/>
  <c r="BM302" i="24"/>
  <c r="AP302" i="24"/>
  <c r="W358" i="24"/>
  <c r="Q358" i="24"/>
  <c r="AT358" i="24"/>
  <c r="AU358" i="24"/>
  <c r="S358" i="24"/>
  <c r="AV358" i="24"/>
  <c r="BQ358" i="24"/>
  <c r="AP358" i="24"/>
  <c r="Y358" i="24"/>
  <c r="BR358" i="24"/>
  <c r="Z358" i="24"/>
  <c r="AW358" i="24"/>
  <c r="BS358" i="24"/>
  <c r="BT358" i="24"/>
  <c r="X358" i="24"/>
  <c r="AN358" i="24"/>
  <c r="BM358" i="24"/>
  <c r="BK358" i="24"/>
  <c r="K272" i="24"/>
  <c r="L272" i="24"/>
  <c r="AX305" i="23"/>
  <c r="AW305" i="23"/>
  <c r="AY305" i="23" s="1"/>
  <c r="AX297" i="23"/>
  <c r="AW297" i="23"/>
  <c r="AY297" i="23" s="1"/>
  <c r="BF230" i="24"/>
  <c r="BE230" i="24"/>
  <c r="AX330" i="23"/>
  <c r="AW330" i="23"/>
  <c r="AX262" i="23"/>
  <c r="AW262" i="23"/>
  <c r="AY262" i="23" s="1"/>
  <c r="U199" i="24"/>
  <c r="T199" i="24"/>
  <c r="BF220" i="24"/>
  <c r="AN307" i="24"/>
  <c r="Q307" i="24"/>
  <c r="Y307" i="24"/>
  <c r="W307" i="24"/>
  <c r="AT307" i="24"/>
  <c r="AV307" i="24"/>
  <c r="BT307" i="24"/>
  <c r="BR307" i="24"/>
  <c r="X307" i="24"/>
  <c r="S307" i="24"/>
  <c r="BS307" i="24"/>
  <c r="BK307" i="24"/>
  <c r="BM307" i="24"/>
  <c r="Z307" i="24"/>
  <c r="AP307" i="24"/>
  <c r="BQ307" i="24"/>
  <c r="AW307" i="24"/>
  <c r="AU307" i="24"/>
  <c r="AX273" i="23"/>
  <c r="AW273" i="23"/>
  <c r="S227" i="24"/>
  <c r="AW227" i="24"/>
  <c r="BR227" i="24"/>
  <c r="W227" i="24"/>
  <c r="BT227" i="24"/>
  <c r="AV227" i="24"/>
  <c r="Y227" i="24"/>
  <c r="BQ227" i="24"/>
  <c r="Z227" i="24"/>
  <c r="AP227" i="24"/>
  <c r="BS227" i="24"/>
  <c r="AT227" i="24"/>
  <c r="X227" i="24"/>
  <c r="AN227" i="24"/>
  <c r="BK227" i="24"/>
  <c r="Q227" i="24"/>
  <c r="AU227" i="24"/>
  <c r="BM227" i="24"/>
  <c r="BO323" i="24"/>
  <c r="BN323" i="24"/>
  <c r="AI305" i="24"/>
  <c r="AH305" i="24"/>
  <c r="BC285" i="24"/>
  <c r="AF341" i="24"/>
  <c r="BT327" i="24"/>
  <c r="W327" i="24"/>
  <c r="AN327" i="24"/>
  <c r="S327" i="24"/>
  <c r="BS327" i="24"/>
  <c r="Q327" i="24"/>
  <c r="AP327" i="24"/>
  <c r="BQ327" i="24"/>
  <c r="AV327" i="24"/>
  <c r="AW327" i="24"/>
  <c r="BM327" i="24"/>
  <c r="X327" i="24"/>
  <c r="BR327" i="24"/>
  <c r="BK327" i="24"/>
  <c r="Y327" i="24"/>
  <c r="Z327" i="24"/>
  <c r="AT327" i="24"/>
  <c r="AU327" i="24"/>
  <c r="AW253" i="23"/>
  <c r="AX253" i="23"/>
  <c r="AQ197" i="24"/>
  <c r="AR197" i="24"/>
  <c r="AR344" i="24"/>
  <c r="AQ344" i="24"/>
  <c r="I277" i="24"/>
  <c r="AV315" i="24"/>
  <c r="BT315" i="24"/>
  <c r="Q315" i="24"/>
  <c r="W315" i="24"/>
  <c r="X315" i="24"/>
  <c r="Y315" i="24"/>
  <c r="AU315" i="24"/>
  <c r="BR315" i="24"/>
  <c r="BK315" i="24"/>
  <c r="AP315" i="24"/>
  <c r="BQ315" i="24"/>
  <c r="AN315" i="24"/>
  <c r="Z315" i="24"/>
  <c r="AT315" i="24"/>
  <c r="BS315" i="24"/>
  <c r="BM315" i="24"/>
  <c r="AW315" i="24"/>
  <c r="S315" i="24"/>
  <c r="AX341" i="23"/>
  <c r="AW341" i="23"/>
  <c r="AY341" i="23" s="1"/>
  <c r="L230" i="24"/>
  <c r="K230" i="24"/>
  <c r="BE306" i="24"/>
  <c r="U220" i="24"/>
  <c r="T220" i="24"/>
  <c r="V220" i="24" s="1"/>
  <c r="U259" i="24"/>
  <c r="T259" i="24"/>
  <c r="BN260" i="24"/>
  <c r="BO260" i="24"/>
  <c r="K237" i="24"/>
  <c r="AI345" i="24"/>
  <c r="AH345" i="24"/>
  <c r="BE330" i="24"/>
  <c r="AQ204" i="24"/>
  <c r="AR204" i="24"/>
  <c r="AW270" i="23"/>
  <c r="AX270" i="23"/>
  <c r="BN221" i="24"/>
  <c r="BO221" i="24"/>
  <c r="T249" i="24"/>
  <c r="U249" i="24"/>
  <c r="BN338" i="24"/>
  <c r="BP338" i="24" s="1"/>
  <c r="BO338" i="24"/>
  <c r="U338" i="24"/>
  <c r="T338" i="24"/>
  <c r="V338" i="24" s="1"/>
  <c r="BF312" i="24"/>
  <c r="AI225" i="24"/>
  <c r="AH225" i="24"/>
  <c r="AR283" i="24"/>
  <c r="AQ283" i="24"/>
  <c r="AS283" i="24" s="1"/>
  <c r="G152" i="23"/>
  <c r="G152" i="24"/>
  <c r="AB152" i="24"/>
  <c r="AC152" i="24" s="1"/>
  <c r="H152" i="23"/>
  <c r="I152" i="23" s="1"/>
  <c r="L152" i="23" s="1"/>
  <c r="H152" i="24"/>
  <c r="AD152" i="24"/>
  <c r="K152" i="23"/>
  <c r="AE152" i="24"/>
  <c r="J152" i="23"/>
  <c r="AY152" i="24"/>
  <c r="AZ152" i="24" s="1"/>
  <c r="BC152" i="24" s="1"/>
  <c r="BA152" i="24"/>
  <c r="E152" i="24"/>
  <c r="F152" i="24" s="1"/>
  <c r="BB152" i="24"/>
  <c r="BR275" i="24"/>
  <c r="AT275" i="24"/>
  <c r="BS275" i="24"/>
  <c r="BT275" i="24"/>
  <c r="AP275" i="24"/>
  <c r="X275" i="24"/>
  <c r="Y275" i="24"/>
  <c r="Q275" i="24"/>
  <c r="AW275" i="24"/>
  <c r="AU275" i="24"/>
  <c r="Z275" i="24"/>
  <c r="BQ275" i="24"/>
  <c r="BM275" i="24"/>
  <c r="AN275" i="24"/>
  <c r="BK275" i="24"/>
  <c r="W275" i="24"/>
  <c r="AV275" i="24"/>
  <c r="S275" i="24"/>
  <c r="AW312" i="23"/>
  <c r="AX312" i="23"/>
  <c r="AY312" i="23"/>
  <c r="BN216" i="24"/>
  <c r="BO216" i="24"/>
  <c r="AQ210" i="24"/>
  <c r="AR210" i="24"/>
  <c r="K256" i="24"/>
  <c r="L215" i="24"/>
  <c r="BE264" i="24"/>
  <c r="BF264" i="24"/>
  <c r="BE280" i="24"/>
  <c r="BD220" i="23"/>
  <c r="AH320" i="24"/>
  <c r="AI320" i="24"/>
  <c r="BF292" i="24"/>
  <c r="AI298" i="24"/>
  <c r="K313" i="24"/>
  <c r="K198" i="24"/>
  <c r="BE224" i="24"/>
  <c r="BF269" i="24"/>
  <c r="L202" i="24"/>
  <c r="AI312" i="24"/>
  <c r="L300" i="24"/>
  <c r="K300" i="24"/>
  <c r="BF235" i="24"/>
  <c r="K334" i="24"/>
  <c r="AH261" i="24"/>
  <c r="K289" i="24"/>
  <c r="BE248" i="24"/>
  <c r="AH260" i="24"/>
  <c r="BE249" i="24"/>
  <c r="BD222" i="23"/>
  <c r="AF266" i="24"/>
  <c r="L96" i="23"/>
  <c r="AY87" i="23"/>
  <c r="AY80" i="23"/>
  <c r="O102" i="22"/>
  <c r="H93" i="22"/>
  <c r="AS186" i="24"/>
  <c r="BP140" i="24"/>
  <c r="V9" i="24"/>
  <c r="V29" i="24"/>
  <c r="AS67" i="24"/>
  <c r="I30" i="24"/>
  <c r="BC183" i="24"/>
  <c r="AF91" i="24"/>
  <c r="BC84" i="24"/>
  <c r="AF119" i="24"/>
  <c r="BC134" i="24"/>
  <c r="BC113" i="24"/>
  <c r="BE113" i="24" s="1"/>
  <c r="AF137" i="24"/>
  <c r="I101" i="24"/>
  <c r="K101" i="24" s="1"/>
  <c r="I95" i="24"/>
  <c r="AF106" i="24"/>
  <c r="I37" i="24"/>
  <c r="BC4" i="24"/>
  <c r="BC112" i="24"/>
  <c r="BD250" i="23"/>
  <c r="BD325" i="23"/>
  <c r="BD361" i="23"/>
  <c r="BD216" i="23"/>
  <c r="BD304" i="23"/>
  <c r="BD233" i="23"/>
  <c r="BF357" i="23"/>
  <c r="BF357" i="24"/>
  <c r="L357" i="24"/>
  <c r="BD267" i="23"/>
  <c r="BD252" i="23"/>
  <c r="BD225" i="23"/>
  <c r="BD329" i="23"/>
  <c r="BD331" i="23"/>
  <c r="BD212" i="23"/>
  <c r="BD351" i="23"/>
  <c r="L327" i="23"/>
  <c r="BD317" i="23"/>
  <c r="BD334" i="23"/>
  <c r="BF339" i="23"/>
  <c r="AI339" i="24"/>
  <c r="W343" i="24"/>
  <c r="X343" i="24"/>
  <c r="BS343" i="24"/>
  <c r="Y343" i="24"/>
  <c r="AN343" i="24"/>
  <c r="BT343" i="24"/>
  <c r="Z343" i="24"/>
  <c r="AP343" i="24"/>
  <c r="S343" i="24"/>
  <c r="BR343" i="24"/>
  <c r="AU343" i="24"/>
  <c r="AV343" i="24"/>
  <c r="BQ343" i="24"/>
  <c r="AW343" i="24"/>
  <c r="Q343" i="24"/>
  <c r="AT343" i="24"/>
  <c r="BM343" i="24"/>
  <c r="BK343" i="24"/>
  <c r="T336" i="24"/>
  <c r="U336" i="24"/>
  <c r="T238" i="24"/>
  <c r="U238" i="24"/>
  <c r="BO339" i="24"/>
  <c r="BN339" i="24"/>
  <c r="AI250" i="24"/>
  <c r="AH250" i="24"/>
  <c r="BC195" i="24"/>
  <c r="BT325" i="24"/>
  <c r="BS325" i="24"/>
  <c r="BK325" i="24"/>
  <c r="Z325" i="24"/>
  <c r="AP325" i="24"/>
  <c r="S325" i="24"/>
  <c r="AV325" i="24"/>
  <c r="AU325" i="24"/>
  <c r="BQ325" i="24"/>
  <c r="BR325" i="24"/>
  <c r="AT325" i="24"/>
  <c r="X325" i="24"/>
  <c r="BM325" i="24"/>
  <c r="W325" i="24"/>
  <c r="Y325" i="24"/>
  <c r="Q325" i="24"/>
  <c r="AW325" i="24"/>
  <c r="AN325" i="24"/>
  <c r="AR359" i="24"/>
  <c r="AQ359" i="24"/>
  <c r="BO354" i="24"/>
  <c r="BN354" i="24"/>
  <c r="T349" i="24"/>
  <c r="U349" i="24"/>
  <c r="T276" i="24"/>
  <c r="V276" i="24" s="1"/>
  <c r="U276" i="24"/>
  <c r="AX357" i="23"/>
  <c r="AW357" i="23"/>
  <c r="BS298" i="24"/>
  <c r="Q298" i="24"/>
  <c r="AW298" i="24"/>
  <c r="BK298" i="24"/>
  <c r="S298" i="24"/>
  <c r="BM298" i="24"/>
  <c r="AV298" i="24"/>
  <c r="AN298" i="24"/>
  <c r="W298" i="24"/>
  <c r="AP298" i="24"/>
  <c r="BQ298" i="24"/>
  <c r="Z298" i="24"/>
  <c r="X298" i="24"/>
  <c r="AU298" i="24"/>
  <c r="BR298" i="24"/>
  <c r="BT298" i="24"/>
  <c r="AT298" i="24"/>
  <c r="Y298" i="24"/>
  <c r="BO345" i="24"/>
  <c r="BN345" i="24"/>
  <c r="AQ331" i="24"/>
  <c r="AS331" i="24"/>
  <c r="AR331" i="24"/>
  <c r="BN281" i="24"/>
  <c r="BP281" i="24" s="1"/>
  <c r="BO281" i="24"/>
  <c r="BF270" i="24"/>
  <c r="BE270" i="24"/>
  <c r="BF335" i="24"/>
  <c r="BE335" i="24"/>
  <c r="AI273" i="24"/>
  <c r="AH273" i="24"/>
  <c r="AI226" i="24"/>
  <c r="BN217" i="24"/>
  <c r="BO217" i="24"/>
  <c r="X195" i="24"/>
  <c r="BR195" i="24"/>
  <c r="Q195" i="24"/>
  <c r="AN195" i="24"/>
  <c r="AU195" i="24"/>
  <c r="AW195" i="24"/>
  <c r="S195" i="24"/>
  <c r="BQ195" i="24"/>
  <c r="Y195" i="24"/>
  <c r="Z195" i="24"/>
  <c r="BS195" i="24"/>
  <c r="BM195" i="24"/>
  <c r="BK195" i="24"/>
  <c r="AV195" i="24"/>
  <c r="W195" i="24"/>
  <c r="AP195" i="24"/>
  <c r="BT195" i="24"/>
  <c r="AT195" i="24"/>
  <c r="BK262" i="24"/>
  <c r="Q262" i="24"/>
  <c r="BQ262" i="24"/>
  <c r="BR262" i="24"/>
  <c r="BS262" i="24"/>
  <c r="Z262" i="24"/>
  <c r="BM262" i="24"/>
  <c r="AN262" i="24"/>
  <c r="AU262" i="24"/>
  <c r="BT262" i="24"/>
  <c r="Y262" i="24"/>
  <c r="AT262" i="24"/>
  <c r="W262" i="24"/>
  <c r="AW262" i="24"/>
  <c r="S262" i="24"/>
  <c r="AP262" i="24"/>
  <c r="X262" i="24"/>
  <c r="AV262" i="24"/>
  <c r="AQ296" i="24"/>
  <c r="AR296" i="24"/>
  <c r="BO340" i="24"/>
  <c r="BP340" i="24"/>
  <c r="BN340" i="24"/>
  <c r="BN308" i="24"/>
  <c r="BO308" i="24"/>
  <c r="T282" i="24"/>
  <c r="U282" i="24"/>
  <c r="W348" i="24"/>
  <c r="AV348" i="24"/>
  <c r="AW348" i="24"/>
  <c r="Q348" i="24"/>
  <c r="AU348" i="24"/>
  <c r="AN348" i="24"/>
  <c r="S348" i="24"/>
  <c r="AP348" i="24"/>
  <c r="Y348" i="24"/>
  <c r="Z348" i="24"/>
  <c r="BQ348" i="24"/>
  <c r="BR348" i="24"/>
  <c r="AT348" i="24"/>
  <c r="BS348" i="24"/>
  <c r="BT348" i="24"/>
  <c r="X348" i="24"/>
  <c r="BK348" i="24"/>
  <c r="BM348" i="24"/>
  <c r="AW256" i="24"/>
  <c r="BR256" i="24"/>
  <c r="BS256" i="24"/>
  <c r="BT256" i="24"/>
  <c r="AV256" i="24"/>
  <c r="BQ256" i="24"/>
  <c r="X256" i="24"/>
  <c r="Y256" i="24"/>
  <c r="Z256" i="24"/>
  <c r="AT256" i="24"/>
  <c r="AN256" i="24"/>
  <c r="W256" i="24"/>
  <c r="BM256" i="24"/>
  <c r="Q256" i="24"/>
  <c r="AU256" i="24"/>
  <c r="BK256" i="24"/>
  <c r="AP256" i="24"/>
  <c r="S256" i="24"/>
  <c r="K206" i="24"/>
  <c r="L206" i="24"/>
  <c r="AF255" i="24"/>
  <c r="BE340" i="24"/>
  <c r="BF340" i="24"/>
  <c r="K299" i="24"/>
  <c r="L299" i="24"/>
  <c r="BE200" i="24"/>
  <c r="L341" i="23"/>
  <c r="BO203" i="24"/>
  <c r="BN203" i="24"/>
  <c r="X224" i="24"/>
  <c r="Y224" i="24"/>
  <c r="AP224" i="24"/>
  <c r="AU224" i="24"/>
  <c r="W224" i="24"/>
  <c r="Q224" i="24"/>
  <c r="BK224" i="24"/>
  <c r="BM224" i="24"/>
  <c r="BT224" i="24"/>
  <c r="AV224" i="24"/>
  <c r="AW224" i="24"/>
  <c r="Z224" i="24"/>
  <c r="BR224" i="24"/>
  <c r="BS224" i="24"/>
  <c r="AT224" i="24"/>
  <c r="AN224" i="24"/>
  <c r="S224" i="24"/>
  <c r="BQ224" i="24"/>
  <c r="AQ225" i="24"/>
  <c r="AR225" i="24"/>
  <c r="BO235" i="24"/>
  <c r="BN235" i="24"/>
  <c r="AQ235" i="24"/>
  <c r="AR235" i="24"/>
  <c r="AQ202" i="24"/>
  <c r="AR202" i="24"/>
  <c r="BD196" i="23"/>
  <c r="BD197" i="23"/>
  <c r="AX306" i="23"/>
  <c r="AW306" i="23"/>
  <c r="AY306" i="23" s="1"/>
  <c r="Q341" i="24"/>
  <c r="W341" i="24"/>
  <c r="BT341" i="24"/>
  <c r="AT341" i="24"/>
  <c r="AV341" i="24"/>
  <c r="BK341" i="24"/>
  <c r="AW341" i="24"/>
  <c r="BQ341" i="24"/>
  <c r="Z341" i="24"/>
  <c r="AN341" i="24"/>
  <c r="BR341" i="24"/>
  <c r="BS341" i="24"/>
  <c r="X341" i="24"/>
  <c r="Y341" i="24"/>
  <c r="S341" i="24"/>
  <c r="AU341" i="24"/>
  <c r="BM341" i="24"/>
  <c r="AP341" i="24"/>
  <c r="BN328" i="24"/>
  <c r="BO328" i="24"/>
  <c r="AR243" i="24"/>
  <c r="AS243" i="24" s="1"/>
  <c r="AQ243" i="24"/>
  <c r="U243" i="24"/>
  <c r="T243" i="24"/>
  <c r="BE273" i="24"/>
  <c r="BF273" i="24"/>
  <c r="Z309" i="24"/>
  <c r="BQ309" i="24"/>
  <c r="BS309" i="24"/>
  <c r="S309" i="24"/>
  <c r="Q309" i="24"/>
  <c r="AV309" i="24"/>
  <c r="W309" i="24"/>
  <c r="AU309" i="24"/>
  <c r="Y309" i="24"/>
  <c r="BK309" i="24"/>
  <c r="AW309" i="24"/>
  <c r="BT309" i="24"/>
  <c r="X309" i="24"/>
  <c r="BR309" i="24"/>
  <c r="BM309" i="24"/>
  <c r="AP309" i="24"/>
  <c r="AN309" i="24"/>
  <c r="AT309" i="24"/>
  <c r="AX304" i="23"/>
  <c r="AW304" i="23"/>
  <c r="AY304" i="23" s="1"/>
  <c r="Y223" i="24"/>
  <c r="Z223" i="24"/>
  <c r="AN223" i="24"/>
  <c r="Q223" i="24"/>
  <c r="BM223" i="24"/>
  <c r="BQ223" i="24"/>
  <c r="AW223" i="24"/>
  <c r="BR223" i="24"/>
  <c r="BT223" i="24"/>
  <c r="BS223" i="24"/>
  <c r="AP223" i="24"/>
  <c r="W223" i="24"/>
  <c r="AU223" i="24"/>
  <c r="S223" i="24"/>
  <c r="BK223" i="24"/>
  <c r="AT223" i="24"/>
  <c r="AV223" i="24"/>
  <c r="X223" i="24"/>
  <c r="T261" i="24"/>
  <c r="U261" i="24"/>
  <c r="K345" i="24"/>
  <c r="L345" i="24"/>
  <c r="K268" i="24"/>
  <c r="L268" i="24"/>
  <c r="AI235" i="24"/>
  <c r="T204" i="24"/>
  <c r="U204" i="24"/>
  <c r="BT264" i="24"/>
  <c r="BK264" i="24"/>
  <c r="W264" i="24"/>
  <c r="AT264" i="24"/>
  <c r="BQ264" i="24"/>
  <c r="X264" i="24"/>
  <c r="AV264" i="24"/>
  <c r="Z264" i="24"/>
  <c r="AW264" i="24"/>
  <c r="Y264" i="24"/>
  <c r="Q264" i="24"/>
  <c r="BM264" i="24"/>
  <c r="BR264" i="24"/>
  <c r="AP264" i="24"/>
  <c r="S264" i="24"/>
  <c r="AU264" i="24"/>
  <c r="AN264" i="24"/>
  <c r="BS264" i="24"/>
  <c r="BF253" i="24"/>
  <c r="K302" i="24"/>
  <c r="BE254" i="24"/>
  <c r="BF254" i="24"/>
  <c r="T222" i="24"/>
  <c r="U222" i="24"/>
  <c r="BN210" i="24"/>
  <c r="BP210" i="24" s="1"/>
  <c r="BO210" i="24"/>
  <c r="I332" i="24"/>
  <c r="BC281" i="24"/>
  <c r="BF210" i="24"/>
  <c r="BF320" i="24"/>
  <c r="K280" i="24"/>
  <c r="BC308" i="24"/>
  <c r="BD207" i="23"/>
  <c r="AF199" i="24"/>
  <c r="L333" i="23"/>
  <c r="BC295" i="24"/>
  <c r="AQ211" i="24"/>
  <c r="AR211" i="24"/>
  <c r="L301" i="24"/>
  <c r="BF339" i="24"/>
  <c r="I222" i="24"/>
  <c r="BC322" i="24"/>
  <c r="AF241" i="24"/>
  <c r="AF232" i="24"/>
  <c r="AF217" i="24"/>
  <c r="BD210" i="23"/>
  <c r="BC294" i="24"/>
  <c r="K265" i="24"/>
  <c r="BD235" i="23"/>
  <c r="I327" i="24"/>
  <c r="BD244" i="23"/>
  <c r="L193" i="23"/>
  <c r="AY54" i="23"/>
  <c r="AY12" i="23"/>
  <c r="L90" i="23"/>
  <c r="AY84" i="23"/>
  <c r="AY149" i="23"/>
  <c r="AY79" i="23"/>
  <c r="A102" i="22"/>
  <c r="BP177" i="24"/>
  <c r="BP14" i="24"/>
  <c r="V76" i="24"/>
  <c r="AS22" i="24"/>
  <c r="BP186" i="24"/>
  <c r="V151" i="24"/>
  <c r="AS71" i="24"/>
  <c r="V169" i="24"/>
  <c r="BP121" i="24"/>
  <c r="AS152" i="24"/>
  <c r="BC82" i="24"/>
  <c r="BC11" i="24"/>
  <c r="BE11" i="24" s="1"/>
  <c r="BC124" i="24"/>
  <c r="AF52" i="24"/>
  <c r="BC101" i="24"/>
  <c r="I139" i="24"/>
  <c r="BC78" i="24"/>
  <c r="AF37" i="24"/>
  <c r="BC155" i="24"/>
  <c r="BE155" i="24" s="1"/>
  <c r="I112" i="24"/>
  <c r="K112" i="24" s="1"/>
  <c r="BD245" i="23"/>
  <c r="L276" i="23"/>
  <c r="N276" i="23" s="1"/>
  <c r="BD219" i="23"/>
  <c r="BD198" i="23"/>
  <c r="BF279" i="23"/>
  <c r="BF279" i="24"/>
  <c r="BD327" i="23"/>
  <c r="BD359" i="23"/>
  <c r="L241" i="23"/>
  <c r="N241" i="23" s="1"/>
  <c r="BD249" i="23"/>
  <c r="BD286" i="23"/>
  <c r="BD346" i="23"/>
  <c r="BD261" i="23"/>
  <c r="BD228" i="23"/>
  <c r="BF344" i="23"/>
  <c r="AI344" i="24"/>
  <c r="BD257" i="23"/>
  <c r="AY261" i="23"/>
  <c r="AY251" i="23"/>
  <c r="BD349" i="23"/>
  <c r="BF239" i="23"/>
  <c r="BF239" i="24"/>
  <c r="X228" i="24"/>
  <c r="Z228" i="24"/>
  <c r="AN228" i="24"/>
  <c r="AV228" i="24"/>
  <c r="BM228" i="24"/>
  <c r="BQ228" i="24"/>
  <c r="AU228" i="24"/>
  <c r="BK228" i="24"/>
  <c r="Q228" i="24"/>
  <c r="S228" i="24"/>
  <c r="AT228" i="24"/>
  <c r="Y228" i="24"/>
  <c r="W228" i="24"/>
  <c r="AP228" i="24"/>
  <c r="BR228" i="24"/>
  <c r="BT228" i="24"/>
  <c r="BS228" i="24"/>
  <c r="AW228" i="24"/>
  <c r="AX274" i="23"/>
  <c r="AW274" i="23"/>
  <c r="AY274" i="23" s="1"/>
  <c r="AQ286" i="24"/>
  <c r="AR286" i="24"/>
  <c r="AS286" i="24" s="1"/>
  <c r="BT201" i="24"/>
  <c r="X201" i="24"/>
  <c r="Y201" i="24"/>
  <c r="AU201" i="24"/>
  <c r="W201" i="24"/>
  <c r="BM201" i="24"/>
  <c r="AV201" i="24"/>
  <c r="BK201" i="24"/>
  <c r="Q201" i="24"/>
  <c r="AW201" i="24"/>
  <c r="BR201" i="24"/>
  <c r="S201" i="24"/>
  <c r="BQ201" i="24"/>
  <c r="BS201" i="24"/>
  <c r="Z201" i="24"/>
  <c r="AT201" i="24"/>
  <c r="AP201" i="24"/>
  <c r="AN201" i="24"/>
  <c r="U339" i="24"/>
  <c r="T339" i="24"/>
  <c r="BE321" i="24"/>
  <c r="AF195" i="24"/>
  <c r="BF268" i="24"/>
  <c r="BE268" i="24"/>
  <c r="U359" i="24"/>
  <c r="T359" i="24"/>
  <c r="AQ354" i="24"/>
  <c r="AR354" i="24"/>
  <c r="K354" i="24"/>
  <c r="AM207" i="21"/>
  <c r="AV207" i="21"/>
  <c r="AP207" i="21"/>
  <c r="W357" i="24"/>
  <c r="AN357" i="24"/>
  <c r="X357" i="24"/>
  <c r="BK357" i="24"/>
  <c r="BQ357" i="24"/>
  <c r="BR357" i="24"/>
  <c r="AV357" i="24"/>
  <c r="AW357" i="24"/>
  <c r="S357" i="24"/>
  <c r="BT357" i="24"/>
  <c r="AU357" i="24"/>
  <c r="AT357" i="24"/>
  <c r="AP357" i="24"/>
  <c r="Y357" i="24"/>
  <c r="BM357" i="24"/>
  <c r="Z357" i="24"/>
  <c r="Q357" i="24"/>
  <c r="BS357" i="24"/>
  <c r="S297" i="24"/>
  <c r="W297" i="24"/>
  <c r="AW297" i="24"/>
  <c r="BQ297" i="24"/>
  <c r="BK297" i="24"/>
  <c r="BR297" i="24"/>
  <c r="BM297" i="24"/>
  <c r="AN297" i="24"/>
  <c r="BS297" i="24"/>
  <c r="AU297" i="24"/>
  <c r="AP297" i="24"/>
  <c r="X297" i="24"/>
  <c r="Y297" i="24"/>
  <c r="Q297" i="24"/>
  <c r="AT297" i="24"/>
  <c r="BT297" i="24"/>
  <c r="AV297" i="24"/>
  <c r="Z297" i="24"/>
  <c r="U331" i="24"/>
  <c r="T331" i="24"/>
  <c r="V331" i="24" s="1"/>
  <c r="AR335" i="24"/>
  <c r="AQ335" i="24"/>
  <c r="BN251" i="24"/>
  <c r="BO251" i="24"/>
  <c r="BN317" i="24"/>
  <c r="BO317" i="24"/>
  <c r="AH237" i="24"/>
  <c r="AI237" i="24"/>
  <c r="AI229" i="24"/>
  <c r="AH229" i="24"/>
  <c r="AW230" i="23"/>
  <c r="AX230" i="23"/>
  <c r="AY230" i="23" s="1"/>
  <c r="AR326" i="24"/>
  <c r="AQ326" i="24"/>
  <c r="AQ355" i="24"/>
  <c r="AR355" i="24"/>
  <c r="AR282" i="24"/>
  <c r="AQ282" i="24"/>
  <c r="AW294" i="23"/>
  <c r="AX294" i="23"/>
  <c r="T360" i="24"/>
  <c r="U360" i="24"/>
  <c r="V360" i="24" s="1"/>
  <c r="K211" i="24"/>
  <c r="L211" i="24"/>
  <c r="K303" i="24"/>
  <c r="L303" i="24"/>
  <c r="AH352" i="24"/>
  <c r="AI352" i="24"/>
  <c r="BC347" i="24"/>
  <c r="BR299" i="24"/>
  <c r="AU299" i="24"/>
  <c r="Z299" i="24"/>
  <c r="BK299" i="24"/>
  <c r="AN299" i="24"/>
  <c r="AT299" i="24"/>
  <c r="Q299" i="24"/>
  <c r="X299" i="24"/>
  <c r="BQ299" i="24"/>
  <c r="BS299" i="24"/>
  <c r="BT299" i="24"/>
  <c r="Y299" i="24"/>
  <c r="AW299" i="24"/>
  <c r="S299" i="24"/>
  <c r="BM299" i="24"/>
  <c r="AP299" i="24"/>
  <c r="W299" i="24"/>
  <c r="AV299" i="24"/>
  <c r="AQ295" i="24"/>
  <c r="AR295" i="24"/>
  <c r="T295" i="24"/>
  <c r="V295" i="24" s="1"/>
  <c r="U295" i="24"/>
  <c r="AI211" i="24"/>
  <c r="AI329" i="24"/>
  <c r="K226" i="24"/>
  <c r="L226" i="24"/>
  <c r="BO198" i="24"/>
  <c r="BP198" i="24" s="1"/>
  <c r="BN198" i="24"/>
  <c r="AX232" i="23"/>
  <c r="AY232" i="23" s="1"/>
  <c r="AW232" i="23"/>
  <c r="Z247" i="24"/>
  <c r="AV247" i="24"/>
  <c r="AW247" i="24"/>
  <c r="BK247" i="24"/>
  <c r="AU247" i="24"/>
  <c r="AN247" i="24"/>
  <c r="BQ247" i="24"/>
  <c r="Q247" i="24"/>
  <c r="AP247" i="24"/>
  <c r="BR247" i="24"/>
  <c r="AT247" i="24"/>
  <c r="BT247" i="24"/>
  <c r="Y247" i="24"/>
  <c r="W247" i="24"/>
  <c r="BS247" i="24"/>
  <c r="S247" i="24"/>
  <c r="X247" i="24"/>
  <c r="BM247" i="24"/>
  <c r="BN231" i="24"/>
  <c r="BP231" i="24" s="1"/>
  <c r="BO231" i="24"/>
  <c r="AI245" i="24"/>
  <c r="AH245" i="24"/>
  <c r="AI253" i="24"/>
  <c r="AH253" i="24"/>
  <c r="AR260" i="24"/>
  <c r="AQ260" i="24"/>
  <c r="AI278" i="24"/>
  <c r="L324" i="24"/>
  <c r="K324" i="24"/>
  <c r="BO204" i="24"/>
  <c r="BN204" i="24"/>
  <c r="BP204" i="24" s="1"/>
  <c r="AR221" i="24"/>
  <c r="AQ221" i="24"/>
  <c r="AQ242" i="24"/>
  <c r="AR242" i="24"/>
  <c r="AQ249" i="24"/>
  <c r="AR249" i="24"/>
  <c r="AQ338" i="24"/>
  <c r="AR338" i="24"/>
  <c r="AS338" i="24" s="1"/>
  <c r="L270" i="24"/>
  <c r="K270" i="24"/>
  <c r="L338" i="24"/>
  <c r="T283" i="24"/>
  <c r="U283" i="24"/>
  <c r="BM314" i="24"/>
  <c r="S314" i="24"/>
  <c r="W314" i="24"/>
  <c r="BQ314" i="24"/>
  <c r="Q314" i="24"/>
  <c r="X314" i="24"/>
  <c r="AN314" i="24"/>
  <c r="BR314" i="24"/>
  <c r="Y314" i="24"/>
  <c r="AT314" i="24"/>
  <c r="Z314" i="24"/>
  <c r="AU314" i="24"/>
  <c r="AW314" i="24"/>
  <c r="BK314" i="24"/>
  <c r="BT314" i="24"/>
  <c r="AV314" i="24"/>
  <c r="AP314" i="24"/>
  <c r="BS314" i="24"/>
  <c r="Z268" i="24"/>
  <c r="BR268" i="24"/>
  <c r="Y268" i="24"/>
  <c r="Q268" i="24"/>
  <c r="W268" i="24"/>
  <c r="AN268" i="24"/>
  <c r="X268" i="24"/>
  <c r="AU268" i="24"/>
  <c r="BS268" i="24"/>
  <c r="AP268" i="24"/>
  <c r="BM268" i="24"/>
  <c r="BT268" i="24"/>
  <c r="AT268" i="24"/>
  <c r="BK268" i="24"/>
  <c r="S268" i="24"/>
  <c r="AW268" i="24"/>
  <c r="BQ268" i="24"/>
  <c r="AV268" i="24"/>
  <c r="AR222" i="24"/>
  <c r="AQ222" i="24"/>
  <c r="K335" i="24"/>
  <c r="L335" i="24"/>
  <c r="L220" i="24"/>
  <c r="BC332" i="24"/>
  <c r="AF246" i="24"/>
  <c r="AF251" i="24"/>
  <c r="K282" i="24"/>
  <c r="BF338" i="24"/>
  <c r="BF358" i="24"/>
  <c r="L210" i="24"/>
  <c r="L313" i="23"/>
  <c r="AF198" i="24"/>
  <c r="BC326" i="24"/>
  <c r="BC238" i="24"/>
  <c r="L336" i="24"/>
  <c r="BN211" i="24"/>
  <c r="BO211" i="24"/>
  <c r="AI279" i="24"/>
  <c r="BF319" i="24"/>
  <c r="K343" i="24"/>
  <c r="AF219" i="24"/>
  <c r="AF197" i="24"/>
  <c r="AF289" i="24"/>
  <c r="AF327" i="24"/>
  <c r="L342" i="24"/>
  <c r="AF258" i="24"/>
  <c r="BD350" i="23"/>
  <c r="N362" i="23"/>
  <c r="Y362" i="23"/>
  <c r="BF362" i="23" s="1"/>
  <c r="Y261" i="23"/>
  <c r="BF261" i="23" s="1"/>
  <c r="N261" i="23"/>
  <c r="Y216" i="23"/>
  <c r="BF216" i="23" s="1"/>
  <c r="N216" i="23"/>
  <c r="Y219" i="23"/>
  <c r="BF219" i="23" s="1"/>
  <c r="N219" i="23"/>
  <c r="Y257" i="23"/>
  <c r="BF257" i="23" s="1"/>
  <c r="N257" i="23"/>
  <c r="N197" i="23"/>
  <c r="Y197" i="23"/>
  <c r="BF197" i="23" s="1"/>
  <c r="N205" i="23"/>
  <c r="Y205" i="23"/>
  <c r="BF205" i="23" s="1"/>
  <c r="Y281" i="23"/>
  <c r="BF281" i="23" s="1"/>
  <c r="N281" i="23"/>
  <c r="N326" i="23"/>
  <c r="Y326" i="23"/>
  <c r="BF326" i="23" s="1"/>
  <c r="N256" i="23"/>
  <c r="Y256" i="23"/>
  <c r="BF256" i="23" s="1"/>
  <c r="Y260" i="23"/>
  <c r="BF260" i="23" s="1"/>
  <c r="N260" i="23"/>
  <c r="Y295" i="23"/>
  <c r="BF295" i="23" s="1"/>
  <c r="N295" i="23"/>
  <c r="Y221" i="23"/>
  <c r="BF221" i="23" s="1"/>
  <c r="N221" i="23"/>
  <c r="N251" i="23"/>
  <c r="Y251" i="23"/>
  <c r="BF251" i="23" s="1"/>
  <c r="N332" i="23"/>
  <c r="Y332" i="23"/>
  <c r="BF332" i="23" s="1"/>
  <c r="N334" i="23"/>
  <c r="Y334" i="23"/>
  <c r="BF334" i="23" s="1"/>
  <c r="N337" i="23"/>
  <c r="Y337" i="23"/>
  <c r="BF337" i="23" s="1"/>
  <c r="Y308" i="23"/>
  <c r="BF308" i="23" s="1"/>
  <c r="Y248" i="23"/>
  <c r="BF248" i="23" s="1"/>
  <c r="N248" i="23"/>
  <c r="N294" i="23"/>
  <c r="Y294" i="23"/>
  <c r="BF294" i="23" s="1"/>
  <c r="Y217" i="23"/>
  <c r="BF217" i="23" s="1"/>
  <c r="N217" i="23"/>
  <c r="N213" i="23"/>
  <c r="Y213" i="23"/>
  <c r="L258" i="23"/>
  <c r="N282" i="23"/>
  <c r="Y282" i="23"/>
  <c r="L282" i="24" s="1"/>
  <c r="N212" i="23"/>
  <c r="Y212" i="23"/>
  <c r="L232" i="23"/>
  <c r="N302" i="23"/>
  <c r="Y302" i="23"/>
  <c r="BF302" i="23" s="1"/>
  <c r="Y354" i="23"/>
  <c r="N354" i="23"/>
  <c r="N247" i="23"/>
  <c r="Y247" i="23"/>
  <c r="L287" i="23"/>
  <c r="Y231" i="23"/>
  <c r="N231" i="23"/>
  <c r="N304" i="23"/>
  <c r="Y304" i="23"/>
  <c r="Y321" i="23"/>
  <c r="AI321" i="24" s="1"/>
  <c r="N321" i="23"/>
  <c r="N360" i="23"/>
  <c r="Y360" i="23"/>
  <c r="BF360" i="23" s="1"/>
  <c r="Y289" i="23"/>
  <c r="BF289" i="23" s="1"/>
  <c r="N289" i="23"/>
  <c r="Y252" i="23"/>
  <c r="N252" i="23"/>
  <c r="N238" i="23"/>
  <c r="Y238" i="23"/>
  <c r="BF238" i="23" s="1"/>
  <c r="N327" i="23"/>
  <c r="Y327" i="23"/>
  <c r="BF327" i="23" s="1"/>
  <c r="L224" i="23"/>
  <c r="L328" i="23"/>
  <c r="L280" i="23"/>
  <c r="L322" i="23"/>
  <c r="N350" i="23"/>
  <c r="Y350" i="23"/>
  <c r="AI350" i="24" s="1"/>
  <c r="N316" i="23"/>
  <c r="Y316" i="23"/>
  <c r="BF316" i="23" s="1"/>
  <c r="L199" i="23"/>
  <c r="L249" i="23"/>
  <c r="L331" i="23"/>
  <c r="L343" i="23"/>
  <c r="Y237" i="23"/>
  <c r="BF237" i="23" s="1"/>
  <c r="N237" i="23"/>
  <c r="Y311" i="23"/>
  <c r="L311" i="24" s="1"/>
  <c r="N311" i="23"/>
  <c r="L286" i="23"/>
  <c r="L266" i="23"/>
  <c r="Y242" i="23"/>
  <c r="BF242" i="23" s="1"/>
  <c r="N242" i="23"/>
  <c r="N307" i="23"/>
  <c r="Y307" i="23"/>
  <c r="L317" i="23"/>
  <c r="L198" i="23"/>
  <c r="L265" i="23"/>
  <c r="N227" i="23"/>
  <c r="Y227" i="23"/>
  <c r="BF227" i="24" s="1"/>
  <c r="Y209" i="23"/>
  <c r="BF209" i="24" s="1"/>
  <c r="N209" i="23"/>
  <c r="L222" i="23"/>
  <c r="N207" i="23"/>
  <c r="Y207" i="23"/>
  <c r="BF207" i="23" s="1"/>
  <c r="Y359" i="23"/>
  <c r="AI359" i="24" s="1"/>
  <c r="N359" i="23"/>
  <c r="N323" i="23"/>
  <c r="Y323" i="23"/>
  <c r="AY115" i="23"/>
  <c r="AY82" i="23"/>
  <c r="E161" i="24"/>
  <c r="AY161" i="24"/>
  <c r="AZ161" i="24" s="1"/>
  <c r="AB161" i="24"/>
  <c r="AC161" i="24" s="1"/>
  <c r="AD161" i="24"/>
  <c r="H161" i="24"/>
  <c r="BA161" i="24"/>
  <c r="BB161" i="24"/>
  <c r="F161" i="24"/>
  <c r="AE161" i="24"/>
  <c r="G161" i="24"/>
  <c r="G114" i="24"/>
  <c r="H114" i="24"/>
  <c r="AB114" i="24"/>
  <c r="AC114" i="24" s="1"/>
  <c r="AF114" i="24" s="1"/>
  <c r="BA114" i="24"/>
  <c r="BB114" i="24"/>
  <c r="E114" i="24"/>
  <c r="F114" i="24" s="1"/>
  <c r="AD114" i="24"/>
  <c r="AY114" i="24"/>
  <c r="AZ114" i="24" s="1"/>
  <c r="AE114" i="24"/>
  <c r="E28" i="24"/>
  <c r="F28" i="24" s="1"/>
  <c r="AY28" i="24"/>
  <c r="AE28" i="24"/>
  <c r="AZ28" i="24"/>
  <c r="BA28" i="24"/>
  <c r="AD28" i="24"/>
  <c r="G28" i="24"/>
  <c r="H28" i="24"/>
  <c r="BB28" i="24"/>
  <c r="AB28" i="24"/>
  <c r="AC28" i="24" s="1"/>
  <c r="BA120" i="24"/>
  <c r="BB120" i="24"/>
  <c r="AY120" i="24"/>
  <c r="AZ120" i="24" s="1"/>
  <c r="E120" i="24"/>
  <c r="F120" i="24" s="1"/>
  <c r="I120" i="24" s="1"/>
  <c r="H120" i="24"/>
  <c r="AB120" i="24"/>
  <c r="AC120" i="24" s="1"/>
  <c r="AD120" i="24"/>
  <c r="AE120" i="24"/>
  <c r="G120" i="24"/>
  <c r="H43" i="24"/>
  <c r="AB43" i="24"/>
  <c r="AC43" i="24" s="1"/>
  <c r="G43" i="24"/>
  <c r="BB43" i="24"/>
  <c r="AD43" i="24"/>
  <c r="E43" i="24"/>
  <c r="F43" i="24" s="1"/>
  <c r="AY43" i="24"/>
  <c r="AZ43" i="24" s="1"/>
  <c r="AE43" i="24"/>
  <c r="BA43" i="24"/>
  <c r="BA62" i="24"/>
  <c r="G62" i="24"/>
  <c r="BB62" i="24"/>
  <c r="H62" i="24"/>
  <c r="E62" i="24"/>
  <c r="F62" i="24" s="1"/>
  <c r="AY62" i="24"/>
  <c r="AZ62" i="24" s="1"/>
  <c r="AB62" i="24"/>
  <c r="AC62" i="24" s="1"/>
  <c r="AD62" i="24"/>
  <c r="AE62" i="24"/>
  <c r="L29" i="23"/>
  <c r="L89" i="23"/>
  <c r="BB69" i="24"/>
  <c r="BA69" i="24"/>
  <c r="AE69" i="24"/>
  <c r="AY69" i="24"/>
  <c r="AZ69" i="24" s="1"/>
  <c r="G69" i="24"/>
  <c r="AD69" i="24"/>
  <c r="H69" i="24"/>
  <c r="E69" i="24"/>
  <c r="F69" i="24" s="1"/>
  <c r="AB69" i="24"/>
  <c r="AC69" i="24" s="1"/>
  <c r="L9" i="23"/>
  <c r="AB93" i="24"/>
  <c r="AC93" i="24" s="1"/>
  <c r="AD93" i="24"/>
  <c r="H93" i="24"/>
  <c r="G93" i="24"/>
  <c r="E93" i="24"/>
  <c r="F93" i="24" s="1"/>
  <c r="AY93" i="24"/>
  <c r="AZ93" i="24" s="1"/>
  <c r="BA93" i="24"/>
  <c r="BB93" i="24"/>
  <c r="AE93" i="24"/>
  <c r="BE30" i="24"/>
  <c r="AI184" i="24"/>
  <c r="AH184" i="24"/>
  <c r="BE35" i="24"/>
  <c r="BE179" i="24"/>
  <c r="K133" i="24"/>
  <c r="K96" i="24"/>
  <c r="BE166" i="24"/>
  <c r="AH168" i="24"/>
  <c r="AB122" i="24"/>
  <c r="AC122" i="24" s="1"/>
  <c r="H122" i="24"/>
  <c r="BB122" i="24"/>
  <c r="E122" i="24"/>
  <c r="F122" i="24" s="1"/>
  <c r="G122" i="24"/>
  <c r="AD122" i="24"/>
  <c r="AY122" i="24"/>
  <c r="AZ122" i="24" s="1"/>
  <c r="BA122" i="24"/>
  <c r="AE122" i="24"/>
  <c r="H132" i="24"/>
  <c r="AB132" i="24"/>
  <c r="AC132" i="24" s="1"/>
  <c r="AD132" i="24"/>
  <c r="G132" i="24"/>
  <c r="E132" i="24"/>
  <c r="F132" i="24" s="1"/>
  <c r="AE132" i="24"/>
  <c r="BB132" i="24"/>
  <c r="AY132" i="24"/>
  <c r="AZ132" i="24" s="1"/>
  <c r="BA132" i="24"/>
  <c r="AD83" i="24"/>
  <c r="E83" i="24"/>
  <c r="F83" i="24" s="1"/>
  <c r="AE83" i="24"/>
  <c r="AB83" i="24"/>
  <c r="AC83" i="24" s="1"/>
  <c r="G83" i="24"/>
  <c r="H83" i="24"/>
  <c r="AY83" i="24"/>
  <c r="AZ83" i="24" s="1"/>
  <c r="BC83" i="24" s="1"/>
  <c r="BB83" i="24"/>
  <c r="BA83" i="24"/>
  <c r="BF107" i="24"/>
  <c r="BE107" i="24"/>
  <c r="K86" i="24"/>
  <c r="BE117" i="24"/>
  <c r="AH21" i="24"/>
  <c r="BF156" i="23"/>
  <c r="BF156" i="24"/>
  <c r="AI156" i="24"/>
  <c r="G126" i="24"/>
  <c r="H126" i="24"/>
  <c r="AY126" i="24"/>
  <c r="AZ126" i="24" s="1"/>
  <c r="BA126" i="24"/>
  <c r="BB126" i="24"/>
  <c r="AB126" i="24"/>
  <c r="AC126" i="24" s="1"/>
  <c r="AD126" i="24"/>
  <c r="AE126" i="24"/>
  <c r="E126" i="24"/>
  <c r="F126" i="24" s="1"/>
  <c r="AY170" i="23"/>
  <c r="AY85" i="23"/>
  <c r="L153" i="23"/>
  <c r="E141" i="24"/>
  <c r="F141" i="24" s="1"/>
  <c r="AY141" i="24"/>
  <c r="AZ141" i="24" s="1"/>
  <c r="H141" i="24"/>
  <c r="BA141" i="24"/>
  <c r="BB141" i="24"/>
  <c r="AB141" i="24"/>
  <c r="AC141" i="24" s="1"/>
  <c r="G141" i="24"/>
  <c r="AE141" i="24"/>
  <c r="AD141" i="24"/>
  <c r="L6" i="23"/>
  <c r="L80" i="23"/>
  <c r="L76" i="23"/>
  <c r="BE96" i="24"/>
  <c r="BE29" i="24"/>
  <c r="K102" i="24"/>
  <c r="AH139" i="24"/>
  <c r="AH131" i="24"/>
  <c r="AY190" i="23"/>
  <c r="L33" i="23"/>
  <c r="L14" i="23"/>
  <c r="L59" i="23"/>
  <c r="AY145" i="23"/>
  <c r="L34" i="23"/>
  <c r="H130" i="24"/>
  <c r="AB130" i="24"/>
  <c r="AC130" i="24" s="1"/>
  <c r="E130" i="24"/>
  <c r="F130" i="24" s="1"/>
  <c r="BA130" i="24"/>
  <c r="AD130" i="24"/>
  <c r="BB130" i="24"/>
  <c r="AY130" i="24"/>
  <c r="AZ130" i="24" s="1"/>
  <c r="AE130" i="24"/>
  <c r="G130" i="24"/>
  <c r="BF10" i="24"/>
  <c r="K186" i="24"/>
  <c r="L186" i="24"/>
  <c r="BE86" i="24"/>
  <c r="BE67" i="24"/>
  <c r="K31" i="24"/>
  <c r="AH81" i="24"/>
  <c r="K15" i="24"/>
  <c r="K45" i="24"/>
  <c r="G66" i="24"/>
  <c r="BB66" i="24"/>
  <c r="H66" i="24"/>
  <c r="E66" i="24"/>
  <c r="F66" i="24" s="1"/>
  <c r="AE66" i="24"/>
  <c r="BA66" i="24"/>
  <c r="AY66" i="24"/>
  <c r="AZ66" i="24" s="1"/>
  <c r="AB66" i="24"/>
  <c r="AC66" i="24" s="1"/>
  <c r="AD66" i="24"/>
  <c r="L166" i="23"/>
  <c r="AD111" i="24"/>
  <c r="AE111" i="24"/>
  <c r="AY111" i="24"/>
  <c r="AZ111" i="24" s="1"/>
  <c r="H111" i="24"/>
  <c r="AB111" i="24"/>
  <c r="AC111" i="24" s="1"/>
  <c r="BA111" i="24"/>
  <c r="E111" i="24"/>
  <c r="F111" i="24" s="1"/>
  <c r="BB111" i="24"/>
  <c r="G111" i="24"/>
  <c r="BF194" i="23"/>
  <c r="L194" i="24"/>
  <c r="BB54" i="24"/>
  <c r="AE54" i="24"/>
  <c r="BA54" i="24"/>
  <c r="G54" i="24"/>
  <c r="AD54" i="24"/>
  <c r="H54" i="24"/>
  <c r="E54" i="24"/>
  <c r="F54" i="24" s="1"/>
  <c r="AB54" i="24"/>
  <c r="AC54" i="24" s="1"/>
  <c r="AY54" i="24"/>
  <c r="AZ54" i="24" s="1"/>
  <c r="L40" i="23"/>
  <c r="L4" i="23"/>
  <c r="L145" i="23"/>
  <c r="BP45" i="24"/>
  <c r="V99" i="24"/>
  <c r="AH117" i="24"/>
  <c r="K65" i="24"/>
  <c r="BE81" i="24"/>
  <c r="AH116" i="24"/>
  <c r="AH60" i="24"/>
  <c r="K155" i="24"/>
  <c r="K38" i="24"/>
  <c r="AY106" i="23"/>
  <c r="AY147" i="24"/>
  <c r="E147" i="24"/>
  <c r="F147" i="24" s="1"/>
  <c r="AZ147" i="24"/>
  <c r="AB147" i="24"/>
  <c r="AC147" i="24" s="1"/>
  <c r="AD147" i="24"/>
  <c r="BB147" i="24"/>
  <c r="AE147" i="24"/>
  <c r="BA147" i="24"/>
  <c r="G147" i="24"/>
  <c r="H147" i="24"/>
  <c r="L134" i="23"/>
  <c r="BF181" i="23"/>
  <c r="L181" i="24"/>
  <c r="AY172" i="23"/>
  <c r="BF115" i="23"/>
  <c r="BF115" i="24"/>
  <c r="L115" i="24"/>
  <c r="AY17" i="23"/>
  <c r="E3" i="24"/>
  <c r="F3" i="24" s="1"/>
  <c r="G3" i="24"/>
  <c r="AB3" i="24"/>
  <c r="AC3" i="24" s="1"/>
  <c r="AY3" i="24"/>
  <c r="AZ3" i="24" s="1"/>
  <c r="BB3" i="24"/>
  <c r="AD3" i="24"/>
  <c r="AE3" i="24"/>
  <c r="BA3" i="24"/>
  <c r="H3" i="24"/>
  <c r="K94" i="24"/>
  <c r="AH29" i="24"/>
  <c r="K34" i="24"/>
  <c r="E128" i="24"/>
  <c r="AY128" i="24"/>
  <c r="AZ128" i="24" s="1"/>
  <c r="F128" i="24"/>
  <c r="BB128" i="24"/>
  <c r="BA128" i="24"/>
  <c r="AE128" i="24"/>
  <c r="G128" i="24"/>
  <c r="H128" i="24"/>
  <c r="AD128" i="24"/>
  <c r="AB128" i="24"/>
  <c r="AC128" i="24" s="1"/>
  <c r="E160" i="24"/>
  <c r="F160" i="24" s="1"/>
  <c r="AD160" i="24"/>
  <c r="G160" i="24"/>
  <c r="AE160" i="24"/>
  <c r="AY160" i="24"/>
  <c r="AZ160" i="24" s="1"/>
  <c r="AB160" i="24"/>
  <c r="AC160" i="24" s="1"/>
  <c r="AF160" i="24" s="1"/>
  <c r="H160" i="24"/>
  <c r="BA160" i="24"/>
  <c r="BB160" i="24"/>
  <c r="L71" i="23"/>
  <c r="AE105" i="24"/>
  <c r="AD105" i="24"/>
  <c r="AY105" i="24"/>
  <c r="AZ105" i="24" s="1"/>
  <c r="BA105" i="24"/>
  <c r="AB105" i="24"/>
  <c r="AC105" i="24" s="1"/>
  <c r="G105" i="24"/>
  <c r="BB105" i="24"/>
  <c r="H105" i="24"/>
  <c r="E105" i="24"/>
  <c r="F105" i="24" s="1"/>
  <c r="L117" i="23"/>
  <c r="L61" i="23"/>
  <c r="L56" i="23"/>
  <c r="L52" i="23"/>
  <c r="BP48" i="24"/>
  <c r="K30" i="24"/>
  <c r="BE183" i="24"/>
  <c r="AH91" i="24"/>
  <c r="AJ4" i="23"/>
  <c r="AH119" i="24"/>
  <c r="AH137" i="24"/>
  <c r="AH106" i="24"/>
  <c r="K37" i="24"/>
  <c r="BE4" i="24"/>
  <c r="L116" i="23"/>
  <c r="G140" i="24"/>
  <c r="BB140" i="24"/>
  <c r="H140" i="24"/>
  <c r="E140" i="24"/>
  <c r="F140" i="24" s="1"/>
  <c r="AE140" i="24"/>
  <c r="BA140" i="24"/>
  <c r="AY140" i="24"/>
  <c r="AZ140" i="24" s="1"/>
  <c r="AB140" i="24"/>
  <c r="AC140" i="24" s="1"/>
  <c r="AD140" i="24"/>
  <c r="AD154" i="24"/>
  <c r="G154" i="24"/>
  <c r="AE154" i="24"/>
  <c r="AY154" i="24"/>
  <c r="AZ154" i="24" s="1"/>
  <c r="H154" i="24"/>
  <c r="BA154" i="24"/>
  <c r="E154" i="24"/>
  <c r="F154" i="24" s="1"/>
  <c r="AB154" i="24"/>
  <c r="AC154" i="24" s="1"/>
  <c r="BB154" i="24"/>
  <c r="L123" i="23"/>
  <c r="AB75" i="24"/>
  <c r="AC75" i="24" s="1"/>
  <c r="E75" i="24"/>
  <c r="F75" i="24" s="1"/>
  <c r="AD75" i="24"/>
  <c r="AE75" i="24"/>
  <c r="BB75" i="24"/>
  <c r="G75" i="24"/>
  <c r="H75" i="24"/>
  <c r="BA75" i="24"/>
  <c r="AY75" i="24"/>
  <c r="AZ75" i="24" s="1"/>
  <c r="L104" i="23"/>
  <c r="AY23" i="23"/>
  <c r="BF79" i="23"/>
  <c r="AI79" i="24"/>
  <c r="L79" i="24"/>
  <c r="Y30" i="23"/>
  <c r="AP64" i="21"/>
  <c r="AM64" i="21"/>
  <c r="AV64" i="21"/>
  <c r="BE124" i="24"/>
  <c r="K139" i="24"/>
  <c r="BE78" i="24"/>
  <c r="L179" i="23"/>
  <c r="AE150" i="24"/>
  <c r="AD150" i="24"/>
  <c r="E150" i="24"/>
  <c r="F150" i="24" s="1"/>
  <c r="AB150" i="24"/>
  <c r="AC150" i="24" s="1"/>
  <c r="G150" i="24"/>
  <c r="H150" i="24"/>
  <c r="BB150" i="24"/>
  <c r="AY150" i="24"/>
  <c r="AZ150" i="24" s="1"/>
  <c r="BA150" i="24"/>
  <c r="E88" i="24"/>
  <c r="F88" i="24" s="1"/>
  <c r="AB88" i="24"/>
  <c r="AC88" i="24" s="1"/>
  <c r="G88" i="24"/>
  <c r="AD88" i="24"/>
  <c r="H88" i="24"/>
  <c r="AE88" i="24"/>
  <c r="AY88" i="24"/>
  <c r="AZ88" i="24" s="1"/>
  <c r="BC88" i="24" s="1"/>
  <c r="BA88" i="24"/>
  <c r="BB88" i="24"/>
  <c r="AY107" i="23"/>
  <c r="AY135" i="23"/>
  <c r="AY105" i="23"/>
  <c r="AY164" i="23"/>
  <c r="L124" i="23"/>
  <c r="L190" i="23"/>
  <c r="BD4" i="23"/>
  <c r="L192" i="23"/>
  <c r="AY162" i="23"/>
  <c r="AD48" i="24"/>
  <c r="AE48" i="24"/>
  <c r="AY48" i="24"/>
  <c r="AZ48" i="24" s="1"/>
  <c r="BA48" i="24"/>
  <c r="H48" i="24"/>
  <c r="AB48" i="24"/>
  <c r="AC48" i="24" s="1"/>
  <c r="G48" i="24"/>
  <c r="E48" i="24"/>
  <c r="F48" i="24" s="1"/>
  <c r="BB48" i="24"/>
  <c r="H32" i="24"/>
  <c r="AD32" i="24"/>
  <c r="AE32" i="24"/>
  <c r="G32" i="24"/>
  <c r="AB32" i="24"/>
  <c r="AC32" i="24" s="1"/>
  <c r="BB32" i="24"/>
  <c r="BA32" i="24"/>
  <c r="E32" i="24"/>
  <c r="F32" i="24" s="1"/>
  <c r="I32" i="24" s="1"/>
  <c r="AY32" i="24"/>
  <c r="AZ32" i="24" s="1"/>
  <c r="AZ4" i="23"/>
  <c r="L21" i="23"/>
  <c r="BE91" i="24"/>
  <c r="AH186" i="24"/>
  <c r="AI186" i="24"/>
  <c r="BE170" i="24"/>
  <c r="AH45" i="24"/>
  <c r="L113" i="23"/>
  <c r="AD85" i="24"/>
  <c r="AE85" i="24"/>
  <c r="BA85" i="24"/>
  <c r="E85" i="24"/>
  <c r="F85" i="24" s="1"/>
  <c r="AB85" i="24"/>
  <c r="AC85" i="24" s="1"/>
  <c r="BB85" i="24"/>
  <c r="AY85" i="24"/>
  <c r="AZ85" i="24" s="1"/>
  <c r="G85" i="24"/>
  <c r="H85" i="24"/>
  <c r="L118" i="23"/>
  <c r="AY98" i="23"/>
  <c r="L171" i="23"/>
  <c r="AY136" i="23"/>
  <c r="L92" i="23"/>
  <c r="E187" i="24"/>
  <c r="F187" i="24" s="1"/>
  <c r="AY187" i="24"/>
  <c r="AZ187" i="24" s="1"/>
  <c r="BA187" i="24"/>
  <c r="H187" i="24"/>
  <c r="AB187" i="24"/>
  <c r="AC187" i="24" s="1"/>
  <c r="G187" i="24"/>
  <c r="BB187" i="24"/>
  <c r="AD187" i="24"/>
  <c r="AE187" i="24"/>
  <c r="L87" i="23"/>
  <c r="BB50" i="24"/>
  <c r="BA50" i="24"/>
  <c r="AB50" i="24"/>
  <c r="AC50" i="24" s="1"/>
  <c r="E50" i="24"/>
  <c r="F50" i="24" s="1"/>
  <c r="AD50" i="24"/>
  <c r="AY50" i="24"/>
  <c r="AZ50" i="24" s="1"/>
  <c r="H50" i="24"/>
  <c r="AE50" i="24"/>
  <c r="G50" i="24"/>
  <c r="H8" i="24"/>
  <c r="AB8" i="24"/>
  <c r="AC8" i="24" s="1"/>
  <c r="G8" i="24"/>
  <c r="BB8" i="24"/>
  <c r="E8" i="24"/>
  <c r="F8" i="24" s="1"/>
  <c r="AD8" i="24"/>
  <c r="AE8" i="24"/>
  <c r="AY8" i="24"/>
  <c r="AZ8" i="24" s="1"/>
  <c r="BA8" i="24"/>
  <c r="BB182" i="24"/>
  <c r="AB182" i="24"/>
  <c r="AC182" i="24" s="1"/>
  <c r="AY182" i="24"/>
  <c r="AZ182" i="24" s="1"/>
  <c r="BA182" i="24"/>
  <c r="AD182" i="24"/>
  <c r="AE182" i="24"/>
  <c r="E182" i="24"/>
  <c r="F182" i="24" s="1"/>
  <c r="G182" i="24"/>
  <c r="H182" i="24"/>
  <c r="G157" i="24"/>
  <c r="BA157" i="24"/>
  <c r="H157" i="24"/>
  <c r="BB157" i="24"/>
  <c r="AY157" i="24"/>
  <c r="AZ157" i="24" s="1"/>
  <c r="AE157" i="24"/>
  <c r="AD157" i="24"/>
  <c r="E157" i="24"/>
  <c r="F157" i="24" s="1"/>
  <c r="AB157" i="24"/>
  <c r="AC157" i="24" s="1"/>
  <c r="L168" i="23"/>
  <c r="AY91" i="23"/>
  <c r="L180" i="23"/>
  <c r="L5" i="23"/>
  <c r="AH183" i="24"/>
  <c r="AH109" i="24"/>
  <c r="L107" i="24"/>
  <c r="K107" i="24"/>
  <c r="L191" i="24"/>
  <c r="K191" i="24"/>
  <c r="K73" i="24"/>
  <c r="L73" i="24"/>
  <c r="AH166" i="24"/>
  <c r="AH155" i="24"/>
  <c r="BE38" i="24"/>
  <c r="AE148" i="24"/>
  <c r="BA148" i="24"/>
  <c r="BB148" i="24"/>
  <c r="H148" i="24"/>
  <c r="AD148" i="24"/>
  <c r="AY148" i="24"/>
  <c r="AZ148" i="24" s="1"/>
  <c r="G148" i="24"/>
  <c r="E148" i="24"/>
  <c r="F148" i="24" s="1"/>
  <c r="AB148" i="24"/>
  <c r="AC148" i="24" s="1"/>
  <c r="D112" i="22"/>
  <c r="P93" i="22"/>
  <c r="M93" i="22"/>
  <c r="V67" i="24"/>
  <c r="AS192" i="24"/>
  <c r="BP187" i="24"/>
  <c r="BP179" i="24"/>
  <c r="BP167" i="24"/>
  <c r="AS36" i="24"/>
  <c r="V189" i="24"/>
  <c r="BP160" i="24"/>
  <c r="AS14" i="24"/>
  <c r="BP13" i="24"/>
  <c r="V6" i="24"/>
  <c r="V148" i="24"/>
  <c r="BP156" i="24"/>
  <c r="S181" i="24"/>
  <c r="BM181" i="24"/>
  <c r="AP181" i="24"/>
  <c r="AW181" i="24"/>
  <c r="AT181" i="24"/>
  <c r="AU181" i="24"/>
  <c r="Q181" i="24"/>
  <c r="BK181" i="24"/>
  <c r="Z181" i="24"/>
  <c r="Y181" i="24"/>
  <c r="AV181" i="24"/>
  <c r="BR181" i="24"/>
  <c r="BT181" i="24"/>
  <c r="X181" i="24"/>
  <c r="AN181" i="24"/>
  <c r="BQ181" i="24"/>
  <c r="BS181" i="24"/>
  <c r="W181" i="24"/>
  <c r="Y193" i="24"/>
  <c r="X193" i="24"/>
  <c r="AP193" i="24"/>
  <c r="BS193" i="24"/>
  <c r="AT193" i="24"/>
  <c r="BT193" i="24"/>
  <c r="W193" i="24"/>
  <c r="BM193" i="24"/>
  <c r="AV193" i="24"/>
  <c r="AW193" i="24"/>
  <c r="AN193" i="24"/>
  <c r="AU193" i="24"/>
  <c r="BK193" i="24"/>
  <c r="S193" i="24"/>
  <c r="Z193" i="24"/>
  <c r="BQ193" i="24"/>
  <c r="BR193" i="24"/>
  <c r="Q193" i="24"/>
  <c r="BK91" i="24"/>
  <c r="AT91" i="24"/>
  <c r="Y91" i="24"/>
  <c r="X91" i="24"/>
  <c r="BM91" i="24"/>
  <c r="W91" i="24"/>
  <c r="AW91" i="24"/>
  <c r="BT91" i="24"/>
  <c r="Q91" i="24"/>
  <c r="Z91" i="24"/>
  <c r="AU91" i="24"/>
  <c r="AN91" i="24"/>
  <c r="S91" i="24"/>
  <c r="BR91" i="24"/>
  <c r="AV91" i="24"/>
  <c r="BS91" i="24"/>
  <c r="AP91" i="24"/>
  <c r="BQ91" i="24"/>
  <c r="AV106" i="21"/>
  <c r="AM106" i="21"/>
  <c r="AP106" i="21"/>
  <c r="L55" i="23"/>
  <c r="BE173" i="24"/>
  <c r="AP24" i="21"/>
  <c r="AM24" i="21"/>
  <c r="AV24" i="21"/>
  <c r="AW2" i="23"/>
  <c r="AX2" i="23"/>
  <c r="AY2" i="23" s="1"/>
  <c r="AP94" i="21"/>
  <c r="AM94" i="21"/>
  <c r="AV94" i="21"/>
  <c r="L46" i="23"/>
  <c r="AF46" i="24"/>
  <c r="AW85" i="24"/>
  <c r="BK85" i="24"/>
  <c r="AP85" i="24"/>
  <c r="W85" i="24"/>
  <c r="BR85" i="24"/>
  <c r="X85" i="24"/>
  <c r="BS85" i="24"/>
  <c r="BT85" i="24"/>
  <c r="S85" i="24"/>
  <c r="BQ85" i="24"/>
  <c r="AN85" i="24"/>
  <c r="AT85" i="24"/>
  <c r="AU85" i="24"/>
  <c r="Z85" i="24"/>
  <c r="Y85" i="24"/>
  <c r="BM85" i="24"/>
  <c r="AV85" i="24"/>
  <c r="Q85" i="24"/>
  <c r="AM213" i="21"/>
  <c r="AP213" i="21"/>
  <c r="AV213" i="21"/>
  <c r="Z191" i="24"/>
  <c r="Y191" i="24"/>
  <c r="AV191" i="24"/>
  <c r="S191" i="24"/>
  <c r="AW191" i="24"/>
  <c r="AU191" i="24"/>
  <c r="BT191" i="24"/>
  <c r="Q191" i="24"/>
  <c r="BK191" i="24"/>
  <c r="BM191" i="24"/>
  <c r="AN191" i="24"/>
  <c r="W191" i="24"/>
  <c r="AP191" i="24"/>
  <c r="BS191" i="24"/>
  <c r="BR191" i="24"/>
  <c r="X191" i="24"/>
  <c r="AT191" i="24"/>
  <c r="BQ191" i="24"/>
  <c r="Z123" i="24"/>
  <c r="BS123" i="24"/>
  <c r="BK123" i="24"/>
  <c r="BT123" i="24"/>
  <c r="BM123" i="24"/>
  <c r="AW123" i="24"/>
  <c r="BR123" i="24"/>
  <c r="Y123" i="24"/>
  <c r="AP123" i="24"/>
  <c r="AT123" i="24"/>
  <c r="X123" i="24"/>
  <c r="AU123" i="24"/>
  <c r="BQ123" i="24"/>
  <c r="W123" i="24"/>
  <c r="AV123" i="24"/>
  <c r="Q123" i="24"/>
  <c r="S123" i="24"/>
  <c r="AN123" i="24"/>
  <c r="AM148" i="21"/>
  <c r="AV148" i="21"/>
  <c r="AP148" i="21"/>
  <c r="AH173" i="24"/>
  <c r="AV186" i="21"/>
  <c r="AP186" i="21"/>
  <c r="AM186" i="21"/>
  <c r="I18" i="24"/>
  <c r="AP139" i="21"/>
  <c r="AV139" i="21"/>
  <c r="AM139" i="21"/>
  <c r="S136" i="24"/>
  <c r="W136" i="24"/>
  <c r="BK136" i="24"/>
  <c r="AW136" i="24"/>
  <c r="BR136" i="24"/>
  <c r="BM136" i="24"/>
  <c r="Z136" i="24"/>
  <c r="AV136" i="24"/>
  <c r="AT136" i="24"/>
  <c r="BQ136" i="24"/>
  <c r="AU136" i="24"/>
  <c r="X136" i="24"/>
  <c r="Y136" i="24"/>
  <c r="BS136" i="24"/>
  <c r="BT136" i="24"/>
  <c r="AP136" i="24"/>
  <c r="AN136" i="24"/>
  <c r="Q136" i="24"/>
  <c r="AP202" i="21"/>
  <c r="AM202" i="21"/>
  <c r="AV202" i="21"/>
  <c r="AP131" i="21"/>
  <c r="AM131" i="21"/>
  <c r="AV131" i="21"/>
  <c r="AI115" i="24"/>
  <c r="AH115" i="24"/>
  <c r="AP72" i="21"/>
  <c r="AM72" i="21"/>
  <c r="AV72" i="21"/>
  <c r="AX50" i="23"/>
  <c r="AW50" i="23"/>
  <c r="AM104" i="21"/>
  <c r="AV104" i="21"/>
  <c r="AP104" i="21"/>
  <c r="I58" i="24"/>
  <c r="I134" i="24"/>
  <c r="U102" i="24"/>
  <c r="T102" i="24"/>
  <c r="AP77" i="21"/>
  <c r="AV77" i="21"/>
  <c r="AM77" i="21"/>
  <c r="T155" i="24"/>
  <c r="U155" i="24"/>
  <c r="AF67" i="24"/>
  <c r="T56" i="24"/>
  <c r="U56" i="24"/>
  <c r="BO37" i="24"/>
  <c r="BN37" i="24"/>
  <c r="BP37" i="24" s="1"/>
  <c r="AF178" i="24"/>
  <c r="I29" i="24"/>
  <c r="BC34" i="24"/>
  <c r="BC19" i="24"/>
  <c r="AR142" i="24"/>
  <c r="AS142" i="24" s="1"/>
  <c r="AQ142" i="24"/>
  <c r="AF6" i="24"/>
  <c r="T101" i="24"/>
  <c r="U101" i="24"/>
  <c r="I153" i="24"/>
  <c r="AF123" i="24"/>
  <c r="AR156" i="24"/>
  <c r="AQ156" i="24"/>
  <c r="BO188" i="24"/>
  <c r="BN188" i="24"/>
  <c r="BC139" i="24"/>
  <c r="AQ89" i="24"/>
  <c r="AR89" i="24"/>
  <c r="BB158" i="24"/>
  <c r="AY158" i="24"/>
  <c r="AZ158" i="24" s="1"/>
  <c r="AE158" i="24"/>
  <c r="H158" i="24"/>
  <c r="AD158" i="24"/>
  <c r="BA158" i="24"/>
  <c r="E158" i="24"/>
  <c r="F158" i="24" s="1"/>
  <c r="AB158" i="24"/>
  <c r="AC158" i="24" s="1"/>
  <c r="G158" i="24"/>
  <c r="T63" i="24"/>
  <c r="U63" i="24"/>
  <c r="BC121" i="24"/>
  <c r="BN75" i="24"/>
  <c r="BO75" i="24"/>
  <c r="I33" i="24"/>
  <c r="AR90" i="24"/>
  <c r="AQ90" i="24"/>
  <c r="BE5" i="24"/>
  <c r="BC45" i="24"/>
  <c r="I14" i="24"/>
  <c r="AP42" i="24"/>
  <c r="W42" i="24"/>
  <c r="BM42" i="24"/>
  <c r="BR42" i="24"/>
  <c r="BQ42" i="24"/>
  <c r="AT42" i="24"/>
  <c r="BT42" i="24"/>
  <c r="AW42" i="24"/>
  <c r="AU42" i="24"/>
  <c r="Z42" i="24"/>
  <c r="BK42" i="24"/>
  <c r="Y42" i="24"/>
  <c r="AV42" i="24"/>
  <c r="X42" i="24"/>
  <c r="BS42" i="24"/>
  <c r="S42" i="24"/>
  <c r="AN42" i="24"/>
  <c r="Q42" i="24"/>
  <c r="AW74" i="23"/>
  <c r="AX74" i="23"/>
  <c r="AH55" i="24"/>
  <c r="AM175" i="21"/>
  <c r="AV175" i="21"/>
  <c r="AP175" i="21"/>
  <c r="AV76" i="21"/>
  <c r="AM76" i="21"/>
  <c r="AP76" i="21"/>
  <c r="Y68" i="24"/>
  <c r="AP68" i="24"/>
  <c r="BK68" i="24"/>
  <c r="Q68" i="24"/>
  <c r="BT68" i="24"/>
  <c r="BM68" i="24"/>
  <c r="AV68" i="24"/>
  <c r="BQ68" i="24"/>
  <c r="AW68" i="24"/>
  <c r="BR68" i="24"/>
  <c r="W68" i="24"/>
  <c r="BS68" i="24"/>
  <c r="S68" i="24"/>
  <c r="AN68" i="24"/>
  <c r="AT68" i="24"/>
  <c r="X68" i="24"/>
  <c r="AU68" i="24"/>
  <c r="Z68" i="24"/>
  <c r="BS2" i="24"/>
  <c r="S2" i="24"/>
  <c r="BM2" i="24"/>
  <c r="X2" i="24"/>
  <c r="Y2" i="24"/>
  <c r="Q2" i="24"/>
  <c r="AW2" i="24"/>
  <c r="AV2" i="24"/>
  <c r="AU2" i="24"/>
  <c r="BQ2" i="24"/>
  <c r="AT2" i="24"/>
  <c r="Z2" i="24"/>
  <c r="AP2" i="24"/>
  <c r="W2" i="24"/>
  <c r="BT2" i="24"/>
  <c r="BR2" i="24"/>
  <c r="AN2" i="24"/>
  <c r="BK2" i="24"/>
  <c r="BR10" i="24"/>
  <c r="W10" i="24"/>
  <c r="BS10" i="24"/>
  <c r="X10" i="24"/>
  <c r="BT10" i="24"/>
  <c r="BM10" i="24"/>
  <c r="BK10" i="24"/>
  <c r="AP10" i="24"/>
  <c r="Y10" i="24"/>
  <c r="AN10" i="24"/>
  <c r="S10" i="24"/>
  <c r="BQ10" i="24"/>
  <c r="AV10" i="24"/>
  <c r="Q10" i="24"/>
  <c r="AU10" i="24"/>
  <c r="AW10" i="24"/>
  <c r="Z10" i="24"/>
  <c r="AT10" i="24"/>
  <c r="BE163" i="24"/>
  <c r="AH159" i="24"/>
  <c r="AP46" i="24"/>
  <c r="Z46" i="24"/>
  <c r="AT46" i="24"/>
  <c r="AU46" i="24"/>
  <c r="BK46" i="24"/>
  <c r="AV46" i="24"/>
  <c r="Y46" i="24"/>
  <c r="S46" i="24"/>
  <c r="BS46" i="24"/>
  <c r="W46" i="24"/>
  <c r="X46" i="24"/>
  <c r="AW46" i="24"/>
  <c r="BR46" i="24"/>
  <c r="Q46" i="24"/>
  <c r="BM46" i="24"/>
  <c r="BQ46" i="24"/>
  <c r="AN46" i="24"/>
  <c r="BT46" i="24"/>
  <c r="U175" i="24"/>
  <c r="T175" i="24"/>
  <c r="AF107" i="24"/>
  <c r="Z172" i="24"/>
  <c r="AV172" i="24"/>
  <c r="Y172" i="24"/>
  <c r="AU172" i="24"/>
  <c r="BM172" i="24"/>
  <c r="Q172" i="24"/>
  <c r="BR172" i="24"/>
  <c r="AP172" i="24"/>
  <c r="AW172" i="24"/>
  <c r="BK172" i="24"/>
  <c r="W172" i="24"/>
  <c r="AN172" i="24"/>
  <c r="AT172" i="24"/>
  <c r="BS172" i="24"/>
  <c r="BT172" i="24"/>
  <c r="X172" i="24"/>
  <c r="S172" i="24"/>
  <c r="BQ172" i="24"/>
  <c r="BS149" i="24"/>
  <c r="Q149" i="24"/>
  <c r="BR149" i="24"/>
  <c r="S149" i="24"/>
  <c r="BQ149" i="24"/>
  <c r="Y149" i="24"/>
  <c r="AU149" i="24"/>
  <c r="Z149" i="24"/>
  <c r="AV149" i="24"/>
  <c r="AN149" i="24"/>
  <c r="BK149" i="24"/>
  <c r="W149" i="24"/>
  <c r="AT149" i="24"/>
  <c r="AW149" i="24"/>
  <c r="BM149" i="24"/>
  <c r="X149" i="24"/>
  <c r="AP149" i="24"/>
  <c r="BT149" i="24"/>
  <c r="Y18" i="24"/>
  <c r="BQ18" i="24"/>
  <c r="Z18" i="24"/>
  <c r="AN18" i="24"/>
  <c r="BR18" i="24"/>
  <c r="BS18" i="24"/>
  <c r="X18" i="24"/>
  <c r="Q18" i="24"/>
  <c r="S18" i="24"/>
  <c r="AV18" i="24"/>
  <c r="AW18" i="24"/>
  <c r="BT18" i="24"/>
  <c r="AU18" i="24"/>
  <c r="BM18" i="24"/>
  <c r="AP18" i="24"/>
  <c r="AT18" i="24"/>
  <c r="W18" i="24"/>
  <c r="BK18" i="24"/>
  <c r="X94" i="24"/>
  <c r="AT94" i="24"/>
  <c r="BQ94" i="24"/>
  <c r="BR94" i="24"/>
  <c r="W94" i="24"/>
  <c r="AN94" i="24"/>
  <c r="Z94" i="24"/>
  <c r="BK94" i="24"/>
  <c r="AU94" i="24"/>
  <c r="BT94" i="24"/>
  <c r="Q94" i="24"/>
  <c r="AP94" i="24"/>
  <c r="S94" i="24"/>
  <c r="BM94" i="24"/>
  <c r="Y94" i="24"/>
  <c r="AV94" i="24"/>
  <c r="AW94" i="24"/>
  <c r="BS94" i="24"/>
  <c r="AP153" i="21"/>
  <c r="AM153" i="21"/>
  <c r="AV153" i="21"/>
  <c r="AT27" i="24"/>
  <c r="S27" i="24"/>
  <c r="AU27" i="24"/>
  <c r="AV27" i="24"/>
  <c r="BK27" i="24"/>
  <c r="Q27" i="24"/>
  <c r="W27" i="24"/>
  <c r="X27" i="24"/>
  <c r="AN27" i="24"/>
  <c r="BT27" i="24"/>
  <c r="Y27" i="24"/>
  <c r="Z27" i="24"/>
  <c r="AW27" i="24"/>
  <c r="AP27" i="24"/>
  <c r="BS27" i="24"/>
  <c r="BQ27" i="24"/>
  <c r="BR27" i="24"/>
  <c r="BM27" i="24"/>
  <c r="AW108" i="23"/>
  <c r="AX108" i="23"/>
  <c r="AV92" i="24"/>
  <c r="BR92" i="24"/>
  <c r="AT92" i="24"/>
  <c r="W92" i="24"/>
  <c r="X92" i="24"/>
  <c r="AU92" i="24"/>
  <c r="BQ92" i="24"/>
  <c r="S92" i="24"/>
  <c r="Q92" i="24"/>
  <c r="AP92" i="24"/>
  <c r="Y92" i="24"/>
  <c r="BT92" i="24"/>
  <c r="AN92" i="24"/>
  <c r="BK92" i="24"/>
  <c r="AW92" i="24"/>
  <c r="BS92" i="24"/>
  <c r="Z92" i="24"/>
  <c r="BM92" i="24"/>
  <c r="AF82" i="24"/>
  <c r="AV39" i="21"/>
  <c r="AM39" i="21"/>
  <c r="AP39" i="21"/>
  <c r="S97" i="24"/>
  <c r="BQ97" i="24"/>
  <c r="W97" i="24"/>
  <c r="BR97" i="24"/>
  <c r="Q97" i="24"/>
  <c r="BM97" i="24"/>
  <c r="X97" i="24"/>
  <c r="AN97" i="24"/>
  <c r="BK97" i="24"/>
  <c r="Y97" i="24"/>
  <c r="AW97" i="24"/>
  <c r="Z97" i="24"/>
  <c r="AV97" i="24"/>
  <c r="BS97" i="24"/>
  <c r="AT97" i="24"/>
  <c r="AU97" i="24"/>
  <c r="AP97" i="24"/>
  <c r="BT97" i="24"/>
  <c r="AM45" i="21"/>
  <c r="AV45" i="21"/>
  <c r="AP45" i="21"/>
  <c r="AW104" i="23"/>
  <c r="AX104" i="23"/>
  <c r="K173" i="24"/>
  <c r="AX44" i="23"/>
  <c r="AW44" i="23"/>
  <c r="AH86" i="24"/>
  <c r="BE72" i="24"/>
  <c r="H7" i="24"/>
  <c r="AB7" i="24"/>
  <c r="AC7" i="24" s="1"/>
  <c r="AD7" i="24"/>
  <c r="G7" i="24"/>
  <c r="BA7" i="24"/>
  <c r="BB7" i="24"/>
  <c r="AY7" i="24"/>
  <c r="AZ7" i="24" s="1"/>
  <c r="AE7" i="24"/>
  <c r="E7" i="24"/>
  <c r="F7" i="24" s="1"/>
  <c r="G7" i="23"/>
  <c r="H7" i="23"/>
  <c r="I7" i="23" s="1"/>
  <c r="K7" i="23"/>
  <c r="J7" i="23"/>
  <c r="BE134" i="24"/>
  <c r="U122" i="24"/>
  <c r="T122" i="24"/>
  <c r="V122" i="24" s="1"/>
  <c r="BN102" i="24"/>
  <c r="BO102" i="24"/>
  <c r="BN120" i="24"/>
  <c r="BO120" i="24"/>
  <c r="K193" i="24"/>
  <c r="BE176" i="24"/>
  <c r="K145" i="24"/>
  <c r="Y55" i="24"/>
  <c r="AN55" i="24"/>
  <c r="AT55" i="24"/>
  <c r="AU55" i="24"/>
  <c r="BK55" i="24"/>
  <c r="Z55" i="24"/>
  <c r="AV55" i="24"/>
  <c r="BT55" i="24"/>
  <c r="AW55" i="24"/>
  <c r="Q55" i="24"/>
  <c r="W55" i="24"/>
  <c r="BS55" i="24"/>
  <c r="BR55" i="24"/>
  <c r="X55" i="24"/>
  <c r="BQ55" i="24"/>
  <c r="AP55" i="24"/>
  <c r="S55" i="24"/>
  <c r="BM55" i="24"/>
  <c r="Z182" i="24"/>
  <c r="X182" i="24"/>
  <c r="AT182" i="24"/>
  <c r="BK182" i="24"/>
  <c r="Y182" i="24"/>
  <c r="AU182" i="24"/>
  <c r="BS182" i="24"/>
  <c r="AV182" i="24"/>
  <c r="BT182" i="24"/>
  <c r="AP182" i="24"/>
  <c r="W182" i="24"/>
  <c r="BQ182" i="24"/>
  <c r="BM182" i="24"/>
  <c r="AN182" i="24"/>
  <c r="BR182" i="24"/>
  <c r="S182" i="24"/>
  <c r="AW182" i="24"/>
  <c r="Q182" i="24"/>
  <c r="U95" i="24"/>
  <c r="T95" i="24"/>
  <c r="BE133" i="24"/>
  <c r="BN56" i="24"/>
  <c r="BO56" i="24"/>
  <c r="K71" i="24"/>
  <c r="AQ8" i="24"/>
  <c r="AR8" i="24"/>
  <c r="T81" i="24"/>
  <c r="U81" i="24"/>
  <c r="K80" i="24"/>
  <c r="BE68" i="24"/>
  <c r="BB13" i="24"/>
  <c r="E13" i="24"/>
  <c r="F13" i="24" s="1"/>
  <c r="AB13" i="24"/>
  <c r="BA13" i="24"/>
  <c r="H13" i="24"/>
  <c r="G13" i="24"/>
  <c r="AY13" i="24"/>
  <c r="AZ13" i="24" s="1"/>
  <c r="AD13" i="24"/>
  <c r="AE13" i="24"/>
  <c r="AC13" i="24"/>
  <c r="BN142" i="24"/>
  <c r="BP142" i="24" s="1"/>
  <c r="BO142" i="24"/>
  <c r="K23" i="24"/>
  <c r="BC6" i="24"/>
  <c r="K42" i="24"/>
  <c r="AQ101" i="24"/>
  <c r="AR101" i="24"/>
  <c r="AS101" i="24" s="1"/>
  <c r="AH153" i="24"/>
  <c r="K116" i="24"/>
  <c r="K16" i="24"/>
  <c r="BE15" i="24"/>
  <c r="U62" i="24"/>
  <c r="T62" i="24"/>
  <c r="BE101" i="24"/>
  <c r="K95" i="24"/>
  <c r="K104" i="24"/>
  <c r="K151" i="24"/>
  <c r="BE92" i="24"/>
  <c r="BE131" i="24"/>
  <c r="BN63" i="24"/>
  <c r="BO63" i="24"/>
  <c r="AH78" i="24"/>
  <c r="BN15" i="24"/>
  <c r="BO15" i="24"/>
  <c r="AQ5" i="24"/>
  <c r="AR5" i="24"/>
  <c r="K121" i="24"/>
  <c r="BE89" i="24"/>
  <c r="AH37" i="24"/>
  <c r="BE77" i="24"/>
  <c r="BC98" i="24"/>
  <c r="BE59" i="24"/>
  <c r="AS179" i="24"/>
  <c r="BP67" i="24"/>
  <c r="BP29" i="24"/>
  <c r="AM215" i="21"/>
  <c r="AP215" i="21"/>
  <c r="AV215" i="21"/>
  <c r="AE135" i="24"/>
  <c r="AB135" i="24"/>
  <c r="AC135" i="24" s="1"/>
  <c r="AD135" i="24"/>
  <c r="AY135" i="24"/>
  <c r="AZ135" i="24" s="1"/>
  <c r="H135" i="24"/>
  <c r="G135" i="24"/>
  <c r="E135" i="24"/>
  <c r="F135" i="24" s="1"/>
  <c r="BB135" i="24"/>
  <c r="BA135" i="24"/>
  <c r="H135" i="23"/>
  <c r="I135" i="23" s="1"/>
  <c r="J135" i="23"/>
  <c r="K135" i="23"/>
  <c r="G135" i="23"/>
  <c r="AM160" i="21"/>
  <c r="AV160" i="21"/>
  <c r="AP160" i="21"/>
  <c r="AW11" i="23"/>
  <c r="AY11" i="23" s="1"/>
  <c r="AX11" i="23"/>
  <c r="AV74" i="21"/>
  <c r="AM74" i="21"/>
  <c r="AP74" i="21"/>
  <c r="AW52" i="23"/>
  <c r="AX52" i="23"/>
  <c r="AP109" i="21"/>
  <c r="AV109" i="21"/>
  <c r="AM109" i="21"/>
  <c r="AP47" i="21"/>
  <c r="AM47" i="21"/>
  <c r="AV47" i="21"/>
  <c r="AP147" i="21"/>
  <c r="AV147" i="21"/>
  <c r="AM147" i="21"/>
  <c r="AV151" i="21"/>
  <c r="AP151" i="21"/>
  <c r="AM151" i="21"/>
  <c r="AH103" i="24"/>
  <c r="BE84" i="24"/>
  <c r="AM32" i="21"/>
  <c r="AV32" i="21"/>
  <c r="AP32" i="21"/>
  <c r="AX58" i="23"/>
  <c r="AW58" i="23"/>
  <c r="BE136" i="24"/>
  <c r="AV101" i="21"/>
  <c r="AP101" i="21"/>
  <c r="AM101" i="21"/>
  <c r="AF129" i="24"/>
  <c r="I110" i="24"/>
  <c r="Z93" i="24"/>
  <c r="AT93" i="24"/>
  <c r="BS93" i="24"/>
  <c r="AU93" i="24"/>
  <c r="BT93" i="24"/>
  <c r="AV93" i="24"/>
  <c r="Y93" i="24"/>
  <c r="AN93" i="24"/>
  <c r="BR93" i="24"/>
  <c r="AW93" i="24"/>
  <c r="BK93" i="24"/>
  <c r="BM93" i="24"/>
  <c r="BQ93" i="24"/>
  <c r="Q93" i="24"/>
  <c r="W93" i="24"/>
  <c r="X93" i="24"/>
  <c r="AP93" i="24"/>
  <c r="S93" i="24"/>
  <c r="AP216" i="21"/>
  <c r="AV216" i="21"/>
  <c r="AM216" i="21"/>
  <c r="BO175" i="24"/>
  <c r="BN175" i="24"/>
  <c r="AY185" i="23"/>
  <c r="AM205" i="21"/>
  <c r="AV205" i="21"/>
  <c r="AP205" i="21"/>
  <c r="AX183" i="23"/>
  <c r="AW183" i="23"/>
  <c r="BM124" i="24"/>
  <c r="AP124" i="24"/>
  <c r="Y124" i="24"/>
  <c r="BT124" i="24"/>
  <c r="BS124" i="24"/>
  <c r="W124" i="24"/>
  <c r="BK124" i="24"/>
  <c r="X124" i="24"/>
  <c r="S124" i="24"/>
  <c r="BQ124" i="24"/>
  <c r="AT124" i="24"/>
  <c r="AV124" i="24"/>
  <c r="AN124" i="24"/>
  <c r="Q124" i="24"/>
  <c r="AU124" i="24"/>
  <c r="AW124" i="24"/>
  <c r="Z124" i="24"/>
  <c r="BR124" i="24"/>
  <c r="AP181" i="21"/>
  <c r="AV181" i="21"/>
  <c r="AM181" i="21"/>
  <c r="BT127" i="24"/>
  <c r="BS127" i="24"/>
  <c r="BR127" i="24"/>
  <c r="AU127" i="24"/>
  <c r="AT127" i="24"/>
  <c r="AN127" i="24"/>
  <c r="BM127" i="24"/>
  <c r="W127" i="24"/>
  <c r="Q127" i="24"/>
  <c r="X127" i="24"/>
  <c r="Y127" i="24"/>
  <c r="S127" i="24"/>
  <c r="AW127" i="24"/>
  <c r="BQ127" i="24"/>
  <c r="BK127" i="24"/>
  <c r="Z127" i="24"/>
  <c r="AV127" i="24"/>
  <c r="BE79" i="24"/>
  <c r="BF79" i="24"/>
  <c r="AE108" i="24"/>
  <c r="AY108" i="24"/>
  <c r="AZ108" i="24" s="1"/>
  <c r="AD108" i="24"/>
  <c r="BB108" i="24"/>
  <c r="AB108" i="24"/>
  <c r="AC108" i="24" s="1"/>
  <c r="BA108" i="24"/>
  <c r="E108" i="24"/>
  <c r="F108" i="24" s="1"/>
  <c r="G108" i="24"/>
  <c r="H108" i="24"/>
  <c r="H108" i="23"/>
  <c r="I108" i="23" s="1"/>
  <c r="G108" i="23"/>
  <c r="J108" i="23"/>
  <c r="K108" i="23"/>
  <c r="AX131" i="23"/>
  <c r="AW131" i="23"/>
  <c r="AP82" i="21"/>
  <c r="AV82" i="21"/>
  <c r="AM82" i="21"/>
  <c r="AM167" i="21"/>
  <c r="AP167" i="21"/>
  <c r="AV167" i="21"/>
  <c r="AM114" i="21"/>
  <c r="AV114" i="21"/>
  <c r="AP114" i="21"/>
  <c r="AV206" i="21"/>
  <c r="AM206" i="21"/>
  <c r="AP206" i="21"/>
  <c r="I82" i="24"/>
  <c r="AP83" i="21"/>
  <c r="AM83" i="21"/>
  <c r="AV83" i="21"/>
  <c r="AP141" i="21"/>
  <c r="AM141" i="21"/>
  <c r="AV141" i="21"/>
  <c r="AP119" i="21"/>
  <c r="AM119" i="21"/>
  <c r="AV119" i="21"/>
  <c r="Q109" i="24"/>
  <c r="Y109" i="24"/>
  <c r="AN109" i="24"/>
  <c r="Z109" i="24"/>
  <c r="AW109" i="24"/>
  <c r="AV109" i="24"/>
  <c r="BR109" i="24"/>
  <c r="BS109" i="24"/>
  <c r="W109" i="24"/>
  <c r="AT109" i="24"/>
  <c r="BM109" i="24"/>
  <c r="AU109" i="24"/>
  <c r="BT109" i="24"/>
  <c r="BQ109" i="24"/>
  <c r="S109" i="24"/>
  <c r="AP109" i="24"/>
  <c r="X109" i="24"/>
  <c r="BK109" i="24"/>
  <c r="W115" i="24"/>
  <c r="BT115" i="24"/>
  <c r="X115" i="24"/>
  <c r="Y115" i="24"/>
  <c r="Q115" i="24"/>
  <c r="BS115" i="24"/>
  <c r="AT115" i="24"/>
  <c r="BQ115" i="24"/>
  <c r="AU115" i="24"/>
  <c r="BR115" i="24"/>
  <c r="AV115" i="24"/>
  <c r="Z115" i="24"/>
  <c r="AN115" i="24"/>
  <c r="BK115" i="24"/>
  <c r="AW115" i="24"/>
  <c r="AP115" i="24"/>
  <c r="S115" i="24"/>
  <c r="BM115" i="24"/>
  <c r="BM104" i="24"/>
  <c r="BR104" i="24"/>
  <c r="BS104" i="24"/>
  <c r="AW104" i="24"/>
  <c r="Z104" i="24"/>
  <c r="BT104" i="24"/>
  <c r="W104" i="24"/>
  <c r="S104" i="24"/>
  <c r="AN104" i="24"/>
  <c r="BK104" i="24"/>
  <c r="AV104" i="24"/>
  <c r="BQ104" i="24"/>
  <c r="AT104" i="24"/>
  <c r="AU104" i="24"/>
  <c r="Y104" i="24"/>
  <c r="AP104" i="24"/>
  <c r="X104" i="24"/>
  <c r="Q104" i="24"/>
  <c r="AX30" i="23"/>
  <c r="AW30" i="23"/>
  <c r="AP66" i="21"/>
  <c r="AM66" i="21"/>
  <c r="AV66" i="21"/>
  <c r="AU44" i="24"/>
  <c r="Y44" i="24"/>
  <c r="Z44" i="24"/>
  <c r="AT44" i="24"/>
  <c r="BQ44" i="24"/>
  <c r="AN44" i="24"/>
  <c r="BR44" i="24"/>
  <c r="BS44" i="24"/>
  <c r="W44" i="24"/>
  <c r="X44" i="24"/>
  <c r="AV44" i="24"/>
  <c r="BT44" i="24"/>
  <c r="S44" i="24"/>
  <c r="AW44" i="24"/>
  <c r="Q44" i="24"/>
  <c r="BM44" i="24"/>
  <c r="BK44" i="24"/>
  <c r="AP44" i="24"/>
  <c r="AM176" i="21"/>
  <c r="AP176" i="21"/>
  <c r="AV176" i="21"/>
  <c r="BC191" i="24"/>
  <c r="BE73" i="24"/>
  <c r="BF73" i="24"/>
  <c r="AH2" i="24"/>
  <c r="BB149" i="24"/>
  <c r="AE149" i="24"/>
  <c r="BA149" i="24"/>
  <c r="E149" i="24"/>
  <c r="F149" i="24" s="1"/>
  <c r="G149" i="24"/>
  <c r="H149" i="24"/>
  <c r="AY149" i="24"/>
  <c r="AZ149" i="24" s="1"/>
  <c r="BC149" i="24" s="1"/>
  <c r="I149" i="23"/>
  <c r="AB149" i="24"/>
  <c r="AC149" i="24" s="1"/>
  <c r="AD149" i="24"/>
  <c r="H149" i="23"/>
  <c r="G149" i="23"/>
  <c r="J149" i="23"/>
  <c r="K149" i="23"/>
  <c r="AH63" i="24"/>
  <c r="AF35" i="24"/>
  <c r="K124" i="24"/>
  <c r="BC118" i="24"/>
  <c r="AF134" i="24"/>
  <c r="AQ102" i="24"/>
  <c r="AR102" i="24"/>
  <c r="AB53" i="24"/>
  <c r="AC53" i="24" s="1"/>
  <c r="AY53" i="24"/>
  <c r="AZ53" i="24" s="1"/>
  <c r="G53" i="24"/>
  <c r="H53" i="24"/>
  <c r="AD53" i="24"/>
  <c r="BA53" i="24"/>
  <c r="E53" i="24"/>
  <c r="F53" i="24" s="1"/>
  <c r="AE53" i="24"/>
  <c r="BB53" i="24"/>
  <c r="G53" i="23"/>
  <c r="H53" i="23"/>
  <c r="I53" i="23" s="1"/>
  <c r="J53" i="23"/>
  <c r="K53" i="23"/>
  <c r="E100" i="24"/>
  <c r="F100" i="24" s="1"/>
  <c r="G100" i="24"/>
  <c r="AD100" i="24"/>
  <c r="AY100" i="24"/>
  <c r="AZ100" i="24" s="1"/>
  <c r="H100" i="24"/>
  <c r="AE100" i="24"/>
  <c r="AB100" i="24"/>
  <c r="AC100" i="24" s="1"/>
  <c r="BB100" i="24"/>
  <c r="BA100" i="24"/>
  <c r="J100" i="23"/>
  <c r="G100" i="23"/>
  <c r="H100" i="23"/>
  <c r="I100" i="23" s="1"/>
  <c r="K100" i="23"/>
  <c r="K171" i="24"/>
  <c r="U28" i="24"/>
  <c r="T28" i="24"/>
  <c r="BE36" i="24"/>
  <c r="BN81" i="24"/>
  <c r="BO81" i="24"/>
  <c r="U22" i="24"/>
  <c r="T22" i="24"/>
  <c r="BE52" i="24"/>
  <c r="BC23" i="24"/>
  <c r="AH42" i="24"/>
  <c r="I51" i="24"/>
  <c r="BN101" i="24"/>
  <c r="BO101" i="24"/>
  <c r="BC102" i="24"/>
  <c r="K81" i="24"/>
  <c r="BC87" i="24"/>
  <c r="BC64" i="24"/>
  <c r="AF15" i="24"/>
  <c r="BE169" i="24"/>
  <c r="K106" i="24"/>
  <c r="AR137" i="24"/>
  <c r="AQ137" i="24"/>
  <c r="T40" i="24"/>
  <c r="U40" i="24"/>
  <c r="AH151" i="24"/>
  <c r="K180" i="24"/>
  <c r="AH92" i="24"/>
  <c r="AH33" i="24"/>
  <c r="BE37" i="24"/>
  <c r="BE20" i="24"/>
  <c r="AH38" i="24"/>
  <c r="BN31" i="24"/>
  <c r="BO31" i="24"/>
  <c r="AQ13" i="24"/>
  <c r="AR13" i="24"/>
  <c r="AH5" i="24"/>
  <c r="K59" i="24"/>
  <c r="L77" i="23"/>
  <c r="N77" i="23" s="1"/>
  <c r="V192" i="24"/>
  <c r="AS121" i="24"/>
  <c r="AS178" i="24"/>
  <c r="BP178" i="24"/>
  <c r="AS155" i="24"/>
  <c r="V70" i="24"/>
  <c r="V21" i="24"/>
  <c r="AP87" i="21"/>
  <c r="AV87" i="21"/>
  <c r="AM87" i="21"/>
  <c r="BK150" i="24"/>
  <c r="AU150" i="24"/>
  <c r="AV150" i="24"/>
  <c r="BM150" i="24"/>
  <c r="AN150" i="24"/>
  <c r="BR150" i="24"/>
  <c r="Q150" i="24"/>
  <c r="BS150" i="24"/>
  <c r="Z150" i="24"/>
  <c r="W150" i="24"/>
  <c r="AP150" i="24"/>
  <c r="BT150" i="24"/>
  <c r="AT150" i="24"/>
  <c r="S150" i="24"/>
  <c r="Y150" i="24"/>
  <c r="AW150" i="24"/>
  <c r="BQ150" i="24"/>
  <c r="X150" i="24"/>
  <c r="AW52" i="24"/>
  <c r="BK52" i="24"/>
  <c r="S52" i="24"/>
  <c r="BQ52" i="24"/>
  <c r="W52" i="24"/>
  <c r="BR52" i="24"/>
  <c r="Q52" i="24"/>
  <c r="AV52" i="24"/>
  <c r="AT52" i="24"/>
  <c r="BT52" i="24"/>
  <c r="AU52" i="24"/>
  <c r="AP52" i="24"/>
  <c r="BS52" i="24"/>
  <c r="AN52" i="24"/>
  <c r="X52" i="24"/>
  <c r="Y52" i="24"/>
  <c r="Z52" i="24"/>
  <c r="BM52" i="24"/>
  <c r="K55" i="24"/>
  <c r="AP107" i="24"/>
  <c r="AN107" i="24"/>
  <c r="BT107" i="24"/>
  <c r="AU107" i="24"/>
  <c r="BS107" i="24"/>
  <c r="BK107" i="24"/>
  <c r="BR107" i="24"/>
  <c r="W107" i="24"/>
  <c r="X107" i="24"/>
  <c r="Y107" i="24"/>
  <c r="Z107" i="24"/>
  <c r="AT107" i="24"/>
  <c r="S107" i="24"/>
  <c r="BQ107" i="24"/>
  <c r="BM107" i="24"/>
  <c r="AV107" i="24"/>
  <c r="AW107" i="24"/>
  <c r="Q107" i="24"/>
  <c r="Q125" i="24"/>
  <c r="BQ125" i="24"/>
  <c r="W125" i="24"/>
  <c r="BR125" i="24"/>
  <c r="X125" i="24"/>
  <c r="Y125" i="24"/>
  <c r="AN125" i="24"/>
  <c r="Z125" i="24"/>
  <c r="AT125" i="24"/>
  <c r="BK125" i="24"/>
  <c r="AU125" i="24"/>
  <c r="BS125" i="24"/>
  <c r="BT125" i="24"/>
  <c r="AV125" i="24"/>
  <c r="AW125" i="24"/>
  <c r="BM125" i="24"/>
  <c r="S125" i="24"/>
  <c r="AP125" i="24"/>
  <c r="BC103" i="24"/>
  <c r="BE97" i="24"/>
  <c r="AW79" i="24"/>
  <c r="BQ79" i="24"/>
  <c r="BS79" i="24"/>
  <c r="Q79" i="24"/>
  <c r="BT79" i="24"/>
  <c r="AV79" i="24"/>
  <c r="X79" i="24"/>
  <c r="Y79" i="24"/>
  <c r="AT79" i="24"/>
  <c r="Z79" i="24"/>
  <c r="AU79" i="24"/>
  <c r="W79" i="24"/>
  <c r="S79" i="24"/>
  <c r="BK79" i="24"/>
  <c r="AP79" i="24"/>
  <c r="AN79" i="24"/>
  <c r="BR79" i="24"/>
  <c r="BM79" i="24"/>
  <c r="AP102" i="21"/>
  <c r="AM102" i="21"/>
  <c r="AV102" i="21"/>
  <c r="S80" i="24"/>
  <c r="BT80" i="24"/>
  <c r="AU80" i="24"/>
  <c r="BR80" i="24"/>
  <c r="AN80" i="24"/>
  <c r="W80" i="24"/>
  <c r="Z80" i="24"/>
  <c r="AW80" i="24"/>
  <c r="BQ80" i="24"/>
  <c r="BM80" i="24"/>
  <c r="X80" i="24"/>
  <c r="AP80" i="24"/>
  <c r="Q80" i="24"/>
  <c r="BK80" i="24"/>
  <c r="AT80" i="24"/>
  <c r="Y80" i="24"/>
  <c r="AV80" i="24"/>
  <c r="BS80" i="24"/>
  <c r="AP184" i="21"/>
  <c r="AM184" i="21"/>
  <c r="AV184" i="21"/>
  <c r="BE184" i="24"/>
  <c r="BF184" i="24"/>
  <c r="AP68" i="21"/>
  <c r="AV68" i="21"/>
  <c r="AM68" i="21"/>
  <c r="AP163" i="24"/>
  <c r="BM163" i="24"/>
  <c r="BT163" i="24"/>
  <c r="W163" i="24"/>
  <c r="X163" i="24"/>
  <c r="Y163" i="24"/>
  <c r="BK163" i="24"/>
  <c r="BR163" i="24"/>
  <c r="BS163" i="24"/>
  <c r="AN163" i="24"/>
  <c r="AU163" i="24"/>
  <c r="S163" i="24"/>
  <c r="BQ163" i="24"/>
  <c r="Q163" i="24"/>
  <c r="AV163" i="24"/>
  <c r="AW163" i="24"/>
  <c r="Z163" i="24"/>
  <c r="AT163" i="24"/>
  <c r="U186" i="24"/>
  <c r="T186" i="24"/>
  <c r="AM146" i="21"/>
  <c r="AV146" i="21"/>
  <c r="AP146" i="21"/>
  <c r="AV64" i="24"/>
  <c r="Q64" i="24"/>
  <c r="W64" i="24"/>
  <c r="X64" i="24"/>
  <c r="Y64" i="24"/>
  <c r="AN64" i="24"/>
  <c r="BK64" i="24"/>
  <c r="Z64" i="24"/>
  <c r="AT64" i="24"/>
  <c r="BQ64" i="24"/>
  <c r="AU64" i="24"/>
  <c r="BR64" i="24"/>
  <c r="AW64" i="24"/>
  <c r="BS64" i="24"/>
  <c r="BT64" i="24"/>
  <c r="AP64" i="24"/>
  <c r="BM64" i="24"/>
  <c r="S64" i="24"/>
  <c r="Z117" i="24"/>
  <c r="AN117" i="24"/>
  <c r="Y117" i="24"/>
  <c r="Q117" i="24"/>
  <c r="X117" i="24"/>
  <c r="BT117" i="24"/>
  <c r="W117" i="24"/>
  <c r="AU117" i="24"/>
  <c r="BS117" i="24"/>
  <c r="BK117" i="24"/>
  <c r="BR117" i="24"/>
  <c r="AT117" i="24"/>
  <c r="BQ117" i="24"/>
  <c r="BM117" i="24"/>
  <c r="AW117" i="24"/>
  <c r="AP117" i="24"/>
  <c r="AV117" i="24"/>
  <c r="S117" i="24"/>
  <c r="AX127" i="23"/>
  <c r="AW127" i="23"/>
  <c r="AH10" i="24"/>
  <c r="AI10" i="24"/>
  <c r="Q145" i="24"/>
  <c r="BK145" i="24"/>
  <c r="W145" i="24"/>
  <c r="BQ145" i="24"/>
  <c r="X145" i="24"/>
  <c r="BR145" i="24"/>
  <c r="AW145" i="24"/>
  <c r="BS145" i="24"/>
  <c r="AN145" i="24"/>
  <c r="BT145" i="24"/>
  <c r="AT145" i="24"/>
  <c r="Y145" i="24"/>
  <c r="AU145" i="24"/>
  <c r="AV145" i="24"/>
  <c r="Z145" i="24"/>
  <c r="S145" i="24"/>
  <c r="BM145" i="24"/>
  <c r="AP145" i="24"/>
  <c r="BF172" i="24"/>
  <c r="BE172" i="24"/>
  <c r="AW96" i="24"/>
  <c r="BK96" i="24"/>
  <c r="BQ96" i="24"/>
  <c r="AU96" i="24"/>
  <c r="Q96" i="24"/>
  <c r="AN96" i="24"/>
  <c r="BS96" i="24"/>
  <c r="BT96" i="24"/>
  <c r="S96" i="24"/>
  <c r="BR96" i="24"/>
  <c r="X96" i="24"/>
  <c r="Z96" i="24"/>
  <c r="AT96" i="24"/>
  <c r="W96" i="24"/>
  <c r="Y96" i="24"/>
  <c r="BM96" i="24"/>
  <c r="AP96" i="24"/>
  <c r="AV96" i="24"/>
  <c r="AN23" i="24"/>
  <c r="BR23" i="24"/>
  <c r="BS23" i="24"/>
  <c r="BT23" i="24"/>
  <c r="W23" i="24"/>
  <c r="AP23" i="24"/>
  <c r="Q23" i="24"/>
  <c r="X23" i="24"/>
  <c r="AT23" i="24"/>
  <c r="S23" i="24"/>
  <c r="BK23" i="24"/>
  <c r="Y23" i="24"/>
  <c r="AU23" i="24"/>
  <c r="AV23" i="24"/>
  <c r="BM23" i="24"/>
  <c r="Z23" i="24"/>
  <c r="AW23" i="24"/>
  <c r="BQ23" i="24"/>
  <c r="AW165" i="23"/>
  <c r="AY165" i="23" s="1"/>
  <c r="AX165" i="23"/>
  <c r="Y174" i="24"/>
  <c r="AT174" i="24"/>
  <c r="Z174" i="24"/>
  <c r="AU174" i="24"/>
  <c r="AV174" i="24"/>
  <c r="BK174" i="24"/>
  <c r="X174" i="24"/>
  <c r="AN174" i="24"/>
  <c r="Q174" i="24"/>
  <c r="BS174" i="24"/>
  <c r="BT174" i="24"/>
  <c r="W174" i="24"/>
  <c r="AW174" i="24"/>
  <c r="BR174" i="24"/>
  <c r="BQ174" i="24"/>
  <c r="AP174" i="24"/>
  <c r="S174" i="24"/>
  <c r="BM174" i="24"/>
  <c r="AP30" i="24"/>
  <c r="BS30" i="24"/>
  <c r="BT30" i="24"/>
  <c r="AN30" i="24"/>
  <c r="S30" i="24"/>
  <c r="BM30" i="24"/>
  <c r="X30" i="24"/>
  <c r="Y30" i="24"/>
  <c r="AV30" i="24"/>
  <c r="Z30" i="24"/>
  <c r="AT30" i="24"/>
  <c r="Q30" i="24"/>
  <c r="AU30" i="24"/>
  <c r="W30" i="24"/>
  <c r="BQ30" i="24"/>
  <c r="BR30" i="24"/>
  <c r="AW30" i="24"/>
  <c r="BK30" i="24"/>
  <c r="AX35" i="23"/>
  <c r="AW35" i="23"/>
  <c r="AH191" i="24"/>
  <c r="AI191" i="24"/>
  <c r="K72" i="24"/>
  <c r="AM29" i="21"/>
  <c r="AP29" i="21"/>
  <c r="AV29" i="21"/>
  <c r="BO38" i="24"/>
  <c r="BN38" i="24"/>
  <c r="I63" i="24"/>
  <c r="AF58" i="24"/>
  <c r="BN151" i="24"/>
  <c r="BP151" i="24" s="1"/>
  <c r="BO151" i="24"/>
  <c r="AF193" i="24"/>
  <c r="AF179" i="24"/>
  <c r="K176" i="24"/>
  <c r="BC171" i="24"/>
  <c r="AQ113" i="24"/>
  <c r="AS113" i="24" s="1"/>
  <c r="AR113" i="24"/>
  <c r="BN28" i="24"/>
  <c r="BO28" i="24"/>
  <c r="AF94" i="24"/>
  <c r="BN69" i="24"/>
  <c r="BO69" i="24"/>
  <c r="AF36" i="24"/>
  <c r="T8" i="24"/>
  <c r="U8" i="24"/>
  <c r="V8" i="24"/>
  <c r="I178" i="24"/>
  <c r="AH34" i="24"/>
  <c r="I52" i="24"/>
  <c r="BN34" i="24"/>
  <c r="BO34" i="24"/>
  <c r="BE51" i="24"/>
  <c r="BE21" i="24"/>
  <c r="I168" i="24"/>
  <c r="BE106" i="24"/>
  <c r="I123" i="24"/>
  <c r="BN144" i="24"/>
  <c r="BO144" i="24"/>
  <c r="BC60" i="24"/>
  <c r="U45" i="24"/>
  <c r="T45" i="24"/>
  <c r="BC104" i="24"/>
  <c r="BN132" i="24"/>
  <c r="BO132" i="24"/>
  <c r="K92" i="24"/>
  <c r="T41" i="24"/>
  <c r="U41" i="24"/>
  <c r="BN5" i="24"/>
  <c r="BO5" i="24"/>
  <c r="K89" i="24"/>
  <c r="BO70" i="24"/>
  <c r="BN70" i="24"/>
  <c r="I9" i="24"/>
  <c r="K98" i="24"/>
  <c r="AH4" i="24"/>
  <c r="BE112" i="24"/>
  <c r="AP12" i="24"/>
  <c r="Y12" i="24"/>
  <c r="W12" i="24"/>
  <c r="Z12" i="24"/>
  <c r="BS12" i="24"/>
  <c r="AV12" i="24"/>
  <c r="AW12" i="24"/>
  <c r="Q12" i="24"/>
  <c r="BM12" i="24"/>
  <c r="AT12" i="24"/>
  <c r="BQ12" i="24"/>
  <c r="BT12" i="24"/>
  <c r="BK12" i="24"/>
  <c r="AN12" i="24"/>
  <c r="BR12" i="24"/>
  <c r="X12" i="24"/>
  <c r="S12" i="24"/>
  <c r="AU12" i="24"/>
  <c r="AP71" i="21"/>
  <c r="AV71" i="21"/>
  <c r="AM71" i="21"/>
  <c r="W49" i="24"/>
  <c r="Z49" i="24"/>
  <c r="BT49" i="24"/>
  <c r="AP49" i="24"/>
  <c r="AT49" i="24"/>
  <c r="Y49" i="24"/>
  <c r="AN49" i="24"/>
  <c r="BS49" i="24"/>
  <c r="Q49" i="24"/>
  <c r="AU49" i="24"/>
  <c r="AV49" i="24"/>
  <c r="BM49" i="24"/>
  <c r="S49" i="24"/>
  <c r="AW49" i="24"/>
  <c r="BQ49" i="24"/>
  <c r="X49" i="24"/>
  <c r="BR49" i="24"/>
  <c r="BK49" i="24"/>
  <c r="AW103" i="23"/>
  <c r="AX103" i="23"/>
  <c r="AP157" i="21"/>
  <c r="AV157" i="21"/>
  <c r="AM157" i="21"/>
  <c r="AM75" i="21"/>
  <c r="AP75" i="21"/>
  <c r="AV75" i="21"/>
  <c r="AX125" i="23"/>
  <c r="AW125" i="23"/>
  <c r="I183" i="24"/>
  <c r="AW153" i="23"/>
  <c r="AX153" i="23"/>
  <c r="W162" i="24"/>
  <c r="Q162" i="24"/>
  <c r="X162" i="24"/>
  <c r="Y162" i="24"/>
  <c r="AT162" i="24"/>
  <c r="AU162" i="24"/>
  <c r="AV162" i="24"/>
  <c r="BT162" i="24"/>
  <c r="AW162" i="24"/>
  <c r="Z162" i="24"/>
  <c r="AP162" i="24"/>
  <c r="S162" i="24"/>
  <c r="AN162" i="24"/>
  <c r="BM162" i="24"/>
  <c r="BK162" i="24"/>
  <c r="BR162" i="24"/>
  <c r="BQ162" i="24"/>
  <c r="BS162" i="24"/>
  <c r="L184" i="24"/>
  <c r="K184" i="24"/>
  <c r="AF110" i="24"/>
  <c r="K175" i="23"/>
  <c r="BB175" i="24"/>
  <c r="E175" i="24"/>
  <c r="F175" i="24" s="1"/>
  <c r="G175" i="24"/>
  <c r="BA175" i="24"/>
  <c r="AB175" i="24"/>
  <c r="AC175" i="24" s="1"/>
  <c r="AD175" i="24"/>
  <c r="AE175" i="24"/>
  <c r="AY175" i="24"/>
  <c r="AZ175" i="24" s="1"/>
  <c r="BC175" i="24" s="1"/>
  <c r="H175" i="23"/>
  <c r="I175" i="23" s="1"/>
  <c r="H175" i="24"/>
  <c r="G175" i="23"/>
  <c r="J175" i="23"/>
  <c r="Z164" i="24"/>
  <c r="AN164" i="24"/>
  <c r="BT164" i="24"/>
  <c r="Q164" i="24"/>
  <c r="W164" i="24"/>
  <c r="BS164" i="24"/>
  <c r="AV164" i="24"/>
  <c r="AW164" i="24"/>
  <c r="Y164" i="24"/>
  <c r="AU164" i="24"/>
  <c r="BR164" i="24"/>
  <c r="X164" i="24"/>
  <c r="BK164" i="24"/>
  <c r="BQ164" i="24"/>
  <c r="AT164" i="24"/>
  <c r="BM164" i="24"/>
  <c r="S164" i="24"/>
  <c r="AP164" i="24"/>
  <c r="AP192" i="21"/>
  <c r="AV192" i="21"/>
  <c r="AM192" i="21"/>
  <c r="AR127" i="24"/>
  <c r="AQ127" i="24"/>
  <c r="AW131" i="24"/>
  <c r="BT131" i="24"/>
  <c r="AP131" i="24"/>
  <c r="AU131" i="24"/>
  <c r="Y131" i="24"/>
  <c r="W131" i="24"/>
  <c r="S131" i="24"/>
  <c r="Q131" i="24"/>
  <c r="BS131" i="24"/>
  <c r="BK131" i="24"/>
  <c r="BR131" i="24"/>
  <c r="AT131" i="24"/>
  <c r="AV131" i="24"/>
  <c r="BM131" i="24"/>
  <c r="Z131" i="24"/>
  <c r="BQ131" i="24"/>
  <c r="X131" i="24"/>
  <c r="AN131" i="24"/>
  <c r="AT60" i="24"/>
  <c r="Z60" i="24"/>
  <c r="X60" i="24"/>
  <c r="AU60" i="24"/>
  <c r="Y60" i="24"/>
  <c r="AV60" i="24"/>
  <c r="BQ60" i="24"/>
  <c r="AW60" i="24"/>
  <c r="BS60" i="24"/>
  <c r="BT60" i="24"/>
  <c r="Q60" i="24"/>
  <c r="W60" i="24"/>
  <c r="AP60" i="24"/>
  <c r="BR60" i="24"/>
  <c r="BK60" i="24"/>
  <c r="S60" i="24"/>
  <c r="AN60" i="24"/>
  <c r="BM60" i="24"/>
  <c r="BQ108" i="24"/>
  <c r="AV108" i="24"/>
  <c r="X108" i="24"/>
  <c r="Q108" i="24"/>
  <c r="BS108" i="24"/>
  <c r="AP108" i="24"/>
  <c r="S108" i="24"/>
  <c r="AU108" i="24"/>
  <c r="AN108" i="24"/>
  <c r="BR108" i="24"/>
  <c r="BK108" i="24"/>
  <c r="W108" i="24"/>
  <c r="Y108" i="24"/>
  <c r="BM108" i="24"/>
  <c r="Z108" i="24"/>
  <c r="AT108" i="24"/>
  <c r="AW108" i="24"/>
  <c r="BT108" i="24"/>
  <c r="W161" i="24"/>
  <c r="S161" i="24"/>
  <c r="BM161" i="24"/>
  <c r="Z161" i="24"/>
  <c r="AT161" i="24"/>
  <c r="AU161" i="24"/>
  <c r="AV161" i="24"/>
  <c r="Y161" i="24"/>
  <c r="AW161" i="24"/>
  <c r="BQ161" i="24"/>
  <c r="X161" i="24"/>
  <c r="BR161" i="24"/>
  <c r="Q161" i="24"/>
  <c r="AN161" i="24"/>
  <c r="BS161" i="24"/>
  <c r="BT161" i="24"/>
  <c r="AP161" i="24"/>
  <c r="BK161" i="24"/>
  <c r="W24" i="24"/>
  <c r="S24" i="24"/>
  <c r="AT24" i="24"/>
  <c r="AU24" i="24"/>
  <c r="AV24" i="24"/>
  <c r="AP24" i="24"/>
  <c r="X24" i="24"/>
  <c r="AN24" i="24"/>
  <c r="Y24" i="24"/>
  <c r="BQ24" i="24"/>
  <c r="Z24" i="24"/>
  <c r="AW24" i="24"/>
  <c r="BR24" i="24"/>
  <c r="Q24" i="24"/>
  <c r="BS24" i="24"/>
  <c r="BT24" i="24"/>
  <c r="BK24" i="24"/>
  <c r="BM24" i="24"/>
  <c r="S165" i="24"/>
  <c r="AV165" i="24"/>
  <c r="BM165" i="24"/>
  <c r="Q165" i="24"/>
  <c r="AW165" i="24"/>
  <c r="BS165" i="24"/>
  <c r="AT165" i="24"/>
  <c r="BT165" i="24"/>
  <c r="AU165" i="24"/>
  <c r="BK165" i="24"/>
  <c r="X165" i="24"/>
  <c r="Y165" i="24"/>
  <c r="AP165" i="24"/>
  <c r="W165" i="24"/>
  <c r="AN165" i="24"/>
  <c r="BR165" i="24"/>
  <c r="BQ165" i="24"/>
  <c r="Z165" i="24"/>
  <c r="AM52" i="21"/>
  <c r="AP52" i="21"/>
  <c r="AV52" i="21"/>
  <c r="AT82" i="24"/>
  <c r="S82" i="24"/>
  <c r="AV82" i="24"/>
  <c r="BK82" i="24"/>
  <c r="AW82" i="24"/>
  <c r="Q82" i="24"/>
  <c r="AP82" i="24"/>
  <c r="Y82" i="24"/>
  <c r="BT82" i="24"/>
  <c r="Z82" i="24"/>
  <c r="X82" i="24"/>
  <c r="BS82" i="24"/>
  <c r="BM82" i="24"/>
  <c r="BQ82" i="24"/>
  <c r="AN82" i="24"/>
  <c r="BR82" i="24"/>
  <c r="W82" i="24"/>
  <c r="AU82" i="24"/>
  <c r="AP35" i="24"/>
  <c r="S35" i="24"/>
  <c r="AW35" i="24"/>
  <c r="AT35" i="24"/>
  <c r="BT35" i="24"/>
  <c r="Q35" i="24"/>
  <c r="BM35" i="24"/>
  <c r="X35" i="24"/>
  <c r="AV35" i="24"/>
  <c r="BQ35" i="24"/>
  <c r="BS35" i="24"/>
  <c r="Z35" i="24"/>
  <c r="AU35" i="24"/>
  <c r="W35" i="24"/>
  <c r="BK35" i="24"/>
  <c r="BR35" i="24"/>
  <c r="AN35" i="24"/>
  <c r="Y35" i="24"/>
  <c r="L86" i="23"/>
  <c r="I189" i="24"/>
  <c r="I179" i="24"/>
  <c r="AQ169" i="24"/>
  <c r="AR169" i="24"/>
  <c r="AH145" i="24"/>
  <c r="BC145" i="24"/>
  <c r="AF171" i="24"/>
  <c r="AH96" i="24"/>
  <c r="BC94" i="24"/>
  <c r="I170" i="24"/>
  <c r="AQ128" i="24"/>
  <c r="AR128" i="24"/>
  <c r="BA192" i="24"/>
  <c r="AB192" i="24"/>
  <c r="AC192" i="24" s="1"/>
  <c r="BB192" i="24"/>
  <c r="AY192" i="24"/>
  <c r="AZ192" i="24" s="1"/>
  <c r="E192" i="24"/>
  <c r="F192" i="24" s="1"/>
  <c r="G192" i="24"/>
  <c r="H192" i="24"/>
  <c r="AD192" i="24"/>
  <c r="AE192" i="24"/>
  <c r="BO19" i="24"/>
  <c r="BN19" i="24"/>
  <c r="T43" i="24"/>
  <c r="V43" i="24" s="1"/>
  <c r="U43" i="24"/>
  <c r="AF102" i="24"/>
  <c r="BN59" i="24"/>
  <c r="BO59" i="24"/>
  <c r="AH16" i="24"/>
  <c r="AR160" i="24"/>
  <c r="AQ160" i="24"/>
  <c r="BO146" i="24"/>
  <c r="BN146" i="24"/>
  <c r="AH180" i="24"/>
  <c r="BC190" i="24"/>
  <c r="AE56" i="24"/>
  <c r="E56" i="24"/>
  <c r="F56" i="24"/>
  <c r="AY56" i="24"/>
  <c r="AZ56" i="24" s="1"/>
  <c r="AD56" i="24"/>
  <c r="G56" i="24"/>
  <c r="BA56" i="24"/>
  <c r="H56" i="24"/>
  <c r="BB56" i="24"/>
  <c r="AB56" i="24"/>
  <c r="AC56" i="24" s="1"/>
  <c r="I41" i="24"/>
  <c r="AY22" i="24"/>
  <c r="AZ22" i="24" s="1"/>
  <c r="BA22" i="24"/>
  <c r="BB22" i="24"/>
  <c r="AE22" i="24"/>
  <c r="G22" i="24"/>
  <c r="H22" i="24"/>
  <c r="AB22" i="24"/>
  <c r="AC22" i="24" s="1"/>
  <c r="E22" i="24"/>
  <c r="F22" i="24" s="1"/>
  <c r="AD22" i="24"/>
  <c r="I90" i="24"/>
  <c r="BC90" i="24"/>
  <c r="V69" i="24"/>
  <c r="AS134" i="24"/>
  <c r="BP20" i="24"/>
  <c r="V133" i="24"/>
  <c r="BP26" i="24"/>
  <c r="V33" i="24"/>
  <c r="BP133" i="24"/>
  <c r="AX42" i="23"/>
  <c r="AW42" i="23"/>
  <c r="BC44" i="24"/>
  <c r="AH125" i="24"/>
  <c r="AT103" i="24"/>
  <c r="Y103" i="24"/>
  <c r="W103" i="24"/>
  <c r="X103" i="24"/>
  <c r="AU103" i="24"/>
  <c r="BK103" i="24"/>
  <c r="Q103" i="24"/>
  <c r="BS103" i="24"/>
  <c r="BT103" i="24"/>
  <c r="AW103" i="24"/>
  <c r="BR103" i="24"/>
  <c r="S103" i="24"/>
  <c r="AN103" i="24"/>
  <c r="AP103" i="24"/>
  <c r="BQ103" i="24"/>
  <c r="BM103" i="24"/>
  <c r="Z103" i="24"/>
  <c r="AV103" i="24"/>
  <c r="AM96" i="21"/>
  <c r="AV96" i="21"/>
  <c r="AP96" i="21"/>
  <c r="AW53" i="23"/>
  <c r="AX53" i="23"/>
  <c r="AT84" i="24"/>
  <c r="BM84" i="24"/>
  <c r="Z84" i="24"/>
  <c r="Q84" i="24"/>
  <c r="Y84" i="24"/>
  <c r="AW84" i="24"/>
  <c r="X84" i="24"/>
  <c r="AV84" i="24"/>
  <c r="S84" i="24"/>
  <c r="BK84" i="24"/>
  <c r="BQ84" i="24"/>
  <c r="AN84" i="24"/>
  <c r="BR84" i="24"/>
  <c r="BS84" i="24"/>
  <c r="AU84" i="24"/>
  <c r="AP84" i="24"/>
  <c r="BT84" i="24"/>
  <c r="W84" i="24"/>
  <c r="BC55" i="24"/>
  <c r="AW32" i="23"/>
  <c r="AY32" i="23" s="1"/>
  <c r="AX32" i="23"/>
  <c r="Z153" i="24"/>
  <c r="AT153" i="24"/>
  <c r="AU153" i="24"/>
  <c r="X153" i="24"/>
  <c r="Q153" i="24"/>
  <c r="AV153" i="24"/>
  <c r="AW153" i="24"/>
  <c r="BT153" i="24"/>
  <c r="AP153" i="24"/>
  <c r="W153" i="24"/>
  <c r="S153" i="24"/>
  <c r="BR153" i="24"/>
  <c r="BM153" i="24"/>
  <c r="BQ153" i="24"/>
  <c r="BS153" i="24"/>
  <c r="Y153" i="24"/>
  <c r="BK153" i="24"/>
  <c r="AN153" i="24"/>
  <c r="AH194" i="24"/>
  <c r="AI194" i="24"/>
  <c r="K91" i="24"/>
  <c r="AW86" i="23"/>
  <c r="AX86" i="23"/>
  <c r="AP122" i="21"/>
  <c r="AV122" i="21"/>
  <c r="AM122" i="21"/>
  <c r="AH84" i="24"/>
  <c r="I46" i="24"/>
  <c r="AV145" i="21"/>
  <c r="AM145" i="21"/>
  <c r="AP145" i="21"/>
  <c r="BS166" i="24"/>
  <c r="BQ166" i="24"/>
  <c r="BR166" i="24"/>
  <c r="BM166" i="24"/>
  <c r="AT166" i="24"/>
  <c r="AP166" i="24"/>
  <c r="AW166" i="24"/>
  <c r="S166" i="24"/>
  <c r="W166" i="24"/>
  <c r="Q166" i="24"/>
  <c r="X166" i="24"/>
  <c r="AV166" i="24"/>
  <c r="Z166" i="24"/>
  <c r="BT166" i="24"/>
  <c r="AN166" i="24"/>
  <c r="AU166" i="24"/>
  <c r="BK166" i="24"/>
  <c r="Y166" i="24"/>
  <c r="AM120" i="21"/>
  <c r="AP120" i="21"/>
  <c r="AV120" i="21"/>
  <c r="AP149" i="21"/>
  <c r="AM149" i="21"/>
  <c r="AV149" i="21"/>
  <c r="BF194" i="24"/>
  <c r="BE194" i="24"/>
  <c r="AM40" i="21"/>
  <c r="AV40" i="21"/>
  <c r="AP40" i="21"/>
  <c r="AW27" i="23"/>
  <c r="AX27" i="23"/>
  <c r="AM130" i="21"/>
  <c r="AP130" i="21"/>
  <c r="AV130" i="21"/>
  <c r="AN173" i="24"/>
  <c r="BK173" i="24"/>
  <c r="AP173" i="24"/>
  <c r="BM173" i="24"/>
  <c r="Y173" i="24"/>
  <c r="X173" i="24"/>
  <c r="BT173" i="24"/>
  <c r="BS173" i="24"/>
  <c r="AT173" i="24"/>
  <c r="S173" i="24"/>
  <c r="Z173" i="24"/>
  <c r="AW173" i="24"/>
  <c r="BR173" i="24"/>
  <c r="Q173" i="24"/>
  <c r="AU173" i="24"/>
  <c r="AV173" i="24"/>
  <c r="BQ173" i="24"/>
  <c r="W173" i="24"/>
  <c r="AX161" i="23"/>
  <c r="AW161" i="23"/>
  <c r="AY161" i="23" s="1"/>
  <c r="AM183" i="21"/>
  <c r="AP183" i="21"/>
  <c r="AV183" i="21"/>
  <c r="Z184" i="24"/>
  <c r="AN184" i="24"/>
  <c r="BR184" i="24"/>
  <c r="BS184" i="24"/>
  <c r="AT184" i="24"/>
  <c r="BT184" i="24"/>
  <c r="Y184" i="24"/>
  <c r="BQ184" i="24"/>
  <c r="W184" i="24"/>
  <c r="AV184" i="24"/>
  <c r="BM184" i="24"/>
  <c r="X184" i="24"/>
  <c r="AW184" i="24"/>
  <c r="AU184" i="24"/>
  <c r="BK184" i="24"/>
  <c r="Q184" i="24"/>
  <c r="S184" i="24"/>
  <c r="AP184" i="24"/>
  <c r="X17" i="24"/>
  <c r="W17" i="24"/>
  <c r="BT17" i="24"/>
  <c r="AN17" i="24"/>
  <c r="S17" i="24"/>
  <c r="BS17" i="24"/>
  <c r="AW17" i="24"/>
  <c r="AP17" i="24"/>
  <c r="BK17" i="24"/>
  <c r="BR17" i="24"/>
  <c r="AT17" i="24"/>
  <c r="AU17" i="24"/>
  <c r="BQ17" i="24"/>
  <c r="Z17" i="24"/>
  <c r="Y17" i="24"/>
  <c r="AV17" i="24"/>
  <c r="BM17" i="24"/>
  <c r="Q17" i="24"/>
  <c r="K39" i="24"/>
  <c r="AV57" i="21"/>
  <c r="AP57" i="21"/>
  <c r="AM57" i="21"/>
  <c r="AF188" i="24"/>
  <c r="AF73" i="24"/>
  <c r="S11" i="24"/>
  <c r="I119" i="24"/>
  <c r="I113" i="24"/>
  <c r="BN158" i="24"/>
  <c r="BO158" i="24"/>
  <c r="I143" i="24"/>
  <c r="BN169" i="24"/>
  <c r="BO169" i="24"/>
  <c r="AR189" i="24"/>
  <c r="AQ189" i="24"/>
  <c r="I99" i="24"/>
  <c r="AR56" i="24"/>
  <c r="AQ56" i="24"/>
  <c r="AF71" i="24"/>
  <c r="BC65" i="24"/>
  <c r="AF170" i="24"/>
  <c r="T112" i="24"/>
  <c r="U112" i="24"/>
  <c r="AH80" i="24"/>
  <c r="I68" i="24"/>
  <c r="BC137" i="24"/>
  <c r="AH52" i="24"/>
  <c r="AF23" i="24"/>
  <c r="AQ59" i="24"/>
  <c r="AR59" i="24"/>
  <c r="I64" i="24"/>
  <c r="AF26" i="24"/>
  <c r="BN62" i="24"/>
  <c r="BO62" i="24"/>
  <c r="BC168" i="24"/>
  <c r="T144" i="24"/>
  <c r="U144" i="24"/>
  <c r="BO83" i="24"/>
  <c r="BN83" i="24"/>
  <c r="AQ83" i="24"/>
  <c r="AR83" i="24"/>
  <c r="BC151" i="24"/>
  <c r="T132" i="24"/>
  <c r="U132" i="24"/>
  <c r="BN111" i="24"/>
  <c r="BO111" i="24"/>
  <c r="BC76" i="24"/>
  <c r="BN51" i="24"/>
  <c r="BO51" i="24"/>
  <c r="BC33" i="24"/>
  <c r="AF20" i="24"/>
  <c r="AF77" i="24"/>
  <c r="G174" i="24"/>
  <c r="H174" i="24"/>
  <c r="AB174" i="24"/>
  <c r="AC174" i="24" s="1"/>
  <c r="E174" i="24"/>
  <c r="F174" i="24" s="1"/>
  <c r="AY174" i="24"/>
  <c r="AZ174" i="24" s="1"/>
  <c r="BA174" i="24"/>
  <c r="BB174" i="24"/>
  <c r="AD174" i="24"/>
  <c r="AE174" i="24"/>
  <c r="G174" i="23"/>
  <c r="H174" i="23"/>
  <c r="I174" i="23" s="1"/>
  <c r="J174" i="23"/>
  <c r="K174" i="23"/>
  <c r="AH44" i="24"/>
  <c r="AI44" i="24"/>
  <c r="AP34" i="21"/>
  <c r="AV34" i="21"/>
  <c r="AM34" i="21"/>
  <c r="AP169" i="21"/>
  <c r="AM169" i="21"/>
  <c r="AV169" i="21"/>
  <c r="BT74" i="24"/>
  <c r="BQ74" i="24"/>
  <c r="AU74" i="24"/>
  <c r="BR74" i="24"/>
  <c r="W74" i="24"/>
  <c r="BS74" i="24"/>
  <c r="X74" i="24"/>
  <c r="S74" i="24"/>
  <c r="AV74" i="24"/>
  <c r="Q74" i="24"/>
  <c r="AT74" i="24"/>
  <c r="BM74" i="24"/>
  <c r="BK74" i="24"/>
  <c r="AW74" i="24"/>
  <c r="Y74" i="24"/>
  <c r="Z74" i="24"/>
  <c r="AN74" i="24"/>
  <c r="AP74" i="24"/>
  <c r="AU53" i="24"/>
  <c r="BQ53" i="24"/>
  <c r="Q53" i="24"/>
  <c r="AT53" i="24"/>
  <c r="W53" i="24"/>
  <c r="AN53" i="24"/>
  <c r="BT53" i="24"/>
  <c r="AV53" i="24"/>
  <c r="Z53" i="24"/>
  <c r="BS53" i="24"/>
  <c r="AP53" i="24"/>
  <c r="BK53" i="24"/>
  <c r="BR53" i="24"/>
  <c r="X53" i="24"/>
  <c r="AW53" i="24"/>
  <c r="Y53" i="24"/>
  <c r="S53" i="24"/>
  <c r="BM53" i="24"/>
  <c r="K97" i="24"/>
  <c r="AW68" i="23"/>
  <c r="AX68" i="23"/>
  <c r="AY68" i="23" s="1"/>
  <c r="Y86" i="24"/>
  <c r="AT86" i="24"/>
  <c r="AU86" i="24"/>
  <c r="Q86" i="24"/>
  <c r="AV86" i="24"/>
  <c r="BK86" i="24"/>
  <c r="AP86" i="24"/>
  <c r="BT86" i="24"/>
  <c r="AN86" i="24"/>
  <c r="BQ86" i="24"/>
  <c r="S86" i="24"/>
  <c r="BR86" i="24"/>
  <c r="AW86" i="24"/>
  <c r="BS86" i="24"/>
  <c r="Z86" i="24"/>
  <c r="W86" i="24"/>
  <c r="X86" i="24"/>
  <c r="BM86" i="24"/>
  <c r="T177" i="24"/>
  <c r="U177" i="24"/>
  <c r="V177" i="24" s="1"/>
  <c r="AM161" i="21"/>
  <c r="AP161" i="21"/>
  <c r="AV161" i="21"/>
  <c r="S139" i="24"/>
  <c r="AN139" i="24"/>
  <c r="BM139" i="24"/>
  <c r="Q139" i="24"/>
  <c r="AP139" i="24"/>
  <c r="Z139" i="24"/>
  <c r="W139" i="24"/>
  <c r="BS139" i="24"/>
  <c r="X139" i="24"/>
  <c r="BR139" i="24"/>
  <c r="AV139" i="24"/>
  <c r="BT139" i="24"/>
  <c r="BK139" i="24"/>
  <c r="AU139" i="24"/>
  <c r="BQ139" i="24"/>
  <c r="Y139" i="24"/>
  <c r="AW139" i="24"/>
  <c r="AT139" i="24"/>
  <c r="AN58" i="24"/>
  <c r="Q58" i="24"/>
  <c r="AW58" i="24"/>
  <c r="AV58" i="24"/>
  <c r="BT58" i="24"/>
  <c r="AT58" i="24"/>
  <c r="BK58" i="24"/>
  <c r="AU58" i="24"/>
  <c r="Z58" i="24"/>
  <c r="Y58" i="24"/>
  <c r="AP58" i="24"/>
  <c r="BM58" i="24"/>
  <c r="W58" i="24"/>
  <c r="BQ58" i="24"/>
  <c r="X58" i="24"/>
  <c r="S58" i="24"/>
  <c r="BR58" i="24"/>
  <c r="BS58" i="24"/>
  <c r="AP188" i="21"/>
  <c r="AM188" i="21"/>
  <c r="AV188" i="21"/>
  <c r="BE129" i="24"/>
  <c r="AM128" i="21"/>
  <c r="AP128" i="21"/>
  <c r="AV128" i="21"/>
  <c r="K163" i="24"/>
  <c r="AW46" i="23"/>
  <c r="AX46" i="23"/>
  <c r="I109" i="24"/>
  <c r="Y194" i="24"/>
  <c r="Z194" i="24"/>
  <c r="AW194" i="24"/>
  <c r="BQ194" i="24"/>
  <c r="BR194" i="24"/>
  <c r="BS194" i="24"/>
  <c r="AV194" i="24"/>
  <c r="BK194" i="24"/>
  <c r="W194" i="24"/>
  <c r="AT194" i="24"/>
  <c r="X194" i="24"/>
  <c r="BT194" i="24"/>
  <c r="AN194" i="24"/>
  <c r="Q194" i="24"/>
  <c r="BM194" i="24"/>
  <c r="AU194" i="24"/>
  <c r="S194" i="24"/>
  <c r="AP194" i="24"/>
  <c r="AX64" i="23"/>
  <c r="AW64" i="23"/>
  <c r="AF18" i="24"/>
  <c r="AX117" i="23"/>
  <c r="AW117" i="23"/>
  <c r="K162" i="24"/>
  <c r="AM171" i="21"/>
  <c r="AP171" i="21"/>
  <c r="AV171" i="21"/>
  <c r="AM195" i="21"/>
  <c r="AV195" i="21"/>
  <c r="AP195" i="21"/>
  <c r="BE82" i="24"/>
  <c r="L172" i="24"/>
  <c r="K172" i="24"/>
  <c r="G138" i="24"/>
  <c r="AD138" i="24"/>
  <c r="H138" i="24"/>
  <c r="AE138" i="24"/>
  <c r="E138" i="24"/>
  <c r="F138" i="24" s="1"/>
  <c r="AB138" i="24"/>
  <c r="AC138" i="24" s="1"/>
  <c r="AY138" i="24"/>
  <c r="AZ138" i="24" s="1"/>
  <c r="BA138" i="24"/>
  <c r="BB138" i="24"/>
  <c r="H138" i="23"/>
  <c r="I138" i="23" s="1"/>
  <c r="G138" i="23"/>
  <c r="J138" i="23"/>
  <c r="K138" i="23"/>
  <c r="AW154" i="24"/>
  <c r="AV154" i="24"/>
  <c r="AT154" i="24"/>
  <c r="Q154" i="24"/>
  <c r="AN154" i="24"/>
  <c r="W154" i="24"/>
  <c r="BS154" i="24"/>
  <c r="X154" i="24"/>
  <c r="BT154" i="24"/>
  <c r="BK154" i="24"/>
  <c r="Z154" i="24"/>
  <c r="BQ154" i="24"/>
  <c r="AU154" i="24"/>
  <c r="BM154" i="24"/>
  <c r="AP154" i="24"/>
  <c r="Y154" i="24"/>
  <c r="BR154" i="24"/>
  <c r="S154" i="24"/>
  <c r="BC188" i="24"/>
  <c r="I2" i="24"/>
  <c r="W7" i="24"/>
  <c r="BK7" i="24"/>
  <c r="AW7" i="24"/>
  <c r="AP7" i="24"/>
  <c r="S7" i="24"/>
  <c r="Z7" i="24"/>
  <c r="BR7" i="24"/>
  <c r="BM7" i="24"/>
  <c r="BS7" i="24"/>
  <c r="X7" i="24"/>
  <c r="AV7" i="24"/>
  <c r="AN7" i="24"/>
  <c r="Y7" i="24"/>
  <c r="BQ7" i="24"/>
  <c r="BT7" i="24"/>
  <c r="AU7" i="24"/>
  <c r="AT7" i="24"/>
  <c r="Q7" i="24"/>
  <c r="AF124" i="24"/>
  <c r="AQ151" i="24"/>
  <c r="AR151" i="24"/>
  <c r="U178" i="24"/>
  <c r="T178" i="24"/>
  <c r="BC189" i="24"/>
  <c r="AH113" i="24"/>
  <c r="BC143" i="24"/>
  <c r="AH176" i="24"/>
  <c r="G146" i="24"/>
  <c r="H146" i="24"/>
  <c r="E146" i="24"/>
  <c r="F146" i="24" s="1"/>
  <c r="AC146" i="24"/>
  <c r="AD146" i="24"/>
  <c r="BA146" i="24"/>
  <c r="AE146" i="24"/>
  <c r="BB146" i="24"/>
  <c r="AB146" i="24"/>
  <c r="AY146" i="24"/>
  <c r="AZ146" i="24" s="1"/>
  <c r="T113" i="24"/>
  <c r="U113" i="24"/>
  <c r="BO171" i="24"/>
  <c r="BN171" i="24"/>
  <c r="AH65" i="24"/>
  <c r="K36" i="24"/>
  <c r="AQ76" i="24"/>
  <c r="AR76" i="24"/>
  <c r="BC80" i="24"/>
  <c r="AF19" i="24"/>
  <c r="I137" i="24"/>
  <c r="I6" i="24"/>
  <c r="BC42" i="24"/>
  <c r="BU3" i="24"/>
  <c r="AQ3" i="24"/>
  <c r="AR3" i="24"/>
  <c r="BC116" i="24"/>
  <c r="I21" i="24"/>
  <c r="BC26" i="24"/>
  <c r="AQ47" i="24"/>
  <c r="AR47" i="24"/>
  <c r="AF169" i="24"/>
  <c r="AF95" i="24"/>
  <c r="AQ144" i="24"/>
  <c r="AR144" i="24"/>
  <c r="BO36" i="24"/>
  <c r="BP36" i="24" s="1"/>
  <c r="BN36" i="24"/>
  <c r="T188" i="24"/>
  <c r="U188" i="24"/>
  <c r="BN89" i="24"/>
  <c r="BO89" i="24"/>
  <c r="AH190" i="24"/>
  <c r="AQ132" i="24"/>
  <c r="AR132" i="24"/>
  <c r="I78" i="24"/>
  <c r="AQ15" i="24"/>
  <c r="AR15" i="24"/>
  <c r="E177" i="24"/>
  <c r="F177" i="24" s="1"/>
  <c r="AY177" i="24"/>
  <c r="AZ177" i="24" s="1"/>
  <c r="G177" i="24"/>
  <c r="AE177" i="24"/>
  <c r="AB177" i="24"/>
  <c r="AC177" i="24" s="1"/>
  <c r="H177" i="24"/>
  <c r="AD177" i="24"/>
  <c r="BA177" i="24"/>
  <c r="BB177" i="24"/>
  <c r="AF76" i="24"/>
  <c r="U90" i="24"/>
  <c r="T90" i="24"/>
  <c r="I77" i="24"/>
  <c r="T31" i="24"/>
  <c r="V31" i="24" s="1"/>
  <c r="U31" i="24"/>
  <c r="I5" i="24"/>
  <c r="I4" i="24"/>
  <c r="AF90" i="24"/>
  <c r="BC40" i="24"/>
  <c r="BP4" i="24"/>
  <c r="AS88" i="24"/>
  <c r="AS51" i="24"/>
  <c r="AS114" i="24"/>
  <c r="BP88" i="24"/>
  <c r="AS43" i="24"/>
  <c r="V4" i="24"/>
  <c r="AS6" i="24"/>
  <c r="AS141" i="24"/>
  <c r="V78" i="24"/>
  <c r="AS110" i="24"/>
  <c r="AP113" i="21"/>
  <c r="AV113" i="21"/>
  <c r="AM113" i="21"/>
  <c r="I44" i="24"/>
  <c r="AT87" i="24"/>
  <c r="W87" i="24"/>
  <c r="AU87" i="24"/>
  <c r="AV87" i="24"/>
  <c r="BQ87" i="24"/>
  <c r="BR87" i="24"/>
  <c r="AP87" i="24"/>
  <c r="Z87" i="24"/>
  <c r="AW87" i="24"/>
  <c r="AN87" i="24"/>
  <c r="S87" i="24"/>
  <c r="BK87" i="24"/>
  <c r="Y87" i="24"/>
  <c r="BM87" i="24"/>
  <c r="X87" i="24"/>
  <c r="BT87" i="24"/>
  <c r="BS87" i="24"/>
  <c r="Q87" i="24"/>
  <c r="AV135" i="24"/>
  <c r="AW135" i="24"/>
  <c r="BK135" i="24"/>
  <c r="BQ135" i="24"/>
  <c r="Z135" i="24"/>
  <c r="AU135" i="24"/>
  <c r="Y135" i="24"/>
  <c r="W135" i="24"/>
  <c r="X135" i="24"/>
  <c r="BR135" i="24"/>
  <c r="AN135" i="24"/>
  <c r="BS135" i="24"/>
  <c r="AT135" i="24"/>
  <c r="BT135" i="24"/>
  <c r="Q135" i="24"/>
  <c r="AP135" i="24"/>
  <c r="S135" i="24"/>
  <c r="BM135" i="24"/>
  <c r="BC46" i="24"/>
  <c r="AQ177" i="24"/>
  <c r="AR177" i="24"/>
  <c r="AP127" i="21"/>
  <c r="AV127" i="21"/>
  <c r="AM127" i="21"/>
  <c r="AW39" i="23"/>
  <c r="AX39" i="23"/>
  <c r="AW139" i="23"/>
  <c r="AX139" i="23"/>
  <c r="I136" i="24"/>
  <c r="Y126" i="24"/>
  <c r="AV126" i="24"/>
  <c r="Z126" i="24"/>
  <c r="AW126" i="24"/>
  <c r="AU126" i="24"/>
  <c r="BM126" i="24"/>
  <c r="S126" i="24"/>
  <c r="X126" i="24"/>
  <c r="BQ126" i="24"/>
  <c r="AP126" i="24"/>
  <c r="W126" i="24"/>
  <c r="BS126" i="24"/>
  <c r="AN126" i="24"/>
  <c r="BR126" i="24"/>
  <c r="AT126" i="24"/>
  <c r="Q126" i="24"/>
  <c r="BK126" i="24"/>
  <c r="BT126" i="24"/>
  <c r="BC181" i="24"/>
  <c r="AP185" i="21"/>
  <c r="AM185" i="21"/>
  <c r="AV185" i="21"/>
  <c r="AW194" i="23"/>
  <c r="AX194" i="23"/>
  <c r="AR175" i="24"/>
  <c r="AQ175" i="24"/>
  <c r="W183" i="24"/>
  <c r="BS183" i="24"/>
  <c r="X183" i="24"/>
  <c r="BT183" i="24"/>
  <c r="Y183" i="24"/>
  <c r="AN183" i="24"/>
  <c r="BR183" i="24"/>
  <c r="AV183" i="24"/>
  <c r="AW183" i="24"/>
  <c r="BK183" i="24"/>
  <c r="BM183" i="24"/>
  <c r="BQ183" i="24"/>
  <c r="Z183" i="24"/>
  <c r="AP183" i="24"/>
  <c r="AU183" i="24"/>
  <c r="S183" i="24"/>
  <c r="Q183" i="24"/>
  <c r="AT183" i="24"/>
  <c r="BC18" i="24"/>
  <c r="T121" i="24"/>
  <c r="U121" i="24"/>
  <c r="Y190" i="24"/>
  <c r="Q190" i="24"/>
  <c r="W190" i="24"/>
  <c r="X190" i="24"/>
  <c r="BM190" i="24"/>
  <c r="AW190" i="24"/>
  <c r="BK190" i="24"/>
  <c r="BT190" i="24"/>
  <c r="BS190" i="24"/>
  <c r="AV190" i="24"/>
  <c r="BQ190" i="24"/>
  <c r="Z190" i="24"/>
  <c r="AP190" i="24"/>
  <c r="AT190" i="24"/>
  <c r="S190" i="24"/>
  <c r="AN190" i="24"/>
  <c r="BR190" i="24"/>
  <c r="AU190" i="24"/>
  <c r="AM158" i="21"/>
  <c r="AP158" i="21"/>
  <c r="AV158" i="21"/>
  <c r="AI165" i="24"/>
  <c r="AH165" i="24"/>
  <c r="AX94" i="23"/>
  <c r="AW94" i="23"/>
  <c r="AH163" i="24"/>
  <c r="AV95" i="21"/>
  <c r="AM95" i="21"/>
  <c r="AP95" i="21"/>
  <c r="Z61" i="24"/>
  <c r="S61" i="24"/>
  <c r="BS61" i="24"/>
  <c r="Q61" i="24"/>
  <c r="AT61" i="24"/>
  <c r="AP61" i="24"/>
  <c r="AW61" i="24"/>
  <c r="AU61" i="24"/>
  <c r="BT61" i="24"/>
  <c r="AV61" i="24"/>
  <c r="Y61" i="24"/>
  <c r="BR61" i="24"/>
  <c r="BQ61" i="24"/>
  <c r="BK61" i="24"/>
  <c r="BM61" i="24"/>
  <c r="W61" i="24"/>
  <c r="AN61" i="24"/>
  <c r="X61" i="24"/>
  <c r="AX119" i="23"/>
  <c r="AW119" i="23"/>
  <c r="AV118" i="21"/>
  <c r="AM118" i="21"/>
  <c r="AP118" i="21"/>
  <c r="AW24" i="23"/>
  <c r="AX24" i="23"/>
  <c r="AV137" i="21"/>
  <c r="AP137" i="21"/>
  <c r="AM137" i="21"/>
  <c r="BE152" i="24"/>
  <c r="AF11" i="24"/>
  <c r="AW154" i="23"/>
  <c r="AX154" i="23"/>
  <c r="I35" i="24"/>
  <c r="I118" i="24"/>
  <c r="AF189" i="24"/>
  <c r="G74" i="23"/>
  <c r="AY74" i="24"/>
  <c r="AZ74" i="24" s="1"/>
  <c r="BA74" i="24"/>
  <c r="AB74" i="24"/>
  <c r="AC74" i="24" s="1"/>
  <c r="AF74" i="24" s="1"/>
  <c r="AD74" i="24"/>
  <c r="BB74" i="24"/>
  <c r="E74" i="24"/>
  <c r="F74" i="24" s="1"/>
  <c r="G74" i="24"/>
  <c r="AE74" i="24"/>
  <c r="J74" i="23"/>
  <c r="H74" i="24"/>
  <c r="K74" i="23"/>
  <c r="H74" i="23"/>
  <c r="I74" i="23" s="1"/>
  <c r="BN113" i="24"/>
  <c r="BO113" i="24"/>
  <c r="BC99" i="24"/>
  <c r="U128" i="24"/>
  <c r="T128" i="24"/>
  <c r="AF68" i="24"/>
  <c r="AQ21" i="24"/>
  <c r="AR21" i="24"/>
  <c r="AF64" i="24"/>
  <c r="BC16" i="24"/>
  <c r="BO47" i="24"/>
  <c r="BN47" i="24"/>
  <c r="BO134" i="24"/>
  <c r="BN134" i="24"/>
  <c r="AF57" i="24"/>
  <c r="AQ40" i="24"/>
  <c r="AR40" i="24"/>
  <c r="AF121" i="24"/>
  <c r="AF89" i="24"/>
  <c r="BN57" i="24"/>
  <c r="BO57" i="24"/>
  <c r="AF41" i="24"/>
  <c r="AF9" i="24"/>
  <c r="AR31" i="24"/>
  <c r="AS31" i="24" s="1"/>
  <c r="AQ31" i="24"/>
  <c r="AF98" i="24"/>
  <c r="AF112" i="24"/>
  <c r="I40" i="24"/>
  <c r="BP90" i="24"/>
  <c r="V38" i="24"/>
  <c r="AS130" i="24"/>
  <c r="V14" i="24"/>
  <c r="V20" i="24"/>
  <c r="Z147" i="24"/>
  <c r="W147" i="24"/>
  <c r="AT147" i="24"/>
  <c r="X147" i="24"/>
  <c r="BQ147" i="24"/>
  <c r="Y147" i="24"/>
  <c r="AP147" i="24"/>
  <c r="BR147" i="24"/>
  <c r="AV147" i="24"/>
  <c r="AW147" i="24"/>
  <c r="AU147" i="24"/>
  <c r="S147" i="24"/>
  <c r="BT147" i="24"/>
  <c r="AN147" i="24"/>
  <c r="BM147" i="24"/>
  <c r="Q147" i="24"/>
  <c r="BS147" i="24"/>
  <c r="BK147" i="24"/>
  <c r="AP54" i="21"/>
  <c r="AV54" i="21"/>
  <c r="AM54" i="21"/>
  <c r="AX25" i="23"/>
  <c r="AW25" i="23"/>
  <c r="AW25" i="24"/>
  <c r="BM25" i="24"/>
  <c r="Q25" i="24"/>
  <c r="BQ25" i="24"/>
  <c r="AV25" i="24"/>
  <c r="Z25" i="24"/>
  <c r="Y25" i="24"/>
  <c r="AU25" i="24"/>
  <c r="S25" i="24"/>
  <c r="AT25" i="24"/>
  <c r="X25" i="24"/>
  <c r="BK25" i="24"/>
  <c r="BR25" i="24"/>
  <c r="W25" i="24"/>
  <c r="BS25" i="24"/>
  <c r="AP25" i="24"/>
  <c r="BT25" i="24"/>
  <c r="AN25" i="24"/>
  <c r="AP129" i="24"/>
  <c r="BQ129" i="24"/>
  <c r="X129" i="24"/>
  <c r="BR129" i="24"/>
  <c r="Q129" i="24"/>
  <c r="S129" i="24"/>
  <c r="AW129" i="24"/>
  <c r="BS129" i="24"/>
  <c r="AU129" i="24"/>
  <c r="AV129" i="24"/>
  <c r="AT129" i="24"/>
  <c r="Y129" i="24"/>
  <c r="Z129" i="24"/>
  <c r="BM129" i="24"/>
  <c r="AN129" i="24"/>
  <c r="BK129" i="24"/>
  <c r="BT129" i="24"/>
  <c r="W129" i="24"/>
  <c r="L97" i="23"/>
  <c r="W54" i="24"/>
  <c r="BT54" i="24"/>
  <c r="BK54" i="24"/>
  <c r="X54" i="24"/>
  <c r="BS54" i="24"/>
  <c r="AP54" i="24"/>
  <c r="Y54" i="24"/>
  <c r="Z54" i="24"/>
  <c r="AT54" i="24"/>
  <c r="Q54" i="24"/>
  <c r="BR54" i="24"/>
  <c r="AN54" i="24"/>
  <c r="AV54" i="24"/>
  <c r="S54" i="24"/>
  <c r="AW54" i="24"/>
  <c r="BQ54" i="24"/>
  <c r="AU54" i="24"/>
  <c r="BM54" i="24"/>
  <c r="AV90" i="21"/>
  <c r="AM90" i="21"/>
  <c r="AP90" i="21"/>
  <c r="AP108" i="21"/>
  <c r="AM108" i="21"/>
  <c r="AV108" i="21"/>
  <c r="AV100" i="24"/>
  <c r="AU100" i="24"/>
  <c r="S100" i="24"/>
  <c r="AT100" i="24"/>
  <c r="Z100" i="24"/>
  <c r="AN100" i="24"/>
  <c r="Y100" i="24"/>
  <c r="W100" i="24"/>
  <c r="BQ100" i="24"/>
  <c r="Q100" i="24"/>
  <c r="BR100" i="24"/>
  <c r="BS100" i="24"/>
  <c r="BM100" i="24"/>
  <c r="X100" i="24"/>
  <c r="AP100" i="24"/>
  <c r="BT100" i="24"/>
  <c r="AW100" i="24"/>
  <c r="BK100" i="24"/>
  <c r="I84" i="24"/>
  <c r="Y72" i="24"/>
  <c r="AN72" i="24"/>
  <c r="BQ72" i="24"/>
  <c r="BM72" i="24"/>
  <c r="Q72" i="24"/>
  <c r="AW72" i="24"/>
  <c r="BK72" i="24"/>
  <c r="X72" i="24"/>
  <c r="AV72" i="24"/>
  <c r="BT72" i="24"/>
  <c r="Z72" i="24"/>
  <c r="W72" i="24"/>
  <c r="AU72" i="24"/>
  <c r="BS72" i="24"/>
  <c r="BR72" i="24"/>
  <c r="S72" i="24"/>
  <c r="AT72" i="24"/>
  <c r="AP72" i="24"/>
  <c r="Y105" i="24"/>
  <c r="Q105" i="24"/>
  <c r="AV105" i="24"/>
  <c r="BQ105" i="24"/>
  <c r="AU105" i="24"/>
  <c r="BK105" i="24"/>
  <c r="AW105" i="24"/>
  <c r="BT105" i="24"/>
  <c r="AT105" i="24"/>
  <c r="BS105" i="24"/>
  <c r="X105" i="24"/>
  <c r="Z105" i="24"/>
  <c r="W105" i="24"/>
  <c r="AP105" i="24"/>
  <c r="AN105" i="24"/>
  <c r="S105" i="24"/>
  <c r="BR105" i="24"/>
  <c r="BM105" i="24"/>
  <c r="BS39" i="24"/>
  <c r="BT39" i="24"/>
  <c r="Q39" i="24"/>
  <c r="S39" i="24"/>
  <c r="X39" i="24"/>
  <c r="AP39" i="24"/>
  <c r="BR39" i="24"/>
  <c r="BM39" i="24"/>
  <c r="BK39" i="24"/>
  <c r="AW39" i="24"/>
  <c r="AN39" i="24"/>
  <c r="Y39" i="24"/>
  <c r="AT39" i="24"/>
  <c r="AU39" i="24"/>
  <c r="AV39" i="24"/>
  <c r="W39" i="24"/>
  <c r="BQ39" i="24"/>
  <c r="Z39" i="24"/>
  <c r="AM80" i="21"/>
  <c r="AV80" i="21"/>
  <c r="AP80" i="21"/>
  <c r="BC186" i="24"/>
  <c r="Z98" i="24"/>
  <c r="AT98" i="24"/>
  <c r="Y98" i="24"/>
  <c r="BM98" i="24"/>
  <c r="BR98" i="24"/>
  <c r="AU98" i="24"/>
  <c r="W98" i="24"/>
  <c r="X98" i="24"/>
  <c r="BQ98" i="24"/>
  <c r="BT98" i="24"/>
  <c r="AW98" i="24"/>
  <c r="AV98" i="24"/>
  <c r="AP98" i="24"/>
  <c r="BS98" i="24"/>
  <c r="S98" i="24"/>
  <c r="Q98" i="24"/>
  <c r="BK98" i="24"/>
  <c r="AN98" i="24"/>
  <c r="K156" i="24"/>
  <c r="L156" i="24"/>
  <c r="AM115" i="21"/>
  <c r="AV115" i="21"/>
  <c r="AP115" i="21"/>
  <c r="BS170" i="24"/>
  <c r="BT170" i="24"/>
  <c r="AN170" i="24"/>
  <c r="BQ170" i="24"/>
  <c r="AV170" i="24"/>
  <c r="Q170" i="24"/>
  <c r="AW170" i="24"/>
  <c r="W170" i="24"/>
  <c r="BK170" i="24"/>
  <c r="X170" i="24"/>
  <c r="Z170" i="24"/>
  <c r="Y170" i="24"/>
  <c r="AP170" i="24"/>
  <c r="AU170" i="24"/>
  <c r="S170" i="24"/>
  <c r="BM170" i="24"/>
  <c r="BR170" i="24"/>
  <c r="AT170" i="24"/>
  <c r="AM86" i="21"/>
  <c r="AP86" i="21"/>
  <c r="AV86" i="21"/>
  <c r="BM159" i="24"/>
  <c r="AT159" i="24"/>
  <c r="AU159" i="24"/>
  <c r="W159" i="24"/>
  <c r="BK159" i="24"/>
  <c r="AP159" i="24"/>
  <c r="S159" i="24"/>
  <c r="Z159" i="24"/>
  <c r="BT159" i="24"/>
  <c r="BQ159" i="24"/>
  <c r="BR159" i="24"/>
  <c r="Q159" i="24"/>
  <c r="Y159" i="24"/>
  <c r="AW159" i="24"/>
  <c r="AN159" i="24"/>
  <c r="BS159" i="24"/>
  <c r="AV159" i="24"/>
  <c r="X159" i="24"/>
  <c r="AQ185" i="24"/>
  <c r="AR185" i="24"/>
  <c r="AP116" i="21"/>
  <c r="AV116" i="21"/>
  <c r="AM116" i="21"/>
  <c r="AM49" i="21"/>
  <c r="AV49" i="21"/>
  <c r="AP49" i="21"/>
  <c r="AW173" i="23"/>
  <c r="AX173" i="23"/>
  <c r="AW184" i="23"/>
  <c r="AX184" i="23"/>
  <c r="Z73" i="24"/>
  <c r="BS73" i="24"/>
  <c r="X73" i="24"/>
  <c r="AN73" i="24"/>
  <c r="Y73" i="24"/>
  <c r="AP73" i="24"/>
  <c r="W73" i="24"/>
  <c r="BT73" i="24"/>
  <c r="BR73" i="24"/>
  <c r="BK73" i="24"/>
  <c r="BM73" i="24"/>
  <c r="AT73" i="24"/>
  <c r="Q73" i="24"/>
  <c r="AU73" i="24"/>
  <c r="S73" i="24"/>
  <c r="BQ73" i="24"/>
  <c r="AV73" i="24"/>
  <c r="AW73" i="24"/>
  <c r="AW61" i="23"/>
  <c r="AX61" i="23"/>
  <c r="AF172" i="24"/>
  <c r="AU50" i="24"/>
  <c r="AV50" i="24"/>
  <c r="Q50" i="24"/>
  <c r="AT50" i="24"/>
  <c r="S50" i="24"/>
  <c r="BQ50" i="24"/>
  <c r="BT50" i="24"/>
  <c r="AN50" i="24"/>
  <c r="X50" i="24"/>
  <c r="BR50" i="24"/>
  <c r="BS50" i="24"/>
  <c r="AP50" i="24"/>
  <c r="AW50" i="24"/>
  <c r="Z50" i="24"/>
  <c r="BM50" i="24"/>
  <c r="Y50" i="24"/>
  <c r="BK50" i="24"/>
  <c r="W50" i="24"/>
  <c r="AV187" i="21"/>
  <c r="AP187" i="21"/>
  <c r="AM187" i="21"/>
  <c r="AV126" i="21"/>
  <c r="AP126" i="21"/>
  <c r="AM126" i="21"/>
  <c r="BO152" i="24"/>
  <c r="BN152" i="24"/>
  <c r="T167" i="24"/>
  <c r="U167" i="24"/>
  <c r="T158" i="24"/>
  <c r="V158" i="24" s="1"/>
  <c r="U158" i="24"/>
  <c r="AF143" i="24"/>
  <c r="AQ28" i="24"/>
  <c r="AR28" i="24"/>
  <c r="BC71" i="24"/>
  <c r="AQ69" i="24"/>
  <c r="AS69" i="24" s="1"/>
  <c r="AR69" i="24"/>
  <c r="BO76" i="24"/>
  <c r="BN76" i="24"/>
  <c r="I166" i="24"/>
  <c r="AF51" i="24"/>
  <c r="BC153" i="24"/>
  <c r="I87" i="24"/>
  <c r="T59" i="24"/>
  <c r="V59" i="24" s="1"/>
  <c r="U59" i="24"/>
  <c r="I26" i="24"/>
  <c r="AR62" i="24"/>
  <c r="AQ62" i="24"/>
  <c r="I169" i="24"/>
  <c r="AF101" i="24"/>
  <c r="BC95" i="24"/>
  <c r="BC123" i="24"/>
  <c r="U89" i="24"/>
  <c r="T89" i="24"/>
  <c r="I131" i="24"/>
  <c r="AQ111" i="24"/>
  <c r="AR111" i="24"/>
  <c r="AR63" i="24"/>
  <c r="AQ63" i="24"/>
  <c r="BN41" i="24"/>
  <c r="BO41" i="24"/>
  <c r="AQ20" i="24"/>
  <c r="AR20" i="24"/>
  <c r="U15" i="24"/>
  <c r="T15" i="24"/>
  <c r="U75" i="24"/>
  <c r="V75" i="24" s="1"/>
  <c r="T75" i="24"/>
  <c r="BC9" i="24"/>
  <c r="AD167" i="24"/>
  <c r="AE167" i="24"/>
  <c r="AB167" i="24"/>
  <c r="AC167" i="24" s="1"/>
  <c r="BB167" i="24"/>
  <c r="AY167" i="24"/>
  <c r="AZ167" i="24" s="1"/>
  <c r="E167" i="24"/>
  <c r="F167" i="24" s="1"/>
  <c r="I167" i="24" s="1"/>
  <c r="BA167" i="24"/>
  <c r="G167" i="24"/>
  <c r="H167" i="24"/>
  <c r="AR48" i="24"/>
  <c r="AQ48" i="24"/>
  <c r="AF40" i="24"/>
  <c r="AF14" i="24"/>
  <c r="W65" i="24"/>
  <c r="AT65" i="24"/>
  <c r="X65" i="24"/>
  <c r="AU65" i="24"/>
  <c r="AN65" i="24"/>
  <c r="BK65" i="24"/>
  <c r="BQ65" i="24"/>
  <c r="S65" i="24"/>
  <c r="BT65" i="24"/>
  <c r="AP65" i="24"/>
  <c r="BR65" i="24"/>
  <c r="Q65" i="24"/>
  <c r="BS65" i="24"/>
  <c r="AV65" i="24"/>
  <c r="AW65" i="24"/>
  <c r="Z65" i="24"/>
  <c r="Y65" i="24"/>
  <c r="BM65" i="24"/>
  <c r="AM203" i="21"/>
  <c r="AV203" i="21"/>
  <c r="AP203" i="21"/>
  <c r="AM172" i="21"/>
  <c r="AP172" i="21"/>
  <c r="AV172" i="21"/>
  <c r="K142" i="24"/>
  <c r="AU138" i="24"/>
  <c r="AW138" i="24"/>
  <c r="BQ138" i="24"/>
  <c r="AP138" i="24"/>
  <c r="BS138" i="24"/>
  <c r="BK138" i="24"/>
  <c r="X138" i="24"/>
  <c r="Y138" i="24"/>
  <c r="AN138" i="24"/>
  <c r="Z138" i="24"/>
  <c r="AT138" i="24"/>
  <c r="Q138" i="24"/>
  <c r="BR138" i="24"/>
  <c r="S138" i="24"/>
  <c r="BM138" i="24"/>
  <c r="W138" i="24"/>
  <c r="AV138" i="24"/>
  <c r="BT138" i="24"/>
  <c r="AM33" i="21"/>
  <c r="AP33" i="21"/>
  <c r="AV33" i="21"/>
  <c r="AU11" i="24"/>
  <c r="AV11" i="24"/>
  <c r="AW11" i="24"/>
  <c r="BK11" i="24"/>
  <c r="Z11" i="24"/>
  <c r="AT11" i="24"/>
  <c r="W11" i="24"/>
  <c r="BT11" i="24"/>
  <c r="X11" i="24"/>
  <c r="Y11" i="24"/>
  <c r="BS11" i="24"/>
  <c r="BQ11" i="24"/>
  <c r="BR11" i="24"/>
  <c r="Q11" i="24"/>
  <c r="AN11" i="24"/>
  <c r="D39" i="22"/>
  <c r="Q39" i="22"/>
  <c r="I39" i="22"/>
  <c r="G39" i="22"/>
  <c r="AP11" i="24"/>
  <c r="O39" i="22"/>
  <c r="N39" i="22"/>
  <c r="E39" i="22"/>
  <c r="M39" i="22"/>
  <c r="C39" i="22"/>
  <c r="P39" i="22"/>
  <c r="J39" i="22"/>
  <c r="K39" i="22"/>
  <c r="B39" i="22"/>
  <c r="H39" i="22"/>
  <c r="A39" i="22"/>
  <c r="BM11" i="24"/>
  <c r="AM125" i="21"/>
  <c r="AV125" i="21"/>
  <c r="AP125" i="21"/>
  <c r="Q32" i="24"/>
  <c r="BK32" i="24"/>
  <c r="Y32" i="24"/>
  <c r="Z32" i="24"/>
  <c r="BM32" i="24"/>
  <c r="BR32" i="24"/>
  <c r="W32" i="24"/>
  <c r="AP32" i="24"/>
  <c r="AV32" i="24"/>
  <c r="X32" i="24"/>
  <c r="AT32" i="24"/>
  <c r="AN32" i="24"/>
  <c r="BS32" i="24"/>
  <c r="BT32" i="24"/>
  <c r="S32" i="24"/>
  <c r="AW32" i="24"/>
  <c r="BQ32" i="24"/>
  <c r="AU32" i="24"/>
  <c r="I103" i="24"/>
  <c r="AF97" i="24"/>
  <c r="AP107" i="21"/>
  <c r="AV107" i="21"/>
  <c r="AM107" i="21"/>
  <c r="AM61" i="21"/>
  <c r="AP61" i="21"/>
  <c r="AV61" i="21"/>
  <c r="AF136" i="24"/>
  <c r="AX166" i="23"/>
  <c r="AY166" i="23" s="1"/>
  <c r="AW166" i="23"/>
  <c r="L129" i="23"/>
  <c r="S106" i="24"/>
  <c r="Q106" i="24"/>
  <c r="AN106" i="24"/>
  <c r="X106" i="24"/>
  <c r="Z106" i="24"/>
  <c r="Y106" i="24"/>
  <c r="BK106" i="24"/>
  <c r="BQ106" i="24"/>
  <c r="BT106" i="24"/>
  <c r="AT106" i="24"/>
  <c r="AU106" i="24"/>
  <c r="AV106" i="24"/>
  <c r="AP106" i="24"/>
  <c r="W106" i="24"/>
  <c r="BR106" i="24"/>
  <c r="BM106" i="24"/>
  <c r="AW106" i="24"/>
  <c r="BS106" i="24"/>
  <c r="BE110" i="24"/>
  <c r="AF181" i="24"/>
  <c r="BC109" i="24"/>
  <c r="AW163" i="23"/>
  <c r="AX163" i="23"/>
  <c r="AM212" i="21"/>
  <c r="AP212" i="21"/>
  <c r="AV212" i="21"/>
  <c r="U185" i="24"/>
  <c r="T185" i="24"/>
  <c r="AM194" i="21"/>
  <c r="AV194" i="21"/>
  <c r="AP194" i="21"/>
  <c r="I10" i="24"/>
  <c r="AW92" i="23"/>
  <c r="AX92" i="23"/>
  <c r="W180" i="24"/>
  <c r="AN180" i="24"/>
  <c r="X180" i="24"/>
  <c r="AP180" i="24"/>
  <c r="S180" i="24"/>
  <c r="BT180" i="24"/>
  <c r="AU180" i="24"/>
  <c r="BK180" i="24"/>
  <c r="AV180" i="24"/>
  <c r="BQ180" i="24"/>
  <c r="Q180" i="24"/>
  <c r="AW180" i="24"/>
  <c r="BR180" i="24"/>
  <c r="BS180" i="24"/>
  <c r="BM180" i="24"/>
  <c r="Z180" i="24"/>
  <c r="Y180" i="24"/>
  <c r="AT180" i="24"/>
  <c r="Z119" i="24"/>
  <c r="AN119" i="24"/>
  <c r="BS119" i="24"/>
  <c r="AT119" i="24"/>
  <c r="Y119" i="24"/>
  <c r="BR119" i="24"/>
  <c r="Q119" i="24"/>
  <c r="BM119" i="24"/>
  <c r="S119" i="24"/>
  <c r="AU119" i="24"/>
  <c r="AW119" i="24"/>
  <c r="X119" i="24"/>
  <c r="BQ119" i="24"/>
  <c r="AV119" i="24"/>
  <c r="AP119" i="24"/>
  <c r="W119" i="24"/>
  <c r="BK119" i="24"/>
  <c r="BT119" i="24"/>
  <c r="AP46" i="21"/>
  <c r="AV46" i="21"/>
  <c r="AM46" i="21"/>
  <c r="AV196" i="21"/>
  <c r="AP196" i="21"/>
  <c r="AM196" i="21"/>
  <c r="I11" i="24"/>
  <c r="K27" i="23"/>
  <c r="E27" i="24"/>
  <c r="F27" i="24" s="1"/>
  <c r="AE27" i="24"/>
  <c r="G27" i="24"/>
  <c r="AD27" i="24"/>
  <c r="BB27" i="24"/>
  <c r="H27" i="24"/>
  <c r="BA27" i="24"/>
  <c r="AY27" i="24"/>
  <c r="AZ27" i="24" s="1"/>
  <c r="AB27" i="24"/>
  <c r="AC27" i="24" s="1"/>
  <c r="G27" i="23"/>
  <c r="H27" i="23"/>
  <c r="I27" i="23"/>
  <c r="J27" i="23"/>
  <c r="BC2" i="24"/>
  <c r="AF72" i="24"/>
  <c r="AF118" i="24"/>
  <c r="BC119" i="24"/>
  <c r="BN122" i="24"/>
  <c r="BO122" i="24"/>
  <c r="AQ122" i="24"/>
  <c r="AR122" i="24"/>
  <c r="AQ167" i="24"/>
  <c r="AR167" i="24"/>
  <c r="AQ158" i="24"/>
  <c r="AR158" i="24"/>
  <c r="AQ120" i="24"/>
  <c r="AR120" i="24"/>
  <c r="BC193" i="24"/>
  <c r="AM204" i="21"/>
  <c r="AP204" i="21"/>
  <c r="AV204" i="21"/>
  <c r="AF133" i="24"/>
  <c r="AF99" i="24"/>
  <c r="BC178" i="24"/>
  <c r="AR81" i="24"/>
  <c r="AQ81" i="24"/>
  <c r="Y110" i="23"/>
  <c r="BF110" i="23" s="1"/>
  <c r="BO22" i="24"/>
  <c r="BN22" i="24"/>
  <c r="U142" i="24"/>
  <c r="T142" i="24"/>
  <c r="BC31" i="24"/>
  <c r="AD61" i="24"/>
  <c r="E61" i="24"/>
  <c r="F61" i="24" s="1"/>
  <c r="AE61" i="24"/>
  <c r="G61" i="24"/>
  <c r="AB61" i="24"/>
  <c r="AC61" i="24" s="1"/>
  <c r="BB61" i="24"/>
  <c r="H61" i="24"/>
  <c r="AY61" i="24"/>
  <c r="AZ61" i="24" s="1"/>
  <c r="BC61" i="24" s="1"/>
  <c r="BA61" i="24"/>
  <c r="U160" i="24"/>
  <c r="T160" i="24"/>
  <c r="AR45" i="24"/>
  <c r="AQ45" i="24"/>
  <c r="T83" i="24"/>
  <c r="V83" i="24" s="1"/>
  <c r="U83" i="24"/>
  <c r="T146" i="24"/>
  <c r="U146" i="24"/>
  <c r="T111" i="24"/>
  <c r="U111" i="24"/>
  <c r="T5" i="24"/>
  <c r="U5" i="24"/>
  <c r="I20" i="24"/>
  <c r="AQ26" i="24"/>
  <c r="AR26" i="24"/>
  <c r="T48" i="24"/>
  <c r="U48" i="24"/>
  <c r="AF59" i="24"/>
  <c r="CB4" i="24"/>
  <c r="BD110" i="23"/>
  <c r="BD41" i="23"/>
  <c r="BD14" i="23"/>
  <c r="BD56" i="23"/>
  <c r="BD28" i="23"/>
  <c r="BD141" i="23"/>
  <c r="BD113" i="23"/>
  <c r="BD34" i="23"/>
  <c r="BD10" i="23"/>
  <c r="BD91" i="23"/>
  <c r="BD37" i="23"/>
  <c r="BD35" i="23"/>
  <c r="BD179" i="23"/>
  <c r="BD71" i="23"/>
  <c r="BD58" i="23"/>
  <c r="BD17" i="23"/>
  <c r="BD111" i="23"/>
  <c r="BD137" i="23"/>
  <c r="BD21" i="23"/>
  <c r="BD31" i="23"/>
  <c r="BD167" i="23"/>
  <c r="BD187" i="23"/>
  <c r="BD8" i="23"/>
  <c r="BD69" i="23"/>
  <c r="BD121" i="23"/>
  <c r="BD81" i="23"/>
  <c r="BD75" i="23"/>
  <c r="BD43" i="23"/>
  <c r="BD158" i="23"/>
  <c r="BD151" i="23"/>
  <c r="BD128" i="23"/>
  <c r="BD145" i="23"/>
  <c r="BD147" i="23"/>
  <c r="BD102" i="23"/>
  <c r="BD180" i="23"/>
  <c r="BD115" i="23"/>
  <c r="BD47" i="23"/>
  <c r="BD13" i="23"/>
  <c r="BD16" i="23"/>
  <c r="BD6" i="23"/>
  <c r="BD140" i="23"/>
  <c r="BD174" i="23"/>
  <c r="BD57" i="23"/>
  <c r="BD177" i="23"/>
  <c r="BD170" i="23"/>
  <c r="BD143" i="23"/>
  <c r="BD155" i="23"/>
  <c r="BD133" i="23"/>
  <c r="BD156" i="23"/>
  <c r="BD168" i="23"/>
  <c r="BD45" i="23"/>
  <c r="BD178" i="23"/>
  <c r="BD63" i="23"/>
  <c r="BD89" i="23"/>
  <c r="BD48" i="23"/>
  <c r="C117" i="22"/>
  <c r="O117" i="22"/>
  <c r="M117" i="22"/>
  <c r="I117" i="22"/>
  <c r="J117" i="22"/>
  <c r="K117" i="22"/>
  <c r="H117" i="22"/>
  <c r="Q117" i="22"/>
  <c r="P117" i="22"/>
  <c r="A117" i="22"/>
  <c r="B117" i="22"/>
  <c r="D117" i="22"/>
  <c r="E117" i="22"/>
  <c r="G117" i="22"/>
  <c r="N117" i="22"/>
  <c r="E194" i="22"/>
  <c r="Q194" i="22"/>
  <c r="G194" i="22"/>
  <c r="H194" i="22"/>
  <c r="D194" i="22"/>
  <c r="P194" i="22"/>
  <c r="I194" i="22"/>
  <c r="J194" i="22"/>
  <c r="K194" i="22"/>
  <c r="C194" i="22"/>
  <c r="B194" i="22"/>
  <c r="M194" i="22"/>
  <c r="N194" i="22"/>
  <c r="O194" i="22"/>
  <c r="A194" i="22"/>
  <c r="C37" i="22"/>
  <c r="O37" i="22"/>
  <c r="D37" i="22"/>
  <c r="P37" i="22"/>
  <c r="N37" i="22"/>
  <c r="A37" i="22"/>
  <c r="Q37" i="22"/>
  <c r="B37" i="22"/>
  <c r="M37" i="22"/>
  <c r="J37" i="22"/>
  <c r="K37" i="22"/>
  <c r="I37" i="22"/>
  <c r="G37" i="22"/>
  <c r="H37" i="22"/>
  <c r="E37" i="22"/>
  <c r="I76" i="22"/>
  <c r="D76" i="22"/>
  <c r="Q76" i="22"/>
  <c r="B76" i="22"/>
  <c r="O76" i="22"/>
  <c r="A76" i="22"/>
  <c r="C76" i="22"/>
  <c r="E76" i="22"/>
  <c r="P76" i="22"/>
  <c r="N76" i="22"/>
  <c r="H76" i="22"/>
  <c r="J76" i="22"/>
  <c r="K76" i="22"/>
  <c r="M76" i="22"/>
  <c r="G76" i="22"/>
  <c r="B137" i="22"/>
  <c r="N137" i="22"/>
  <c r="H137" i="22"/>
  <c r="I137" i="22"/>
  <c r="J137" i="22"/>
  <c r="G137" i="22"/>
  <c r="O137" i="22"/>
  <c r="P137" i="22"/>
  <c r="Q137" i="22"/>
  <c r="M137" i="22"/>
  <c r="A137" i="22"/>
  <c r="C137" i="22"/>
  <c r="D137" i="22"/>
  <c r="E137" i="22"/>
  <c r="K137" i="22"/>
  <c r="K177" i="22"/>
  <c r="A177" i="22"/>
  <c r="M177" i="22"/>
  <c r="B177" i="22"/>
  <c r="N177" i="22"/>
  <c r="J177" i="22"/>
  <c r="O177" i="22"/>
  <c r="P177" i="22"/>
  <c r="Q177" i="22"/>
  <c r="I177" i="22"/>
  <c r="H177" i="22"/>
  <c r="C177" i="22"/>
  <c r="E177" i="22"/>
  <c r="G177" i="22"/>
  <c r="D177" i="22"/>
  <c r="C111" i="22"/>
  <c r="O111" i="22"/>
  <c r="A111" i="22"/>
  <c r="N111" i="22"/>
  <c r="M111" i="22"/>
  <c r="P111" i="22"/>
  <c r="B111" i="22"/>
  <c r="Q111" i="22"/>
  <c r="K111" i="22"/>
  <c r="D111" i="22"/>
  <c r="E111" i="22"/>
  <c r="G111" i="22"/>
  <c r="H111" i="22"/>
  <c r="I111" i="22"/>
  <c r="J111" i="22"/>
  <c r="I52" i="22"/>
  <c r="H52" i="22"/>
  <c r="J52" i="22"/>
  <c r="K52" i="22"/>
  <c r="G52" i="22"/>
  <c r="M52" i="22"/>
  <c r="N52" i="22"/>
  <c r="O52" i="22"/>
  <c r="E52" i="22"/>
  <c r="Q52" i="22"/>
  <c r="A52" i="22"/>
  <c r="B52" i="22"/>
  <c r="C52" i="22"/>
  <c r="D52" i="22"/>
  <c r="P52" i="22"/>
  <c r="I130" i="22"/>
  <c r="E130" i="22"/>
  <c r="M130" i="22"/>
  <c r="N130" i="22"/>
  <c r="A130" i="22"/>
  <c r="O130" i="22"/>
  <c r="K130" i="22"/>
  <c r="D130" i="22"/>
  <c r="G130" i="22"/>
  <c r="H130" i="22"/>
  <c r="C130" i="22"/>
  <c r="B130" i="22"/>
  <c r="J130" i="22"/>
  <c r="P130" i="22"/>
  <c r="Q130" i="22"/>
  <c r="K215" i="22"/>
  <c r="A215" i="22"/>
  <c r="M215" i="22"/>
  <c r="B215" i="22"/>
  <c r="N215" i="22"/>
  <c r="J215" i="22"/>
  <c r="H215" i="22"/>
  <c r="I215" i="22"/>
  <c r="O215" i="22"/>
  <c r="G215" i="22"/>
  <c r="C215" i="22"/>
  <c r="D215" i="22"/>
  <c r="E215" i="22"/>
  <c r="P215" i="22"/>
  <c r="Q215" i="22"/>
  <c r="C119" i="22"/>
  <c r="O119" i="22"/>
  <c r="D119" i="22"/>
  <c r="Q119" i="22"/>
  <c r="B119" i="22"/>
  <c r="E119" i="22"/>
  <c r="G119" i="22"/>
  <c r="A119" i="22"/>
  <c r="P119" i="22"/>
  <c r="H119" i="22"/>
  <c r="I119" i="22"/>
  <c r="J119" i="22"/>
  <c r="K119" i="22"/>
  <c r="M119" i="22"/>
  <c r="N119" i="22"/>
  <c r="Y179" i="23"/>
  <c r="BF179" i="23" s="1"/>
  <c r="N179" i="23"/>
  <c r="N104" i="23"/>
  <c r="Y104" i="23"/>
  <c r="L104" i="24" s="1"/>
  <c r="Y168" i="23"/>
  <c r="BF168" i="23" s="1"/>
  <c r="N168" i="23"/>
  <c r="N80" i="23"/>
  <c r="Y80" i="23"/>
  <c r="BF80" i="23" s="1"/>
  <c r="N76" i="23"/>
  <c r="Y76" i="23"/>
  <c r="Y33" i="23"/>
  <c r="N33" i="23"/>
  <c r="N117" i="23"/>
  <c r="Y117" i="23"/>
  <c r="BF117" i="24" s="1"/>
  <c r="Y89" i="23"/>
  <c r="BF89" i="23" s="1"/>
  <c r="N89" i="23"/>
  <c r="Y77" i="23"/>
  <c r="BF77" i="23" s="1"/>
  <c r="I40" i="22"/>
  <c r="J40" i="22"/>
  <c r="E40" i="22"/>
  <c r="G40" i="22"/>
  <c r="H40" i="22"/>
  <c r="D40" i="22"/>
  <c r="K40" i="22"/>
  <c r="M40" i="22"/>
  <c r="N40" i="22"/>
  <c r="C40" i="22"/>
  <c r="A40" i="22"/>
  <c r="B40" i="22"/>
  <c r="P40" i="22"/>
  <c r="Q40" i="22"/>
  <c r="O40" i="22"/>
  <c r="C129" i="22"/>
  <c r="O129" i="22"/>
  <c r="J129" i="22"/>
  <c r="A129" i="22"/>
  <c r="P129" i="22"/>
  <c r="B129" i="22"/>
  <c r="Q129" i="22"/>
  <c r="D129" i="22"/>
  <c r="N129" i="22"/>
  <c r="E129" i="22"/>
  <c r="G129" i="22"/>
  <c r="H129" i="22"/>
  <c r="I129" i="22"/>
  <c r="K129" i="22"/>
  <c r="M129" i="22"/>
  <c r="K187" i="22"/>
  <c r="A187" i="22"/>
  <c r="M187" i="22"/>
  <c r="B187" i="22"/>
  <c r="N187" i="22"/>
  <c r="J187" i="22"/>
  <c r="O187" i="22"/>
  <c r="P187" i="22"/>
  <c r="Q187" i="22"/>
  <c r="I187" i="22"/>
  <c r="C187" i="22"/>
  <c r="D187" i="22"/>
  <c r="E187" i="22"/>
  <c r="G187" i="22"/>
  <c r="H187" i="22"/>
  <c r="B141" i="22"/>
  <c r="N141" i="22"/>
  <c r="C141" i="22"/>
  <c r="P141" i="22"/>
  <c r="D141" i="22"/>
  <c r="Q141" i="22"/>
  <c r="E141" i="22"/>
  <c r="A141" i="22"/>
  <c r="O141" i="22"/>
  <c r="I141" i="22"/>
  <c r="J141" i="22"/>
  <c r="K141" i="22"/>
  <c r="H141" i="22"/>
  <c r="G141" i="22"/>
  <c r="M141" i="22"/>
  <c r="I106" i="22"/>
  <c r="K106" i="22"/>
  <c r="A106" i="22"/>
  <c r="O106" i="22"/>
  <c r="B106" i="22"/>
  <c r="P106" i="22"/>
  <c r="C106" i="22"/>
  <c r="Q106" i="22"/>
  <c r="N106" i="22"/>
  <c r="M106" i="22"/>
  <c r="D106" i="22"/>
  <c r="E106" i="22"/>
  <c r="G106" i="22"/>
  <c r="H106" i="22"/>
  <c r="J106" i="22"/>
  <c r="B143" i="22"/>
  <c r="N143" i="22"/>
  <c r="G143" i="22"/>
  <c r="H143" i="22"/>
  <c r="I143" i="22"/>
  <c r="E143" i="22"/>
  <c r="P143" i="22"/>
  <c r="Q143" i="22"/>
  <c r="O143" i="22"/>
  <c r="A143" i="22"/>
  <c r="C143" i="22"/>
  <c r="D143" i="22"/>
  <c r="J143" i="22"/>
  <c r="K143" i="22"/>
  <c r="M143" i="22"/>
  <c r="Y113" i="23"/>
  <c r="BF113" i="23" s="1"/>
  <c r="N113" i="23"/>
  <c r="N177" i="23"/>
  <c r="Y177" i="23"/>
  <c r="BF177" i="23" s="1"/>
  <c r="Y102" i="23"/>
  <c r="BF102" i="23" s="1"/>
  <c r="N102" i="23"/>
  <c r="N167" i="23"/>
  <c r="Y167" i="23"/>
  <c r="BF167" i="23" s="1"/>
  <c r="N13" i="23"/>
  <c r="Y13" i="23"/>
  <c r="BF13" i="23" s="1"/>
  <c r="Y192" i="23"/>
  <c r="BF192" i="23" s="1"/>
  <c r="N192" i="23"/>
  <c r="N94" i="23"/>
  <c r="Y94" i="23"/>
  <c r="BF94" i="23" s="1"/>
  <c r="Y9" i="23"/>
  <c r="BF9" i="23" s="1"/>
  <c r="N9" i="23"/>
  <c r="I96" i="22"/>
  <c r="D96" i="22"/>
  <c r="Q96" i="22"/>
  <c r="B96" i="22"/>
  <c r="P96" i="22"/>
  <c r="C96" i="22"/>
  <c r="E96" i="22"/>
  <c r="A96" i="22"/>
  <c r="O96" i="22"/>
  <c r="G96" i="22"/>
  <c r="H96" i="22"/>
  <c r="K96" i="22"/>
  <c r="M96" i="22"/>
  <c r="N96" i="22"/>
  <c r="J96" i="22"/>
  <c r="I118" i="22"/>
  <c r="H118" i="22"/>
  <c r="E118" i="22"/>
  <c r="G118" i="22"/>
  <c r="J118" i="22"/>
  <c r="D118" i="22"/>
  <c r="A118" i="22"/>
  <c r="B118" i="22"/>
  <c r="Q118" i="22"/>
  <c r="N118" i="22"/>
  <c r="O118" i="22"/>
  <c r="P118" i="22"/>
  <c r="C118" i="22"/>
  <c r="K118" i="22"/>
  <c r="M118" i="22"/>
  <c r="I84" i="22"/>
  <c r="G84" i="22"/>
  <c r="D84" i="22"/>
  <c r="Q84" i="22"/>
  <c r="H84" i="22"/>
  <c r="J84" i="22"/>
  <c r="K84" i="22"/>
  <c r="E84" i="22"/>
  <c r="O84" i="22"/>
  <c r="P84" i="22"/>
  <c r="N84" i="22"/>
  <c r="A84" i="22"/>
  <c r="B84" i="22"/>
  <c r="C84" i="22"/>
  <c r="M84" i="22"/>
  <c r="Y118" i="23"/>
  <c r="BF118" i="23" s="1"/>
  <c r="N118" i="23"/>
  <c r="N119" i="23"/>
  <c r="Y119" i="23"/>
  <c r="BF119" i="23" s="1"/>
  <c r="Y59" i="23"/>
  <c r="BF59" i="23" s="1"/>
  <c r="N59" i="23"/>
  <c r="Y153" i="23"/>
  <c r="BF153" i="23" s="1"/>
  <c r="N153" i="23"/>
  <c r="AI5" i="23"/>
  <c r="AK5" i="23" s="1"/>
  <c r="AE6" i="23" s="1"/>
  <c r="AG5" i="23"/>
  <c r="Y171" i="23"/>
  <c r="N171" i="23"/>
  <c r="N71" i="23"/>
  <c r="Y71" i="23"/>
  <c r="BF71" i="23" s="1"/>
  <c r="Y29" i="23"/>
  <c r="BF29" i="23" s="1"/>
  <c r="N29" i="23"/>
  <c r="Y61" i="23"/>
  <c r="BF61" i="23" s="1"/>
  <c r="N61" i="23"/>
  <c r="Y6" i="23"/>
  <c r="BF6" i="23" s="1"/>
  <c r="N6" i="23"/>
  <c r="Y52" i="23"/>
  <c r="BF52" i="23" s="1"/>
  <c r="N52" i="23"/>
  <c r="N116" i="23"/>
  <c r="Y116" i="23"/>
  <c r="BF116" i="23" s="1"/>
  <c r="Y123" i="23"/>
  <c r="BF123" i="23" s="1"/>
  <c r="N123" i="23"/>
  <c r="N90" i="23"/>
  <c r="Y90" i="23"/>
  <c r="BF90" i="23" s="1"/>
  <c r="Y34" i="23"/>
  <c r="BF34" i="23" s="1"/>
  <c r="N34" i="23"/>
  <c r="I74" i="22"/>
  <c r="A74" i="22"/>
  <c r="N74" i="22"/>
  <c r="K74" i="22"/>
  <c r="D74" i="22"/>
  <c r="E74" i="22"/>
  <c r="G74" i="22"/>
  <c r="C74" i="22"/>
  <c r="B74" i="22"/>
  <c r="H74" i="22"/>
  <c r="J74" i="22"/>
  <c r="M74" i="22"/>
  <c r="O74" i="22"/>
  <c r="P74" i="22"/>
  <c r="Q74" i="22"/>
  <c r="B149" i="22"/>
  <c r="N149" i="22"/>
  <c r="E149" i="22"/>
  <c r="G149" i="22"/>
  <c r="H149" i="22"/>
  <c r="D149" i="22"/>
  <c r="Q149" i="22"/>
  <c r="A149" i="22"/>
  <c r="P149" i="22"/>
  <c r="C149" i="22"/>
  <c r="I149" i="22"/>
  <c r="J149" i="22"/>
  <c r="K149" i="22"/>
  <c r="M149" i="22"/>
  <c r="O149" i="22"/>
  <c r="N124" i="23"/>
  <c r="Y124" i="23"/>
  <c r="BF124" i="23" s="1"/>
  <c r="Y22" i="23"/>
  <c r="BF22" i="23" s="1"/>
  <c r="N22" i="23"/>
  <c r="N26" i="23"/>
  <c r="Y26" i="23"/>
  <c r="BF26" i="23" s="1"/>
  <c r="K205" i="22"/>
  <c r="A205" i="22"/>
  <c r="M205" i="22"/>
  <c r="B205" i="22"/>
  <c r="N205" i="22"/>
  <c r="J205" i="22"/>
  <c r="H205" i="22"/>
  <c r="I205" i="22"/>
  <c r="O205" i="22"/>
  <c r="G205" i="22"/>
  <c r="E205" i="22"/>
  <c r="P205" i="22"/>
  <c r="Q205" i="22"/>
  <c r="D205" i="22"/>
  <c r="C205" i="22"/>
  <c r="C71" i="22"/>
  <c r="O71" i="22"/>
  <c r="M71" i="22"/>
  <c r="A71" i="22"/>
  <c r="N71" i="22"/>
  <c r="K71" i="22"/>
  <c r="B71" i="22"/>
  <c r="D71" i="22"/>
  <c r="E71" i="22"/>
  <c r="Q71" i="22"/>
  <c r="G71" i="22"/>
  <c r="H71" i="22"/>
  <c r="I71" i="22"/>
  <c r="J71" i="22"/>
  <c r="P71" i="22"/>
  <c r="I100" i="22"/>
  <c r="M100" i="22"/>
  <c r="D100" i="22"/>
  <c r="E100" i="22"/>
  <c r="G100" i="22"/>
  <c r="C100" i="22"/>
  <c r="Q100" i="22"/>
  <c r="A100" i="22"/>
  <c r="B100" i="22"/>
  <c r="H100" i="22"/>
  <c r="J100" i="22"/>
  <c r="K100" i="22"/>
  <c r="N100" i="22"/>
  <c r="O100" i="22"/>
  <c r="P100" i="22"/>
  <c r="E186" i="22"/>
  <c r="Q186" i="22"/>
  <c r="G186" i="22"/>
  <c r="H186" i="22"/>
  <c r="D186" i="22"/>
  <c r="P186" i="22"/>
  <c r="K186" i="22"/>
  <c r="M186" i="22"/>
  <c r="N186" i="22"/>
  <c r="J186" i="22"/>
  <c r="A186" i="22"/>
  <c r="B186" i="22"/>
  <c r="O186" i="22"/>
  <c r="C186" i="22"/>
  <c r="I186" i="22"/>
  <c r="C115" i="22"/>
  <c r="O115" i="22"/>
  <c r="I115" i="22"/>
  <c r="A115" i="22"/>
  <c r="P115" i="22"/>
  <c r="B115" i="22"/>
  <c r="Q115" i="22"/>
  <c r="D115" i="22"/>
  <c r="N115" i="22"/>
  <c r="E115" i="22"/>
  <c r="G115" i="22"/>
  <c r="H115" i="22"/>
  <c r="J115" i="22"/>
  <c r="K115" i="22"/>
  <c r="M115" i="22"/>
  <c r="E196" i="22"/>
  <c r="Q196" i="22"/>
  <c r="G196" i="22"/>
  <c r="H196" i="22"/>
  <c r="D196" i="22"/>
  <c r="P196" i="22"/>
  <c r="K196" i="22"/>
  <c r="M196" i="22"/>
  <c r="N196" i="22"/>
  <c r="J196" i="22"/>
  <c r="B196" i="22"/>
  <c r="C196" i="22"/>
  <c r="I196" i="22"/>
  <c r="O196" i="22"/>
  <c r="A196" i="22"/>
  <c r="B153" i="22"/>
  <c r="N153" i="22"/>
  <c r="M153" i="22"/>
  <c r="A153" i="22"/>
  <c r="O153" i="22"/>
  <c r="C153" i="22"/>
  <c r="P153" i="22"/>
  <c r="K153" i="22"/>
  <c r="Q153" i="22"/>
  <c r="J153" i="22"/>
  <c r="D153" i="22"/>
  <c r="E153" i="22"/>
  <c r="G153" i="22"/>
  <c r="H153" i="22"/>
  <c r="I153" i="22"/>
  <c r="I124" i="22"/>
  <c r="G124" i="22"/>
  <c r="B124" i="22"/>
  <c r="P124" i="22"/>
  <c r="C124" i="22"/>
  <c r="Q124" i="22"/>
  <c r="D124" i="22"/>
  <c r="A124" i="22"/>
  <c r="O124" i="22"/>
  <c r="M124" i="22"/>
  <c r="N124" i="22"/>
  <c r="K124" i="22"/>
  <c r="E124" i="22"/>
  <c r="H124" i="22"/>
  <c r="J124" i="22"/>
  <c r="Y92" i="23"/>
  <c r="BF92" i="23" s="1"/>
  <c r="N92" i="23"/>
  <c r="N87" i="23"/>
  <c r="Y87" i="23"/>
  <c r="Y56" i="23"/>
  <c r="BF56" i="23" s="1"/>
  <c r="N56" i="23"/>
  <c r="C121" i="22"/>
  <c r="O121" i="22"/>
  <c r="H121" i="22"/>
  <c r="K121" i="22"/>
  <c r="M121" i="22"/>
  <c r="N121" i="22"/>
  <c r="J121" i="22"/>
  <c r="A121" i="22"/>
  <c r="Q121" i="22"/>
  <c r="D121" i="22"/>
  <c r="E121" i="22"/>
  <c r="G121" i="22"/>
  <c r="I121" i="22"/>
  <c r="P121" i="22"/>
  <c r="B121" i="22"/>
  <c r="C59" i="22"/>
  <c r="O59" i="22"/>
  <c r="B59" i="22"/>
  <c r="P59" i="22"/>
  <c r="D59" i="22"/>
  <c r="Q59" i="22"/>
  <c r="E59" i="22"/>
  <c r="A59" i="22"/>
  <c r="N59" i="22"/>
  <c r="M59" i="22"/>
  <c r="H59" i="22"/>
  <c r="I59" i="22"/>
  <c r="J59" i="22"/>
  <c r="K59" i="22"/>
  <c r="G59" i="22"/>
  <c r="C55" i="22"/>
  <c r="O55" i="22"/>
  <c r="H55" i="22"/>
  <c r="I55" i="22"/>
  <c r="J55" i="22"/>
  <c r="G55" i="22"/>
  <c r="A55" i="22"/>
  <c r="B55" i="22"/>
  <c r="D55" i="22"/>
  <c r="E55" i="22"/>
  <c r="K55" i="22"/>
  <c r="M55" i="22"/>
  <c r="N55" i="22"/>
  <c r="P55" i="22"/>
  <c r="Q55" i="22"/>
  <c r="K185" i="22"/>
  <c r="A185" i="22"/>
  <c r="M185" i="22"/>
  <c r="B185" i="22"/>
  <c r="N185" i="22"/>
  <c r="J185" i="22"/>
  <c r="H185" i="22"/>
  <c r="I185" i="22"/>
  <c r="O185" i="22"/>
  <c r="G185" i="22"/>
  <c r="C185" i="22"/>
  <c r="D185" i="22"/>
  <c r="E185" i="22"/>
  <c r="P185" i="22"/>
  <c r="Q185" i="22"/>
  <c r="N134" i="23"/>
  <c r="Y134" i="23"/>
  <c r="BF134" i="23" s="1"/>
  <c r="N4" i="23"/>
  <c r="Y4" i="23"/>
  <c r="BF4" i="23" s="1"/>
  <c r="Y145" i="23"/>
  <c r="BF145" i="23" s="1"/>
  <c r="N145" i="23"/>
  <c r="C109" i="22"/>
  <c r="O109" i="22"/>
  <c r="J109" i="22"/>
  <c r="E109" i="22"/>
  <c r="G109" i="22"/>
  <c r="H109" i="22"/>
  <c r="D109" i="22"/>
  <c r="M109" i="22"/>
  <c r="N109" i="22"/>
  <c r="P109" i="22"/>
  <c r="K109" i="22"/>
  <c r="I109" i="22"/>
  <c r="Q109" i="22"/>
  <c r="A109" i="22"/>
  <c r="B109" i="22"/>
  <c r="C45" i="22"/>
  <c r="O45" i="22"/>
  <c r="D45" i="22"/>
  <c r="P45" i="22"/>
  <c r="G45" i="22"/>
  <c r="H45" i="22"/>
  <c r="I45" i="22"/>
  <c r="E45" i="22"/>
  <c r="Q45" i="22"/>
  <c r="N45" i="22"/>
  <c r="A45" i="22"/>
  <c r="J45" i="22"/>
  <c r="K45" i="22"/>
  <c r="M45" i="22"/>
  <c r="B45" i="22"/>
  <c r="E206" i="22"/>
  <c r="Q206" i="22"/>
  <c r="G206" i="22"/>
  <c r="H206" i="22"/>
  <c r="D206" i="22"/>
  <c r="P206" i="22"/>
  <c r="K206" i="22"/>
  <c r="M206" i="22"/>
  <c r="N206" i="22"/>
  <c r="J206" i="22"/>
  <c r="A206" i="22"/>
  <c r="C206" i="22"/>
  <c r="I206" i="22"/>
  <c r="O206" i="22"/>
  <c r="B206" i="22"/>
  <c r="K213" i="22"/>
  <c r="A213" i="22"/>
  <c r="M213" i="22"/>
  <c r="B213" i="22"/>
  <c r="N213" i="22"/>
  <c r="J213" i="22"/>
  <c r="E213" i="22"/>
  <c r="G213" i="22"/>
  <c r="H213" i="22"/>
  <c r="D213" i="22"/>
  <c r="C213" i="22"/>
  <c r="I213" i="22"/>
  <c r="P213" i="22"/>
  <c r="Q213" i="22"/>
  <c r="O213" i="22"/>
  <c r="E212" i="22"/>
  <c r="Q212" i="22"/>
  <c r="G212" i="22"/>
  <c r="H212" i="22"/>
  <c r="D212" i="22"/>
  <c r="P212" i="22"/>
  <c r="B212" i="22"/>
  <c r="C212" i="22"/>
  <c r="I212" i="22"/>
  <c r="A212" i="22"/>
  <c r="N212" i="22"/>
  <c r="O212" i="22"/>
  <c r="M212" i="22"/>
  <c r="J212" i="22"/>
  <c r="K212" i="22"/>
  <c r="B135" i="22"/>
  <c r="N135" i="22"/>
  <c r="D135" i="22"/>
  <c r="Q135" i="22"/>
  <c r="E135" i="22"/>
  <c r="G135" i="22"/>
  <c r="C135" i="22"/>
  <c r="P135" i="22"/>
  <c r="H135" i="22"/>
  <c r="I135" i="22"/>
  <c r="J135" i="22"/>
  <c r="A135" i="22"/>
  <c r="K135" i="22"/>
  <c r="M135" i="22"/>
  <c r="O135" i="22"/>
  <c r="C83" i="22"/>
  <c r="O83" i="22"/>
  <c r="K83" i="22"/>
  <c r="I83" i="22"/>
  <c r="H83" i="22"/>
  <c r="J83" i="22"/>
  <c r="M83" i="22"/>
  <c r="G83" i="22"/>
  <c r="D83" i="22"/>
  <c r="E83" i="22"/>
  <c r="N83" i="22"/>
  <c r="P83" i="22"/>
  <c r="B83" i="22"/>
  <c r="A83" i="22"/>
  <c r="Q83" i="22"/>
  <c r="N166" i="23"/>
  <c r="Y166" i="23"/>
  <c r="BF166" i="23" s="1"/>
  <c r="N19" i="23"/>
  <c r="Y19" i="23"/>
  <c r="AM201" i="21"/>
  <c r="AP201" i="21"/>
  <c r="AV201" i="21"/>
  <c r="N193" i="23"/>
  <c r="Y193" i="23"/>
  <c r="BF193" i="23" s="1"/>
  <c r="AW146" i="23"/>
  <c r="AX146" i="23"/>
  <c r="BD144" i="23"/>
  <c r="AH128" i="23"/>
  <c r="AX28" i="23"/>
  <c r="AW28" i="23"/>
  <c r="AW110" i="23"/>
  <c r="AX110" i="23"/>
  <c r="AY110" i="23" s="1"/>
  <c r="AM78" i="21"/>
  <c r="AP78" i="21"/>
  <c r="AV78" i="21"/>
  <c r="BD181" i="23"/>
  <c r="BD172" i="23"/>
  <c r="AW141" i="23"/>
  <c r="AX141" i="23"/>
  <c r="AH66" i="23"/>
  <c r="AP62" i="21"/>
  <c r="AV62" i="21"/>
  <c r="AM62" i="21"/>
  <c r="AW40" i="23"/>
  <c r="AY40" i="23" s="1"/>
  <c r="AX40" i="23"/>
  <c r="AP117" i="21"/>
  <c r="AV117" i="21"/>
  <c r="AM117" i="21"/>
  <c r="AW155" i="23"/>
  <c r="AY155" i="23" s="1"/>
  <c r="AX155" i="23"/>
  <c r="AH89" i="23"/>
  <c r="N99" i="23"/>
  <c r="Y99" i="23"/>
  <c r="BF99" i="23" s="1"/>
  <c r="Y188" i="23"/>
  <c r="BF188" i="23" s="1"/>
  <c r="N188" i="23"/>
  <c r="BD192" i="23"/>
  <c r="BD185" i="23"/>
  <c r="BD116" i="23"/>
  <c r="AW29" i="23"/>
  <c r="AX29" i="23"/>
  <c r="AX142" i="23"/>
  <c r="AW142" i="23"/>
  <c r="N136" i="23"/>
  <c r="Y136" i="23"/>
  <c r="BF136" i="23" s="1"/>
  <c r="Y95" i="23"/>
  <c r="BF95" i="23" s="1"/>
  <c r="N95" i="23"/>
  <c r="AH126" i="23"/>
  <c r="AH22" i="23"/>
  <c r="AH34" i="23"/>
  <c r="N91" i="23"/>
  <c r="Y91" i="23"/>
  <c r="BF91" i="23" s="1"/>
  <c r="G122" i="23"/>
  <c r="H122" i="23"/>
  <c r="I122" i="23" s="1"/>
  <c r="J122" i="23"/>
  <c r="K122" i="23"/>
  <c r="BD163" i="23"/>
  <c r="AM178" i="21"/>
  <c r="AP178" i="21"/>
  <c r="AV178" i="21"/>
  <c r="J75" i="23"/>
  <c r="K75" i="23"/>
  <c r="H75" i="23"/>
  <c r="I75" i="23" s="1"/>
  <c r="G75" i="23"/>
  <c r="AH29" i="23"/>
  <c r="AH40" i="23"/>
  <c r="C43" i="22"/>
  <c r="O43" i="22"/>
  <c r="D43" i="22"/>
  <c r="P43" i="22"/>
  <c r="K43" i="22"/>
  <c r="M43" i="22"/>
  <c r="N43" i="22"/>
  <c r="J43" i="22"/>
  <c r="E43" i="22"/>
  <c r="G43" i="22"/>
  <c r="H43" i="22"/>
  <c r="B43" i="22"/>
  <c r="A43" i="22"/>
  <c r="I43" i="22"/>
  <c r="Q43" i="22"/>
  <c r="Y65" i="23"/>
  <c r="BF65" i="23" s="1"/>
  <c r="N65" i="23"/>
  <c r="BD67" i="23"/>
  <c r="BD173" i="23"/>
  <c r="N98" i="23"/>
  <c r="Y98" i="23"/>
  <c r="BF98" i="23" s="1"/>
  <c r="Y40" i="23"/>
  <c r="BF40" i="23" s="1"/>
  <c r="N40" i="23"/>
  <c r="AP26" i="21"/>
  <c r="AV26" i="21"/>
  <c r="AM26" i="21"/>
  <c r="AW57" i="23"/>
  <c r="AX57" i="23"/>
  <c r="G48" i="23"/>
  <c r="H48" i="23"/>
  <c r="I48" i="23" s="1"/>
  <c r="J48" i="23"/>
  <c r="K48" i="23"/>
  <c r="BD24" i="23"/>
  <c r="AH32" i="23"/>
  <c r="AM43" i="21"/>
  <c r="AP43" i="21"/>
  <c r="AV43" i="21"/>
  <c r="AM85" i="21"/>
  <c r="AV85" i="21"/>
  <c r="AP85" i="21"/>
  <c r="AW132" i="23"/>
  <c r="AX132" i="23"/>
  <c r="BD23" i="23"/>
  <c r="AP59" i="21"/>
  <c r="AM59" i="21"/>
  <c r="AV59" i="21"/>
  <c r="AH69" i="23"/>
  <c r="AX20" i="23"/>
  <c r="AW20" i="23"/>
  <c r="BD5" i="23"/>
  <c r="K83" i="23"/>
  <c r="G83" i="23"/>
  <c r="H83" i="23"/>
  <c r="I83" i="23" s="1"/>
  <c r="J83" i="23"/>
  <c r="AH43" i="23"/>
  <c r="AW36" i="23"/>
  <c r="AX36" i="23"/>
  <c r="BD79" i="23"/>
  <c r="BD7" i="23"/>
  <c r="BD106" i="23"/>
  <c r="K128" i="23"/>
  <c r="G128" i="23"/>
  <c r="H128" i="23"/>
  <c r="I128" i="23" s="1"/>
  <c r="J128" i="23"/>
  <c r="BD188" i="23"/>
  <c r="BD118" i="23"/>
  <c r="AH151" i="23"/>
  <c r="AW189" i="23"/>
  <c r="AX189" i="23"/>
  <c r="AP163" i="21"/>
  <c r="AM163" i="21"/>
  <c r="AV163" i="21"/>
  <c r="BD50" i="23"/>
  <c r="AW169" i="23"/>
  <c r="AX169" i="23"/>
  <c r="BD124" i="23"/>
  <c r="AX157" i="23"/>
  <c r="AW157" i="23"/>
  <c r="AY157" i="23" s="1"/>
  <c r="AH167" i="23"/>
  <c r="BD112" i="23"/>
  <c r="BD29" i="23"/>
  <c r="BD142" i="23"/>
  <c r="L37" i="23"/>
  <c r="BD161" i="23"/>
  <c r="G120" i="23"/>
  <c r="H120" i="23"/>
  <c r="I120" i="23" s="1"/>
  <c r="J120" i="23"/>
  <c r="K120" i="23"/>
  <c r="BD54" i="23"/>
  <c r="AP73" i="21"/>
  <c r="AV73" i="21"/>
  <c r="AM73" i="21"/>
  <c r="BD120" i="23"/>
  <c r="L45" i="23"/>
  <c r="AH75" i="23"/>
  <c r="K43" i="23"/>
  <c r="G43" i="23"/>
  <c r="H43" i="23"/>
  <c r="I43" i="23" s="1"/>
  <c r="J43" i="23"/>
  <c r="N42" i="23"/>
  <c r="Y42" i="23"/>
  <c r="BF42" i="23" s="1"/>
  <c r="Y15" i="23"/>
  <c r="BF15" i="23" s="1"/>
  <c r="N15" i="23"/>
  <c r="N39" i="23"/>
  <c r="Y39" i="23"/>
  <c r="L39" i="24" s="1"/>
  <c r="BD175" i="23"/>
  <c r="BD66" i="23"/>
  <c r="L58" i="23"/>
  <c r="AX77" i="23"/>
  <c r="AW77" i="23"/>
  <c r="B6" i="21"/>
  <c r="C73" i="22"/>
  <c r="O73" i="22"/>
  <c r="D73" i="22"/>
  <c r="Q73" i="22"/>
  <c r="E73" i="22"/>
  <c r="B73" i="22"/>
  <c r="P73" i="22"/>
  <c r="A73" i="22"/>
  <c r="G73" i="22"/>
  <c r="H73" i="22"/>
  <c r="N73" i="22"/>
  <c r="M73" i="22"/>
  <c r="I73" i="22"/>
  <c r="J73" i="22"/>
  <c r="K73" i="22"/>
  <c r="AW71" i="23"/>
  <c r="AX71" i="23"/>
  <c r="BD60" i="23"/>
  <c r="AW76" i="23"/>
  <c r="AX76" i="23"/>
  <c r="N151" i="23"/>
  <c r="Y151" i="23"/>
  <c r="BF151" i="23" s="1"/>
  <c r="AW81" i="23"/>
  <c r="AY81" i="23" s="1"/>
  <c r="AX81" i="23"/>
  <c r="AX90" i="23"/>
  <c r="AW90" i="23"/>
  <c r="AP174" i="21"/>
  <c r="AM174" i="21"/>
  <c r="AV174" i="21"/>
  <c r="AM110" i="21"/>
  <c r="AV110" i="21"/>
  <c r="AP110" i="21"/>
  <c r="BD25" i="23"/>
  <c r="AW21" i="23"/>
  <c r="AX21" i="23"/>
  <c r="N81" i="23"/>
  <c r="Y81" i="23"/>
  <c r="BF81" i="23" s="1"/>
  <c r="L23" i="23"/>
  <c r="BD134" i="23"/>
  <c r="Y21" i="23"/>
  <c r="BF21" i="24" s="1"/>
  <c r="N21" i="23"/>
  <c r="AM30" i="21"/>
  <c r="AP30" i="21"/>
  <c r="AV30" i="21"/>
  <c r="AM27" i="21"/>
  <c r="AV27" i="21"/>
  <c r="AP27" i="21"/>
  <c r="BD186" i="23"/>
  <c r="AH83" i="23"/>
  <c r="AX78" i="23"/>
  <c r="AW78" i="23"/>
  <c r="N41" i="23"/>
  <c r="Y41" i="23"/>
  <c r="AM41" i="21"/>
  <c r="AP41" i="21"/>
  <c r="AV41" i="21"/>
  <c r="AM56" i="21"/>
  <c r="AP56" i="21"/>
  <c r="AV56" i="21"/>
  <c r="BD46" i="23"/>
  <c r="I70" i="22"/>
  <c r="D70" i="22"/>
  <c r="Q70" i="22"/>
  <c r="E70" i="22"/>
  <c r="C70" i="22"/>
  <c r="P70" i="22"/>
  <c r="A70" i="22"/>
  <c r="B70" i="22"/>
  <c r="O70" i="22"/>
  <c r="J70" i="22"/>
  <c r="K70" i="22"/>
  <c r="M70" i="22"/>
  <c r="N70" i="22"/>
  <c r="H70" i="22"/>
  <c r="G70" i="22"/>
  <c r="BD164" i="23"/>
  <c r="BD129" i="23"/>
  <c r="AH85" i="23"/>
  <c r="AW188" i="23"/>
  <c r="AY188" i="23" s="1"/>
  <c r="AX188" i="23"/>
  <c r="AM209" i="21"/>
  <c r="AV209" i="21"/>
  <c r="AP209" i="21"/>
  <c r="AV170" i="21"/>
  <c r="AM170" i="21"/>
  <c r="AP170" i="21"/>
  <c r="BD166" i="23"/>
  <c r="BD49" i="23"/>
  <c r="AM177" i="21"/>
  <c r="AV177" i="21"/>
  <c r="AP177" i="21"/>
  <c r="BD193" i="23"/>
  <c r="AP124" i="21"/>
  <c r="AM124" i="21"/>
  <c r="AV124" i="21"/>
  <c r="BD117" i="23"/>
  <c r="N72" i="23"/>
  <c r="Y72" i="23"/>
  <c r="BF72" i="23" s="1"/>
  <c r="BD33" i="23"/>
  <c r="AH154" i="23"/>
  <c r="BD74" i="23"/>
  <c r="AH122" i="23"/>
  <c r="G111" i="23"/>
  <c r="H111" i="23"/>
  <c r="I111" i="23" s="1"/>
  <c r="K111" i="23"/>
  <c r="J111" i="23"/>
  <c r="AH56" i="23"/>
  <c r="BD84" i="23"/>
  <c r="BD3" i="23"/>
  <c r="AH143" i="23"/>
  <c r="AM89" i="21"/>
  <c r="AV89" i="21"/>
  <c r="AP89" i="21"/>
  <c r="BD127" i="23"/>
  <c r="C103" i="22"/>
  <c r="O103" i="22"/>
  <c r="K103" i="22"/>
  <c r="I103" i="22"/>
  <c r="J103" i="22"/>
  <c r="M103" i="22"/>
  <c r="H103" i="22"/>
  <c r="A103" i="22"/>
  <c r="B103" i="22"/>
  <c r="D103" i="22"/>
  <c r="E103" i="22"/>
  <c r="G103" i="22"/>
  <c r="N103" i="22"/>
  <c r="P103" i="22"/>
  <c r="Q103" i="22"/>
  <c r="AM98" i="21"/>
  <c r="AP98" i="21"/>
  <c r="AV98" i="21"/>
  <c r="AV103" i="21"/>
  <c r="AM103" i="21"/>
  <c r="AP103" i="21"/>
  <c r="BD88" i="23"/>
  <c r="AH76" i="23"/>
  <c r="AX168" i="23"/>
  <c r="AW168" i="23"/>
  <c r="G132" i="23"/>
  <c r="K132" i="23"/>
  <c r="H132" i="23"/>
  <c r="I132" i="23" s="1"/>
  <c r="J132" i="23"/>
  <c r="AP154" i="21"/>
  <c r="AM154" i="21"/>
  <c r="AV154" i="21"/>
  <c r="AX151" i="23"/>
  <c r="AW151" i="23"/>
  <c r="AH157" i="23"/>
  <c r="G141" i="23"/>
  <c r="K141" i="23"/>
  <c r="H141" i="23"/>
  <c r="I141" i="23" s="1"/>
  <c r="J141" i="23"/>
  <c r="AW128" i="23"/>
  <c r="AX128" i="23"/>
  <c r="AY128" i="23" s="1"/>
  <c r="BD42" i="23"/>
  <c r="L68" i="23"/>
  <c r="L51" i="23"/>
  <c r="BD27" i="23"/>
  <c r="L170" i="23"/>
  <c r="AH54" i="23"/>
  <c r="L20" i="23"/>
  <c r="Y137" i="23"/>
  <c r="BF137" i="23" s="1"/>
  <c r="N137" i="23"/>
  <c r="N103" i="23"/>
  <c r="Y103" i="23"/>
  <c r="BF103" i="23" s="1"/>
  <c r="AV133" i="21"/>
  <c r="AM133" i="21"/>
  <c r="AP133" i="21"/>
  <c r="AX179" i="23"/>
  <c r="AW179" i="23"/>
  <c r="AX56" i="23"/>
  <c r="AW56" i="23"/>
  <c r="H88" i="23"/>
  <c r="I88" i="23" s="1"/>
  <c r="G88" i="23"/>
  <c r="J88" i="23"/>
  <c r="K88" i="23"/>
  <c r="H85" i="23"/>
  <c r="I85" i="23" s="1"/>
  <c r="G85" i="23"/>
  <c r="J85" i="23"/>
  <c r="K85" i="23"/>
  <c r="AM193" i="21"/>
  <c r="AP193" i="21"/>
  <c r="AV193" i="21"/>
  <c r="BD119" i="23"/>
  <c r="AX187" i="23"/>
  <c r="AW187" i="23"/>
  <c r="BD149" i="23"/>
  <c r="BD189" i="23"/>
  <c r="N131" i="23"/>
  <c r="Y131" i="23"/>
  <c r="BF131" i="23" s="1"/>
  <c r="BD169" i="23"/>
  <c r="AH112" i="23"/>
  <c r="AH171" i="23"/>
  <c r="AH137" i="23"/>
  <c r="AM164" i="21"/>
  <c r="AV164" i="21"/>
  <c r="AP164" i="21"/>
  <c r="AH120" i="23"/>
  <c r="AX51" i="23"/>
  <c r="AW51" i="23"/>
  <c r="AH13" i="23"/>
  <c r="AW14" i="23"/>
  <c r="AX14" i="23"/>
  <c r="BD9" i="23"/>
  <c r="AM37" i="21"/>
  <c r="AV37" i="21"/>
  <c r="AP37" i="21"/>
  <c r="BD98" i="23"/>
  <c r="BD126" i="23"/>
  <c r="AM81" i="21"/>
  <c r="AP81" i="21"/>
  <c r="AV81" i="21"/>
  <c r="BD59" i="23"/>
  <c r="C65" i="22"/>
  <c r="O65" i="22"/>
  <c r="A65" i="22"/>
  <c r="N65" i="22"/>
  <c r="B65" i="22"/>
  <c r="P65" i="22"/>
  <c r="M65" i="22"/>
  <c r="K65" i="22"/>
  <c r="Q65" i="22"/>
  <c r="J65" i="22"/>
  <c r="E65" i="22"/>
  <c r="G65" i="22"/>
  <c r="H65" i="22"/>
  <c r="I65" i="22"/>
  <c r="D65" i="22"/>
  <c r="AW152" i="23"/>
  <c r="AX152" i="23"/>
  <c r="AH48" i="23"/>
  <c r="BD136" i="23"/>
  <c r="AW43" i="23"/>
  <c r="AX43" i="23"/>
  <c r="BD22" i="23"/>
  <c r="K148" i="23"/>
  <c r="J148" i="23"/>
  <c r="H148" i="23"/>
  <c r="I148" i="23" s="1"/>
  <c r="G148" i="23"/>
  <c r="AH141" i="23"/>
  <c r="AM150" i="21"/>
  <c r="AV150" i="21"/>
  <c r="AP150" i="21"/>
  <c r="AV38" i="21"/>
  <c r="AP38" i="21"/>
  <c r="AM38" i="21"/>
  <c r="AM70" i="21"/>
  <c r="AV70" i="21"/>
  <c r="AP70" i="21"/>
  <c r="AH50" i="23"/>
  <c r="BD44" i="23"/>
  <c r="E222" i="22"/>
  <c r="Q222" i="22"/>
  <c r="G222" i="22"/>
  <c r="H222" i="22"/>
  <c r="D222" i="22"/>
  <c r="P222" i="22"/>
  <c r="B222" i="22"/>
  <c r="C222" i="22"/>
  <c r="I222" i="22"/>
  <c r="A222" i="22"/>
  <c r="J222" i="22"/>
  <c r="K222" i="22"/>
  <c r="M222" i="22"/>
  <c r="N222" i="22"/>
  <c r="O222" i="22"/>
  <c r="H152" i="22"/>
  <c r="D152" i="22"/>
  <c r="Q152" i="22"/>
  <c r="E152" i="22"/>
  <c r="G152" i="22"/>
  <c r="C152" i="22"/>
  <c r="P152" i="22"/>
  <c r="K152" i="22"/>
  <c r="M152" i="22"/>
  <c r="N152" i="22"/>
  <c r="J152" i="22"/>
  <c r="A152" i="22"/>
  <c r="B152" i="22"/>
  <c r="I152" i="22"/>
  <c r="O152" i="22"/>
  <c r="I66" i="22"/>
  <c r="J66" i="22"/>
  <c r="K66" i="22"/>
  <c r="H66" i="22"/>
  <c r="O66" i="22"/>
  <c r="P66" i="22"/>
  <c r="A66" i="22"/>
  <c r="Q66" i="22"/>
  <c r="N66" i="22"/>
  <c r="M66" i="22"/>
  <c r="C66" i="22"/>
  <c r="D66" i="22"/>
  <c r="E66" i="22"/>
  <c r="G66" i="22"/>
  <c r="B66" i="22"/>
  <c r="I98" i="22"/>
  <c r="H98" i="22"/>
  <c r="K98" i="22"/>
  <c r="M98" i="22"/>
  <c r="N98" i="22"/>
  <c r="J98" i="22"/>
  <c r="O98" i="22"/>
  <c r="P98" i="22"/>
  <c r="Q98" i="22"/>
  <c r="G98" i="22"/>
  <c r="A98" i="22"/>
  <c r="B98" i="22"/>
  <c r="C98" i="22"/>
  <c r="D98" i="22"/>
  <c r="E98" i="22"/>
  <c r="H156" i="22"/>
  <c r="M156" i="22"/>
  <c r="A156" i="22"/>
  <c r="N156" i="22"/>
  <c r="B156" i="22"/>
  <c r="O156" i="22"/>
  <c r="K156" i="22"/>
  <c r="E156" i="22"/>
  <c r="G156" i="22"/>
  <c r="I156" i="22"/>
  <c r="D156" i="22"/>
  <c r="C156" i="22"/>
  <c r="J156" i="22"/>
  <c r="P156" i="22"/>
  <c r="Q156" i="22"/>
  <c r="I64" i="22"/>
  <c r="E64" i="22"/>
  <c r="G64" i="22"/>
  <c r="D64" i="22"/>
  <c r="Q64" i="22"/>
  <c r="M64" i="22"/>
  <c r="N64" i="22"/>
  <c r="O64" i="22"/>
  <c r="K64" i="22"/>
  <c r="A64" i="22"/>
  <c r="B64" i="22"/>
  <c r="C64" i="22"/>
  <c r="H64" i="22"/>
  <c r="J64" i="22"/>
  <c r="P64" i="22"/>
  <c r="E204" i="22"/>
  <c r="Q204" i="22"/>
  <c r="G204" i="22"/>
  <c r="H204" i="22"/>
  <c r="D204" i="22"/>
  <c r="P204" i="22"/>
  <c r="I204" i="22"/>
  <c r="J204" i="22"/>
  <c r="K204" i="22"/>
  <c r="C204" i="22"/>
  <c r="A204" i="22"/>
  <c r="B204" i="22"/>
  <c r="M204" i="22"/>
  <c r="N204" i="22"/>
  <c r="O204" i="22"/>
  <c r="I68" i="22"/>
  <c r="A68" i="22"/>
  <c r="N68" i="22"/>
  <c r="B68" i="22"/>
  <c r="O68" i="22"/>
  <c r="M68" i="22"/>
  <c r="Q68" i="22"/>
  <c r="C68" i="22"/>
  <c r="P68" i="22"/>
  <c r="J68" i="22"/>
  <c r="K68" i="22"/>
  <c r="H68" i="22"/>
  <c r="D68" i="22"/>
  <c r="E68" i="22"/>
  <c r="G68" i="22"/>
  <c r="AP162" i="21"/>
  <c r="AV162" i="21"/>
  <c r="AM162" i="21"/>
  <c r="BD146" i="23"/>
  <c r="L146" i="23"/>
  <c r="BD101" i="23"/>
  <c r="AV166" i="21"/>
  <c r="AP166" i="21"/>
  <c r="AM166" i="21"/>
  <c r="AW144" i="23"/>
  <c r="AX144" i="23"/>
  <c r="AP152" i="21"/>
  <c r="AV152" i="21"/>
  <c r="AM152" i="21"/>
  <c r="AP132" i="21"/>
  <c r="AV132" i="21"/>
  <c r="AM132" i="21"/>
  <c r="AV69" i="21"/>
  <c r="AM69" i="21"/>
  <c r="AP69" i="21"/>
  <c r="BD171" i="23"/>
  <c r="G160" i="23"/>
  <c r="H160" i="23"/>
  <c r="I160" i="23" s="1"/>
  <c r="J160" i="23"/>
  <c r="K160" i="23"/>
  <c r="AW143" i="23"/>
  <c r="AX143" i="23"/>
  <c r="BD95" i="23"/>
  <c r="AW133" i="23"/>
  <c r="AX133" i="23"/>
  <c r="AH161" i="23"/>
  <c r="AW192" i="23"/>
  <c r="AX192" i="23"/>
  <c r="AV51" i="21"/>
  <c r="AP51" i="21"/>
  <c r="AM51" i="21"/>
  <c r="BD125" i="23"/>
  <c r="AP142" i="21"/>
  <c r="AV142" i="21"/>
  <c r="AM142" i="21"/>
  <c r="J147" i="23"/>
  <c r="K147" i="23"/>
  <c r="G147" i="23"/>
  <c r="H147" i="23"/>
  <c r="I147" i="23" s="1"/>
  <c r="AH95" i="23"/>
  <c r="AM135" i="21"/>
  <c r="AP135" i="21"/>
  <c r="AV135" i="21"/>
  <c r="Y38" i="23"/>
  <c r="BF38" i="23" s="1"/>
  <c r="N38" i="23"/>
  <c r="BD87" i="23"/>
  <c r="AX83" i="23"/>
  <c r="AW83" i="23"/>
  <c r="AP25" i="21"/>
  <c r="AV25" i="21"/>
  <c r="AM25" i="21"/>
  <c r="AW3" i="23"/>
  <c r="AX3" i="23"/>
  <c r="AH8" i="23"/>
  <c r="AX15" i="23"/>
  <c r="AW15" i="23"/>
  <c r="AX122" i="23"/>
  <c r="AW122" i="23"/>
  <c r="Y190" i="23"/>
  <c r="N190" i="23"/>
  <c r="BD108" i="23"/>
  <c r="Y143" i="23"/>
  <c r="BF143" i="23" s="1"/>
  <c r="N143" i="23"/>
  <c r="AM79" i="21"/>
  <c r="AV79" i="21"/>
  <c r="AP79" i="21"/>
  <c r="AP112" i="21"/>
  <c r="AV112" i="21"/>
  <c r="AM112" i="21"/>
  <c r="Y178" i="23"/>
  <c r="BF178" i="23" s="1"/>
  <c r="N178" i="23"/>
  <c r="AW88" i="23"/>
  <c r="AX88" i="23"/>
  <c r="N14" i="23"/>
  <c r="Y14" i="23"/>
  <c r="BD184" i="23"/>
  <c r="J182" i="23"/>
  <c r="K182" i="23"/>
  <c r="H182" i="23"/>
  <c r="I182" i="23" s="1"/>
  <c r="G182" i="23"/>
  <c r="Y112" i="23"/>
  <c r="BF112" i="23" s="1"/>
  <c r="N112" i="23"/>
  <c r="AM44" i="21"/>
  <c r="AP44" i="21"/>
  <c r="AV44" i="21"/>
  <c r="AW158" i="23"/>
  <c r="AX158" i="23"/>
  <c r="AH148" i="23"/>
  <c r="BD20" i="23"/>
  <c r="AM48" i="21"/>
  <c r="AV48" i="21"/>
  <c r="AP48" i="21"/>
  <c r="AW26" i="23"/>
  <c r="AX26" i="23"/>
  <c r="N180" i="23"/>
  <c r="Y180" i="23"/>
  <c r="AM189" i="21"/>
  <c r="AP189" i="21"/>
  <c r="AV189" i="21"/>
  <c r="AH130" i="23"/>
  <c r="K93" i="23"/>
  <c r="G93" i="23"/>
  <c r="H93" i="23"/>
  <c r="I93" i="23" s="1"/>
  <c r="J93" i="23"/>
  <c r="AM100" i="21"/>
  <c r="AV100" i="21"/>
  <c r="AP100" i="21"/>
  <c r="Y5" i="23"/>
  <c r="BF5" i="23" s="1"/>
  <c r="N5" i="23"/>
  <c r="I80" i="22"/>
  <c r="M80" i="22"/>
  <c r="J80" i="22"/>
  <c r="N80" i="22"/>
  <c r="O80" i="22"/>
  <c r="A80" i="22"/>
  <c r="P80" i="22"/>
  <c r="K80" i="22"/>
  <c r="D80" i="22"/>
  <c r="E80" i="22"/>
  <c r="G80" i="22"/>
  <c r="H80" i="22"/>
  <c r="C80" i="22"/>
  <c r="B80" i="22"/>
  <c r="Q80" i="22"/>
  <c r="AW140" i="23"/>
  <c r="AX140" i="23"/>
  <c r="AH146" i="23"/>
  <c r="J150" i="23"/>
  <c r="K150" i="23"/>
  <c r="H150" i="23"/>
  <c r="I150" i="23" s="1"/>
  <c r="G150" i="23"/>
  <c r="G66" i="23"/>
  <c r="I66" i="23"/>
  <c r="J66" i="23"/>
  <c r="K66" i="23"/>
  <c r="H66" i="23"/>
  <c r="N96" i="23"/>
  <c r="Y96" i="23"/>
  <c r="BF96" i="23" s="1"/>
  <c r="AH88" i="23"/>
  <c r="BD62" i="23"/>
  <c r="AM199" i="21"/>
  <c r="AP199" i="21"/>
  <c r="AV199" i="21"/>
  <c r="AM210" i="21"/>
  <c r="AV210" i="21"/>
  <c r="AP210" i="21"/>
  <c r="AH192" i="23"/>
  <c r="AM159" i="21"/>
  <c r="AV159" i="21"/>
  <c r="AP159" i="21"/>
  <c r="AX137" i="23"/>
  <c r="AW137" i="23"/>
  <c r="AV211" i="21"/>
  <c r="AP211" i="21"/>
  <c r="AM211" i="21"/>
  <c r="AV191" i="21"/>
  <c r="AP191" i="21"/>
  <c r="AM191" i="21"/>
  <c r="AM200" i="21"/>
  <c r="AV200" i="21"/>
  <c r="AP200" i="21"/>
  <c r="BD96" i="23"/>
  <c r="J161" i="23"/>
  <c r="H161" i="23"/>
  <c r="I161" i="23" s="1"/>
  <c r="K161" i="23"/>
  <c r="G161" i="23"/>
  <c r="BD70" i="23"/>
  <c r="AV214" i="21"/>
  <c r="AP214" i="21"/>
  <c r="AM214" i="21"/>
  <c r="AP179" i="21"/>
  <c r="AM179" i="21"/>
  <c r="AV179" i="21"/>
  <c r="AM55" i="21"/>
  <c r="AP55" i="21"/>
  <c r="AV55" i="21"/>
  <c r="Y183" i="23"/>
  <c r="BF183" i="23" s="1"/>
  <c r="N183" i="23"/>
  <c r="BD51" i="23"/>
  <c r="AH20" i="23"/>
  <c r="L106" i="23"/>
  <c r="AW69" i="23"/>
  <c r="AX69" i="23"/>
  <c r="Y11" i="23"/>
  <c r="BF11" i="23" s="1"/>
  <c r="N11" i="23"/>
  <c r="I34" i="22"/>
  <c r="J34" i="22"/>
  <c r="K34" i="22"/>
  <c r="E34" i="22"/>
  <c r="G34" i="22"/>
  <c r="H34" i="22"/>
  <c r="D34" i="22"/>
  <c r="O34" i="22"/>
  <c r="P34" i="22"/>
  <c r="Q34" i="22"/>
  <c r="N34" i="22"/>
  <c r="M34" i="22"/>
  <c r="A34" i="22"/>
  <c r="B34" i="22"/>
  <c r="C34" i="22"/>
  <c r="AH147" i="23"/>
  <c r="AW66" i="23"/>
  <c r="AX66" i="23"/>
  <c r="BD77" i="23"/>
  <c r="BD191" i="23"/>
  <c r="N78" i="23"/>
  <c r="Y78" i="23"/>
  <c r="BF78" i="23" s="1"/>
  <c r="L36" i="23"/>
  <c r="AH26" i="23"/>
  <c r="AM60" i="21"/>
  <c r="AV60" i="21"/>
  <c r="AP60" i="21"/>
  <c r="AW38" i="23"/>
  <c r="AX38" i="23"/>
  <c r="L64" i="23"/>
  <c r="Y139" i="23"/>
  <c r="BF139" i="23" s="1"/>
  <c r="N139" i="23"/>
  <c r="AP190" i="21"/>
  <c r="AM190" i="21"/>
  <c r="AV190" i="21"/>
  <c r="AH182" i="23"/>
  <c r="BD65" i="23"/>
  <c r="BD32" i="23"/>
  <c r="AP180" i="21"/>
  <c r="AM180" i="21"/>
  <c r="AV180" i="21"/>
  <c r="L189" i="23"/>
  <c r="N63" i="23"/>
  <c r="Y63" i="23"/>
  <c r="AI63" i="24" s="1"/>
  <c r="AM63" i="21"/>
  <c r="AP63" i="21"/>
  <c r="AV63" i="21"/>
  <c r="AW8" i="23"/>
  <c r="AX8" i="23"/>
  <c r="AX5" i="23"/>
  <c r="AW5" i="23"/>
  <c r="AH59" i="23"/>
  <c r="AV58" i="21"/>
  <c r="AP58" i="21"/>
  <c r="AM58" i="21"/>
  <c r="BD36" i="23"/>
  <c r="AH93" i="23"/>
  <c r="BD78" i="23"/>
  <c r="AW34" i="23"/>
  <c r="AX34" i="23"/>
  <c r="AW101" i="23"/>
  <c r="AX101" i="23"/>
  <c r="N125" i="23"/>
  <c r="Y125" i="23"/>
  <c r="AI125" i="24" s="1"/>
  <c r="BD131" i="23"/>
  <c r="BD92" i="23"/>
  <c r="AW148" i="23"/>
  <c r="AX148" i="23"/>
  <c r="N176" i="23"/>
  <c r="Y176" i="23"/>
  <c r="BF176" i="23" s="1"/>
  <c r="K187" i="23"/>
  <c r="J187" i="23"/>
  <c r="G187" i="23"/>
  <c r="H187" i="23"/>
  <c r="I187" i="23" s="1"/>
  <c r="BD157" i="23"/>
  <c r="AX102" i="23"/>
  <c r="AW102" i="23"/>
  <c r="AX112" i="23"/>
  <c r="AW112" i="23"/>
  <c r="Y158" i="23"/>
  <c r="BF158" i="23" s="1"/>
  <c r="N158" i="23"/>
  <c r="Y57" i="23"/>
  <c r="N57" i="23"/>
  <c r="L133" i="23"/>
  <c r="BD176" i="23"/>
  <c r="AW113" i="23"/>
  <c r="AX113" i="23"/>
  <c r="K105" i="23"/>
  <c r="J105" i="23"/>
  <c r="H105" i="23"/>
  <c r="I105" i="23" s="1"/>
  <c r="G105" i="23"/>
  <c r="H8" i="23"/>
  <c r="I8" i="23" s="1"/>
  <c r="J8" i="23"/>
  <c r="K8" i="23"/>
  <c r="G8" i="23"/>
  <c r="L31" i="23"/>
  <c r="L101" i="23"/>
  <c r="AH41" i="23"/>
  <c r="AX67" i="23"/>
  <c r="AW67" i="23"/>
  <c r="BD183" i="23"/>
  <c r="AW59" i="23"/>
  <c r="AX59" i="23"/>
  <c r="BD76" i="23"/>
  <c r="AX4" i="23"/>
  <c r="AW4" i="23"/>
  <c r="BD90" i="23"/>
  <c r="BD152" i="23"/>
  <c r="BD38" i="23"/>
  <c r="AH111" i="23"/>
  <c r="BD39" i="23"/>
  <c r="BD109" i="23"/>
  <c r="AM111" i="21"/>
  <c r="AP111" i="21"/>
  <c r="AV111" i="21"/>
  <c r="J157" i="23"/>
  <c r="K157" i="23"/>
  <c r="H157" i="23"/>
  <c r="I157" i="23" s="1"/>
  <c r="G157" i="23"/>
  <c r="BD132" i="23"/>
  <c r="AW37" i="23"/>
  <c r="AX37" i="23"/>
  <c r="AX16" i="23"/>
  <c r="AW16" i="23"/>
  <c r="AW121" i="23"/>
  <c r="AX121" i="23"/>
  <c r="G130" i="23"/>
  <c r="H130" i="23"/>
  <c r="I130" i="23" s="1"/>
  <c r="J130" i="23"/>
  <c r="K130" i="23"/>
  <c r="AX19" i="23"/>
  <c r="AW19" i="23"/>
  <c r="I62" i="22"/>
  <c r="B62" i="22"/>
  <c r="O62" i="22"/>
  <c r="C62" i="22"/>
  <c r="P62" i="22"/>
  <c r="D62" i="22"/>
  <c r="Q62" i="22"/>
  <c r="A62" i="22"/>
  <c r="N62" i="22"/>
  <c r="H62" i="22"/>
  <c r="J62" i="22"/>
  <c r="K62" i="22"/>
  <c r="G62" i="22"/>
  <c r="E62" i="22"/>
  <c r="M62" i="22"/>
  <c r="AH187" i="23"/>
  <c r="AM168" i="21"/>
  <c r="AP168" i="21"/>
  <c r="AV168" i="21"/>
  <c r="AM136" i="21"/>
  <c r="AP136" i="21"/>
  <c r="AV136" i="21"/>
  <c r="BD114" i="23"/>
  <c r="AH150" i="23"/>
  <c r="L35" i="23"/>
  <c r="AW171" i="23"/>
  <c r="AX171" i="23"/>
  <c r="AM140" i="21"/>
  <c r="AV140" i="21"/>
  <c r="AP140" i="21"/>
  <c r="BD148" i="23"/>
  <c r="BD190" i="23"/>
  <c r="BD40" i="23"/>
  <c r="AM165" i="21"/>
  <c r="AV165" i="21"/>
  <c r="AP165" i="21"/>
  <c r="AW178" i="23"/>
  <c r="AX178" i="23"/>
  <c r="L121" i="23"/>
  <c r="G114" i="23"/>
  <c r="H114" i="23"/>
  <c r="I114" i="23" s="1"/>
  <c r="K114" i="23"/>
  <c r="J114" i="23"/>
  <c r="N163" i="23"/>
  <c r="Y163" i="23"/>
  <c r="BF163" i="23" s="1"/>
  <c r="AH102" i="23"/>
  <c r="AW116" i="23"/>
  <c r="AX116" i="23"/>
  <c r="BD30" i="23"/>
  <c r="H28" i="23"/>
  <c r="I28" i="23" s="1"/>
  <c r="J28" i="23"/>
  <c r="G28" i="23"/>
  <c r="K28" i="23"/>
  <c r="AX33" i="23"/>
  <c r="AW33" i="23"/>
  <c r="K126" i="23"/>
  <c r="J126" i="23"/>
  <c r="H126" i="23"/>
  <c r="I126" i="23" s="1"/>
  <c r="G126" i="23"/>
  <c r="BD52" i="23"/>
  <c r="BD83" i="23"/>
  <c r="BD162" i="23"/>
  <c r="BD61" i="23"/>
  <c r="BD97" i="23"/>
  <c r="BD86" i="23"/>
  <c r="BD12" i="23"/>
  <c r="BD55" i="23"/>
  <c r="BD93" i="23"/>
  <c r="BD104" i="23"/>
  <c r="BD53" i="23"/>
  <c r="I54" i="22"/>
  <c r="M54" i="22"/>
  <c r="A54" i="22"/>
  <c r="N54" i="22"/>
  <c r="B54" i="22"/>
  <c r="O54" i="22"/>
  <c r="K54" i="22"/>
  <c r="C54" i="22"/>
  <c r="Q54" i="22"/>
  <c r="P54" i="22"/>
  <c r="E54" i="22"/>
  <c r="G54" i="22"/>
  <c r="H54" i="22"/>
  <c r="J54" i="22"/>
  <c r="D54" i="22"/>
  <c r="BD123" i="23"/>
  <c r="AX99" i="23"/>
  <c r="AW99" i="23"/>
  <c r="BD99" i="23"/>
  <c r="G54" i="23"/>
  <c r="H54" i="23"/>
  <c r="I54" i="23" s="1"/>
  <c r="K54" i="23"/>
  <c r="J54" i="23"/>
  <c r="AH62" i="23"/>
  <c r="BD107" i="23"/>
  <c r="BD72" i="23"/>
  <c r="E160" i="22"/>
  <c r="Q160" i="22"/>
  <c r="G160" i="22"/>
  <c r="H160" i="22"/>
  <c r="D160" i="22"/>
  <c r="P160" i="22"/>
  <c r="A160" i="22"/>
  <c r="B160" i="22"/>
  <c r="O160" i="22"/>
  <c r="N160" i="22"/>
  <c r="C160" i="22"/>
  <c r="I160" i="22"/>
  <c r="J160" i="22"/>
  <c r="K160" i="22"/>
  <c r="M160" i="22"/>
  <c r="AP97" i="21"/>
  <c r="AV97" i="21"/>
  <c r="AM97" i="21"/>
  <c r="BD94" i="23"/>
  <c r="AW63" i="23"/>
  <c r="AX63" i="23"/>
  <c r="AM156" i="21"/>
  <c r="AP156" i="21"/>
  <c r="AV156" i="21"/>
  <c r="AW134" i="23"/>
  <c r="AX134" i="23"/>
  <c r="AY134" i="23" s="1"/>
  <c r="AX31" i="23"/>
  <c r="AW31" i="23"/>
  <c r="AV173" i="21"/>
  <c r="AP173" i="21"/>
  <c r="AM173" i="21"/>
  <c r="AP67" i="21"/>
  <c r="AV67" i="21"/>
  <c r="AM67" i="21"/>
  <c r="AW45" i="23"/>
  <c r="AX45" i="23"/>
  <c r="AW41" i="23"/>
  <c r="AX41" i="23"/>
  <c r="BD154" i="23"/>
  <c r="AP143" i="21"/>
  <c r="AM143" i="21"/>
  <c r="AV143" i="21"/>
  <c r="AW111" i="23"/>
  <c r="AX111" i="23"/>
  <c r="BD85" i="23"/>
  <c r="K171" i="22"/>
  <c r="A171" i="22"/>
  <c r="M171" i="22"/>
  <c r="B171" i="22"/>
  <c r="N171" i="22"/>
  <c r="J171" i="22"/>
  <c r="C171" i="22"/>
  <c r="D171" i="22"/>
  <c r="E171" i="22"/>
  <c r="Q171" i="22"/>
  <c r="G171" i="22"/>
  <c r="H171" i="22"/>
  <c r="I171" i="22"/>
  <c r="O171" i="22"/>
  <c r="P171" i="22"/>
  <c r="K207" i="22"/>
  <c r="A207" i="22"/>
  <c r="M207" i="22"/>
  <c r="B207" i="22"/>
  <c r="N207" i="22"/>
  <c r="J207" i="22"/>
  <c r="O207" i="22"/>
  <c r="P207" i="22"/>
  <c r="Q207" i="22"/>
  <c r="I207" i="22"/>
  <c r="E207" i="22"/>
  <c r="G207" i="22"/>
  <c r="H207" i="22"/>
  <c r="D207" i="22"/>
  <c r="C207" i="22"/>
  <c r="I56" i="22"/>
  <c r="C56" i="22"/>
  <c r="P56" i="22"/>
  <c r="D56" i="22"/>
  <c r="Q56" i="22"/>
  <c r="E56" i="22"/>
  <c r="B56" i="22"/>
  <c r="O56" i="22"/>
  <c r="G56" i="22"/>
  <c r="H56" i="22"/>
  <c r="J56" i="22"/>
  <c r="A56" i="22"/>
  <c r="K56" i="22"/>
  <c r="M56" i="22"/>
  <c r="N56" i="22"/>
  <c r="BD130" i="23"/>
  <c r="AX47" i="23"/>
  <c r="AW47" i="23"/>
  <c r="AX62" i="23"/>
  <c r="AW62" i="23"/>
  <c r="AW95" i="23"/>
  <c r="AY95" i="23" s="1"/>
  <c r="AX95" i="23"/>
  <c r="AP92" i="21"/>
  <c r="AV92" i="21"/>
  <c r="AM92" i="21"/>
  <c r="AW160" i="23"/>
  <c r="AX160" i="23"/>
  <c r="L155" i="23"/>
  <c r="K154" i="23"/>
  <c r="J154" i="23"/>
  <c r="G154" i="23"/>
  <c r="H154" i="23"/>
  <c r="I154" i="23" s="1"/>
  <c r="H50" i="23"/>
  <c r="I50" i="23" s="1"/>
  <c r="G50" i="23"/>
  <c r="J50" i="23"/>
  <c r="K50" i="23"/>
  <c r="AM36" i="21"/>
  <c r="AP36" i="21"/>
  <c r="AV36" i="21"/>
  <c r="AX120" i="23"/>
  <c r="AW120" i="23"/>
  <c r="AX156" i="23"/>
  <c r="AW156" i="23"/>
  <c r="AV91" i="21"/>
  <c r="AM91" i="21"/>
  <c r="AP91" i="21"/>
  <c r="N16" i="23"/>
  <c r="Y16" i="23"/>
  <c r="BF16" i="23" s="1"/>
  <c r="B9" i="21"/>
  <c r="AH14" i="23"/>
  <c r="I50" i="22"/>
  <c r="D50" i="22"/>
  <c r="Q50" i="22"/>
  <c r="E50" i="22"/>
  <c r="G50" i="22"/>
  <c r="C50" i="22"/>
  <c r="P50" i="22"/>
  <c r="A50" i="22"/>
  <c r="B50" i="22"/>
  <c r="H50" i="22"/>
  <c r="O50" i="22"/>
  <c r="N50" i="22"/>
  <c r="J50" i="22"/>
  <c r="K50" i="22"/>
  <c r="M50" i="22"/>
  <c r="AP31" i="21"/>
  <c r="AV31" i="21"/>
  <c r="AM31" i="21"/>
  <c r="BD15" i="23"/>
  <c r="AM121" i="21"/>
  <c r="AP121" i="21"/>
  <c r="AV121" i="21"/>
  <c r="AV99" i="21"/>
  <c r="AP99" i="21"/>
  <c r="AM99" i="21"/>
  <c r="BD68" i="23"/>
  <c r="J62" i="23"/>
  <c r="K62" i="23"/>
  <c r="G62" i="23"/>
  <c r="H62" i="23"/>
  <c r="I62" i="23" s="1"/>
  <c r="BD194" i="23"/>
  <c r="AP93" i="21"/>
  <c r="AM93" i="21"/>
  <c r="AV93" i="21"/>
  <c r="Y162" i="23"/>
  <c r="N162" i="23"/>
  <c r="BD105" i="23"/>
  <c r="AW89" i="23"/>
  <c r="AX89" i="23"/>
  <c r="AW22" i="23"/>
  <c r="AX22" i="23"/>
  <c r="AY22" i="23" s="1"/>
  <c r="AH90" i="23"/>
  <c r="AP42" i="21"/>
  <c r="AV42" i="21"/>
  <c r="AM42" i="21"/>
  <c r="AG3" i="23"/>
  <c r="AH3" i="23"/>
  <c r="AX13" i="23"/>
  <c r="AW13" i="23"/>
  <c r="AJ2" i="23"/>
  <c r="AZ2" i="23"/>
  <c r="BH2" i="23"/>
  <c r="AW48" i="23"/>
  <c r="AX48" i="23"/>
  <c r="AW6" i="23"/>
  <c r="AX6" i="23"/>
  <c r="K197" i="22"/>
  <c r="A197" i="22"/>
  <c r="M197" i="22"/>
  <c r="B197" i="22"/>
  <c r="N197" i="22"/>
  <c r="J197" i="22"/>
  <c r="O197" i="22"/>
  <c r="P197" i="22"/>
  <c r="Q197" i="22"/>
  <c r="I197" i="22"/>
  <c r="C197" i="22"/>
  <c r="D197" i="22"/>
  <c r="E197" i="22"/>
  <c r="G197" i="22"/>
  <c r="H197" i="22"/>
  <c r="C91" i="22"/>
  <c r="O91" i="22"/>
  <c r="A91" i="22"/>
  <c r="N91" i="22"/>
  <c r="D91" i="22"/>
  <c r="E91" i="22"/>
  <c r="G91" i="22"/>
  <c r="B91" i="22"/>
  <c r="Q91" i="22"/>
  <c r="M91" i="22"/>
  <c r="P91" i="22"/>
  <c r="K91" i="22"/>
  <c r="H91" i="22"/>
  <c r="I91" i="22"/>
  <c r="J91" i="22"/>
  <c r="L169" i="23"/>
  <c r="AW114" i="23"/>
  <c r="AX114" i="23"/>
  <c r="AP123" i="21"/>
  <c r="AV123" i="21"/>
  <c r="AM123" i="21"/>
  <c r="L60" i="23"/>
  <c r="AW130" i="23"/>
  <c r="AX130" i="23"/>
  <c r="AM50" i="21"/>
  <c r="AV50" i="21"/>
  <c r="AP50" i="21"/>
  <c r="AH65" i="23"/>
  <c r="AM84" i="21"/>
  <c r="AP84" i="21"/>
  <c r="AV84" i="21"/>
  <c r="AX177" i="23"/>
  <c r="AW177" i="23"/>
  <c r="AX118" i="23"/>
  <c r="AW118" i="23"/>
  <c r="BD138" i="23"/>
  <c r="K140" i="23"/>
  <c r="J140" i="23"/>
  <c r="G140" i="23"/>
  <c r="H140" i="23"/>
  <c r="I140" i="23" s="1"/>
  <c r="L140" i="23" s="1"/>
  <c r="N173" i="23"/>
  <c r="Y173" i="23"/>
  <c r="BF173" i="23" s="1"/>
  <c r="AM155" i="21"/>
  <c r="AV155" i="21"/>
  <c r="AP155" i="21"/>
  <c r="AX70" i="23"/>
  <c r="AW70" i="23"/>
  <c r="AY70" i="23" s="1"/>
  <c r="BD103" i="23"/>
  <c r="AM138" i="21"/>
  <c r="AP138" i="21"/>
  <c r="AV138" i="21"/>
  <c r="AP134" i="21"/>
  <c r="AM134" i="21"/>
  <c r="AV134" i="21"/>
  <c r="AM182" i="21"/>
  <c r="AV182" i="21"/>
  <c r="AP182" i="21"/>
  <c r="BD160" i="23"/>
  <c r="BD150" i="23"/>
  <c r="BD73" i="23"/>
  <c r="AH105" i="23"/>
  <c r="AM105" i="21"/>
  <c r="AV105" i="21"/>
  <c r="AP105" i="21"/>
  <c r="AW9" i="23"/>
  <c r="AX9" i="23"/>
  <c r="AP144" i="21"/>
  <c r="AM144" i="21"/>
  <c r="AV144" i="21"/>
  <c r="BD122" i="23"/>
  <c r="AH81" i="23"/>
  <c r="BD100" i="23"/>
  <c r="AM88" i="21"/>
  <c r="AP88" i="21"/>
  <c r="AV88" i="21"/>
  <c r="BD182" i="23"/>
  <c r="C49" i="22"/>
  <c r="O49" i="22"/>
  <c r="D49" i="22"/>
  <c r="I49" i="22"/>
  <c r="J49" i="22"/>
  <c r="K49" i="22"/>
  <c r="H49" i="22"/>
  <c r="A49" i="22"/>
  <c r="Q49" i="22"/>
  <c r="B49" i="22"/>
  <c r="E49" i="22"/>
  <c r="G49" i="22"/>
  <c r="M49" i="22"/>
  <c r="P49" i="22"/>
  <c r="N49" i="22"/>
  <c r="BD18" i="23"/>
  <c r="BD82" i="23"/>
  <c r="AH168" i="23"/>
  <c r="BD153" i="23"/>
  <c r="G32" i="23"/>
  <c r="H32" i="23"/>
  <c r="I32" i="23" s="1"/>
  <c r="K32" i="23"/>
  <c r="J32" i="23"/>
  <c r="BD139" i="23"/>
  <c r="AX75" i="23"/>
  <c r="AW75" i="23"/>
  <c r="AH132" i="23"/>
  <c r="BD64" i="23"/>
  <c r="AM65" i="21"/>
  <c r="AP65" i="21"/>
  <c r="AV65" i="21"/>
  <c r="BD135" i="23"/>
  <c r="BD159" i="23"/>
  <c r="AP53" i="21"/>
  <c r="AV53" i="21"/>
  <c r="AM53" i="21"/>
  <c r="G69" i="23"/>
  <c r="H69" i="23"/>
  <c r="I69" i="23" s="1"/>
  <c r="J69" i="23"/>
  <c r="K69" i="23"/>
  <c r="J3" i="23"/>
  <c r="K3" i="23"/>
  <c r="H3" i="23"/>
  <c r="I3" i="23" s="1"/>
  <c r="G3" i="23"/>
  <c r="AM35" i="21"/>
  <c r="AP35" i="21"/>
  <c r="AV35" i="21"/>
  <c r="BD26" i="23"/>
  <c r="AW167" i="23"/>
  <c r="AX167" i="23"/>
  <c r="L67" i="23"/>
  <c r="BD19" i="23"/>
  <c r="AP28" i="21"/>
  <c r="AV28" i="21"/>
  <c r="AM28" i="21"/>
  <c r="BD80" i="23"/>
  <c r="BD165" i="23"/>
  <c r="L69" i="23" l="1"/>
  <c r="AY9" i="23"/>
  <c r="AY160" i="23"/>
  <c r="AY19" i="23"/>
  <c r="AY140" i="23"/>
  <c r="AJ5" i="23"/>
  <c r="AS21" i="24"/>
  <c r="BC177" i="24"/>
  <c r="AS47" i="24"/>
  <c r="BP158" i="24"/>
  <c r="AS102" i="24"/>
  <c r="BC85" i="24"/>
  <c r="BC128" i="24"/>
  <c r="BC3" i="24"/>
  <c r="I130" i="24"/>
  <c r="AY253" i="23"/>
  <c r="AY309" i="23"/>
  <c r="AY21" i="23"/>
  <c r="AY36" i="23"/>
  <c r="AF61" i="24"/>
  <c r="AF8" i="24"/>
  <c r="BC187" i="24"/>
  <c r="Y241" i="23"/>
  <c r="BF241" i="23" s="1"/>
  <c r="Y246" i="23"/>
  <c r="BF246" i="23" s="1"/>
  <c r="AS242" i="24"/>
  <c r="AS326" i="24"/>
  <c r="BP251" i="24"/>
  <c r="V349" i="24"/>
  <c r="L289" i="24"/>
  <c r="AS234" i="24"/>
  <c r="V211" i="24"/>
  <c r="V317" i="24"/>
  <c r="BP337" i="24"/>
  <c r="L159" i="23"/>
  <c r="AS308" i="24"/>
  <c r="I49" i="24"/>
  <c r="K49" i="24" s="1"/>
  <c r="AY352" i="23"/>
  <c r="N293" i="23"/>
  <c r="Y293" i="23"/>
  <c r="AY75" i="23"/>
  <c r="AY112" i="23"/>
  <c r="AY34" i="23"/>
  <c r="AF128" i="24"/>
  <c r="AF28" i="24"/>
  <c r="L25" i="23"/>
  <c r="V197" i="24"/>
  <c r="V255" i="24"/>
  <c r="I47" i="24"/>
  <c r="K47" i="24" s="1"/>
  <c r="V244" i="24"/>
  <c r="AH357" i="24"/>
  <c r="AI357" i="24"/>
  <c r="AY152" i="23"/>
  <c r="AY51" i="23"/>
  <c r="AY179" i="23"/>
  <c r="L175" i="23"/>
  <c r="BP5" i="24"/>
  <c r="I53" i="24"/>
  <c r="AS5" i="24"/>
  <c r="BP102" i="24"/>
  <c r="AF158" i="24"/>
  <c r="AF122" i="24"/>
  <c r="BP354" i="24"/>
  <c r="AI261" i="24"/>
  <c r="BP323" i="24"/>
  <c r="AY284" i="23"/>
  <c r="AY333" i="23"/>
  <c r="BP202" i="24"/>
  <c r="V260" i="24"/>
  <c r="I70" i="24"/>
  <c r="K70" i="24" s="1"/>
  <c r="L3" i="23"/>
  <c r="AY132" i="23"/>
  <c r="BC148" i="24"/>
  <c r="V339" i="24"/>
  <c r="AS202" i="24"/>
  <c r="BP260" i="24"/>
  <c r="AS344" i="24"/>
  <c r="V199" i="24"/>
  <c r="V308" i="24"/>
  <c r="BP289" i="24"/>
  <c r="AY195" i="23"/>
  <c r="AS350" i="24"/>
  <c r="AY362" i="23"/>
  <c r="AS206" i="24"/>
  <c r="V235" i="24"/>
  <c r="V251" i="24"/>
  <c r="AY325" i="23"/>
  <c r="BP259" i="24"/>
  <c r="AY215" i="23"/>
  <c r="Y82" i="23"/>
  <c r="N82" i="23"/>
  <c r="AF157" i="24"/>
  <c r="BC43" i="24"/>
  <c r="BC164" i="24"/>
  <c r="BE164" i="24" s="1"/>
  <c r="Y233" i="23"/>
  <c r="N233" i="23"/>
  <c r="AY62" i="23"/>
  <c r="L54" i="23"/>
  <c r="I27" i="24"/>
  <c r="L74" i="23"/>
  <c r="I157" i="24"/>
  <c r="AF150" i="24"/>
  <c r="I54" i="24"/>
  <c r="I93" i="24"/>
  <c r="BP211" i="24"/>
  <c r="V282" i="24"/>
  <c r="AY314" i="23"/>
  <c r="AS321" i="24"/>
  <c r="AS265" i="24"/>
  <c r="BC185" i="24"/>
  <c r="I12" i="24"/>
  <c r="K12" i="24" s="1"/>
  <c r="V355" i="24"/>
  <c r="BC159" i="24"/>
  <c r="BE159" i="24" s="1"/>
  <c r="AS199" i="24"/>
  <c r="AS337" i="24"/>
  <c r="AF70" i="24"/>
  <c r="BP331" i="24"/>
  <c r="AS238" i="24"/>
  <c r="AF147" i="24"/>
  <c r="V359" i="24"/>
  <c r="BP235" i="24"/>
  <c r="BP291" i="24"/>
  <c r="AY313" i="23"/>
  <c r="V326" i="24"/>
  <c r="V209" i="24"/>
  <c r="V354" i="24"/>
  <c r="AY250" i="23"/>
  <c r="AY307" i="23"/>
  <c r="BP249" i="24"/>
  <c r="AY111" i="23"/>
  <c r="AY90" i="23"/>
  <c r="AF27" i="24"/>
  <c r="BP282" i="24"/>
  <c r="V225" i="24"/>
  <c r="AY334" i="23"/>
  <c r="N84" i="23"/>
  <c r="Y84" i="23"/>
  <c r="BI4" i="23"/>
  <c r="AY4" i="23"/>
  <c r="AY143" i="23"/>
  <c r="AS45" i="24"/>
  <c r="AS158" i="24"/>
  <c r="V144" i="24"/>
  <c r="AY42" i="23"/>
  <c r="V45" i="24"/>
  <c r="BP34" i="24"/>
  <c r="V95" i="24"/>
  <c r="V102" i="24"/>
  <c r="V261" i="24"/>
  <c r="BP217" i="24"/>
  <c r="AS197" i="24"/>
  <c r="V216" i="24"/>
  <c r="AY241" i="23"/>
  <c r="BP271" i="24"/>
  <c r="AS217" i="24"/>
  <c r="AY358" i="23"/>
  <c r="BP225" i="24"/>
  <c r="V345" i="24"/>
  <c r="AY342" i="23"/>
  <c r="AS336" i="24"/>
  <c r="AY353" i="23"/>
  <c r="AY240" i="23"/>
  <c r="BP326" i="24"/>
  <c r="BP248" i="24"/>
  <c r="AS281" i="24"/>
  <c r="AY287" i="23"/>
  <c r="AY205" i="23"/>
  <c r="AY39" i="23"/>
  <c r="BP120" i="24"/>
  <c r="AY74" i="23"/>
  <c r="AS89" i="24"/>
  <c r="AS249" i="24"/>
  <c r="AS355" i="24"/>
  <c r="V243" i="24"/>
  <c r="AY275" i="23"/>
  <c r="AS317" i="24"/>
  <c r="BP336" i="24"/>
  <c r="AY316" i="23"/>
  <c r="AY302" i="23"/>
  <c r="AY76" i="23"/>
  <c r="BP113" i="24"/>
  <c r="AS175" i="24"/>
  <c r="V132" i="24"/>
  <c r="BP62" i="24"/>
  <c r="AY108" i="23"/>
  <c r="V204" i="24"/>
  <c r="AS235" i="24"/>
  <c r="BP345" i="24"/>
  <c r="AY357" i="23"/>
  <c r="L237" i="24"/>
  <c r="AS255" i="24"/>
  <c r="BP349" i="24"/>
  <c r="BP254" i="24"/>
  <c r="AY236" i="23"/>
  <c r="BP255" i="24"/>
  <c r="BP237" i="24"/>
  <c r="V219" i="24"/>
  <c r="AS248" i="24"/>
  <c r="AY120" i="23"/>
  <c r="AY47" i="23"/>
  <c r="AY146" i="23"/>
  <c r="V112" i="24"/>
  <c r="BP146" i="24"/>
  <c r="AY153" i="23"/>
  <c r="V22" i="24"/>
  <c r="AS90" i="24"/>
  <c r="V283" i="24"/>
  <c r="BP221" i="24"/>
  <c r="V280" i="24"/>
  <c r="AS345" i="24"/>
  <c r="V323" i="24"/>
  <c r="AS263" i="24"/>
  <c r="AS340" i="24"/>
  <c r="AS207" i="24"/>
  <c r="AY63" i="23"/>
  <c r="AY144" i="23"/>
  <c r="BP22" i="24"/>
  <c r="AS63" i="24"/>
  <c r="BP76" i="24"/>
  <c r="V167" i="24"/>
  <c r="AY184" i="23"/>
  <c r="AS177" i="24"/>
  <c r="AY53" i="23"/>
  <c r="AS160" i="24"/>
  <c r="AY125" i="23"/>
  <c r="BP81" i="24"/>
  <c r="V62" i="24"/>
  <c r="AS225" i="24"/>
  <c r="BP203" i="24"/>
  <c r="BP308" i="24"/>
  <c r="BP339" i="24"/>
  <c r="AS259" i="24"/>
  <c r="BP213" i="24"/>
  <c r="BP199" i="24"/>
  <c r="AY300" i="23"/>
  <c r="V265" i="24"/>
  <c r="BP220" i="24"/>
  <c r="AY252" i="23"/>
  <c r="AY247" i="23"/>
  <c r="BP276" i="24"/>
  <c r="AY310" i="23"/>
  <c r="AS220" i="24"/>
  <c r="AS328" i="24"/>
  <c r="AY278" i="23"/>
  <c r="AY208" i="23"/>
  <c r="V213" i="24"/>
  <c r="AS276" i="24"/>
  <c r="AY130" i="23"/>
  <c r="AY171" i="23"/>
  <c r="AY148" i="23"/>
  <c r="AY173" i="23"/>
  <c r="AY24" i="23"/>
  <c r="V188" i="24"/>
  <c r="BP132" i="24"/>
  <c r="AY294" i="23"/>
  <c r="AS204" i="24"/>
  <c r="V237" i="24"/>
  <c r="BP344" i="24"/>
  <c r="AS339" i="24"/>
  <c r="AY343" i="23"/>
  <c r="AS323" i="24"/>
  <c r="BP286" i="24"/>
  <c r="V198" i="24"/>
  <c r="BP226" i="24"/>
  <c r="AY320" i="23"/>
  <c r="V206" i="24"/>
  <c r="BP322" i="24"/>
  <c r="AY301" i="23"/>
  <c r="AY41" i="23"/>
  <c r="AY31" i="23"/>
  <c r="AY78" i="23"/>
  <c r="AY139" i="23"/>
  <c r="BY4" i="24"/>
  <c r="AX49" i="24"/>
  <c r="BU11" i="24"/>
  <c r="AY178" i="23"/>
  <c r="AY37" i="23"/>
  <c r="AY158" i="23"/>
  <c r="AY192" i="23"/>
  <c r="L128" i="23"/>
  <c r="BF33" i="23"/>
  <c r="AI33" i="24"/>
  <c r="AA53" i="24"/>
  <c r="AA23" i="24"/>
  <c r="V186" i="24"/>
  <c r="AX269" i="24"/>
  <c r="AA314" i="24"/>
  <c r="BU248" i="24"/>
  <c r="AX298" i="24"/>
  <c r="AA195" i="24"/>
  <c r="AX343" i="24"/>
  <c r="AX315" i="24"/>
  <c r="BU328" i="24"/>
  <c r="AX313" i="24"/>
  <c r="AX237" i="24"/>
  <c r="BU319" i="24"/>
  <c r="AA310" i="24"/>
  <c r="BU351" i="24"/>
  <c r="AX277" i="24"/>
  <c r="AA273" i="24"/>
  <c r="AA291" i="24"/>
  <c r="AA233" i="24"/>
  <c r="AA334" i="24"/>
  <c r="AA333" i="24"/>
  <c r="BU293" i="24"/>
  <c r="AY89" i="23"/>
  <c r="AY33" i="23"/>
  <c r="AY67" i="23"/>
  <c r="L105" i="23"/>
  <c r="AY15" i="23"/>
  <c r="AY151" i="23"/>
  <c r="L75" i="23"/>
  <c r="AY142" i="23"/>
  <c r="V111" i="24"/>
  <c r="AS62" i="24"/>
  <c r="AX105" i="24"/>
  <c r="AX72" i="24"/>
  <c r="BP47" i="24"/>
  <c r="BP89" i="24"/>
  <c r="AS151" i="24"/>
  <c r="BP144" i="24"/>
  <c r="BP28" i="24"/>
  <c r="AX107" i="24"/>
  <c r="BU264" i="24"/>
  <c r="AX341" i="24"/>
  <c r="AA257" i="24"/>
  <c r="AX349" i="24"/>
  <c r="AA327" i="24"/>
  <c r="BU359" i="24"/>
  <c r="AA289" i="24"/>
  <c r="AX285" i="24"/>
  <c r="AA269" i="24"/>
  <c r="BU267" i="24"/>
  <c r="AA271" i="24"/>
  <c r="AA287" i="24"/>
  <c r="AA300" i="24"/>
  <c r="AA245" i="24"/>
  <c r="BF171" i="23"/>
  <c r="L171" i="24"/>
  <c r="AA138" i="24"/>
  <c r="AS111" i="24"/>
  <c r="BP152" i="24"/>
  <c r="BP57" i="24"/>
  <c r="AA84" i="24"/>
  <c r="BU226" i="24"/>
  <c r="AA299" i="24"/>
  <c r="AA228" i="24"/>
  <c r="AA298" i="24"/>
  <c r="AA326" i="24"/>
  <c r="AX288" i="24"/>
  <c r="AX311" i="24"/>
  <c r="BU208" i="24"/>
  <c r="AA301" i="24"/>
  <c r="AA354" i="24"/>
  <c r="BU278" i="24"/>
  <c r="BU306" i="24"/>
  <c r="BU234" i="24"/>
  <c r="AX250" i="24"/>
  <c r="BU240" i="24"/>
  <c r="AA240" i="24"/>
  <c r="AX216" i="24"/>
  <c r="BU352" i="24"/>
  <c r="BU272" i="24"/>
  <c r="AA330" i="24"/>
  <c r="Y70" i="23"/>
  <c r="N70" i="23"/>
  <c r="AY177" i="23"/>
  <c r="L93" i="23"/>
  <c r="AY103" i="23"/>
  <c r="AA248" i="24"/>
  <c r="BU223" i="24"/>
  <c r="BU289" i="24"/>
  <c r="AA229" i="24"/>
  <c r="AX259" i="24"/>
  <c r="AH164" i="24"/>
  <c r="AX362" i="24"/>
  <c r="AA278" i="24"/>
  <c r="AX205" i="24"/>
  <c r="AA279" i="24"/>
  <c r="AX273" i="24"/>
  <c r="AX342" i="24"/>
  <c r="AX287" i="24"/>
  <c r="AX333" i="24"/>
  <c r="AH70" i="24"/>
  <c r="L130" i="23"/>
  <c r="AY8" i="23"/>
  <c r="AY38" i="23"/>
  <c r="L66" i="23"/>
  <c r="AY26" i="23"/>
  <c r="AY102" i="23"/>
  <c r="AY88" i="23"/>
  <c r="AY56" i="23"/>
  <c r="AY71" i="23"/>
  <c r="V48" i="24"/>
  <c r="BP122" i="24"/>
  <c r="BU180" i="24"/>
  <c r="AA180" i="24"/>
  <c r="BC167" i="24"/>
  <c r="AY25" i="23"/>
  <c r="L138" i="23"/>
  <c r="BP59" i="24"/>
  <c r="AS127" i="24"/>
  <c r="AX314" i="24"/>
  <c r="BU298" i="24"/>
  <c r="AA341" i="24"/>
  <c r="BU349" i="24"/>
  <c r="AA275" i="24"/>
  <c r="BU213" i="24"/>
  <c r="BU269" i="24"/>
  <c r="AX209" i="24"/>
  <c r="AA254" i="24"/>
  <c r="AA352" i="24"/>
  <c r="BU290" i="24"/>
  <c r="AA293" i="24"/>
  <c r="BU279" i="24"/>
  <c r="AY119" i="23"/>
  <c r="AS15" i="24"/>
  <c r="AS76" i="24"/>
  <c r="AX103" i="24"/>
  <c r="AX139" i="24"/>
  <c r="AI80" i="24"/>
  <c r="AS189" i="24"/>
  <c r="AY86" i="23"/>
  <c r="AX248" i="24"/>
  <c r="AX328" i="24"/>
  <c r="AX318" i="24"/>
  <c r="BU215" i="24"/>
  <c r="AX352" i="24"/>
  <c r="AX301" i="24"/>
  <c r="BU346" i="24"/>
  <c r="AX240" i="24"/>
  <c r="AY167" i="23"/>
  <c r="AY156" i="23"/>
  <c r="L150" i="23"/>
  <c r="AY141" i="23"/>
  <c r="AS120" i="24"/>
  <c r="V89" i="24"/>
  <c r="AX202" i="24"/>
  <c r="BU256" i="24"/>
  <c r="AA263" i="24"/>
  <c r="AX196" i="24"/>
  <c r="AA358" i="24"/>
  <c r="AA303" i="24"/>
  <c r="AA312" i="24"/>
  <c r="BU259" i="24"/>
  <c r="BU252" i="24"/>
  <c r="BU303" i="24"/>
  <c r="AX319" i="24"/>
  <c r="AA196" i="24"/>
  <c r="BU342" i="24"/>
  <c r="AX334" i="24"/>
  <c r="BU333" i="24"/>
  <c r="BU285" i="24"/>
  <c r="AX241" i="24"/>
  <c r="L187" i="23"/>
  <c r="AY20" i="23"/>
  <c r="AS81" i="24"/>
  <c r="AX11" i="24"/>
  <c r="AS40" i="24"/>
  <c r="BC146" i="24"/>
  <c r="AS83" i="24"/>
  <c r="BP169" i="24"/>
  <c r="AS13" i="24"/>
  <c r="I149" i="24"/>
  <c r="AA225" i="24"/>
  <c r="AX359" i="24"/>
  <c r="AA321" i="24"/>
  <c r="AX361" i="24"/>
  <c r="AX214" i="24"/>
  <c r="BU253" i="24"/>
  <c r="BU230" i="24"/>
  <c r="BU353" i="24"/>
  <c r="AA316" i="24"/>
  <c r="BU294" i="24"/>
  <c r="AA286" i="24"/>
  <c r="AA272" i="24"/>
  <c r="AY13" i="23"/>
  <c r="AY99" i="23"/>
  <c r="AY116" i="23"/>
  <c r="AY169" i="23"/>
  <c r="V5" i="24"/>
  <c r="I61" i="24"/>
  <c r="AY163" i="23"/>
  <c r="AS48" i="24"/>
  <c r="BP41" i="24"/>
  <c r="V128" i="24"/>
  <c r="AY194" i="23"/>
  <c r="AS132" i="24"/>
  <c r="AS3" i="24"/>
  <c r="V178" i="24"/>
  <c r="I22" i="24"/>
  <c r="I56" i="24"/>
  <c r="AF192" i="24"/>
  <c r="BU315" i="24"/>
  <c r="AX300" i="24"/>
  <c r="AA201" i="24"/>
  <c r="AA265" i="24"/>
  <c r="AX224" i="24"/>
  <c r="AA308" i="24"/>
  <c r="AX229" i="24"/>
  <c r="AA253" i="24"/>
  <c r="BU361" i="24"/>
  <c r="AA324" i="24"/>
  <c r="AA205" i="24"/>
  <c r="AX354" i="24"/>
  <c r="N159" i="23"/>
  <c r="Y159" i="23"/>
  <c r="AH24" i="24"/>
  <c r="AY187" i="23"/>
  <c r="AS167" i="24"/>
  <c r="AY61" i="23"/>
  <c r="BP134" i="24"/>
  <c r="AY94" i="23"/>
  <c r="AY117" i="23"/>
  <c r="BP19" i="24"/>
  <c r="AS169" i="24"/>
  <c r="AY127" i="23"/>
  <c r="BP31" i="24"/>
  <c r="L53" i="23"/>
  <c r="AF53" i="24"/>
  <c r="AX3" i="24"/>
  <c r="AX281" i="24"/>
  <c r="AX332" i="24"/>
  <c r="AX345" i="24"/>
  <c r="AX203" i="24"/>
  <c r="AX353" i="24"/>
  <c r="AX213" i="24"/>
  <c r="AX254" i="24"/>
  <c r="AX198" i="24"/>
  <c r="AX232" i="24"/>
  <c r="AX246" i="24"/>
  <c r="AX235" i="24"/>
  <c r="AX204" i="24"/>
  <c r="AX200" i="24"/>
  <c r="AX255" i="24"/>
  <c r="AX251" i="24"/>
  <c r="AX197" i="24"/>
  <c r="AX212" i="24"/>
  <c r="AX275" i="24"/>
  <c r="AX344" i="24"/>
  <c r="AX231" i="24"/>
  <c r="AX234" i="24"/>
  <c r="AX283" i="24"/>
  <c r="AX201" i="24"/>
  <c r="AX225" i="24"/>
  <c r="AX220" i="24"/>
  <c r="AX233" i="24"/>
  <c r="AX290" i="24"/>
  <c r="AX267" i="24"/>
  <c r="AX242" i="24"/>
  <c r="AX350" i="24"/>
  <c r="AX266" i="24"/>
  <c r="AX271" i="24"/>
  <c r="AX282" i="24"/>
  <c r="AX307" i="24"/>
  <c r="AX338" i="24"/>
  <c r="AX228" i="24"/>
  <c r="AX211" i="24"/>
  <c r="AX217" i="24"/>
  <c r="AX360" i="24"/>
  <c r="AX286" i="24"/>
  <c r="AX355" i="24"/>
  <c r="AX244" i="24"/>
  <c r="AX239" i="24"/>
  <c r="AX199" i="24"/>
  <c r="AX330" i="24"/>
  <c r="AX293" i="24"/>
  <c r="AX323" i="24"/>
  <c r="AX222" i="24"/>
  <c r="AX207" i="24"/>
  <c r="AX351" i="24"/>
  <c r="AX208" i="24"/>
  <c r="AX243" i="24"/>
  <c r="AX260" i="24"/>
  <c r="AX348" i="24"/>
  <c r="AX238" i="24"/>
  <c r="AX210" i="24"/>
  <c r="AX292" i="24"/>
  <c r="AX339" i="24"/>
  <c r="AX324" i="24"/>
  <c r="AX335" i="24"/>
  <c r="AX252" i="24"/>
  <c r="AX296" i="24"/>
  <c r="AX322" i="24"/>
  <c r="AX329" i="24"/>
  <c r="AX218" i="24"/>
  <c r="AX346" i="24"/>
  <c r="AX291" i="24"/>
  <c r="AX221" i="24"/>
  <c r="AX227" i="24"/>
  <c r="AX256" i="24"/>
  <c r="AX265" i="24"/>
  <c r="AX331" i="24"/>
  <c r="AX337" i="24"/>
  <c r="AX261" i="24"/>
  <c r="AX258" i="24"/>
  <c r="AX263" i="24"/>
  <c r="AX295" i="24"/>
  <c r="AX357" i="24"/>
  <c r="AX272" i="24"/>
  <c r="AX249" i="24"/>
  <c r="AX340" i="24"/>
  <c r="AX226" i="24"/>
  <c r="AX336" i="24"/>
  <c r="AX257" i="24"/>
  <c r="AX317" i="24"/>
  <c r="AX280" i="24"/>
  <c r="BU202" i="24"/>
  <c r="BU262" i="24"/>
  <c r="BU196" i="24"/>
  <c r="AA344" i="24"/>
  <c r="BU275" i="24"/>
  <c r="AX308" i="24"/>
  <c r="BU308" i="24"/>
  <c r="BU236" i="24"/>
  <c r="AA319" i="24"/>
  <c r="AA215" i="24"/>
  <c r="AX253" i="24"/>
  <c r="AX356" i="24"/>
  <c r="AA232" i="24"/>
  <c r="AA295" i="24"/>
  <c r="BU300" i="24"/>
  <c r="BP69" i="24"/>
  <c r="BC135" i="24"/>
  <c r="I7" i="24"/>
  <c r="AA198" i="24"/>
  <c r="I148" i="24"/>
  <c r="BC182" i="24"/>
  <c r="I50" i="24"/>
  <c r="I147" i="24"/>
  <c r="AF66" i="24"/>
  <c r="BC62" i="24"/>
  <c r="BF307" i="23"/>
  <c r="BF307" i="24"/>
  <c r="L307" i="24"/>
  <c r="Y276" i="23"/>
  <c r="BF276" i="23" s="1"/>
  <c r="AH258" i="24"/>
  <c r="N313" i="23"/>
  <c r="Y313" i="23"/>
  <c r="BF313" i="24" s="1"/>
  <c r="AA268" i="24"/>
  <c r="AX299" i="24"/>
  <c r="BE347" i="24"/>
  <c r="AA266" i="24"/>
  <c r="AA297" i="24"/>
  <c r="AQ357" i="24"/>
  <c r="AR357" i="24"/>
  <c r="BU291" i="24"/>
  <c r="AH199" i="24"/>
  <c r="K332" i="24"/>
  <c r="L332" i="24"/>
  <c r="AA264" i="24"/>
  <c r="BU219" i="24"/>
  <c r="BO223" i="24"/>
  <c r="BN223" i="24"/>
  <c r="BU341" i="24"/>
  <c r="AA224" i="24"/>
  <c r="AA355" i="24"/>
  <c r="AR262" i="24"/>
  <c r="AQ262" i="24"/>
  <c r="T195" i="24"/>
  <c r="U195" i="24"/>
  <c r="T298" i="24"/>
  <c r="U298" i="24"/>
  <c r="BU325" i="24"/>
  <c r="BE195" i="24"/>
  <c r="BF195" i="24"/>
  <c r="BU343" i="24"/>
  <c r="L334" i="24"/>
  <c r="I152" i="24"/>
  <c r="AF152" i="24"/>
  <c r="BO358" i="24"/>
  <c r="BN358" i="24"/>
  <c r="BN302" i="24"/>
  <c r="BO302" i="24"/>
  <c r="L350" i="24"/>
  <c r="AA211" i="24"/>
  <c r="AX312" i="24"/>
  <c r="AI144" i="24"/>
  <c r="BF144" i="23"/>
  <c r="L144" i="24"/>
  <c r="BF144" i="24"/>
  <c r="AA320" i="24"/>
  <c r="BO320" i="24"/>
  <c r="BN320" i="24"/>
  <c r="L185" i="23"/>
  <c r="AQ303" i="24"/>
  <c r="AR303" i="24"/>
  <c r="T212" i="24"/>
  <c r="U212" i="24"/>
  <c r="AS198" i="24"/>
  <c r="V321" i="24"/>
  <c r="BO361" i="24"/>
  <c r="BP361" i="24" s="1"/>
  <c r="BN361" i="24"/>
  <c r="K266" i="24"/>
  <c r="L219" i="24"/>
  <c r="K219" i="24"/>
  <c r="BF251" i="24"/>
  <c r="BE251" i="24"/>
  <c r="BU210" i="24"/>
  <c r="BP244" i="24"/>
  <c r="AA209" i="24"/>
  <c r="BN267" i="24"/>
  <c r="BO267" i="24"/>
  <c r="BP266" i="24"/>
  <c r="T230" i="24"/>
  <c r="U230" i="24"/>
  <c r="BN301" i="24"/>
  <c r="BO301" i="24"/>
  <c r="BU206" i="24"/>
  <c r="BU200" i="24"/>
  <c r="AR353" i="24"/>
  <c r="AS353" i="24" s="1"/>
  <c r="AQ353" i="24"/>
  <c r="BF346" i="23"/>
  <c r="BF346" i="24"/>
  <c r="L346" i="24"/>
  <c r="BO273" i="24"/>
  <c r="BP273" i="24" s="1"/>
  <c r="BN273" i="24"/>
  <c r="BP311" i="24"/>
  <c r="BN342" i="24"/>
  <c r="BO342" i="24"/>
  <c r="BP263" i="24"/>
  <c r="K294" i="24"/>
  <c r="L294" i="24"/>
  <c r="AS322" i="24"/>
  <c r="U290" i="24"/>
  <c r="T290" i="24"/>
  <c r="V290" i="24" s="1"/>
  <c r="AQ270" i="24"/>
  <c r="AR270" i="24"/>
  <c r="L24" i="23"/>
  <c r="AQ240" i="24"/>
  <c r="AR240" i="24"/>
  <c r="AH276" i="24"/>
  <c r="K246" i="24"/>
  <c r="L246" i="24"/>
  <c r="BU338" i="24"/>
  <c r="K330" i="24"/>
  <c r="AH204" i="24"/>
  <c r="AI204" i="24"/>
  <c r="BC17" i="24"/>
  <c r="BE17" i="24" s="1"/>
  <c r="AS311" i="24"/>
  <c r="BU345" i="24"/>
  <c r="BN292" i="24"/>
  <c r="BO292" i="24"/>
  <c r="BP207" i="24"/>
  <c r="T287" i="24"/>
  <c r="V287" i="24" s="1"/>
  <c r="U287" i="24"/>
  <c r="AH334" i="24"/>
  <c r="AI334" i="24"/>
  <c r="BU265" i="24"/>
  <c r="AQ304" i="24"/>
  <c r="AS304" i="24" s="1"/>
  <c r="AR304" i="24"/>
  <c r="U304" i="24"/>
  <c r="T304" i="24"/>
  <c r="V304" i="24" s="1"/>
  <c r="AA285" i="24"/>
  <c r="V328" i="24"/>
  <c r="T279" i="24"/>
  <c r="U279" i="24"/>
  <c r="V279" i="24" s="1"/>
  <c r="BC70" i="24"/>
  <c r="AI362" i="24"/>
  <c r="L241" i="24"/>
  <c r="AI256" i="24"/>
  <c r="BC174" i="24"/>
  <c r="BU103" i="24"/>
  <c r="AS128" i="24"/>
  <c r="BC100" i="24"/>
  <c r="AF149" i="24"/>
  <c r="AY30" i="23"/>
  <c r="BC108" i="24"/>
  <c r="BP63" i="24"/>
  <c r="AS8" i="24"/>
  <c r="V101" i="24"/>
  <c r="AF182" i="24"/>
  <c r="AF50" i="24"/>
  <c r="BC66" i="24"/>
  <c r="AF126" i="24"/>
  <c r="BF282" i="23"/>
  <c r="AI282" i="24"/>
  <c r="AR314" i="24"/>
  <c r="AQ314" i="24"/>
  <c r="BP317" i="24"/>
  <c r="AQ297" i="24"/>
  <c r="AR297" i="24"/>
  <c r="U297" i="24"/>
  <c r="T297" i="24"/>
  <c r="AS354" i="24"/>
  <c r="AR201" i="24"/>
  <c r="AQ201" i="24"/>
  <c r="AS201" i="24" s="1"/>
  <c r="BO228" i="24"/>
  <c r="BP228" i="24" s="1"/>
  <c r="BN228" i="24"/>
  <c r="U223" i="24"/>
  <c r="T223" i="24"/>
  <c r="AQ309" i="24"/>
  <c r="AR309" i="24"/>
  <c r="AS309" i="24" s="1"/>
  <c r="BN224" i="24"/>
  <c r="BO224" i="24"/>
  <c r="BO256" i="24"/>
  <c r="BN256" i="24"/>
  <c r="U262" i="24"/>
  <c r="T262" i="24"/>
  <c r="AX195" i="24"/>
  <c r="AA325" i="24"/>
  <c r="AS210" i="24"/>
  <c r="U275" i="24"/>
  <c r="T275" i="24"/>
  <c r="T315" i="24"/>
  <c r="U315" i="24"/>
  <c r="BU316" i="24"/>
  <c r="K277" i="24"/>
  <c r="L277" i="24"/>
  <c r="BU197" i="24"/>
  <c r="AY330" i="23"/>
  <c r="BU336" i="24"/>
  <c r="BE266" i="24"/>
  <c r="AI295" i="24"/>
  <c r="AH295" i="24"/>
  <c r="AR312" i="24"/>
  <c r="AQ312" i="24"/>
  <c r="AS312" i="24" s="1"/>
  <c r="AY290" i="23"/>
  <c r="V248" i="24"/>
  <c r="U252" i="24"/>
  <c r="T252" i="24"/>
  <c r="V252" i="24" s="1"/>
  <c r="BE277" i="24"/>
  <c r="BF277" i="24"/>
  <c r="T236" i="24"/>
  <c r="U236" i="24"/>
  <c r="V335" i="24"/>
  <c r="AS291" i="24"/>
  <c r="BF216" i="24"/>
  <c r="BE216" i="24"/>
  <c r="AX320" i="24"/>
  <c r="BU318" i="24"/>
  <c r="V221" i="24"/>
  <c r="AF185" i="24"/>
  <c r="AA243" i="24"/>
  <c r="BN212" i="24"/>
  <c r="BO212" i="24"/>
  <c r="AY246" i="23"/>
  <c r="BF207" i="24"/>
  <c r="AY272" i="23"/>
  <c r="AA276" i="24"/>
  <c r="AA359" i="24"/>
  <c r="U214" i="24"/>
  <c r="T214" i="24"/>
  <c r="BE287" i="24"/>
  <c r="AA216" i="24"/>
  <c r="AQ208" i="24"/>
  <c r="AR208" i="24"/>
  <c r="U267" i="24"/>
  <c r="T267" i="24"/>
  <c r="V267" i="24" s="1"/>
  <c r="AQ253" i="24"/>
  <c r="AR253" i="24"/>
  <c r="AY227" i="23"/>
  <c r="AQ301" i="24"/>
  <c r="AR301" i="24"/>
  <c r="U277" i="24"/>
  <c r="T277" i="24"/>
  <c r="V277" i="24" s="1"/>
  <c r="BO277" i="24"/>
  <c r="BN277" i="24"/>
  <c r="AI221" i="24"/>
  <c r="T200" i="24"/>
  <c r="U200" i="24"/>
  <c r="T353" i="24"/>
  <c r="U353" i="24"/>
  <c r="U306" i="24"/>
  <c r="T306" i="24"/>
  <c r="BU347" i="24"/>
  <c r="BC49" i="24"/>
  <c r="BE49" i="24" s="1"/>
  <c r="BE316" i="24"/>
  <c r="BF316" i="24"/>
  <c r="AQ290" i="24"/>
  <c r="AR290" i="24"/>
  <c r="BN270" i="24"/>
  <c r="BO270" i="24"/>
  <c r="AY303" i="23"/>
  <c r="AQ250" i="24"/>
  <c r="AR250" i="24"/>
  <c r="V271" i="24"/>
  <c r="I24" i="24"/>
  <c r="AX219" i="24"/>
  <c r="V350" i="24"/>
  <c r="K322" i="24"/>
  <c r="AH337" i="24"/>
  <c r="AI337" i="24"/>
  <c r="AY233" i="23"/>
  <c r="AQ232" i="24"/>
  <c r="AR232" i="24"/>
  <c r="Y275" i="23"/>
  <c r="L275" i="24" s="1"/>
  <c r="N275" i="23"/>
  <c r="BN334" i="24"/>
  <c r="BO334" i="24"/>
  <c r="AA294" i="24"/>
  <c r="AF17" i="24"/>
  <c r="AH17" i="24" s="1"/>
  <c r="BN352" i="24"/>
  <c r="BO352" i="24"/>
  <c r="L127" i="23"/>
  <c r="BE222" i="24"/>
  <c r="BU329" i="24"/>
  <c r="AA221" i="24"/>
  <c r="AR293" i="24"/>
  <c r="AQ293" i="24"/>
  <c r="AS231" i="24"/>
  <c r="BO279" i="24"/>
  <c r="BN279" i="24"/>
  <c r="BP279" i="24" s="1"/>
  <c r="U330" i="24"/>
  <c r="V330" i="24" s="1"/>
  <c r="T330" i="24"/>
  <c r="BF311" i="24"/>
  <c r="BF360" i="24"/>
  <c r="AF83" i="24"/>
  <c r="AH83" i="24" s="1"/>
  <c r="BF209" i="23"/>
  <c r="AI209" i="24"/>
  <c r="L209" i="24"/>
  <c r="BF247" i="23"/>
  <c r="BF247" i="24"/>
  <c r="L247" i="24"/>
  <c r="AI327" i="24"/>
  <c r="AH327" i="24"/>
  <c r="T268" i="24"/>
  <c r="U268" i="24"/>
  <c r="BU257" i="24"/>
  <c r="BU297" i="24"/>
  <c r="BO201" i="24"/>
  <c r="BN201" i="24"/>
  <c r="BP201" i="24" s="1"/>
  <c r="AQ228" i="24"/>
  <c r="AR228" i="24"/>
  <c r="BF294" i="24"/>
  <c r="BE294" i="24"/>
  <c r="BF308" i="24"/>
  <c r="BE308" i="24"/>
  <c r="BO309" i="24"/>
  <c r="BN309" i="24"/>
  <c r="AQ341" i="24"/>
  <c r="AR341" i="24"/>
  <c r="T224" i="24"/>
  <c r="U224" i="24"/>
  <c r="N341" i="23"/>
  <c r="Y341" i="23"/>
  <c r="BU321" i="24"/>
  <c r="AA206" i="24"/>
  <c r="AX325" i="24"/>
  <c r="AA343" i="24"/>
  <c r="T343" i="24"/>
  <c r="U343" i="24"/>
  <c r="V343" i="24"/>
  <c r="AA237" i="24"/>
  <c r="Y152" i="23"/>
  <c r="N152" i="23"/>
  <c r="U327" i="24"/>
  <c r="T327" i="24"/>
  <c r="AQ307" i="24"/>
  <c r="AR307" i="24"/>
  <c r="T358" i="24"/>
  <c r="U358" i="24"/>
  <c r="V358" i="24"/>
  <c r="AF25" i="24"/>
  <c r="T229" i="24"/>
  <c r="U229" i="24"/>
  <c r="N330" i="23"/>
  <c r="Y330" i="23"/>
  <c r="L330" i="24" s="1"/>
  <c r="AR347" i="24"/>
  <c r="AQ347" i="24"/>
  <c r="L164" i="23"/>
  <c r="AX236" i="24"/>
  <c r="BE219" i="24"/>
  <c r="BF219" i="24"/>
  <c r="AR320" i="24"/>
  <c r="AQ320" i="24"/>
  <c r="AS320" i="24" s="1"/>
  <c r="BO318" i="24"/>
  <c r="BN318" i="24"/>
  <c r="U362" i="24"/>
  <c r="V362" i="24" s="1"/>
  <c r="T362" i="24"/>
  <c r="AA328" i="24"/>
  <c r="AA212" i="24"/>
  <c r="AH248" i="24"/>
  <c r="AI248" i="24"/>
  <c r="L360" i="24"/>
  <c r="BU216" i="24"/>
  <c r="AR269" i="24"/>
  <c r="AQ269" i="24"/>
  <c r="AA204" i="24"/>
  <c r="AR267" i="24"/>
  <c r="AQ267" i="24"/>
  <c r="AS267" i="24" s="1"/>
  <c r="AX230" i="24"/>
  <c r="BO230" i="24"/>
  <c r="BN230" i="24"/>
  <c r="U301" i="24"/>
  <c r="T301" i="24"/>
  <c r="V301" i="24" s="1"/>
  <c r="BE197" i="24"/>
  <c r="BF197" i="24"/>
  <c r="BF218" i="23"/>
  <c r="BF218" i="24"/>
  <c r="L218" i="24"/>
  <c r="V210" i="24"/>
  <c r="BN353" i="24"/>
  <c r="BO353" i="24"/>
  <c r="V337" i="24"/>
  <c r="AY285" i="23"/>
  <c r="T196" i="24"/>
  <c r="U196" i="24"/>
  <c r="T278" i="24"/>
  <c r="U278" i="24"/>
  <c r="AH285" i="24"/>
  <c r="AA342" i="24"/>
  <c r="AQ342" i="24"/>
  <c r="AR342" i="24"/>
  <c r="BE221" i="24"/>
  <c r="BF221" i="24"/>
  <c r="L293" i="24"/>
  <c r="K293" i="24"/>
  <c r="AQ233" i="24"/>
  <c r="AR233" i="24"/>
  <c r="BU295" i="24"/>
  <c r="U246" i="24"/>
  <c r="T246" i="24"/>
  <c r="U240" i="24"/>
  <c r="T240" i="24"/>
  <c r="AA218" i="24"/>
  <c r="BF267" i="23"/>
  <c r="BF267" i="24"/>
  <c r="U232" i="24"/>
  <c r="T232" i="24"/>
  <c r="BO215" i="24"/>
  <c r="BN215" i="24"/>
  <c r="I17" i="24"/>
  <c r="K17" i="24" s="1"/>
  <c r="AR332" i="24"/>
  <c r="AQ332" i="24"/>
  <c r="AQ287" i="24"/>
  <c r="AR287" i="24"/>
  <c r="AA329" i="24"/>
  <c r="T293" i="24"/>
  <c r="V293" i="24" s="1"/>
  <c r="U293" i="24"/>
  <c r="BN304" i="24"/>
  <c r="BO304" i="24"/>
  <c r="AA323" i="24"/>
  <c r="BO272" i="24"/>
  <c r="BN272" i="24"/>
  <c r="BP272" i="24" s="1"/>
  <c r="BN330" i="24"/>
  <c r="BP330" i="24" s="1"/>
  <c r="BO330" i="24"/>
  <c r="AI316" i="24"/>
  <c r="L308" i="24"/>
  <c r="AY183" i="23"/>
  <c r="BP56" i="24"/>
  <c r="V56" i="24"/>
  <c r="BF323" i="23"/>
  <c r="L323" i="24"/>
  <c r="AI323" i="24"/>
  <c r="BF323" i="24"/>
  <c r="BF321" i="23"/>
  <c r="L321" i="24"/>
  <c r="AI289" i="24"/>
  <c r="AH289" i="24"/>
  <c r="BU258" i="24"/>
  <c r="BU247" i="24"/>
  <c r="AX297" i="24"/>
  <c r="AA357" i="24"/>
  <c r="BU238" i="24"/>
  <c r="BU322" i="24"/>
  <c r="AX264" i="24"/>
  <c r="BU309" i="24"/>
  <c r="T309" i="24"/>
  <c r="U309" i="24"/>
  <c r="BN341" i="24"/>
  <c r="BO341" i="24"/>
  <c r="AA207" i="24"/>
  <c r="AR343" i="24"/>
  <c r="AQ343" i="24"/>
  <c r="AI260" i="24"/>
  <c r="AY270" i="23"/>
  <c r="BN315" i="24"/>
  <c r="BO315" i="24"/>
  <c r="U227" i="24"/>
  <c r="T227" i="24"/>
  <c r="BU355" i="24"/>
  <c r="AA255" i="24"/>
  <c r="BU263" i="24"/>
  <c r="AR288" i="24"/>
  <c r="AQ288" i="24"/>
  <c r="AH294" i="24"/>
  <c r="AI294" i="24"/>
  <c r="T312" i="24"/>
  <c r="U312" i="24"/>
  <c r="AR229" i="24"/>
  <c r="AQ229" i="24"/>
  <c r="AA258" i="24"/>
  <c r="AA252" i="24"/>
  <c r="Y285" i="23"/>
  <c r="N285" i="23"/>
  <c r="AA236" i="24"/>
  <c r="BF236" i="23"/>
  <c r="AI236" i="24"/>
  <c r="L236" i="24"/>
  <c r="BF236" i="24"/>
  <c r="T284" i="24"/>
  <c r="V284" i="24" s="1"/>
  <c r="U284" i="24"/>
  <c r="AI360" i="24"/>
  <c r="AH360" i="24"/>
  <c r="AR313" i="24"/>
  <c r="AQ313" i="24"/>
  <c r="AS313" i="24" s="1"/>
  <c r="AQ362" i="24"/>
  <c r="AS362" i="24" s="1"/>
  <c r="AR362" i="24"/>
  <c r="BC12" i="24"/>
  <c r="AI275" i="24"/>
  <c r="AH275" i="24"/>
  <c r="K242" i="24"/>
  <c r="L242" i="24"/>
  <c r="V226" i="24"/>
  <c r="BP359" i="24"/>
  <c r="AQ214" i="24"/>
  <c r="AR214" i="24"/>
  <c r="AR274" i="24"/>
  <c r="AQ274" i="24"/>
  <c r="BE313" i="24"/>
  <c r="T310" i="24"/>
  <c r="U310" i="24"/>
  <c r="BP219" i="24"/>
  <c r="AA351" i="24"/>
  <c r="AA230" i="24"/>
  <c r="U205" i="24"/>
  <c r="T205" i="24"/>
  <c r="BO306" i="24"/>
  <c r="BN306" i="24"/>
  <c r="BP306" i="24" s="1"/>
  <c r="AQ278" i="24"/>
  <c r="AR278" i="24"/>
  <c r="AX289" i="24"/>
  <c r="U273" i="24"/>
  <c r="T273" i="24"/>
  <c r="AA305" i="24"/>
  <c r="AX305" i="24"/>
  <c r="T342" i="24"/>
  <c r="U342" i="24"/>
  <c r="L216" i="24"/>
  <c r="K216" i="24"/>
  <c r="BE333" i="24"/>
  <c r="N306" i="23"/>
  <c r="Y306" i="23"/>
  <c r="AI306" i="24" s="1"/>
  <c r="AQ246" i="24"/>
  <c r="AS246" i="24" s="1"/>
  <c r="AR246" i="24"/>
  <c r="L47" i="23"/>
  <c r="BU286" i="24"/>
  <c r="AI263" i="24"/>
  <c r="AH263" i="24"/>
  <c r="AY269" i="23"/>
  <c r="BU260" i="24"/>
  <c r="BU231" i="24"/>
  <c r="BN232" i="24"/>
  <c r="BO232" i="24"/>
  <c r="U294" i="24"/>
  <c r="T294" i="24"/>
  <c r="U215" i="24"/>
  <c r="T215" i="24"/>
  <c r="U332" i="24"/>
  <c r="T332" i="24"/>
  <c r="AA292" i="24"/>
  <c r="BN245" i="24"/>
  <c r="BP245" i="24" s="1"/>
  <c r="BO245" i="24"/>
  <c r="AR329" i="24"/>
  <c r="AQ329" i="24"/>
  <c r="AY318" i="23"/>
  <c r="BO333" i="24"/>
  <c r="BN333" i="24"/>
  <c r="T333" i="24"/>
  <c r="U333" i="24"/>
  <c r="V203" i="24"/>
  <c r="T272" i="24"/>
  <c r="U272" i="24"/>
  <c r="L261" i="24"/>
  <c r="BF261" i="24"/>
  <c r="AY104" i="23"/>
  <c r="BP188" i="24"/>
  <c r="BC130" i="24"/>
  <c r="AF141" i="24"/>
  <c r="BF304" i="23"/>
  <c r="AI304" i="24"/>
  <c r="BF213" i="23"/>
  <c r="AI213" i="24"/>
  <c r="AI197" i="24"/>
  <c r="AH197" i="24"/>
  <c r="AS260" i="24"/>
  <c r="AA247" i="24"/>
  <c r="AR247" i="24"/>
  <c r="AQ247" i="24"/>
  <c r="AQ299" i="24"/>
  <c r="AR299" i="24"/>
  <c r="AS282" i="24"/>
  <c r="BU357" i="24"/>
  <c r="U357" i="24"/>
  <c r="T357" i="24"/>
  <c r="V357" i="24"/>
  <c r="BU239" i="24"/>
  <c r="AI217" i="24"/>
  <c r="AH217" i="24"/>
  <c r="T264" i="24"/>
  <c r="U264" i="24"/>
  <c r="V264" i="24" s="1"/>
  <c r="AX223" i="24"/>
  <c r="AR223" i="24"/>
  <c r="AQ223" i="24"/>
  <c r="AA348" i="24"/>
  <c r="BU195" i="24"/>
  <c r="T325" i="24"/>
  <c r="U325" i="24"/>
  <c r="BN343" i="24"/>
  <c r="BO343" i="24"/>
  <c r="BP216" i="24"/>
  <c r="AR275" i="24"/>
  <c r="AQ275" i="24"/>
  <c r="AS275" i="24" s="1"/>
  <c r="BU344" i="24"/>
  <c r="BU227" i="24"/>
  <c r="AQ227" i="24"/>
  <c r="AS227" i="24" s="1"/>
  <c r="AR227" i="24"/>
  <c r="AY273" i="23"/>
  <c r="BN307" i="24"/>
  <c r="BO307" i="24"/>
  <c r="BU356" i="24"/>
  <c r="AA317" i="24"/>
  <c r="BU354" i="24"/>
  <c r="U302" i="24"/>
  <c r="T302" i="24"/>
  <c r="U288" i="24"/>
  <c r="T288" i="24"/>
  <c r="BE232" i="24"/>
  <c r="BF237" i="24"/>
  <c r="BU312" i="24"/>
  <c r="AA283" i="24"/>
  <c r="AQ258" i="24"/>
  <c r="AR258" i="24"/>
  <c r="AA235" i="24"/>
  <c r="BN347" i="24"/>
  <c r="BO347" i="24"/>
  <c r="AH340" i="24"/>
  <c r="AI340" i="24"/>
  <c r="AR284" i="24"/>
  <c r="AQ284" i="24"/>
  <c r="AQ318" i="24"/>
  <c r="AS318" i="24" s="1"/>
  <c r="AR318" i="24"/>
  <c r="AY229" i="23"/>
  <c r="BF282" i="24"/>
  <c r="BU360" i="24"/>
  <c r="AY332" i="23"/>
  <c r="AY292" i="23"/>
  <c r="T274" i="24"/>
  <c r="U274" i="24"/>
  <c r="BP261" i="24"/>
  <c r="AA208" i="24"/>
  <c r="BN208" i="24"/>
  <c r="BO208" i="24"/>
  <c r="K275" i="24"/>
  <c r="AA231" i="24"/>
  <c r="BU281" i="24"/>
  <c r="AQ324" i="24"/>
  <c r="AR324" i="24"/>
  <c r="AQ205" i="24"/>
  <c r="AS205" i="24" s="1"/>
  <c r="AR205" i="24"/>
  <c r="BN205" i="24"/>
  <c r="BO205" i="24"/>
  <c r="BF334" i="24"/>
  <c r="BU249" i="24"/>
  <c r="AY212" i="23"/>
  <c r="AS360" i="24"/>
  <c r="AR346" i="24"/>
  <c r="AQ346" i="24"/>
  <c r="T305" i="24"/>
  <c r="U305" i="24"/>
  <c r="BN316" i="24"/>
  <c r="BO316" i="24"/>
  <c r="BF217" i="24"/>
  <c r="BE217" i="24"/>
  <c r="AY264" i="23"/>
  <c r="U270" i="24"/>
  <c r="T270" i="24"/>
  <c r="BO250" i="24"/>
  <c r="BN250" i="24"/>
  <c r="BN246" i="24"/>
  <c r="BO246" i="24"/>
  <c r="AX321" i="24"/>
  <c r="V311" i="24"/>
  <c r="BU218" i="24"/>
  <c r="Y109" i="23"/>
  <c r="N109" i="23"/>
  <c r="AY267" i="23"/>
  <c r="AR334" i="24"/>
  <c r="AQ334" i="24"/>
  <c r="AS334" i="24" s="1"/>
  <c r="BN294" i="24"/>
  <c r="BO294" i="24"/>
  <c r="AX215" i="24"/>
  <c r="AY298" i="23"/>
  <c r="I127" i="24"/>
  <c r="AA210" i="24"/>
  <c r="AX245" i="24"/>
  <c r="BN329" i="24"/>
  <c r="BO329" i="24"/>
  <c r="BN241" i="24"/>
  <c r="BO241" i="24"/>
  <c r="BU203" i="24"/>
  <c r="AS266" i="24"/>
  <c r="AQ272" i="24"/>
  <c r="AR272" i="24"/>
  <c r="AY361" i="23"/>
  <c r="AR330" i="24"/>
  <c r="AQ330" i="24"/>
  <c r="L195" i="24"/>
  <c r="K195" i="24"/>
  <c r="BF256" i="24"/>
  <c r="AF75" i="24"/>
  <c r="BC54" i="24"/>
  <c r="AF43" i="24"/>
  <c r="I161" i="24"/>
  <c r="BF227" i="23"/>
  <c r="AI227" i="24"/>
  <c r="BF354" i="23"/>
  <c r="AI354" i="24"/>
  <c r="BF354" i="24"/>
  <c r="AH219" i="24"/>
  <c r="AI219" i="24"/>
  <c r="BO247" i="24"/>
  <c r="BN247" i="24"/>
  <c r="BN299" i="24"/>
  <c r="BO299" i="24"/>
  <c r="BP299" i="24" s="1"/>
  <c r="BN297" i="24"/>
  <c r="BP297" i="24" s="1"/>
  <c r="BO297" i="24"/>
  <c r="BU228" i="24"/>
  <c r="AH232" i="24"/>
  <c r="L302" i="24"/>
  <c r="AR264" i="24"/>
  <c r="AQ264" i="24"/>
  <c r="AA223" i="24"/>
  <c r="U341" i="24"/>
  <c r="T341" i="24"/>
  <c r="V341" i="24" s="1"/>
  <c r="AA256" i="24"/>
  <c r="BN195" i="24"/>
  <c r="BO195" i="24"/>
  <c r="AR298" i="24"/>
  <c r="AQ298" i="24"/>
  <c r="AQ325" i="24"/>
  <c r="AR325" i="24"/>
  <c r="BF248" i="24"/>
  <c r="BU327" i="24"/>
  <c r="BN327" i="24"/>
  <c r="BO327" i="24"/>
  <c r="AA227" i="24"/>
  <c r="AA340" i="24"/>
  <c r="AA213" i="24"/>
  <c r="AA350" i="24"/>
  <c r="N25" i="23"/>
  <c r="Y25" i="23"/>
  <c r="AA288" i="24"/>
  <c r="BE276" i="24"/>
  <c r="AS257" i="24"/>
  <c r="BP242" i="24"/>
  <c r="BN258" i="24"/>
  <c r="BO258" i="24"/>
  <c r="U347" i="24"/>
  <c r="T347" i="24"/>
  <c r="AH242" i="24"/>
  <c r="AI242" i="24"/>
  <c r="BU284" i="24"/>
  <c r="K224" i="24"/>
  <c r="AH280" i="24"/>
  <c r="T318" i="24"/>
  <c r="V318" i="24" s="1"/>
  <c r="U318" i="24"/>
  <c r="U313" i="24"/>
  <c r="T313" i="24"/>
  <c r="V313" i="24" s="1"/>
  <c r="BU362" i="24"/>
  <c r="BU304" i="24"/>
  <c r="AA361" i="24"/>
  <c r="BU214" i="24"/>
  <c r="BU274" i="24"/>
  <c r="L197" i="24"/>
  <c r="T269" i="24"/>
  <c r="U269" i="24"/>
  <c r="BN310" i="24"/>
  <c r="BO310" i="24"/>
  <c r="T208" i="24"/>
  <c r="U208" i="24"/>
  <c r="BN253" i="24"/>
  <c r="BO253" i="24"/>
  <c r="AA277" i="24"/>
  <c r="BU324" i="24"/>
  <c r="BU205" i="24"/>
  <c r="BU250" i="24"/>
  <c r="AR306" i="24"/>
  <c r="AQ306" i="24"/>
  <c r="AX279" i="24"/>
  <c r="AA346" i="24"/>
  <c r="AQ305" i="24"/>
  <c r="AR305" i="24"/>
  <c r="AR316" i="24"/>
  <c r="AQ316" i="24"/>
  <c r="AH224" i="24"/>
  <c r="AA290" i="24"/>
  <c r="BO233" i="24"/>
  <c r="BN233" i="24"/>
  <c r="BP233" i="24" s="1"/>
  <c r="AI247" i="24"/>
  <c r="AF47" i="24"/>
  <c r="AH47" i="24" s="1"/>
  <c r="T218" i="24"/>
  <c r="U218" i="24"/>
  <c r="AA356" i="24"/>
  <c r="K257" i="24"/>
  <c r="L257" i="24"/>
  <c r="Y348" i="23"/>
  <c r="N348" i="23"/>
  <c r="AQ352" i="24"/>
  <c r="AR352" i="24"/>
  <c r="BU292" i="24"/>
  <c r="BN287" i="24"/>
  <c r="BO287" i="24"/>
  <c r="U300" i="24"/>
  <c r="T300" i="24"/>
  <c r="AR245" i="24"/>
  <c r="AQ245" i="24"/>
  <c r="BN285" i="24"/>
  <c r="BP285" i="24" s="1"/>
  <c r="BO285" i="24"/>
  <c r="T285" i="24"/>
  <c r="V285" i="24" s="1"/>
  <c r="U285" i="24"/>
  <c r="T241" i="24"/>
  <c r="U241" i="24"/>
  <c r="V241" i="24" s="1"/>
  <c r="N347" i="23"/>
  <c r="Y347" i="23"/>
  <c r="AI347" i="24" s="1"/>
  <c r="AY218" i="23"/>
  <c r="AS226" i="24"/>
  <c r="AI238" i="24"/>
  <c r="BF327" i="24"/>
  <c r="L316" i="24"/>
  <c r="BF246" i="24"/>
  <c r="I182" i="24"/>
  <c r="AF32" i="24"/>
  <c r="I62" i="24"/>
  <c r="BF359" i="23"/>
  <c r="L359" i="24"/>
  <c r="BF350" i="23"/>
  <c r="BF350" i="24"/>
  <c r="BE238" i="24"/>
  <c r="BF238" i="24"/>
  <c r="BO268" i="24"/>
  <c r="BN268" i="24"/>
  <c r="BP268" i="24" s="1"/>
  <c r="U314" i="24"/>
  <c r="T314" i="24"/>
  <c r="AS221" i="24"/>
  <c r="T299" i="24"/>
  <c r="U299" i="24"/>
  <c r="BU335" i="24"/>
  <c r="T201" i="24"/>
  <c r="U201" i="24"/>
  <c r="T228" i="24"/>
  <c r="U228" i="24"/>
  <c r="AH241" i="24"/>
  <c r="AI241" i="24"/>
  <c r="AS211" i="24"/>
  <c r="BU225" i="24"/>
  <c r="AR224" i="24"/>
  <c r="AQ224" i="24"/>
  <c r="AS224" i="24" s="1"/>
  <c r="T256" i="24"/>
  <c r="U256" i="24"/>
  <c r="BU348" i="24"/>
  <c r="AS296" i="24"/>
  <c r="AA349" i="24"/>
  <c r="BN275" i="24"/>
  <c r="BO275" i="24"/>
  <c r="BP275" i="24" s="1"/>
  <c r="V249" i="24"/>
  <c r="AX327" i="24"/>
  <c r="AH341" i="24"/>
  <c r="AI341" i="24"/>
  <c r="BO227" i="24"/>
  <c r="BN227" i="24"/>
  <c r="BU307" i="24"/>
  <c r="AA296" i="24"/>
  <c r="AX358" i="24"/>
  <c r="BC25" i="24"/>
  <c r="AI308" i="24"/>
  <c r="AH308" i="24"/>
  <c r="BU221" i="24"/>
  <c r="T258" i="24"/>
  <c r="U258" i="24"/>
  <c r="AR252" i="24"/>
  <c r="AQ252" i="24"/>
  <c r="AS252" i="24" s="1"/>
  <c r="AY196" i="23"/>
  <c r="I164" i="24"/>
  <c r="BF304" i="24"/>
  <c r="BP360" i="24"/>
  <c r="BO236" i="24"/>
  <c r="BN236" i="24"/>
  <c r="BU317" i="24"/>
  <c r="BU207" i="24"/>
  <c r="AX284" i="24"/>
  <c r="AH332" i="24"/>
  <c r="AI332" i="24"/>
  <c r="V322" i="24"/>
  <c r="T320" i="24"/>
  <c r="U320" i="24"/>
  <c r="BE185" i="24"/>
  <c r="AA260" i="24"/>
  <c r="BN362" i="24"/>
  <c r="BP362" i="24" s="1"/>
  <c r="BO362" i="24"/>
  <c r="L12" i="23"/>
  <c r="AR361" i="24"/>
  <c r="AQ361" i="24"/>
  <c r="AS361" i="24"/>
  <c r="V281" i="24"/>
  <c r="AA214" i="24"/>
  <c r="AA274" i="24"/>
  <c r="AY329" i="23"/>
  <c r="AA338" i="24"/>
  <c r="AX270" i="24"/>
  <c r="AR310" i="24"/>
  <c r="AQ310" i="24"/>
  <c r="AS310" i="24" s="1"/>
  <c r="AR319" i="24"/>
  <c r="AQ319" i="24"/>
  <c r="AS319" i="24" s="1"/>
  <c r="AA202" i="24"/>
  <c r="T351" i="24"/>
  <c r="U351" i="24"/>
  <c r="AQ230" i="24"/>
  <c r="AR230" i="24"/>
  <c r="T324" i="24"/>
  <c r="U324" i="24"/>
  <c r="V324" i="24" s="1"/>
  <c r="AA239" i="24"/>
  <c r="L205" i="24"/>
  <c r="K281" i="24"/>
  <c r="L281" i="24"/>
  <c r="BU222" i="24"/>
  <c r="AA242" i="24"/>
  <c r="AI307" i="24"/>
  <c r="AX306" i="24"/>
  <c r="AQ196" i="24"/>
  <c r="AR196" i="24"/>
  <c r="BU266" i="24"/>
  <c r="T346" i="24"/>
  <c r="U346" i="24"/>
  <c r="V346" i="24" s="1"/>
  <c r="L49" i="23"/>
  <c r="K232" i="24"/>
  <c r="AY258" i="23"/>
  <c r="BU220" i="24"/>
  <c r="AA250" i="24"/>
  <c r="BC24" i="24"/>
  <c r="AA246" i="24"/>
  <c r="BU340" i="24"/>
  <c r="AI281" i="24"/>
  <c r="AY315" i="23"/>
  <c r="V344" i="24"/>
  <c r="L17" i="23"/>
  <c r="V296" i="24"/>
  <c r="U352" i="24"/>
  <c r="T352" i="24"/>
  <c r="V352" i="24" s="1"/>
  <c r="AA249" i="24"/>
  <c r="AQ333" i="24"/>
  <c r="AR333" i="24"/>
  <c r="AA304" i="24"/>
  <c r="AR285" i="24"/>
  <c r="AQ285" i="24"/>
  <c r="AQ279" i="24"/>
  <c r="AR279" i="24"/>
  <c r="AA241" i="24"/>
  <c r="BU330" i="24"/>
  <c r="AA251" i="24"/>
  <c r="AI326" i="24"/>
  <c r="L217" i="24"/>
  <c r="L362" i="24"/>
  <c r="BU199" i="24"/>
  <c r="AS137" i="24"/>
  <c r="BP75" i="24"/>
  <c r="AF3" i="24"/>
  <c r="AH3" i="24" s="1"/>
  <c r="BC93" i="24"/>
  <c r="AF69" i="24"/>
  <c r="BF311" i="23"/>
  <c r="AI311" i="24"/>
  <c r="BF252" i="23"/>
  <c r="BF252" i="24"/>
  <c r="L252" i="24"/>
  <c r="AI252" i="24"/>
  <c r="BF231" i="23"/>
  <c r="L231" i="24"/>
  <c r="BF231" i="24"/>
  <c r="AI251" i="24"/>
  <c r="AH251" i="24"/>
  <c r="AS222" i="24"/>
  <c r="AQ268" i="24"/>
  <c r="AR268" i="24"/>
  <c r="BO314" i="24"/>
  <c r="BN314" i="24"/>
  <c r="BU204" i="24"/>
  <c r="U247" i="24"/>
  <c r="T247" i="24"/>
  <c r="AS295" i="24"/>
  <c r="BU323" i="24"/>
  <c r="AS335" i="24"/>
  <c r="L354" i="24"/>
  <c r="AI195" i="24"/>
  <c r="AH195" i="24"/>
  <c r="BU201" i="24"/>
  <c r="BE322" i="24"/>
  <c r="BF295" i="24"/>
  <c r="BE295" i="24"/>
  <c r="V222" i="24"/>
  <c r="BN264" i="24"/>
  <c r="BO264" i="24"/>
  <c r="BP328" i="24"/>
  <c r="AQ256" i="24"/>
  <c r="AS256" i="24" s="1"/>
  <c r="AR256" i="24"/>
  <c r="BN348" i="24"/>
  <c r="BO348" i="24"/>
  <c r="AQ348" i="24"/>
  <c r="AR348" i="24"/>
  <c r="AS348" i="24" s="1"/>
  <c r="AX262" i="24"/>
  <c r="BU255" i="24"/>
  <c r="BN325" i="24"/>
  <c r="BO325" i="24"/>
  <c r="V238" i="24"/>
  <c r="AH266" i="24"/>
  <c r="AA234" i="24"/>
  <c r="V259" i="24"/>
  <c r="BF285" i="24"/>
  <c r="BE285" i="24"/>
  <c r="U307" i="24"/>
  <c r="T307" i="24"/>
  <c r="V307" i="24" s="1"/>
  <c r="BU302" i="24"/>
  <c r="AX302" i="24"/>
  <c r="AA339" i="24"/>
  <c r="N2" i="23"/>
  <c r="Y2" i="23"/>
  <c r="AI300" i="24"/>
  <c r="AH300" i="24"/>
  <c r="BO229" i="24"/>
  <c r="BN229" i="24"/>
  <c r="AY223" i="23"/>
  <c r="BO252" i="24"/>
  <c r="BN252" i="24"/>
  <c r="BP252" i="24" s="1"/>
  <c r="AA347" i="24"/>
  <c r="BU311" i="24"/>
  <c r="BU237" i="24"/>
  <c r="AR236" i="24"/>
  <c r="AQ236" i="24"/>
  <c r="AA284" i="24"/>
  <c r="BF300" i="24"/>
  <c r="BE300" i="24"/>
  <c r="BU313" i="24"/>
  <c r="AA261" i="24"/>
  <c r="AX303" i="24"/>
  <c r="BP355" i="24"/>
  <c r="AA331" i="24"/>
  <c r="BN214" i="24"/>
  <c r="BP214" i="24" s="1"/>
  <c r="BO214" i="24"/>
  <c r="BN274" i="24"/>
  <c r="BO274" i="24"/>
  <c r="AH322" i="24"/>
  <c r="K295" i="24"/>
  <c r="L295" i="24"/>
  <c r="BO269" i="24"/>
  <c r="BN269" i="24"/>
  <c r="BP269" i="24" s="1"/>
  <c r="U319" i="24"/>
  <c r="T319" i="24"/>
  <c r="BU209" i="24"/>
  <c r="BP197" i="24"/>
  <c r="BP321" i="24"/>
  <c r="BU277" i="24"/>
  <c r="L207" i="24"/>
  <c r="AX206" i="24"/>
  <c r="AA238" i="24"/>
  <c r="BF260" i="24"/>
  <c r="AA200" i="24"/>
  <c r="AR200" i="24"/>
  <c r="AQ200" i="24"/>
  <c r="AA219" i="24"/>
  <c r="BN196" i="24"/>
  <c r="BO196" i="24"/>
  <c r="AY256" i="23"/>
  <c r="AQ273" i="24"/>
  <c r="AR273" i="24"/>
  <c r="BF359" i="24"/>
  <c r="AX347" i="24"/>
  <c r="BN305" i="24"/>
  <c r="BO305" i="24"/>
  <c r="AF49" i="24"/>
  <c r="AH49" i="24" s="1"/>
  <c r="AY228" i="23"/>
  <c r="BE205" i="24"/>
  <c r="BF205" i="24"/>
  <c r="BU246" i="24"/>
  <c r="AH347" i="24"/>
  <c r="BO218" i="24"/>
  <c r="BN218" i="24"/>
  <c r="BF213" i="24"/>
  <c r="U334" i="24"/>
  <c r="T334" i="24"/>
  <c r="AI231" i="24"/>
  <c r="AX294" i="24"/>
  <c r="BU332" i="24"/>
  <c r="AA335" i="24"/>
  <c r="BU287" i="24"/>
  <c r="BO300" i="24"/>
  <c r="BP300" i="24" s="1"/>
  <c r="BN300" i="24"/>
  <c r="AA222" i="24"/>
  <c r="U329" i="24"/>
  <c r="T329" i="24"/>
  <c r="AA220" i="24"/>
  <c r="BU241" i="24"/>
  <c r="L213" i="24"/>
  <c r="BU350" i="24"/>
  <c r="L260" i="24"/>
  <c r="BU211" i="24"/>
  <c r="BF242" i="24"/>
  <c r="BU198" i="24"/>
  <c r="BC13" i="24"/>
  <c r="L7" i="23"/>
  <c r="AF154" i="24"/>
  <c r="BC122" i="24"/>
  <c r="BE122" i="24" s="1"/>
  <c r="I28" i="24"/>
  <c r="BC161" i="24"/>
  <c r="BE326" i="24"/>
  <c r="BF326" i="24"/>
  <c r="AI246" i="24"/>
  <c r="AH246" i="24"/>
  <c r="BU268" i="24"/>
  <c r="BU314" i="24"/>
  <c r="BN357" i="24"/>
  <c r="BO357" i="24"/>
  <c r="BU276" i="24"/>
  <c r="L327" i="24"/>
  <c r="K327" i="24"/>
  <c r="K222" i="24"/>
  <c r="N333" i="23"/>
  <c r="Y333" i="23"/>
  <c r="BF333" i="24" s="1"/>
  <c r="BU244" i="24"/>
  <c r="AA309" i="24"/>
  <c r="T348" i="24"/>
  <c r="U348" i="24"/>
  <c r="V348" i="24" s="1"/>
  <c r="L256" i="24"/>
  <c r="AA337" i="24"/>
  <c r="BU242" i="24"/>
  <c r="AA315" i="24"/>
  <c r="AA307" i="24"/>
  <c r="AA282" i="24"/>
  <c r="BU358" i="24"/>
  <c r="AA302" i="24"/>
  <c r="BN288" i="24"/>
  <c r="BO288" i="24"/>
  <c r="BN312" i="24"/>
  <c r="BO312" i="24"/>
  <c r="BP312" i="24" s="1"/>
  <c r="BU229" i="24"/>
  <c r="BU254" i="24"/>
  <c r="BU282" i="24"/>
  <c r="AA311" i="24"/>
  <c r="L221" i="24"/>
  <c r="L337" i="24"/>
  <c r="BU320" i="24"/>
  <c r="AA313" i="24"/>
  <c r="BO313" i="24"/>
  <c r="BN313" i="24"/>
  <c r="K185" i="24"/>
  <c r="AA244" i="24"/>
  <c r="T303" i="24"/>
  <c r="V303" i="24" s="1"/>
  <c r="U303" i="24"/>
  <c r="AH306" i="24"/>
  <c r="AR212" i="24"/>
  <c r="AQ212" i="24"/>
  <c r="BU296" i="24"/>
  <c r="AA345" i="24"/>
  <c r="BU280" i="24"/>
  <c r="AX310" i="24"/>
  <c r="AA267" i="24"/>
  <c r="U253" i="24"/>
  <c r="T253" i="24"/>
  <c r="BO351" i="24"/>
  <c r="BN351" i="24"/>
  <c r="BU301" i="24"/>
  <c r="L238" i="24"/>
  <c r="AA353" i="24"/>
  <c r="AA306" i="24"/>
  <c r="BN278" i="24"/>
  <c r="BO278" i="24"/>
  <c r="AA199" i="24"/>
  <c r="BO346" i="24"/>
  <c r="BN346" i="24"/>
  <c r="BU305" i="24"/>
  <c r="AX316" i="24"/>
  <c r="BO290" i="24"/>
  <c r="BN290" i="24"/>
  <c r="AA270" i="24"/>
  <c r="BU271" i="24"/>
  <c r="BU233" i="24"/>
  <c r="T233" i="24"/>
  <c r="U233" i="24"/>
  <c r="BU251" i="24"/>
  <c r="BC47" i="24"/>
  <c r="BE47" i="24" s="1"/>
  <c r="AI207" i="24"/>
  <c r="T356" i="24"/>
  <c r="U356" i="24"/>
  <c r="BN356" i="24"/>
  <c r="BO356" i="24"/>
  <c r="BF289" i="24"/>
  <c r="BF302" i="24"/>
  <c r="BU334" i="24"/>
  <c r="AQ294" i="24"/>
  <c r="AR294" i="24"/>
  <c r="AQ215" i="24"/>
  <c r="AR215" i="24"/>
  <c r="AA332" i="24"/>
  <c r="BO332" i="24"/>
  <c r="BN332" i="24"/>
  <c r="AA281" i="24"/>
  <c r="AQ292" i="24"/>
  <c r="AS292" i="24" s="1"/>
  <c r="AR292" i="24"/>
  <c r="BC127" i="24"/>
  <c r="AR300" i="24"/>
  <c r="AQ300" i="24"/>
  <c r="K333" i="24"/>
  <c r="T245" i="24"/>
  <c r="U245" i="24"/>
  <c r="BP280" i="24"/>
  <c r="BO293" i="24"/>
  <c r="BN293" i="24"/>
  <c r="AX326" i="24"/>
  <c r="BU331" i="24"/>
  <c r="V263" i="24"/>
  <c r="L248" i="24"/>
  <c r="BF257" i="24"/>
  <c r="V28" i="24"/>
  <c r="AY131" i="23"/>
  <c r="BP175" i="24"/>
  <c r="AY52" i="23"/>
  <c r="V63" i="24"/>
  <c r="BC158" i="24"/>
  <c r="AF148" i="24"/>
  <c r="AF187" i="24"/>
  <c r="AH187" i="24" s="1"/>
  <c r="I3" i="24"/>
  <c r="K3" i="24" s="1"/>
  <c r="BC147" i="24"/>
  <c r="BE147" i="24" s="1"/>
  <c r="BC69" i="24"/>
  <c r="BF212" i="23"/>
  <c r="BF212" i="24"/>
  <c r="L212" i="24"/>
  <c r="AH198" i="24"/>
  <c r="BF332" i="24"/>
  <c r="BE332" i="24"/>
  <c r="AX268" i="24"/>
  <c r="BU299" i="24"/>
  <c r="AA226" i="24"/>
  <c r="BF321" i="24"/>
  <c r="BE281" i="24"/>
  <c r="BF281" i="24"/>
  <c r="AA280" i="24"/>
  <c r="AA259" i="24"/>
  <c r="AX309" i="24"/>
  <c r="AA197" i="24"/>
  <c r="BU224" i="24"/>
  <c r="AA203" i="24"/>
  <c r="AI255" i="24"/>
  <c r="AH255" i="24"/>
  <c r="AA262" i="24"/>
  <c r="BN262" i="24"/>
  <c r="BP262" i="24" s="1"/>
  <c r="BO262" i="24"/>
  <c r="AQ195" i="24"/>
  <c r="AR195" i="24"/>
  <c r="BN298" i="24"/>
  <c r="BO298" i="24"/>
  <c r="BP298" i="24" s="1"/>
  <c r="AS359" i="24"/>
  <c r="V336" i="24"/>
  <c r="AX276" i="24"/>
  <c r="BU243" i="24"/>
  <c r="AQ315" i="24"/>
  <c r="AR315" i="24"/>
  <c r="AQ327" i="24"/>
  <c r="AR327" i="24"/>
  <c r="AR358" i="24"/>
  <c r="AQ358" i="24"/>
  <c r="AQ302" i="24"/>
  <c r="AR302" i="24"/>
  <c r="BU288" i="24"/>
  <c r="L251" i="24"/>
  <c r="K251" i="24"/>
  <c r="BU337" i="24"/>
  <c r="BU283" i="24"/>
  <c r="AI212" i="24"/>
  <c r="BO284" i="24"/>
  <c r="BN284" i="24"/>
  <c r="AA318" i="24"/>
  <c r="AA362" i="24"/>
  <c r="BN303" i="24"/>
  <c r="BO303" i="24"/>
  <c r="BU212" i="24"/>
  <c r="AY348" i="23"/>
  <c r="U361" i="24"/>
  <c r="T361" i="24"/>
  <c r="AA217" i="24"/>
  <c r="BF200" i="23"/>
  <c r="L200" i="24"/>
  <c r="AX274" i="24"/>
  <c r="AI205" i="24"/>
  <c r="AH205" i="24"/>
  <c r="AI257" i="24"/>
  <c r="AH257" i="24"/>
  <c r="AA322" i="24"/>
  <c r="BU310" i="24"/>
  <c r="N142" i="23"/>
  <c r="Y142" i="23"/>
  <c r="BN319" i="24"/>
  <c r="BO319" i="24"/>
  <c r="V231" i="24"/>
  <c r="BU235" i="24"/>
  <c r="AQ351" i="24"/>
  <c r="AR351" i="24"/>
  <c r="AQ277" i="24"/>
  <c r="AR277" i="24"/>
  <c r="BN324" i="24"/>
  <c r="BP324" i="24" s="1"/>
  <c r="BO324" i="24"/>
  <c r="L304" i="24"/>
  <c r="AY214" i="23"/>
  <c r="AH328" i="24"/>
  <c r="L326" i="24"/>
  <c r="BO200" i="24"/>
  <c r="BN200" i="24"/>
  <c r="AA336" i="24"/>
  <c r="I159" i="24"/>
  <c r="AX278" i="24"/>
  <c r="BU273" i="24"/>
  <c r="BU326" i="24"/>
  <c r="T316" i="24"/>
  <c r="U316" i="24"/>
  <c r="AI200" i="24"/>
  <c r="K263" i="24"/>
  <c r="L263" i="24"/>
  <c r="BU270" i="24"/>
  <c r="T250" i="24"/>
  <c r="U250" i="24"/>
  <c r="AX247" i="24"/>
  <c r="BO240" i="24"/>
  <c r="BN240" i="24"/>
  <c r="BU217" i="24"/>
  <c r="AQ218" i="24"/>
  <c r="AS218" i="24" s="1"/>
  <c r="AR218" i="24"/>
  <c r="AS349" i="24"/>
  <c r="AR356" i="24"/>
  <c r="AQ356" i="24"/>
  <c r="BU339" i="24"/>
  <c r="BU261" i="24"/>
  <c r="AI302" i="24"/>
  <c r="BU232" i="24"/>
  <c r="L227" i="24"/>
  <c r="AA360" i="24"/>
  <c r="U292" i="24"/>
  <c r="T292" i="24"/>
  <c r="K276" i="24"/>
  <c r="L276" i="24"/>
  <c r="BP222" i="24"/>
  <c r="BU245" i="24"/>
  <c r="AX304" i="24"/>
  <c r="AQ241" i="24"/>
  <c r="AR241" i="24"/>
  <c r="BF362" i="24"/>
  <c r="BF337" i="24"/>
  <c r="BF241" i="24"/>
  <c r="AI216" i="24"/>
  <c r="N222" i="23"/>
  <c r="Y222" i="23"/>
  <c r="N343" i="23"/>
  <c r="Y343" i="23"/>
  <c r="Y328" i="23"/>
  <c r="N328" i="23"/>
  <c r="Y331" i="23"/>
  <c r="N331" i="23"/>
  <c r="N224" i="23"/>
  <c r="Y224" i="23"/>
  <c r="N249" i="23"/>
  <c r="Y249" i="23"/>
  <c r="N199" i="23"/>
  <c r="Y199" i="23"/>
  <c r="AI199" i="24" s="1"/>
  <c r="N258" i="23"/>
  <c r="Y258" i="23"/>
  <c r="Y266" i="23"/>
  <c r="BF266" i="23" s="1"/>
  <c r="N266" i="23"/>
  <c r="Y286" i="23"/>
  <c r="N286" i="23"/>
  <c r="Y265" i="23"/>
  <c r="N265" i="23"/>
  <c r="Y198" i="23"/>
  <c r="AI198" i="24" s="1"/>
  <c r="N198" i="23"/>
  <c r="N322" i="23"/>
  <c r="Y322" i="23"/>
  <c r="BF322" i="23" s="1"/>
  <c r="N287" i="23"/>
  <c r="Y287" i="23"/>
  <c r="Y232" i="23"/>
  <c r="BF232" i="23" s="1"/>
  <c r="N232" i="23"/>
  <c r="Y317" i="23"/>
  <c r="N317" i="23"/>
  <c r="N280" i="23"/>
  <c r="Y280" i="23"/>
  <c r="AI280" i="24" s="1"/>
  <c r="K32" i="24"/>
  <c r="K130" i="24"/>
  <c r="K27" i="24"/>
  <c r="BE177" i="24"/>
  <c r="BF177" i="24"/>
  <c r="K53" i="24"/>
  <c r="BE148" i="24"/>
  <c r="BE85" i="24"/>
  <c r="BF167" i="24"/>
  <c r="BE167" i="24"/>
  <c r="Y138" i="23"/>
  <c r="BF138" i="23" s="1"/>
  <c r="N138" i="23"/>
  <c r="AH128" i="24"/>
  <c r="AH122" i="24"/>
  <c r="AH75" i="24"/>
  <c r="K157" i="24"/>
  <c r="AH154" i="24"/>
  <c r="BE83" i="24"/>
  <c r="BE69" i="24"/>
  <c r="K28" i="24"/>
  <c r="BE135" i="24"/>
  <c r="K148" i="24"/>
  <c r="BE182" i="24"/>
  <c r="BE62" i="24"/>
  <c r="N53" i="23"/>
  <c r="Y53" i="23"/>
  <c r="BF53" i="23" s="1"/>
  <c r="AH53" i="24"/>
  <c r="BF13" i="24"/>
  <c r="BE13" i="24"/>
  <c r="BE100" i="24"/>
  <c r="BE108" i="24"/>
  <c r="BF180" i="23"/>
  <c r="BF180" i="24"/>
  <c r="BF190" i="23"/>
  <c r="L190" i="24"/>
  <c r="AY6" i="23"/>
  <c r="AY59" i="23"/>
  <c r="AY122" i="23"/>
  <c r="AY83" i="23"/>
  <c r="L48" i="23"/>
  <c r="N48" i="23" s="1"/>
  <c r="AY29" i="23"/>
  <c r="BE193" i="24"/>
  <c r="BF193" i="24"/>
  <c r="BN180" i="24"/>
  <c r="BO180" i="24"/>
  <c r="T180" i="24"/>
  <c r="U180" i="24"/>
  <c r="BF110" i="24"/>
  <c r="N129" i="23"/>
  <c r="Y129" i="23"/>
  <c r="AX66" i="24"/>
  <c r="BF71" i="24"/>
  <c r="BE71" i="24"/>
  <c r="BN50" i="24"/>
  <c r="BO50" i="24"/>
  <c r="T50" i="24"/>
  <c r="U50" i="24"/>
  <c r="AS185" i="24"/>
  <c r="AX171" i="24"/>
  <c r="AX170" i="24"/>
  <c r="BU105" i="24"/>
  <c r="BU72" i="24"/>
  <c r="AA100" i="24"/>
  <c r="AA101" i="24"/>
  <c r="BO54" i="24"/>
  <c r="BN54" i="24"/>
  <c r="AH112" i="24"/>
  <c r="AI112" i="24"/>
  <c r="AH121" i="24"/>
  <c r="AH64" i="24"/>
  <c r="AY154" i="23"/>
  <c r="AQ61" i="24"/>
  <c r="AR61" i="24"/>
  <c r="AI163" i="24"/>
  <c r="BU190" i="24"/>
  <c r="AX126" i="24"/>
  <c r="AX87" i="24"/>
  <c r="AX88" i="24"/>
  <c r="K77" i="24"/>
  <c r="L77" i="24"/>
  <c r="AS144" i="24"/>
  <c r="AH124" i="24"/>
  <c r="AI124" i="24"/>
  <c r="BE188" i="24"/>
  <c r="BF188" i="24"/>
  <c r="AF138" i="24"/>
  <c r="AA58" i="24"/>
  <c r="AA59" i="24"/>
  <c r="BN139" i="24"/>
  <c r="BO139" i="24"/>
  <c r="AA86" i="24"/>
  <c r="AQ86" i="24"/>
  <c r="AR86" i="24"/>
  <c r="AA75" i="24"/>
  <c r="AA74" i="24"/>
  <c r="BF168" i="24"/>
  <c r="BE168" i="24"/>
  <c r="AS56" i="24"/>
  <c r="BU17" i="24"/>
  <c r="AR184" i="24"/>
  <c r="AQ184" i="24"/>
  <c r="AX166" i="24"/>
  <c r="AX167" i="24"/>
  <c r="AQ166" i="24"/>
  <c r="AR166" i="24"/>
  <c r="AS166" i="24" s="1"/>
  <c r="AQ153" i="24"/>
  <c r="AR153" i="24"/>
  <c r="AR103" i="24"/>
  <c r="AQ103" i="24"/>
  <c r="AA103" i="24"/>
  <c r="AF56" i="24"/>
  <c r="BF190" i="24"/>
  <c r="BE190" i="24"/>
  <c r="U82" i="24"/>
  <c r="T82" i="24"/>
  <c r="V82" i="24" s="1"/>
  <c r="AQ165" i="24"/>
  <c r="AR165" i="24"/>
  <c r="BO165" i="24"/>
  <c r="BN165" i="24"/>
  <c r="T108" i="24"/>
  <c r="U108" i="24"/>
  <c r="AQ131" i="24"/>
  <c r="AR131" i="24"/>
  <c r="BU164" i="24"/>
  <c r="AF175" i="24"/>
  <c r="L183" i="24"/>
  <c r="K183" i="24"/>
  <c r="AR12" i="24"/>
  <c r="AQ12" i="24"/>
  <c r="L89" i="24"/>
  <c r="AI34" i="24"/>
  <c r="AH94" i="24"/>
  <c r="AI94" i="24"/>
  <c r="AI193" i="24"/>
  <c r="AH193" i="24"/>
  <c r="U30" i="24"/>
  <c r="T30" i="24"/>
  <c r="AQ117" i="24"/>
  <c r="AS117" i="24" s="1"/>
  <c r="AR117" i="24"/>
  <c r="AA64" i="24"/>
  <c r="AX80" i="24"/>
  <c r="AX81" i="24"/>
  <c r="T125" i="24"/>
  <c r="U125" i="24"/>
  <c r="BN107" i="24"/>
  <c r="BO107" i="24"/>
  <c r="AI151" i="24"/>
  <c r="BE64" i="24"/>
  <c r="BE23" i="24"/>
  <c r="BE118" i="24"/>
  <c r="BF118" i="24"/>
  <c r="BU44" i="24"/>
  <c r="BU45" i="24"/>
  <c r="BO115" i="24"/>
  <c r="BN115" i="24"/>
  <c r="BP115" i="24" s="1"/>
  <c r="AR109" i="24"/>
  <c r="AQ109" i="24"/>
  <c r="BU128" i="24"/>
  <c r="BU127" i="24"/>
  <c r="AX93" i="24"/>
  <c r="AX9" i="24"/>
  <c r="L151" i="24"/>
  <c r="L71" i="24"/>
  <c r="BF134" i="24"/>
  <c r="AX97" i="24"/>
  <c r="BN97" i="24"/>
  <c r="BO97" i="24"/>
  <c r="BP97" i="24" s="1"/>
  <c r="BO92" i="24"/>
  <c r="BN92" i="24"/>
  <c r="U92" i="24"/>
  <c r="T92" i="24"/>
  <c r="AA149" i="24"/>
  <c r="AX172" i="24"/>
  <c r="BO46" i="24"/>
  <c r="BN46" i="24"/>
  <c r="T68" i="24"/>
  <c r="U68" i="24"/>
  <c r="V68" i="24" s="1"/>
  <c r="AR42" i="24"/>
  <c r="AQ42" i="24"/>
  <c r="I158" i="24"/>
  <c r="AS156" i="24"/>
  <c r="K134" i="24"/>
  <c r="L134" i="24"/>
  <c r="AI173" i="24"/>
  <c r="AX123" i="24"/>
  <c r="BN191" i="24"/>
  <c r="BO191" i="24"/>
  <c r="AA181" i="24"/>
  <c r="BC50" i="24"/>
  <c r="BC154" i="24"/>
  <c r="AI119" i="24"/>
  <c r="BC105" i="24"/>
  <c r="BE54" i="24"/>
  <c r="AF111" i="24"/>
  <c r="AH126" i="24"/>
  <c r="AI21" i="24"/>
  <c r="BF179" i="24"/>
  <c r="AY48" i="23"/>
  <c r="L8" i="23"/>
  <c r="N8" i="23" s="1"/>
  <c r="L161" i="23"/>
  <c r="N161" i="23" s="1"/>
  <c r="AY28" i="23"/>
  <c r="BC27" i="24"/>
  <c r="BU120" i="24"/>
  <c r="BU119" i="24"/>
  <c r="AQ180" i="24"/>
  <c r="AR180" i="24"/>
  <c r="V185" i="24"/>
  <c r="AA66" i="24"/>
  <c r="AA65" i="24"/>
  <c r="BE9" i="24"/>
  <c r="BF9" i="24"/>
  <c r="AS28" i="24"/>
  <c r="AQ73" i="24"/>
  <c r="AR73" i="24"/>
  <c r="AA160" i="24"/>
  <c r="AA159" i="24"/>
  <c r="AQ170" i="24"/>
  <c r="AR170" i="24"/>
  <c r="AX99" i="24"/>
  <c r="AX98" i="24"/>
  <c r="BN39" i="24"/>
  <c r="BO39" i="24"/>
  <c r="T105" i="24"/>
  <c r="U105" i="24"/>
  <c r="BO72" i="24"/>
  <c r="BN72" i="24"/>
  <c r="BN100" i="24"/>
  <c r="BO100" i="24"/>
  <c r="T100" i="24"/>
  <c r="U100" i="24"/>
  <c r="AX54" i="24"/>
  <c r="T129" i="24"/>
  <c r="U129" i="24"/>
  <c r="BU147" i="24"/>
  <c r="BU148" i="24"/>
  <c r="AI98" i="24"/>
  <c r="AH98" i="24"/>
  <c r="BO61" i="24"/>
  <c r="BN61" i="24"/>
  <c r="BU183" i="24"/>
  <c r="BU126" i="24"/>
  <c r="V90" i="24"/>
  <c r="AI176" i="24"/>
  <c r="BN7" i="24"/>
  <c r="BO7" i="24"/>
  <c r="U154" i="24"/>
  <c r="T154" i="24"/>
  <c r="AA155" i="24"/>
  <c r="AA154" i="24"/>
  <c r="BN53" i="24"/>
  <c r="BO53" i="24"/>
  <c r="AH77" i="24"/>
  <c r="AI77" i="24"/>
  <c r="BF137" i="24"/>
  <c r="BE137" i="24"/>
  <c r="T184" i="24"/>
  <c r="U184" i="24"/>
  <c r="V184" i="24" s="1"/>
  <c r="AF22" i="24"/>
  <c r="AX36" i="24"/>
  <c r="AX35" i="24"/>
  <c r="AA82" i="24"/>
  <c r="AA83" i="24"/>
  <c r="AQ108" i="24"/>
  <c r="AR108" i="24"/>
  <c r="BU60" i="24"/>
  <c r="AX60" i="24"/>
  <c r="AX164" i="24"/>
  <c r="BU162" i="24"/>
  <c r="AX162" i="24"/>
  <c r="BF112" i="24"/>
  <c r="BF104" i="24"/>
  <c r="BE104" i="24"/>
  <c r="L168" i="24"/>
  <c r="K168" i="24"/>
  <c r="AX23" i="24"/>
  <c r="AA96" i="24"/>
  <c r="AA118" i="24"/>
  <c r="AA117" i="24"/>
  <c r="AQ80" i="24"/>
  <c r="AR80" i="24"/>
  <c r="AS80" i="24" s="1"/>
  <c r="T79" i="24"/>
  <c r="U79" i="24"/>
  <c r="BN125" i="24"/>
  <c r="BO125" i="24"/>
  <c r="AX150" i="24"/>
  <c r="AX151" i="24"/>
  <c r="V40" i="24"/>
  <c r="BF87" i="24"/>
  <c r="BE87" i="24"/>
  <c r="BF52" i="24"/>
  <c r="L124" i="24"/>
  <c r="AH149" i="24"/>
  <c r="BN44" i="24"/>
  <c r="BO44" i="24"/>
  <c r="T115" i="24"/>
  <c r="U115" i="24"/>
  <c r="T109" i="24"/>
  <c r="U109" i="24"/>
  <c r="L108" i="23"/>
  <c r="T127" i="24"/>
  <c r="U127" i="24"/>
  <c r="AY58" i="23"/>
  <c r="BF15" i="24"/>
  <c r="L42" i="24"/>
  <c r="T182" i="24"/>
  <c r="U182" i="24"/>
  <c r="AX182" i="24"/>
  <c r="AA55" i="24"/>
  <c r="AA56" i="24"/>
  <c r="AX56" i="24"/>
  <c r="AX55" i="24"/>
  <c r="L173" i="24"/>
  <c r="BN27" i="24"/>
  <c r="BO27" i="24"/>
  <c r="AA27" i="24"/>
  <c r="AA28" i="24"/>
  <c r="AX94" i="24"/>
  <c r="AX95" i="24"/>
  <c r="AA19" i="24"/>
  <c r="AA18" i="24"/>
  <c r="BN149" i="24"/>
  <c r="BO149" i="24"/>
  <c r="AX47" i="24"/>
  <c r="AX46" i="24"/>
  <c r="BN10" i="24"/>
  <c r="BO10" i="24"/>
  <c r="AA70" i="24"/>
  <c r="AA186" i="24"/>
  <c r="AA15" i="24"/>
  <c r="AA158" i="24"/>
  <c r="AA189" i="24"/>
  <c r="AA78" i="24"/>
  <c r="AA5" i="24"/>
  <c r="AA142" i="24"/>
  <c r="AA20" i="24"/>
  <c r="AA37" i="24"/>
  <c r="AA134" i="24"/>
  <c r="AA67" i="24"/>
  <c r="AA38" i="24"/>
  <c r="AA143" i="24"/>
  <c r="AA48" i="24"/>
  <c r="AA113" i="24"/>
  <c r="AA177" i="24"/>
  <c r="AA157" i="24"/>
  <c r="AA14" i="24"/>
  <c r="AA29" i="24"/>
  <c r="AA144" i="24"/>
  <c r="AA22" i="24"/>
  <c r="AA57" i="24"/>
  <c r="AA102" i="24"/>
  <c r="AA141" i="24"/>
  <c r="AA4" i="24"/>
  <c r="AA178" i="24"/>
  <c r="AA187" i="24"/>
  <c r="AA112" i="24"/>
  <c r="AA89" i="24"/>
  <c r="AA63" i="24"/>
  <c r="AA152" i="24"/>
  <c r="AA133" i="24"/>
  <c r="AA168" i="24"/>
  <c r="AA77" i="24"/>
  <c r="AA16" i="24"/>
  <c r="AA156" i="24"/>
  <c r="AA114" i="24"/>
  <c r="AA111" i="24"/>
  <c r="AA176" i="24"/>
  <c r="AA71" i="24"/>
  <c r="AA6" i="24"/>
  <c r="AA9" i="24"/>
  <c r="AA76" i="24"/>
  <c r="AA188" i="24"/>
  <c r="AA34" i="24"/>
  <c r="AA41" i="24"/>
  <c r="AA3" i="24"/>
  <c r="AA122" i="24"/>
  <c r="AA21" i="24"/>
  <c r="AA121" i="24"/>
  <c r="AA179" i="24"/>
  <c r="AA90" i="24"/>
  <c r="AA169" i="24"/>
  <c r="AR68" i="24"/>
  <c r="AQ68" i="24"/>
  <c r="K14" i="24"/>
  <c r="L14" i="24"/>
  <c r="BE121" i="24"/>
  <c r="BF19" i="24"/>
  <c r="BE19" i="24"/>
  <c r="AH67" i="24"/>
  <c r="K58" i="24"/>
  <c r="AA123" i="24"/>
  <c r="AH46" i="24"/>
  <c r="BN91" i="24"/>
  <c r="BO91" i="24"/>
  <c r="AQ181" i="24"/>
  <c r="AR181" i="24"/>
  <c r="AF85" i="24"/>
  <c r="BC32" i="24"/>
  <c r="BC150" i="24"/>
  <c r="BF11" i="24"/>
  <c r="I140" i="24"/>
  <c r="L94" i="24"/>
  <c r="BF29" i="24"/>
  <c r="BC132" i="24"/>
  <c r="AI168" i="24"/>
  <c r="I69" i="24"/>
  <c r="BF19" i="23"/>
  <c r="L19" i="24"/>
  <c r="AI59" i="24"/>
  <c r="AH59" i="24"/>
  <c r="L61" i="24"/>
  <c r="K61" i="24"/>
  <c r="BE119" i="24"/>
  <c r="BF119" i="24"/>
  <c r="AH27" i="24"/>
  <c r="K11" i="24"/>
  <c r="L11" i="24"/>
  <c r="AR119" i="24"/>
  <c r="AQ119" i="24"/>
  <c r="AH97" i="24"/>
  <c r="AA32" i="24"/>
  <c r="AA33" i="24"/>
  <c r="BF123" i="24"/>
  <c r="BE123" i="24"/>
  <c r="K87" i="24"/>
  <c r="L87" i="24"/>
  <c r="T73" i="24"/>
  <c r="U73" i="24"/>
  <c r="U159" i="24"/>
  <c r="T159" i="24"/>
  <c r="U98" i="24"/>
  <c r="T98" i="24"/>
  <c r="BU98" i="24"/>
  <c r="BU99" i="24"/>
  <c r="BU40" i="24"/>
  <c r="BU39" i="24"/>
  <c r="AX100" i="24"/>
  <c r="AX101" i="24"/>
  <c r="AR54" i="24"/>
  <c r="AQ54" i="24"/>
  <c r="BU25" i="24"/>
  <c r="BU26" i="24"/>
  <c r="AQ147" i="24"/>
  <c r="AR147" i="24"/>
  <c r="AH74" i="24"/>
  <c r="AI11" i="24"/>
  <c r="AH11" i="24"/>
  <c r="U190" i="24"/>
  <c r="T190" i="24"/>
  <c r="BN190" i="24"/>
  <c r="BO190" i="24"/>
  <c r="T183" i="24"/>
  <c r="U183" i="24"/>
  <c r="T87" i="24"/>
  <c r="U87" i="24"/>
  <c r="AI190" i="24"/>
  <c r="AI95" i="24"/>
  <c r="AH95" i="24"/>
  <c r="BF143" i="24"/>
  <c r="BE143" i="24"/>
  <c r="BU7" i="24"/>
  <c r="BU8" i="24"/>
  <c r="BU155" i="24"/>
  <c r="BU154" i="24"/>
  <c r="T139" i="24"/>
  <c r="U139" i="24"/>
  <c r="U53" i="24"/>
  <c r="T53" i="24"/>
  <c r="AH20" i="24"/>
  <c r="BF151" i="24"/>
  <c r="BE151" i="24"/>
  <c r="K68" i="24"/>
  <c r="L99" i="24"/>
  <c r="K99" i="24"/>
  <c r="K113" i="24"/>
  <c r="L113" i="24"/>
  <c r="AR17" i="24"/>
  <c r="AQ17" i="24"/>
  <c r="T173" i="24"/>
  <c r="U173" i="24"/>
  <c r="BN166" i="24"/>
  <c r="BO166" i="24"/>
  <c r="BE55" i="24"/>
  <c r="T84" i="24"/>
  <c r="U84" i="24"/>
  <c r="T103" i="24"/>
  <c r="U103" i="24"/>
  <c r="L22" i="24"/>
  <c r="K22" i="24"/>
  <c r="K56" i="24"/>
  <c r="L56" i="24"/>
  <c r="AI180" i="24"/>
  <c r="AI102" i="24"/>
  <c r="AH102" i="24"/>
  <c r="K170" i="24"/>
  <c r="U35" i="24"/>
  <c r="T35" i="24"/>
  <c r="AA165" i="24"/>
  <c r="U165" i="24"/>
  <c r="T165" i="24"/>
  <c r="AQ161" i="24"/>
  <c r="AR161" i="24"/>
  <c r="AQ60" i="24"/>
  <c r="AR60" i="24"/>
  <c r="AA60" i="24"/>
  <c r="BU131" i="24"/>
  <c r="BU132" i="24"/>
  <c r="BN12" i="24"/>
  <c r="BO12" i="24"/>
  <c r="L178" i="24"/>
  <c r="K178" i="24"/>
  <c r="L72" i="24"/>
  <c r="AX30" i="24"/>
  <c r="AX31" i="24"/>
  <c r="BU23" i="24"/>
  <c r="BU96" i="24"/>
  <c r="BN117" i="24"/>
  <c r="BO117" i="24"/>
  <c r="BU64" i="24"/>
  <c r="AA163" i="24"/>
  <c r="AA81" i="24"/>
  <c r="AA80" i="24"/>
  <c r="U80" i="24"/>
  <c r="T80" i="24"/>
  <c r="AA125" i="24"/>
  <c r="T107" i="24"/>
  <c r="V107" i="24" s="1"/>
  <c r="U107" i="24"/>
  <c r="U52" i="24"/>
  <c r="T52" i="24"/>
  <c r="AR150" i="24"/>
  <c r="AQ150" i="24"/>
  <c r="T104" i="24"/>
  <c r="U104" i="24"/>
  <c r="AQ115" i="24"/>
  <c r="AR115" i="24"/>
  <c r="AQ124" i="24"/>
  <c r="AS124" i="24" s="1"/>
  <c r="AR124" i="24"/>
  <c r="BN93" i="24"/>
  <c r="BO93" i="24"/>
  <c r="BP93" i="24" s="1"/>
  <c r="I135" i="24"/>
  <c r="AI78" i="24"/>
  <c r="BU182" i="24"/>
  <c r="BU56" i="24"/>
  <c r="BU55" i="24"/>
  <c r="BU97" i="24"/>
  <c r="AX92" i="24"/>
  <c r="BU28" i="24"/>
  <c r="BU27" i="24"/>
  <c r="U149" i="24"/>
  <c r="T149" i="24"/>
  <c r="BU47" i="24"/>
  <c r="BU46" i="24"/>
  <c r="AX10" i="24"/>
  <c r="AQ2" i="24"/>
  <c r="AR2" i="24"/>
  <c r="BN2" i="24"/>
  <c r="BO2" i="24"/>
  <c r="AX43" i="24"/>
  <c r="BE45" i="24"/>
  <c r="BF158" i="24"/>
  <c r="BE158" i="24"/>
  <c r="AI123" i="24"/>
  <c r="AH123" i="24"/>
  <c r="BF34" i="24"/>
  <c r="BE34" i="24"/>
  <c r="AQ136" i="24"/>
  <c r="AS136" i="24" s="1"/>
  <c r="AR136" i="24"/>
  <c r="BN136" i="24"/>
  <c r="BO136" i="24"/>
  <c r="BP136" i="24" s="1"/>
  <c r="U85" i="24"/>
  <c r="T85" i="24"/>
  <c r="V85" i="24" s="1"/>
  <c r="N46" i="23"/>
  <c r="Y46" i="23"/>
  <c r="BF46" i="23" s="1"/>
  <c r="BF173" i="24"/>
  <c r="BU91" i="24"/>
  <c r="AA91" i="24"/>
  <c r="T193" i="24"/>
  <c r="U193" i="24"/>
  <c r="BU181" i="24"/>
  <c r="BN181" i="24"/>
  <c r="BP181" i="24"/>
  <c r="BO181" i="24"/>
  <c r="AH148" i="24"/>
  <c r="AH182" i="24"/>
  <c r="K50" i="24"/>
  <c r="BF91" i="24"/>
  <c r="I48" i="24"/>
  <c r="BE88" i="24"/>
  <c r="L112" i="24"/>
  <c r="BC75" i="24"/>
  <c r="AI91" i="24"/>
  <c r="I160" i="24"/>
  <c r="BE128" i="24"/>
  <c r="L188" i="24"/>
  <c r="AI117" i="24"/>
  <c r="BE93" i="24"/>
  <c r="AH69" i="24"/>
  <c r="AH43" i="24"/>
  <c r="AH114" i="24"/>
  <c r="BF162" i="23"/>
  <c r="AI162" i="24"/>
  <c r="BF162" i="24"/>
  <c r="BF14" i="23"/>
  <c r="BF14" i="24"/>
  <c r="L160" i="23"/>
  <c r="Y160" i="23" s="1"/>
  <c r="AI160" i="24" s="1"/>
  <c r="L141" i="23"/>
  <c r="Y141" i="23" s="1"/>
  <c r="AY77" i="23"/>
  <c r="AY57" i="23"/>
  <c r="V160" i="24"/>
  <c r="AI118" i="24"/>
  <c r="AH118" i="24"/>
  <c r="AH136" i="24"/>
  <c r="AI136" i="24"/>
  <c r="L103" i="24"/>
  <c r="K103" i="24"/>
  <c r="BN138" i="24"/>
  <c r="BO138" i="24"/>
  <c r="BU65" i="24"/>
  <c r="BU66" i="24"/>
  <c r="L167" i="24"/>
  <c r="K167" i="24"/>
  <c r="BF95" i="24"/>
  <c r="BE95" i="24"/>
  <c r="BE153" i="24"/>
  <c r="BF153" i="24"/>
  <c r="AH143" i="24"/>
  <c r="AI143" i="24"/>
  <c r="AQ50" i="24"/>
  <c r="AR50" i="24"/>
  <c r="AX73" i="24"/>
  <c r="AR159" i="24"/>
  <c r="AQ159" i="24"/>
  <c r="BO98" i="24"/>
  <c r="BN98" i="24"/>
  <c r="AR39" i="24"/>
  <c r="AQ39" i="24"/>
  <c r="AS39" i="24" s="1"/>
  <c r="AR105" i="24"/>
  <c r="AQ105" i="24"/>
  <c r="BU100" i="24"/>
  <c r="BU101" i="24"/>
  <c r="BN129" i="24"/>
  <c r="BO129" i="24"/>
  <c r="BU129" i="24"/>
  <c r="BU130" i="24"/>
  <c r="BN25" i="24"/>
  <c r="BO25" i="24"/>
  <c r="BU42" i="24"/>
  <c r="AH57" i="24"/>
  <c r="AI57" i="24"/>
  <c r="AA190" i="24"/>
  <c r="AX183" i="24"/>
  <c r="L44" i="24"/>
  <c r="K44" i="24"/>
  <c r="AX42" i="24"/>
  <c r="BE40" i="24"/>
  <c r="BF40" i="24"/>
  <c r="AH76" i="24"/>
  <c r="AI76" i="24"/>
  <c r="AH169" i="24"/>
  <c r="BE146" i="24"/>
  <c r="AI113" i="24"/>
  <c r="AX8" i="24"/>
  <c r="AX7" i="24"/>
  <c r="AI18" i="24"/>
  <c r="AH18" i="24"/>
  <c r="AA194" i="24"/>
  <c r="BN58" i="24"/>
  <c r="BO58" i="24"/>
  <c r="BU140" i="24"/>
  <c r="BU75" i="24"/>
  <c r="BU74" i="24"/>
  <c r="BE33" i="24"/>
  <c r="BF33" i="24"/>
  <c r="L119" i="24"/>
  <c r="K119" i="24"/>
  <c r="BN17" i="24"/>
  <c r="BO17" i="24"/>
  <c r="BU167" i="24"/>
  <c r="BU166" i="24"/>
  <c r="I192" i="24"/>
  <c r="BF94" i="24"/>
  <c r="BE94" i="24"/>
  <c r="L179" i="24"/>
  <c r="K179" i="24"/>
  <c r="AR35" i="24"/>
  <c r="AQ35" i="24"/>
  <c r="BN24" i="24"/>
  <c r="BO24" i="24"/>
  <c r="AX161" i="24"/>
  <c r="BN108" i="24"/>
  <c r="BO108" i="24"/>
  <c r="BP108" i="24"/>
  <c r="AQ164" i="24"/>
  <c r="AR164" i="24"/>
  <c r="N175" i="23"/>
  <c r="Y175" i="23"/>
  <c r="BF175" i="23" s="1"/>
  <c r="I175" i="24"/>
  <c r="BN162" i="24"/>
  <c r="BO162" i="24"/>
  <c r="BU49" i="24"/>
  <c r="AX13" i="24"/>
  <c r="U96" i="24"/>
  <c r="T96" i="24"/>
  <c r="AX64" i="24"/>
  <c r="BO80" i="24"/>
  <c r="BN80" i="24"/>
  <c r="BP80" i="24" s="1"/>
  <c r="AX79" i="24"/>
  <c r="BU125" i="24"/>
  <c r="AR52" i="24"/>
  <c r="AQ52" i="24"/>
  <c r="L81" i="24"/>
  <c r="AH35" i="24"/>
  <c r="BE149" i="24"/>
  <c r="AA104" i="24"/>
  <c r="AA128" i="24"/>
  <c r="AA127" i="24"/>
  <c r="BO124" i="24"/>
  <c r="BN124" i="24"/>
  <c r="L95" i="24"/>
  <c r="L16" i="24"/>
  <c r="BF6" i="24"/>
  <c r="BE6" i="24"/>
  <c r="Y7" i="23"/>
  <c r="BF7" i="23" s="1"/>
  <c r="N7" i="23"/>
  <c r="AA92" i="24"/>
  <c r="AQ18" i="24"/>
  <c r="AR18" i="24"/>
  <c r="BU19" i="24"/>
  <c r="BU18" i="24"/>
  <c r="BU149" i="24"/>
  <c r="AA10" i="24"/>
  <c r="U2" i="24"/>
  <c r="T2" i="24"/>
  <c r="BU69" i="24"/>
  <c r="BU68" i="24"/>
  <c r="K153" i="24"/>
  <c r="L153" i="24"/>
  <c r="K29" i="24"/>
  <c r="L29" i="24"/>
  <c r="V155" i="24"/>
  <c r="BU136" i="24"/>
  <c r="BU137" i="24"/>
  <c r="L18" i="24"/>
  <c r="K18" i="24"/>
  <c r="AQ123" i="24"/>
  <c r="AR123" i="24"/>
  <c r="T91" i="24"/>
  <c r="U91" i="24"/>
  <c r="AQ193" i="24"/>
  <c r="AR193" i="24"/>
  <c r="U181" i="24"/>
  <c r="T181" i="24"/>
  <c r="V181" i="24" s="1"/>
  <c r="BF38" i="24"/>
  <c r="AH157" i="24"/>
  <c r="AH50" i="24"/>
  <c r="AA11" i="24"/>
  <c r="AH160" i="24"/>
  <c r="AH147" i="24"/>
  <c r="K54" i="24"/>
  <c r="AH141" i="24"/>
  <c r="BC126" i="24"/>
  <c r="K93" i="24"/>
  <c r="K62" i="24"/>
  <c r="BC28" i="24"/>
  <c r="K161" i="24"/>
  <c r="AY43" i="23"/>
  <c r="BF117" i="23"/>
  <c r="L117" i="24"/>
  <c r="BF104" i="23"/>
  <c r="AI104" i="24"/>
  <c r="BE31" i="24"/>
  <c r="BF178" i="24"/>
  <c r="BE178" i="24"/>
  <c r="AH72" i="24"/>
  <c r="AI72" i="24"/>
  <c r="BO106" i="24"/>
  <c r="BN106" i="24"/>
  <c r="BP106" i="24" s="1"/>
  <c r="AX33" i="24"/>
  <c r="AX32" i="24"/>
  <c r="AR32" i="24"/>
  <c r="AQ32" i="24"/>
  <c r="AS32" i="24" s="1"/>
  <c r="U138" i="24"/>
  <c r="T138" i="24"/>
  <c r="AR138" i="24"/>
  <c r="AQ138" i="24"/>
  <c r="AQ65" i="24"/>
  <c r="AR65" i="24"/>
  <c r="AX12" i="24"/>
  <c r="AH101" i="24"/>
  <c r="AH51" i="24"/>
  <c r="AX51" i="24"/>
  <c r="AX50" i="24"/>
  <c r="AA73" i="24"/>
  <c r="AA171" i="24"/>
  <c r="AA170" i="24"/>
  <c r="AQ98" i="24"/>
  <c r="AR98" i="24"/>
  <c r="AA40" i="24"/>
  <c r="AA39" i="24"/>
  <c r="T54" i="24"/>
  <c r="U54" i="24"/>
  <c r="AA54" i="24"/>
  <c r="AA130" i="24"/>
  <c r="AA129" i="24"/>
  <c r="AA25" i="24"/>
  <c r="AA26" i="24"/>
  <c r="BN147" i="24"/>
  <c r="BO147" i="24"/>
  <c r="AH68" i="24"/>
  <c r="BC74" i="24"/>
  <c r="BU61" i="24"/>
  <c r="BU62" i="24"/>
  <c r="U61" i="24"/>
  <c r="T61" i="24"/>
  <c r="AQ190" i="24"/>
  <c r="AR190" i="24"/>
  <c r="AQ183" i="24"/>
  <c r="AR183" i="24"/>
  <c r="AI90" i="24"/>
  <c r="AH90" i="24"/>
  <c r="BE42" i="24"/>
  <c r="BF42" i="24"/>
  <c r="AI65" i="24"/>
  <c r="T7" i="24"/>
  <c r="U7" i="24"/>
  <c r="AQ154" i="24"/>
  <c r="AR154" i="24"/>
  <c r="AS154" i="24" s="1"/>
  <c r="L109" i="24"/>
  <c r="K109" i="24"/>
  <c r="AR58" i="24"/>
  <c r="AQ58" i="24"/>
  <c r="AA140" i="24"/>
  <c r="AA139" i="24"/>
  <c r="AX86" i="24"/>
  <c r="AX75" i="24"/>
  <c r="AX74" i="24"/>
  <c r="BP51" i="24"/>
  <c r="AH26" i="24"/>
  <c r="AI26" i="24"/>
  <c r="U11" i="24"/>
  <c r="T11" i="24"/>
  <c r="AX184" i="24"/>
  <c r="AX185" i="24"/>
  <c r="K189" i="24"/>
  <c r="AX82" i="24"/>
  <c r="AX83" i="24"/>
  <c r="AX165" i="24"/>
  <c r="AA24" i="24"/>
  <c r="AA108" i="24"/>
  <c r="T164" i="24"/>
  <c r="U164" i="24"/>
  <c r="BE175" i="24"/>
  <c r="AA162" i="24"/>
  <c r="AA49" i="24"/>
  <c r="T12" i="24"/>
  <c r="U12" i="24"/>
  <c r="AI4" i="24"/>
  <c r="V41" i="24"/>
  <c r="BE60" i="24"/>
  <c r="AH58" i="24"/>
  <c r="AR30" i="24"/>
  <c r="AQ30" i="24"/>
  <c r="T23" i="24"/>
  <c r="U23" i="24"/>
  <c r="AR145" i="24"/>
  <c r="AQ145" i="24"/>
  <c r="AQ107" i="24"/>
  <c r="AS107" i="24" s="1"/>
  <c r="AR107" i="24"/>
  <c r="AX52" i="24"/>
  <c r="BF102" i="24"/>
  <c r="BE102" i="24"/>
  <c r="BC53" i="24"/>
  <c r="U44" i="24"/>
  <c r="T44" i="24"/>
  <c r="AR104" i="24"/>
  <c r="AQ104" i="24"/>
  <c r="AX109" i="24"/>
  <c r="AX110" i="24"/>
  <c r="L110" i="24"/>
  <c r="K110" i="24"/>
  <c r="BF89" i="24"/>
  <c r="L116" i="24"/>
  <c r="I13" i="24"/>
  <c r="L80" i="24"/>
  <c r="BN182" i="24"/>
  <c r="BO182" i="24"/>
  <c r="BO18" i="24"/>
  <c r="BP18" i="24" s="1"/>
  <c r="BN18" i="24"/>
  <c r="AI107" i="24"/>
  <c r="AH107" i="24"/>
  <c r="AA47" i="24"/>
  <c r="AA46" i="24"/>
  <c r="AR46" i="24"/>
  <c r="AQ46" i="24"/>
  <c r="AS46" i="24" s="1"/>
  <c r="BF5" i="24"/>
  <c r="AH178" i="24"/>
  <c r="AI178" i="24"/>
  <c r="AA191" i="24"/>
  <c r="AA192" i="24"/>
  <c r="AX192" i="24"/>
  <c r="AX191" i="24"/>
  <c r="N55" i="23"/>
  <c r="Y55" i="23"/>
  <c r="BF55" i="24" s="1"/>
  <c r="AX193" i="24"/>
  <c r="AA193" i="24"/>
  <c r="BU139" i="24"/>
  <c r="I8" i="24"/>
  <c r="I154" i="24"/>
  <c r="BF183" i="24"/>
  <c r="BF96" i="24"/>
  <c r="I83" i="24"/>
  <c r="I122" i="24"/>
  <c r="BF166" i="24"/>
  <c r="BC120" i="24"/>
  <c r="AY66" i="23"/>
  <c r="AY69" i="23"/>
  <c r="AY121" i="23"/>
  <c r="AY133" i="23"/>
  <c r="L132" i="23"/>
  <c r="Y132" i="23" s="1"/>
  <c r="BF132" i="23" s="1"/>
  <c r="BF41" i="23"/>
  <c r="BF41" i="24"/>
  <c r="L43" i="23"/>
  <c r="Y43" i="23" s="1"/>
  <c r="L83" i="23"/>
  <c r="V146" i="24"/>
  <c r="V142" i="24"/>
  <c r="AH99" i="24"/>
  <c r="AI99" i="24"/>
  <c r="BF2" i="24"/>
  <c r="BE2" i="24"/>
  <c r="CB2" i="24" s="1"/>
  <c r="CC2" i="24" s="1"/>
  <c r="AA119" i="24"/>
  <c r="AA120" i="24"/>
  <c r="AY92" i="23"/>
  <c r="BU106" i="24"/>
  <c r="BN11" i="24"/>
  <c r="BO11" i="24"/>
  <c r="BU138" i="24"/>
  <c r="AI14" i="24"/>
  <c r="AH14" i="24"/>
  <c r="V15" i="24"/>
  <c r="K169" i="24"/>
  <c r="K166" i="24"/>
  <c r="L166" i="24"/>
  <c r="BU51" i="24"/>
  <c r="BU50" i="24"/>
  <c r="AI172" i="24"/>
  <c r="AH172" i="24"/>
  <c r="AX40" i="24"/>
  <c r="AX39" i="24"/>
  <c r="U39" i="24"/>
  <c r="T39" i="24"/>
  <c r="L84" i="24"/>
  <c r="K84" i="24"/>
  <c r="AA147" i="24"/>
  <c r="AA148" i="24"/>
  <c r="AI9" i="24"/>
  <c r="AH9" i="24"/>
  <c r="AA183" i="24"/>
  <c r="AQ126" i="24"/>
  <c r="AR126" i="24"/>
  <c r="K136" i="24"/>
  <c r="L136" i="24"/>
  <c r="BU135" i="24"/>
  <c r="K4" i="24"/>
  <c r="BV4" i="24" s="1"/>
  <c r="L4" i="24"/>
  <c r="K6" i="24"/>
  <c r="L6" i="24"/>
  <c r="BP171" i="24"/>
  <c r="BE189" i="24"/>
  <c r="AQ7" i="24"/>
  <c r="AR7" i="24"/>
  <c r="BN154" i="24"/>
  <c r="BP154" i="24" s="1"/>
  <c r="BO154" i="24"/>
  <c r="I138" i="24"/>
  <c r="AY64" i="23"/>
  <c r="BU86" i="24"/>
  <c r="BO74" i="24"/>
  <c r="BN74" i="24"/>
  <c r="BP83" i="24"/>
  <c r="K64" i="24"/>
  <c r="AI73" i="24"/>
  <c r="AH73" i="24"/>
  <c r="T17" i="24"/>
  <c r="U17" i="24"/>
  <c r="BU184" i="24"/>
  <c r="BU185" i="24"/>
  <c r="AY27" i="23"/>
  <c r="AA167" i="24"/>
  <c r="AA166" i="24"/>
  <c r="AA153" i="24"/>
  <c r="AQ84" i="24"/>
  <c r="AR84" i="24"/>
  <c r="BC192" i="24"/>
  <c r="AI96" i="24"/>
  <c r="Y86" i="23"/>
  <c r="N86" i="23"/>
  <c r="AQ82" i="24"/>
  <c r="AR82" i="24"/>
  <c r="AR24" i="24"/>
  <c r="AQ24" i="24"/>
  <c r="BN164" i="24"/>
  <c r="BO164" i="24"/>
  <c r="T162" i="24"/>
  <c r="U162" i="24"/>
  <c r="AA12" i="24"/>
  <c r="AA13" i="24"/>
  <c r="K63" i="24"/>
  <c r="L63" i="24"/>
  <c r="AY35" i="23"/>
  <c r="BN174" i="24"/>
  <c r="BO174" i="24"/>
  <c r="AQ96" i="24"/>
  <c r="AR96" i="24"/>
  <c r="AS96" i="24"/>
  <c r="BO145" i="24"/>
  <c r="BN145" i="24"/>
  <c r="BU117" i="24"/>
  <c r="BU118" i="24"/>
  <c r="T163" i="24"/>
  <c r="U163" i="24"/>
  <c r="BN163" i="24"/>
  <c r="BO163" i="24"/>
  <c r="AA151" i="24"/>
  <c r="BP101" i="24"/>
  <c r="L100" i="23"/>
  <c r="BE191" i="24"/>
  <c r="BF191" i="24"/>
  <c r="AA116" i="24"/>
  <c r="AA115" i="24"/>
  <c r="BO109" i="24"/>
  <c r="BN109" i="24"/>
  <c r="L82" i="24"/>
  <c r="K82" i="24"/>
  <c r="T124" i="24"/>
  <c r="V124" i="24" s="1"/>
  <c r="U124" i="24"/>
  <c r="BU93" i="24"/>
  <c r="AH129" i="24"/>
  <c r="L135" i="23"/>
  <c r="BF131" i="24"/>
  <c r="V81" i="24"/>
  <c r="AA182" i="24"/>
  <c r="L145" i="24"/>
  <c r="K7" i="24"/>
  <c r="BF72" i="24"/>
  <c r="U97" i="24"/>
  <c r="T97" i="24"/>
  <c r="AQ27" i="24"/>
  <c r="AR27" i="24"/>
  <c r="AX18" i="24"/>
  <c r="AX19" i="24"/>
  <c r="V175" i="24"/>
  <c r="U42" i="24"/>
  <c r="T42" i="24"/>
  <c r="AH158" i="24"/>
  <c r="AI158" i="24"/>
  <c r="AY50" i="23"/>
  <c r="T123" i="24"/>
  <c r="U123" i="24"/>
  <c r="BU123" i="24"/>
  <c r="BU192" i="24"/>
  <c r="BU191" i="24"/>
  <c r="BN85" i="24"/>
  <c r="BO85" i="24"/>
  <c r="AA85" i="24"/>
  <c r="AX91" i="24"/>
  <c r="AH8" i="24"/>
  <c r="I187" i="24"/>
  <c r="AH150" i="24"/>
  <c r="BF78" i="24"/>
  <c r="BE3" i="24"/>
  <c r="AI116" i="24"/>
  <c r="AH66" i="24"/>
  <c r="L15" i="24"/>
  <c r="AI131" i="24"/>
  <c r="I126" i="24"/>
  <c r="I132" i="24"/>
  <c r="L96" i="24"/>
  <c r="AF62" i="24"/>
  <c r="I114" i="24"/>
  <c r="AF161" i="24"/>
  <c r="AY45" i="23"/>
  <c r="BF63" i="23"/>
  <c r="BF63" i="24"/>
  <c r="BE61" i="24"/>
  <c r="BF61" i="24"/>
  <c r="AH133" i="24"/>
  <c r="AA106" i="24"/>
  <c r="BU33" i="24"/>
  <c r="BU32" i="24"/>
  <c r="BO65" i="24"/>
  <c r="BN65" i="24"/>
  <c r="T65" i="24"/>
  <c r="U65" i="24"/>
  <c r="AI40" i="24"/>
  <c r="AH40" i="24"/>
  <c r="AA50" i="24"/>
  <c r="AA51" i="24"/>
  <c r="BO73" i="24"/>
  <c r="BN73" i="24"/>
  <c r="AX160" i="24"/>
  <c r="AX159" i="24"/>
  <c r="AA105" i="24"/>
  <c r="AQ129" i="24"/>
  <c r="AR129" i="24"/>
  <c r="U25" i="24"/>
  <c r="T25" i="24"/>
  <c r="AH41" i="24"/>
  <c r="AI41" i="24"/>
  <c r="AH189" i="24"/>
  <c r="BF181" i="24"/>
  <c r="BE181" i="24"/>
  <c r="BE46" i="24"/>
  <c r="AA135" i="24"/>
  <c r="AR87" i="24"/>
  <c r="AQ87" i="24"/>
  <c r="L5" i="24"/>
  <c r="K5" i="24"/>
  <c r="AF177" i="24"/>
  <c r="L137" i="24"/>
  <c r="K137" i="24"/>
  <c r="AF146" i="24"/>
  <c r="AX154" i="24"/>
  <c r="AX155" i="24"/>
  <c r="BC138" i="24"/>
  <c r="AQ194" i="24"/>
  <c r="AR194" i="24"/>
  <c r="AS194" i="24" s="1"/>
  <c r="AY46" i="23"/>
  <c r="T86" i="24"/>
  <c r="V86" i="24" s="1"/>
  <c r="U86" i="24"/>
  <c r="BU53" i="24"/>
  <c r="BE174" i="24"/>
  <c r="BE76" i="24"/>
  <c r="BF76" i="24"/>
  <c r="AH188" i="24"/>
  <c r="AI188" i="24"/>
  <c r="AA185" i="24"/>
  <c r="AA184" i="24"/>
  <c r="AA173" i="24"/>
  <c r="BN153" i="24"/>
  <c r="BO153" i="24"/>
  <c r="AX153" i="24"/>
  <c r="AX84" i="24"/>
  <c r="BF44" i="24"/>
  <c r="BE44" i="24"/>
  <c r="BC56" i="24"/>
  <c r="AH192" i="24"/>
  <c r="AI192" i="24"/>
  <c r="AH171" i="24"/>
  <c r="AI171" i="24"/>
  <c r="AA36" i="24"/>
  <c r="AA35" i="24"/>
  <c r="BU83" i="24"/>
  <c r="BU82" i="24"/>
  <c r="BO161" i="24"/>
  <c r="BN161" i="24"/>
  <c r="BP161" i="24" s="1"/>
  <c r="AA131" i="24"/>
  <c r="AA132" i="24"/>
  <c r="T131" i="24"/>
  <c r="U131" i="24"/>
  <c r="AI110" i="24"/>
  <c r="AH110" i="24"/>
  <c r="AR162" i="24"/>
  <c r="AQ162" i="24"/>
  <c r="AS162" i="24" s="1"/>
  <c r="AQ49" i="24"/>
  <c r="AR49" i="24"/>
  <c r="BU13" i="24"/>
  <c r="L98" i="24"/>
  <c r="L92" i="24"/>
  <c r="AH36" i="24"/>
  <c r="BF171" i="24"/>
  <c r="BE171" i="24"/>
  <c r="T174" i="24"/>
  <c r="U174" i="24"/>
  <c r="AA174" i="24"/>
  <c r="AA175" i="24"/>
  <c r="BN96" i="24"/>
  <c r="BO96" i="24"/>
  <c r="T145" i="24"/>
  <c r="U145" i="24"/>
  <c r="BU145" i="24"/>
  <c r="BU146" i="24"/>
  <c r="T64" i="24"/>
  <c r="U64" i="24"/>
  <c r="AX163" i="24"/>
  <c r="AQ163" i="24"/>
  <c r="AR163" i="24"/>
  <c r="BO79" i="24"/>
  <c r="BP79" i="24" s="1"/>
  <c r="BN79" i="24"/>
  <c r="AX125" i="24"/>
  <c r="AA107" i="24"/>
  <c r="AI92" i="24"/>
  <c r="L149" i="23"/>
  <c r="K149" i="24"/>
  <c r="AX45" i="24"/>
  <c r="AX44" i="24"/>
  <c r="AX104" i="24"/>
  <c r="BN127" i="24"/>
  <c r="BO127" i="24"/>
  <c r="BU124" i="24"/>
  <c r="AA124" i="24"/>
  <c r="U93" i="24"/>
  <c r="T93" i="24"/>
  <c r="BF59" i="24"/>
  <c r="AF7" i="24"/>
  <c r="BU92" i="24"/>
  <c r="AX27" i="24"/>
  <c r="AX28" i="24"/>
  <c r="BN94" i="24"/>
  <c r="BO94" i="24"/>
  <c r="BU94" i="24"/>
  <c r="BU95" i="24"/>
  <c r="AQ172" i="24"/>
  <c r="AS172" i="24" s="1"/>
  <c r="AR172" i="24"/>
  <c r="T10" i="24"/>
  <c r="U10" i="24"/>
  <c r="BU10" i="24"/>
  <c r="AX176" i="24"/>
  <c r="AX157" i="24"/>
  <c r="AX178" i="24"/>
  <c r="AX177" i="24"/>
  <c r="AX20" i="24"/>
  <c r="AX67" i="24"/>
  <c r="AX77" i="24"/>
  <c r="AX179" i="24"/>
  <c r="AX102" i="24"/>
  <c r="AX158" i="24"/>
  <c r="AX143" i="24"/>
  <c r="AX121" i="24"/>
  <c r="AX38" i="24"/>
  <c r="AX76" i="24"/>
  <c r="AX168" i="24"/>
  <c r="AX152" i="24"/>
  <c r="AX21" i="24"/>
  <c r="AX48" i="24"/>
  <c r="AX70" i="24"/>
  <c r="AX15" i="24"/>
  <c r="AX156" i="24"/>
  <c r="AX89" i="24"/>
  <c r="AX142" i="24"/>
  <c r="AX122" i="24"/>
  <c r="AX63" i="24"/>
  <c r="AX5" i="24"/>
  <c r="AX144" i="24"/>
  <c r="AX133" i="24"/>
  <c r="AX16" i="24"/>
  <c r="AX187" i="24"/>
  <c r="AX90" i="24"/>
  <c r="AX141" i="24"/>
  <c r="AX29" i="24"/>
  <c r="AX186" i="24"/>
  <c r="AX4" i="24"/>
  <c r="AX14" i="24"/>
  <c r="AX22" i="24"/>
  <c r="AX112" i="24"/>
  <c r="AX188" i="24"/>
  <c r="AX41" i="24"/>
  <c r="AX34" i="24"/>
  <c r="AX78" i="24"/>
  <c r="AX134" i="24"/>
  <c r="AX189" i="24"/>
  <c r="AX57" i="24"/>
  <c r="AX113" i="24"/>
  <c r="AX37" i="24"/>
  <c r="AX111" i="24"/>
  <c r="AX114" i="24"/>
  <c r="AX169" i="24"/>
  <c r="AX71" i="24"/>
  <c r="AX6" i="24"/>
  <c r="AX68" i="24"/>
  <c r="AX69" i="24"/>
  <c r="AA136" i="24"/>
  <c r="AA137" i="24"/>
  <c r="T191" i="24"/>
  <c r="U191" i="24"/>
  <c r="BU85" i="24"/>
  <c r="K182" i="24"/>
  <c r="BE187" i="24"/>
  <c r="AH32" i="24"/>
  <c r="I150" i="24"/>
  <c r="BF30" i="23"/>
  <c r="AI30" i="24"/>
  <c r="I75" i="24"/>
  <c r="AF140" i="24"/>
  <c r="BF4" i="24"/>
  <c r="AI137" i="24"/>
  <c r="K147" i="24"/>
  <c r="BC111" i="24"/>
  <c r="BE66" i="24"/>
  <c r="BE130" i="24"/>
  <c r="AA52" i="24"/>
  <c r="BE43" i="24"/>
  <c r="K120" i="24"/>
  <c r="AH28" i="24"/>
  <c r="BE161" i="24"/>
  <c r="BF57" i="23"/>
  <c r="L57" i="24"/>
  <c r="BF57" i="24"/>
  <c r="AY137" i="23"/>
  <c r="L50" i="23"/>
  <c r="Y50" i="23" s="1"/>
  <c r="BF50" i="23" s="1"/>
  <c r="AY3" i="23"/>
  <c r="AY16" i="23"/>
  <c r="AY101" i="23"/>
  <c r="AY14" i="23"/>
  <c r="AY189" i="23"/>
  <c r="AS26" i="24"/>
  <c r="L27" i="23"/>
  <c r="AX120" i="24"/>
  <c r="AX119" i="24"/>
  <c r="K10" i="24"/>
  <c r="L10" i="24"/>
  <c r="AQ106" i="24"/>
  <c r="AR106" i="24"/>
  <c r="U32" i="24"/>
  <c r="T32" i="24"/>
  <c r="BO32" i="24"/>
  <c r="BN32" i="24"/>
  <c r="AR11" i="24"/>
  <c r="AQ11" i="24"/>
  <c r="AX138" i="24"/>
  <c r="BU171" i="24"/>
  <c r="BU170" i="24"/>
  <c r="BE186" i="24"/>
  <c r="BF186" i="24"/>
  <c r="AQ72" i="24"/>
  <c r="AR72" i="24"/>
  <c r="AA72" i="24"/>
  <c r="BU54" i="24"/>
  <c r="AX26" i="24"/>
  <c r="AX25" i="24"/>
  <c r="T147" i="24"/>
  <c r="U147" i="24"/>
  <c r="I74" i="24"/>
  <c r="K118" i="24"/>
  <c r="L118" i="24"/>
  <c r="BO183" i="24"/>
  <c r="BN183" i="24"/>
  <c r="AA126" i="24"/>
  <c r="BO135" i="24"/>
  <c r="BN135" i="24"/>
  <c r="BP135" i="24" s="1"/>
  <c r="BU88" i="24"/>
  <c r="BU87" i="24"/>
  <c r="BU12" i="24"/>
  <c r="BE26" i="24"/>
  <c r="BF26" i="24"/>
  <c r="AH19" i="24"/>
  <c r="AI19" i="24"/>
  <c r="I146" i="24"/>
  <c r="T194" i="24"/>
  <c r="U194" i="24"/>
  <c r="L163" i="24"/>
  <c r="AX59" i="24"/>
  <c r="AX58" i="24"/>
  <c r="L174" i="23"/>
  <c r="I174" i="24"/>
  <c r="AS59" i="24"/>
  <c r="AH170" i="24"/>
  <c r="BN184" i="24"/>
  <c r="BO184" i="24"/>
  <c r="AX173" i="24"/>
  <c r="L91" i="24"/>
  <c r="BU153" i="24"/>
  <c r="BE90" i="24"/>
  <c r="BF90" i="24"/>
  <c r="BE145" i="24"/>
  <c r="BF145" i="24"/>
  <c r="BN35" i="24"/>
  <c r="BO35" i="24"/>
  <c r="BU165" i="24"/>
  <c r="AX24" i="24"/>
  <c r="BU161" i="24"/>
  <c r="T161" i="24"/>
  <c r="U161" i="24"/>
  <c r="BU108" i="24"/>
  <c r="BO60" i="24"/>
  <c r="BN60" i="24"/>
  <c r="U49" i="24"/>
  <c r="T49" i="24"/>
  <c r="K9" i="24"/>
  <c r="L9" i="24"/>
  <c r="L176" i="24"/>
  <c r="BP38" i="24"/>
  <c r="AR174" i="24"/>
  <c r="AQ174" i="24"/>
  <c r="AA145" i="24"/>
  <c r="AA146" i="24"/>
  <c r="BO64" i="24"/>
  <c r="BN64" i="24"/>
  <c r="BU79" i="24"/>
  <c r="AA79" i="24"/>
  <c r="BO52" i="24"/>
  <c r="BP52" i="24" s="1"/>
  <c r="BN52" i="24"/>
  <c r="BU151" i="24"/>
  <c r="BU150" i="24"/>
  <c r="L59" i="24"/>
  <c r="K51" i="24"/>
  <c r="AF100" i="24"/>
  <c r="AA45" i="24"/>
  <c r="AA44" i="24"/>
  <c r="I108" i="24"/>
  <c r="AQ93" i="24"/>
  <c r="AR93" i="24"/>
  <c r="AF135" i="24"/>
  <c r="BE98" i="24"/>
  <c r="BF98" i="24"/>
  <c r="BF92" i="24"/>
  <c r="AI153" i="24"/>
  <c r="AQ182" i="24"/>
  <c r="AR182" i="24"/>
  <c r="BN55" i="24"/>
  <c r="BO55" i="24"/>
  <c r="BF176" i="24"/>
  <c r="BC7" i="24"/>
  <c r="T27" i="24"/>
  <c r="U27" i="24"/>
  <c r="U94" i="24"/>
  <c r="T94" i="24"/>
  <c r="U172" i="24"/>
  <c r="T172" i="24"/>
  <c r="BU172" i="24"/>
  <c r="U46" i="24"/>
  <c r="T46" i="24"/>
  <c r="AA68" i="24"/>
  <c r="AA69" i="24"/>
  <c r="BO68" i="24"/>
  <c r="BN68" i="24"/>
  <c r="AA43" i="24"/>
  <c r="BU43" i="24"/>
  <c r="BF139" i="24"/>
  <c r="BE139" i="24"/>
  <c r="AH6" i="24"/>
  <c r="AI6" i="24"/>
  <c r="AX136" i="24"/>
  <c r="AX137" i="24"/>
  <c r="T136" i="24"/>
  <c r="U136" i="24"/>
  <c r="BN123" i="24"/>
  <c r="BO123" i="24"/>
  <c r="AQ191" i="24"/>
  <c r="AR191" i="24"/>
  <c r="AI183" i="24"/>
  <c r="AF88" i="24"/>
  <c r="BC140" i="24"/>
  <c r="L30" i="24"/>
  <c r="I105" i="24"/>
  <c r="I128" i="24"/>
  <c r="L34" i="24"/>
  <c r="BF81" i="24"/>
  <c r="AI81" i="24"/>
  <c r="AF130" i="24"/>
  <c r="AI139" i="24"/>
  <c r="BC141" i="24"/>
  <c r="BF30" i="24"/>
  <c r="AF93" i="24"/>
  <c r="L28" i="23"/>
  <c r="Y28" i="23" s="1"/>
  <c r="BF28" i="23" s="1"/>
  <c r="BF125" i="23"/>
  <c r="L125" i="24"/>
  <c r="BF125" i="24"/>
  <c r="AY114" i="23"/>
  <c r="L62" i="23"/>
  <c r="AY118" i="23"/>
  <c r="AY113" i="23"/>
  <c r="AY5" i="23"/>
  <c r="L88" i="23"/>
  <c r="Y88" i="23" s="1"/>
  <c r="BF88" i="23" s="1"/>
  <c r="AY168" i="23"/>
  <c r="BF39" i="23"/>
  <c r="BF39" i="24"/>
  <c r="AI39" i="24"/>
  <c r="L120" i="23"/>
  <c r="BF76" i="23"/>
  <c r="L76" i="24"/>
  <c r="K20" i="24"/>
  <c r="AS122" i="24"/>
  <c r="T119" i="24"/>
  <c r="U119" i="24"/>
  <c r="V119" i="24" s="1"/>
  <c r="AX180" i="24"/>
  <c r="BE109" i="24"/>
  <c r="BF109" i="24"/>
  <c r="AF167" i="24"/>
  <c r="AS20" i="24"/>
  <c r="K131" i="24"/>
  <c r="L131" i="24"/>
  <c r="K26" i="24"/>
  <c r="L26" i="24"/>
  <c r="BU73" i="24"/>
  <c r="BU159" i="24"/>
  <c r="BU160" i="24"/>
  <c r="BN159" i="24"/>
  <c r="BO159" i="24"/>
  <c r="BN170" i="24"/>
  <c r="BO170" i="24"/>
  <c r="N97" i="23"/>
  <c r="Y97" i="23"/>
  <c r="AI97" i="24" s="1"/>
  <c r="AX129" i="24"/>
  <c r="AX130" i="24"/>
  <c r="AX147" i="24"/>
  <c r="AX148" i="24"/>
  <c r="BF99" i="24"/>
  <c r="BE99" i="24"/>
  <c r="K35" i="24"/>
  <c r="AA62" i="24"/>
  <c r="AA61" i="24"/>
  <c r="AX62" i="24"/>
  <c r="AX61" i="24"/>
  <c r="V121" i="24"/>
  <c r="U126" i="24"/>
  <c r="T126" i="24"/>
  <c r="T135" i="24"/>
  <c r="U135" i="24"/>
  <c r="AA88" i="24"/>
  <c r="AA87" i="24"/>
  <c r="AA150" i="24"/>
  <c r="I177" i="24"/>
  <c r="K78" i="24"/>
  <c r="L78" i="24"/>
  <c r="K21" i="24"/>
  <c r="L21" i="24"/>
  <c r="BE80" i="24"/>
  <c r="BF80" i="24"/>
  <c r="V113" i="24"/>
  <c r="L162" i="24"/>
  <c r="AX194" i="24"/>
  <c r="BU59" i="24"/>
  <c r="BU58" i="24"/>
  <c r="AQ139" i="24"/>
  <c r="AR139" i="24"/>
  <c r="AQ53" i="24"/>
  <c r="AR53" i="24"/>
  <c r="AX53" i="24"/>
  <c r="AF174" i="24"/>
  <c r="BP111" i="24"/>
  <c r="AH23" i="24"/>
  <c r="BF65" i="24"/>
  <c r="BE65" i="24"/>
  <c r="K143" i="24"/>
  <c r="L143" i="24"/>
  <c r="AX17" i="24"/>
  <c r="BO173" i="24"/>
  <c r="BN173" i="24"/>
  <c r="U166" i="24"/>
  <c r="T166" i="24"/>
  <c r="U153" i="24"/>
  <c r="T153" i="24"/>
  <c r="V153" i="24" s="1"/>
  <c r="BU84" i="24"/>
  <c r="BO103" i="24"/>
  <c r="BN103" i="24"/>
  <c r="L90" i="24"/>
  <c r="K90" i="24"/>
  <c r="BC22" i="24"/>
  <c r="BU36" i="24"/>
  <c r="BU35" i="24"/>
  <c r="BU24" i="24"/>
  <c r="AA161" i="24"/>
  <c r="BN49" i="24"/>
  <c r="BO49" i="24"/>
  <c r="BP70" i="24"/>
  <c r="K123" i="24"/>
  <c r="L123" i="24"/>
  <c r="AA30" i="24"/>
  <c r="AA31" i="24"/>
  <c r="AR23" i="24"/>
  <c r="AQ23" i="24"/>
  <c r="AX96" i="24"/>
  <c r="T117" i="24"/>
  <c r="U117" i="24"/>
  <c r="AX117" i="24"/>
  <c r="AX118" i="24"/>
  <c r="AQ64" i="24"/>
  <c r="AR64" i="24"/>
  <c r="BF103" i="24"/>
  <c r="BE103" i="24"/>
  <c r="BU107" i="24"/>
  <c r="AI38" i="24"/>
  <c r="L180" i="24"/>
  <c r="I100" i="24"/>
  <c r="BU104" i="24"/>
  <c r="BU116" i="24"/>
  <c r="BU115" i="24"/>
  <c r="AA93" i="24"/>
  <c r="BF77" i="24"/>
  <c r="U55" i="24"/>
  <c r="T55" i="24"/>
  <c r="AQ92" i="24"/>
  <c r="AR92" i="24"/>
  <c r="AQ94" i="24"/>
  <c r="AR94" i="24"/>
  <c r="AA172" i="24"/>
  <c r="BF163" i="24"/>
  <c r="BN42" i="24"/>
  <c r="BO42" i="24"/>
  <c r="BP42" i="24"/>
  <c r="L33" i="24"/>
  <c r="K33" i="24"/>
  <c r="AX85" i="24"/>
  <c r="AQ85" i="24"/>
  <c r="AR85" i="24"/>
  <c r="BN193" i="24"/>
  <c r="BO193" i="24"/>
  <c r="AX181" i="24"/>
  <c r="AI166" i="24"/>
  <c r="BC8" i="24"/>
  <c r="I85" i="24"/>
  <c r="BC48" i="24"/>
  <c r="I88" i="24"/>
  <c r="L139" i="24"/>
  <c r="BF113" i="24"/>
  <c r="AF105" i="24"/>
  <c r="BC160" i="24"/>
  <c r="AF54" i="24"/>
  <c r="I111" i="24"/>
  <c r="I141" i="24"/>
  <c r="AF132" i="24"/>
  <c r="AX65" i="24"/>
  <c r="I43" i="24"/>
  <c r="AF120" i="24"/>
  <c r="BC114" i="24"/>
  <c r="L154" i="23"/>
  <c r="N154" i="23" s="1"/>
  <c r="BF87" i="23"/>
  <c r="AI87" i="24"/>
  <c r="AI61" i="24"/>
  <c r="AH61" i="24"/>
  <c r="BN119" i="24"/>
  <c r="BO119" i="24"/>
  <c r="AH181" i="24"/>
  <c r="AI181" i="24"/>
  <c r="AX106" i="24"/>
  <c r="U106" i="24"/>
  <c r="T106" i="24"/>
  <c r="U170" i="24"/>
  <c r="T170" i="24"/>
  <c r="AA98" i="24"/>
  <c r="AA99" i="24"/>
  <c r="BN105" i="24"/>
  <c r="BP105" i="24" s="1"/>
  <c r="BO105" i="24"/>
  <c r="T72" i="24"/>
  <c r="U72" i="24"/>
  <c r="AQ100" i="24"/>
  <c r="AR100" i="24"/>
  <c r="AQ25" i="24"/>
  <c r="AR25" i="24"/>
  <c r="K40" i="24"/>
  <c r="L40" i="24"/>
  <c r="AH89" i="24"/>
  <c r="AI89" i="24"/>
  <c r="BE16" i="24"/>
  <c r="BF16" i="24"/>
  <c r="AX190" i="24"/>
  <c r="BE18" i="24"/>
  <c r="BF18" i="24"/>
  <c r="BN126" i="24"/>
  <c r="BO126" i="24"/>
  <c r="AR135" i="24"/>
  <c r="AQ135" i="24"/>
  <c r="AX135" i="24"/>
  <c r="BN87" i="24"/>
  <c r="BO87" i="24"/>
  <c r="AA42" i="24"/>
  <c r="BE116" i="24"/>
  <c r="BF116" i="24"/>
  <c r="AA8" i="24"/>
  <c r="AA7" i="24"/>
  <c r="K2" i="24"/>
  <c r="BV2" i="24" s="1"/>
  <c r="BW2" i="24" s="1"/>
  <c r="L2" i="24"/>
  <c r="BN194" i="24"/>
  <c r="BO194" i="24"/>
  <c r="BU194" i="24"/>
  <c r="T58" i="24"/>
  <c r="U58" i="24"/>
  <c r="AX140" i="24"/>
  <c r="BN86" i="24"/>
  <c r="BO86" i="24"/>
  <c r="AR74" i="24"/>
  <c r="AQ74" i="24"/>
  <c r="T74" i="24"/>
  <c r="U74" i="24"/>
  <c r="V74" i="24" s="1"/>
  <c r="AI52" i="24"/>
  <c r="AH71" i="24"/>
  <c r="AI71" i="24"/>
  <c r="AA17" i="24"/>
  <c r="BU173" i="24"/>
  <c r="AQ173" i="24"/>
  <c r="AR173" i="24"/>
  <c r="K46" i="24"/>
  <c r="L46" i="24"/>
  <c r="BN84" i="24"/>
  <c r="BO84" i="24"/>
  <c r="L41" i="24"/>
  <c r="K41" i="24"/>
  <c r="AI16" i="24"/>
  <c r="AI145" i="24"/>
  <c r="BN82" i="24"/>
  <c r="BO82" i="24"/>
  <c r="T24" i="24"/>
  <c r="U24" i="24"/>
  <c r="AX108" i="24"/>
  <c r="T60" i="24"/>
  <c r="U60" i="24"/>
  <c r="BN131" i="24"/>
  <c r="BO131" i="24"/>
  <c r="AX132" i="24"/>
  <c r="AX131" i="24"/>
  <c r="AA164" i="24"/>
  <c r="K52" i="24"/>
  <c r="L52" i="24"/>
  <c r="AI179" i="24"/>
  <c r="AH179" i="24"/>
  <c r="BU30" i="24"/>
  <c r="BU31" i="24"/>
  <c r="BN30" i="24"/>
  <c r="BO30" i="24"/>
  <c r="BU175" i="24"/>
  <c r="BU174" i="24"/>
  <c r="AX174" i="24"/>
  <c r="AX175" i="24"/>
  <c r="BO23" i="24"/>
  <c r="BN23" i="24"/>
  <c r="AX146" i="24"/>
  <c r="AX145" i="24"/>
  <c r="BU163" i="24"/>
  <c r="BU80" i="24"/>
  <c r="BU81" i="24"/>
  <c r="AQ79" i="24"/>
  <c r="AR79" i="24"/>
  <c r="AR125" i="24"/>
  <c r="AQ125" i="24"/>
  <c r="AS125" i="24" s="1"/>
  <c r="BU52" i="24"/>
  <c r="T150" i="24"/>
  <c r="U150" i="24"/>
  <c r="BN150" i="24"/>
  <c r="BO150" i="24"/>
  <c r="AI5" i="24"/>
  <c r="AH15" i="24"/>
  <c r="AI15" i="24"/>
  <c r="AI42" i="24"/>
  <c r="AH134" i="24"/>
  <c r="AI134" i="24"/>
  <c r="AQ44" i="24"/>
  <c r="AR44" i="24"/>
  <c r="BN104" i="24"/>
  <c r="BO104" i="24"/>
  <c r="AX115" i="24"/>
  <c r="AX116" i="24"/>
  <c r="AA110" i="24"/>
  <c r="AA109" i="24"/>
  <c r="BU109" i="24"/>
  <c r="BU110" i="24"/>
  <c r="AF108" i="24"/>
  <c r="AX127" i="24"/>
  <c r="AX128" i="24"/>
  <c r="AX124" i="24"/>
  <c r="BF136" i="24"/>
  <c r="AI103" i="24"/>
  <c r="BP15" i="24"/>
  <c r="AF13" i="24"/>
  <c r="AR55" i="24"/>
  <c r="AQ55" i="24"/>
  <c r="L193" i="24"/>
  <c r="AY44" i="23"/>
  <c r="AR97" i="24"/>
  <c r="AQ97" i="24"/>
  <c r="AA97" i="24"/>
  <c r="AI82" i="24"/>
  <c r="AH82" i="24"/>
  <c r="AA94" i="24"/>
  <c r="AA95" i="24"/>
  <c r="T18" i="24"/>
  <c r="U18" i="24"/>
  <c r="AR149" i="24"/>
  <c r="AQ149" i="24"/>
  <c r="AX149" i="24"/>
  <c r="BN172" i="24"/>
  <c r="BP172" i="24" s="1"/>
  <c r="BO172" i="24"/>
  <c r="AQ10" i="24"/>
  <c r="AR10" i="24"/>
  <c r="BU20" i="24"/>
  <c r="BU178" i="24"/>
  <c r="BU38" i="24"/>
  <c r="BU90" i="24"/>
  <c r="BU168" i="24"/>
  <c r="BU114" i="24"/>
  <c r="BU4" i="24"/>
  <c r="BU71" i="24"/>
  <c r="BU144" i="24"/>
  <c r="BU134" i="24"/>
  <c r="BU189" i="24"/>
  <c r="BU63" i="24"/>
  <c r="BU143" i="24"/>
  <c r="BU14" i="24"/>
  <c r="BU16" i="24"/>
  <c r="BU6" i="24"/>
  <c r="BU121" i="24"/>
  <c r="BU158" i="24"/>
  <c r="BU77" i="24"/>
  <c r="BU37" i="24"/>
  <c r="BU102" i="24"/>
  <c r="BU186" i="24"/>
  <c r="BU179" i="24"/>
  <c r="BU78" i="24"/>
  <c r="BU122" i="24"/>
  <c r="BU169" i="24"/>
  <c r="BU89" i="24"/>
  <c r="BU112" i="24"/>
  <c r="BU57" i="24"/>
  <c r="BU76" i="24"/>
  <c r="BU142" i="24"/>
  <c r="BU152" i="24"/>
  <c r="BU141" i="24"/>
  <c r="BU111" i="24"/>
  <c r="BU48" i="24"/>
  <c r="BU188" i="24"/>
  <c r="BU133" i="24"/>
  <c r="BU22" i="24"/>
  <c r="BU67" i="24"/>
  <c r="BU176" i="24"/>
  <c r="BU113" i="24"/>
  <c r="BU15" i="24"/>
  <c r="BU157" i="24"/>
  <c r="BU5" i="24"/>
  <c r="BU9" i="24"/>
  <c r="BU29" i="24"/>
  <c r="BU34" i="24"/>
  <c r="BU177" i="24"/>
  <c r="BU21" i="24"/>
  <c r="BU70" i="24"/>
  <c r="BU187" i="24"/>
  <c r="BU156" i="24"/>
  <c r="BU41" i="24"/>
  <c r="AR91" i="24"/>
  <c r="AQ91" i="24"/>
  <c r="BU193" i="24"/>
  <c r="BC157" i="24"/>
  <c r="AF48" i="24"/>
  <c r="BF124" i="24"/>
  <c r="AI29" i="24"/>
  <c r="L38" i="24"/>
  <c r="L65" i="24"/>
  <c r="I66" i="24"/>
  <c r="L102" i="24"/>
  <c r="BY2" i="24"/>
  <c r="BZ2" i="24" s="1"/>
  <c r="BI2" i="23"/>
  <c r="BJ2" i="23" s="1"/>
  <c r="N3" i="23"/>
  <c r="Y3" i="23"/>
  <c r="BF3" i="23" s="1"/>
  <c r="Y8" i="23"/>
  <c r="BF8" i="23" s="1"/>
  <c r="Y130" i="23"/>
  <c r="L130" i="24" s="1"/>
  <c r="N130" i="23"/>
  <c r="Y161" i="23"/>
  <c r="BF161" i="23" s="1"/>
  <c r="AI6" i="23"/>
  <c r="AG6" i="23"/>
  <c r="N93" i="23"/>
  <c r="Y93" i="23"/>
  <c r="BF93" i="23" s="1"/>
  <c r="Y120" i="23"/>
  <c r="BF120" i="23" s="1"/>
  <c r="N120" i="23"/>
  <c r="N150" i="23"/>
  <c r="Y150" i="23"/>
  <c r="BF150" i="23" s="1"/>
  <c r="N128" i="23"/>
  <c r="Y128" i="23"/>
  <c r="BF128" i="23" s="1"/>
  <c r="Y154" i="23"/>
  <c r="BF154" i="23" s="1"/>
  <c r="N88" i="23"/>
  <c r="L32" i="23"/>
  <c r="L126" i="23"/>
  <c r="L157" i="23"/>
  <c r="Y133" i="23"/>
  <c r="AI133" i="24" s="1"/>
  <c r="N133" i="23"/>
  <c r="N160" i="23"/>
  <c r="Y68" i="23"/>
  <c r="L68" i="24" s="1"/>
  <c r="N68" i="23"/>
  <c r="BH4" i="23"/>
  <c r="L122" i="23"/>
  <c r="N69" i="23"/>
  <c r="Y69" i="23"/>
  <c r="BF69" i="23" s="1"/>
  <c r="B18" i="22"/>
  <c r="G5" i="22" s="1"/>
  <c r="Y67" i="23"/>
  <c r="N67" i="23"/>
  <c r="N54" i="23"/>
  <c r="Y54" i="23"/>
  <c r="BF54" i="23" s="1"/>
  <c r="N121" i="23"/>
  <c r="Y121" i="23"/>
  <c r="L121" i="24" s="1"/>
  <c r="Y189" i="23"/>
  <c r="BF189" i="23" s="1"/>
  <c r="N189" i="23"/>
  <c r="L85" i="23"/>
  <c r="L111" i="23"/>
  <c r="Y45" i="23"/>
  <c r="N45" i="23"/>
  <c r="D18" i="22"/>
  <c r="G7" i="22" s="1"/>
  <c r="C23" i="22"/>
  <c r="N155" i="23"/>
  <c r="Y155" i="23"/>
  <c r="Y140" i="23"/>
  <c r="BF140" i="23" s="1"/>
  <c r="N140" i="23"/>
  <c r="Y169" i="23"/>
  <c r="BF169" i="24" s="1"/>
  <c r="N169" i="23"/>
  <c r="N62" i="23"/>
  <c r="Y62" i="23"/>
  <c r="BF62" i="23" s="1"/>
  <c r="N101" i="23"/>
  <c r="Y101" i="23"/>
  <c r="N105" i="23"/>
  <c r="Y105" i="23"/>
  <c r="BF105" i="23" s="1"/>
  <c r="N187" i="23"/>
  <c r="Y187" i="23"/>
  <c r="AI187" i="24" s="1"/>
  <c r="Y36" i="23"/>
  <c r="N36" i="23"/>
  <c r="L147" i="23"/>
  <c r="Y20" i="23"/>
  <c r="AI20" i="24" s="1"/>
  <c r="N20" i="23"/>
  <c r="N37" i="23"/>
  <c r="Y37" i="23"/>
  <c r="N83" i="23"/>
  <c r="Y83" i="23"/>
  <c r="BF83" i="23" s="1"/>
  <c r="N75" i="23"/>
  <c r="Y75" i="23"/>
  <c r="BF75" i="23" s="1"/>
  <c r="C17" i="22"/>
  <c r="AJ3" i="23"/>
  <c r="BH3" i="23"/>
  <c r="AZ3" i="23"/>
  <c r="N50" i="23"/>
  <c r="Y31" i="23"/>
  <c r="BF31" i="24" s="1"/>
  <c r="N31" i="23"/>
  <c r="N64" i="23"/>
  <c r="Y64" i="23"/>
  <c r="BF64" i="23" s="1"/>
  <c r="N106" i="23"/>
  <c r="Y106" i="23"/>
  <c r="N141" i="23"/>
  <c r="BF21" i="23"/>
  <c r="Y58" i="23"/>
  <c r="L58" i="24" s="1"/>
  <c r="N58" i="23"/>
  <c r="N60" i="23"/>
  <c r="Y60" i="23"/>
  <c r="BF60" i="24" s="1"/>
  <c r="L182" i="23"/>
  <c r="L148" i="23"/>
  <c r="N170" i="23"/>
  <c r="Y170" i="23"/>
  <c r="L170" i="24" s="1"/>
  <c r="C18" i="22"/>
  <c r="G6" i="22" s="1"/>
  <c r="Y35" i="23"/>
  <c r="L35" i="24" s="1"/>
  <c r="N35" i="23"/>
  <c r="N66" i="23"/>
  <c r="Y66" i="23"/>
  <c r="BF66" i="23" s="1"/>
  <c r="N146" i="23"/>
  <c r="Y146" i="23"/>
  <c r="BF146" i="23" s="1"/>
  <c r="N23" i="23"/>
  <c r="Y23" i="23"/>
  <c r="AZ5" i="23"/>
  <c r="BH5" i="23"/>
  <c r="L114" i="23"/>
  <c r="Y51" i="23"/>
  <c r="L51" i="24" s="1"/>
  <c r="N51" i="23"/>
  <c r="C22" i="22"/>
  <c r="AS100" i="24" l="1"/>
  <c r="BP183" i="24"/>
  <c r="BP74" i="24"/>
  <c r="AS68" i="24"/>
  <c r="V79" i="24"/>
  <c r="BP53" i="24"/>
  <c r="BP218" i="24"/>
  <c r="V247" i="24"/>
  <c r="AS230" i="24"/>
  <c r="V256" i="24"/>
  <c r="V208" i="24"/>
  <c r="AS298" i="24"/>
  <c r="V272" i="24"/>
  <c r="V196" i="24"/>
  <c r="AS269" i="24"/>
  <c r="AS314" i="24"/>
  <c r="Y74" i="23"/>
  <c r="N74" i="23"/>
  <c r="BF82" i="23"/>
  <c r="BF82" i="24"/>
  <c r="BF293" i="23"/>
  <c r="BF293" i="24"/>
  <c r="AI293" i="24"/>
  <c r="BP303" i="24"/>
  <c r="AS279" i="24"/>
  <c r="AS288" i="24"/>
  <c r="V212" i="24"/>
  <c r="BP87" i="24"/>
  <c r="AS190" i="24"/>
  <c r="AS12" i="24"/>
  <c r="BP139" i="24"/>
  <c r="BP240" i="24"/>
  <c r="BP319" i="24"/>
  <c r="V356" i="24"/>
  <c r="BP290" i="24"/>
  <c r="AS273" i="24"/>
  <c r="BP314" i="24"/>
  <c r="AS285" i="24"/>
  <c r="BP195" i="24"/>
  <c r="V270" i="24"/>
  <c r="V274" i="24"/>
  <c r="AS247" i="24"/>
  <c r="AS278" i="24"/>
  <c r="AS332" i="24"/>
  <c r="V240" i="24"/>
  <c r="V306" i="24"/>
  <c r="V236" i="24"/>
  <c r="BP301" i="24"/>
  <c r="BF84" i="23"/>
  <c r="AI84" i="24"/>
  <c r="BF84" i="24"/>
  <c r="V65" i="24"/>
  <c r="BP98" i="24"/>
  <c r="V84" i="24"/>
  <c r="V139" i="24"/>
  <c r="V115" i="24"/>
  <c r="BP72" i="24"/>
  <c r="V30" i="24"/>
  <c r="V50" i="24"/>
  <c r="V180" i="24"/>
  <c r="AS358" i="24"/>
  <c r="V288" i="24"/>
  <c r="V325" i="24"/>
  <c r="BP333" i="24"/>
  <c r="AS274" i="24"/>
  <c r="V224" i="24"/>
  <c r="BF233" i="23"/>
  <c r="AI233" i="24"/>
  <c r="BF233" i="24"/>
  <c r="L233" i="24"/>
  <c r="BP17" i="24"/>
  <c r="BP196" i="24"/>
  <c r="AI322" i="24"/>
  <c r="L53" i="24"/>
  <c r="V227" i="24"/>
  <c r="BP302" i="24"/>
  <c r="V298" i="24"/>
  <c r="AS91" i="24"/>
  <c r="BP30" i="24"/>
  <c r="BP159" i="24"/>
  <c r="AS11" i="24"/>
  <c r="BP127" i="24"/>
  <c r="BP174" i="24"/>
  <c r="AS193" i="24"/>
  <c r="AS52" i="24"/>
  <c r="BP125" i="24"/>
  <c r="AS108" i="24"/>
  <c r="V105" i="24"/>
  <c r="AS73" i="24"/>
  <c r="AS277" i="24"/>
  <c r="V361" i="24"/>
  <c r="BP247" i="24"/>
  <c r="V302" i="24"/>
  <c r="AS329" i="24"/>
  <c r="AS214" i="24"/>
  <c r="V309" i="24"/>
  <c r="V232" i="24"/>
  <c r="BP334" i="24"/>
  <c r="AS290" i="24"/>
  <c r="V223" i="24"/>
  <c r="AI276" i="24"/>
  <c r="BP358" i="24"/>
  <c r="V327" i="24"/>
  <c r="BP96" i="24"/>
  <c r="BP55" i="24"/>
  <c r="V7" i="24"/>
  <c r="AS138" i="24"/>
  <c r="AS123" i="24"/>
  <c r="BP12" i="24"/>
  <c r="BP190" i="24"/>
  <c r="AS131" i="24"/>
  <c r="AS86" i="24"/>
  <c r="BP200" i="24"/>
  <c r="AS327" i="24"/>
  <c r="BP357" i="24"/>
  <c r="AS324" i="24"/>
  <c r="AS297" i="24"/>
  <c r="AS303" i="24"/>
  <c r="V173" i="24"/>
  <c r="V108" i="24"/>
  <c r="AS195" i="24"/>
  <c r="BP346" i="24"/>
  <c r="V329" i="24"/>
  <c r="BP348" i="24"/>
  <c r="BP227" i="24"/>
  <c r="BP287" i="24"/>
  <c r="AS305" i="24"/>
  <c r="BP277" i="24"/>
  <c r="V262" i="24"/>
  <c r="BP292" i="24"/>
  <c r="BP131" i="24"/>
  <c r="AS25" i="24"/>
  <c r="AS44" i="24"/>
  <c r="V150" i="24"/>
  <c r="V58" i="24"/>
  <c r="BP94" i="24"/>
  <c r="BP65" i="24"/>
  <c r="V18" i="24"/>
  <c r="AS55" i="24"/>
  <c r="V60" i="24"/>
  <c r="BP193" i="24"/>
  <c r="AS182" i="24"/>
  <c r="BP64" i="24"/>
  <c r="V49" i="24"/>
  <c r="V145" i="24"/>
  <c r="V131" i="24"/>
  <c r="BP153" i="24"/>
  <c r="BP73" i="24"/>
  <c r="BP109" i="24"/>
  <c r="V2" i="24"/>
  <c r="V96" i="24"/>
  <c r="V53" i="24"/>
  <c r="AS119" i="24"/>
  <c r="V316" i="24"/>
  <c r="BP293" i="24"/>
  <c r="V233" i="24"/>
  <c r="V253" i="24"/>
  <c r="V334" i="24"/>
  <c r="AI266" i="24"/>
  <c r="V201" i="24"/>
  <c r="AS264" i="24"/>
  <c r="BF232" i="24"/>
  <c r="BP215" i="24"/>
  <c r="V246" i="24"/>
  <c r="BP223" i="24"/>
  <c r="V163" i="24"/>
  <c r="AS2" i="24"/>
  <c r="V73" i="24"/>
  <c r="BP343" i="24"/>
  <c r="BF347" i="24"/>
  <c r="AS85" i="24"/>
  <c r="AS94" i="24"/>
  <c r="BP60" i="24"/>
  <c r="V10" i="24"/>
  <c r="AS7" i="24"/>
  <c r="AS302" i="24"/>
  <c r="BP305" i="24"/>
  <c r="AS306" i="24"/>
  <c r="BP294" i="24"/>
  <c r="BP316" i="24"/>
  <c r="BP205" i="24"/>
  <c r="BP347" i="24"/>
  <c r="V315" i="24"/>
  <c r="AS163" i="24"/>
  <c r="AS174" i="24"/>
  <c r="AS49" i="24"/>
  <c r="V123" i="24"/>
  <c r="AS27" i="24"/>
  <c r="AS183" i="24"/>
  <c r="BP107" i="24"/>
  <c r="BP54" i="24"/>
  <c r="V250" i="24"/>
  <c r="V245" i="24"/>
  <c r="BP332" i="24"/>
  <c r="V319" i="24"/>
  <c r="AS245" i="24"/>
  <c r="AI232" i="24"/>
  <c r="BP208" i="24"/>
  <c r="V278" i="24"/>
  <c r="AS301" i="24"/>
  <c r="V214" i="24"/>
  <c r="V275" i="24"/>
  <c r="AS270" i="24"/>
  <c r="BP309" i="24"/>
  <c r="AS293" i="24"/>
  <c r="V297" i="24"/>
  <c r="BP86" i="24"/>
  <c r="V161" i="24"/>
  <c r="V93" i="24"/>
  <c r="V64" i="24"/>
  <c r="AS129" i="24"/>
  <c r="AS104" i="24"/>
  <c r="AS145" i="24"/>
  <c r="AS65" i="24"/>
  <c r="V91" i="24"/>
  <c r="BP24" i="24"/>
  <c r="AS50" i="24"/>
  <c r="V149" i="24"/>
  <c r="V129" i="24"/>
  <c r="AS215" i="24"/>
  <c r="BP313" i="24"/>
  <c r="BP264" i="24"/>
  <c r="AS333" i="24"/>
  <c r="AS196" i="24"/>
  <c r="V314" i="24"/>
  <c r="V300" i="24"/>
  <c r="AS316" i="24"/>
  <c r="AS330" i="24"/>
  <c r="BP250" i="24"/>
  <c r="AS258" i="24"/>
  <c r="AS343" i="24"/>
  <c r="AS287" i="24"/>
  <c r="BP284" i="24"/>
  <c r="AS300" i="24"/>
  <c r="AS346" i="24"/>
  <c r="BP307" i="24"/>
  <c r="BF285" i="23"/>
  <c r="L285" i="24"/>
  <c r="AI25" i="24"/>
  <c r="AH25" i="24"/>
  <c r="BP256" i="24"/>
  <c r="BE70" i="24"/>
  <c r="BF70" i="24"/>
  <c r="Y24" i="23"/>
  <c r="BF24" i="24" s="1"/>
  <c r="N24" i="23"/>
  <c r="V230" i="24"/>
  <c r="L70" i="24"/>
  <c r="BF70" i="23"/>
  <c r="BF343" i="23"/>
  <c r="AI343" i="24"/>
  <c r="L343" i="24"/>
  <c r="BF343" i="24"/>
  <c r="N49" i="23"/>
  <c r="Y49" i="23"/>
  <c r="V320" i="24"/>
  <c r="AS325" i="24"/>
  <c r="BF306" i="23"/>
  <c r="BF306" i="24"/>
  <c r="L306" i="24"/>
  <c r="BP304" i="24"/>
  <c r="AS342" i="24"/>
  <c r="L322" i="24"/>
  <c r="AH185" i="24"/>
  <c r="AI185" i="24"/>
  <c r="BF287" i="23"/>
  <c r="L287" i="24"/>
  <c r="AI287" i="24"/>
  <c r="BF249" i="23"/>
  <c r="AI249" i="24"/>
  <c r="L249" i="24"/>
  <c r="BF249" i="24"/>
  <c r="BF328" i="23"/>
  <c r="L328" i="24"/>
  <c r="BF328" i="24"/>
  <c r="V166" i="24"/>
  <c r="BP184" i="24"/>
  <c r="V174" i="24"/>
  <c r="V162" i="24"/>
  <c r="V17" i="24"/>
  <c r="BP182" i="24"/>
  <c r="BP138" i="24"/>
  <c r="V87" i="24"/>
  <c r="AS170" i="24"/>
  <c r="V125" i="24"/>
  <c r="AS153" i="24"/>
  <c r="BF224" i="23"/>
  <c r="BF224" i="24"/>
  <c r="AS241" i="24"/>
  <c r="K159" i="24"/>
  <c r="L159" i="24"/>
  <c r="BE127" i="24"/>
  <c r="BP274" i="24"/>
  <c r="K164" i="24"/>
  <c r="BE25" i="24"/>
  <c r="BF25" i="24"/>
  <c r="V218" i="24"/>
  <c r="BP258" i="24"/>
  <c r="BP329" i="24"/>
  <c r="BP246" i="24"/>
  <c r="V332" i="24"/>
  <c r="V205" i="24"/>
  <c r="BP315" i="24"/>
  <c r="BP342" i="24"/>
  <c r="L266" i="24"/>
  <c r="BF313" i="23"/>
  <c r="L313" i="24"/>
  <c r="AI313" i="24"/>
  <c r="BF3" i="24"/>
  <c r="V170" i="24"/>
  <c r="L7" i="24"/>
  <c r="AS164" i="24"/>
  <c r="BF286" i="23"/>
  <c r="BF286" i="24"/>
  <c r="AI286" i="24"/>
  <c r="L286" i="24"/>
  <c r="BP104" i="24"/>
  <c r="AS79" i="24"/>
  <c r="V24" i="24"/>
  <c r="V46" i="24"/>
  <c r="V12" i="24"/>
  <c r="AS150" i="24"/>
  <c r="AS181" i="24"/>
  <c r="BF222" i="23"/>
  <c r="AI222" i="24"/>
  <c r="N12" i="23"/>
  <c r="Y12" i="23"/>
  <c r="AS223" i="24"/>
  <c r="V273" i="24"/>
  <c r="BE12" i="24"/>
  <c r="BP353" i="24"/>
  <c r="N164" i="23"/>
  <c r="Y164" i="23"/>
  <c r="L164" i="24" s="1"/>
  <c r="BF152" i="23"/>
  <c r="BF152" i="24"/>
  <c r="BP270" i="24"/>
  <c r="Y48" i="23"/>
  <c r="V104" i="24"/>
  <c r="AS60" i="24"/>
  <c r="V109" i="24"/>
  <c r="V72" i="24"/>
  <c r="V106" i="24"/>
  <c r="V135" i="24"/>
  <c r="AS191" i="24"/>
  <c r="BP32" i="24"/>
  <c r="V25" i="24"/>
  <c r="AI8" i="24"/>
  <c r="BP163" i="24"/>
  <c r="BP164" i="24"/>
  <c r="AS84" i="24"/>
  <c r="V23" i="24"/>
  <c r="AS98" i="24"/>
  <c r="V193" i="24"/>
  <c r="BP2" i="24"/>
  <c r="V52" i="24"/>
  <c r="V165" i="24"/>
  <c r="BP166" i="24"/>
  <c r="V183" i="24"/>
  <c r="AS147" i="24"/>
  <c r="BP44" i="24"/>
  <c r="BP7" i="24"/>
  <c r="AS180" i="24"/>
  <c r="BF280" i="23"/>
  <c r="L280" i="24"/>
  <c r="BF280" i="24"/>
  <c r="BF258" i="23"/>
  <c r="L258" i="24"/>
  <c r="BF258" i="24"/>
  <c r="AS294" i="24"/>
  <c r="BP356" i="24"/>
  <c r="BP229" i="24"/>
  <c r="BP325" i="24"/>
  <c r="BF322" i="24"/>
  <c r="BF347" i="23"/>
  <c r="L347" i="24"/>
  <c r="AS352" i="24"/>
  <c r="L224" i="24"/>
  <c r="V215" i="24"/>
  <c r="BP341" i="24"/>
  <c r="AS233" i="24"/>
  <c r="AI285" i="24"/>
  <c r="BP230" i="24"/>
  <c r="BP318" i="24"/>
  <c r="AS347" i="24"/>
  <c r="BF341" i="23"/>
  <c r="BF341" i="24"/>
  <c r="L341" i="24"/>
  <c r="BF222" i="24"/>
  <c r="AS208" i="24"/>
  <c r="BP224" i="24"/>
  <c r="BP267" i="24"/>
  <c r="AH152" i="24"/>
  <c r="AI152" i="24"/>
  <c r="AS357" i="24"/>
  <c r="V126" i="24"/>
  <c r="V32" i="24"/>
  <c r="BF161" i="24"/>
  <c r="BF46" i="24"/>
  <c r="AI66" i="24"/>
  <c r="AS24" i="24"/>
  <c r="AS30" i="24"/>
  <c r="L189" i="24"/>
  <c r="BP124" i="24"/>
  <c r="AS159" i="24"/>
  <c r="AI3" i="24"/>
  <c r="V98" i="24"/>
  <c r="BP92" i="24"/>
  <c r="BP50" i="24"/>
  <c r="BF198" i="23"/>
  <c r="L198" i="24"/>
  <c r="BF198" i="24"/>
  <c r="BF331" i="23"/>
  <c r="AI331" i="24"/>
  <c r="L331" i="24"/>
  <c r="BF331" i="24"/>
  <c r="BF142" i="23"/>
  <c r="AI142" i="24"/>
  <c r="BF142" i="24"/>
  <c r="L142" i="24"/>
  <c r="BP351" i="24"/>
  <c r="AS212" i="24"/>
  <c r="AS236" i="24"/>
  <c r="N17" i="23"/>
  <c r="Y17" i="23"/>
  <c r="BE24" i="24"/>
  <c r="V351" i="24"/>
  <c r="BP310" i="24"/>
  <c r="BF276" i="24"/>
  <c r="BP327" i="24"/>
  <c r="AS272" i="24"/>
  <c r="V294" i="24"/>
  <c r="AS229" i="24"/>
  <c r="V268" i="24"/>
  <c r="BF275" i="23"/>
  <c r="BF275" i="24"/>
  <c r="V353" i="24"/>
  <c r="K152" i="24"/>
  <c r="L152" i="24"/>
  <c r="V195" i="24"/>
  <c r="AI258" i="24"/>
  <c r="N28" i="23"/>
  <c r="BF175" i="24"/>
  <c r="BF199" i="23"/>
  <c r="BF199" i="24"/>
  <c r="L199" i="24"/>
  <c r="BF333" i="23"/>
  <c r="AI333" i="24"/>
  <c r="BF348" i="23"/>
  <c r="BF348" i="24"/>
  <c r="AI348" i="24"/>
  <c r="L348" i="24"/>
  <c r="K127" i="24"/>
  <c r="BF109" i="23"/>
  <c r="AI109" i="24"/>
  <c r="BF330" i="23"/>
  <c r="BF330" i="24"/>
  <c r="AI330" i="24"/>
  <c r="N127" i="23"/>
  <c r="Y127" i="23"/>
  <c r="BF127" i="24" s="1"/>
  <c r="K24" i="24"/>
  <c r="BF266" i="24"/>
  <c r="N185" i="23"/>
  <c r="Y185" i="23"/>
  <c r="BF159" i="23"/>
  <c r="BF159" i="24"/>
  <c r="AI159" i="24"/>
  <c r="V39" i="24"/>
  <c r="BF317" i="23"/>
  <c r="AI317" i="24"/>
  <c r="BF317" i="24"/>
  <c r="L317" i="24"/>
  <c r="BF265" i="23"/>
  <c r="AI265" i="24"/>
  <c r="BF265" i="24"/>
  <c r="L265" i="24"/>
  <c r="AS200" i="24"/>
  <c r="AS284" i="24"/>
  <c r="AS307" i="24"/>
  <c r="AS232" i="24"/>
  <c r="V103" i="24"/>
  <c r="AI328" i="24"/>
  <c r="AS315" i="24"/>
  <c r="L333" i="24"/>
  <c r="BP278" i="24"/>
  <c r="BF2" i="23"/>
  <c r="AI2" i="24"/>
  <c r="V258" i="24"/>
  <c r="V299" i="24"/>
  <c r="V269" i="24"/>
  <c r="BF25" i="23"/>
  <c r="L25" i="24"/>
  <c r="V333" i="24"/>
  <c r="Y47" i="23"/>
  <c r="N47" i="23"/>
  <c r="V342" i="24"/>
  <c r="V310" i="24"/>
  <c r="V312" i="24"/>
  <c r="AS228" i="24"/>
  <c r="BP352" i="24"/>
  <c r="V200" i="24"/>
  <c r="BF287" i="24"/>
  <c r="AS240" i="24"/>
  <c r="BP320" i="24"/>
  <c r="AS262" i="24"/>
  <c r="AS23" i="24"/>
  <c r="V136" i="24"/>
  <c r="BP68" i="24"/>
  <c r="V147" i="24"/>
  <c r="AI189" i="24"/>
  <c r="BP85" i="24"/>
  <c r="V42" i="24"/>
  <c r="BP145" i="24"/>
  <c r="AS126" i="24"/>
  <c r="V11" i="24"/>
  <c r="AS58" i="24"/>
  <c r="AS35" i="24"/>
  <c r="AS17" i="24"/>
  <c r="BP61" i="24"/>
  <c r="BP165" i="24"/>
  <c r="AS103" i="24"/>
  <c r="V292" i="24"/>
  <c r="AS356" i="24"/>
  <c r="AS351" i="24"/>
  <c r="BP288" i="24"/>
  <c r="L222" i="24"/>
  <c r="AS268" i="24"/>
  <c r="L232" i="24"/>
  <c r="BP236" i="24"/>
  <c r="V228" i="24"/>
  <c r="AI224" i="24"/>
  <c r="BP253" i="24"/>
  <c r="V347" i="24"/>
  <c r="BP241" i="24"/>
  <c r="V305" i="24"/>
  <c r="AS299" i="24"/>
  <c r="BP232" i="24"/>
  <c r="V229" i="24"/>
  <c r="AS341" i="24"/>
  <c r="AS250" i="24"/>
  <c r="AS253" i="24"/>
  <c r="BP212" i="24"/>
  <c r="AI70" i="24"/>
  <c r="BF141" i="23"/>
  <c r="AI141" i="24"/>
  <c r="BF43" i="23"/>
  <c r="BF43" i="24"/>
  <c r="AI43" i="24"/>
  <c r="BF48" i="24"/>
  <c r="BE48" i="24"/>
  <c r="BE111" i="24"/>
  <c r="L187" i="24"/>
  <c r="K187" i="24"/>
  <c r="V55" i="24"/>
  <c r="BP35" i="24"/>
  <c r="V194" i="24"/>
  <c r="AH177" i="24"/>
  <c r="AI177" i="24"/>
  <c r="BE120" i="24"/>
  <c r="BF120" i="24"/>
  <c r="BF36" i="24"/>
  <c r="L36" i="24"/>
  <c r="AH108" i="24"/>
  <c r="K105" i="24"/>
  <c r="L105" i="24"/>
  <c r="K108" i="24"/>
  <c r="AI170" i="24"/>
  <c r="K114" i="24"/>
  <c r="K122" i="24"/>
  <c r="N108" i="23"/>
  <c r="Y108" i="23"/>
  <c r="L108" i="24" s="1"/>
  <c r="BF51" i="23"/>
  <c r="BF51" i="24"/>
  <c r="N43" i="23"/>
  <c r="BE157" i="24"/>
  <c r="AI120" i="24"/>
  <c r="AH120" i="24"/>
  <c r="BP170" i="24"/>
  <c r="BE140" i="24"/>
  <c r="BF140" i="24"/>
  <c r="K174" i="24"/>
  <c r="N27" i="23"/>
  <c r="Y27" i="23"/>
  <c r="BF27" i="24" s="1"/>
  <c r="AH140" i="24"/>
  <c r="AI140" i="24"/>
  <c r="BE138" i="24"/>
  <c r="BF138" i="24"/>
  <c r="BF189" i="24"/>
  <c r="L169" i="24"/>
  <c r="AS105" i="24"/>
  <c r="BF75" i="24"/>
  <c r="BE75" i="24"/>
  <c r="AS54" i="24"/>
  <c r="V159" i="24"/>
  <c r="BF121" i="24"/>
  <c r="BP46" i="24"/>
  <c r="AI64" i="24"/>
  <c r="L28" i="24"/>
  <c r="AI154" i="24"/>
  <c r="AI13" i="24"/>
  <c r="AH13" i="24"/>
  <c r="BP23" i="24"/>
  <c r="BP126" i="24"/>
  <c r="L43" i="24"/>
  <c r="K43" i="24"/>
  <c r="L88" i="24"/>
  <c r="K88" i="24"/>
  <c r="BP103" i="24"/>
  <c r="AS53" i="24"/>
  <c r="L20" i="24"/>
  <c r="BE141" i="24"/>
  <c r="BF141" i="24"/>
  <c r="AH88" i="24"/>
  <c r="AI88" i="24"/>
  <c r="V27" i="24"/>
  <c r="AH100" i="24"/>
  <c r="N174" i="23"/>
  <c r="Y174" i="23"/>
  <c r="AI174" i="24" s="1"/>
  <c r="AS72" i="24"/>
  <c r="L75" i="24"/>
  <c r="K75" i="24"/>
  <c r="L132" i="24"/>
  <c r="K132" i="24"/>
  <c r="BE126" i="24"/>
  <c r="K135" i="24"/>
  <c r="BF54" i="24"/>
  <c r="BF37" i="23"/>
  <c r="L37" i="24"/>
  <c r="AI37" i="24"/>
  <c r="BF37" i="24"/>
  <c r="K100" i="24"/>
  <c r="BF130" i="24"/>
  <c r="K126" i="24"/>
  <c r="K138" i="24"/>
  <c r="L138" i="24"/>
  <c r="L154" i="24"/>
  <c r="K154" i="24"/>
  <c r="BF74" i="24"/>
  <c r="BE74" i="24"/>
  <c r="V54" i="24"/>
  <c r="AI50" i="24"/>
  <c r="AS18" i="24"/>
  <c r="BP25" i="24"/>
  <c r="BF88" i="24"/>
  <c r="V80" i="24"/>
  <c r="K140" i="24"/>
  <c r="L140" i="24"/>
  <c r="AI46" i="24"/>
  <c r="BP10" i="24"/>
  <c r="V182" i="24"/>
  <c r="BF105" i="24"/>
  <c r="BE105" i="24"/>
  <c r="AI121" i="24"/>
  <c r="BF62" i="24"/>
  <c r="BF69" i="24"/>
  <c r="BP119" i="24"/>
  <c r="K85" i="24"/>
  <c r="BP49" i="24"/>
  <c r="AH138" i="24"/>
  <c r="AI138" i="24"/>
  <c r="BF129" i="23"/>
  <c r="L129" i="24"/>
  <c r="BF129" i="24"/>
  <c r="BF170" i="23"/>
  <c r="BF170" i="24"/>
  <c r="BF101" i="23"/>
  <c r="BF101" i="24"/>
  <c r="L101" i="24"/>
  <c r="BF68" i="23"/>
  <c r="BF68" i="24"/>
  <c r="AH132" i="24"/>
  <c r="AI132" i="24"/>
  <c r="V117" i="24"/>
  <c r="AH130" i="24"/>
  <c r="AI130" i="24"/>
  <c r="BF7" i="24"/>
  <c r="BE7" i="24"/>
  <c r="L74" i="24"/>
  <c r="K74" i="24"/>
  <c r="V191" i="24"/>
  <c r="AH146" i="24"/>
  <c r="AI146" i="24"/>
  <c r="L8" i="24"/>
  <c r="K8" i="24"/>
  <c r="AI68" i="24"/>
  <c r="BF23" i="23"/>
  <c r="L23" i="24"/>
  <c r="L66" i="24"/>
  <c r="K66" i="24"/>
  <c r="AS149" i="24"/>
  <c r="AS97" i="24"/>
  <c r="BP84" i="24"/>
  <c r="L141" i="24"/>
  <c r="K141" i="24"/>
  <c r="BF8" i="24"/>
  <c r="BE8" i="24"/>
  <c r="AS92" i="24"/>
  <c r="AS139" i="24"/>
  <c r="AS106" i="24"/>
  <c r="AI28" i="24"/>
  <c r="BF66" i="24"/>
  <c r="L150" i="24"/>
  <c r="K150" i="24"/>
  <c r="AI150" i="24"/>
  <c r="N100" i="23"/>
  <c r="Y100" i="23"/>
  <c r="AI100" i="24" s="1"/>
  <c r="AS82" i="24"/>
  <c r="L64" i="24"/>
  <c r="AI58" i="24"/>
  <c r="AI51" i="24"/>
  <c r="V138" i="24"/>
  <c r="L161" i="24"/>
  <c r="BP162" i="24"/>
  <c r="L48" i="24"/>
  <c r="K48" i="24"/>
  <c r="AS161" i="24"/>
  <c r="BF150" i="24"/>
  <c r="BE150" i="24"/>
  <c r="BP27" i="24"/>
  <c r="BE154" i="24"/>
  <c r="BF154" i="24"/>
  <c r="L158" i="24"/>
  <c r="K158" i="24"/>
  <c r="V92" i="24"/>
  <c r="AH56" i="24"/>
  <c r="AI56" i="24"/>
  <c r="L3" i="24"/>
  <c r="AI75" i="24"/>
  <c r="AI83" i="24"/>
  <c r="BE56" i="24"/>
  <c r="BF56" i="24"/>
  <c r="L54" i="24"/>
  <c r="L192" i="24"/>
  <c r="K192" i="24"/>
  <c r="BE32" i="24"/>
  <c r="AI22" i="24"/>
  <c r="AH22" i="24"/>
  <c r="BE50" i="24"/>
  <c r="BF50" i="24"/>
  <c r="BF20" i="23"/>
  <c r="BF20" i="24"/>
  <c r="K111" i="24"/>
  <c r="K177" i="24"/>
  <c r="L177" i="24"/>
  <c r="BP11" i="24"/>
  <c r="V164" i="24"/>
  <c r="BP147" i="24"/>
  <c r="BF28" i="24"/>
  <c r="BE28" i="24"/>
  <c r="K175" i="24"/>
  <c r="L175" i="24"/>
  <c r="BF146" i="24"/>
  <c r="BF128" i="24"/>
  <c r="AH85" i="24"/>
  <c r="BP149" i="24"/>
  <c r="AS42" i="24"/>
  <c r="AI167" i="24"/>
  <c r="AH167" i="24"/>
  <c r="AH135" i="24"/>
  <c r="AH7" i="24"/>
  <c r="AI7" i="24"/>
  <c r="BF106" i="23"/>
  <c r="BF106" i="24"/>
  <c r="L106" i="24"/>
  <c r="AI106" i="24"/>
  <c r="BF45" i="23"/>
  <c r="AI45" i="24"/>
  <c r="L45" i="24"/>
  <c r="BF67" i="23"/>
  <c r="L67" i="24"/>
  <c r="BF67" i="24"/>
  <c r="AH54" i="24"/>
  <c r="AI54" i="24"/>
  <c r="BF60" i="23"/>
  <c r="L60" i="24"/>
  <c r="AI60" i="24"/>
  <c r="L133" i="24"/>
  <c r="BF133" i="24"/>
  <c r="N132" i="23"/>
  <c r="AJ6" i="23"/>
  <c r="BP150" i="24"/>
  <c r="BP82" i="24"/>
  <c r="AS173" i="24"/>
  <c r="AS74" i="24"/>
  <c r="BP194" i="24"/>
  <c r="BF160" i="24"/>
  <c r="BE160" i="24"/>
  <c r="AI23" i="24"/>
  <c r="L128" i="24"/>
  <c r="K128" i="24"/>
  <c r="BP123" i="24"/>
  <c r="V172" i="24"/>
  <c r="AS93" i="24"/>
  <c r="K146" i="24"/>
  <c r="L146" i="24"/>
  <c r="L120" i="24"/>
  <c r="BF187" i="24"/>
  <c r="AH161" i="24"/>
  <c r="AI161" i="24"/>
  <c r="BF86" i="23"/>
  <c r="AI86" i="24"/>
  <c r="L86" i="24"/>
  <c r="BF86" i="24"/>
  <c r="BF55" i="23"/>
  <c r="AI55" i="24"/>
  <c r="L55" i="24"/>
  <c r="L13" i="24"/>
  <c r="K13" i="24"/>
  <c r="V44" i="24"/>
  <c r="AI101" i="24"/>
  <c r="BP129" i="24"/>
  <c r="AI69" i="24"/>
  <c r="L50" i="24"/>
  <c r="K69" i="24"/>
  <c r="L69" i="24"/>
  <c r="AI67" i="24"/>
  <c r="V127" i="24"/>
  <c r="V154" i="24"/>
  <c r="V100" i="24"/>
  <c r="BP39" i="24"/>
  <c r="BE27" i="24"/>
  <c r="BF23" i="24"/>
  <c r="AI175" i="24"/>
  <c r="AH175" i="24"/>
  <c r="AS184" i="24"/>
  <c r="AS61" i="24"/>
  <c r="BP191" i="24"/>
  <c r="AS165" i="24"/>
  <c r="AI128" i="24"/>
  <c r="BF35" i="23"/>
  <c r="BF35" i="24"/>
  <c r="BF31" i="23"/>
  <c r="AI31" i="24"/>
  <c r="L31" i="24"/>
  <c r="BF155" i="23"/>
  <c r="AI155" i="24"/>
  <c r="BF155" i="24"/>
  <c r="L155" i="24"/>
  <c r="BF58" i="23"/>
  <c r="BF58" i="24"/>
  <c r="AH105" i="24"/>
  <c r="AI105" i="24"/>
  <c r="BF22" i="24"/>
  <c r="BE22" i="24"/>
  <c r="BF97" i="23"/>
  <c r="BF97" i="24"/>
  <c r="L97" i="24"/>
  <c r="AI36" i="24"/>
  <c r="Y135" i="23"/>
  <c r="L135" i="24" s="1"/>
  <c r="N135" i="23"/>
  <c r="L62" i="24"/>
  <c r="AI169" i="24"/>
  <c r="BF93" i="24"/>
  <c r="L160" i="24"/>
  <c r="K160" i="24"/>
  <c r="AH48" i="24"/>
  <c r="AI48" i="24"/>
  <c r="AS10" i="24"/>
  <c r="AS135" i="24"/>
  <c r="BE114" i="24"/>
  <c r="AS64" i="24"/>
  <c r="BP173" i="24"/>
  <c r="AH174" i="24"/>
  <c r="AI93" i="24"/>
  <c r="AH93" i="24"/>
  <c r="V94" i="24"/>
  <c r="N149" i="23"/>
  <c r="Y149" i="23"/>
  <c r="AS87" i="24"/>
  <c r="AH62" i="24"/>
  <c r="AI62" i="24"/>
  <c r="V97" i="24"/>
  <c r="AI129" i="24"/>
  <c r="BF192" i="24"/>
  <c r="BE192" i="24"/>
  <c r="L83" i="24"/>
  <c r="K83" i="24"/>
  <c r="BE53" i="24"/>
  <c r="BF53" i="24"/>
  <c r="V61" i="24"/>
  <c r="L93" i="24"/>
  <c r="AI35" i="24"/>
  <c r="BP58" i="24"/>
  <c r="BF45" i="24"/>
  <c r="AS115" i="24"/>
  <c r="BP117" i="24"/>
  <c r="V35" i="24"/>
  <c r="V190" i="24"/>
  <c r="BE132" i="24"/>
  <c r="BF132" i="24"/>
  <c r="BP91" i="24"/>
  <c r="BP100" i="24"/>
  <c r="AH111" i="24"/>
  <c r="AS109" i="24"/>
  <c r="BF64" i="24"/>
  <c r="BP180" i="24"/>
  <c r="AI53" i="24"/>
  <c r="BF83" i="24"/>
  <c r="BI5" i="23"/>
  <c r="CB5" i="24"/>
  <c r="BY5" i="24"/>
  <c r="BV5" i="24"/>
  <c r="BV3" i="24"/>
  <c r="BW3" i="24" s="1"/>
  <c r="CB3" i="24"/>
  <c r="CC3" i="24" s="1"/>
  <c r="BY3" i="24"/>
  <c r="BI3" i="23"/>
  <c r="BJ3" i="23" s="1"/>
  <c r="BZ3" i="24"/>
  <c r="N147" i="23"/>
  <c r="Y147" i="23"/>
  <c r="BF160" i="23"/>
  <c r="BF36" i="23"/>
  <c r="BF169" i="23"/>
  <c r="BF121" i="23"/>
  <c r="BF130" i="23"/>
  <c r="N182" i="23"/>
  <c r="Y182" i="23"/>
  <c r="Y122" i="23"/>
  <c r="N122" i="23"/>
  <c r="BF133" i="23"/>
  <c r="Y148" i="23"/>
  <c r="N148" i="23"/>
  <c r="N114" i="23"/>
  <c r="Y114" i="23"/>
  <c r="L114" i="24" s="1"/>
  <c r="Y157" i="23"/>
  <c r="BF157" i="24" s="1"/>
  <c r="N157" i="23"/>
  <c r="BF187" i="23"/>
  <c r="N126" i="23"/>
  <c r="Y126" i="23"/>
  <c r="BF126" i="24" s="1"/>
  <c r="AZ6" i="23"/>
  <c r="N111" i="23"/>
  <c r="Y111" i="23"/>
  <c r="L111" i="24" s="1"/>
  <c r="N32" i="23"/>
  <c r="Y32" i="23"/>
  <c r="BF32" i="24" s="1"/>
  <c r="AK6" i="23"/>
  <c r="AE7" i="23" s="1"/>
  <c r="N85" i="23"/>
  <c r="Y85" i="23"/>
  <c r="BF85" i="24" s="1"/>
  <c r="BF48" i="23"/>
  <c r="BF74" i="23" l="1"/>
  <c r="AI74" i="24"/>
  <c r="L127" i="24"/>
  <c r="L174" i="24"/>
  <c r="L24" i="24"/>
  <c r="BH6" i="23"/>
  <c r="BF114" i="24"/>
  <c r="L100" i="24"/>
  <c r="BF185" i="23"/>
  <c r="BF185" i="24"/>
  <c r="L185" i="24"/>
  <c r="L47" i="24"/>
  <c r="BF47" i="23"/>
  <c r="AI47" i="24"/>
  <c r="BF47" i="24"/>
  <c r="BF17" i="23"/>
  <c r="AI17" i="24"/>
  <c r="L17" i="24"/>
  <c r="BF17" i="24"/>
  <c r="BF164" i="23"/>
  <c r="BF164" i="24"/>
  <c r="AI164" i="24"/>
  <c r="L12" i="24"/>
  <c r="BF12" i="23"/>
  <c r="AI12" i="24"/>
  <c r="BF24" i="23"/>
  <c r="AI24" i="24"/>
  <c r="BF127" i="23"/>
  <c r="AI127" i="24"/>
  <c r="BF12" i="24"/>
  <c r="BF49" i="24"/>
  <c r="AI49" i="24"/>
  <c r="BF49" i="23"/>
  <c r="L49" i="24"/>
  <c r="AI85" i="24"/>
  <c r="AI111" i="24"/>
  <c r="BF111" i="24"/>
  <c r="BF27" i="23"/>
  <c r="AI27" i="24"/>
  <c r="L27" i="24"/>
  <c r="BF147" i="23"/>
  <c r="BF147" i="24"/>
  <c r="AI147" i="24"/>
  <c r="L147" i="24"/>
  <c r="BF126" i="23"/>
  <c r="AI126" i="24"/>
  <c r="BF100" i="23"/>
  <c r="BF100" i="24"/>
  <c r="L85" i="24"/>
  <c r="AI122" i="24"/>
  <c r="BF122" i="24"/>
  <c r="BF149" i="23"/>
  <c r="AI149" i="24"/>
  <c r="BF149" i="24"/>
  <c r="L149" i="24"/>
  <c r="BF148" i="24"/>
  <c r="L148" i="24"/>
  <c r="AI148" i="24"/>
  <c r="BF174" i="23"/>
  <c r="BF174" i="24"/>
  <c r="BF108" i="23"/>
  <c r="BF108" i="24"/>
  <c r="AI135" i="24"/>
  <c r="L126" i="24"/>
  <c r="L182" i="24"/>
  <c r="AI182" i="24"/>
  <c r="BF182" i="24"/>
  <c r="BF135" i="23"/>
  <c r="BF135" i="24"/>
  <c r="BF32" i="23"/>
  <c r="L32" i="24"/>
  <c r="AI32" i="24"/>
  <c r="AI157" i="24"/>
  <c r="L157" i="24"/>
  <c r="BF114" i="23"/>
  <c r="AI114" i="24"/>
  <c r="L122" i="24"/>
  <c r="AI108" i="24"/>
  <c r="BK3" i="23"/>
  <c r="BJ4" i="23"/>
  <c r="BW4" i="24"/>
  <c r="BX3" i="24"/>
  <c r="CC4" i="24"/>
  <c r="CD3" i="24"/>
  <c r="BI6" i="23"/>
  <c r="CB6" i="24"/>
  <c r="BY6" i="24"/>
  <c r="BV6" i="24"/>
  <c r="CA3" i="24"/>
  <c r="BZ4" i="24"/>
  <c r="C24" i="22"/>
  <c r="BF111" i="23"/>
  <c r="AG7" i="23"/>
  <c r="AI7" i="23"/>
  <c r="BF148" i="23"/>
  <c r="BF157" i="23"/>
  <c r="BF122" i="23"/>
  <c r="BF85" i="23"/>
  <c r="BF182" i="23"/>
  <c r="BW5" i="24" l="1"/>
  <c r="BX4" i="24"/>
  <c r="CD4" i="24"/>
  <c r="CC5" i="24"/>
  <c r="BZ5" i="24"/>
  <c r="CA4" i="24"/>
  <c r="BK4" i="23"/>
  <c r="BJ5" i="23"/>
  <c r="AZ7" i="23"/>
  <c r="AK7" i="23"/>
  <c r="AE8" i="23" s="1"/>
  <c r="AJ7" i="23"/>
  <c r="BV7" i="24" l="1"/>
  <c r="BY7" i="24"/>
  <c r="BI7" i="23"/>
  <c r="CB7" i="24"/>
  <c r="BJ6" i="23"/>
  <c r="BK5" i="23"/>
  <c r="BZ6" i="24"/>
  <c r="CA5" i="24"/>
  <c r="CC6" i="24"/>
  <c r="CD5" i="24"/>
  <c r="BW6" i="24"/>
  <c r="BX5" i="24"/>
  <c r="AI8" i="23"/>
  <c r="AK8" i="23" s="1"/>
  <c r="AG8" i="23"/>
  <c r="BH7" i="23"/>
  <c r="AJ8" i="23" l="1"/>
  <c r="BZ7" i="24"/>
  <c r="CA6" i="24"/>
  <c r="CC7" i="24"/>
  <c r="CD6" i="24"/>
  <c r="BK6" i="23"/>
  <c r="BJ7" i="23"/>
  <c r="BX6" i="24"/>
  <c r="BW7" i="24"/>
  <c r="AE9" i="23"/>
  <c r="BH8" i="23"/>
  <c r="AZ8" i="23"/>
  <c r="BK7" i="23" l="1"/>
  <c r="BX7" i="24"/>
  <c r="CD7" i="24"/>
  <c r="BV8" i="24"/>
  <c r="BW8" i="24" s="1"/>
  <c r="BY8" i="24"/>
  <c r="BZ8" i="24" s="1"/>
  <c r="BI8" i="23"/>
  <c r="BJ8" i="23" s="1"/>
  <c r="CB8" i="24"/>
  <c r="CC8" i="24" s="1"/>
  <c r="CA7" i="24"/>
  <c r="AI9" i="23"/>
  <c r="AK9" i="23" s="1"/>
  <c r="AG9" i="23"/>
  <c r="AJ9" i="23" l="1"/>
  <c r="CD8" i="24"/>
  <c r="CA8" i="24"/>
  <c r="BK8" i="23"/>
  <c r="BX8" i="24"/>
  <c r="AE10" i="23"/>
  <c r="BH9" i="23"/>
  <c r="AZ9" i="23"/>
  <c r="CB9" i="24" l="1"/>
  <c r="CC9" i="24" s="1"/>
  <c r="BI9" i="23"/>
  <c r="BJ9" i="23" s="1"/>
  <c r="BV9" i="24"/>
  <c r="BW9" i="24" s="1"/>
  <c r="BY9" i="24"/>
  <c r="BZ9" i="24" s="1"/>
  <c r="AI10" i="23"/>
  <c r="AG10" i="23"/>
  <c r="AJ10" i="23" s="1"/>
  <c r="BX9" i="24" l="1"/>
  <c r="BK9" i="23"/>
  <c r="CA9" i="24"/>
  <c r="CD9" i="24"/>
  <c r="AZ10" i="23"/>
  <c r="AK10" i="23"/>
  <c r="BY10" i="24" l="1"/>
  <c r="BZ10" i="24" s="1"/>
  <c r="BV10" i="24"/>
  <c r="BW10" i="24" s="1"/>
  <c r="BI10" i="23"/>
  <c r="BJ10" i="23" s="1"/>
  <c r="CB10" i="24"/>
  <c r="CC10" i="24" s="1"/>
  <c r="AE11" i="23"/>
  <c r="BH10" i="23"/>
  <c r="CD10" i="24" l="1"/>
  <c r="BK10" i="23"/>
  <c r="BX10" i="24"/>
  <c r="CA10" i="24"/>
  <c r="AI11" i="23"/>
  <c r="AG11" i="23"/>
  <c r="AJ11" i="23" s="1"/>
  <c r="AZ11" i="23" l="1"/>
  <c r="AK11" i="23"/>
  <c r="BY11" i="24" l="1"/>
  <c r="BZ11" i="24" s="1"/>
  <c r="BV11" i="24"/>
  <c r="BW11" i="24" s="1"/>
  <c r="CB11" i="24"/>
  <c r="CC11" i="24" s="1"/>
  <c r="BI11" i="23"/>
  <c r="BJ11" i="23" s="1"/>
  <c r="AE12" i="23"/>
  <c r="BH11" i="23"/>
  <c r="CD11" i="24" l="1"/>
  <c r="BX11" i="24"/>
  <c r="BK11" i="23"/>
  <c r="CA11" i="24"/>
  <c r="AI12" i="23"/>
  <c r="AG12" i="23"/>
  <c r="AJ12" i="23" l="1"/>
  <c r="AZ12" i="23"/>
  <c r="AK12" i="23"/>
  <c r="BY12" i="24" l="1"/>
  <c r="BZ12" i="24" s="1"/>
  <c r="BV12" i="24"/>
  <c r="BW12" i="24" s="1"/>
  <c r="CB12" i="24"/>
  <c r="CC12" i="24" s="1"/>
  <c r="BI12" i="23"/>
  <c r="BJ12" i="23" s="1"/>
  <c r="AE13" i="23"/>
  <c r="BH12" i="23"/>
  <c r="CD12" i="24" l="1"/>
  <c r="BX12" i="24"/>
  <c r="BK12" i="23"/>
  <c r="CA12" i="24"/>
  <c r="AI13" i="23"/>
  <c r="AK13" i="23" s="1"/>
  <c r="AE14" i="23" s="1"/>
  <c r="AG13" i="23"/>
  <c r="AJ13" i="23" l="1"/>
  <c r="AI14" i="23"/>
  <c r="AG14" i="23"/>
  <c r="AJ14" i="23" s="1"/>
  <c r="AZ13" i="23"/>
  <c r="BH13" i="23"/>
  <c r="CB13" i="24" l="1"/>
  <c r="CC13" i="24" s="1"/>
  <c r="BY13" i="24"/>
  <c r="BZ13" i="24" s="1"/>
  <c r="BV13" i="24"/>
  <c r="BW13" i="24" s="1"/>
  <c r="BI13" i="23"/>
  <c r="BJ13" i="23" s="1"/>
  <c r="AZ14" i="23"/>
  <c r="AK14" i="23"/>
  <c r="AE15" i="23" s="1"/>
  <c r="BX13" i="24" l="1"/>
  <c r="BK13" i="23"/>
  <c r="CA13" i="24"/>
  <c r="BI14" i="23"/>
  <c r="BJ14" i="23" s="1"/>
  <c r="CB14" i="24"/>
  <c r="CC14" i="24" s="1"/>
  <c r="BV14" i="24"/>
  <c r="BW14" i="24" s="1"/>
  <c r="BY14" i="24"/>
  <c r="BZ14" i="24" s="1"/>
  <c r="CD13" i="24"/>
  <c r="BH14" i="23"/>
  <c r="AI15" i="23"/>
  <c r="AK15" i="23" s="1"/>
  <c r="AE16" i="23" s="1"/>
  <c r="AG15" i="23"/>
  <c r="AJ15" i="23" l="1"/>
  <c r="CA14" i="24"/>
  <c r="BX14" i="24"/>
  <c r="BK14" i="23"/>
  <c r="CD14" i="24"/>
  <c r="AG16" i="23"/>
  <c r="AI16" i="23"/>
  <c r="AZ15" i="23"/>
  <c r="BH15" i="23"/>
  <c r="BI15" i="23" l="1"/>
  <c r="BJ15" i="23" s="1"/>
  <c r="BY15" i="24"/>
  <c r="BZ15" i="24" s="1"/>
  <c r="BV15" i="24"/>
  <c r="BW15" i="24" s="1"/>
  <c r="CB15" i="24"/>
  <c r="CC15" i="24" s="1"/>
  <c r="AZ16" i="23"/>
  <c r="AJ16" i="23"/>
  <c r="AK16" i="23"/>
  <c r="AE17" i="23" s="1"/>
  <c r="BX15" i="24" l="1"/>
  <c r="CA15" i="24"/>
  <c r="CD15" i="24"/>
  <c r="BI16" i="23"/>
  <c r="BJ16" i="23" s="1"/>
  <c r="CB16" i="24"/>
  <c r="CC16" i="24" s="1"/>
  <c r="BY16" i="24"/>
  <c r="BZ16" i="24" s="1"/>
  <c r="BV16" i="24"/>
  <c r="BW16" i="24" s="1"/>
  <c r="BK15" i="23"/>
  <c r="AI17" i="23"/>
  <c r="AG17" i="23"/>
  <c r="BH16" i="23"/>
  <c r="AJ17" i="23" l="1"/>
  <c r="BX16" i="24"/>
  <c r="CA16" i="24"/>
  <c r="CD16" i="24"/>
  <c r="BK16" i="23"/>
  <c r="AZ17" i="23"/>
  <c r="AK17" i="23"/>
  <c r="AE18" i="23" s="1"/>
  <c r="BV17" i="24" l="1"/>
  <c r="BW17" i="24" s="1"/>
  <c r="CB17" i="24"/>
  <c r="CC17" i="24" s="1"/>
  <c r="BY17" i="24"/>
  <c r="BZ17" i="24" s="1"/>
  <c r="BI17" i="23"/>
  <c r="BJ17" i="23" s="1"/>
  <c r="AI18" i="23"/>
  <c r="AK18" i="23" s="1"/>
  <c r="AE19" i="23" s="1"/>
  <c r="AG18" i="23"/>
  <c r="AJ18" i="23" s="1"/>
  <c r="BH17" i="23"/>
  <c r="BK17" i="23" l="1"/>
  <c r="CA17" i="24"/>
  <c r="CD17" i="24"/>
  <c r="BX17" i="24"/>
  <c r="AI19" i="23"/>
  <c r="AG19" i="23"/>
  <c r="AJ19" i="23" s="1"/>
  <c r="AZ18" i="23"/>
  <c r="BH18" i="23"/>
  <c r="BV18" i="24" l="1"/>
  <c r="BW18" i="24" s="1"/>
  <c r="BY18" i="24"/>
  <c r="BZ18" i="24" s="1"/>
  <c r="BI18" i="23"/>
  <c r="BJ18" i="23" s="1"/>
  <c r="CB18" i="24"/>
  <c r="CC18" i="24" s="1"/>
  <c r="AZ19" i="23"/>
  <c r="AK19" i="23"/>
  <c r="AE20" i="23" s="1"/>
  <c r="BK18" i="23" l="1"/>
  <c r="CA18" i="24"/>
  <c r="CD18" i="24"/>
  <c r="CB19" i="24"/>
  <c r="CC19" i="24" s="1"/>
  <c r="BI19" i="23"/>
  <c r="BJ19" i="23" s="1"/>
  <c r="BV19" i="24"/>
  <c r="BW19" i="24" s="1"/>
  <c r="BY19" i="24"/>
  <c r="BZ19" i="24" s="1"/>
  <c r="BX18" i="24"/>
  <c r="AI20" i="23"/>
  <c r="AG20" i="23"/>
  <c r="BH19" i="23"/>
  <c r="AJ20" i="23" l="1"/>
  <c r="BX19" i="24"/>
  <c r="CA19" i="24"/>
  <c r="BK19" i="23"/>
  <c r="CD19" i="24"/>
  <c r="AZ20" i="23"/>
  <c r="AK20" i="23"/>
  <c r="AE21" i="23" s="1"/>
  <c r="BY20" i="24" l="1"/>
  <c r="BZ20" i="24" s="1"/>
  <c r="BV20" i="24"/>
  <c r="BW20" i="24" s="1"/>
  <c r="BI20" i="23"/>
  <c r="BJ20" i="23" s="1"/>
  <c r="CB20" i="24"/>
  <c r="CC20" i="24" s="1"/>
  <c r="AI21" i="23"/>
  <c r="AK21" i="23" s="1"/>
  <c r="AE22" i="23" s="1"/>
  <c r="AG21" i="23"/>
  <c r="AJ21" i="23" s="1"/>
  <c r="BH20" i="23"/>
  <c r="BK20" i="23" l="1"/>
  <c r="BX20" i="24"/>
  <c r="CD20" i="24"/>
  <c r="CA20" i="24"/>
  <c r="AI22" i="23"/>
  <c r="AG22" i="23"/>
  <c r="AJ22" i="23" s="1"/>
  <c r="BH21" i="23"/>
  <c r="AZ21" i="23"/>
  <c r="BY21" i="24" l="1"/>
  <c r="BZ21" i="24" s="1"/>
  <c r="BI21" i="23"/>
  <c r="BJ21" i="23" s="1"/>
  <c r="CB21" i="24"/>
  <c r="CC21" i="24" s="1"/>
  <c r="BV21" i="24"/>
  <c r="BW21" i="24" s="1"/>
  <c r="AZ22" i="23"/>
  <c r="AK22" i="23"/>
  <c r="AE23" i="23" s="1"/>
  <c r="BI22" i="23" l="1"/>
  <c r="BV22" i="24"/>
  <c r="CB22" i="24"/>
  <c r="BY22" i="24"/>
  <c r="BZ22" i="24" s="1"/>
  <c r="CC22" i="24"/>
  <c r="CD21" i="24"/>
  <c r="BW22" i="24"/>
  <c r="BX21" i="24"/>
  <c r="BJ22" i="23"/>
  <c r="BK21" i="23"/>
  <c r="CA21" i="24"/>
  <c r="AI23" i="23"/>
  <c r="AK23" i="23" s="1"/>
  <c r="AE24" i="23" s="1"/>
  <c r="AG23" i="23"/>
  <c r="AJ23" i="23" s="1"/>
  <c r="BH22" i="23"/>
  <c r="CA22" i="24" l="1"/>
  <c r="BX22" i="24"/>
  <c r="BK22" i="23"/>
  <c r="CD22" i="24"/>
  <c r="AI24" i="23"/>
  <c r="AK24" i="23" s="1"/>
  <c r="AE25" i="23" s="1"/>
  <c r="AG24" i="23"/>
  <c r="AZ23" i="23"/>
  <c r="BH23" i="23"/>
  <c r="AJ24" i="23" l="1"/>
  <c r="CB23" i="24"/>
  <c r="CC23" i="24" s="1"/>
  <c r="BY23" i="24"/>
  <c r="BZ23" i="24" s="1"/>
  <c r="BV23" i="24"/>
  <c r="BW23" i="24" s="1"/>
  <c r="BI23" i="23"/>
  <c r="BJ23" i="23" s="1"/>
  <c r="AI25" i="23"/>
  <c r="AG25" i="23"/>
  <c r="BH24" i="23"/>
  <c r="AZ24" i="23"/>
  <c r="AJ25" i="23" l="1"/>
  <c r="BI24" i="23"/>
  <c r="BJ24" i="23" s="1"/>
  <c r="CB24" i="24"/>
  <c r="CC24" i="24" s="1"/>
  <c r="BV24" i="24"/>
  <c r="BW24" i="24" s="1"/>
  <c r="BY24" i="24"/>
  <c r="BZ24" i="24" s="1"/>
  <c r="BX23" i="24"/>
  <c r="CA23" i="24"/>
  <c r="BK23" i="23"/>
  <c r="CD23" i="24"/>
  <c r="AZ25" i="23"/>
  <c r="AK25" i="23"/>
  <c r="AE26" i="23" s="1"/>
  <c r="BK24" i="23" l="1"/>
  <c r="CD24" i="24"/>
  <c r="CA24" i="24"/>
  <c r="BX24" i="24"/>
  <c r="BI25" i="23"/>
  <c r="BJ25" i="23" s="1"/>
  <c r="BV25" i="24"/>
  <c r="BW25" i="24" s="1"/>
  <c r="CB25" i="24"/>
  <c r="CC25" i="24" s="1"/>
  <c r="BY25" i="24"/>
  <c r="BZ25" i="24" s="1"/>
  <c r="AI26" i="23"/>
  <c r="AK26" i="23"/>
  <c r="AE27" i="23" s="1"/>
  <c r="AG26" i="23"/>
  <c r="BH25" i="23"/>
  <c r="AJ26" i="23" l="1"/>
  <c r="BX25" i="24"/>
  <c r="BK25" i="23"/>
  <c r="CA25" i="24"/>
  <c r="CD25" i="24"/>
  <c r="AI27" i="23"/>
  <c r="AK27" i="23" s="1"/>
  <c r="AE28" i="23" s="1"/>
  <c r="AG27" i="23"/>
  <c r="AJ27" i="23" s="1"/>
  <c r="AZ26" i="23"/>
  <c r="BH26" i="23"/>
  <c r="BI26" i="23" l="1"/>
  <c r="BJ26" i="23" s="1"/>
  <c r="CB26" i="24"/>
  <c r="CC26" i="24" s="1"/>
  <c r="BY26" i="24"/>
  <c r="BZ26" i="24" s="1"/>
  <c r="BV26" i="24"/>
  <c r="BW26" i="24" s="1"/>
  <c r="AI28" i="23"/>
  <c r="AK28" i="23" s="1"/>
  <c r="AE29" i="23" s="1"/>
  <c r="AG28" i="23"/>
  <c r="BH27" i="23"/>
  <c r="AZ27" i="23"/>
  <c r="AJ28" i="23" l="1"/>
  <c r="CA26" i="24"/>
  <c r="BV27" i="24"/>
  <c r="BW27" i="24" s="1"/>
  <c r="CB27" i="24"/>
  <c r="CC27" i="24" s="1"/>
  <c r="BI27" i="23"/>
  <c r="BJ27" i="23" s="1"/>
  <c r="BY27" i="24"/>
  <c r="BZ27" i="24" s="1"/>
  <c r="CD26" i="24"/>
  <c r="BX26" i="24"/>
  <c r="BK26" i="23"/>
  <c r="AI29" i="23"/>
  <c r="AG29" i="23"/>
  <c r="AZ28" i="23"/>
  <c r="BH28" i="23"/>
  <c r="AJ29" i="23" l="1"/>
  <c r="CA27" i="24"/>
  <c r="BK27" i="23"/>
  <c r="BX27" i="24"/>
  <c r="CD27" i="24"/>
  <c r="BV28" i="24"/>
  <c r="BW28" i="24" s="1"/>
  <c r="CB28" i="24"/>
  <c r="CC28" i="24" s="1"/>
  <c r="BY28" i="24"/>
  <c r="BZ28" i="24" s="1"/>
  <c r="BI28" i="23"/>
  <c r="BJ28" i="23" s="1"/>
  <c r="AZ29" i="23"/>
  <c r="AK29" i="23"/>
  <c r="AE30" i="23" s="1"/>
  <c r="CA28" i="24" l="1"/>
  <c r="CD28" i="24"/>
  <c r="BX28" i="24"/>
  <c r="BK28" i="23"/>
  <c r="CB29" i="24"/>
  <c r="CC29" i="24" s="1"/>
  <c r="BI29" i="23"/>
  <c r="BJ29" i="23" s="1"/>
  <c r="BV29" i="24"/>
  <c r="BW29" i="24" s="1"/>
  <c r="BY29" i="24"/>
  <c r="BZ29" i="24" s="1"/>
  <c r="AI30" i="23"/>
  <c r="AG30" i="23"/>
  <c r="BH29" i="23"/>
  <c r="AJ30" i="23" l="1"/>
  <c r="CA29" i="24"/>
  <c r="BK29" i="23"/>
  <c r="CD29" i="24"/>
  <c r="BX29" i="24"/>
  <c r="AZ30" i="23"/>
  <c r="AK30" i="23"/>
  <c r="AE31" i="23" s="1"/>
  <c r="BY30" i="24" l="1"/>
  <c r="BZ30" i="24" s="1"/>
  <c r="BV30" i="24"/>
  <c r="BW30" i="24" s="1"/>
  <c r="CB30" i="24"/>
  <c r="CC30" i="24" s="1"/>
  <c r="BI30" i="23"/>
  <c r="BJ30" i="23" s="1"/>
  <c r="AI31" i="23"/>
  <c r="AK31" i="23" s="1"/>
  <c r="AE32" i="23" s="1"/>
  <c r="AG31" i="23"/>
  <c r="BH30" i="23"/>
  <c r="AJ31" i="23" l="1"/>
  <c r="BK30" i="23"/>
  <c r="CD30" i="24"/>
  <c r="BX30" i="24"/>
  <c r="CA30" i="24"/>
  <c r="AI32" i="23"/>
  <c r="AK32" i="23" s="1"/>
  <c r="AE33" i="23" s="1"/>
  <c r="AG32" i="23"/>
  <c r="BH31" i="23"/>
  <c r="AZ31" i="23"/>
  <c r="AJ32" i="23" l="1"/>
  <c r="BY31" i="24"/>
  <c r="BZ31" i="24" s="1"/>
  <c r="BI31" i="23"/>
  <c r="BJ31" i="23" s="1"/>
  <c r="BV31" i="24"/>
  <c r="BW31" i="24" s="1"/>
  <c r="CB31" i="24"/>
  <c r="CC31" i="24" s="1"/>
  <c r="AI33" i="23"/>
  <c r="AK33" i="23" s="1"/>
  <c r="AE34" i="23" s="1"/>
  <c r="AG33" i="23"/>
  <c r="AJ33" i="23" s="1"/>
  <c r="BH32" i="23"/>
  <c r="AZ32" i="23"/>
  <c r="CB32" i="24" l="1"/>
  <c r="BY32" i="24"/>
  <c r="BZ32" i="24" s="1"/>
  <c r="BV32" i="24"/>
  <c r="BW32" i="24" s="1"/>
  <c r="BI32" i="23"/>
  <c r="BJ32" i="23" s="1"/>
  <c r="CD31" i="24"/>
  <c r="CC32" i="24"/>
  <c r="BX31" i="24"/>
  <c r="BK31" i="23"/>
  <c r="CA31" i="24"/>
  <c r="AI34" i="23"/>
  <c r="AG34" i="23"/>
  <c r="AZ33" i="23"/>
  <c r="BH33" i="23"/>
  <c r="AJ34" i="23" l="1"/>
  <c r="BK32" i="23"/>
  <c r="CA32" i="24"/>
  <c r="CB33" i="24"/>
  <c r="CC33" i="24" s="1"/>
  <c r="BY33" i="24"/>
  <c r="BZ33" i="24" s="1"/>
  <c r="BV33" i="24"/>
  <c r="BW33" i="24" s="1"/>
  <c r="BI33" i="23"/>
  <c r="BJ33" i="23" s="1"/>
  <c r="CD32" i="24"/>
  <c r="BX32" i="24"/>
  <c r="AZ34" i="23"/>
  <c r="AK34" i="23"/>
  <c r="AE35" i="23" s="1"/>
  <c r="BX33" i="24" l="1"/>
  <c r="BK33" i="23"/>
  <c r="CA33" i="24"/>
  <c r="CD33" i="24"/>
  <c r="BI34" i="23"/>
  <c r="BJ34" i="23" s="1"/>
  <c r="CB34" i="24"/>
  <c r="CC34" i="24" s="1"/>
  <c r="BY34" i="24"/>
  <c r="BZ34" i="24" s="1"/>
  <c r="BV34" i="24"/>
  <c r="BW34" i="24" s="1"/>
  <c r="AI35" i="23"/>
  <c r="AG35" i="23"/>
  <c r="BH34" i="23"/>
  <c r="AJ35" i="23" l="1"/>
  <c r="BX34" i="24"/>
  <c r="CD34" i="24"/>
  <c r="BK34" i="23"/>
  <c r="CA34" i="24"/>
  <c r="AZ35" i="23"/>
  <c r="AK35" i="23"/>
  <c r="AE36" i="23" s="1"/>
  <c r="BI35" i="23" l="1"/>
  <c r="BJ35" i="23" s="1"/>
  <c r="BV35" i="24"/>
  <c r="BW35" i="24" s="1"/>
  <c r="CB35" i="24"/>
  <c r="CC35" i="24" s="1"/>
  <c r="BY35" i="24"/>
  <c r="BZ35" i="24" s="1"/>
  <c r="AI36" i="23"/>
  <c r="AK36" i="23" s="1"/>
  <c r="AE37" i="23" s="1"/>
  <c r="AG36" i="23"/>
  <c r="AJ36" i="23" s="1"/>
  <c r="BH35" i="23"/>
  <c r="CA35" i="24" l="1"/>
  <c r="BX35" i="24"/>
  <c r="CD35" i="24"/>
  <c r="BK35" i="23"/>
  <c r="AI37" i="23"/>
  <c r="AG37" i="23"/>
  <c r="AJ37" i="23" s="1"/>
  <c r="AZ36" i="23"/>
  <c r="BH36" i="23"/>
  <c r="BI36" i="23" l="1"/>
  <c r="BJ36" i="23" s="1"/>
  <c r="CB36" i="24"/>
  <c r="CC36" i="24" s="1"/>
  <c r="BY36" i="24"/>
  <c r="BZ36" i="24" s="1"/>
  <c r="BV36" i="24"/>
  <c r="BW36" i="24" s="1"/>
  <c r="AZ37" i="23"/>
  <c r="AK37" i="23"/>
  <c r="AE38" i="23" s="1"/>
  <c r="BV37" i="24" l="1"/>
  <c r="BI37" i="23"/>
  <c r="BJ37" i="23" s="1"/>
  <c r="CB37" i="24"/>
  <c r="CC37" i="24" s="1"/>
  <c r="BY37" i="24"/>
  <c r="BZ37" i="24" s="1"/>
  <c r="BX36" i="24"/>
  <c r="BW37" i="24"/>
  <c r="CA36" i="24"/>
  <c r="CD36" i="24"/>
  <c r="BK36" i="23"/>
  <c r="AI38" i="23"/>
  <c r="AG38" i="23"/>
  <c r="BH37" i="23"/>
  <c r="AJ38" i="23" l="1"/>
  <c r="BK37" i="23"/>
  <c r="CD37" i="24"/>
  <c r="CA37" i="24"/>
  <c r="BX37" i="24"/>
  <c r="AZ38" i="23"/>
  <c r="AK38" i="23"/>
  <c r="AE39" i="23" s="1"/>
  <c r="BV38" i="24" l="1"/>
  <c r="BW38" i="24" s="1"/>
  <c r="BI38" i="23"/>
  <c r="BJ38" i="23" s="1"/>
  <c r="CB38" i="24"/>
  <c r="CC38" i="24" s="1"/>
  <c r="BY38" i="24"/>
  <c r="BZ38" i="24" s="1"/>
  <c r="AI39" i="23"/>
  <c r="AG39" i="23"/>
  <c r="BH38" i="23"/>
  <c r="AJ39" i="23" l="1"/>
  <c r="BK38" i="23"/>
  <c r="CA38" i="24"/>
  <c r="CD38" i="24"/>
  <c r="BX38" i="24"/>
  <c r="AZ39" i="23"/>
  <c r="AK39" i="23"/>
  <c r="AE40" i="23" s="1"/>
  <c r="CB39" i="24" l="1"/>
  <c r="CC39" i="24" s="1"/>
  <c r="BI39" i="23"/>
  <c r="BJ39" i="23" s="1"/>
  <c r="BY39" i="24"/>
  <c r="BZ39" i="24" s="1"/>
  <c r="BV39" i="24"/>
  <c r="BW39" i="24" s="1"/>
  <c r="AI40" i="23"/>
  <c r="AG40" i="23"/>
  <c r="AJ40" i="23" s="1"/>
  <c r="BH39" i="23"/>
  <c r="CA39" i="24" l="1"/>
  <c r="BK39" i="23"/>
  <c r="BX39" i="24"/>
  <c r="CD39" i="24"/>
  <c r="AZ40" i="23"/>
  <c r="AK40" i="23"/>
  <c r="AE41" i="23" s="1"/>
  <c r="BY40" i="24" l="1"/>
  <c r="BZ40" i="24" s="1"/>
  <c r="BV40" i="24"/>
  <c r="BW40" i="24" s="1"/>
  <c r="CB40" i="24"/>
  <c r="CC40" i="24" s="1"/>
  <c r="BI40" i="23"/>
  <c r="BJ40" i="23" s="1"/>
  <c r="BH40" i="23"/>
  <c r="AI41" i="23"/>
  <c r="AG41" i="23"/>
  <c r="AJ41" i="23" l="1"/>
  <c r="BK40" i="23"/>
  <c r="BX40" i="24"/>
  <c r="CD40" i="24"/>
  <c r="CA40" i="24"/>
  <c r="AZ41" i="23"/>
  <c r="AK41" i="23"/>
  <c r="AE42" i="23" s="1"/>
  <c r="BY41" i="24" l="1"/>
  <c r="BZ41" i="24" s="1"/>
  <c r="CB41" i="24"/>
  <c r="CC41" i="24" s="1"/>
  <c r="BV41" i="24"/>
  <c r="BW41" i="24" s="1"/>
  <c r="BI41" i="23"/>
  <c r="BJ41" i="23" s="1"/>
  <c r="AI42" i="23"/>
  <c r="AK42" i="23"/>
  <c r="AE43" i="23" s="1"/>
  <c r="AG42" i="23"/>
  <c r="AJ42" i="23" s="1"/>
  <c r="BH41" i="23"/>
  <c r="BX41" i="24" l="1"/>
  <c r="CD41" i="24"/>
  <c r="BK41" i="23"/>
  <c r="CA41" i="24"/>
  <c r="AI43" i="23"/>
  <c r="AG43" i="23"/>
  <c r="BH42" i="23"/>
  <c r="AZ42" i="23"/>
  <c r="AJ43" i="23" l="1"/>
  <c r="BI42" i="23"/>
  <c r="BJ42" i="23" s="1"/>
  <c r="BV42" i="24"/>
  <c r="BW42" i="24" s="1"/>
  <c r="CB42" i="24"/>
  <c r="CC42" i="24" s="1"/>
  <c r="BY42" i="24"/>
  <c r="BZ42" i="24" s="1"/>
  <c r="AZ43" i="23"/>
  <c r="AK43" i="23"/>
  <c r="AE44" i="23" s="1"/>
  <c r="CD42" i="24" l="1"/>
  <c r="CA42" i="24"/>
  <c r="CB43" i="24"/>
  <c r="CC43" i="24" s="1"/>
  <c r="BY43" i="24"/>
  <c r="BZ43" i="24" s="1"/>
  <c r="BV43" i="24"/>
  <c r="BW43" i="24" s="1"/>
  <c r="BI43" i="23"/>
  <c r="BJ43" i="23" s="1"/>
  <c r="BX42" i="24"/>
  <c r="BK42" i="23"/>
  <c r="AI44" i="23"/>
  <c r="AK44" i="23" s="1"/>
  <c r="AE45" i="23" s="1"/>
  <c r="AG44" i="23"/>
  <c r="BH43" i="23"/>
  <c r="AJ44" i="23" l="1"/>
  <c r="BK43" i="23"/>
  <c r="CA43" i="24"/>
  <c r="CD43" i="24"/>
  <c r="BX43" i="24"/>
  <c r="AI45" i="23"/>
  <c r="AK45" i="23" s="1"/>
  <c r="AE46" i="23" s="1"/>
  <c r="AG45" i="23"/>
  <c r="AZ44" i="23"/>
  <c r="BH44" i="23"/>
  <c r="AJ45" i="23" l="1"/>
  <c r="BI44" i="23"/>
  <c r="BJ44" i="23" s="1"/>
  <c r="CB44" i="24"/>
  <c r="CC44" i="24" s="1"/>
  <c r="BY44" i="24"/>
  <c r="BZ44" i="24" s="1"/>
  <c r="BV44" i="24"/>
  <c r="BW44" i="24" s="1"/>
  <c r="AI46" i="23"/>
  <c r="AK46" i="23" s="1"/>
  <c r="AE47" i="23" s="1"/>
  <c r="AG46" i="23"/>
  <c r="BH45" i="23"/>
  <c r="AZ45" i="23"/>
  <c r="AJ46" i="23" l="1"/>
  <c r="BI45" i="23"/>
  <c r="CB45" i="24"/>
  <c r="BY45" i="24"/>
  <c r="BV45" i="24"/>
  <c r="CA44" i="24"/>
  <c r="BZ45" i="24"/>
  <c r="CD44" i="24"/>
  <c r="CC45" i="24"/>
  <c r="BW45" i="24"/>
  <c r="BX44" i="24"/>
  <c r="BJ45" i="23"/>
  <c r="BK44" i="23"/>
  <c r="AI47" i="23"/>
  <c r="AK47" i="23" s="1"/>
  <c r="AE48" i="23" s="1"/>
  <c r="AG47" i="23"/>
  <c r="AJ47" i="23" s="1"/>
  <c r="AZ46" i="23"/>
  <c r="BH46" i="23"/>
  <c r="CD45" i="24" l="1"/>
  <c r="CA45" i="24"/>
  <c r="BI46" i="23"/>
  <c r="BJ46" i="23" s="1"/>
  <c r="CB46" i="24"/>
  <c r="CC46" i="24" s="1"/>
  <c r="BY46" i="24"/>
  <c r="BZ46" i="24" s="1"/>
  <c r="BV46" i="24"/>
  <c r="BW46" i="24" s="1"/>
  <c r="BX45" i="24"/>
  <c r="BK45" i="23"/>
  <c r="AI48" i="23"/>
  <c r="AG48" i="23"/>
  <c r="AZ47" i="23"/>
  <c r="BH47" i="23"/>
  <c r="AJ48" i="23" l="1"/>
  <c r="CA46" i="24"/>
  <c r="CD46" i="24"/>
  <c r="BK46" i="23"/>
  <c r="BX46" i="24"/>
  <c r="BV47" i="24"/>
  <c r="BW47" i="24" s="1"/>
  <c r="BY47" i="24"/>
  <c r="BZ47" i="24" s="1"/>
  <c r="CB47" i="24"/>
  <c r="CC47" i="24" s="1"/>
  <c r="BI47" i="23"/>
  <c r="BJ47" i="23" s="1"/>
  <c r="AZ48" i="23"/>
  <c r="AK48" i="23"/>
  <c r="AE49" i="23" s="1"/>
  <c r="CA47" i="24" l="1"/>
  <c r="BX47" i="24"/>
  <c r="BK47" i="23"/>
  <c r="CD47" i="24"/>
  <c r="BV48" i="24"/>
  <c r="BW48" i="24" s="1"/>
  <c r="BI48" i="23"/>
  <c r="BJ48" i="23" s="1"/>
  <c r="CB48" i="24"/>
  <c r="CC48" i="24" s="1"/>
  <c r="BY48" i="24"/>
  <c r="BZ48" i="24" s="1"/>
  <c r="AI49" i="23"/>
  <c r="AG49" i="23"/>
  <c r="BH48" i="23"/>
  <c r="AJ49" i="23" l="1"/>
  <c r="CA48" i="24"/>
  <c r="BK48" i="23"/>
  <c r="BX48" i="24"/>
  <c r="CD48" i="24"/>
  <c r="AZ49" i="23"/>
  <c r="AK49" i="23"/>
  <c r="AE50" i="23" s="1"/>
  <c r="CB49" i="24" l="1"/>
  <c r="CC49" i="24" s="1"/>
  <c r="BI49" i="23"/>
  <c r="BJ49" i="23" s="1"/>
  <c r="BY49" i="24"/>
  <c r="BZ49" i="24" s="1"/>
  <c r="BV49" i="24"/>
  <c r="BW49" i="24" s="1"/>
  <c r="AI50" i="23"/>
  <c r="AK50" i="23" s="1"/>
  <c r="AE51" i="23" s="1"/>
  <c r="AG50" i="23"/>
  <c r="AJ50" i="23" s="1"/>
  <c r="BH49" i="23"/>
  <c r="CA49" i="24" l="1"/>
  <c r="BK49" i="23"/>
  <c r="BX49" i="24"/>
  <c r="CD49" i="24"/>
  <c r="AI51" i="23"/>
  <c r="AK51" i="23" s="1"/>
  <c r="AE52" i="23" s="1"/>
  <c r="AG51" i="23"/>
  <c r="AJ51" i="23" s="1"/>
  <c r="BH50" i="23"/>
  <c r="AZ50" i="23"/>
  <c r="BY50" i="24" l="1"/>
  <c r="BZ50" i="24" s="1"/>
  <c r="BV50" i="24"/>
  <c r="BW50" i="24" s="1"/>
  <c r="CB50" i="24"/>
  <c r="CC50" i="24" s="1"/>
  <c r="BI50" i="23"/>
  <c r="BJ50" i="23" s="1"/>
  <c r="AI52" i="23"/>
  <c r="AG52" i="23"/>
  <c r="AJ52" i="23" s="1"/>
  <c r="BH51" i="23"/>
  <c r="AZ51" i="23"/>
  <c r="BY51" i="24" l="1"/>
  <c r="BZ51" i="24" s="1"/>
  <c r="CB51" i="24"/>
  <c r="CC51" i="24" s="1"/>
  <c r="BV51" i="24"/>
  <c r="BW51" i="24" s="1"/>
  <c r="BI51" i="23"/>
  <c r="BJ51" i="23" s="1"/>
  <c r="BK50" i="23"/>
  <c r="CD50" i="24"/>
  <c r="BX50" i="24"/>
  <c r="CA50" i="24"/>
  <c r="AZ52" i="23"/>
  <c r="AK52" i="23"/>
  <c r="AE53" i="23" s="1"/>
  <c r="BX51" i="24" l="1"/>
  <c r="BK51" i="23"/>
  <c r="CD51" i="24"/>
  <c r="BI52" i="23"/>
  <c r="BJ52" i="23" s="1"/>
  <c r="BY52" i="24"/>
  <c r="BZ52" i="24" s="1"/>
  <c r="BV52" i="24"/>
  <c r="BW52" i="24" s="1"/>
  <c r="CB52" i="24"/>
  <c r="CC52" i="24" s="1"/>
  <c r="CA51" i="24"/>
  <c r="AI53" i="23"/>
  <c r="AK53" i="23" s="1"/>
  <c r="AE54" i="23" s="1"/>
  <c r="AG53" i="23"/>
  <c r="AJ53" i="23" s="1"/>
  <c r="BH52" i="23"/>
  <c r="CD52" i="24" l="1"/>
  <c r="BX52" i="24"/>
  <c r="CA52" i="24"/>
  <c r="BK52" i="23"/>
  <c r="AI54" i="23"/>
  <c r="AK54" i="23" s="1"/>
  <c r="AE55" i="23" s="1"/>
  <c r="AG54" i="23"/>
  <c r="AJ54" i="23" s="1"/>
  <c r="AZ53" i="23"/>
  <c r="BH53" i="23"/>
  <c r="CB53" i="24" l="1"/>
  <c r="CC53" i="24" s="1"/>
  <c r="BY53" i="24"/>
  <c r="BZ53" i="24" s="1"/>
  <c r="BV53" i="24"/>
  <c r="BW53" i="24" s="1"/>
  <c r="BI53" i="23"/>
  <c r="BJ53" i="23" s="1"/>
  <c r="AI55" i="23"/>
  <c r="AK55" i="23" s="1"/>
  <c r="AE56" i="23" s="1"/>
  <c r="AG55" i="23"/>
  <c r="BH54" i="23"/>
  <c r="AZ54" i="23"/>
  <c r="AJ55" i="23" l="1"/>
  <c r="BI54" i="23"/>
  <c r="CB54" i="24"/>
  <c r="CC54" i="24" s="1"/>
  <c r="BY54" i="24"/>
  <c r="BV54" i="24"/>
  <c r="BW54" i="24" s="1"/>
  <c r="BK53" i="23"/>
  <c r="BJ54" i="23"/>
  <c r="BX53" i="24"/>
  <c r="BZ54" i="24"/>
  <c r="CA53" i="24"/>
  <c r="CD53" i="24"/>
  <c r="AI56" i="23"/>
  <c r="AK56" i="23"/>
  <c r="AE57" i="23" s="1"/>
  <c r="AG56" i="23"/>
  <c r="AJ56" i="23" s="1"/>
  <c r="AZ55" i="23"/>
  <c r="BH55" i="23"/>
  <c r="CA54" i="24" l="1"/>
  <c r="BX54" i="24"/>
  <c r="BK54" i="23"/>
  <c r="BI55" i="23"/>
  <c r="BJ55" i="23" s="1"/>
  <c r="BY55" i="24"/>
  <c r="BZ55" i="24" s="1"/>
  <c r="CB55" i="24"/>
  <c r="CC55" i="24" s="1"/>
  <c r="BV55" i="24"/>
  <c r="BW55" i="24" s="1"/>
  <c r="CD54" i="24"/>
  <c r="AI57" i="23"/>
  <c r="AK57" i="23" s="1"/>
  <c r="AE58" i="23" s="1"/>
  <c r="AG57" i="23"/>
  <c r="AZ56" i="23"/>
  <c r="BH56" i="23"/>
  <c r="AJ57" i="23" l="1"/>
  <c r="BX55" i="24"/>
  <c r="CD55" i="24"/>
  <c r="CA55" i="24"/>
  <c r="BK55" i="23"/>
  <c r="BI56" i="23"/>
  <c r="BJ56" i="23" s="1"/>
  <c r="CB56" i="24"/>
  <c r="CC56" i="24" s="1"/>
  <c r="BY56" i="24"/>
  <c r="BZ56" i="24" s="1"/>
  <c r="BV56" i="24"/>
  <c r="BW56" i="24" s="1"/>
  <c r="AI58" i="23"/>
  <c r="AK58" i="23" s="1"/>
  <c r="AE59" i="23" s="1"/>
  <c r="AG58" i="23"/>
  <c r="AZ57" i="23"/>
  <c r="BH57" i="23"/>
  <c r="AJ58" i="23" l="1"/>
  <c r="BX56" i="24"/>
  <c r="CD56" i="24"/>
  <c r="BK56" i="23"/>
  <c r="BV57" i="24"/>
  <c r="BW57" i="24" s="1"/>
  <c r="BY57" i="24"/>
  <c r="BZ57" i="24" s="1"/>
  <c r="BI57" i="23"/>
  <c r="BJ57" i="23" s="1"/>
  <c r="CB57" i="24"/>
  <c r="CC57" i="24" s="1"/>
  <c r="CA56" i="24"/>
  <c r="AI59" i="23"/>
  <c r="AG59" i="23"/>
  <c r="AZ58" i="23"/>
  <c r="BH58" i="23"/>
  <c r="AJ59" i="23" l="1"/>
  <c r="CD57" i="24"/>
  <c r="CA57" i="24"/>
  <c r="BX57" i="24"/>
  <c r="BK57" i="23"/>
  <c r="BV58" i="24"/>
  <c r="BW58" i="24" s="1"/>
  <c r="BY58" i="24"/>
  <c r="BZ58" i="24" s="1"/>
  <c r="BI58" i="23"/>
  <c r="BJ58" i="23" s="1"/>
  <c r="CB58" i="24"/>
  <c r="CC58" i="24" s="1"/>
  <c r="AZ59" i="23"/>
  <c r="AK59" i="23"/>
  <c r="AE60" i="23" s="1"/>
  <c r="CD58" i="24" l="1"/>
  <c r="CA58" i="24"/>
  <c r="BK58" i="23"/>
  <c r="BX58" i="24"/>
  <c r="CB59" i="24"/>
  <c r="CC59" i="24" s="1"/>
  <c r="BI59" i="23"/>
  <c r="BJ59" i="23" s="1"/>
  <c r="BY59" i="24"/>
  <c r="BZ59" i="24" s="1"/>
  <c r="BV59" i="24"/>
  <c r="BW59" i="24" s="1"/>
  <c r="AI60" i="23"/>
  <c r="AK60" i="23" s="1"/>
  <c r="AE61" i="23" s="1"/>
  <c r="AG60" i="23"/>
  <c r="BH59" i="23"/>
  <c r="AJ60" i="23" l="1"/>
  <c r="BK59" i="23"/>
  <c r="CD59" i="24"/>
  <c r="BX59" i="24"/>
  <c r="CA59" i="24"/>
  <c r="AI61" i="23"/>
  <c r="AG61" i="23"/>
  <c r="AZ60" i="23"/>
  <c r="BH60" i="23"/>
  <c r="AJ61" i="23" l="1"/>
  <c r="BY60" i="24"/>
  <c r="BZ60" i="24" s="1"/>
  <c r="BV60" i="24"/>
  <c r="BW60" i="24" s="1"/>
  <c r="BI60" i="23"/>
  <c r="BJ60" i="23" s="1"/>
  <c r="CB60" i="24"/>
  <c r="CC60" i="24" s="1"/>
  <c r="AZ61" i="23"/>
  <c r="AK61" i="23"/>
  <c r="AE62" i="23" s="1"/>
  <c r="BY61" i="24" l="1"/>
  <c r="BZ61" i="24" s="1"/>
  <c r="BV61" i="24"/>
  <c r="BW61" i="24" s="1"/>
  <c r="CB61" i="24"/>
  <c r="BI61" i="23"/>
  <c r="CC61" i="24"/>
  <c r="CD60" i="24"/>
  <c r="BJ61" i="23"/>
  <c r="BK60" i="23"/>
  <c r="BX60" i="24"/>
  <c r="CA60" i="24"/>
  <c r="AI62" i="23"/>
  <c r="AK62" i="23" s="1"/>
  <c r="AE63" i="23" s="1"/>
  <c r="AG62" i="23"/>
  <c r="AJ62" i="23" s="1"/>
  <c r="BH61" i="23"/>
  <c r="BK61" i="23" l="1"/>
  <c r="BX61" i="24"/>
  <c r="CD61" i="24"/>
  <c r="CA61" i="24"/>
  <c r="AI63" i="23"/>
  <c r="AK63" i="23" s="1"/>
  <c r="AE64" i="23" s="1"/>
  <c r="AG63" i="23"/>
  <c r="AJ63" i="23" s="1"/>
  <c r="BH62" i="23"/>
  <c r="AZ62" i="23"/>
  <c r="BY62" i="24" l="1"/>
  <c r="BZ62" i="24" s="1"/>
  <c r="BV62" i="24"/>
  <c r="BW62" i="24" s="1"/>
  <c r="CB62" i="24"/>
  <c r="CC62" i="24" s="1"/>
  <c r="BI62" i="23"/>
  <c r="BJ62" i="23" s="1"/>
  <c r="AG64" i="23"/>
  <c r="AI64" i="23"/>
  <c r="AZ63" i="23"/>
  <c r="BH63" i="23"/>
  <c r="BK62" i="23" l="1"/>
  <c r="CB63" i="24"/>
  <c r="BY63" i="24"/>
  <c r="BZ63" i="24" s="1"/>
  <c r="BV63" i="24"/>
  <c r="BI63" i="23"/>
  <c r="BJ63" i="23" s="1"/>
  <c r="CC63" i="24"/>
  <c r="CD62" i="24"/>
  <c r="BW63" i="24"/>
  <c r="BX62" i="24"/>
  <c r="CA62" i="24"/>
  <c r="AZ64" i="23"/>
  <c r="AK64" i="23"/>
  <c r="AE65" i="23" s="1"/>
  <c r="AJ64" i="23"/>
  <c r="BK63" i="23" l="1"/>
  <c r="CA63" i="24"/>
  <c r="BX63" i="24"/>
  <c r="CD63" i="24"/>
  <c r="BI64" i="23"/>
  <c r="BJ64" i="23" s="1"/>
  <c r="CB64" i="24"/>
  <c r="CC64" i="24" s="1"/>
  <c r="BV64" i="24"/>
  <c r="BW64" i="24" s="1"/>
  <c r="BY64" i="24"/>
  <c r="BZ64" i="24" s="1"/>
  <c r="AI65" i="23"/>
  <c r="AG65" i="23"/>
  <c r="BH64" i="23"/>
  <c r="AJ65" i="23" l="1"/>
  <c r="CD64" i="24"/>
  <c r="BK64" i="23"/>
  <c r="CA64" i="24"/>
  <c r="BX64" i="24"/>
  <c r="AZ65" i="23"/>
  <c r="AK65" i="23"/>
  <c r="AE66" i="23" s="1"/>
  <c r="BI65" i="23" l="1"/>
  <c r="BJ65" i="23" s="1"/>
  <c r="BV65" i="24"/>
  <c r="BW65" i="24" s="1"/>
  <c r="CB65" i="24"/>
  <c r="CC65" i="24" s="1"/>
  <c r="BY65" i="24"/>
  <c r="BZ65" i="24" s="1"/>
  <c r="AI66" i="23"/>
  <c r="AG66" i="23"/>
  <c r="BH65" i="23"/>
  <c r="AJ66" i="23" l="1"/>
  <c r="CA65" i="24"/>
  <c r="BX65" i="24"/>
  <c r="CD65" i="24"/>
  <c r="BK65" i="23"/>
  <c r="AZ66" i="23"/>
  <c r="AK66" i="23"/>
  <c r="AE67" i="23" s="1"/>
  <c r="BI66" i="23" l="1"/>
  <c r="BJ66" i="23" s="1"/>
  <c r="CB66" i="24"/>
  <c r="CC66" i="24" s="1"/>
  <c r="BY66" i="24"/>
  <c r="BZ66" i="24" s="1"/>
  <c r="BV66" i="24"/>
  <c r="BW66" i="24" s="1"/>
  <c r="AI67" i="23"/>
  <c r="AK67" i="23" s="1"/>
  <c r="AE68" i="23" s="1"/>
  <c r="AG67" i="23"/>
  <c r="AJ67" i="23" s="1"/>
  <c r="BH66" i="23"/>
  <c r="BX66" i="24" l="1"/>
  <c r="CD66" i="24"/>
  <c r="CA66" i="24"/>
  <c r="BK66" i="23"/>
  <c r="AI68" i="23"/>
  <c r="AG68" i="23"/>
  <c r="AJ68" i="23" s="1"/>
  <c r="AZ67" i="23"/>
  <c r="BH67" i="23"/>
  <c r="BV67" i="24" l="1"/>
  <c r="BW67" i="24" s="1"/>
  <c r="CB67" i="24"/>
  <c r="CC67" i="24" s="1"/>
  <c r="BY67" i="24"/>
  <c r="BZ67" i="24" s="1"/>
  <c r="BI67" i="23"/>
  <c r="BJ67" i="23" s="1"/>
  <c r="AZ68" i="23"/>
  <c r="AK68" i="23"/>
  <c r="AE69" i="23" s="1"/>
  <c r="CA67" i="24" l="1"/>
  <c r="BK67" i="23"/>
  <c r="CD67" i="24"/>
  <c r="BV68" i="24"/>
  <c r="BW68" i="24" s="1"/>
  <c r="BY68" i="24"/>
  <c r="BZ68" i="24" s="1"/>
  <c r="BI68" i="23"/>
  <c r="BJ68" i="23" s="1"/>
  <c r="CB68" i="24"/>
  <c r="CC68" i="24" s="1"/>
  <c r="BX67" i="24"/>
  <c r="AI69" i="23"/>
  <c r="AG69" i="23"/>
  <c r="AJ69" i="23" s="1"/>
  <c r="BH68" i="23"/>
  <c r="CD68" i="24" l="1"/>
  <c r="CA68" i="24"/>
  <c r="BK68" i="23"/>
  <c r="BX68" i="24"/>
  <c r="AZ69" i="23"/>
  <c r="AK69" i="23"/>
  <c r="AE70" i="23" s="1"/>
  <c r="CB69" i="24" l="1"/>
  <c r="CC69" i="24" s="1"/>
  <c r="BI69" i="23"/>
  <c r="BJ69" i="23" s="1"/>
  <c r="BV69" i="24"/>
  <c r="BW69" i="24" s="1"/>
  <c r="BY69" i="24"/>
  <c r="BZ69" i="24" s="1"/>
  <c r="AI70" i="23"/>
  <c r="AG70" i="23"/>
  <c r="BH69" i="23"/>
  <c r="AJ70" i="23" l="1"/>
  <c r="CA69" i="24"/>
  <c r="BK69" i="23"/>
  <c r="BX69" i="24"/>
  <c r="CD69" i="24"/>
  <c r="AZ70" i="23"/>
  <c r="AK70" i="23"/>
  <c r="AE71" i="23" s="1"/>
  <c r="BY70" i="24" l="1"/>
  <c r="BZ70" i="24" s="1"/>
  <c r="BV70" i="24"/>
  <c r="BW70" i="24" s="1"/>
  <c r="BI70" i="23"/>
  <c r="BJ70" i="23" s="1"/>
  <c r="CB70" i="24"/>
  <c r="CC70" i="24" s="1"/>
  <c r="AI71" i="23"/>
  <c r="AG71" i="23"/>
  <c r="BH70" i="23"/>
  <c r="CD70" i="24" l="1"/>
  <c r="BX70" i="24"/>
  <c r="BK70" i="23"/>
  <c r="CA70" i="24"/>
  <c r="AZ71" i="23"/>
  <c r="AJ71" i="23"/>
  <c r="AK71" i="23"/>
  <c r="AE72" i="23" s="1"/>
  <c r="BY71" i="24" l="1"/>
  <c r="BZ71" i="24" s="1"/>
  <c r="BI71" i="23"/>
  <c r="BJ71" i="23" s="1"/>
  <c r="BV71" i="24"/>
  <c r="BW71" i="24" s="1"/>
  <c r="CB71" i="24"/>
  <c r="CC71" i="24" s="1"/>
  <c r="BH71" i="23"/>
  <c r="AI72" i="23"/>
  <c r="AK72" i="23" s="1"/>
  <c r="AE73" i="23" s="1"/>
  <c r="AG72" i="23"/>
  <c r="AJ72" i="23" l="1"/>
  <c r="BX71" i="24"/>
  <c r="CD71" i="24"/>
  <c r="BK71" i="23"/>
  <c r="CA71" i="24"/>
  <c r="AI73" i="23"/>
  <c r="AK73" i="23" s="1"/>
  <c r="AE74" i="23" s="1"/>
  <c r="AG73" i="23"/>
  <c r="BH72" i="23"/>
  <c r="AZ72" i="23"/>
  <c r="AJ73" i="23" l="1"/>
  <c r="BI72" i="23"/>
  <c r="BJ72" i="23" s="1"/>
  <c r="BV72" i="24"/>
  <c r="BW72" i="24" s="1"/>
  <c r="CB72" i="24"/>
  <c r="CC72" i="24" s="1"/>
  <c r="BY72" i="24"/>
  <c r="BZ72" i="24" s="1"/>
  <c r="AI74" i="23"/>
  <c r="AG74" i="23"/>
  <c r="AJ74" i="23" s="1"/>
  <c r="BH73" i="23"/>
  <c r="AZ73" i="23"/>
  <c r="CA72" i="24" l="1"/>
  <c r="CD72" i="24"/>
  <c r="CB73" i="24"/>
  <c r="CC73" i="24" s="1"/>
  <c r="BY73" i="24"/>
  <c r="BZ73" i="24" s="1"/>
  <c r="BV73" i="24"/>
  <c r="BI73" i="23"/>
  <c r="BJ73" i="23" s="1"/>
  <c r="BX72" i="24"/>
  <c r="BW73" i="24"/>
  <c r="BK72" i="23"/>
  <c r="AZ74" i="23"/>
  <c r="AK74" i="23"/>
  <c r="AE75" i="23" s="1"/>
  <c r="BK73" i="23" l="1"/>
  <c r="CA73" i="24"/>
  <c r="CD73" i="24"/>
  <c r="BX73" i="24"/>
  <c r="BI74" i="23"/>
  <c r="BJ74" i="23" s="1"/>
  <c r="CB74" i="24"/>
  <c r="CC74" i="24" s="1"/>
  <c r="BV74" i="24"/>
  <c r="BW74" i="24" s="1"/>
  <c r="BY74" i="24"/>
  <c r="BZ74" i="24" s="1"/>
  <c r="AI75" i="23"/>
  <c r="AG75" i="23"/>
  <c r="BH74" i="23"/>
  <c r="AJ75" i="23" l="1"/>
  <c r="CA74" i="24"/>
  <c r="CD74" i="24"/>
  <c r="BK74" i="23"/>
  <c r="BX74" i="24"/>
  <c r="AZ75" i="23"/>
  <c r="AK75" i="23"/>
  <c r="AE76" i="23" s="1"/>
  <c r="BI75" i="23" l="1"/>
  <c r="BJ75" i="23" s="1"/>
  <c r="BV75" i="24"/>
  <c r="BW75" i="24" s="1"/>
  <c r="BY75" i="24"/>
  <c r="BZ75" i="24" s="1"/>
  <c r="CB75" i="24"/>
  <c r="CC75" i="24" s="1"/>
  <c r="AI76" i="23"/>
  <c r="AG76" i="23"/>
  <c r="AJ76" i="23" s="1"/>
  <c r="BH75" i="23"/>
  <c r="CD75" i="24" l="1"/>
  <c r="BX75" i="24"/>
  <c r="CA75" i="24"/>
  <c r="BK75" i="23"/>
  <c r="AZ76" i="23"/>
  <c r="AK76" i="23"/>
  <c r="AE77" i="23" s="1"/>
  <c r="BI76" i="23" l="1"/>
  <c r="BJ76" i="23" s="1"/>
  <c r="CB76" i="24"/>
  <c r="CC76" i="24" s="1"/>
  <c r="BY76" i="24"/>
  <c r="BZ76" i="24" s="1"/>
  <c r="BV76" i="24"/>
  <c r="BW76" i="24" s="1"/>
  <c r="AI77" i="23"/>
  <c r="AK77" i="23"/>
  <c r="AE78" i="23" s="1"/>
  <c r="AG77" i="23"/>
  <c r="AJ77" i="23" s="1"/>
  <c r="BH76" i="23"/>
  <c r="CA76" i="24" l="1"/>
  <c r="CD76" i="24"/>
  <c r="BX76" i="24"/>
  <c r="BK76" i="23"/>
  <c r="AI78" i="23"/>
  <c r="AG78" i="23"/>
  <c r="AJ78" i="23" s="1"/>
  <c r="BH77" i="23"/>
  <c r="AZ77" i="23"/>
  <c r="BV77" i="24" l="1"/>
  <c r="BW77" i="24" s="1"/>
  <c r="CB77" i="24"/>
  <c r="CC77" i="24" s="1"/>
  <c r="BI77" i="23"/>
  <c r="BJ77" i="23" s="1"/>
  <c r="BY77" i="24"/>
  <c r="BZ77" i="24" s="1"/>
  <c r="AZ78" i="23"/>
  <c r="AK78" i="23"/>
  <c r="AE79" i="23" s="1"/>
  <c r="BV78" i="24" l="1"/>
  <c r="BW78" i="24" s="1"/>
  <c r="CB78" i="24"/>
  <c r="BY78" i="24"/>
  <c r="BI78" i="23"/>
  <c r="BJ78" i="23" s="1"/>
  <c r="CD77" i="24"/>
  <c r="CC78" i="24"/>
  <c r="CA77" i="24"/>
  <c r="BZ78" i="24"/>
  <c r="BK77" i="23"/>
  <c r="BX77" i="24"/>
  <c r="AI79" i="23"/>
  <c r="AG79" i="23"/>
  <c r="AJ79" i="23" s="1"/>
  <c r="BH78" i="23"/>
  <c r="BK78" i="23" l="1"/>
  <c r="CA78" i="24"/>
  <c r="CD78" i="24"/>
  <c r="BX78" i="24"/>
  <c r="AZ79" i="23"/>
  <c r="AK79" i="23"/>
  <c r="AE80" i="23" s="1"/>
  <c r="CB79" i="24" l="1"/>
  <c r="CC79" i="24" s="1"/>
  <c r="BI79" i="23"/>
  <c r="BJ79" i="23" s="1"/>
  <c r="BV79" i="24"/>
  <c r="BW79" i="24" s="1"/>
  <c r="BY79" i="24"/>
  <c r="BZ79" i="24" s="1"/>
  <c r="AI80" i="23"/>
  <c r="AK80" i="23" s="1"/>
  <c r="AE81" i="23" s="1"/>
  <c r="AG80" i="23"/>
  <c r="BH79" i="23"/>
  <c r="AJ80" i="23" l="1"/>
  <c r="CA79" i="24"/>
  <c r="BX79" i="24"/>
  <c r="BK79" i="23"/>
  <c r="CD79" i="24"/>
  <c r="AI81" i="23"/>
  <c r="AG81" i="23"/>
  <c r="AZ80" i="23"/>
  <c r="BH80" i="23"/>
  <c r="AJ81" i="23" l="1"/>
  <c r="BY80" i="24"/>
  <c r="BZ80" i="24" s="1"/>
  <c r="BV80" i="24"/>
  <c r="BW80" i="24" s="1"/>
  <c r="CB80" i="24"/>
  <c r="CC80" i="24" s="1"/>
  <c r="BI80" i="23"/>
  <c r="BJ80" i="23" s="1"/>
  <c r="AZ81" i="23"/>
  <c r="AK81" i="23"/>
  <c r="AE82" i="23" s="1"/>
  <c r="BY81" i="24" l="1"/>
  <c r="CB81" i="24"/>
  <c r="BV81" i="24"/>
  <c r="BI81" i="23"/>
  <c r="BX80" i="24"/>
  <c r="BW81" i="24"/>
  <c r="BJ81" i="23"/>
  <c r="BK80" i="23"/>
  <c r="CD80" i="24"/>
  <c r="CC81" i="24"/>
  <c r="BZ81" i="24"/>
  <c r="CA80" i="24"/>
  <c r="AI82" i="23"/>
  <c r="AK82" i="23" s="1"/>
  <c r="AE83" i="23" s="1"/>
  <c r="AG82" i="23"/>
  <c r="AJ82" i="23" s="1"/>
  <c r="BH81" i="23"/>
  <c r="CD81" i="24" l="1"/>
  <c r="BK81" i="23"/>
  <c r="BX81" i="24"/>
  <c r="CA81" i="24"/>
  <c r="AI83" i="23"/>
  <c r="AK83" i="23" s="1"/>
  <c r="AE84" i="23" s="1"/>
  <c r="AG83" i="23"/>
  <c r="AJ83" i="23" s="1"/>
  <c r="AZ82" i="23"/>
  <c r="BH82" i="23"/>
  <c r="CB82" i="24" l="1"/>
  <c r="CC82" i="24" s="1"/>
  <c r="BV82" i="24"/>
  <c r="BW82" i="24" s="1"/>
  <c r="BI82" i="23"/>
  <c r="BJ82" i="23" s="1"/>
  <c r="BY82" i="24"/>
  <c r="BZ82" i="24" s="1"/>
  <c r="AI84" i="23"/>
  <c r="AK84" i="23" s="1"/>
  <c r="AE85" i="23" s="1"/>
  <c r="AG84" i="23"/>
  <c r="AJ84" i="23" s="1"/>
  <c r="AZ83" i="23"/>
  <c r="BH83" i="23"/>
  <c r="BK82" i="23" l="1"/>
  <c r="CB83" i="24"/>
  <c r="CC83" i="24" s="1"/>
  <c r="BY83" i="24"/>
  <c r="BV83" i="24"/>
  <c r="BI83" i="23"/>
  <c r="BJ83" i="23" s="1"/>
  <c r="CA82" i="24"/>
  <c r="BZ83" i="24"/>
  <c r="BW83" i="24"/>
  <c r="BX82" i="24"/>
  <c r="CD82" i="24"/>
  <c r="AI85" i="23"/>
  <c r="AG85" i="23"/>
  <c r="AZ84" i="23"/>
  <c r="BH84" i="23"/>
  <c r="AJ85" i="23" l="1"/>
  <c r="BK83" i="23"/>
  <c r="BX83" i="24"/>
  <c r="BI84" i="23"/>
  <c r="BJ84" i="23" s="1"/>
  <c r="CB84" i="24"/>
  <c r="CC84" i="24" s="1"/>
  <c r="BY84" i="24"/>
  <c r="BZ84" i="24" s="1"/>
  <c r="BV84" i="24"/>
  <c r="BW84" i="24" s="1"/>
  <c r="CD83" i="24"/>
  <c r="CA83" i="24"/>
  <c r="AZ85" i="23"/>
  <c r="AK85" i="23"/>
  <c r="AE86" i="23" s="1"/>
  <c r="BX84" i="24" l="1"/>
  <c r="CD84" i="24"/>
  <c r="BK84" i="23"/>
  <c r="CA84" i="24"/>
  <c r="BI85" i="23"/>
  <c r="BJ85" i="23" s="1"/>
  <c r="BV85" i="24"/>
  <c r="BW85" i="24" s="1"/>
  <c r="CB85" i="24"/>
  <c r="CC85" i="24" s="1"/>
  <c r="BY85" i="24"/>
  <c r="BZ85" i="24" s="1"/>
  <c r="AG86" i="23"/>
  <c r="AI86" i="23"/>
  <c r="BH85" i="23"/>
  <c r="BX85" i="24" l="1"/>
  <c r="BK85" i="23"/>
  <c r="CA85" i="24"/>
  <c r="CD85" i="24"/>
  <c r="AZ86" i="23"/>
  <c r="AJ86" i="23"/>
  <c r="AK86" i="23"/>
  <c r="AE87" i="23" s="1"/>
  <c r="BI86" i="23" l="1"/>
  <c r="BJ86" i="23" s="1"/>
  <c r="CB86" i="24"/>
  <c r="CC86" i="24" s="1"/>
  <c r="BY86" i="24"/>
  <c r="BZ86" i="24" s="1"/>
  <c r="BV86" i="24"/>
  <c r="BW86" i="24" s="1"/>
  <c r="AI87" i="23"/>
  <c r="AG87" i="23"/>
  <c r="BH86" i="23"/>
  <c r="AJ87" i="23" l="1"/>
  <c r="CA86" i="24"/>
  <c r="CD86" i="24"/>
  <c r="BX86" i="24"/>
  <c r="BK86" i="23"/>
  <c r="AZ87" i="23"/>
  <c r="AK87" i="23"/>
  <c r="AE88" i="23" s="1"/>
  <c r="BV87" i="24" l="1"/>
  <c r="BW87" i="24" s="1"/>
  <c r="BI87" i="23"/>
  <c r="BJ87" i="23" s="1"/>
  <c r="CB87" i="24"/>
  <c r="CC87" i="24" s="1"/>
  <c r="BY87" i="24"/>
  <c r="BZ87" i="24" s="1"/>
  <c r="AI88" i="23"/>
  <c r="AK88" i="23" s="1"/>
  <c r="AE89" i="23" s="1"/>
  <c r="AG88" i="23"/>
  <c r="BH87" i="23"/>
  <c r="AJ88" i="23" l="1"/>
  <c r="CA87" i="24"/>
  <c r="CD87" i="24"/>
  <c r="BK87" i="23"/>
  <c r="BX87" i="24"/>
  <c r="AI89" i="23"/>
  <c r="AK89" i="23" s="1"/>
  <c r="AE90" i="23" s="1"/>
  <c r="AG89" i="23"/>
  <c r="AJ89" i="23" s="1"/>
  <c r="BH88" i="23"/>
  <c r="AZ88" i="23"/>
  <c r="BV88" i="24" l="1"/>
  <c r="BW88" i="24" s="1"/>
  <c r="BI88" i="23"/>
  <c r="BJ88" i="23" s="1"/>
  <c r="CB88" i="24"/>
  <c r="CC88" i="24" s="1"/>
  <c r="BY88" i="24"/>
  <c r="BZ88" i="24" s="1"/>
  <c r="AI90" i="23"/>
  <c r="AG90" i="23"/>
  <c r="BH89" i="23"/>
  <c r="AZ89" i="23"/>
  <c r="AJ90" i="23" l="1"/>
  <c r="CD88" i="24"/>
  <c r="CA88" i="24"/>
  <c r="BK88" i="23"/>
  <c r="CB89" i="24"/>
  <c r="CC89" i="24" s="1"/>
  <c r="BI89" i="23"/>
  <c r="BJ89" i="23" s="1"/>
  <c r="BY89" i="24"/>
  <c r="BZ89" i="24" s="1"/>
  <c r="BV89" i="24"/>
  <c r="BW89" i="24" s="1"/>
  <c r="BX88" i="24"/>
  <c r="AZ90" i="23"/>
  <c r="AK90" i="23"/>
  <c r="AE91" i="23" s="1"/>
  <c r="BX89" i="24" l="1"/>
  <c r="CA89" i="24"/>
  <c r="BK89" i="23"/>
  <c r="CD89" i="24"/>
  <c r="BY90" i="24"/>
  <c r="BZ90" i="24" s="1"/>
  <c r="BV90" i="24"/>
  <c r="BW90" i="24" s="1"/>
  <c r="CB90" i="24"/>
  <c r="CC90" i="24" s="1"/>
  <c r="BI90" i="23"/>
  <c r="BJ90" i="23" s="1"/>
  <c r="AI91" i="23"/>
  <c r="AK91" i="23" s="1"/>
  <c r="AE92" i="23" s="1"/>
  <c r="AG91" i="23"/>
  <c r="BH90" i="23"/>
  <c r="AJ91" i="23" l="1"/>
  <c r="BX90" i="24"/>
  <c r="CA90" i="24"/>
  <c r="CD90" i="24"/>
  <c r="BK90" i="23"/>
  <c r="AI92" i="23"/>
  <c r="AK92" i="23"/>
  <c r="AE93" i="23" s="1"/>
  <c r="AG92" i="23"/>
  <c r="BH91" i="23"/>
  <c r="AZ91" i="23"/>
  <c r="AJ92" i="23" l="1"/>
  <c r="BY91" i="24"/>
  <c r="BZ91" i="24" s="1"/>
  <c r="CB91" i="24"/>
  <c r="CC91" i="24" s="1"/>
  <c r="BV91" i="24"/>
  <c r="BW91" i="24" s="1"/>
  <c r="BI91" i="23"/>
  <c r="BJ91" i="23" s="1"/>
  <c r="AI93" i="23"/>
  <c r="AG93" i="23"/>
  <c r="AZ92" i="23"/>
  <c r="BH92" i="23"/>
  <c r="AJ93" i="23" l="1"/>
  <c r="BI92" i="23"/>
  <c r="BJ92" i="23" s="1"/>
  <c r="BY92" i="24"/>
  <c r="BZ92" i="24" s="1"/>
  <c r="CB92" i="24"/>
  <c r="BV92" i="24"/>
  <c r="BK91" i="23"/>
  <c r="CD91" i="24"/>
  <c r="CC92" i="24"/>
  <c r="BW92" i="24"/>
  <c r="BX91" i="24"/>
  <c r="CA91" i="24"/>
  <c r="AZ93" i="23"/>
  <c r="AK93" i="23"/>
  <c r="AE94" i="23" s="1"/>
  <c r="BK92" i="23" l="1"/>
  <c r="CA92" i="24"/>
  <c r="BX92" i="24"/>
  <c r="CD92" i="24"/>
  <c r="CB93" i="24"/>
  <c r="CC93" i="24" s="1"/>
  <c r="BY93" i="24"/>
  <c r="BZ93" i="24" s="1"/>
  <c r="BV93" i="24"/>
  <c r="BW93" i="24" s="1"/>
  <c r="BI93" i="23"/>
  <c r="BJ93" i="23" s="1"/>
  <c r="AI94" i="23"/>
  <c r="AK94" i="23" s="1"/>
  <c r="AE95" i="23" s="1"/>
  <c r="AG94" i="23"/>
  <c r="BH93" i="23"/>
  <c r="AJ94" i="23" l="1"/>
  <c r="BK93" i="23"/>
  <c r="CA93" i="24"/>
  <c r="CD93" i="24"/>
  <c r="BX93" i="24"/>
  <c r="AI95" i="23"/>
  <c r="AK95" i="23" s="1"/>
  <c r="AE96" i="23" s="1"/>
  <c r="AG95" i="23"/>
  <c r="AJ95" i="23" s="1"/>
  <c r="BH94" i="23"/>
  <c r="AZ94" i="23"/>
  <c r="BI94" i="23" l="1"/>
  <c r="BJ94" i="23" s="1"/>
  <c r="CB94" i="24"/>
  <c r="CC94" i="24" s="1"/>
  <c r="BY94" i="24"/>
  <c r="BZ94" i="24" s="1"/>
  <c r="BV94" i="24"/>
  <c r="BW94" i="24" s="1"/>
  <c r="AI96" i="23"/>
  <c r="AG96" i="23"/>
  <c r="BH95" i="23"/>
  <c r="AZ95" i="23"/>
  <c r="AJ96" i="23" l="1"/>
  <c r="CA94" i="24"/>
  <c r="CD94" i="24"/>
  <c r="BI95" i="23"/>
  <c r="BJ95" i="23" s="1"/>
  <c r="CB95" i="24"/>
  <c r="CC95" i="24" s="1"/>
  <c r="BY95" i="24"/>
  <c r="BZ95" i="24" s="1"/>
  <c r="BV95" i="24"/>
  <c r="BW95" i="24" s="1"/>
  <c r="BX94" i="24"/>
  <c r="BK94" i="23"/>
  <c r="AZ96" i="23"/>
  <c r="AK96" i="23"/>
  <c r="AE97" i="23" s="1"/>
  <c r="BH96" i="23" l="1"/>
  <c r="BX95" i="24"/>
  <c r="CD95" i="24"/>
  <c r="CA95" i="24"/>
  <c r="BK95" i="23"/>
  <c r="BI96" i="23"/>
  <c r="BJ96" i="23" s="1"/>
  <c r="CB96" i="24"/>
  <c r="CC96" i="24" s="1"/>
  <c r="BY96" i="24"/>
  <c r="BZ96" i="24" s="1"/>
  <c r="BV96" i="24"/>
  <c r="BW96" i="24" s="1"/>
  <c r="AI97" i="23"/>
  <c r="AK97" i="23" s="1"/>
  <c r="AE98" i="23" s="1"/>
  <c r="AG97" i="23"/>
  <c r="AJ97" i="23" l="1"/>
  <c r="BX96" i="24"/>
  <c r="CD96" i="24"/>
  <c r="BK96" i="23"/>
  <c r="CA96" i="24"/>
  <c r="AI98" i="23"/>
  <c r="AK98" i="23" s="1"/>
  <c r="AE99" i="23" s="1"/>
  <c r="AG98" i="23"/>
  <c r="AZ97" i="23"/>
  <c r="BH97" i="23"/>
  <c r="AJ98" i="23" l="1"/>
  <c r="BV97" i="24"/>
  <c r="BW97" i="24" s="1"/>
  <c r="BY97" i="24"/>
  <c r="BZ97" i="24" s="1"/>
  <c r="CB97" i="24"/>
  <c r="CC97" i="24" s="1"/>
  <c r="BI97" i="23"/>
  <c r="BJ97" i="23" s="1"/>
  <c r="AI99" i="23"/>
  <c r="AG99" i="23"/>
  <c r="BH98" i="23"/>
  <c r="AZ98" i="23"/>
  <c r="AJ99" i="23" l="1"/>
  <c r="BV98" i="24"/>
  <c r="BW98" i="24" s="1"/>
  <c r="BI98" i="23"/>
  <c r="CB98" i="24"/>
  <c r="CC98" i="24" s="1"/>
  <c r="BY98" i="24"/>
  <c r="BK97" i="23"/>
  <c r="BJ98" i="23"/>
  <c r="CD97" i="24"/>
  <c r="CA97" i="24"/>
  <c r="BZ98" i="24"/>
  <c r="BX97" i="24"/>
  <c r="AZ99" i="23"/>
  <c r="AK99" i="23"/>
  <c r="AE100" i="23" s="1"/>
  <c r="CD98" i="24" l="1"/>
  <c r="CA98" i="24"/>
  <c r="BK98" i="23"/>
  <c r="CB99" i="24"/>
  <c r="CC99" i="24" s="1"/>
  <c r="BI99" i="23"/>
  <c r="BJ99" i="23" s="1"/>
  <c r="BY99" i="24"/>
  <c r="BZ99" i="24" s="1"/>
  <c r="BV99" i="24"/>
  <c r="BW99" i="24" s="1"/>
  <c r="BX98" i="24"/>
  <c r="AI100" i="23"/>
  <c r="AK100" i="23" s="1"/>
  <c r="AE101" i="23" s="1"/>
  <c r="AG100" i="23"/>
  <c r="BH99" i="23"/>
  <c r="AJ100" i="23" l="1"/>
  <c r="BX99" i="24"/>
  <c r="BK99" i="23"/>
  <c r="CA99" i="24"/>
  <c r="CD99" i="24"/>
  <c r="AI101" i="23"/>
  <c r="AK101" i="23" s="1"/>
  <c r="AE102" i="23" s="1"/>
  <c r="AG101" i="23"/>
  <c r="AJ101" i="23" s="1"/>
  <c r="BH100" i="23"/>
  <c r="AZ100" i="23"/>
  <c r="BY100" i="24" l="1"/>
  <c r="BZ100" i="24" s="1"/>
  <c r="BV100" i="24"/>
  <c r="BW100" i="24" s="1"/>
  <c r="CB100" i="24"/>
  <c r="CC100" i="24" s="1"/>
  <c r="BI100" i="23"/>
  <c r="BJ100" i="23" s="1"/>
  <c r="AI102" i="23"/>
  <c r="AG102" i="23"/>
  <c r="AZ101" i="23"/>
  <c r="BH101" i="23"/>
  <c r="AJ102" i="23" l="1"/>
  <c r="BY101" i="24"/>
  <c r="CB101" i="24"/>
  <c r="CC101" i="24" s="1"/>
  <c r="BI101" i="23"/>
  <c r="BJ101" i="23" s="1"/>
  <c r="BV101" i="24"/>
  <c r="BW101" i="24" s="1"/>
  <c r="BX100" i="24"/>
  <c r="BK100" i="23"/>
  <c r="CD100" i="24"/>
  <c r="BZ101" i="24"/>
  <c r="CA100" i="24"/>
  <c r="AZ102" i="23"/>
  <c r="AK102" i="23"/>
  <c r="AE103" i="23" s="1"/>
  <c r="CD101" i="24" l="1"/>
  <c r="BK101" i="23"/>
  <c r="BX101" i="24"/>
  <c r="BI102" i="23"/>
  <c r="BJ102" i="23" s="1"/>
  <c r="BY102" i="24"/>
  <c r="BZ102" i="24" s="1"/>
  <c r="BV102" i="24"/>
  <c r="BW102" i="24" s="1"/>
  <c r="CB102" i="24"/>
  <c r="CC102" i="24" s="1"/>
  <c r="CA101" i="24"/>
  <c r="AI103" i="23"/>
  <c r="AK103" i="23" s="1"/>
  <c r="AE104" i="23" s="1"/>
  <c r="AG103" i="23"/>
  <c r="BH102" i="23"/>
  <c r="AJ103" i="23" l="1"/>
  <c r="CD102" i="24"/>
  <c r="BX102" i="24"/>
  <c r="CA102" i="24"/>
  <c r="BK102" i="23"/>
  <c r="AI104" i="23"/>
  <c r="AG104" i="23"/>
  <c r="AZ103" i="23"/>
  <c r="BH103" i="23"/>
  <c r="AJ104" i="23" l="1"/>
  <c r="CB103" i="24"/>
  <c r="CC103" i="24" s="1"/>
  <c r="BY103" i="24"/>
  <c r="BZ103" i="24" s="1"/>
  <c r="BV103" i="24"/>
  <c r="BW103" i="24" s="1"/>
  <c r="BI103" i="23"/>
  <c r="BJ103" i="23" s="1"/>
  <c r="AZ104" i="23"/>
  <c r="AK104" i="23"/>
  <c r="AE105" i="23" s="1"/>
  <c r="BX103" i="24" l="1"/>
  <c r="BK103" i="23"/>
  <c r="BI104" i="23"/>
  <c r="BJ104" i="23" s="1"/>
  <c r="CB104" i="24"/>
  <c r="CC104" i="24" s="1"/>
  <c r="BY104" i="24"/>
  <c r="BZ104" i="24" s="1"/>
  <c r="BV104" i="24"/>
  <c r="BW104" i="24" s="1"/>
  <c r="CA103" i="24"/>
  <c r="CD103" i="24"/>
  <c r="AI105" i="23"/>
  <c r="AK105" i="23" s="1"/>
  <c r="AE106" i="23" s="1"/>
  <c r="AG105" i="23"/>
  <c r="BH104" i="23"/>
  <c r="AJ105" i="23" l="1"/>
  <c r="BX104" i="24"/>
  <c r="CA104" i="24"/>
  <c r="CD104" i="24"/>
  <c r="BK104" i="23"/>
  <c r="AI106" i="23"/>
  <c r="AK106" i="23" s="1"/>
  <c r="AE107" i="23" s="1"/>
  <c r="AG106" i="23"/>
  <c r="BH105" i="23"/>
  <c r="AZ105" i="23"/>
  <c r="AJ106" i="23" l="1"/>
  <c r="BI105" i="23"/>
  <c r="BJ105" i="23" s="1"/>
  <c r="BY105" i="24"/>
  <c r="BZ105" i="24" s="1"/>
  <c r="CB105" i="24"/>
  <c r="CC105" i="24" s="1"/>
  <c r="BV105" i="24"/>
  <c r="BW105" i="24" s="1"/>
  <c r="AI107" i="23"/>
  <c r="AK107" i="23" s="1"/>
  <c r="AE108" i="23" s="1"/>
  <c r="AG107" i="23"/>
  <c r="BH106" i="23"/>
  <c r="AZ106" i="23"/>
  <c r="AJ107" i="23" l="1"/>
  <c r="CD105" i="24"/>
  <c r="CA105" i="24"/>
  <c r="BI106" i="23"/>
  <c r="BJ106" i="23" s="1"/>
  <c r="CB106" i="24"/>
  <c r="CC106" i="24" s="1"/>
  <c r="BY106" i="24"/>
  <c r="BZ106" i="24" s="1"/>
  <c r="BV106" i="24"/>
  <c r="BW106" i="24" s="1"/>
  <c r="BX105" i="24"/>
  <c r="BK105" i="23"/>
  <c r="AI108" i="23"/>
  <c r="AK108" i="23" s="1"/>
  <c r="AE109" i="23" s="1"/>
  <c r="AG108" i="23"/>
  <c r="BH107" i="23"/>
  <c r="AZ107" i="23"/>
  <c r="AJ108" i="23" l="1"/>
  <c r="CD106" i="24"/>
  <c r="BK106" i="23"/>
  <c r="BX106" i="24"/>
  <c r="BV107" i="24"/>
  <c r="BW107" i="24" s="1"/>
  <c r="BY107" i="24"/>
  <c r="BZ107" i="24" s="1"/>
  <c r="BI107" i="23"/>
  <c r="BJ107" i="23" s="1"/>
  <c r="CB107" i="24"/>
  <c r="CC107" i="24" s="1"/>
  <c r="CA106" i="24"/>
  <c r="AI109" i="23"/>
  <c r="AG109" i="23"/>
  <c r="AZ108" i="23"/>
  <c r="BH108" i="23"/>
  <c r="AJ109" i="23" l="1"/>
  <c r="CD107" i="24"/>
  <c r="BK107" i="23"/>
  <c r="CA107" i="24"/>
  <c r="BX107" i="24"/>
  <c r="BV108" i="24"/>
  <c r="BW108" i="24" s="1"/>
  <c r="BY108" i="24"/>
  <c r="BZ108" i="24" s="1"/>
  <c r="BI108" i="23"/>
  <c r="BJ108" i="23" s="1"/>
  <c r="CB108" i="24"/>
  <c r="CC108" i="24" s="1"/>
  <c r="AZ109" i="23"/>
  <c r="AK109" i="23"/>
  <c r="AE110" i="23" s="1"/>
  <c r="CD108" i="24" l="1"/>
  <c r="CA108" i="24"/>
  <c r="BK108" i="23"/>
  <c r="BX108" i="24"/>
  <c r="CB109" i="24"/>
  <c r="CC109" i="24" s="1"/>
  <c r="BI109" i="23"/>
  <c r="BJ109" i="23" s="1"/>
  <c r="BY109" i="24"/>
  <c r="BZ109" i="24" s="1"/>
  <c r="BV109" i="24"/>
  <c r="BW109" i="24" s="1"/>
  <c r="AI110" i="23"/>
  <c r="AK110" i="23" s="1"/>
  <c r="AE111" i="23" s="1"/>
  <c r="AG110" i="23"/>
  <c r="BH109" i="23"/>
  <c r="AJ110" i="23" l="1"/>
  <c r="BX109" i="24"/>
  <c r="CD109" i="24"/>
  <c r="BK109" i="23"/>
  <c r="CA109" i="24"/>
  <c r="AI111" i="23"/>
  <c r="AK111" i="23" s="1"/>
  <c r="AE112" i="23" s="1"/>
  <c r="AG111" i="23"/>
  <c r="AJ111" i="23" s="1"/>
  <c r="AZ110" i="23"/>
  <c r="BH110" i="23"/>
  <c r="BY110" i="24" l="1"/>
  <c r="BZ110" i="24" s="1"/>
  <c r="BV110" i="24"/>
  <c r="BW110" i="24" s="1"/>
  <c r="BI110" i="23"/>
  <c r="BJ110" i="23" s="1"/>
  <c r="CB110" i="24"/>
  <c r="CC110" i="24" s="1"/>
  <c r="AI112" i="23"/>
  <c r="AK112" i="23" s="1"/>
  <c r="AE113" i="23" s="1"/>
  <c r="AG112" i="23"/>
  <c r="AZ111" i="23"/>
  <c r="BH111" i="23"/>
  <c r="AJ112" i="23" l="1"/>
  <c r="CD110" i="24"/>
  <c r="BK110" i="23"/>
  <c r="BY111" i="24"/>
  <c r="BZ111" i="24" s="1"/>
  <c r="CB111" i="24"/>
  <c r="CC111" i="24" s="1"/>
  <c r="BV111" i="24"/>
  <c r="BW111" i="24" s="1"/>
  <c r="BI111" i="23"/>
  <c r="BJ111" i="23" s="1"/>
  <c r="BX110" i="24"/>
  <c r="CA110" i="24"/>
  <c r="AI113" i="23"/>
  <c r="AG113" i="23"/>
  <c r="AZ112" i="23"/>
  <c r="BH112" i="23"/>
  <c r="AJ113" i="23" l="1"/>
  <c r="CD111" i="24"/>
  <c r="BK111" i="23"/>
  <c r="CA111" i="24"/>
  <c r="BX111" i="24"/>
  <c r="BY112" i="24"/>
  <c r="BZ112" i="24" s="1"/>
  <c r="BV112" i="24"/>
  <c r="BW112" i="24" s="1"/>
  <c r="CB112" i="24"/>
  <c r="CC112" i="24" s="1"/>
  <c r="BI112" i="23"/>
  <c r="BJ112" i="23" s="1"/>
  <c r="AZ113" i="23"/>
  <c r="AK113" i="23"/>
  <c r="AE114" i="23" s="1"/>
  <c r="CD112" i="24" l="1"/>
  <c r="BX112" i="24"/>
  <c r="CA112" i="24"/>
  <c r="BK112" i="23"/>
  <c r="CB113" i="24"/>
  <c r="CC113" i="24" s="1"/>
  <c r="BY113" i="24"/>
  <c r="BZ113" i="24" s="1"/>
  <c r="BV113" i="24"/>
  <c r="BW113" i="24" s="1"/>
  <c r="BI113" i="23"/>
  <c r="BJ113" i="23" s="1"/>
  <c r="AI114" i="23"/>
  <c r="AG114" i="23"/>
  <c r="BH113" i="23"/>
  <c r="AJ114" i="23" l="1"/>
  <c r="BX113" i="24"/>
  <c r="CA113" i="24"/>
  <c r="CD113" i="24"/>
  <c r="BK113" i="23"/>
  <c r="AZ114" i="23"/>
  <c r="AK114" i="23"/>
  <c r="AE115" i="23" s="1"/>
  <c r="BI114" i="23" l="1"/>
  <c r="BJ114" i="23" s="1"/>
  <c r="CB114" i="24"/>
  <c r="CC114" i="24" s="1"/>
  <c r="BV114" i="24"/>
  <c r="BW114" i="24" s="1"/>
  <c r="BY114" i="24"/>
  <c r="BZ114" i="24" s="1"/>
  <c r="AI115" i="23"/>
  <c r="AG115" i="23"/>
  <c r="AJ115" i="23" s="1"/>
  <c r="BH114" i="23"/>
  <c r="CA114" i="24" l="1"/>
  <c r="BX114" i="24"/>
  <c r="CD114" i="24"/>
  <c r="BK114" i="23"/>
  <c r="AZ115" i="23"/>
  <c r="AK115" i="23"/>
  <c r="AE116" i="23" s="1"/>
  <c r="BI115" i="23" l="1"/>
  <c r="BJ115" i="23" s="1"/>
  <c r="CB115" i="24"/>
  <c r="CC115" i="24" s="1"/>
  <c r="BY115" i="24"/>
  <c r="BZ115" i="24" s="1"/>
  <c r="BV115" i="24"/>
  <c r="BW115" i="24" s="1"/>
  <c r="AI116" i="23"/>
  <c r="AK116" i="23" s="1"/>
  <c r="AE117" i="23" s="1"/>
  <c r="AG116" i="23"/>
  <c r="BH115" i="23"/>
  <c r="AJ116" i="23" l="1"/>
  <c r="BX115" i="24"/>
  <c r="CA115" i="24"/>
  <c r="CD115" i="24"/>
  <c r="BK115" i="23"/>
  <c r="AI117" i="23"/>
  <c r="AK117" i="23" s="1"/>
  <c r="AE118" i="23" s="1"/>
  <c r="AG117" i="23"/>
  <c r="AZ116" i="23"/>
  <c r="BH116" i="23"/>
  <c r="AJ117" i="23" l="1"/>
  <c r="BI116" i="23"/>
  <c r="BJ116" i="23" s="1"/>
  <c r="CB116" i="24"/>
  <c r="CC116" i="24" s="1"/>
  <c r="BY116" i="24"/>
  <c r="BZ116" i="24" s="1"/>
  <c r="BV116" i="24"/>
  <c r="BW116" i="24" s="1"/>
  <c r="AI118" i="23"/>
  <c r="AG118" i="23"/>
  <c r="BH117" i="23"/>
  <c r="AZ117" i="23"/>
  <c r="AJ118" i="23" l="1"/>
  <c r="BX116" i="24"/>
  <c r="CD116" i="24"/>
  <c r="BV117" i="24"/>
  <c r="BW117" i="24" s="1"/>
  <c r="CB117" i="24"/>
  <c r="CC117" i="24" s="1"/>
  <c r="BY117" i="24"/>
  <c r="BZ117" i="24" s="1"/>
  <c r="BI117" i="23"/>
  <c r="BJ117" i="23" s="1"/>
  <c r="CA116" i="24"/>
  <c r="BK116" i="23"/>
  <c r="AZ118" i="23"/>
  <c r="AK118" i="23"/>
  <c r="AE119" i="23" s="1"/>
  <c r="CD117" i="24" l="1"/>
  <c r="BK117" i="23"/>
  <c r="BX117" i="24"/>
  <c r="CA117" i="24"/>
  <c r="BV118" i="24"/>
  <c r="BW118" i="24" s="1"/>
  <c r="BY118" i="24"/>
  <c r="BZ118" i="24" s="1"/>
  <c r="BI118" i="23"/>
  <c r="BJ118" i="23" s="1"/>
  <c r="CB118" i="24"/>
  <c r="CC118" i="24" s="1"/>
  <c r="AI119" i="23"/>
  <c r="AG119" i="23"/>
  <c r="AJ119" i="23" s="1"/>
  <c r="BH118" i="23"/>
  <c r="CD118" i="24" l="1"/>
  <c r="BK118" i="23"/>
  <c r="CA118" i="24"/>
  <c r="BX118" i="24"/>
  <c r="AZ119" i="23"/>
  <c r="AK119" i="23"/>
  <c r="AE120" i="23" s="1"/>
  <c r="CB119" i="24" l="1"/>
  <c r="CC119" i="24" s="1"/>
  <c r="BI119" i="23"/>
  <c r="BJ119" i="23" s="1"/>
  <c r="BV119" i="24"/>
  <c r="BW119" i="24" s="1"/>
  <c r="BY119" i="24"/>
  <c r="BZ119" i="24" s="1"/>
  <c r="AI120" i="23"/>
  <c r="AK120" i="23" s="1"/>
  <c r="AE121" i="23" s="1"/>
  <c r="AG120" i="23"/>
  <c r="BH119" i="23"/>
  <c r="AJ120" i="23" l="1"/>
  <c r="BX119" i="24"/>
  <c r="CA119" i="24"/>
  <c r="BK119" i="23"/>
  <c r="CD119" i="24"/>
  <c r="AI121" i="23"/>
  <c r="AK121" i="23" s="1"/>
  <c r="AE122" i="23" s="1"/>
  <c r="AG121" i="23"/>
  <c r="AZ120" i="23"/>
  <c r="BH120" i="23"/>
  <c r="AJ121" i="23" l="1"/>
  <c r="BY120" i="24"/>
  <c r="BZ120" i="24" s="1"/>
  <c r="BV120" i="24"/>
  <c r="BW120" i="24" s="1"/>
  <c r="BI120" i="23"/>
  <c r="BJ120" i="23" s="1"/>
  <c r="CB120" i="24"/>
  <c r="CC120" i="24" s="1"/>
  <c r="AI122" i="23"/>
  <c r="AK122" i="23" s="1"/>
  <c r="AE123" i="23" s="1"/>
  <c r="AG122" i="23"/>
  <c r="AZ121" i="23"/>
  <c r="BH121" i="23"/>
  <c r="AJ122" i="23" l="1"/>
  <c r="BY121" i="24"/>
  <c r="BZ121" i="24" s="1"/>
  <c r="BI121" i="23"/>
  <c r="BJ121" i="23" s="1"/>
  <c r="CB121" i="24"/>
  <c r="CC121" i="24" s="1"/>
  <c r="BV121" i="24"/>
  <c r="BW121" i="24" s="1"/>
  <c r="CD120" i="24"/>
  <c r="BK120" i="23"/>
  <c r="BX120" i="24"/>
  <c r="CA120" i="24"/>
  <c r="AI123" i="23"/>
  <c r="AK123" i="23" s="1"/>
  <c r="AE124" i="23" s="1"/>
  <c r="AG123" i="23"/>
  <c r="BH122" i="23"/>
  <c r="AZ122" i="23"/>
  <c r="AJ123" i="23" l="1"/>
  <c r="BX121" i="24"/>
  <c r="BI122" i="23"/>
  <c r="BJ122" i="23" s="1"/>
  <c r="CB122" i="24"/>
  <c r="CC122" i="24" s="1"/>
  <c r="BY122" i="24"/>
  <c r="BZ122" i="24" s="1"/>
  <c r="BV122" i="24"/>
  <c r="BW122" i="24" s="1"/>
  <c r="CD121" i="24"/>
  <c r="BK121" i="23"/>
  <c r="CA121" i="24"/>
  <c r="AI124" i="23"/>
  <c r="AG124" i="23"/>
  <c r="BH123" i="23"/>
  <c r="AZ123" i="23"/>
  <c r="AJ124" i="23" l="1"/>
  <c r="BX122" i="24"/>
  <c r="CA122" i="24"/>
  <c r="BK122" i="23"/>
  <c r="CD122" i="24"/>
  <c r="CB123" i="24"/>
  <c r="CC123" i="24" s="1"/>
  <c r="BY123" i="24"/>
  <c r="BZ123" i="24" s="1"/>
  <c r="BV123" i="24"/>
  <c r="BW123" i="24" s="1"/>
  <c r="BI123" i="23"/>
  <c r="BJ123" i="23" s="1"/>
  <c r="AZ124" i="23"/>
  <c r="AK124" i="23"/>
  <c r="AE125" i="23" s="1"/>
  <c r="BX123" i="24" l="1"/>
  <c r="CA123" i="24"/>
  <c r="CD123" i="24"/>
  <c r="BK123" i="23"/>
  <c r="BI124" i="23"/>
  <c r="BJ124" i="23" s="1"/>
  <c r="CB124" i="24"/>
  <c r="CC124" i="24" s="1"/>
  <c r="BV124" i="24"/>
  <c r="BW124" i="24" s="1"/>
  <c r="BY124" i="24"/>
  <c r="BZ124" i="24" s="1"/>
  <c r="AI125" i="23"/>
  <c r="AG125" i="23"/>
  <c r="BH124" i="23"/>
  <c r="AJ125" i="23" l="1"/>
  <c r="BX124" i="24"/>
  <c r="CD124" i="24"/>
  <c r="BK124" i="23"/>
  <c r="CA124" i="24"/>
  <c r="AZ125" i="23"/>
  <c r="AK125" i="23"/>
  <c r="AE126" i="23" s="1"/>
  <c r="BI125" i="23" l="1"/>
  <c r="BJ125" i="23" s="1"/>
  <c r="BV125" i="24"/>
  <c r="BW125" i="24" s="1"/>
  <c r="BY125" i="24"/>
  <c r="BZ125" i="24" s="1"/>
  <c r="CB125" i="24"/>
  <c r="CC125" i="24" s="1"/>
  <c r="AI126" i="23"/>
  <c r="AG126" i="23"/>
  <c r="BH125" i="23"/>
  <c r="AJ126" i="23" l="1"/>
  <c r="CD125" i="24"/>
  <c r="BX125" i="24"/>
  <c r="CA125" i="24"/>
  <c r="BK125" i="23"/>
  <c r="AZ126" i="23"/>
  <c r="AK126" i="23"/>
  <c r="AE127" i="23" s="1"/>
  <c r="BI126" i="23" l="1"/>
  <c r="BJ126" i="23" s="1"/>
  <c r="CB126" i="24"/>
  <c r="CC126" i="24" s="1"/>
  <c r="BY126" i="24"/>
  <c r="BZ126" i="24" s="1"/>
  <c r="BV126" i="24"/>
  <c r="BW126" i="24" s="1"/>
  <c r="AG127" i="23"/>
  <c r="AI127" i="23"/>
  <c r="BH126" i="23"/>
  <c r="CA126" i="24" l="1"/>
  <c r="BX126" i="24"/>
  <c r="CD126" i="24"/>
  <c r="BK126" i="23"/>
  <c r="AJ127" i="23"/>
  <c r="AZ127" i="23"/>
  <c r="AK127" i="23"/>
  <c r="AE128" i="23" s="1"/>
  <c r="BV127" i="24" l="1"/>
  <c r="BW127" i="24" s="1"/>
  <c r="CB127" i="24"/>
  <c r="CC127" i="24" s="1"/>
  <c r="BI127" i="23"/>
  <c r="BJ127" i="23" s="1"/>
  <c r="BY127" i="24"/>
  <c r="BZ127" i="24" s="1"/>
  <c r="BH127" i="23"/>
  <c r="AI128" i="23"/>
  <c r="AG128" i="23"/>
  <c r="AJ128" i="23" l="1"/>
  <c r="CA127" i="24"/>
  <c r="CD127" i="24"/>
  <c r="BK127" i="23"/>
  <c r="BX127" i="24"/>
  <c r="AZ128" i="23"/>
  <c r="AK128" i="23"/>
  <c r="AE129" i="23" s="1"/>
  <c r="BV128" i="24" l="1"/>
  <c r="BW128" i="24" s="1"/>
  <c r="CB128" i="24"/>
  <c r="CC128" i="24" s="1"/>
  <c r="BY128" i="24"/>
  <c r="BZ128" i="24" s="1"/>
  <c r="BI128" i="23"/>
  <c r="BJ128" i="23" s="1"/>
  <c r="AI129" i="23"/>
  <c r="AG129" i="23"/>
  <c r="BH128" i="23"/>
  <c r="AJ129" i="23" l="1"/>
  <c r="BK128" i="23"/>
  <c r="CA128" i="24"/>
  <c r="CD128" i="24"/>
  <c r="BX128" i="24"/>
  <c r="AZ129" i="23"/>
  <c r="AK129" i="23"/>
  <c r="AE130" i="23" s="1"/>
  <c r="CB129" i="24" l="1"/>
  <c r="CC129" i="24" s="1"/>
  <c r="BI129" i="23"/>
  <c r="BJ129" i="23" s="1"/>
  <c r="BV129" i="24"/>
  <c r="BW129" i="24" s="1"/>
  <c r="BY129" i="24"/>
  <c r="BZ129" i="24" s="1"/>
  <c r="AI130" i="23"/>
  <c r="AK130" i="23" s="1"/>
  <c r="AE131" i="23" s="1"/>
  <c r="AG130" i="23"/>
  <c r="AJ130" i="23" s="1"/>
  <c r="BH129" i="23"/>
  <c r="BK129" i="23" l="1"/>
  <c r="CA129" i="24"/>
  <c r="BX129" i="24"/>
  <c r="CD129" i="24"/>
  <c r="AI131" i="23"/>
  <c r="AG131" i="23"/>
  <c r="BH130" i="23"/>
  <c r="AZ130" i="23"/>
  <c r="AJ131" i="23" l="1"/>
  <c r="BY130" i="24"/>
  <c r="BZ130" i="24" s="1"/>
  <c r="BV130" i="24"/>
  <c r="BW130" i="24" s="1"/>
  <c r="CB130" i="24"/>
  <c r="CC130" i="24" s="1"/>
  <c r="BI130" i="23"/>
  <c r="BJ130" i="23" s="1"/>
  <c r="AZ131" i="23"/>
  <c r="AK131" i="23"/>
  <c r="AE132" i="23" s="1"/>
  <c r="BY131" i="24" l="1"/>
  <c r="BI131" i="23"/>
  <c r="BJ131" i="23" s="1"/>
  <c r="BV131" i="24"/>
  <c r="BW131" i="24" s="1"/>
  <c r="CB131" i="24"/>
  <c r="CC131" i="24" s="1"/>
  <c r="CD130" i="24"/>
  <c r="BK130" i="23"/>
  <c r="BX130" i="24"/>
  <c r="BZ131" i="24"/>
  <c r="CA130" i="24"/>
  <c r="BH131" i="23"/>
  <c r="AI132" i="23"/>
  <c r="AK132" i="23" s="1"/>
  <c r="AE133" i="23" s="1"/>
  <c r="AG132" i="23"/>
  <c r="AJ132" i="23" l="1"/>
  <c r="BK131" i="23"/>
  <c r="BX131" i="24"/>
  <c r="CD131" i="24"/>
  <c r="CA131" i="24"/>
  <c r="AI133" i="23"/>
  <c r="AK133" i="23" s="1"/>
  <c r="AE134" i="23" s="1"/>
  <c r="AG133" i="23"/>
  <c r="AJ133" i="23" s="1"/>
  <c r="BH132" i="23"/>
  <c r="AZ132" i="23"/>
  <c r="CB132" i="24" l="1"/>
  <c r="CC132" i="24" s="1"/>
  <c r="BI132" i="23"/>
  <c r="BJ132" i="23" s="1"/>
  <c r="BY132" i="24"/>
  <c r="BZ132" i="24" s="1"/>
  <c r="BV132" i="24"/>
  <c r="BW132" i="24" s="1"/>
  <c r="AI134" i="23"/>
  <c r="AG134" i="23"/>
  <c r="AZ133" i="23"/>
  <c r="BH133" i="23"/>
  <c r="AJ134" i="23" l="1"/>
  <c r="BX132" i="24"/>
  <c r="BK132" i="23"/>
  <c r="CB133" i="24"/>
  <c r="CC133" i="24" s="1"/>
  <c r="BY133" i="24"/>
  <c r="BZ133" i="24" s="1"/>
  <c r="BV133" i="24"/>
  <c r="BW133" i="24" s="1"/>
  <c r="BI133" i="23"/>
  <c r="BJ133" i="23" s="1"/>
  <c r="CA132" i="24"/>
  <c r="CD132" i="24"/>
  <c r="AZ134" i="23"/>
  <c r="AK134" i="23"/>
  <c r="AE135" i="23" s="1"/>
  <c r="BK133" i="23" l="1"/>
  <c r="BX133" i="24"/>
  <c r="CD133" i="24"/>
  <c r="CA133" i="24"/>
  <c r="BI134" i="23"/>
  <c r="BJ134" i="23" s="1"/>
  <c r="CB134" i="24"/>
  <c r="CC134" i="24" s="1"/>
  <c r="BY134" i="24"/>
  <c r="BZ134" i="24" s="1"/>
  <c r="BV134" i="24"/>
  <c r="BW134" i="24" s="1"/>
  <c r="AI135" i="23"/>
  <c r="AG135" i="23"/>
  <c r="BH134" i="23"/>
  <c r="AJ135" i="23" l="1"/>
  <c r="BX134" i="24"/>
  <c r="CD134" i="24"/>
  <c r="BK134" i="23"/>
  <c r="CA134" i="24"/>
  <c r="AZ135" i="23"/>
  <c r="AK135" i="23"/>
  <c r="AE136" i="23" s="1"/>
  <c r="BI135" i="23" l="1"/>
  <c r="BJ135" i="23" s="1"/>
  <c r="BV135" i="24"/>
  <c r="BW135" i="24" s="1"/>
  <c r="CB135" i="24"/>
  <c r="CC135" i="24" s="1"/>
  <c r="BY135" i="24"/>
  <c r="BZ135" i="24" s="1"/>
  <c r="AG136" i="23"/>
  <c r="AI136" i="23"/>
  <c r="AK136" i="23" s="1"/>
  <c r="AE137" i="23" s="1"/>
  <c r="BH135" i="23"/>
  <c r="CA135" i="24" l="1"/>
  <c r="CD135" i="24"/>
  <c r="BX135" i="24"/>
  <c r="BK135" i="23"/>
  <c r="AI137" i="23"/>
  <c r="AG137" i="23"/>
  <c r="AJ137" i="23" s="1"/>
  <c r="AZ136" i="23"/>
  <c r="BH136" i="23"/>
  <c r="AJ136" i="23"/>
  <c r="BI136" i="23" l="1"/>
  <c r="BJ136" i="23" s="1"/>
  <c r="CB136" i="24"/>
  <c r="CC136" i="24" s="1"/>
  <c r="BY136" i="24"/>
  <c r="BZ136" i="24" s="1"/>
  <c r="BV136" i="24"/>
  <c r="BW136" i="24" s="1"/>
  <c r="AZ137" i="23"/>
  <c r="AK137" i="23"/>
  <c r="AE138" i="23" s="1"/>
  <c r="BV137" i="24" l="1"/>
  <c r="BI137" i="23"/>
  <c r="BJ137" i="23" s="1"/>
  <c r="CB137" i="24"/>
  <c r="CC137" i="24" s="1"/>
  <c r="BY137" i="24"/>
  <c r="BZ137" i="24" s="1"/>
  <c r="BX136" i="24"/>
  <c r="BW137" i="24"/>
  <c r="CA136" i="24"/>
  <c r="CD136" i="24"/>
  <c r="BK136" i="23"/>
  <c r="AI138" i="23"/>
  <c r="AK138" i="23" s="1"/>
  <c r="AE139" i="23" s="1"/>
  <c r="AG138" i="23"/>
  <c r="BH137" i="23"/>
  <c r="AJ138" i="23" l="1"/>
  <c r="CD137" i="24"/>
  <c r="BX137" i="24"/>
  <c r="BK137" i="23"/>
  <c r="CA137" i="24"/>
  <c r="AI139" i="23"/>
  <c r="AG139" i="23"/>
  <c r="BH138" i="23"/>
  <c r="AZ138" i="23"/>
  <c r="AJ139" i="23" l="1"/>
  <c r="BV138" i="24"/>
  <c r="BW138" i="24" s="1"/>
  <c r="BI138" i="23"/>
  <c r="BJ138" i="23" s="1"/>
  <c r="CB138" i="24"/>
  <c r="CC138" i="24" s="1"/>
  <c r="BY138" i="24"/>
  <c r="BZ138" i="24" s="1"/>
  <c r="AZ139" i="23"/>
  <c r="AK139" i="23"/>
  <c r="AE140" i="23" s="1"/>
  <c r="CB139" i="24" l="1"/>
  <c r="CC139" i="24" s="1"/>
  <c r="BI139" i="23"/>
  <c r="BY139" i="24"/>
  <c r="BZ139" i="24" s="1"/>
  <c r="BV139" i="24"/>
  <c r="BW139" i="24" s="1"/>
  <c r="BJ139" i="23"/>
  <c r="BK138" i="23"/>
  <c r="CA138" i="24"/>
  <c r="CD138" i="24"/>
  <c r="BX138" i="24"/>
  <c r="AI140" i="23"/>
  <c r="AK140" i="23" s="1"/>
  <c r="AE141" i="23" s="1"/>
  <c r="AG140" i="23"/>
  <c r="BH139" i="23"/>
  <c r="AJ140" i="23" l="1"/>
  <c r="BX139" i="24"/>
  <c r="BK139" i="23"/>
  <c r="CD139" i="24"/>
  <c r="CA139" i="24"/>
  <c r="AI141" i="23"/>
  <c r="AG141" i="23"/>
  <c r="AJ141" i="23" s="1"/>
  <c r="AZ140" i="23"/>
  <c r="BH140" i="23"/>
  <c r="BY140" i="24" l="1"/>
  <c r="BZ140" i="24" s="1"/>
  <c r="BV140" i="24"/>
  <c r="BW140" i="24" s="1"/>
  <c r="CB140" i="24"/>
  <c r="CC140" i="24" s="1"/>
  <c r="BI140" i="23"/>
  <c r="BJ140" i="23" s="1"/>
  <c r="AZ141" i="23"/>
  <c r="AK141" i="23"/>
  <c r="AE142" i="23" s="1"/>
  <c r="BK140" i="23" l="1"/>
  <c r="BX140" i="24"/>
  <c r="BY141" i="24"/>
  <c r="BZ141" i="24" s="1"/>
  <c r="CB141" i="24"/>
  <c r="CC141" i="24" s="1"/>
  <c r="BV141" i="24"/>
  <c r="BW141" i="24" s="1"/>
  <c r="BI141" i="23"/>
  <c r="BJ141" i="23" s="1"/>
  <c r="CD140" i="24"/>
  <c r="CA140" i="24"/>
  <c r="AI142" i="23"/>
  <c r="AK142" i="23" s="1"/>
  <c r="AE143" i="23" s="1"/>
  <c r="AG142" i="23"/>
  <c r="BH141" i="23"/>
  <c r="AJ142" i="23" l="1"/>
  <c r="BK141" i="23"/>
  <c r="BX141" i="24"/>
  <c r="CA141" i="24"/>
  <c r="CD141" i="24"/>
  <c r="AI143" i="23"/>
  <c r="AK143" i="23" s="1"/>
  <c r="AE144" i="23" s="1"/>
  <c r="AG143" i="23"/>
  <c r="AZ142" i="23"/>
  <c r="BH142" i="23"/>
  <c r="AJ143" i="23" l="1"/>
  <c r="BI142" i="23"/>
  <c r="BJ142" i="23" s="1"/>
  <c r="CB142" i="24"/>
  <c r="CC142" i="24" s="1"/>
  <c r="BY142" i="24"/>
  <c r="BZ142" i="24" s="1"/>
  <c r="BV142" i="24"/>
  <c r="BW142" i="24" s="1"/>
  <c r="AI144" i="23"/>
  <c r="AG144" i="23"/>
  <c r="AJ144" i="23" s="1"/>
  <c r="AZ143" i="23"/>
  <c r="BH143" i="23"/>
  <c r="CB143" i="24" l="1"/>
  <c r="CC143" i="24" s="1"/>
  <c r="BY143" i="24"/>
  <c r="BZ143" i="24" s="1"/>
  <c r="BV143" i="24"/>
  <c r="BW143" i="24" s="1"/>
  <c r="BI143" i="23"/>
  <c r="BJ143" i="23" s="1"/>
  <c r="BX142" i="24"/>
  <c r="CA142" i="24"/>
  <c r="CD142" i="24"/>
  <c r="BK142" i="23"/>
  <c r="AZ144" i="23"/>
  <c r="AK144" i="23"/>
  <c r="AE145" i="23" s="1"/>
  <c r="BK143" i="23" l="1"/>
  <c r="BI144" i="23"/>
  <c r="BJ144" i="23" s="1"/>
  <c r="CB144" i="24"/>
  <c r="BY144" i="24"/>
  <c r="BZ144" i="24" s="1"/>
  <c r="BV144" i="24"/>
  <c r="BW144" i="24" s="1"/>
  <c r="CC144" i="24"/>
  <c r="CD143" i="24"/>
  <c r="BX143" i="24"/>
  <c r="CA143" i="24"/>
  <c r="AI145" i="23"/>
  <c r="AG145" i="23"/>
  <c r="BH144" i="23"/>
  <c r="AJ145" i="23" l="1"/>
  <c r="CA144" i="24"/>
  <c r="BK144" i="23"/>
  <c r="BX144" i="24"/>
  <c r="CD144" i="24"/>
  <c r="AZ145" i="23"/>
  <c r="AK145" i="23"/>
  <c r="AE146" i="23" s="1"/>
  <c r="BI145" i="23" l="1"/>
  <c r="BJ145" i="23" s="1"/>
  <c r="CB145" i="24"/>
  <c r="CC145" i="24" s="1"/>
  <c r="BY145" i="24"/>
  <c r="BZ145" i="24" s="1"/>
  <c r="BV145" i="24"/>
  <c r="BW145" i="24" s="1"/>
  <c r="AI146" i="23"/>
  <c r="AK146" i="23"/>
  <c r="AE147" i="23" s="1"/>
  <c r="AG146" i="23"/>
  <c r="AJ146" i="23" s="1"/>
  <c r="BH145" i="23"/>
  <c r="CA145" i="24" l="1"/>
  <c r="BX145" i="24"/>
  <c r="CD145" i="24"/>
  <c r="BK145" i="23"/>
  <c r="AI147" i="23"/>
  <c r="AK147" i="23" s="1"/>
  <c r="AE148" i="23" s="1"/>
  <c r="AG147" i="23"/>
  <c r="AJ147" i="23" s="1"/>
  <c r="AZ146" i="23"/>
  <c r="BH146" i="23"/>
  <c r="BI146" i="23" l="1"/>
  <c r="BJ146" i="23" s="1"/>
  <c r="CB146" i="24"/>
  <c r="CC146" i="24" s="1"/>
  <c r="BY146" i="24"/>
  <c r="BZ146" i="24" s="1"/>
  <c r="BV146" i="24"/>
  <c r="BW146" i="24" s="1"/>
  <c r="AI148" i="23"/>
  <c r="AG148" i="23"/>
  <c r="AJ148" i="23" s="1"/>
  <c r="BH147" i="23"/>
  <c r="AZ147" i="23"/>
  <c r="BV147" i="24" l="1"/>
  <c r="BY147" i="24"/>
  <c r="BZ147" i="24" s="1"/>
  <c r="BI147" i="23"/>
  <c r="BJ147" i="23" s="1"/>
  <c r="CB147" i="24"/>
  <c r="CC147" i="24" s="1"/>
  <c r="CA146" i="24"/>
  <c r="CD146" i="24"/>
  <c r="BW147" i="24"/>
  <c r="BX146" i="24"/>
  <c r="BK146" i="23"/>
  <c r="AZ148" i="23"/>
  <c r="AK148" i="23"/>
  <c r="AE149" i="23" s="1"/>
  <c r="BX147" i="24" l="1"/>
  <c r="BV148" i="24"/>
  <c r="BW148" i="24" s="1"/>
  <c r="BY148" i="24"/>
  <c r="BZ148" i="24" s="1"/>
  <c r="CB148" i="24"/>
  <c r="CC148" i="24" s="1"/>
  <c r="BI148" i="23"/>
  <c r="BJ148" i="23" s="1"/>
  <c r="CA147" i="24"/>
  <c r="BK147" i="23"/>
  <c r="CD147" i="24"/>
  <c r="AI149" i="23"/>
  <c r="AG149" i="23"/>
  <c r="BH148" i="23"/>
  <c r="AJ149" i="23" l="1"/>
  <c r="CD148" i="24"/>
  <c r="BK148" i="23"/>
  <c r="BX148" i="24"/>
  <c r="CA148" i="24"/>
  <c r="AZ149" i="23"/>
  <c r="AK149" i="23"/>
  <c r="AE150" i="23" s="1"/>
  <c r="CB149" i="24" l="1"/>
  <c r="CC149" i="24" s="1"/>
  <c r="BI149" i="23"/>
  <c r="BJ149" i="23" s="1"/>
  <c r="BY149" i="24"/>
  <c r="BZ149" i="24" s="1"/>
  <c r="BV149" i="24"/>
  <c r="BW149" i="24" s="1"/>
  <c r="AI150" i="23"/>
  <c r="AK150" i="23" s="1"/>
  <c r="AE151" i="23" s="1"/>
  <c r="AG150" i="23"/>
  <c r="BH149" i="23"/>
  <c r="AJ150" i="23" l="1"/>
  <c r="BK149" i="23"/>
  <c r="BX149" i="24"/>
  <c r="CA149" i="24"/>
  <c r="CD149" i="24"/>
  <c r="AI151" i="23"/>
  <c r="AK151" i="23" s="1"/>
  <c r="AE152" i="23" s="1"/>
  <c r="AG151" i="23"/>
  <c r="AZ150" i="23"/>
  <c r="BH150" i="23"/>
  <c r="AJ151" i="23" l="1"/>
  <c r="BY150" i="24"/>
  <c r="BZ150" i="24" s="1"/>
  <c r="BV150" i="24"/>
  <c r="BW150" i="24" s="1"/>
  <c r="CB150" i="24"/>
  <c r="CC150" i="24" s="1"/>
  <c r="BI150" i="23"/>
  <c r="BJ150" i="23" s="1"/>
  <c r="AI152" i="23"/>
  <c r="AK152" i="23" s="1"/>
  <c r="AE153" i="23" s="1"/>
  <c r="AG152" i="23"/>
  <c r="BH151" i="23"/>
  <c r="AZ151" i="23"/>
  <c r="AJ152" i="23" l="1"/>
  <c r="BY151" i="24"/>
  <c r="BZ151" i="24" s="1"/>
  <c r="CB151" i="24"/>
  <c r="BV151" i="24"/>
  <c r="BW151" i="24" s="1"/>
  <c r="BI151" i="23"/>
  <c r="BJ151" i="23" s="1"/>
  <c r="CD150" i="24"/>
  <c r="CC151" i="24"/>
  <c r="BK150" i="23"/>
  <c r="BX150" i="24"/>
  <c r="CA150" i="24"/>
  <c r="AI153" i="23"/>
  <c r="AG153" i="23"/>
  <c r="AJ153" i="23" s="1"/>
  <c r="BH152" i="23"/>
  <c r="AZ152" i="23"/>
  <c r="BX151" i="24" l="1"/>
  <c r="CD151" i="24"/>
  <c r="BI152" i="23"/>
  <c r="BJ152" i="23" s="1"/>
  <c r="BY152" i="24"/>
  <c r="BZ152" i="24" s="1"/>
  <c r="BV152" i="24"/>
  <c r="BW152" i="24" s="1"/>
  <c r="CB152" i="24"/>
  <c r="CC152" i="24" s="1"/>
  <c r="BK151" i="23"/>
  <c r="CA151" i="24"/>
  <c r="AZ153" i="23"/>
  <c r="AK153" i="23"/>
  <c r="AE154" i="23" s="1"/>
  <c r="BX152" i="24" l="1"/>
  <c r="CA152" i="24"/>
  <c r="BK152" i="23"/>
  <c r="CB153" i="24"/>
  <c r="CC153" i="24" s="1"/>
  <c r="BY153" i="24"/>
  <c r="BZ153" i="24" s="1"/>
  <c r="BV153" i="24"/>
  <c r="BW153" i="24" s="1"/>
  <c r="BI153" i="23"/>
  <c r="BJ153" i="23" s="1"/>
  <c r="CD152" i="24"/>
  <c r="AI154" i="23"/>
  <c r="AK154" i="23" s="1"/>
  <c r="AE155" i="23" s="1"/>
  <c r="AG154" i="23"/>
  <c r="BH153" i="23"/>
  <c r="AJ154" i="23" l="1"/>
  <c r="BK153" i="23"/>
  <c r="BX153" i="24"/>
  <c r="CA153" i="24"/>
  <c r="CD153" i="24"/>
  <c r="AI155" i="23"/>
  <c r="AG155" i="23"/>
  <c r="AJ155" i="23" s="1"/>
  <c r="AZ154" i="23"/>
  <c r="BH154" i="23"/>
  <c r="BI154" i="23" l="1"/>
  <c r="BJ154" i="23" s="1"/>
  <c r="CB154" i="24"/>
  <c r="CC154" i="24" s="1"/>
  <c r="BY154" i="24"/>
  <c r="BZ154" i="24" s="1"/>
  <c r="BV154" i="24"/>
  <c r="BW154" i="24" s="1"/>
  <c r="AZ155" i="23"/>
  <c r="AK155" i="23"/>
  <c r="AE156" i="23" s="1"/>
  <c r="CA154" i="24" l="1"/>
  <c r="BX154" i="24"/>
  <c r="CD154" i="24"/>
  <c r="BI155" i="23"/>
  <c r="BJ155" i="23" s="1"/>
  <c r="CB155" i="24"/>
  <c r="CC155" i="24" s="1"/>
  <c r="BY155" i="24"/>
  <c r="BZ155" i="24" s="1"/>
  <c r="BV155" i="24"/>
  <c r="BW155" i="24" s="1"/>
  <c r="BK154" i="23"/>
  <c r="AI156" i="23"/>
  <c r="AK156" i="23" s="1"/>
  <c r="AE157" i="23" s="1"/>
  <c r="AG156" i="23"/>
  <c r="BH155" i="23"/>
  <c r="AJ156" i="23" l="1"/>
  <c r="BX155" i="24"/>
  <c r="CA155" i="24"/>
  <c r="CD155" i="24"/>
  <c r="BK155" i="23"/>
  <c r="AI157" i="23"/>
  <c r="AG157" i="23"/>
  <c r="AJ157" i="23" s="1"/>
  <c r="AZ156" i="23"/>
  <c r="BH156" i="23"/>
  <c r="BI156" i="23" l="1"/>
  <c r="BJ156" i="23" s="1"/>
  <c r="CB156" i="24"/>
  <c r="CC156" i="24" s="1"/>
  <c r="BY156" i="24"/>
  <c r="BZ156" i="24" s="1"/>
  <c r="BV156" i="24"/>
  <c r="BW156" i="24" s="1"/>
  <c r="AZ157" i="23"/>
  <c r="AK157" i="23"/>
  <c r="AE158" i="23" s="1"/>
  <c r="BV157" i="24" l="1"/>
  <c r="BY157" i="24"/>
  <c r="BI157" i="23"/>
  <c r="BJ157" i="23" s="1"/>
  <c r="CB157" i="24"/>
  <c r="CC157" i="24" s="1"/>
  <c r="CA156" i="24"/>
  <c r="BZ157" i="24"/>
  <c r="BW157" i="24"/>
  <c r="BX156" i="24"/>
  <c r="CD156" i="24"/>
  <c r="BK156" i="23"/>
  <c r="AI158" i="23"/>
  <c r="AG158" i="23"/>
  <c r="AJ158" i="23" s="1"/>
  <c r="BH157" i="23"/>
  <c r="BK157" i="23" l="1"/>
  <c r="BX157" i="24"/>
  <c r="CD157" i="24"/>
  <c r="CA157" i="24"/>
  <c r="AZ158" i="23"/>
  <c r="AK158" i="23"/>
  <c r="AE159" i="23" s="1"/>
  <c r="BV158" i="24" l="1"/>
  <c r="BW158" i="24" s="1"/>
  <c r="BY158" i="24"/>
  <c r="BZ158" i="24" s="1"/>
  <c r="BI158" i="23"/>
  <c r="BJ158" i="23" s="1"/>
  <c r="CB158" i="24"/>
  <c r="CC158" i="24" s="1"/>
  <c r="AI159" i="23"/>
  <c r="AK159" i="23" s="1"/>
  <c r="AE160" i="23" s="1"/>
  <c r="AG159" i="23"/>
  <c r="BH158" i="23"/>
  <c r="AJ159" i="23" l="1"/>
  <c r="CD158" i="24"/>
  <c r="BK158" i="23"/>
  <c r="CA158" i="24"/>
  <c r="BX158" i="24"/>
  <c r="AI160" i="23"/>
  <c r="AK160" i="23" s="1"/>
  <c r="AE161" i="23" s="1"/>
  <c r="AG160" i="23"/>
  <c r="AZ159" i="23"/>
  <c r="BH159" i="23"/>
  <c r="AJ160" i="23" l="1"/>
  <c r="CB159" i="24"/>
  <c r="CC159" i="24" s="1"/>
  <c r="BI159" i="23"/>
  <c r="BJ159" i="23" s="1"/>
  <c r="BY159" i="24"/>
  <c r="BZ159" i="24" s="1"/>
  <c r="BV159" i="24"/>
  <c r="BW159" i="24" s="1"/>
  <c r="AI161" i="23"/>
  <c r="AK161" i="23" s="1"/>
  <c r="AE162" i="23" s="1"/>
  <c r="AG161" i="23"/>
  <c r="AZ160" i="23"/>
  <c r="BH160" i="23"/>
  <c r="AJ161" i="23" l="1"/>
  <c r="CA159" i="24"/>
  <c r="BY160" i="24"/>
  <c r="BZ160" i="24" s="1"/>
  <c r="BV160" i="24"/>
  <c r="BI160" i="23"/>
  <c r="CB160" i="24"/>
  <c r="CC160" i="24" s="1"/>
  <c r="BX159" i="24"/>
  <c r="BW160" i="24"/>
  <c r="BJ160" i="23"/>
  <c r="BK159" i="23"/>
  <c r="CD159" i="24"/>
  <c r="AI162" i="23"/>
  <c r="AG162" i="23"/>
  <c r="AJ162" i="23" s="1"/>
  <c r="AZ161" i="23"/>
  <c r="BH161" i="23"/>
  <c r="CD160" i="24" l="1"/>
  <c r="CA160" i="24"/>
  <c r="BX160" i="24"/>
  <c r="BK160" i="23"/>
  <c r="BY161" i="24"/>
  <c r="BZ161" i="24" s="1"/>
  <c r="CB161" i="24"/>
  <c r="CC161" i="24" s="1"/>
  <c r="BV161" i="24"/>
  <c r="BW161" i="24" s="1"/>
  <c r="BI161" i="23"/>
  <c r="BJ161" i="23" s="1"/>
  <c r="AZ162" i="23"/>
  <c r="AK162" i="23"/>
  <c r="AE163" i="23" s="1"/>
  <c r="CD161" i="24" l="1"/>
  <c r="CA161" i="24"/>
  <c r="BK161" i="23"/>
  <c r="BX161" i="24"/>
  <c r="BY162" i="24"/>
  <c r="BZ162" i="24" s="1"/>
  <c r="BV162" i="24"/>
  <c r="BW162" i="24" s="1"/>
  <c r="CB162" i="24"/>
  <c r="CC162" i="24" s="1"/>
  <c r="BI162" i="23"/>
  <c r="BJ162" i="23" s="1"/>
  <c r="AI163" i="23"/>
  <c r="AG163" i="23"/>
  <c r="BH162" i="23"/>
  <c r="AJ163" i="23" l="1"/>
  <c r="CD162" i="24"/>
  <c r="BX162" i="24"/>
  <c r="CA162" i="24"/>
  <c r="BK162" i="23"/>
  <c r="AZ163" i="23"/>
  <c r="AK163" i="23"/>
  <c r="AE164" i="23" s="1"/>
  <c r="CB163" i="24" l="1"/>
  <c r="CC163" i="24" s="1"/>
  <c r="BY163" i="24"/>
  <c r="BZ163" i="24" s="1"/>
  <c r="BV163" i="24"/>
  <c r="BW163" i="24" s="1"/>
  <c r="BI163" i="23"/>
  <c r="BJ163" i="23" s="1"/>
  <c r="AI164" i="23"/>
  <c r="AK164" i="23" s="1"/>
  <c r="AE165" i="23" s="1"/>
  <c r="AG164" i="23"/>
  <c r="BH163" i="23"/>
  <c r="AJ164" i="23" l="1"/>
  <c r="BX163" i="24"/>
  <c r="BK163" i="23"/>
  <c r="CA163" i="24"/>
  <c r="CD163" i="24"/>
  <c r="AI165" i="23"/>
  <c r="AK165" i="23" s="1"/>
  <c r="AE166" i="23" s="1"/>
  <c r="AG165" i="23"/>
  <c r="AJ165" i="23" s="1"/>
  <c r="BH164" i="23"/>
  <c r="AZ164" i="23"/>
  <c r="BI164" i="23" l="1"/>
  <c r="BJ164" i="23" s="1"/>
  <c r="CB164" i="24"/>
  <c r="CC164" i="24" s="1"/>
  <c r="BV164" i="24"/>
  <c r="BW164" i="24" s="1"/>
  <c r="BY164" i="24"/>
  <c r="BZ164" i="24" s="1"/>
  <c r="AI166" i="23"/>
  <c r="AK166" i="23" s="1"/>
  <c r="AE167" i="23" s="1"/>
  <c r="AG166" i="23"/>
  <c r="AJ166" i="23" s="1"/>
  <c r="BH165" i="23"/>
  <c r="AZ165" i="23"/>
  <c r="BI165" i="23" l="1"/>
  <c r="BY165" i="24"/>
  <c r="BV165" i="24"/>
  <c r="CB165" i="24"/>
  <c r="CA164" i="24"/>
  <c r="BZ165" i="24"/>
  <c r="CD164" i="24"/>
  <c r="CC165" i="24"/>
  <c r="BW165" i="24"/>
  <c r="BX164" i="24"/>
  <c r="BJ165" i="23"/>
  <c r="BK164" i="23"/>
  <c r="AI167" i="23"/>
  <c r="AK167" i="23"/>
  <c r="AE168" i="23" s="1"/>
  <c r="AG167" i="23"/>
  <c r="AJ167" i="23" s="1"/>
  <c r="BH166" i="23"/>
  <c r="AZ166" i="23"/>
  <c r="BI166" i="23" l="1"/>
  <c r="CB166" i="24"/>
  <c r="BY166" i="24"/>
  <c r="BZ166" i="24" s="1"/>
  <c r="BV166" i="24"/>
  <c r="BW166" i="24" s="1"/>
  <c r="BX165" i="24"/>
  <c r="CC166" i="24"/>
  <c r="CD165" i="24"/>
  <c r="CA165" i="24"/>
  <c r="BK165" i="23"/>
  <c r="BJ166" i="23"/>
  <c r="AI168" i="23"/>
  <c r="AK168" i="23" s="1"/>
  <c r="AE169" i="23" s="1"/>
  <c r="AG168" i="23"/>
  <c r="AJ168" i="23" s="1"/>
  <c r="AZ167" i="23"/>
  <c r="BH167" i="23"/>
  <c r="CD166" i="24" l="1"/>
  <c r="CA166" i="24"/>
  <c r="BX166" i="24"/>
  <c r="BV167" i="24"/>
  <c r="BW167" i="24" s="1"/>
  <c r="CB167" i="24"/>
  <c r="CC167" i="24" s="1"/>
  <c r="BY167" i="24"/>
  <c r="BZ167" i="24" s="1"/>
  <c r="BI167" i="23"/>
  <c r="BJ167" i="23" s="1"/>
  <c r="BK166" i="23"/>
  <c r="AI169" i="23"/>
  <c r="AG169" i="23"/>
  <c r="AZ168" i="23"/>
  <c r="BH168" i="23"/>
  <c r="AJ169" i="23" l="1"/>
  <c r="BK167" i="23"/>
  <c r="CA167" i="24"/>
  <c r="CD167" i="24"/>
  <c r="BX167" i="24"/>
  <c r="BV168" i="24"/>
  <c r="BW168" i="24" s="1"/>
  <c r="BY168" i="24"/>
  <c r="BZ168" i="24" s="1"/>
  <c r="BI168" i="23"/>
  <c r="BJ168" i="23" s="1"/>
  <c r="CB168" i="24"/>
  <c r="CC168" i="24" s="1"/>
  <c r="AZ169" i="23"/>
  <c r="AK169" i="23"/>
  <c r="AE170" i="23" s="1"/>
  <c r="CA168" i="24" l="1"/>
  <c r="BX168" i="24"/>
  <c r="CB169" i="24"/>
  <c r="CC169" i="24" s="1"/>
  <c r="BI169" i="23"/>
  <c r="BJ169" i="23" s="1"/>
  <c r="BV169" i="24"/>
  <c r="BW169" i="24" s="1"/>
  <c r="BY169" i="24"/>
  <c r="BZ169" i="24" s="1"/>
  <c r="BK168" i="23"/>
  <c r="CD168" i="24"/>
  <c r="AI170" i="23"/>
  <c r="AG170" i="23"/>
  <c r="BH169" i="23"/>
  <c r="AJ170" i="23" l="1"/>
  <c r="CA169" i="24"/>
  <c r="BX169" i="24"/>
  <c r="CD169" i="24"/>
  <c r="BK169" i="23"/>
  <c r="AZ170" i="23"/>
  <c r="AK170" i="23"/>
  <c r="AE171" i="23" s="1"/>
  <c r="BY170" i="24" l="1"/>
  <c r="BZ170" i="24" s="1"/>
  <c r="BV170" i="24"/>
  <c r="BW170" i="24" s="1"/>
  <c r="BI170" i="23"/>
  <c r="BJ170" i="23" s="1"/>
  <c r="CB170" i="24"/>
  <c r="CC170" i="24" s="1"/>
  <c r="AI171" i="23"/>
  <c r="AG171" i="23"/>
  <c r="BH170" i="23"/>
  <c r="AJ171" i="23" l="1"/>
  <c r="BK170" i="23"/>
  <c r="CD170" i="24"/>
  <c r="BX170" i="24"/>
  <c r="CA170" i="24"/>
  <c r="AZ171" i="23"/>
  <c r="AK171" i="23"/>
  <c r="AE172" i="23" s="1"/>
  <c r="BY171" i="24" l="1"/>
  <c r="BZ171" i="24" s="1"/>
  <c r="BI171" i="23"/>
  <c r="BJ171" i="23" s="1"/>
  <c r="CB171" i="24"/>
  <c r="CC171" i="24" s="1"/>
  <c r="BV171" i="24"/>
  <c r="BW171" i="24" s="1"/>
  <c r="AG172" i="23"/>
  <c r="AI172" i="23"/>
  <c r="BH171" i="23"/>
  <c r="AJ172" i="23" l="1"/>
  <c r="BK171" i="23"/>
  <c r="BX171" i="24"/>
  <c r="CD171" i="24"/>
  <c r="CA171" i="24"/>
  <c r="AZ172" i="23"/>
  <c r="AK172" i="23"/>
  <c r="AE173" i="23" s="1"/>
  <c r="CB172" i="24" l="1"/>
  <c r="CC172" i="24" s="1"/>
  <c r="BI172" i="23"/>
  <c r="BJ172" i="23" s="1"/>
  <c r="BY172" i="24"/>
  <c r="BZ172" i="24" s="1"/>
  <c r="BV172" i="24"/>
  <c r="BW172" i="24" s="1"/>
  <c r="AG173" i="23"/>
  <c r="AI173" i="23"/>
  <c r="BH172" i="23"/>
  <c r="BK172" i="23" l="1"/>
  <c r="BX172" i="24"/>
  <c r="CA172" i="24"/>
  <c r="CD172" i="24"/>
  <c r="AZ173" i="23"/>
  <c r="AK173" i="23"/>
  <c r="AE174" i="23" s="1"/>
  <c r="AJ173" i="23"/>
  <c r="CB173" i="24" l="1"/>
  <c r="CC173" i="24" s="1"/>
  <c r="BY173" i="24"/>
  <c r="BZ173" i="24" s="1"/>
  <c r="BV173" i="24"/>
  <c r="BW173" i="24" s="1"/>
  <c r="BI173" i="23"/>
  <c r="BJ173" i="23" s="1"/>
  <c r="AI174" i="23"/>
  <c r="AG174" i="23"/>
  <c r="BH173" i="23"/>
  <c r="AJ174" i="23" l="1"/>
  <c r="BK173" i="23"/>
  <c r="BX173" i="24"/>
  <c r="CA173" i="24"/>
  <c r="CD173" i="24"/>
  <c r="AZ174" i="23"/>
  <c r="AK174" i="23"/>
  <c r="AE175" i="23" s="1"/>
  <c r="BI174" i="23" l="1"/>
  <c r="BJ174" i="23" s="1"/>
  <c r="CB174" i="24"/>
  <c r="CC174" i="24" s="1"/>
  <c r="BY174" i="24"/>
  <c r="BZ174" i="24" s="1"/>
  <c r="BV174" i="24"/>
  <c r="BW174" i="24" s="1"/>
  <c r="AI175" i="23"/>
  <c r="AG175" i="23"/>
  <c r="BH174" i="23"/>
  <c r="AJ175" i="23" l="1"/>
  <c r="BX174" i="24"/>
  <c r="CA174" i="24"/>
  <c r="CD174" i="24"/>
  <c r="BK174" i="23"/>
  <c r="AZ175" i="23"/>
  <c r="AK175" i="23"/>
  <c r="AE176" i="23" s="1"/>
  <c r="BI175" i="23" l="1"/>
  <c r="BJ175" i="23" s="1"/>
  <c r="BY175" i="24"/>
  <c r="BZ175" i="24" s="1"/>
  <c r="BV175" i="24"/>
  <c r="BW175" i="24" s="1"/>
  <c r="CB175" i="24"/>
  <c r="CC175" i="24" s="1"/>
  <c r="AI176" i="23"/>
  <c r="AK176" i="23" s="1"/>
  <c r="AE177" i="23" s="1"/>
  <c r="AG176" i="23"/>
  <c r="AJ176" i="23" s="1"/>
  <c r="BH175" i="23"/>
  <c r="CD175" i="24" l="1"/>
  <c r="BX175" i="24"/>
  <c r="CA175" i="24"/>
  <c r="BK175" i="23"/>
  <c r="AI177" i="23"/>
  <c r="AK177" i="23" s="1"/>
  <c r="AE178" i="23" s="1"/>
  <c r="AG177" i="23"/>
  <c r="AJ177" i="23" s="1"/>
  <c r="AZ176" i="23"/>
  <c r="BH176" i="23"/>
  <c r="BI176" i="23" l="1"/>
  <c r="BJ176" i="23" s="1"/>
  <c r="CB176" i="24"/>
  <c r="CC176" i="24" s="1"/>
  <c r="BV176" i="24"/>
  <c r="BW176" i="24" s="1"/>
  <c r="BY176" i="24"/>
  <c r="BZ176" i="24" s="1"/>
  <c r="AI178" i="23"/>
  <c r="AK178" i="23" s="1"/>
  <c r="AE179" i="23" s="1"/>
  <c r="AG178" i="23"/>
  <c r="AJ178" i="23" s="1"/>
  <c r="AZ177" i="23"/>
  <c r="BH177" i="23"/>
  <c r="CA176" i="24" l="1"/>
  <c r="BV177" i="24"/>
  <c r="CB177" i="24"/>
  <c r="BI177" i="23"/>
  <c r="BJ177" i="23" s="1"/>
  <c r="BY177" i="24"/>
  <c r="BZ177" i="24" s="1"/>
  <c r="BW177" i="24"/>
  <c r="BX176" i="24"/>
  <c r="CD176" i="24"/>
  <c r="CC177" i="24"/>
  <c r="BK176" i="23"/>
  <c r="AI179" i="23"/>
  <c r="AG179" i="23"/>
  <c r="AJ179" i="23" s="1"/>
  <c r="AZ178" i="23"/>
  <c r="BH178" i="23"/>
  <c r="CA177" i="24" l="1"/>
  <c r="BV178" i="24"/>
  <c r="CB178" i="24"/>
  <c r="CC178" i="24" s="1"/>
  <c r="BY178" i="24"/>
  <c r="BZ178" i="24" s="1"/>
  <c r="BI178" i="23"/>
  <c r="BW178" i="24"/>
  <c r="BX177" i="24"/>
  <c r="BJ178" i="23"/>
  <c r="BK177" i="23"/>
  <c r="CD177" i="24"/>
  <c r="AZ179" i="23"/>
  <c r="AK179" i="23"/>
  <c r="AE180" i="23" s="1"/>
  <c r="CA178" i="24" l="1"/>
  <c r="CD178" i="24"/>
  <c r="BK178" i="23"/>
  <c r="BX178" i="24"/>
  <c r="BY179" i="24"/>
  <c r="BZ179" i="24" s="1"/>
  <c r="CB179" i="24"/>
  <c r="CC179" i="24" s="1"/>
  <c r="BI179" i="23"/>
  <c r="BJ179" i="23" s="1"/>
  <c r="BV179" i="24"/>
  <c r="BW179" i="24" s="1"/>
  <c r="AI180" i="23"/>
  <c r="AG180" i="23"/>
  <c r="BH179" i="23"/>
  <c r="AJ180" i="23" l="1"/>
  <c r="BK179" i="23"/>
  <c r="CD179" i="24"/>
  <c r="CA179" i="24"/>
  <c r="BX179" i="24"/>
  <c r="AZ180" i="23"/>
  <c r="AK180" i="23"/>
  <c r="AE181" i="23" s="1"/>
  <c r="BY180" i="24" l="1"/>
  <c r="BZ180" i="24" s="1"/>
  <c r="BV180" i="24"/>
  <c r="BW180" i="24" s="1"/>
  <c r="CB180" i="24"/>
  <c r="CC180" i="24" s="1"/>
  <c r="BI180" i="23"/>
  <c r="BJ180" i="23" s="1"/>
  <c r="AG181" i="23"/>
  <c r="AI181" i="23"/>
  <c r="BH180" i="23"/>
  <c r="BX180" i="24" l="1"/>
  <c r="BK180" i="23"/>
  <c r="CD180" i="24"/>
  <c r="CA180" i="24"/>
  <c r="AZ181" i="23"/>
  <c r="AJ181" i="23"/>
  <c r="AK181" i="23"/>
  <c r="AE182" i="23" s="1"/>
  <c r="BY181" i="24" l="1"/>
  <c r="BZ181" i="24" s="1"/>
  <c r="BV181" i="24"/>
  <c r="BW181" i="24" s="1"/>
  <c r="CB181" i="24"/>
  <c r="CC181" i="24" s="1"/>
  <c r="BI181" i="23"/>
  <c r="BJ181" i="23" s="1"/>
  <c r="AI182" i="23"/>
  <c r="AG182" i="23"/>
  <c r="BH181" i="23"/>
  <c r="AJ182" i="23" l="1"/>
  <c r="CD181" i="24"/>
  <c r="BX181" i="24"/>
  <c r="BK181" i="23"/>
  <c r="CA181" i="24"/>
  <c r="AZ182" i="23"/>
  <c r="AK182" i="23"/>
  <c r="AE183" i="23" s="1"/>
  <c r="CB182" i="24" l="1"/>
  <c r="CC182" i="24" s="1"/>
  <c r="BV182" i="24"/>
  <c r="BW182" i="24" s="1"/>
  <c r="BY182" i="24"/>
  <c r="BZ182" i="24" s="1"/>
  <c r="BI182" i="23"/>
  <c r="BJ182" i="23" s="1"/>
  <c r="AI183" i="23"/>
  <c r="AK183" i="23" s="1"/>
  <c r="AE184" i="23" s="1"/>
  <c r="AG183" i="23"/>
  <c r="BH182" i="23"/>
  <c r="AJ183" i="23" l="1"/>
  <c r="BK182" i="23"/>
  <c r="CA182" i="24"/>
  <c r="BX182" i="24"/>
  <c r="CD182" i="24"/>
  <c r="AI184" i="23"/>
  <c r="AG184" i="23"/>
  <c r="AJ184" i="23" s="1"/>
  <c r="BH183" i="23"/>
  <c r="AZ183" i="23"/>
  <c r="CB183" i="24" l="1"/>
  <c r="CC183" i="24" s="1"/>
  <c r="BY183" i="24"/>
  <c r="BZ183" i="24" s="1"/>
  <c r="BV183" i="24"/>
  <c r="BW183" i="24" s="1"/>
  <c r="BI183" i="23"/>
  <c r="BJ183" i="23" s="1"/>
  <c r="AZ184" i="23"/>
  <c r="AK184" i="23"/>
  <c r="AE185" i="23" s="1"/>
  <c r="BI184" i="23" l="1"/>
  <c r="CB184" i="24"/>
  <c r="CC184" i="24" s="1"/>
  <c r="BY184" i="24"/>
  <c r="BV184" i="24"/>
  <c r="BW184" i="24" s="1"/>
  <c r="BX183" i="24"/>
  <c r="BK183" i="23"/>
  <c r="BJ184" i="23"/>
  <c r="CA183" i="24"/>
  <c r="BZ184" i="24"/>
  <c r="CD183" i="24"/>
  <c r="AI185" i="23"/>
  <c r="AK185" i="23"/>
  <c r="AE186" i="23" s="1"/>
  <c r="AG185" i="23"/>
  <c r="AJ185" i="23" s="1"/>
  <c r="BH184" i="23"/>
  <c r="CD184" i="24" l="1"/>
  <c r="CA184" i="24"/>
  <c r="BX184" i="24"/>
  <c r="BK184" i="23"/>
  <c r="AI186" i="23"/>
  <c r="AK186" i="23" s="1"/>
  <c r="AE187" i="23" s="1"/>
  <c r="AG186" i="23"/>
  <c r="BH185" i="23"/>
  <c r="AZ185" i="23"/>
  <c r="AJ186" i="23" l="1"/>
  <c r="BI185" i="23"/>
  <c r="BJ185" i="23" s="1"/>
  <c r="BV185" i="24"/>
  <c r="BW185" i="24" s="1"/>
  <c r="CB185" i="24"/>
  <c r="CC185" i="24" s="1"/>
  <c r="BY185" i="24"/>
  <c r="BZ185" i="24" s="1"/>
  <c r="AI187" i="23"/>
  <c r="AK187" i="23" s="1"/>
  <c r="AE188" i="23" s="1"/>
  <c r="AG187" i="23"/>
  <c r="BH186" i="23"/>
  <c r="AZ186" i="23"/>
  <c r="AJ187" i="23" l="1"/>
  <c r="BI186" i="23"/>
  <c r="CB186" i="24"/>
  <c r="BV186" i="24"/>
  <c r="BY186" i="24"/>
  <c r="CD185" i="24"/>
  <c r="CC186" i="24"/>
  <c r="CA185" i="24"/>
  <c r="BZ186" i="24"/>
  <c r="BW186" i="24"/>
  <c r="BX185" i="24"/>
  <c r="BJ186" i="23"/>
  <c r="BK185" i="23"/>
  <c r="AI188" i="23"/>
  <c r="AK188" i="23"/>
  <c r="AE189" i="23" s="1"/>
  <c r="AG188" i="23"/>
  <c r="AJ188" i="23" s="1"/>
  <c r="BH187" i="23"/>
  <c r="AZ187" i="23"/>
  <c r="BX186" i="24" l="1"/>
  <c r="BV187" i="24"/>
  <c r="BW187" i="24" s="1"/>
  <c r="CB187" i="24"/>
  <c r="CC187" i="24" s="1"/>
  <c r="BI187" i="23"/>
  <c r="BJ187" i="23" s="1"/>
  <c r="BY187" i="24"/>
  <c r="BZ187" i="24" s="1"/>
  <c r="CD186" i="24"/>
  <c r="CA186" i="24"/>
  <c r="BK186" i="23"/>
  <c r="AI189" i="23"/>
  <c r="AG189" i="23"/>
  <c r="BH188" i="23"/>
  <c r="AZ188" i="23"/>
  <c r="AJ189" i="23" l="1"/>
  <c r="BK187" i="23"/>
  <c r="CD187" i="24"/>
  <c r="BX187" i="24"/>
  <c r="CA187" i="24"/>
  <c r="BV188" i="24"/>
  <c r="BW188" i="24" s="1"/>
  <c r="BI188" i="23"/>
  <c r="BJ188" i="23" s="1"/>
  <c r="CB188" i="24"/>
  <c r="CC188" i="24" s="1"/>
  <c r="BY188" i="24"/>
  <c r="BZ188" i="24" s="1"/>
  <c r="AZ189" i="23"/>
  <c r="AK189" i="23"/>
  <c r="AE190" i="23" s="1"/>
  <c r="BK188" i="23" l="1"/>
  <c r="BX188" i="24"/>
  <c r="CA188" i="24"/>
  <c r="BY189" i="24"/>
  <c r="BZ189" i="24" s="1"/>
  <c r="CB189" i="24"/>
  <c r="CC189" i="24" s="1"/>
  <c r="BI189" i="23"/>
  <c r="BJ189" i="23" s="1"/>
  <c r="BV189" i="24"/>
  <c r="BW189" i="24" s="1"/>
  <c r="CD188" i="24"/>
  <c r="AI190" i="23"/>
  <c r="AG190" i="23"/>
  <c r="BH189" i="23"/>
  <c r="AJ190" i="23" l="1"/>
  <c r="BX189" i="24"/>
  <c r="BK189" i="23"/>
  <c r="CD189" i="24"/>
  <c r="CA189" i="24"/>
  <c r="AZ190" i="23"/>
  <c r="AK190" i="23"/>
  <c r="AE191" i="23" s="1"/>
  <c r="BY190" i="24" l="1"/>
  <c r="BZ190" i="24" s="1"/>
  <c r="BV190" i="24"/>
  <c r="BW190" i="24" s="1"/>
  <c r="CB190" i="24"/>
  <c r="CC190" i="24" s="1"/>
  <c r="BI190" i="23"/>
  <c r="BJ190" i="23" s="1"/>
  <c r="AI191" i="23"/>
  <c r="AG191" i="23"/>
  <c r="BH190" i="23"/>
  <c r="AJ191" i="23" l="1"/>
  <c r="BK190" i="23"/>
  <c r="CD190" i="24"/>
  <c r="BX190" i="24"/>
  <c r="CA190" i="24"/>
  <c r="AZ191" i="23"/>
  <c r="AK191" i="23"/>
  <c r="AE192" i="23" s="1"/>
  <c r="BY191" i="24" l="1"/>
  <c r="BZ191" i="24" s="1"/>
  <c r="BV191" i="24"/>
  <c r="BW191" i="24" s="1"/>
  <c r="CB191" i="24"/>
  <c r="CC191" i="24" s="1"/>
  <c r="BI191" i="23"/>
  <c r="BJ191" i="23" s="1"/>
  <c r="AI192" i="23"/>
  <c r="AK192" i="23" s="1"/>
  <c r="AE193" i="23" s="1"/>
  <c r="AG192" i="23"/>
  <c r="BH191" i="23"/>
  <c r="AJ192" i="23" l="1"/>
  <c r="BX191" i="24"/>
  <c r="BK191" i="23"/>
  <c r="CD191" i="24"/>
  <c r="CA191" i="24"/>
  <c r="AI193" i="23"/>
  <c r="AK193" i="23"/>
  <c r="AE194" i="23" s="1"/>
  <c r="AG193" i="23"/>
  <c r="AJ193" i="23" s="1"/>
  <c r="BH192" i="23"/>
  <c r="AZ192" i="23"/>
  <c r="CB192" i="24" l="1"/>
  <c r="CC192" i="24" s="1"/>
  <c r="BV192" i="24"/>
  <c r="BW192" i="24" s="1"/>
  <c r="BI192" i="23"/>
  <c r="BJ192" i="23" s="1"/>
  <c r="BY192" i="24"/>
  <c r="BZ192" i="24" s="1"/>
  <c r="AI194" i="23"/>
  <c r="AK194" i="23" s="1"/>
  <c r="AE195" i="23" s="1"/>
  <c r="AG194" i="23"/>
  <c r="AJ194" i="23" s="1"/>
  <c r="AZ193" i="23"/>
  <c r="BH193" i="23"/>
  <c r="AI195" i="23" l="1"/>
  <c r="AK195" i="23"/>
  <c r="AE196" i="23" s="1"/>
  <c r="AG195" i="23"/>
  <c r="AJ195" i="23" s="1"/>
  <c r="CB193" i="24"/>
  <c r="CC193" i="24" s="1"/>
  <c r="BY193" i="24"/>
  <c r="BV193" i="24"/>
  <c r="BW193" i="24" s="1"/>
  <c r="BI193" i="23"/>
  <c r="BJ193" i="23" s="1"/>
  <c r="CA192" i="24"/>
  <c r="BZ193" i="24"/>
  <c r="BK192" i="23"/>
  <c r="BX192" i="24"/>
  <c r="CD192" i="24"/>
  <c r="N14" i="20"/>
  <c r="O14" i="20"/>
  <c r="AZ194" i="23"/>
  <c r="BH194" i="23"/>
  <c r="AI196" i="23" l="1"/>
  <c r="AG196" i="23"/>
  <c r="BH195" i="23"/>
  <c r="AZ195" i="23"/>
  <c r="BX193" i="24"/>
  <c r="BK193" i="23"/>
  <c r="CA193" i="24"/>
  <c r="BI194" i="23"/>
  <c r="BJ194" i="23" s="1"/>
  <c r="BK194" i="23" s="1"/>
  <c r="CB194" i="24"/>
  <c r="CC194" i="24" s="1"/>
  <c r="CD194" i="24" s="1"/>
  <c r="BY194" i="24"/>
  <c r="BZ194" i="24" s="1"/>
  <c r="CA194" i="24" s="1"/>
  <c r="BV194" i="24"/>
  <c r="BW194" i="24" s="1"/>
  <c r="BX194" i="24" s="1"/>
  <c r="CD193" i="24"/>
  <c r="N19" i="20"/>
  <c r="P19" i="20" s="1"/>
  <c r="O19" i="20"/>
  <c r="P14" i="20"/>
  <c r="AJ196" i="23" l="1"/>
  <c r="BI195" i="23"/>
  <c r="BJ195" i="23" s="1"/>
  <c r="BY195" i="24"/>
  <c r="BZ195" i="24" s="1"/>
  <c r="CB195" i="24"/>
  <c r="CC195" i="24" s="1"/>
  <c r="BV195" i="24"/>
  <c r="BW195" i="24" s="1"/>
  <c r="AZ196" i="23"/>
  <c r="AK196" i="23"/>
  <c r="AE197" i="23" s="1"/>
  <c r="O23" i="20"/>
  <c r="P23" i="20" s="1"/>
  <c r="N23" i="20"/>
  <c r="B17" i="21" s="1"/>
  <c r="CA195" i="24" l="1"/>
  <c r="BK195" i="23"/>
  <c r="AI197" i="23"/>
  <c r="AG197" i="23"/>
  <c r="BI196" i="23"/>
  <c r="BJ196" i="23" s="1"/>
  <c r="BV196" i="24"/>
  <c r="BW196" i="24" s="1"/>
  <c r="BY196" i="24"/>
  <c r="BZ196" i="24" s="1"/>
  <c r="CB196" i="24"/>
  <c r="CC196" i="24" s="1"/>
  <c r="BH196" i="23"/>
  <c r="BX195" i="24"/>
  <c r="CD195" i="24"/>
  <c r="BK196" i="23" l="1"/>
  <c r="CA196" i="24"/>
  <c r="CD196" i="24"/>
  <c r="AJ197" i="23"/>
  <c r="AK197" i="23"/>
  <c r="AE198" i="23" s="1"/>
  <c r="AZ197" i="23"/>
  <c r="BX196" i="24"/>
  <c r="BH197" i="23" l="1"/>
  <c r="BI197" i="23"/>
  <c r="BJ197" i="23" s="1"/>
  <c r="BV197" i="24"/>
  <c r="BW197" i="24" s="1"/>
  <c r="CB197" i="24"/>
  <c r="CC197" i="24" s="1"/>
  <c r="BY197" i="24"/>
  <c r="BZ197" i="24" s="1"/>
  <c r="AI198" i="23"/>
  <c r="AK198" i="23" s="1"/>
  <c r="AE199" i="23" s="1"/>
  <c r="AG198" i="23"/>
  <c r="AJ198" i="23" l="1"/>
  <c r="BK197" i="23"/>
  <c r="AI199" i="23"/>
  <c r="AK199" i="23" s="1"/>
  <c r="AE200" i="23" s="1"/>
  <c r="AG199" i="23"/>
  <c r="AZ198" i="23"/>
  <c r="BH198" i="23"/>
  <c r="CA197" i="24"/>
  <c r="CD197" i="24"/>
  <c r="BX197" i="24"/>
  <c r="AG200" i="23" l="1"/>
  <c r="AI200" i="23"/>
  <c r="AK200" i="23" s="1"/>
  <c r="AE201" i="23" s="1"/>
  <c r="BH199" i="23"/>
  <c r="AZ199" i="23"/>
  <c r="BI198" i="23"/>
  <c r="BJ198" i="23" s="1"/>
  <c r="BV198" i="24"/>
  <c r="BW198" i="24" s="1"/>
  <c r="CB198" i="24"/>
  <c r="CC198" i="24" s="1"/>
  <c r="BY198" i="24"/>
  <c r="BZ198" i="24" s="1"/>
  <c r="AJ199" i="23"/>
  <c r="AG201" i="23" l="1"/>
  <c r="AI201" i="23"/>
  <c r="AK201" i="23"/>
  <c r="AE202" i="23" s="1"/>
  <c r="CA198" i="24"/>
  <c r="CD198" i="24"/>
  <c r="BX198" i="24"/>
  <c r="BK198" i="23"/>
  <c r="AZ200" i="23"/>
  <c r="BH200" i="23"/>
  <c r="BI199" i="23"/>
  <c r="BJ199" i="23" s="1"/>
  <c r="CB199" i="24"/>
  <c r="CC199" i="24" s="1"/>
  <c r="BV199" i="24"/>
  <c r="BW199" i="24" s="1"/>
  <c r="BY199" i="24"/>
  <c r="BZ199" i="24" s="1"/>
  <c r="AJ200" i="23"/>
  <c r="CD199" i="24" l="1"/>
  <c r="BK199" i="23"/>
  <c r="BX199" i="24"/>
  <c r="CA199" i="24"/>
  <c r="AG202" i="23"/>
  <c r="AI202" i="23"/>
  <c r="AK202" i="23" s="1"/>
  <c r="AE203" i="23" s="1"/>
  <c r="BI200" i="23"/>
  <c r="BJ200" i="23" s="1"/>
  <c r="BV200" i="24"/>
  <c r="BW200" i="24" s="1"/>
  <c r="BY200" i="24"/>
  <c r="BZ200" i="24" s="1"/>
  <c r="CB200" i="24"/>
  <c r="CC200" i="24" s="1"/>
  <c r="AZ201" i="23"/>
  <c r="BH201" i="23"/>
  <c r="AJ201" i="23"/>
  <c r="BK200" i="23" l="1"/>
  <c r="CD200" i="24"/>
  <c r="CA200" i="24"/>
  <c r="BH202" i="23"/>
  <c r="AZ202" i="23"/>
  <c r="AJ202" i="23"/>
  <c r="AG203" i="23"/>
  <c r="AI203" i="23"/>
  <c r="AK203" i="23" s="1"/>
  <c r="AE204" i="23" s="1"/>
  <c r="BX200" i="24"/>
  <c r="BI201" i="23"/>
  <c r="BJ201" i="23" s="1"/>
  <c r="BY201" i="24"/>
  <c r="BZ201" i="24" s="1"/>
  <c r="BV201" i="24"/>
  <c r="BW201" i="24" s="1"/>
  <c r="CB201" i="24"/>
  <c r="CC201" i="24" s="1"/>
  <c r="AJ203" i="23" l="1"/>
  <c r="AI204" i="23"/>
  <c r="AK204" i="23" s="1"/>
  <c r="AE205" i="23" s="1"/>
  <c r="AG204" i="23"/>
  <c r="AJ204" i="23" s="1"/>
  <c r="CD201" i="24"/>
  <c r="BX201" i="24"/>
  <c r="BW202" i="24"/>
  <c r="CA201" i="24"/>
  <c r="BZ202" i="24"/>
  <c r="BJ202" i="23"/>
  <c r="BK202" i="23" s="1"/>
  <c r="BK201" i="23"/>
  <c r="BI202" i="23"/>
  <c r="BV202" i="24"/>
  <c r="BY202" i="24"/>
  <c r="CB202" i="24"/>
  <c r="CC202" i="24" s="1"/>
  <c r="AZ203" i="23"/>
  <c r="BH203" i="23"/>
  <c r="CD202" i="24" l="1"/>
  <c r="CA202" i="24"/>
  <c r="BX202" i="24"/>
  <c r="BI203" i="23"/>
  <c r="BJ203" i="23" s="1"/>
  <c r="BK203" i="23" s="1"/>
  <c r="CB203" i="24"/>
  <c r="CC203" i="24" s="1"/>
  <c r="BV203" i="24"/>
  <c r="BW203" i="24" s="1"/>
  <c r="BY203" i="24"/>
  <c r="BZ203" i="24" s="1"/>
  <c r="AI205" i="23"/>
  <c r="AG205" i="23"/>
  <c r="BH204" i="23"/>
  <c r="AZ204" i="23"/>
  <c r="CA203" i="24" l="1"/>
  <c r="CD203" i="24"/>
  <c r="BX203" i="24"/>
  <c r="BI204" i="23"/>
  <c r="BJ204" i="23" s="1"/>
  <c r="BK204" i="23" s="1"/>
  <c r="CB204" i="24"/>
  <c r="CC204" i="24" s="1"/>
  <c r="BV204" i="24"/>
  <c r="BW204" i="24" s="1"/>
  <c r="BY204" i="24"/>
  <c r="BZ204" i="24" s="1"/>
  <c r="AJ205" i="23"/>
  <c r="AK205" i="23"/>
  <c r="AE206" i="23" s="1"/>
  <c r="AZ205" i="23"/>
  <c r="BH205" i="23" l="1"/>
  <c r="CA204" i="24"/>
  <c r="BX204" i="24"/>
  <c r="CD204" i="24"/>
  <c r="BI205" i="23"/>
  <c r="BJ205" i="23" s="1"/>
  <c r="BK205" i="23" s="1"/>
  <c r="BV205" i="24"/>
  <c r="BW205" i="24" s="1"/>
  <c r="CB205" i="24"/>
  <c r="CC205" i="24" s="1"/>
  <c r="BY205" i="24"/>
  <c r="BZ205" i="24" s="1"/>
  <c r="AI206" i="23"/>
  <c r="AK206" i="23" s="1"/>
  <c r="AE207" i="23" s="1"/>
  <c r="AG206" i="23"/>
  <c r="AJ206" i="23" s="1"/>
  <c r="CA205" i="24" l="1"/>
  <c r="BX205" i="24"/>
  <c r="AG207" i="23"/>
  <c r="AI207" i="23"/>
  <c r="AK207" i="23" s="1"/>
  <c r="AE208" i="23" s="1"/>
  <c r="CD205" i="24"/>
  <c r="AZ206" i="23"/>
  <c r="BH206" i="23"/>
  <c r="BI206" i="23" l="1"/>
  <c r="BJ206" i="23" s="1"/>
  <c r="BK206" i="23" s="1"/>
  <c r="BY206" i="24"/>
  <c r="BZ206" i="24" s="1"/>
  <c r="BV206" i="24"/>
  <c r="BW206" i="24" s="1"/>
  <c r="CB206" i="24"/>
  <c r="CC206" i="24" s="1"/>
  <c r="AI208" i="23"/>
  <c r="AG208" i="23"/>
  <c r="AZ207" i="23"/>
  <c r="BH207" i="23"/>
  <c r="AJ207" i="23"/>
  <c r="AJ208" i="23" l="1"/>
  <c r="BI207" i="23"/>
  <c r="BJ207" i="23" s="1"/>
  <c r="BK207" i="23" s="1"/>
  <c r="CB207" i="24"/>
  <c r="CC207" i="24" s="1"/>
  <c r="BY207" i="24"/>
  <c r="BZ207" i="24" s="1"/>
  <c r="BV207" i="24"/>
  <c r="BW207" i="24" s="1"/>
  <c r="AK208" i="23"/>
  <c r="AE209" i="23" s="1"/>
  <c r="AZ208" i="23"/>
  <c r="BH208" i="23"/>
  <c r="CD206" i="24"/>
  <c r="BX206" i="24"/>
  <c r="CA206" i="24"/>
  <c r="BX207" i="24" l="1"/>
  <c r="CD207" i="24"/>
  <c r="AI209" i="23"/>
  <c r="AG209" i="23"/>
  <c r="AJ209" i="23" s="1"/>
  <c r="CA207" i="24"/>
  <c r="BI208" i="23"/>
  <c r="BJ208" i="23" s="1"/>
  <c r="BK208" i="23" s="1"/>
  <c r="CB208" i="24"/>
  <c r="CC208" i="24" s="1"/>
  <c r="BV208" i="24"/>
  <c r="BW208" i="24" s="1"/>
  <c r="BY208" i="24"/>
  <c r="BZ208" i="24" s="1"/>
  <c r="BX208" i="24" l="1"/>
  <c r="AZ209" i="23"/>
  <c r="AK209" i="23"/>
  <c r="AE210" i="23" s="1"/>
  <c r="CA208" i="24"/>
  <c r="CD208" i="24"/>
  <c r="AI210" i="23" l="1"/>
  <c r="AG210" i="23"/>
  <c r="AJ210" i="23" s="1"/>
  <c r="AK210" i="23"/>
  <c r="AE211" i="23" s="1"/>
  <c r="BI209" i="23"/>
  <c r="BJ209" i="23" s="1"/>
  <c r="BK209" i="23" s="1"/>
  <c r="CB209" i="24"/>
  <c r="CC209" i="24" s="1"/>
  <c r="BY209" i="24"/>
  <c r="BZ209" i="24" s="1"/>
  <c r="BV209" i="24"/>
  <c r="BW209" i="24" s="1"/>
  <c r="BH209" i="23"/>
  <c r="CA209" i="24" l="1"/>
  <c r="CD209" i="24"/>
  <c r="AI211" i="23"/>
  <c r="AG211" i="23"/>
  <c r="AJ211" i="23" s="1"/>
  <c r="BX209" i="24"/>
  <c r="AZ210" i="23"/>
  <c r="BH210" i="23"/>
  <c r="BI210" i="23" l="1"/>
  <c r="BJ210" i="23" s="1"/>
  <c r="BK210" i="23" s="1"/>
  <c r="CB210" i="24"/>
  <c r="CC210" i="24" s="1"/>
  <c r="BY210" i="24"/>
  <c r="BZ210" i="24" s="1"/>
  <c r="BV210" i="24"/>
  <c r="BW210" i="24" s="1"/>
  <c r="AK211" i="23"/>
  <c r="AE212" i="23" s="1"/>
  <c r="AZ211" i="23"/>
  <c r="BH211" i="23"/>
  <c r="AI212" i="23" l="1"/>
  <c r="AG212" i="23"/>
  <c r="AJ212" i="23" s="1"/>
  <c r="CA210" i="24"/>
  <c r="BI211" i="23"/>
  <c r="BJ211" i="23" s="1"/>
  <c r="BK211" i="23" s="1"/>
  <c r="CB211" i="24"/>
  <c r="BY211" i="24"/>
  <c r="BZ211" i="24" s="1"/>
  <c r="BV211" i="24"/>
  <c r="BW211" i="24" s="1"/>
  <c r="CD210" i="24"/>
  <c r="CC211" i="24"/>
  <c r="BX210" i="24"/>
  <c r="BX211" i="24" l="1"/>
  <c r="CA211" i="24"/>
  <c r="CD211" i="24"/>
  <c r="AK212" i="23"/>
  <c r="AE213" i="23" s="1"/>
  <c r="AZ212" i="23"/>
  <c r="AI213" i="23" l="1"/>
  <c r="AG213" i="23"/>
  <c r="AJ213" i="23" s="1"/>
  <c r="BH212" i="23"/>
  <c r="BI212" i="23"/>
  <c r="BJ212" i="23" s="1"/>
  <c r="BK212" i="23" s="1"/>
  <c r="CB212" i="24"/>
  <c r="CC212" i="24" s="1"/>
  <c r="BV212" i="24"/>
  <c r="BW212" i="24" s="1"/>
  <c r="BY212" i="24"/>
  <c r="BZ212" i="24" s="1"/>
  <c r="CA212" i="24" l="1"/>
  <c r="BX212" i="24"/>
  <c r="CD212" i="24"/>
  <c r="AZ213" i="23"/>
  <c r="AK213" i="23"/>
  <c r="AE214" i="23" s="1"/>
  <c r="AI214" i="23" l="1"/>
  <c r="AG214" i="23"/>
  <c r="AJ214" i="23" s="1"/>
  <c r="BI213" i="23"/>
  <c r="BJ213" i="23" s="1"/>
  <c r="BK213" i="23" s="1"/>
  <c r="BY213" i="24"/>
  <c r="BZ213" i="24" s="1"/>
  <c r="BV213" i="24"/>
  <c r="BW213" i="24" s="1"/>
  <c r="CB213" i="24"/>
  <c r="CC213" i="24" s="1"/>
  <c r="BH213" i="23"/>
  <c r="CD213" i="24" l="1"/>
  <c r="BX213" i="24"/>
  <c r="CA213" i="24"/>
  <c r="AK214" i="23"/>
  <c r="AE215" i="23" s="1"/>
  <c r="AZ214" i="23"/>
  <c r="BH214" i="23"/>
  <c r="BI214" i="23" l="1"/>
  <c r="BJ214" i="23" s="1"/>
  <c r="BK214" i="23" s="1"/>
  <c r="CB214" i="24"/>
  <c r="CC214" i="24" s="1"/>
  <c r="BV214" i="24"/>
  <c r="BW214" i="24" s="1"/>
  <c r="BY214" i="24"/>
  <c r="BZ214" i="24" s="1"/>
  <c r="AI215" i="23"/>
  <c r="AG215" i="23"/>
  <c r="AJ215" i="23" s="1"/>
  <c r="AK215" i="23"/>
  <c r="AE216" i="23" s="1"/>
  <c r="BH215" i="23" l="1"/>
  <c r="AZ215" i="23"/>
  <c r="BX214" i="24"/>
  <c r="CD214" i="24"/>
  <c r="AI216" i="23"/>
  <c r="AG216" i="23"/>
  <c r="AJ216" i="23" s="1"/>
  <c r="AK216" i="23"/>
  <c r="AE217" i="23" s="1"/>
  <c r="CA214" i="24"/>
  <c r="AG217" i="23" l="1"/>
  <c r="AI217" i="23"/>
  <c r="AZ216" i="23"/>
  <c r="BH216" i="23"/>
  <c r="BI215" i="23"/>
  <c r="BJ215" i="23" s="1"/>
  <c r="BK215" i="23" s="1"/>
  <c r="BY215" i="24"/>
  <c r="BZ215" i="24" s="1"/>
  <c r="BV215" i="24"/>
  <c r="BW215" i="24" s="1"/>
  <c r="CB215" i="24"/>
  <c r="CC215" i="24" s="1"/>
  <c r="CD215" i="24" l="1"/>
  <c r="BX215" i="24"/>
  <c r="CA215" i="24"/>
  <c r="BI216" i="23"/>
  <c r="BJ216" i="23" s="1"/>
  <c r="BK216" i="23" s="1"/>
  <c r="BY216" i="24"/>
  <c r="BZ216" i="24" s="1"/>
  <c r="CB216" i="24"/>
  <c r="CC216" i="24" s="1"/>
  <c r="BV216" i="24"/>
  <c r="BW216" i="24" s="1"/>
  <c r="AZ217" i="23"/>
  <c r="AJ217" i="23"/>
  <c r="AK217" i="23"/>
  <c r="AE218" i="23" s="1"/>
  <c r="CD216" i="24" l="1"/>
  <c r="BX216" i="24"/>
  <c r="CA216" i="24"/>
  <c r="AI218" i="23"/>
  <c r="AK218" i="23" s="1"/>
  <c r="AE219" i="23" s="1"/>
  <c r="AG218" i="23"/>
  <c r="BI217" i="23"/>
  <c r="BJ217" i="23" s="1"/>
  <c r="BK217" i="23" s="1"/>
  <c r="BV217" i="24"/>
  <c r="BW217" i="24" s="1"/>
  <c r="BY217" i="24"/>
  <c r="BZ217" i="24" s="1"/>
  <c r="CB217" i="24"/>
  <c r="CC217" i="24" s="1"/>
  <c r="BH217" i="23"/>
  <c r="AJ218" i="23" l="1"/>
  <c r="CD217" i="24"/>
  <c r="AI219" i="23"/>
  <c r="AG219" i="23"/>
  <c r="AJ219" i="23" s="1"/>
  <c r="BX217" i="24"/>
  <c r="AZ218" i="23"/>
  <c r="BH218" i="23"/>
  <c r="CA217" i="24"/>
  <c r="AK219" i="23" l="1"/>
  <c r="AE220" i="23" s="1"/>
  <c r="AZ219" i="23"/>
  <c r="BI218" i="23"/>
  <c r="BJ218" i="23" s="1"/>
  <c r="BK218" i="23" s="1"/>
  <c r="CB218" i="24"/>
  <c r="CC218" i="24" s="1"/>
  <c r="BV218" i="24"/>
  <c r="BW218" i="24" s="1"/>
  <c r="BY218" i="24"/>
  <c r="BZ218" i="24" s="1"/>
  <c r="BH219" i="23" l="1"/>
  <c r="CD218" i="24"/>
  <c r="CA218" i="24"/>
  <c r="BX218" i="24"/>
  <c r="BI219" i="23"/>
  <c r="BJ219" i="23" s="1"/>
  <c r="BK219" i="23" s="1"/>
  <c r="CB219" i="24"/>
  <c r="CC219" i="24" s="1"/>
  <c r="BV219" i="24"/>
  <c r="BW219" i="24" s="1"/>
  <c r="BY219" i="24"/>
  <c r="BZ219" i="24" s="1"/>
  <c r="AG220" i="23"/>
  <c r="AI220" i="23"/>
  <c r="AK220" i="23" s="1"/>
  <c r="AE221" i="23" s="1"/>
  <c r="CA219" i="24" l="1"/>
  <c r="BX219" i="24"/>
  <c r="CD219" i="24"/>
  <c r="AG221" i="23"/>
  <c r="AI221" i="23"/>
  <c r="AK221" i="23" s="1"/>
  <c r="AE222" i="23" s="1"/>
  <c r="AZ220" i="23"/>
  <c r="BH220" i="23"/>
  <c r="AJ220" i="23"/>
  <c r="AI222" i="23" l="1"/>
  <c r="AG222" i="23"/>
  <c r="AJ222" i="23" s="1"/>
  <c r="AZ221" i="23"/>
  <c r="BH221" i="23"/>
  <c r="BI220" i="23"/>
  <c r="BJ220" i="23" s="1"/>
  <c r="BK220" i="23" s="1"/>
  <c r="BV220" i="24"/>
  <c r="BW220" i="24" s="1"/>
  <c r="CB220" i="24"/>
  <c r="CC220" i="24" s="1"/>
  <c r="BY220" i="24"/>
  <c r="BZ220" i="24" s="1"/>
  <c r="AJ221" i="23"/>
  <c r="CD220" i="24" l="1"/>
  <c r="CA220" i="24"/>
  <c r="BX220" i="24"/>
  <c r="BI221" i="23"/>
  <c r="BJ221" i="23" s="1"/>
  <c r="BK221" i="23" s="1"/>
  <c r="BV221" i="24"/>
  <c r="BW221" i="24" s="1"/>
  <c r="BY221" i="24"/>
  <c r="BZ221" i="24" s="1"/>
  <c r="CB221" i="24"/>
  <c r="CC221" i="24" s="1"/>
  <c r="AK222" i="23"/>
  <c r="AE223" i="23" s="1"/>
  <c r="BH222" i="23"/>
  <c r="AZ222" i="23"/>
  <c r="CD221" i="24" l="1"/>
  <c r="CA221" i="24"/>
  <c r="BX221" i="24"/>
  <c r="BI222" i="23"/>
  <c r="BJ222" i="23" s="1"/>
  <c r="BK222" i="23" s="1"/>
  <c r="BY222" i="24"/>
  <c r="BZ222" i="24" s="1"/>
  <c r="CB222" i="24"/>
  <c r="CC222" i="24" s="1"/>
  <c r="BV222" i="24"/>
  <c r="BW222" i="24" s="1"/>
  <c r="AI223" i="23"/>
  <c r="AK223" i="23" s="1"/>
  <c r="AE224" i="23" s="1"/>
  <c r="AG223" i="23"/>
  <c r="AJ223" i="23" l="1"/>
  <c r="CD222" i="24"/>
  <c r="CA222" i="24"/>
  <c r="BX222" i="24"/>
  <c r="AI224" i="23"/>
  <c r="AG224" i="23"/>
  <c r="AJ224" i="23" s="1"/>
  <c r="AK224" i="23"/>
  <c r="AE225" i="23" s="1"/>
  <c r="AZ223" i="23"/>
  <c r="BH223" i="23"/>
  <c r="BI223" i="23" l="1"/>
  <c r="BJ223" i="23" s="1"/>
  <c r="BK223" i="23" s="1"/>
  <c r="BV223" i="24"/>
  <c r="BW223" i="24" s="1"/>
  <c r="CB223" i="24"/>
  <c r="CC223" i="24" s="1"/>
  <c r="BY223" i="24"/>
  <c r="BZ223" i="24" s="1"/>
  <c r="AZ224" i="23"/>
  <c r="BH224" i="23"/>
  <c r="AI225" i="23"/>
  <c r="AK225" i="23" s="1"/>
  <c r="AE226" i="23" s="1"/>
  <c r="AG225" i="23"/>
  <c r="AG226" i="23" l="1"/>
  <c r="AI226" i="23"/>
  <c r="AZ225" i="23"/>
  <c r="BH225" i="23"/>
  <c r="BI224" i="23"/>
  <c r="BJ224" i="23" s="1"/>
  <c r="BK224" i="23" s="1"/>
  <c r="CB224" i="24"/>
  <c r="CC224" i="24" s="1"/>
  <c r="BV224" i="24"/>
  <c r="BW224" i="24" s="1"/>
  <c r="BY224" i="24"/>
  <c r="BZ224" i="24" s="1"/>
  <c r="CA223" i="24"/>
  <c r="AJ225" i="23"/>
  <c r="CD223" i="24"/>
  <c r="BX223" i="24"/>
  <c r="CA224" i="24" l="1"/>
  <c r="BX224" i="24"/>
  <c r="CD224" i="24"/>
  <c r="BI225" i="23"/>
  <c r="BJ225" i="23" s="1"/>
  <c r="BK225" i="23" s="1"/>
  <c r="CB225" i="24"/>
  <c r="CC225" i="24" s="1"/>
  <c r="BV225" i="24"/>
  <c r="BW225" i="24" s="1"/>
  <c r="BY225" i="24"/>
  <c r="BZ225" i="24" s="1"/>
  <c r="AK226" i="23"/>
  <c r="AE227" i="23" s="1"/>
  <c r="AZ226" i="23"/>
  <c r="AJ226" i="23"/>
  <c r="BH226" i="23" l="1"/>
  <c r="CA225" i="24"/>
  <c r="BX225" i="24"/>
  <c r="CD225" i="24"/>
  <c r="BI226" i="23"/>
  <c r="BJ226" i="23" s="1"/>
  <c r="BK226" i="23" s="1"/>
  <c r="CB226" i="24"/>
  <c r="CC226" i="24" s="1"/>
  <c r="BY226" i="24"/>
  <c r="BZ226" i="24" s="1"/>
  <c r="BV226" i="24"/>
  <c r="BW226" i="24" s="1"/>
  <c r="AI227" i="23"/>
  <c r="AK227" i="23" s="1"/>
  <c r="AE228" i="23" s="1"/>
  <c r="AG227" i="23"/>
  <c r="AI228" i="23" l="1"/>
  <c r="AK228" i="23"/>
  <c r="AE229" i="23" s="1"/>
  <c r="AG228" i="23"/>
  <c r="AJ228" i="23" s="1"/>
  <c r="BX226" i="24"/>
  <c r="CA226" i="24"/>
  <c r="CD226" i="24"/>
  <c r="AJ227" i="23"/>
  <c r="BH227" i="23"/>
  <c r="AZ227" i="23"/>
  <c r="BI227" i="23" l="1"/>
  <c r="BJ227" i="23" s="1"/>
  <c r="BK227" i="23" s="1"/>
  <c r="CB227" i="24"/>
  <c r="CC227" i="24" s="1"/>
  <c r="BY227" i="24"/>
  <c r="BZ227" i="24" s="1"/>
  <c r="BV227" i="24"/>
  <c r="BW227" i="24" s="1"/>
  <c r="AG229" i="23"/>
  <c r="AI229" i="23"/>
  <c r="AK229" i="23" s="1"/>
  <c r="AE230" i="23" s="1"/>
  <c r="BH228" i="23"/>
  <c r="AZ228" i="23"/>
  <c r="AI230" i="23" l="1"/>
  <c r="AG230" i="23"/>
  <c r="AJ230" i="23" s="1"/>
  <c r="AK230" i="23"/>
  <c r="AE231" i="23" s="1"/>
  <c r="CA227" i="24"/>
  <c r="BI228" i="23"/>
  <c r="BJ228" i="23" s="1"/>
  <c r="BK228" i="23" s="1"/>
  <c r="BY228" i="24"/>
  <c r="BZ228" i="24" s="1"/>
  <c r="BV228" i="24"/>
  <c r="BW228" i="24" s="1"/>
  <c r="CB228" i="24"/>
  <c r="CC228" i="24" s="1"/>
  <c r="AJ229" i="23"/>
  <c r="BX227" i="24"/>
  <c r="CD227" i="24"/>
  <c r="AZ229" i="23"/>
  <c r="BH229" i="23"/>
  <c r="BX228" i="24" l="1"/>
  <c r="CA228" i="24"/>
  <c r="AG231" i="23"/>
  <c r="AI231" i="23"/>
  <c r="BI229" i="23"/>
  <c r="BJ229" i="23" s="1"/>
  <c r="BK229" i="23" s="1"/>
  <c r="BY229" i="24"/>
  <c r="BZ229" i="24" s="1"/>
  <c r="CB229" i="24"/>
  <c r="CC229" i="24" s="1"/>
  <c r="BV229" i="24"/>
  <c r="BW229" i="24" s="1"/>
  <c r="CD228" i="24"/>
  <c r="AZ230" i="23"/>
  <c r="BH230" i="23"/>
  <c r="BX229" i="24" l="1"/>
  <c r="CA229" i="24"/>
  <c r="AJ231" i="23"/>
  <c r="AZ231" i="23"/>
  <c r="AK231" i="23"/>
  <c r="AE232" i="23" s="1"/>
  <c r="CD229" i="24"/>
  <c r="BI230" i="23"/>
  <c r="BJ230" i="23" s="1"/>
  <c r="BK230" i="23" s="1"/>
  <c r="BY230" i="24"/>
  <c r="BZ230" i="24" s="1"/>
  <c r="CB230" i="24"/>
  <c r="CC230" i="24" s="1"/>
  <c r="BV230" i="24"/>
  <c r="BW230" i="24" s="1"/>
  <c r="BX230" i="24" l="1"/>
  <c r="BI231" i="23"/>
  <c r="BJ231" i="23" s="1"/>
  <c r="BK231" i="23" s="1"/>
  <c r="BV231" i="24"/>
  <c r="BW231" i="24" s="1"/>
  <c r="CB231" i="24"/>
  <c r="BY231" i="24"/>
  <c r="BZ231" i="24" s="1"/>
  <c r="CC231" i="24"/>
  <c r="CD230" i="24"/>
  <c r="AI232" i="23"/>
  <c r="AG232" i="23"/>
  <c r="AJ232" i="23" s="1"/>
  <c r="BH231" i="23"/>
  <c r="CA230" i="24"/>
  <c r="CA231" i="24" l="1"/>
  <c r="BX231" i="24"/>
  <c r="AZ232" i="23"/>
  <c r="CD231" i="24"/>
  <c r="AK232" i="23"/>
  <c r="AE233" i="23" s="1"/>
  <c r="AI233" i="23" l="1"/>
  <c r="AK233" i="23"/>
  <c r="AE234" i="23" s="1"/>
  <c r="AG233" i="23"/>
  <c r="AJ233" i="23" s="1"/>
  <c r="BI232" i="23"/>
  <c r="BJ232" i="23" s="1"/>
  <c r="BK232" i="23" s="1"/>
  <c r="BY232" i="24"/>
  <c r="BZ232" i="24" s="1"/>
  <c r="CB232" i="24"/>
  <c r="CC232" i="24" s="1"/>
  <c r="BV232" i="24"/>
  <c r="BW232" i="24" s="1"/>
  <c r="BH232" i="23"/>
  <c r="BX232" i="24" l="1"/>
  <c r="AI234" i="23"/>
  <c r="AG234" i="23"/>
  <c r="AJ234" i="23" s="1"/>
  <c r="AK234" i="23"/>
  <c r="AE235" i="23" s="1"/>
  <c r="CD232" i="24"/>
  <c r="CA232" i="24"/>
  <c r="AZ233" i="23"/>
  <c r="BH233" i="23"/>
  <c r="BI233" i="23" l="1"/>
  <c r="BJ233" i="23" s="1"/>
  <c r="BK233" i="23" s="1"/>
  <c r="BV233" i="24"/>
  <c r="BW233" i="24" s="1"/>
  <c r="CB233" i="24"/>
  <c r="CC233" i="24" s="1"/>
  <c r="BY233" i="24"/>
  <c r="BZ233" i="24" s="1"/>
  <c r="AZ234" i="23"/>
  <c r="BH234" i="23"/>
  <c r="AI235" i="23"/>
  <c r="AK235" i="23"/>
  <c r="AE236" i="23" s="1"/>
  <c r="AG235" i="23"/>
  <c r="AJ235" i="23" s="1"/>
  <c r="AG236" i="23" l="1"/>
  <c r="AI236" i="23"/>
  <c r="BH235" i="23"/>
  <c r="AZ235" i="23"/>
  <c r="BI234" i="23"/>
  <c r="BJ234" i="23" s="1"/>
  <c r="BK234" i="23" s="1"/>
  <c r="BY234" i="24"/>
  <c r="BZ234" i="24" s="1"/>
  <c r="BV234" i="24"/>
  <c r="BW234" i="24" s="1"/>
  <c r="CB234" i="24"/>
  <c r="CC234" i="24" s="1"/>
  <c r="CA233" i="24"/>
  <c r="CD233" i="24"/>
  <c r="BX233" i="24"/>
  <c r="CD234" i="24" l="1"/>
  <c r="CA234" i="24"/>
  <c r="BI235" i="23"/>
  <c r="BJ235" i="23" s="1"/>
  <c r="BK235" i="23" s="1"/>
  <c r="CB235" i="24"/>
  <c r="CC235" i="24" s="1"/>
  <c r="BY235" i="24"/>
  <c r="BZ235" i="24" s="1"/>
  <c r="BV235" i="24"/>
  <c r="BW235" i="24" s="1"/>
  <c r="AZ236" i="23"/>
  <c r="AK236" i="23"/>
  <c r="AE237" i="23" s="1"/>
  <c r="BX234" i="24"/>
  <c r="AJ236" i="23"/>
  <c r="BH236" i="23" l="1"/>
  <c r="BX235" i="24"/>
  <c r="CA235" i="24"/>
  <c r="CD235" i="24"/>
  <c r="BI236" i="23"/>
  <c r="BJ236" i="23" s="1"/>
  <c r="BK236" i="23" s="1"/>
  <c r="CB236" i="24"/>
  <c r="CC236" i="24" s="1"/>
  <c r="BY236" i="24"/>
  <c r="BZ236" i="24" s="1"/>
  <c r="BV236" i="24"/>
  <c r="BW236" i="24" s="1"/>
  <c r="AI237" i="23"/>
  <c r="AK237" i="23" s="1"/>
  <c r="AE238" i="23" s="1"/>
  <c r="AG237" i="23"/>
  <c r="AJ237" i="23" l="1"/>
  <c r="BX236" i="24"/>
  <c r="CA236" i="24"/>
  <c r="CD236" i="24"/>
  <c r="AI238" i="23"/>
  <c r="AG238" i="23"/>
  <c r="AJ238" i="23" s="1"/>
  <c r="AK238" i="23"/>
  <c r="AE239" i="23" s="1"/>
  <c r="AZ237" i="23"/>
  <c r="BH237" i="23"/>
  <c r="BI237" i="23" l="1"/>
  <c r="BJ237" i="23" s="1"/>
  <c r="BK237" i="23" s="1"/>
  <c r="BY237" i="24"/>
  <c r="BZ237" i="24" s="1"/>
  <c r="CB237" i="24"/>
  <c r="CC237" i="24" s="1"/>
  <c r="BV237" i="24"/>
  <c r="BW237" i="24" s="1"/>
  <c r="AI239" i="23"/>
  <c r="AK239" i="23" s="1"/>
  <c r="AE240" i="23" s="1"/>
  <c r="AG239" i="23"/>
  <c r="AJ239" i="23" s="1"/>
  <c r="AZ238" i="23"/>
  <c r="BH238" i="23"/>
  <c r="BI238" i="23" l="1"/>
  <c r="BJ238" i="23" s="1"/>
  <c r="BK238" i="23" s="1"/>
  <c r="BV238" i="24"/>
  <c r="BW238" i="24" s="1"/>
  <c r="BY238" i="24"/>
  <c r="BZ238" i="24" s="1"/>
  <c r="CB238" i="24"/>
  <c r="CC238" i="24" s="1"/>
  <c r="AI240" i="23"/>
  <c r="AK240" i="23" s="1"/>
  <c r="AE241" i="23" s="1"/>
  <c r="AG240" i="23"/>
  <c r="AJ240" i="23" s="1"/>
  <c r="AZ239" i="23"/>
  <c r="BH239" i="23"/>
  <c r="CD237" i="24"/>
  <c r="BX237" i="24"/>
  <c r="CA237" i="24"/>
  <c r="CD238" i="24" l="1"/>
  <c r="BX238" i="24"/>
  <c r="BI239" i="23"/>
  <c r="BJ239" i="23" s="1"/>
  <c r="BK239" i="23" s="1"/>
  <c r="CB239" i="24"/>
  <c r="CC239" i="24" s="1"/>
  <c r="BY239" i="24"/>
  <c r="BZ239" i="24" s="1"/>
  <c r="BV239" i="24"/>
  <c r="BW239" i="24" s="1"/>
  <c r="AI241" i="23"/>
  <c r="AG241" i="23"/>
  <c r="AJ241" i="23" s="1"/>
  <c r="AZ240" i="23"/>
  <c r="BH240" i="23"/>
  <c r="CA238" i="24"/>
  <c r="BX239" i="24" l="1"/>
  <c r="CA239" i="24"/>
  <c r="CD239" i="24"/>
  <c r="AZ241" i="23"/>
  <c r="BI240" i="23"/>
  <c r="BJ240" i="23" s="1"/>
  <c r="BK240" i="23" s="1"/>
  <c r="BV240" i="24"/>
  <c r="BW240" i="24" s="1"/>
  <c r="BY240" i="24"/>
  <c r="BZ240" i="24" s="1"/>
  <c r="CB240" i="24"/>
  <c r="CC240" i="24" s="1"/>
  <c r="AK241" i="23"/>
  <c r="AE242" i="23" s="1"/>
  <c r="BH241" i="23" l="1"/>
  <c r="BX240" i="24"/>
  <c r="BI241" i="23"/>
  <c r="BJ241" i="23" s="1"/>
  <c r="BK241" i="23" s="1"/>
  <c r="BV241" i="24"/>
  <c r="BW241" i="24" s="1"/>
  <c r="CB241" i="24"/>
  <c r="BY241" i="24"/>
  <c r="BZ241" i="24" s="1"/>
  <c r="CD240" i="24"/>
  <c r="CC241" i="24"/>
  <c r="CA240" i="24"/>
  <c r="AI242" i="23"/>
  <c r="AK242" i="23" s="1"/>
  <c r="AE243" i="23" s="1"/>
  <c r="AG242" i="23"/>
  <c r="AI243" i="23" l="1"/>
  <c r="AG243" i="23"/>
  <c r="AJ243" i="23" s="1"/>
  <c r="AK243" i="23"/>
  <c r="AE244" i="23" s="1"/>
  <c r="CA241" i="24"/>
  <c r="BX241" i="24"/>
  <c r="CD241" i="24"/>
  <c r="AJ242" i="23"/>
  <c r="AZ242" i="23"/>
  <c r="BH242" i="23"/>
  <c r="AG244" i="23" l="1"/>
  <c r="AI244" i="23"/>
  <c r="BI242" i="23"/>
  <c r="BJ242" i="23" s="1"/>
  <c r="BK242" i="23" s="1"/>
  <c r="CB242" i="24"/>
  <c r="CC242" i="24" s="1"/>
  <c r="BV242" i="24"/>
  <c r="BW242" i="24" s="1"/>
  <c r="BY242" i="24"/>
  <c r="BZ242" i="24" s="1"/>
  <c r="AZ243" i="23"/>
  <c r="BH243" i="23"/>
  <c r="BI243" i="23" l="1"/>
  <c r="BJ243" i="23" s="1"/>
  <c r="BK243" i="23" s="1"/>
  <c r="BY243" i="24"/>
  <c r="BV243" i="24"/>
  <c r="BW243" i="24" s="1"/>
  <c r="CB243" i="24"/>
  <c r="CA242" i="24"/>
  <c r="BZ243" i="24"/>
  <c r="CC243" i="24"/>
  <c r="CD242" i="24"/>
  <c r="BH244" i="23"/>
  <c r="AZ244" i="23"/>
  <c r="AK244" i="23"/>
  <c r="AE245" i="23" s="1"/>
  <c r="BX242" i="24"/>
  <c r="AJ244" i="23"/>
  <c r="BI244" i="23" l="1"/>
  <c r="BJ244" i="23" s="1"/>
  <c r="BK244" i="23" s="1"/>
  <c r="BY244" i="24"/>
  <c r="BV244" i="24"/>
  <c r="CB244" i="24"/>
  <c r="CC244" i="24" s="1"/>
  <c r="CD243" i="24"/>
  <c r="BZ244" i="24"/>
  <c r="CA243" i="24"/>
  <c r="BX243" i="24"/>
  <c r="BW244" i="24"/>
  <c r="AG245" i="23"/>
  <c r="AJ245" i="23" s="1"/>
  <c r="AI245" i="23"/>
  <c r="AK245" i="23" s="1"/>
  <c r="AE246" i="23" s="1"/>
  <c r="CD244" i="24" l="1"/>
  <c r="BX244" i="24"/>
  <c r="CA244" i="24"/>
  <c r="AG246" i="23"/>
  <c r="AI246" i="23"/>
  <c r="AZ245" i="23"/>
  <c r="BH245" i="23"/>
  <c r="AZ246" i="23" l="1"/>
  <c r="BI245" i="23"/>
  <c r="BJ245" i="23" s="1"/>
  <c r="BK245" i="23" s="1"/>
  <c r="BV245" i="24"/>
  <c r="BW245" i="24" s="1"/>
  <c r="BY245" i="24"/>
  <c r="BZ245" i="24" s="1"/>
  <c r="CB245" i="24"/>
  <c r="CC245" i="24" s="1"/>
  <c r="AK246" i="23"/>
  <c r="AE247" i="23" s="1"/>
  <c r="AJ246" i="23"/>
  <c r="CD245" i="24" l="1"/>
  <c r="AG247" i="23"/>
  <c r="AI247" i="23"/>
  <c r="CA245" i="24"/>
  <c r="BX245" i="24"/>
  <c r="BW246" i="24"/>
  <c r="BH246" i="23"/>
  <c r="BI246" i="23"/>
  <c r="BJ246" i="23" s="1"/>
  <c r="BK246" i="23" s="1"/>
  <c r="CB246" i="24"/>
  <c r="CC246" i="24" s="1"/>
  <c r="BY246" i="24"/>
  <c r="BZ246" i="24" s="1"/>
  <c r="BV246" i="24"/>
  <c r="CD246" i="24" l="1"/>
  <c r="BX246" i="24"/>
  <c r="AJ247" i="23"/>
  <c r="AZ247" i="23"/>
  <c r="AK247" i="23"/>
  <c r="AE248" i="23" s="1"/>
  <c r="CA246" i="24"/>
  <c r="AI248" i="23" l="1"/>
  <c r="AG248" i="23"/>
  <c r="AJ248" i="23" s="1"/>
  <c r="AK248" i="23"/>
  <c r="AE249" i="23" s="1"/>
  <c r="BI247" i="23"/>
  <c r="BJ247" i="23" s="1"/>
  <c r="BK247" i="23" s="1"/>
  <c r="BV247" i="24"/>
  <c r="BW247" i="24" s="1"/>
  <c r="CB247" i="24"/>
  <c r="CC247" i="24" s="1"/>
  <c r="BY247" i="24"/>
  <c r="BZ247" i="24" s="1"/>
  <c r="BH247" i="23"/>
  <c r="CA247" i="24" l="1"/>
  <c r="BX247" i="24"/>
  <c r="CD247" i="24"/>
  <c r="AG249" i="23"/>
  <c r="AI249" i="23"/>
  <c r="AK249" i="23" s="1"/>
  <c r="AE250" i="23" s="1"/>
  <c r="AZ248" i="23"/>
  <c r="BH248" i="23"/>
  <c r="BI248" i="23" l="1"/>
  <c r="BJ248" i="23" s="1"/>
  <c r="BK248" i="23" s="1"/>
  <c r="BV248" i="24"/>
  <c r="BW248" i="24" s="1"/>
  <c r="CB248" i="24"/>
  <c r="CC248" i="24" s="1"/>
  <c r="BY248" i="24"/>
  <c r="BZ248" i="24" s="1"/>
  <c r="AI250" i="23"/>
  <c r="AK250" i="23" s="1"/>
  <c r="AE251" i="23" s="1"/>
  <c r="AG250" i="23"/>
  <c r="AJ249" i="23"/>
  <c r="AZ249" i="23"/>
  <c r="BH249" i="23"/>
  <c r="AJ250" i="23" l="1"/>
  <c r="CD248" i="24"/>
  <c r="BI249" i="23"/>
  <c r="BJ249" i="23" s="1"/>
  <c r="BK249" i="23" s="1"/>
  <c r="BV249" i="24"/>
  <c r="BW249" i="24" s="1"/>
  <c r="BY249" i="24"/>
  <c r="BZ249" i="24" s="1"/>
  <c r="CB249" i="24"/>
  <c r="CC249" i="24" s="1"/>
  <c r="AI251" i="23"/>
  <c r="AK251" i="23" s="1"/>
  <c r="AE252" i="23" s="1"/>
  <c r="AG251" i="23"/>
  <c r="AJ251" i="23" s="1"/>
  <c r="BX248" i="24"/>
  <c r="BH250" i="23"/>
  <c r="AZ250" i="23"/>
  <c r="CA248" i="24"/>
  <c r="CD249" i="24" l="1"/>
  <c r="CA249" i="24"/>
  <c r="BX249" i="24"/>
  <c r="AI252" i="23"/>
  <c r="AK252" i="23"/>
  <c r="AE253" i="23" s="1"/>
  <c r="AG252" i="23"/>
  <c r="AJ252" i="23" s="1"/>
  <c r="BH251" i="23"/>
  <c r="AZ251" i="23"/>
  <c r="BI250" i="23"/>
  <c r="BJ250" i="23" s="1"/>
  <c r="BK250" i="23" s="1"/>
  <c r="CB250" i="24"/>
  <c r="CC250" i="24" s="1"/>
  <c r="BV250" i="24"/>
  <c r="BW250" i="24" s="1"/>
  <c r="BY250" i="24"/>
  <c r="BZ250" i="24" s="1"/>
  <c r="CD250" i="24" l="1"/>
  <c r="CA250" i="24"/>
  <c r="BX250" i="24"/>
  <c r="AI253" i="23"/>
  <c r="AK253" i="23" s="1"/>
  <c r="AE254" i="23" s="1"/>
  <c r="AG253" i="23"/>
  <c r="AJ253" i="23" s="1"/>
  <c r="AZ252" i="23"/>
  <c r="BH252" i="23"/>
  <c r="BI251" i="23"/>
  <c r="BJ251" i="23" s="1"/>
  <c r="BK251" i="23" s="1"/>
  <c r="BV251" i="24"/>
  <c r="BW251" i="24" s="1"/>
  <c r="CB251" i="24"/>
  <c r="CC251" i="24" s="1"/>
  <c r="BY251" i="24"/>
  <c r="BZ251" i="24" s="1"/>
  <c r="BX251" i="24" l="1"/>
  <c r="AI254" i="23"/>
  <c r="AK254" i="23" s="1"/>
  <c r="AE255" i="23" s="1"/>
  <c r="AG254" i="23"/>
  <c r="AJ254" i="23" s="1"/>
  <c r="CA251" i="24"/>
  <c r="CD251" i="24"/>
  <c r="BI252" i="23"/>
  <c r="BJ252" i="23" s="1"/>
  <c r="BK252" i="23" s="1"/>
  <c r="CB252" i="24"/>
  <c r="CC252" i="24" s="1"/>
  <c r="BY252" i="24"/>
  <c r="BZ252" i="24" s="1"/>
  <c r="BV252" i="24"/>
  <c r="BW252" i="24" s="1"/>
  <c r="AZ253" i="23"/>
  <c r="BH253" i="23"/>
  <c r="BX252" i="24" l="1"/>
  <c r="CA252" i="24"/>
  <c r="AI255" i="23"/>
  <c r="AK255" i="23"/>
  <c r="AE256" i="23" s="1"/>
  <c r="AG255" i="23"/>
  <c r="AJ255" i="23" s="1"/>
  <c r="AZ254" i="23"/>
  <c r="BH254" i="23"/>
  <c r="BI253" i="23"/>
  <c r="BJ253" i="23" s="1"/>
  <c r="BK253" i="23" s="1"/>
  <c r="CB253" i="24"/>
  <c r="CC253" i="24" s="1"/>
  <c r="BY253" i="24"/>
  <c r="BZ253" i="24" s="1"/>
  <c r="BV253" i="24"/>
  <c r="BW253" i="24" s="1"/>
  <c r="CD252" i="24"/>
  <c r="BX253" i="24" l="1"/>
  <c r="CA253" i="24"/>
  <c r="AI256" i="23"/>
  <c r="AK256" i="23"/>
  <c r="AE257" i="23" s="1"/>
  <c r="AG256" i="23"/>
  <c r="AJ256" i="23" s="1"/>
  <c r="BH255" i="23"/>
  <c r="AZ255" i="23"/>
  <c r="BI254" i="23"/>
  <c r="BJ254" i="23" s="1"/>
  <c r="BK254" i="23" s="1"/>
  <c r="CB254" i="24"/>
  <c r="CC254" i="24" s="1"/>
  <c r="BV254" i="24"/>
  <c r="BW254" i="24" s="1"/>
  <c r="BY254" i="24"/>
  <c r="BZ254" i="24" s="1"/>
  <c r="CD253" i="24"/>
  <c r="BX254" i="24" l="1"/>
  <c r="CA254" i="24"/>
  <c r="BI255" i="23"/>
  <c r="BJ255" i="23" s="1"/>
  <c r="BK255" i="23" s="1"/>
  <c r="CB255" i="24"/>
  <c r="CC255" i="24" s="1"/>
  <c r="BV255" i="24"/>
  <c r="BW255" i="24" s="1"/>
  <c r="BY255" i="24"/>
  <c r="BZ255" i="24" s="1"/>
  <c r="AI257" i="23"/>
  <c r="AK257" i="23" s="1"/>
  <c r="AE258" i="23" s="1"/>
  <c r="AG257" i="23"/>
  <c r="CD254" i="24"/>
  <c r="AZ256" i="23"/>
  <c r="BH256" i="23"/>
  <c r="CA255" i="24" l="1"/>
  <c r="AI258" i="23"/>
  <c r="AG258" i="23"/>
  <c r="AJ258" i="23" s="1"/>
  <c r="AK258" i="23"/>
  <c r="AE259" i="23" s="1"/>
  <c r="CD255" i="24"/>
  <c r="BX255" i="24"/>
  <c r="AZ257" i="23"/>
  <c r="BH257" i="23"/>
  <c r="BI256" i="23"/>
  <c r="BJ256" i="23" s="1"/>
  <c r="BK256" i="23" s="1"/>
  <c r="CB256" i="24"/>
  <c r="CC256" i="24" s="1"/>
  <c r="BY256" i="24"/>
  <c r="BZ256" i="24" s="1"/>
  <c r="BV256" i="24"/>
  <c r="BW256" i="24" s="1"/>
  <c r="AJ257" i="23"/>
  <c r="CA256" i="24" l="1"/>
  <c r="BX256" i="24"/>
  <c r="BI257" i="23"/>
  <c r="BJ257" i="23" s="1"/>
  <c r="BK257" i="23" s="1"/>
  <c r="BV257" i="24"/>
  <c r="BW257" i="24" s="1"/>
  <c r="CB257" i="24"/>
  <c r="CC257" i="24" s="1"/>
  <c r="BY257" i="24"/>
  <c r="BZ257" i="24" s="1"/>
  <c r="AZ258" i="23"/>
  <c r="BH258" i="23"/>
  <c r="CD256" i="24"/>
  <c r="AG259" i="23"/>
  <c r="AI259" i="23"/>
  <c r="CD257" i="24" l="1"/>
  <c r="CA257" i="24"/>
  <c r="BX257" i="24"/>
  <c r="BI258" i="23"/>
  <c r="BJ258" i="23" s="1"/>
  <c r="BK258" i="23" s="1"/>
  <c r="BV258" i="24"/>
  <c r="BW258" i="24" s="1"/>
  <c r="CB258" i="24"/>
  <c r="CC258" i="24" s="1"/>
  <c r="BY258" i="24"/>
  <c r="BZ258" i="24" s="1"/>
  <c r="AZ259" i="23"/>
  <c r="AJ259" i="23"/>
  <c r="AK259" i="23"/>
  <c r="AE260" i="23" s="1"/>
  <c r="CA258" i="24" l="1"/>
  <c r="CD258" i="24"/>
  <c r="BX258" i="24"/>
  <c r="AI260" i="23"/>
  <c r="AK260" i="23"/>
  <c r="AE261" i="23" s="1"/>
  <c r="AG260" i="23"/>
  <c r="AJ260" i="23" s="1"/>
  <c r="BI259" i="23"/>
  <c r="BJ259" i="23" s="1"/>
  <c r="BK259" i="23" s="1"/>
  <c r="CB259" i="24"/>
  <c r="CC259" i="24" s="1"/>
  <c r="BY259" i="24"/>
  <c r="BZ259" i="24" s="1"/>
  <c r="BV259" i="24"/>
  <c r="BW259" i="24" s="1"/>
  <c r="BH259" i="23"/>
  <c r="CA259" i="24" l="1"/>
  <c r="AI261" i="23"/>
  <c r="AG261" i="23"/>
  <c r="AJ261" i="23" s="1"/>
  <c r="BH260" i="23"/>
  <c r="AZ260" i="23"/>
  <c r="BX259" i="24"/>
  <c r="CD259" i="24"/>
  <c r="BI260" i="23" l="1"/>
  <c r="BJ260" i="23" s="1"/>
  <c r="BK260" i="23" s="1"/>
  <c r="BY260" i="24"/>
  <c r="BZ260" i="24" s="1"/>
  <c r="BV260" i="24"/>
  <c r="BW260" i="24" s="1"/>
  <c r="CB260" i="24"/>
  <c r="CC260" i="24" s="1"/>
  <c r="AK261" i="23"/>
  <c r="AE262" i="23" s="1"/>
  <c r="BH261" i="23"/>
  <c r="AZ261" i="23"/>
  <c r="BI261" i="23" l="1"/>
  <c r="BJ261" i="23" s="1"/>
  <c r="BK261" i="23" s="1"/>
  <c r="BV261" i="24"/>
  <c r="CB261" i="24"/>
  <c r="BY261" i="24"/>
  <c r="CD260" i="24"/>
  <c r="CC261" i="24"/>
  <c r="BW261" i="24"/>
  <c r="BX260" i="24"/>
  <c r="BZ261" i="24"/>
  <c r="CA260" i="24"/>
  <c r="AI262" i="23"/>
  <c r="AK262" i="23" s="1"/>
  <c r="AE263" i="23" s="1"/>
  <c r="AG262" i="23"/>
  <c r="AG263" i="23" l="1"/>
  <c r="AI263" i="23"/>
  <c r="AK263" i="23" s="1"/>
  <c r="AE264" i="23" s="1"/>
  <c r="BX261" i="24"/>
  <c r="CD261" i="24"/>
  <c r="AJ262" i="23"/>
  <c r="CA261" i="24"/>
  <c r="BH262" i="23"/>
  <c r="AZ262" i="23"/>
  <c r="BI262" i="23" l="1"/>
  <c r="BJ262" i="23" s="1"/>
  <c r="BK262" i="23" s="1"/>
  <c r="CB262" i="24"/>
  <c r="CC262" i="24" s="1"/>
  <c r="BV262" i="24"/>
  <c r="BW262" i="24" s="1"/>
  <c r="BY262" i="24"/>
  <c r="BZ262" i="24" s="1"/>
  <c r="AZ263" i="23"/>
  <c r="BH263" i="23"/>
  <c r="AG264" i="23"/>
  <c r="AI264" i="23"/>
  <c r="AJ263" i="23"/>
  <c r="AK264" i="23" l="1"/>
  <c r="AE265" i="23" s="1"/>
  <c r="AZ264" i="23"/>
  <c r="BH264" i="23"/>
  <c r="AJ264" i="23"/>
  <c r="CA262" i="24"/>
  <c r="BX262" i="24"/>
  <c r="CD262" i="24"/>
  <c r="BI263" i="23"/>
  <c r="BJ263" i="23" s="1"/>
  <c r="BK263" i="23" s="1"/>
  <c r="CB263" i="24"/>
  <c r="CC263" i="24" s="1"/>
  <c r="BV263" i="24"/>
  <c r="BW263" i="24" s="1"/>
  <c r="BY263" i="24"/>
  <c r="BZ263" i="24" s="1"/>
  <c r="BX263" i="24" l="1"/>
  <c r="CA263" i="24"/>
  <c r="BI264" i="23"/>
  <c r="BJ264" i="23" s="1"/>
  <c r="BK264" i="23" s="1"/>
  <c r="BV264" i="24"/>
  <c r="BW264" i="24" s="1"/>
  <c r="BY264" i="24"/>
  <c r="BZ264" i="24" s="1"/>
  <c r="CB264" i="24"/>
  <c r="CD263" i="24"/>
  <c r="CC264" i="24"/>
  <c r="AI265" i="23"/>
  <c r="AK265" i="23" s="1"/>
  <c r="AE266" i="23" s="1"/>
  <c r="AG265" i="23"/>
  <c r="AJ265" i="23" l="1"/>
  <c r="CA264" i="24"/>
  <c r="BX264" i="24"/>
  <c r="CD264" i="24"/>
  <c r="AG266" i="23"/>
  <c r="AI266" i="23"/>
  <c r="AK266" i="23" s="1"/>
  <c r="AE267" i="23" s="1"/>
  <c r="AZ265" i="23"/>
  <c r="BH265" i="23"/>
  <c r="BI265" i="23" l="1"/>
  <c r="BJ265" i="23" s="1"/>
  <c r="BK265" i="23" s="1"/>
  <c r="CB265" i="24"/>
  <c r="CC265" i="24" s="1"/>
  <c r="BV265" i="24"/>
  <c r="BW265" i="24" s="1"/>
  <c r="BY265" i="24"/>
  <c r="BZ265" i="24" s="1"/>
  <c r="AI267" i="23"/>
  <c r="AK267" i="23" s="1"/>
  <c r="AE268" i="23" s="1"/>
  <c r="AG267" i="23"/>
  <c r="AJ267" i="23" s="1"/>
  <c r="AZ266" i="23"/>
  <c r="BH266" i="23"/>
  <c r="AJ266" i="23"/>
  <c r="BI266" i="23" l="1"/>
  <c r="BJ266" i="23" s="1"/>
  <c r="BK266" i="23" s="1"/>
  <c r="BV266" i="24"/>
  <c r="BY266" i="24"/>
  <c r="CB266" i="24"/>
  <c r="CC266" i="24" s="1"/>
  <c r="CA265" i="24"/>
  <c r="BZ266" i="24"/>
  <c r="AG268" i="23"/>
  <c r="AI268" i="23"/>
  <c r="AK268" i="23"/>
  <c r="AE269" i="23" s="1"/>
  <c r="BH267" i="23"/>
  <c r="AZ267" i="23"/>
  <c r="BW266" i="24"/>
  <c r="BX265" i="24"/>
  <c r="CD265" i="24"/>
  <c r="AG269" i="23" l="1"/>
  <c r="AI269" i="23"/>
  <c r="AK269" i="23"/>
  <c r="AE270" i="23" s="1"/>
  <c r="BH268" i="23"/>
  <c r="AZ268" i="23"/>
  <c r="CD266" i="24"/>
  <c r="CC267" i="24"/>
  <c r="BX266" i="24"/>
  <c r="AJ268" i="23"/>
  <c r="CA266" i="24"/>
  <c r="BI267" i="23"/>
  <c r="BJ267" i="23" s="1"/>
  <c r="BK267" i="23" s="1"/>
  <c r="CB267" i="24"/>
  <c r="BV267" i="24"/>
  <c r="BW267" i="24" s="1"/>
  <c r="BY267" i="24"/>
  <c r="BZ267" i="24" s="1"/>
  <c r="CA267" i="24" l="1"/>
  <c r="BX267" i="24"/>
  <c r="BI268" i="23"/>
  <c r="BJ268" i="23" s="1"/>
  <c r="BK268" i="23" s="1"/>
  <c r="BY268" i="24"/>
  <c r="BZ268" i="24" s="1"/>
  <c r="CB268" i="24"/>
  <c r="CC268" i="24" s="1"/>
  <c r="BV268" i="24"/>
  <c r="BW268" i="24" s="1"/>
  <c r="AI270" i="23"/>
  <c r="AG270" i="23"/>
  <c r="AZ269" i="23"/>
  <c r="BH269" i="23"/>
  <c r="CD267" i="24"/>
  <c r="AJ269" i="23"/>
  <c r="BX268" i="24" l="1"/>
  <c r="CD268" i="24"/>
  <c r="CA268" i="24"/>
  <c r="AJ270" i="23"/>
  <c r="BI269" i="23"/>
  <c r="BJ269" i="23" s="1"/>
  <c r="BK269" i="23" s="1"/>
  <c r="BV269" i="24"/>
  <c r="BW269" i="24" s="1"/>
  <c r="CB269" i="24"/>
  <c r="CC269" i="24" s="1"/>
  <c r="BY269" i="24"/>
  <c r="BZ269" i="24" s="1"/>
  <c r="AZ270" i="23"/>
  <c r="AK270" i="23"/>
  <c r="AE271" i="23" s="1"/>
  <c r="CD269" i="24" l="1"/>
  <c r="BX269" i="24"/>
  <c r="AI271" i="23"/>
  <c r="AK271" i="23"/>
  <c r="AE272" i="23" s="1"/>
  <c r="AG271" i="23"/>
  <c r="AJ271" i="23" s="1"/>
  <c r="BH270" i="23"/>
  <c r="CA269" i="24"/>
  <c r="BZ270" i="24"/>
  <c r="BI270" i="23"/>
  <c r="BJ270" i="23" s="1"/>
  <c r="BK270" i="23" s="1"/>
  <c r="CB270" i="24"/>
  <c r="CC270" i="24" s="1"/>
  <c r="BY270" i="24"/>
  <c r="BV270" i="24"/>
  <c r="BW270" i="24" s="1"/>
  <c r="CD270" i="24" l="1"/>
  <c r="BX270" i="24"/>
  <c r="CA270" i="24"/>
  <c r="AI272" i="23"/>
  <c r="AK272" i="23" s="1"/>
  <c r="AE273" i="23" s="1"/>
  <c r="AG272" i="23"/>
  <c r="BH271" i="23"/>
  <c r="AZ271" i="23"/>
  <c r="AJ272" i="23" l="1"/>
  <c r="AZ272" i="23"/>
  <c r="BH272" i="23"/>
  <c r="AI273" i="23"/>
  <c r="AG273" i="23"/>
  <c r="BI271" i="23"/>
  <c r="BJ271" i="23" s="1"/>
  <c r="BK271" i="23" s="1"/>
  <c r="BV271" i="24"/>
  <c r="BW271" i="24" s="1"/>
  <c r="BY271" i="24"/>
  <c r="BZ271" i="24" s="1"/>
  <c r="CB271" i="24"/>
  <c r="CC271" i="24" s="1"/>
  <c r="CD271" i="24" l="1"/>
  <c r="CA271" i="24"/>
  <c r="AJ273" i="23"/>
  <c r="AK273" i="23"/>
  <c r="AE274" i="23" s="1"/>
  <c r="AZ273" i="23"/>
  <c r="BH273" i="23"/>
  <c r="BX271" i="24"/>
  <c r="BW272" i="24"/>
  <c r="BI272" i="23"/>
  <c r="BJ272" i="23" s="1"/>
  <c r="BK272" i="23" s="1"/>
  <c r="CB272" i="24"/>
  <c r="CC272" i="24" s="1"/>
  <c r="BY272" i="24"/>
  <c r="BZ272" i="24" s="1"/>
  <c r="BV272" i="24"/>
  <c r="CD272" i="24" l="1"/>
  <c r="CA272" i="24"/>
  <c r="BX272" i="24"/>
  <c r="BI273" i="23"/>
  <c r="BJ273" i="23" s="1"/>
  <c r="BK273" i="23" s="1"/>
  <c r="BV273" i="24"/>
  <c r="BW273" i="24" s="1"/>
  <c r="BY273" i="24"/>
  <c r="BZ273" i="24" s="1"/>
  <c r="CB273" i="24"/>
  <c r="CC273" i="24" s="1"/>
  <c r="AI274" i="23"/>
  <c r="AK274" i="23" s="1"/>
  <c r="AE275" i="23" s="1"/>
  <c r="AG274" i="23"/>
  <c r="AJ274" i="23" s="1"/>
  <c r="AG275" i="23" l="1"/>
  <c r="AI275" i="23"/>
  <c r="AK275" i="23"/>
  <c r="AE276" i="23" s="1"/>
  <c r="CD273" i="24"/>
  <c r="CA273" i="24"/>
  <c r="BX273" i="24"/>
  <c r="AZ274" i="23"/>
  <c r="BH274" i="23"/>
  <c r="AZ275" i="23" l="1"/>
  <c r="BH275" i="23"/>
  <c r="BI274" i="23"/>
  <c r="BJ274" i="23" s="1"/>
  <c r="BK274" i="23" s="1"/>
  <c r="CB274" i="24"/>
  <c r="CC274" i="24" s="1"/>
  <c r="BY274" i="24"/>
  <c r="BZ274" i="24" s="1"/>
  <c r="BV274" i="24"/>
  <c r="BW274" i="24" s="1"/>
  <c r="AG276" i="23"/>
  <c r="AI276" i="23"/>
  <c r="AK276" i="23" s="1"/>
  <c r="AE277" i="23" s="1"/>
  <c r="AJ275" i="23"/>
  <c r="AI277" i="23" l="1"/>
  <c r="AK277" i="23"/>
  <c r="AE278" i="23" s="1"/>
  <c r="AG277" i="23"/>
  <c r="AJ277" i="23" s="1"/>
  <c r="AZ276" i="23"/>
  <c r="BH276" i="23"/>
  <c r="BX274" i="24"/>
  <c r="CC275" i="24"/>
  <c r="CD274" i="24"/>
  <c r="AJ276" i="23"/>
  <c r="CA274" i="24"/>
  <c r="BI275" i="23"/>
  <c r="BJ275" i="23" s="1"/>
  <c r="BK275" i="23" s="1"/>
  <c r="CB275" i="24"/>
  <c r="BV275" i="24"/>
  <c r="BW275" i="24" s="1"/>
  <c r="BY275" i="24"/>
  <c r="BZ275" i="24" s="1"/>
  <c r="CA275" i="24" l="1"/>
  <c r="BX275" i="24"/>
  <c r="CD275" i="24"/>
  <c r="AG278" i="23"/>
  <c r="AI278" i="23"/>
  <c r="AK278" i="23" s="1"/>
  <c r="AE279" i="23" s="1"/>
  <c r="BI276" i="23"/>
  <c r="BJ276" i="23" s="1"/>
  <c r="BK276" i="23" s="1"/>
  <c r="CB276" i="24"/>
  <c r="CC276" i="24" s="1"/>
  <c r="BV276" i="24"/>
  <c r="BW276" i="24" s="1"/>
  <c r="BY276" i="24"/>
  <c r="BZ276" i="24" s="1"/>
  <c r="BH277" i="23"/>
  <c r="AZ277" i="23"/>
  <c r="AI279" i="23" l="1"/>
  <c r="AG279" i="23"/>
  <c r="AJ279" i="23" s="1"/>
  <c r="CA276" i="24"/>
  <c r="AZ278" i="23"/>
  <c r="BH278" i="23"/>
  <c r="BX276" i="24"/>
  <c r="BW277" i="24"/>
  <c r="AJ278" i="23"/>
  <c r="CD276" i="24"/>
  <c r="BI277" i="23"/>
  <c r="BJ277" i="23" s="1"/>
  <c r="BK277" i="23" s="1"/>
  <c r="BY277" i="24"/>
  <c r="BZ277" i="24" s="1"/>
  <c r="BV277" i="24"/>
  <c r="CB277" i="24"/>
  <c r="CC277" i="24" s="1"/>
  <c r="CD277" i="24" l="1"/>
  <c r="CA277" i="24"/>
  <c r="BX277" i="24"/>
  <c r="BI278" i="23"/>
  <c r="BJ278" i="23" s="1"/>
  <c r="BK278" i="23" s="1"/>
  <c r="BY278" i="24"/>
  <c r="BZ278" i="24" s="1"/>
  <c r="BV278" i="24"/>
  <c r="BW278" i="24" s="1"/>
  <c r="CB278" i="24"/>
  <c r="CC278" i="24" s="1"/>
  <c r="AZ279" i="23"/>
  <c r="AK279" i="23"/>
  <c r="AE280" i="23" s="1"/>
  <c r="CD278" i="24" l="1"/>
  <c r="CA278" i="24"/>
  <c r="BX278" i="24"/>
  <c r="AG280" i="23"/>
  <c r="AI280" i="23"/>
  <c r="AK280" i="23" s="1"/>
  <c r="AE281" i="23" s="1"/>
  <c r="BH279" i="23"/>
  <c r="BI279" i="23"/>
  <c r="BJ279" i="23" s="1"/>
  <c r="BK279" i="23" s="1"/>
  <c r="CB279" i="24"/>
  <c r="CC279" i="24" s="1"/>
  <c r="BY279" i="24"/>
  <c r="BZ279" i="24" s="1"/>
  <c r="BV279" i="24"/>
  <c r="BW279" i="24" s="1"/>
  <c r="AJ280" i="23" l="1"/>
  <c r="CD279" i="24"/>
  <c r="AG281" i="23"/>
  <c r="AI281" i="23"/>
  <c r="AZ280" i="23"/>
  <c r="BH280" i="23"/>
  <c r="CA279" i="24"/>
  <c r="BX279" i="24"/>
  <c r="AZ281" i="23" l="1"/>
  <c r="AK281" i="23"/>
  <c r="AE282" i="23" s="1"/>
  <c r="AJ281" i="23"/>
  <c r="BI280" i="23"/>
  <c r="BJ280" i="23" s="1"/>
  <c r="BK280" i="23" s="1"/>
  <c r="BV280" i="24"/>
  <c r="BW280" i="24" s="1"/>
  <c r="CB280" i="24"/>
  <c r="CC280" i="24" s="1"/>
  <c r="BY280" i="24"/>
  <c r="BZ280" i="24" s="1"/>
  <c r="CA280" i="24" l="1"/>
  <c r="CD280" i="24"/>
  <c r="BX280" i="24"/>
  <c r="BI281" i="23"/>
  <c r="BJ281" i="23" s="1"/>
  <c r="BK281" i="23" s="1"/>
  <c r="BY281" i="24"/>
  <c r="BZ281" i="24" s="1"/>
  <c r="BV281" i="24"/>
  <c r="BW281" i="24" s="1"/>
  <c r="CB281" i="24"/>
  <c r="CC281" i="24" s="1"/>
  <c r="AI282" i="23"/>
  <c r="AG282" i="23"/>
  <c r="AJ282" i="23" s="1"/>
  <c r="AK282" i="23"/>
  <c r="AE283" i="23" s="1"/>
  <c r="BH281" i="23"/>
  <c r="CD281" i="24" l="1"/>
  <c r="CA281" i="24"/>
  <c r="BX281" i="24"/>
  <c r="AI283" i="23"/>
  <c r="AG283" i="23"/>
  <c r="AJ283" i="23" s="1"/>
  <c r="AK283" i="23"/>
  <c r="AE284" i="23" s="1"/>
  <c r="AZ282" i="23"/>
  <c r="BH282" i="23"/>
  <c r="BI282" i="23" l="1"/>
  <c r="BJ282" i="23" s="1"/>
  <c r="BK282" i="23" s="1"/>
  <c r="BY282" i="24"/>
  <c r="BZ282" i="24" s="1"/>
  <c r="BV282" i="24"/>
  <c r="BW282" i="24" s="1"/>
  <c r="CB282" i="24"/>
  <c r="CC282" i="24" s="1"/>
  <c r="AI284" i="23"/>
  <c r="AG284" i="23"/>
  <c r="AJ284" i="23" s="1"/>
  <c r="AK284" i="23"/>
  <c r="AE285" i="23" s="1"/>
  <c r="AZ283" i="23"/>
  <c r="BH283" i="23"/>
  <c r="AI285" i="23" l="1"/>
  <c r="AG285" i="23"/>
  <c r="AK285" i="23"/>
  <c r="AE286" i="23" s="1"/>
  <c r="AZ284" i="23"/>
  <c r="BH284" i="23"/>
  <c r="BX282" i="24"/>
  <c r="BI283" i="23"/>
  <c r="BJ283" i="23" s="1"/>
  <c r="BK283" i="23" s="1"/>
  <c r="BY283" i="24"/>
  <c r="BZ283" i="24" s="1"/>
  <c r="BV283" i="24"/>
  <c r="BW283" i="24" s="1"/>
  <c r="CB283" i="24"/>
  <c r="CC283" i="24" s="1"/>
  <c r="CD282" i="24"/>
  <c r="CA282" i="24"/>
  <c r="AJ285" i="23" l="1"/>
  <c r="BX283" i="24"/>
  <c r="CA283" i="24"/>
  <c r="BI284" i="23"/>
  <c r="BJ284" i="23" s="1"/>
  <c r="BK284" i="23" s="1"/>
  <c r="BY284" i="24"/>
  <c r="BZ284" i="24" s="1"/>
  <c r="CB284" i="24"/>
  <c r="CC284" i="24" s="1"/>
  <c r="BV284" i="24"/>
  <c r="BW284" i="24" s="1"/>
  <c r="AG286" i="23"/>
  <c r="AI286" i="23"/>
  <c r="AK286" i="23" s="1"/>
  <c r="AE287" i="23" s="1"/>
  <c r="CD283" i="24"/>
  <c r="AZ285" i="23"/>
  <c r="BH285" i="23"/>
  <c r="AJ286" i="23" l="1"/>
  <c r="BX284" i="24"/>
  <c r="CD284" i="24"/>
  <c r="CA284" i="24"/>
  <c r="AI287" i="23"/>
  <c r="AK287" i="23"/>
  <c r="AE288" i="23" s="1"/>
  <c r="AG287" i="23"/>
  <c r="AJ287" i="23" s="1"/>
  <c r="BI285" i="23"/>
  <c r="BJ285" i="23" s="1"/>
  <c r="BK285" i="23" s="1"/>
  <c r="BV285" i="24"/>
  <c r="BW285" i="24" s="1"/>
  <c r="BY285" i="24"/>
  <c r="BZ285" i="24" s="1"/>
  <c r="CB285" i="24"/>
  <c r="CC285" i="24" s="1"/>
  <c r="BH286" i="23"/>
  <c r="AZ286" i="23"/>
  <c r="BX285" i="24" l="1"/>
  <c r="AI288" i="23"/>
  <c r="AK288" i="23" s="1"/>
  <c r="AE289" i="23" s="1"/>
  <c r="AG288" i="23"/>
  <c r="AJ288" i="23" s="1"/>
  <c r="AZ287" i="23"/>
  <c r="BH287" i="23"/>
  <c r="CA285" i="24"/>
  <c r="BZ286" i="24"/>
  <c r="BI286" i="23"/>
  <c r="BJ286" i="23" s="1"/>
  <c r="BK286" i="23" s="1"/>
  <c r="BV286" i="24"/>
  <c r="BW286" i="24" s="1"/>
  <c r="CB286" i="24"/>
  <c r="CC286" i="24" s="1"/>
  <c r="BY286" i="24"/>
  <c r="CD285" i="24"/>
  <c r="BX286" i="24" l="1"/>
  <c r="AI289" i="23"/>
  <c r="AK289" i="23" s="1"/>
  <c r="AE290" i="23" s="1"/>
  <c r="AG289" i="23"/>
  <c r="BI287" i="23"/>
  <c r="BJ287" i="23" s="1"/>
  <c r="BK287" i="23" s="1"/>
  <c r="BY287" i="24"/>
  <c r="BZ287" i="24" s="1"/>
  <c r="BV287" i="24"/>
  <c r="BW287" i="24" s="1"/>
  <c r="CB287" i="24"/>
  <c r="CC287" i="24" s="1"/>
  <c r="CA286" i="24"/>
  <c r="CD286" i="24"/>
  <c r="BH288" i="23"/>
  <c r="AZ288" i="23"/>
  <c r="AJ289" i="23" l="1"/>
  <c r="CD287" i="24"/>
  <c r="BX287" i="24"/>
  <c r="CA287" i="24"/>
  <c r="AZ289" i="23"/>
  <c r="BH289" i="23"/>
  <c r="AI290" i="23"/>
  <c r="AG290" i="23"/>
  <c r="BI288" i="23"/>
  <c r="BJ288" i="23" s="1"/>
  <c r="BK288" i="23" s="1"/>
  <c r="CB288" i="24"/>
  <c r="CC288" i="24" s="1"/>
  <c r="BV288" i="24"/>
  <c r="BW288" i="24" s="1"/>
  <c r="BY288" i="24"/>
  <c r="BZ288" i="24" s="1"/>
  <c r="CD288" i="24" l="1"/>
  <c r="BX288" i="24"/>
  <c r="CA288" i="24"/>
  <c r="AJ290" i="23"/>
  <c r="AZ290" i="23"/>
  <c r="BI289" i="23"/>
  <c r="BJ289" i="23" s="1"/>
  <c r="BK289" i="23" s="1"/>
  <c r="BV289" i="24"/>
  <c r="BW289" i="24" s="1"/>
  <c r="CB289" i="24"/>
  <c r="CC289" i="24" s="1"/>
  <c r="BY289" i="24"/>
  <c r="BZ289" i="24" s="1"/>
  <c r="AK290" i="23"/>
  <c r="AE291" i="23" s="1"/>
  <c r="CD289" i="24" l="1"/>
  <c r="BH290" i="23"/>
  <c r="BI290" i="23"/>
  <c r="BJ290" i="23" s="1"/>
  <c r="BK290" i="23" s="1"/>
  <c r="CB290" i="24"/>
  <c r="CC290" i="24" s="1"/>
  <c r="BY290" i="24"/>
  <c r="BV290" i="24"/>
  <c r="CA289" i="24"/>
  <c r="BZ290" i="24"/>
  <c r="BW290" i="24"/>
  <c r="BX289" i="24"/>
  <c r="AI291" i="23"/>
  <c r="AK291" i="23" s="1"/>
  <c r="AE292" i="23" s="1"/>
  <c r="AG291" i="23"/>
  <c r="AJ291" i="23" l="1"/>
  <c r="CD290" i="24"/>
  <c r="AI292" i="23"/>
  <c r="AG292" i="23"/>
  <c r="AJ292" i="23" s="1"/>
  <c r="CA290" i="24"/>
  <c r="BX290" i="24"/>
  <c r="BH291" i="23"/>
  <c r="AZ291" i="23"/>
  <c r="AZ292" i="23" l="1"/>
  <c r="AK292" i="23"/>
  <c r="AE293" i="23" s="1"/>
  <c r="BI291" i="23"/>
  <c r="BJ291" i="23" s="1"/>
  <c r="BK291" i="23" s="1"/>
  <c r="BY291" i="24"/>
  <c r="BZ291" i="24" s="1"/>
  <c r="BV291" i="24"/>
  <c r="BW291" i="24" s="1"/>
  <c r="CB291" i="24"/>
  <c r="CC291" i="24" s="1"/>
  <c r="CA291" i="24" l="1"/>
  <c r="AI293" i="23"/>
  <c r="AG293" i="23"/>
  <c r="AJ293" i="23" s="1"/>
  <c r="AK293" i="23"/>
  <c r="AE294" i="23" s="1"/>
  <c r="BH292" i="23"/>
  <c r="CD291" i="24"/>
  <c r="BW292" i="24"/>
  <c r="BX291" i="24"/>
  <c r="BI292" i="23"/>
  <c r="BJ292" i="23" s="1"/>
  <c r="BK292" i="23" s="1"/>
  <c r="CB292" i="24"/>
  <c r="CC292" i="24" s="1"/>
  <c r="BV292" i="24"/>
  <c r="BY292" i="24"/>
  <c r="BZ292" i="24" s="1"/>
  <c r="CA292" i="24" l="1"/>
  <c r="BX292" i="24"/>
  <c r="AI294" i="23"/>
  <c r="AG294" i="23"/>
  <c r="AJ294" i="23" s="1"/>
  <c r="AK294" i="23"/>
  <c r="AE295" i="23" s="1"/>
  <c r="AZ293" i="23"/>
  <c r="BH293" i="23"/>
  <c r="CD292" i="24"/>
  <c r="BI293" i="23" l="1"/>
  <c r="BJ293" i="23" s="1"/>
  <c r="BK293" i="23" s="1"/>
  <c r="CB293" i="24"/>
  <c r="CC293" i="24" s="1"/>
  <c r="BY293" i="24"/>
  <c r="BZ293" i="24" s="1"/>
  <c r="BV293" i="24"/>
  <c r="BW293" i="24" s="1"/>
  <c r="AZ294" i="23"/>
  <c r="BH294" i="23"/>
  <c r="AG295" i="23"/>
  <c r="AI295" i="23"/>
  <c r="AK295" i="23" s="1"/>
  <c r="AE296" i="23" s="1"/>
  <c r="AG296" i="23" l="1"/>
  <c r="AI296" i="23"/>
  <c r="AK296" i="23"/>
  <c r="AE297" i="23" s="1"/>
  <c r="AJ295" i="23"/>
  <c r="BX293" i="24"/>
  <c r="BZ294" i="24"/>
  <c r="CA293" i="24"/>
  <c r="AZ295" i="23"/>
  <c r="BH295" i="23"/>
  <c r="BI294" i="23"/>
  <c r="BJ294" i="23" s="1"/>
  <c r="BK294" i="23" s="1"/>
  <c r="BY294" i="24"/>
  <c r="CB294" i="24"/>
  <c r="BV294" i="24"/>
  <c r="BW294" i="24" s="1"/>
  <c r="CD293" i="24"/>
  <c r="CC294" i="24"/>
  <c r="CA294" i="24" l="1"/>
  <c r="CD294" i="24"/>
  <c r="BX294" i="24"/>
  <c r="AI297" i="23"/>
  <c r="AG297" i="23"/>
  <c r="BH296" i="23"/>
  <c r="AZ296" i="23"/>
  <c r="BI295" i="23"/>
  <c r="BJ295" i="23" s="1"/>
  <c r="BK295" i="23" s="1"/>
  <c r="BY295" i="24"/>
  <c r="BZ295" i="24" s="1"/>
  <c r="BV295" i="24"/>
  <c r="BW295" i="24" s="1"/>
  <c r="CB295" i="24"/>
  <c r="CC295" i="24" s="1"/>
  <c r="AJ296" i="23"/>
  <c r="CA295" i="24" l="1"/>
  <c r="BI296" i="23"/>
  <c r="BJ296" i="23" s="1"/>
  <c r="BK296" i="23" s="1"/>
  <c r="CB296" i="24"/>
  <c r="CC296" i="24" s="1"/>
  <c r="BY296" i="24"/>
  <c r="BZ296" i="24" s="1"/>
  <c r="BV296" i="24"/>
  <c r="BW296" i="24" s="1"/>
  <c r="AJ297" i="23"/>
  <c r="AK297" i="23"/>
  <c r="AE298" i="23" s="1"/>
  <c r="AZ297" i="23"/>
  <c r="BX295" i="24"/>
  <c r="CD295" i="24"/>
  <c r="BH297" i="23" l="1"/>
  <c r="BX296" i="24"/>
  <c r="CA296" i="24"/>
  <c r="CD296" i="24"/>
  <c r="BI297" i="23"/>
  <c r="BJ297" i="23" s="1"/>
  <c r="BK297" i="23" s="1"/>
  <c r="BV297" i="24"/>
  <c r="BW297" i="24" s="1"/>
  <c r="CB297" i="24"/>
  <c r="CC297" i="24" s="1"/>
  <c r="BY297" i="24"/>
  <c r="BZ297" i="24" s="1"/>
  <c r="AI298" i="23"/>
  <c r="AK298" i="23" s="1"/>
  <c r="AE299" i="23" s="1"/>
  <c r="AG298" i="23"/>
  <c r="AJ298" i="23" l="1"/>
  <c r="CA297" i="24"/>
  <c r="CD297" i="24"/>
  <c r="BX297" i="24"/>
  <c r="AI299" i="23"/>
  <c r="AG299" i="23"/>
  <c r="AJ299" i="23" s="1"/>
  <c r="AK299" i="23"/>
  <c r="AE300" i="23" s="1"/>
  <c r="AZ298" i="23"/>
  <c r="BH298" i="23"/>
  <c r="BI298" i="23" l="1"/>
  <c r="BJ298" i="23" s="1"/>
  <c r="BK298" i="23" s="1"/>
  <c r="BV298" i="24"/>
  <c r="BW298" i="24" s="1"/>
  <c r="BY298" i="24"/>
  <c r="BZ298" i="24" s="1"/>
  <c r="CB298" i="24"/>
  <c r="CC298" i="24" s="1"/>
  <c r="AI300" i="23"/>
  <c r="AG300" i="23"/>
  <c r="AJ300" i="23" s="1"/>
  <c r="AK300" i="23"/>
  <c r="AE301" i="23" s="1"/>
  <c r="BH299" i="23"/>
  <c r="AZ299" i="23"/>
  <c r="AZ300" i="23" l="1"/>
  <c r="BH300" i="23"/>
  <c r="CD298" i="24"/>
  <c r="CA298" i="24"/>
  <c r="BX298" i="24"/>
  <c r="BI299" i="23"/>
  <c r="BJ299" i="23" s="1"/>
  <c r="BK299" i="23" s="1"/>
  <c r="CB299" i="24"/>
  <c r="CC299" i="24" s="1"/>
  <c r="BY299" i="24"/>
  <c r="BZ299" i="24" s="1"/>
  <c r="BV299" i="24"/>
  <c r="BW299" i="24" s="1"/>
  <c r="AI301" i="23"/>
  <c r="AK301" i="23" s="1"/>
  <c r="AE302" i="23" s="1"/>
  <c r="AG301" i="23"/>
  <c r="AJ301" i="23" l="1"/>
  <c r="CD299" i="24"/>
  <c r="AI302" i="23"/>
  <c r="AG302" i="23"/>
  <c r="AJ302" i="23" s="1"/>
  <c r="AK302" i="23"/>
  <c r="AE303" i="23" s="1"/>
  <c r="AZ301" i="23"/>
  <c r="BH301" i="23"/>
  <c r="BX299" i="24"/>
  <c r="CA299" i="24"/>
  <c r="BI300" i="23"/>
  <c r="BJ300" i="23" s="1"/>
  <c r="BK300" i="23" s="1"/>
  <c r="BV300" i="24"/>
  <c r="BW300" i="24" s="1"/>
  <c r="CB300" i="24"/>
  <c r="CC300" i="24" s="1"/>
  <c r="BY300" i="24"/>
  <c r="BZ300" i="24" s="1"/>
  <c r="CA300" i="24" l="1"/>
  <c r="CD300" i="24"/>
  <c r="BX300" i="24"/>
  <c r="AZ302" i="23"/>
  <c r="BH302" i="23"/>
  <c r="BI301" i="23"/>
  <c r="BJ301" i="23" s="1"/>
  <c r="BK301" i="23" s="1"/>
  <c r="BV301" i="24"/>
  <c r="BW301" i="24" s="1"/>
  <c r="BY301" i="24"/>
  <c r="BZ301" i="24" s="1"/>
  <c r="CB301" i="24"/>
  <c r="CC301" i="24" s="1"/>
  <c r="AI303" i="23"/>
  <c r="AK303" i="23" s="1"/>
  <c r="AE304" i="23" s="1"/>
  <c r="AG303" i="23"/>
  <c r="AJ303" i="23" l="1"/>
  <c r="CA301" i="24"/>
  <c r="BX301" i="24"/>
  <c r="CD301" i="24"/>
  <c r="AI304" i="23"/>
  <c r="AK304" i="23" s="1"/>
  <c r="AE305" i="23" s="1"/>
  <c r="AG304" i="23"/>
  <c r="AJ304" i="23" s="1"/>
  <c r="BH303" i="23"/>
  <c r="AZ303" i="23"/>
  <c r="BI302" i="23"/>
  <c r="BJ302" i="23" s="1"/>
  <c r="BK302" i="23" s="1"/>
  <c r="BV302" i="24"/>
  <c r="BW302" i="24" s="1"/>
  <c r="CB302" i="24"/>
  <c r="CC302" i="24" s="1"/>
  <c r="BY302" i="24"/>
  <c r="BZ302" i="24" s="1"/>
  <c r="CA302" i="24" l="1"/>
  <c r="BX302" i="24"/>
  <c r="AG305" i="23"/>
  <c r="AI305" i="23"/>
  <c r="AK305" i="23" s="1"/>
  <c r="AE306" i="23" s="1"/>
  <c r="AZ304" i="23"/>
  <c r="BH304" i="23"/>
  <c r="CD302" i="24"/>
  <c r="BI303" i="23"/>
  <c r="BJ303" i="23" s="1"/>
  <c r="BK303" i="23" s="1"/>
  <c r="CB303" i="24"/>
  <c r="CC303" i="24" s="1"/>
  <c r="BV303" i="24"/>
  <c r="BW303" i="24" s="1"/>
  <c r="BY303" i="24"/>
  <c r="BZ303" i="24" s="1"/>
  <c r="CD303" i="24" l="1"/>
  <c r="BX303" i="24"/>
  <c r="AG306" i="23"/>
  <c r="AI306" i="23"/>
  <c r="AK306" i="23" s="1"/>
  <c r="AE307" i="23" s="1"/>
  <c r="CA303" i="24"/>
  <c r="BI304" i="23"/>
  <c r="BJ304" i="23" s="1"/>
  <c r="BK304" i="23" s="1"/>
  <c r="BY304" i="24"/>
  <c r="BZ304" i="24" s="1"/>
  <c r="CB304" i="24"/>
  <c r="CC304" i="24" s="1"/>
  <c r="BV304" i="24"/>
  <c r="BW304" i="24" s="1"/>
  <c r="AJ305" i="23"/>
  <c r="AZ305" i="23"/>
  <c r="BH305" i="23"/>
  <c r="CD304" i="24" l="1"/>
  <c r="BX304" i="24"/>
  <c r="CA304" i="24"/>
  <c r="AZ306" i="23"/>
  <c r="BH306" i="23"/>
  <c r="BI305" i="23"/>
  <c r="BJ305" i="23" s="1"/>
  <c r="BK305" i="23" s="1"/>
  <c r="CB305" i="24"/>
  <c r="CC305" i="24" s="1"/>
  <c r="BY305" i="24"/>
  <c r="BZ305" i="24" s="1"/>
  <c r="BV305" i="24"/>
  <c r="BW305" i="24" s="1"/>
  <c r="AI307" i="23"/>
  <c r="AK307" i="23" s="1"/>
  <c r="AE308" i="23" s="1"/>
  <c r="AG307" i="23"/>
  <c r="AJ306" i="23"/>
  <c r="AJ307" i="23" l="1"/>
  <c r="CD305" i="24"/>
  <c r="BI306" i="23"/>
  <c r="BJ306" i="23" s="1"/>
  <c r="BK306" i="23" s="1"/>
  <c r="BV306" i="24"/>
  <c r="CB306" i="24"/>
  <c r="CC306" i="24" s="1"/>
  <c r="BY306" i="24"/>
  <c r="BZ306" i="24" s="1"/>
  <c r="CA305" i="24"/>
  <c r="BX305" i="24"/>
  <c r="BW306" i="24"/>
  <c r="AI308" i="23"/>
  <c r="AG308" i="23"/>
  <c r="BH307" i="23"/>
  <c r="AZ307" i="23"/>
  <c r="AJ308" i="23" l="1"/>
  <c r="CD306" i="24"/>
  <c r="BX306" i="24"/>
  <c r="CA306" i="24"/>
  <c r="BI307" i="23"/>
  <c r="BJ307" i="23" s="1"/>
  <c r="BK307" i="23" s="1"/>
  <c r="CB307" i="24"/>
  <c r="CC307" i="24" s="1"/>
  <c r="BV307" i="24"/>
  <c r="BW307" i="24" s="1"/>
  <c r="BY307" i="24"/>
  <c r="BZ307" i="24" s="1"/>
  <c r="AK308" i="23"/>
  <c r="AE309" i="23" s="1"/>
  <c r="BH308" i="23"/>
  <c r="AZ308" i="23"/>
  <c r="CA307" i="24" l="1"/>
  <c r="BX307" i="24"/>
  <c r="CD307" i="24"/>
  <c r="BI308" i="23"/>
  <c r="BJ308" i="23" s="1"/>
  <c r="BK308" i="23" s="1"/>
  <c r="BV308" i="24"/>
  <c r="BW308" i="24" s="1"/>
  <c r="BY308" i="24"/>
  <c r="BZ308" i="24" s="1"/>
  <c r="CB308" i="24"/>
  <c r="CC308" i="24" s="1"/>
  <c r="AI309" i="23"/>
  <c r="AK309" i="23" s="1"/>
  <c r="AE310" i="23" s="1"/>
  <c r="AG309" i="23"/>
  <c r="AI310" i="23" l="1"/>
  <c r="AK310" i="23"/>
  <c r="AE311" i="23" s="1"/>
  <c r="AG310" i="23"/>
  <c r="AJ310" i="23" s="1"/>
  <c r="CA308" i="24"/>
  <c r="BX308" i="24"/>
  <c r="AJ309" i="23"/>
  <c r="CD308" i="24"/>
  <c r="AZ309" i="23"/>
  <c r="BH309" i="23"/>
  <c r="AG311" i="23" l="1"/>
  <c r="AI311" i="23"/>
  <c r="AK311" i="23" s="1"/>
  <c r="AE312" i="23" s="1"/>
  <c r="BI309" i="23"/>
  <c r="BJ309" i="23" s="1"/>
  <c r="BK309" i="23" s="1"/>
  <c r="BY309" i="24"/>
  <c r="BZ309" i="24" s="1"/>
  <c r="BV309" i="24"/>
  <c r="BW309" i="24" s="1"/>
  <c r="CB309" i="24"/>
  <c r="CC309" i="24" s="1"/>
  <c r="BH310" i="23"/>
  <c r="AZ310" i="23"/>
  <c r="BX309" i="24" l="1"/>
  <c r="CD309" i="24"/>
  <c r="CA309" i="24"/>
  <c r="BI310" i="23"/>
  <c r="BJ310" i="23" s="1"/>
  <c r="BK310" i="23" s="1"/>
  <c r="CB310" i="24"/>
  <c r="CC310" i="24" s="1"/>
  <c r="BV310" i="24"/>
  <c r="BW310" i="24" s="1"/>
  <c r="BY310" i="24"/>
  <c r="BZ310" i="24" s="1"/>
  <c r="AG312" i="23"/>
  <c r="AI312" i="23"/>
  <c r="AK312" i="23" s="1"/>
  <c r="AE313" i="23" s="1"/>
  <c r="AZ311" i="23"/>
  <c r="BH311" i="23"/>
  <c r="AJ311" i="23"/>
  <c r="CA310" i="24" l="1"/>
  <c r="BX310" i="24"/>
  <c r="CD310" i="24"/>
  <c r="BI311" i="23"/>
  <c r="BJ311" i="23" s="1"/>
  <c r="BK311" i="23" s="1"/>
  <c r="BY311" i="24"/>
  <c r="BZ311" i="24" s="1"/>
  <c r="BV311" i="24"/>
  <c r="BW311" i="24" s="1"/>
  <c r="CB311" i="24"/>
  <c r="CC311" i="24" s="1"/>
  <c r="AI313" i="23"/>
  <c r="AK313" i="23" s="1"/>
  <c r="AE314" i="23" s="1"/>
  <c r="AG313" i="23"/>
  <c r="AJ313" i="23" s="1"/>
  <c r="AZ312" i="23"/>
  <c r="BH312" i="23"/>
  <c r="AJ312" i="23"/>
  <c r="AG314" i="23" l="1"/>
  <c r="AI314" i="23"/>
  <c r="AK314" i="23"/>
  <c r="AE315" i="23" s="1"/>
  <c r="CD311" i="24"/>
  <c r="CC312" i="24"/>
  <c r="BX311" i="24"/>
  <c r="BW312" i="24"/>
  <c r="BZ312" i="24"/>
  <c r="CA311" i="24"/>
  <c r="BI312" i="23"/>
  <c r="BJ312" i="23" s="1"/>
  <c r="BK312" i="23" s="1"/>
  <c r="BY312" i="24"/>
  <c r="CB312" i="24"/>
  <c r="BV312" i="24"/>
  <c r="AZ313" i="23"/>
  <c r="BH313" i="23"/>
  <c r="BX312" i="24" l="1"/>
  <c r="CA312" i="24"/>
  <c r="AI315" i="23"/>
  <c r="AG315" i="23"/>
  <c r="AJ315" i="23" s="1"/>
  <c r="AK315" i="23"/>
  <c r="AE316" i="23" s="1"/>
  <c r="AZ314" i="23"/>
  <c r="BH314" i="23"/>
  <c r="CC313" i="24"/>
  <c r="CD312" i="24"/>
  <c r="BI313" i="23"/>
  <c r="BJ313" i="23" s="1"/>
  <c r="BV313" i="24"/>
  <c r="BW313" i="24" s="1"/>
  <c r="BY313" i="24"/>
  <c r="BZ313" i="24" s="1"/>
  <c r="CB313" i="24"/>
  <c r="AJ314" i="23"/>
  <c r="CA313" i="24" l="1"/>
  <c r="BX313" i="24"/>
  <c r="BI314" i="23"/>
  <c r="BY314" i="24"/>
  <c r="BZ314" i="24" s="1"/>
  <c r="BV314" i="24"/>
  <c r="BW314" i="24" s="1"/>
  <c r="CB314" i="24"/>
  <c r="CC314" i="24" s="1"/>
  <c r="AZ315" i="23"/>
  <c r="BH315" i="23"/>
  <c r="CD313" i="24"/>
  <c r="AI316" i="23"/>
  <c r="AK316" i="23" s="1"/>
  <c r="AE317" i="23" s="1"/>
  <c r="AG316" i="23"/>
  <c r="BJ314" i="23"/>
  <c r="BK314" i="23" s="1"/>
  <c r="BK313" i="23"/>
  <c r="AJ316" i="23" l="1"/>
  <c r="BX314" i="24"/>
  <c r="CD314" i="24"/>
  <c r="CA314" i="24"/>
  <c r="AZ316" i="23"/>
  <c r="BH316" i="23"/>
  <c r="AI317" i="23"/>
  <c r="AK317" i="23" s="1"/>
  <c r="AE318" i="23" s="1"/>
  <c r="AG317" i="23"/>
  <c r="BI315" i="23"/>
  <c r="BJ315" i="23" s="1"/>
  <c r="BK315" i="23" s="1"/>
  <c r="CB315" i="24"/>
  <c r="CC315" i="24" s="1"/>
  <c r="BY315" i="24"/>
  <c r="BZ315" i="24" s="1"/>
  <c r="BV315" i="24"/>
  <c r="BW315" i="24" s="1"/>
  <c r="BX315" i="24" l="1"/>
  <c r="CA315" i="24"/>
  <c r="AG318" i="23"/>
  <c r="AI318" i="23"/>
  <c r="AK318" i="23" s="1"/>
  <c r="AE319" i="23" s="1"/>
  <c r="AZ317" i="23"/>
  <c r="BH317" i="23"/>
  <c r="BI316" i="23"/>
  <c r="BJ316" i="23" s="1"/>
  <c r="BK316" i="23" s="1"/>
  <c r="BY316" i="24"/>
  <c r="BZ316" i="24" s="1"/>
  <c r="BV316" i="24"/>
  <c r="BW316" i="24" s="1"/>
  <c r="CB316" i="24"/>
  <c r="CD315" i="24"/>
  <c r="CC316" i="24"/>
  <c r="AJ317" i="23"/>
  <c r="BX316" i="24" l="1"/>
  <c r="BI317" i="23"/>
  <c r="BJ317" i="23" s="1"/>
  <c r="BK317" i="23" s="1"/>
  <c r="BV317" i="24"/>
  <c r="BW317" i="24" s="1"/>
  <c r="CB317" i="24"/>
  <c r="BY317" i="24"/>
  <c r="BZ317" i="24" s="1"/>
  <c r="AZ318" i="23"/>
  <c r="BH318" i="23"/>
  <c r="CC317" i="24"/>
  <c r="CD316" i="24"/>
  <c r="AJ318" i="23"/>
  <c r="CA316" i="24"/>
  <c r="AI319" i="23"/>
  <c r="AK319" i="23" s="1"/>
  <c r="AE320" i="23" s="1"/>
  <c r="AG319" i="23"/>
  <c r="AJ319" i="23" l="1"/>
  <c r="CA317" i="24"/>
  <c r="BX317" i="24"/>
  <c r="CD317" i="24"/>
  <c r="BI318" i="23"/>
  <c r="BJ318" i="23" s="1"/>
  <c r="BK318" i="23" s="1"/>
  <c r="BY318" i="24"/>
  <c r="BZ318" i="24" s="1"/>
  <c r="BV318" i="24"/>
  <c r="BW318" i="24" s="1"/>
  <c r="CB318" i="24"/>
  <c r="CC318" i="24" s="1"/>
  <c r="AI320" i="23"/>
  <c r="AK320" i="23"/>
  <c r="AE321" i="23" s="1"/>
  <c r="AG320" i="23"/>
  <c r="AZ319" i="23"/>
  <c r="BH319" i="23"/>
  <c r="AJ320" i="23" l="1"/>
  <c r="CA318" i="24"/>
  <c r="CD318" i="24"/>
  <c r="BI319" i="23"/>
  <c r="BJ319" i="23" s="1"/>
  <c r="BK319" i="23" s="1"/>
  <c r="CB319" i="24"/>
  <c r="CC319" i="24" s="1"/>
  <c r="BY319" i="24"/>
  <c r="BZ319" i="24" s="1"/>
  <c r="BV319" i="24"/>
  <c r="BW319" i="24" s="1"/>
  <c r="AI321" i="23"/>
  <c r="AK321" i="23" s="1"/>
  <c r="AE322" i="23" s="1"/>
  <c r="AG321" i="23"/>
  <c r="BX318" i="24"/>
  <c r="BH320" i="23"/>
  <c r="AZ320" i="23"/>
  <c r="BX319" i="24" l="1"/>
  <c r="CA319" i="24"/>
  <c r="CD319" i="24"/>
  <c r="AI322" i="23"/>
  <c r="AK322" i="23" s="1"/>
  <c r="AE323" i="23" s="1"/>
  <c r="AG322" i="23"/>
  <c r="BH321" i="23"/>
  <c r="AZ321" i="23"/>
  <c r="BI320" i="23"/>
  <c r="BJ320" i="23" s="1"/>
  <c r="BK320" i="23" s="1"/>
  <c r="CB320" i="24"/>
  <c r="CC320" i="24" s="1"/>
  <c r="BV320" i="24"/>
  <c r="BW320" i="24" s="1"/>
  <c r="BY320" i="24"/>
  <c r="BZ320" i="24" s="1"/>
  <c r="AJ321" i="23"/>
  <c r="AI323" i="23" l="1"/>
  <c r="AG323" i="23"/>
  <c r="AJ323" i="23" s="1"/>
  <c r="CA320" i="24"/>
  <c r="BX320" i="24"/>
  <c r="AJ322" i="23"/>
  <c r="AZ322" i="23"/>
  <c r="BH322" i="23"/>
  <c r="CD320" i="24"/>
  <c r="BI321" i="23"/>
  <c r="BJ321" i="23" s="1"/>
  <c r="BK321" i="23" s="1"/>
  <c r="BV321" i="24"/>
  <c r="BW321" i="24" s="1"/>
  <c r="BY321" i="24"/>
  <c r="BZ321" i="24" s="1"/>
  <c r="CB321" i="24"/>
  <c r="CC321" i="24" s="1"/>
  <c r="CD321" i="24" l="1"/>
  <c r="CA321" i="24"/>
  <c r="BI322" i="23"/>
  <c r="BJ322" i="23" s="1"/>
  <c r="BK322" i="23" s="1"/>
  <c r="CB322" i="24"/>
  <c r="CC322" i="24" s="1"/>
  <c r="BV322" i="24"/>
  <c r="BW322" i="24" s="1"/>
  <c r="BY322" i="24"/>
  <c r="BZ322" i="24" s="1"/>
  <c r="BX321" i="24"/>
  <c r="AK323" i="23"/>
  <c r="AE324" i="23" s="1"/>
  <c r="AZ323" i="23"/>
  <c r="CD322" i="24" l="1"/>
  <c r="CA322" i="24"/>
  <c r="BX322" i="24"/>
  <c r="BI323" i="23"/>
  <c r="BJ323" i="23" s="1"/>
  <c r="BK323" i="23" s="1"/>
  <c r="BV323" i="24"/>
  <c r="BW323" i="24" s="1"/>
  <c r="BY323" i="24"/>
  <c r="BZ323" i="24" s="1"/>
  <c r="CB323" i="24"/>
  <c r="CC323" i="24" s="1"/>
  <c r="BH323" i="23"/>
  <c r="AI324" i="23"/>
  <c r="AK324" i="23" s="1"/>
  <c r="AE325" i="23" s="1"/>
  <c r="AG324" i="23"/>
  <c r="AJ324" i="23" l="1"/>
  <c r="CD323" i="24"/>
  <c r="CA323" i="24"/>
  <c r="BX323" i="24"/>
  <c r="AI325" i="23"/>
  <c r="AG325" i="23"/>
  <c r="AZ324" i="23"/>
  <c r="BH324" i="23"/>
  <c r="BI324" i="23" l="1"/>
  <c r="BJ324" i="23" s="1"/>
  <c r="BK324" i="23" s="1"/>
  <c r="CB324" i="24"/>
  <c r="CC324" i="24" s="1"/>
  <c r="BV324" i="24"/>
  <c r="BW324" i="24" s="1"/>
  <c r="BY324" i="24"/>
  <c r="BZ324" i="24" s="1"/>
  <c r="AZ325" i="23"/>
  <c r="AJ325" i="23"/>
  <c r="AK325" i="23"/>
  <c r="AE326" i="23" s="1"/>
  <c r="AI326" i="23" l="1"/>
  <c r="AG326" i="23"/>
  <c r="AJ326" i="23" s="1"/>
  <c r="AK326" i="23"/>
  <c r="AE327" i="23" s="1"/>
  <c r="BX324" i="24"/>
  <c r="BH325" i="23"/>
  <c r="BI325" i="23"/>
  <c r="BJ325" i="23" s="1"/>
  <c r="BK325" i="23" s="1"/>
  <c r="CB325" i="24"/>
  <c r="CC325" i="24" s="1"/>
  <c r="BV325" i="24"/>
  <c r="BW325" i="24" s="1"/>
  <c r="BY325" i="24"/>
  <c r="BZ325" i="24" s="1"/>
  <c r="CD324" i="24"/>
  <c r="CA324" i="24"/>
  <c r="CA325" i="24" l="1"/>
  <c r="BX325" i="24"/>
  <c r="CD325" i="24"/>
  <c r="AG327" i="23"/>
  <c r="AI327" i="23"/>
  <c r="AK327" i="23" s="1"/>
  <c r="AE328" i="23" s="1"/>
  <c r="BH326" i="23"/>
  <c r="AZ326" i="23"/>
  <c r="AI328" i="23" l="1"/>
  <c r="AG328" i="23"/>
  <c r="AJ328" i="23" s="1"/>
  <c r="AK328" i="23"/>
  <c r="AE329" i="23" s="1"/>
  <c r="AZ327" i="23"/>
  <c r="BH327" i="23"/>
  <c r="AJ327" i="23"/>
  <c r="BI326" i="23"/>
  <c r="BJ326" i="23" s="1"/>
  <c r="BK326" i="23" s="1"/>
  <c r="BY326" i="24"/>
  <c r="BZ326" i="24" s="1"/>
  <c r="BV326" i="24"/>
  <c r="BW326" i="24" s="1"/>
  <c r="CB326" i="24"/>
  <c r="CC326" i="24" s="1"/>
  <c r="CD326" i="24" l="1"/>
  <c r="BX326" i="24"/>
  <c r="CA326" i="24"/>
  <c r="BI327" i="23"/>
  <c r="BJ327" i="23" s="1"/>
  <c r="BK327" i="23" s="1"/>
  <c r="CB327" i="24"/>
  <c r="CC327" i="24" s="1"/>
  <c r="BV327" i="24"/>
  <c r="BW327" i="24" s="1"/>
  <c r="BY327" i="24"/>
  <c r="BZ327" i="24" s="1"/>
  <c r="AI329" i="23"/>
  <c r="AK329" i="23" s="1"/>
  <c r="AE330" i="23" s="1"/>
  <c r="AG329" i="23"/>
  <c r="AZ328" i="23"/>
  <c r="BH328" i="23"/>
  <c r="AJ329" i="23" l="1"/>
  <c r="CA327" i="24"/>
  <c r="BX327" i="24"/>
  <c r="CD327" i="24"/>
  <c r="BI328" i="23"/>
  <c r="BJ328" i="23" s="1"/>
  <c r="BK328" i="23" s="1"/>
  <c r="BV328" i="24"/>
  <c r="BW328" i="24" s="1"/>
  <c r="CB328" i="24"/>
  <c r="CC328" i="24" s="1"/>
  <c r="BY328" i="24"/>
  <c r="BZ328" i="24" s="1"/>
  <c r="AI330" i="23"/>
  <c r="AK330" i="23" s="1"/>
  <c r="AE331" i="23" s="1"/>
  <c r="AG330" i="23"/>
  <c r="AZ329" i="23"/>
  <c r="BH329" i="23"/>
  <c r="AJ330" i="23" l="1"/>
  <c r="CA328" i="24"/>
  <c r="CD328" i="24"/>
  <c r="BX328" i="24"/>
  <c r="BI329" i="23"/>
  <c r="BJ329" i="23" s="1"/>
  <c r="BK329" i="23" s="1"/>
  <c r="CB329" i="24"/>
  <c r="CC329" i="24" s="1"/>
  <c r="BY329" i="24"/>
  <c r="BZ329" i="24" s="1"/>
  <c r="BV329" i="24"/>
  <c r="BW329" i="24" s="1"/>
  <c r="AG331" i="23"/>
  <c r="AI331" i="23"/>
  <c r="AK331" i="23" s="1"/>
  <c r="AE332" i="23" s="1"/>
  <c r="AZ330" i="23"/>
  <c r="BH330" i="23"/>
  <c r="BX329" i="24" l="1"/>
  <c r="CA329" i="24"/>
  <c r="CD329" i="24"/>
  <c r="BI330" i="23"/>
  <c r="BJ330" i="23" s="1"/>
  <c r="BK330" i="23" s="1"/>
  <c r="CB330" i="24"/>
  <c r="CC330" i="24" s="1"/>
  <c r="BY330" i="24"/>
  <c r="BZ330" i="24" s="1"/>
  <c r="BV330" i="24"/>
  <c r="BW330" i="24" s="1"/>
  <c r="AI332" i="23"/>
  <c r="AK332" i="23" s="1"/>
  <c r="AE333" i="23" s="1"/>
  <c r="AG332" i="23"/>
  <c r="BH331" i="23"/>
  <c r="AZ331" i="23"/>
  <c r="AJ331" i="23"/>
  <c r="AJ332" i="23" l="1"/>
  <c r="BX330" i="24"/>
  <c r="CA330" i="24"/>
  <c r="CD330" i="24"/>
  <c r="BI331" i="23"/>
  <c r="BJ331" i="23" s="1"/>
  <c r="BK331" i="23" s="1"/>
  <c r="CB331" i="24"/>
  <c r="CC331" i="24" s="1"/>
  <c r="BY331" i="24"/>
  <c r="BZ331" i="24" s="1"/>
  <c r="BV331" i="24"/>
  <c r="BW331" i="24" s="1"/>
  <c r="AI333" i="23"/>
  <c r="AK333" i="23" s="1"/>
  <c r="AE334" i="23" s="1"/>
  <c r="AG333" i="23"/>
  <c r="AZ332" i="23"/>
  <c r="BH332" i="23"/>
  <c r="CA331" i="24" l="1"/>
  <c r="AI334" i="23"/>
  <c r="AK334" i="23" s="1"/>
  <c r="AE335" i="23" s="1"/>
  <c r="AG334" i="23"/>
  <c r="AJ334" i="23" s="1"/>
  <c r="BX331" i="24"/>
  <c r="CD331" i="24"/>
  <c r="AJ333" i="23"/>
  <c r="BI332" i="23"/>
  <c r="BJ332" i="23" s="1"/>
  <c r="BK332" i="23" s="1"/>
  <c r="BY332" i="24"/>
  <c r="BZ332" i="24" s="1"/>
  <c r="CB332" i="24"/>
  <c r="CC332" i="24" s="1"/>
  <c r="BV332" i="24"/>
  <c r="BW332" i="24" s="1"/>
  <c r="BH333" i="23"/>
  <c r="AZ333" i="23"/>
  <c r="CA332" i="24" l="1"/>
  <c r="BX332" i="24"/>
  <c r="BI333" i="23"/>
  <c r="BJ333" i="23" s="1"/>
  <c r="BK333" i="23" s="1"/>
  <c r="CB333" i="24"/>
  <c r="CC333" i="24" s="1"/>
  <c r="BY333" i="24"/>
  <c r="BZ333" i="24" s="1"/>
  <c r="BV333" i="24"/>
  <c r="BW333" i="24" s="1"/>
  <c r="AI335" i="23"/>
  <c r="AG335" i="23"/>
  <c r="BH334" i="23"/>
  <c r="AZ334" i="23"/>
  <c r="CD332" i="24"/>
  <c r="CA333" i="24" l="1"/>
  <c r="BX333" i="24"/>
  <c r="CD333" i="24"/>
  <c r="AJ335" i="23"/>
  <c r="BI334" i="23"/>
  <c r="BJ334" i="23" s="1"/>
  <c r="BK334" i="23" s="1"/>
  <c r="CB334" i="24"/>
  <c r="CC334" i="24" s="1"/>
  <c r="BV334" i="24"/>
  <c r="BW334" i="24" s="1"/>
  <c r="BY334" i="24"/>
  <c r="BZ334" i="24" s="1"/>
  <c r="AZ335" i="23"/>
  <c r="AK335" i="23"/>
  <c r="AE336" i="23" s="1"/>
  <c r="CA334" i="24" l="1"/>
  <c r="BX334" i="24"/>
  <c r="CD334" i="24"/>
  <c r="AI336" i="23"/>
  <c r="AG336" i="23"/>
  <c r="BH335" i="23"/>
  <c r="BI335" i="23"/>
  <c r="BJ335" i="23" s="1"/>
  <c r="BK335" i="23" s="1"/>
  <c r="BY335" i="24"/>
  <c r="BZ335" i="24" s="1"/>
  <c r="BV335" i="24"/>
  <c r="BW335" i="24" s="1"/>
  <c r="CB335" i="24"/>
  <c r="CC335" i="24" s="1"/>
  <c r="AZ336" i="23" l="1"/>
  <c r="BX335" i="24"/>
  <c r="AJ336" i="23"/>
  <c r="CD335" i="24"/>
  <c r="CA335" i="24"/>
  <c r="AK336" i="23"/>
  <c r="AE337" i="23" s="1"/>
  <c r="AI337" i="23" l="1"/>
  <c r="AG337" i="23"/>
  <c r="AJ337" i="23" s="1"/>
  <c r="AK337" i="23"/>
  <c r="AE338" i="23" s="1"/>
  <c r="BI336" i="23"/>
  <c r="BJ336" i="23" s="1"/>
  <c r="BK336" i="23" s="1"/>
  <c r="BV336" i="24"/>
  <c r="BW336" i="24" s="1"/>
  <c r="BY336" i="24"/>
  <c r="BZ336" i="24" s="1"/>
  <c r="CB336" i="24"/>
  <c r="CC336" i="24" s="1"/>
  <c r="BH336" i="23"/>
  <c r="CD336" i="24" l="1"/>
  <c r="CA336" i="24"/>
  <c r="BX336" i="24"/>
  <c r="AI338" i="23"/>
  <c r="AK338" i="23" s="1"/>
  <c r="AE339" i="23" s="1"/>
  <c r="AG338" i="23"/>
  <c r="AZ337" i="23"/>
  <c r="BH337" i="23"/>
  <c r="AJ338" i="23" l="1"/>
  <c r="AI339" i="23"/>
  <c r="AG339" i="23"/>
  <c r="AJ339" i="23" s="1"/>
  <c r="AK339" i="23"/>
  <c r="AE340" i="23" s="1"/>
  <c r="BI337" i="23"/>
  <c r="BJ337" i="23" s="1"/>
  <c r="BK337" i="23" s="1"/>
  <c r="BV337" i="24"/>
  <c r="BW337" i="24" s="1"/>
  <c r="CB337" i="24"/>
  <c r="CC337" i="24" s="1"/>
  <c r="BY337" i="24"/>
  <c r="BZ337" i="24" s="1"/>
  <c r="AZ338" i="23"/>
  <c r="BH338" i="23"/>
  <c r="CD337" i="24" l="1"/>
  <c r="BX337" i="24"/>
  <c r="BI338" i="23"/>
  <c r="BJ338" i="23" s="1"/>
  <c r="BK338" i="23" s="1"/>
  <c r="CB338" i="24"/>
  <c r="CC338" i="24" s="1"/>
  <c r="BV338" i="24"/>
  <c r="BW338" i="24" s="1"/>
  <c r="BY338" i="24"/>
  <c r="BZ338" i="24" s="1"/>
  <c r="AI340" i="23"/>
  <c r="AG340" i="23"/>
  <c r="CA337" i="24"/>
  <c r="AZ339" i="23"/>
  <c r="BH339" i="23"/>
  <c r="BX338" i="24" l="1"/>
  <c r="CA338" i="24"/>
  <c r="CD338" i="24"/>
  <c r="AJ340" i="23"/>
  <c r="BI339" i="23"/>
  <c r="BJ339" i="23" s="1"/>
  <c r="BK339" i="23" s="1"/>
  <c r="BY339" i="24"/>
  <c r="BZ339" i="24" s="1"/>
  <c r="BV339" i="24"/>
  <c r="BW339" i="24" s="1"/>
  <c r="CB339" i="24"/>
  <c r="CC339" i="24" s="1"/>
  <c r="AZ340" i="23"/>
  <c r="AK340" i="23"/>
  <c r="AE341" i="23" s="1"/>
  <c r="BX339" i="24" l="1"/>
  <c r="CA339" i="24"/>
  <c r="CD339" i="24"/>
  <c r="BH340" i="23"/>
  <c r="AI341" i="23"/>
  <c r="AK341" i="23" s="1"/>
  <c r="AE342" i="23" s="1"/>
  <c r="AG341" i="23"/>
  <c r="BI340" i="23"/>
  <c r="BJ340" i="23" s="1"/>
  <c r="BK340" i="23" s="1"/>
  <c r="BV340" i="24"/>
  <c r="BW340" i="24" s="1"/>
  <c r="CB340" i="24"/>
  <c r="CC340" i="24" s="1"/>
  <c r="BY340" i="24"/>
  <c r="BZ340" i="24" s="1"/>
  <c r="BX340" i="24" l="1"/>
  <c r="AI342" i="23"/>
  <c r="AK342" i="23" s="1"/>
  <c r="AE343" i="23" s="1"/>
  <c r="AG342" i="23"/>
  <c r="AJ342" i="23" s="1"/>
  <c r="CA340" i="24"/>
  <c r="AJ341" i="23"/>
  <c r="BH341" i="23"/>
  <c r="AZ341" i="23"/>
  <c r="CD340" i="24"/>
  <c r="BI341" i="23" l="1"/>
  <c r="BJ341" i="23" s="1"/>
  <c r="BK341" i="23" s="1"/>
  <c r="BV341" i="24"/>
  <c r="BW341" i="24" s="1"/>
  <c r="CB341" i="24"/>
  <c r="CC341" i="24" s="1"/>
  <c r="BY341" i="24"/>
  <c r="BZ341" i="24" s="1"/>
  <c r="AZ342" i="23"/>
  <c r="BH342" i="23"/>
  <c r="AI343" i="23"/>
  <c r="AG343" i="23"/>
  <c r="BI342" i="23" l="1"/>
  <c r="BJ342" i="23" s="1"/>
  <c r="BK342" i="23" s="1"/>
  <c r="BV342" i="24"/>
  <c r="BY342" i="24"/>
  <c r="BZ342" i="24" s="1"/>
  <c r="CB342" i="24"/>
  <c r="CC342" i="24" s="1"/>
  <c r="AZ343" i="23"/>
  <c r="CD341" i="24"/>
  <c r="BW342" i="24"/>
  <c r="BX341" i="24"/>
  <c r="AK343" i="23"/>
  <c r="AE344" i="23" s="1"/>
  <c r="AJ343" i="23"/>
  <c r="CA341" i="24"/>
  <c r="BH343" i="23" l="1"/>
  <c r="CA342" i="24"/>
  <c r="CD342" i="24"/>
  <c r="BX342" i="24"/>
  <c r="BI343" i="23"/>
  <c r="BJ343" i="23" s="1"/>
  <c r="BK343" i="23" s="1"/>
  <c r="CB343" i="24"/>
  <c r="CC343" i="24" s="1"/>
  <c r="BV343" i="24"/>
  <c r="BW343" i="24" s="1"/>
  <c r="BY343" i="24"/>
  <c r="BZ343" i="24" s="1"/>
  <c r="AI344" i="23"/>
  <c r="AK344" i="23" s="1"/>
  <c r="AE345" i="23" s="1"/>
  <c r="AG344" i="23"/>
  <c r="CA343" i="24" l="1"/>
  <c r="BX343" i="24"/>
  <c r="AI345" i="23"/>
  <c r="AK345" i="23" s="1"/>
  <c r="AE346" i="23" s="1"/>
  <c r="AG345" i="23"/>
  <c r="AJ345" i="23" s="1"/>
  <c r="CD343" i="24"/>
  <c r="AJ344" i="23"/>
  <c r="AZ344" i="23"/>
  <c r="BH344" i="23"/>
  <c r="AI346" i="23" l="1"/>
  <c r="AG346" i="23"/>
  <c r="AJ346" i="23" s="1"/>
  <c r="BH345" i="23"/>
  <c r="AZ345" i="23"/>
  <c r="BI344" i="23"/>
  <c r="BJ344" i="23" s="1"/>
  <c r="BK344" i="23" s="1"/>
  <c r="BY344" i="24"/>
  <c r="BZ344" i="24" s="1"/>
  <c r="CB344" i="24"/>
  <c r="CC344" i="24" s="1"/>
  <c r="BV344" i="24"/>
  <c r="BW344" i="24" s="1"/>
  <c r="BX344" i="24" l="1"/>
  <c r="CD344" i="24"/>
  <c r="CA344" i="24"/>
  <c r="BI345" i="23"/>
  <c r="BJ345" i="23" s="1"/>
  <c r="BK345" i="23" s="1"/>
  <c r="CB345" i="24"/>
  <c r="CC345" i="24" s="1"/>
  <c r="BV345" i="24"/>
  <c r="BW345" i="24" s="1"/>
  <c r="BY345" i="24"/>
  <c r="BZ345" i="24" s="1"/>
  <c r="AK346" i="23"/>
  <c r="AE347" i="23" s="1"/>
  <c r="BH346" i="23"/>
  <c r="AZ346" i="23"/>
  <c r="CA345" i="24" l="1"/>
  <c r="BX345" i="24"/>
  <c r="CD345" i="24"/>
  <c r="BI346" i="23"/>
  <c r="BJ346" i="23" s="1"/>
  <c r="BK346" i="23" s="1"/>
  <c r="BV346" i="24"/>
  <c r="BW346" i="24" s="1"/>
  <c r="CB346" i="24"/>
  <c r="CC346" i="24" s="1"/>
  <c r="BY346" i="24"/>
  <c r="BZ346" i="24" s="1"/>
  <c r="AI347" i="23"/>
  <c r="AG347" i="23"/>
  <c r="AK347" i="23"/>
  <c r="AE348" i="23" s="1"/>
  <c r="CA346" i="24" l="1"/>
  <c r="CD346" i="24"/>
  <c r="BX346" i="24"/>
  <c r="AI348" i="23"/>
  <c r="AG348" i="23"/>
  <c r="AK348" i="23"/>
  <c r="AE349" i="23" s="1"/>
  <c r="AJ347" i="23"/>
  <c r="AZ347" i="23"/>
  <c r="BH347" i="23"/>
  <c r="AI349" i="23" l="1"/>
  <c r="AG349" i="23"/>
  <c r="AJ349" i="23" s="1"/>
  <c r="AK349" i="23"/>
  <c r="AE350" i="23" s="1"/>
  <c r="AZ348" i="23"/>
  <c r="BH348" i="23"/>
  <c r="AJ348" i="23"/>
  <c r="BI347" i="23"/>
  <c r="BJ347" i="23" s="1"/>
  <c r="BK347" i="23" s="1"/>
  <c r="BV347" i="24"/>
  <c r="BW347" i="24" s="1"/>
  <c r="BY347" i="24"/>
  <c r="BZ347" i="24" s="1"/>
  <c r="CB347" i="24"/>
  <c r="CC347" i="24" s="1"/>
  <c r="BX347" i="24" l="1"/>
  <c r="CD347" i="24"/>
  <c r="CA347" i="24"/>
  <c r="AI350" i="23"/>
  <c r="AK350" i="23" s="1"/>
  <c r="AE351" i="23" s="1"/>
  <c r="AG350" i="23"/>
  <c r="BI348" i="23"/>
  <c r="BJ348" i="23" s="1"/>
  <c r="BK348" i="23" s="1"/>
  <c r="BY348" i="24"/>
  <c r="BZ348" i="24" s="1"/>
  <c r="BV348" i="24"/>
  <c r="BW348" i="24" s="1"/>
  <c r="CB348" i="24"/>
  <c r="CC348" i="24" s="1"/>
  <c r="AZ349" i="23"/>
  <c r="BH349" i="23"/>
  <c r="AJ350" i="23" l="1"/>
  <c r="BX348" i="24"/>
  <c r="CD348" i="24"/>
  <c r="AZ350" i="23"/>
  <c r="BH350" i="23"/>
  <c r="CA348" i="24"/>
  <c r="AI351" i="23"/>
  <c r="AG351" i="23"/>
  <c r="AJ351" i="23" s="1"/>
  <c r="BI349" i="23"/>
  <c r="BJ349" i="23" s="1"/>
  <c r="BK349" i="23" s="1"/>
  <c r="BY349" i="24"/>
  <c r="BZ349" i="24" s="1"/>
  <c r="CB349" i="24"/>
  <c r="CC349" i="24" s="1"/>
  <c r="BV349" i="24"/>
  <c r="BW349" i="24" s="1"/>
  <c r="BX349" i="24" l="1"/>
  <c r="CD349" i="24"/>
  <c r="AZ351" i="23"/>
  <c r="CA349" i="24"/>
  <c r="BI350" i="23"/>
  <c r="BJ350" i="23" s="1"/>
  <c r="BK350" i="23" s="1"/>
  <c r="CB350" i="24"/>
  <c r="CC350" i="24" s="1"/>
  <c r="BV350" i="24"/>
  <c r="BW350" i="24" s="1"/>
  <c r="BY350" i="24"/>
  <c r="BZ350" i="24" s="1"/>
  <c r="AK351" i="23"/>
  <c r="AE352" i="23" s="1"/>
  <c r="BH351" i="23" l="1"/>
  <c r="BX350" i="24"/>
  <c r="CD350" i="24"/>
  <c r="CA350" i="24"/>
  <c r="AI352" i="23"/>
  <c r="AK352" i="23" s="1"/>
  <c r="AE353" i="23" s="1"/>
  <c r="AG352" i="23"/>
  <c r="AJ352" i="23" s="1"/>
  <c r="BI351" i="23"/>
  <c r="BJ351" i="23" s="1"/>
  <c r="BK351" i="23" s="1"/>
  <c r="CB351" i="24"/>
  <c r="CC351" i="24" s="1"/>
  <c r="BY351" i="24"/>
  <c r="BZ351" i="24" s="1"/>
  <c r="BV351" i="24"/>
  <c r="BW351" i="24" s="1"/>
  <c r="BX351" i="24" l="1"/>
  <c r="CA351" i="24"/>
  <c r="AI353" i="23"/>
  <c r="AG353" i="23"/>
  <c r="AJ353" i="23" s="1"/>
  <c r="AK353" i="23"/>
  <c r="AE354" i="23" s="1"/>
  <c r="AZ352" i="23"/>
  <c r="BH352" i="23"/>
  <c r="CD351" i="24"/>
  <c r="BI352" i="23" l="1"/>
  <c r="BJ352" i="23" s="1"/>
  <c r="BK352" i="23" s="1"/>
  <c r="CB352" i="24"/>
  <c r="CC352" i="24" s="1"/>
  <c r="BV352" i="24"/>
  <c r="BW352" i="24" s="1"/>
  <c r="BY352" i="24"/>
  <c r="BZ352" i="24" s="1"/>
  <c r="AI354" i="23"/>
  <c r="AG354" i="23"/>
  <c r="AK354" i="23"/>
  <c r="AE355" i="23" s="1"/>
  <c r="AZ353" i="23"/>
  <c r="BH353" i="23"/>
  <c r="AJ354" i="23" l="1"/>
  <c r="CA352" i="24"/>
  <c r="BX352" i="24"/>
  <c r="CD352" i="24"/>
  <c r="BI353" i="23"/>
  <c r="BJ353" i="23" s="1"/>
  <c r="BK353" i="23" s="1"/>
  <c r="BV353" i="24"/>
  <c r="BW353" i="24" s="1"/>
  <c r="BY353" i="24"/>
  <c r="BZ353" i="24" s="1"/>
  <c r="CB353" i="24"/>
  <c r="CC353" i="24" s="1"/>
  <c r="AI355" i="23"/>
  <c r="AK355" i="23" s="1"/>
  <c r="AE356" i="23" s="1"/>
  <c r="AG355" i="23"/>
  <c r="AZ354" i="23"/>
  <c r="BH354" i="23"/>
  <c r="AJ355" i="23" l="1"/>
  <c r="CA353" i="24"/>
  <c r="BX353" i="24"/>
  <c r="BI354" i="23"/>
  <c r="BJ354" i="23" s="1"/>
  <c r="BK354" i="23" s="1"/>
  <c r="BY354" i="24"/>
  <c r="BZ354" i="24" s="1"/>
  <c r="CB354" i="24"/>
  <c r="CC354" i="24" s="1"/>
  <c r="BV354" i="24"/>
  <c r="BW354" i="24" s="1"/>
  <c r="AI356" i="23"/>
  <c r="AG356" i="23"/>
  <c r="BH355" i="23"/>
  <c r="AZ355" i="23"/>
  <c r="CD353" i="24"/>
  <c r="AJ356" i="23" l="1"/>
  <c r="BX354" i="24"/>
  <c r="CD354" i="24"/>
  <c r="CA354" i="24"/>
  <c r="AK356" i="23"/>
  <c r="AE357" i="23" s="1"/>
  <c r="BH356" i="23"/>
  <c r="AZ356" i="23"/>
  <c r="BI355" i="23"/>
  <c r="BJ355" i="23" s="1"/>
  <c r="BK355" i="23" s="1"/>
  <c r="CB355" i="24"/>
  <c r="CC355" i="24" s="1"/>
  <c r="BY355" i="24"/>
  <c r="BZ355" i="24" s="1"/>
  <c r="BV355" i="24"/>
  <c r="BW355" i="24" s="1"/>
  <c r="BX355" i="24" l="1"/>
  <c r="BI356" i="23"/>
  <c r="BJ356" i="23" s="1"/>
  <c r="BK356" i="23" s="1"/>
  <c r="CB356" i="24"/>
  <c r="CC356" i="24" s="1"/>
  <c r="BY356" i="24"/>
  <c r="BZ356" i="24" s="1"/>
  <c r="BV356" i="24"/>
  <c r="BW356" i="24" s="1"/>
  <c r="CD355" i="24"/>
  <c r="AI357" i="23"/>
  <c r="AG357" i="23"/>
  <c r="AJ357" i="23" s="1"/>
  <c r="CA355" i="24"/>
  <c r="BX356" i="24" l="1"/>
  <c r="CA356" i="24"/>
  <c r="CD356" i="24"/>
  <c r="AZ357" i="23"/>
  <c r="AK357" i="23"/>
  <c r="AE358" i="23" s="1"/>
  <c r="BH357" i="23" l="1"/>
  <c r="AG358" i="23"/>
  <c r="AI358" i="23"/>
  <c r="AK358" i="23"/>
  <c r="AE359" i="23" s="1"/>
  <c r="BI357" i="23"/>
  <c r="BJ357" i="23" s="1"/>
  <c r="BK357" i="23" s="1"/>
  <c r="CB357" i="24"/>
  <c r="CC357" i="24" s="1"/>
  <c r="BV357" i="24"/>
  <c r="BW357" i="24" s="1"/>
  <c r="BY357" i="24"/>
  <c r="BZ357" i="24" s="1"/>
  <c r="CA357" i="24" l="1"/>
  <c r="AI359" i="23"/>
  <c r="AG359" i="23"/>
  <c r="AJ359" i="23" s="1"/>
  <c r="AK359" i="23"/>
  <c r="AE360" i="23" s="1"/>
  <c r="AZ358" i="23"/>
  <c r="BH358" i="23"/>
  <c r="BX357" i="24"/>
  <c r="CD357" i="24"/>
  <c r="AJ358" i="23"/>
  <c r="AI360" i="23" l="1"/>
  <c r="AK360" i="23" s="1"/>
  <c r="AE361" i="23" s="1"/>
  <c r="AG360" i="23"/>
  <c r="BI358" i="23"/>
  <c r="BJ358" i="23" s="1"/>
  <c r="BK358" i="23" s="1"/>
  <c r="BY358" i="24"/>
  <c r="BZ358" i="24" s="1"/>
  <c r="BV358" i="24"/>
  <c r="BW358" i="24" s="1"/>
  <c r="CB358" i="24"/>
  <c r="CC358" i="24" s="1"/>
  <c r="AZ359" i="23"/>
  <c r="BH359" i="23"/>
  <c r="AI361" i="23" l="1"/>
  <c r="AK361" i="23"/>
  <c r="AE362" i="23" s="1"/>
  <c r="AG361" i="23"/>
  <c r="AJ361" i="23" s="1"/>
  <c r="BI359" i="23"/>
  <c r="BJ359" i="23" s="1"/>
  <c r="BK359" i="23" s="1"/>
  <c r="BV359" i="24"/>
  <c r="BW359" i="24" s="1"/>
  <c r="CB359" i="24"/>
  <c r="CC359" i="24" s="1"/>
  <c r="BY359" i="24"/>
  <c r="BZ359" i="24" s="1"/>
  <c r="AJ360" i="23"/>
  <c r="CD358" i="24"/>
  <c r="BX358" i="24"/>
  <c r="CA358" i="24"/>
  <c r="BH360" i="23"/>
  <c r="AZ360" i="23"/>
  <c r="BX359" i="24" l="1"/>
  <c r="CD359" i="24"/>
  <c r="BI360" i="23"/>
  <c r="BJ360" i="23" s="1"/>
  <c r="BK360" i="23" s="1"/>
  <c r="CB360" i="24"/>
  <c r="CC360" i="24" s="1"/>
  <c r="BV360" i="24"/>
  <c r="BW360" i="24" s="1"/>
  <c r="BY360" i="24"/>
  <c r="BZ360" i="24" s="1"/>
  <c r="CA359" i="24"/>
  <c r="AI362" i="23"/>
  <c r="AK362" i="23" s="1"/>
  <c r="AG362" i="23"/>
  <c r="BH361" i="23"/>
  <c r="AZ361" i="23"/>
  <c r="CA360" i="24" l="1"/>
  <c r="BX360" i="24"/>
  <c r="CD360" i="24"/>
  <c r="BI361" i="23"/>
  <c r="BJ361" i="23" s="1"/>
  <c r="BK361" i="23" s="1"/>
  <c r="BY361" i="24"/>
  <c r="BZ361" i="24" s="1"/>
  <c r="CA361" i="24" s="1"/>
  <c r="CB361" i="24"/>
  <c r="CC361" i="24" s="1"/>
  <c r="CD361" i="24" s="1"/>
  <c r="BV361" i="24"/>
  <c r="BW361" i="24" s="1"/>
  <c r="BX361" i="24" s="1"/>
  <c r="AJ362" i="23"/>
  <c r="AZ362" i="23"/>
  <c r="BH362" i="23"/>
  <c r="BI362" i="23" l="1"/>
  <c r="BJ362" i="23" s="1"/>
  <c r="BK362" i="23" s="1"/>
  <c r="CB362" i="24"/>
  <c r="CC362" i="24" s="1"/>
  <c r="CD362" i="24" s="1"/>
  <c r="BY362" i="24"/>
  <c r="BZ362" i="24" s="1"/>
  <c r="CA362" i="24" s="1"/>
  <c r="BV362" i="24"/>
  <c r="BW362" i="24" s="1"/>
  <c r="BX362" i="24" s="1"/>
  <c r="C21" i="22" l="1"/>
  <c r="M6" i="2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Дмитрий Пушин</author>
  </authors>
  <commentList>
    <comment ref="D5" authorId="0" shapeId="0" xr:uid="{FB1019FA-94AC-0B43-A4CA-1706D9A00CC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общую площадь помещения в квадратных метрах. Площадь используется для перевода ставок на 1 м² в месячные суммы аренды, коммунальных и эксплуатационных расходов. Значение должно быть больше нуля; без него основные расчёты объекта не сформируются.</t>
        </r>
      </text>
    </comment>
    <comment ref="D6" authorId="0" shapeId="0" xr:uid="{4645E0AA-F222-7B41-86C1-0FF8BB9C7BC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договорную стоимость всего помещения. Указывайте сумму в том формате НДС, который выбран в B7: с НДС или без НДС. Модель самостоятельно рассчитает стоимость без НДС, сумму НДС и стоимость с НДС в строках 17–19.</t>
        </r>
      </text>
    </comment>
    <comment ref="D7" authorId="0" shapeId="0" xr:uid="{1B9ACE0F-75A8-7140-8E7C-F1A0B706FD1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Выберите, как указана стоимость в B6.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• «С НДС» — введённая цена уже включает НДС; модель выделит из неё налог.
</t>
        </r>
        <r>
          <rPr>
            <sz val="10"/>
            <color rgb="FF000000"/>
            <rFont val="Tahoma"/>
            <family val="2"/>
            <charset val="204"/>
          </rPr>
          <t xml:space="preserve">• «Без НДС» — введённая цена является чистой стоимостью; модель начислит НДС сверху по ставке B8.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Выбор влияет на расчёт строк B17–B19.</t>
        </r>
      </text>
    </comment>
    <comment ref="D8" authorId="0" shapeId="0" xr:uid="{2EA1DB19-7AE8-CB4A-B848-6B7362B0F28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фактическую ставку НДС по договору покупки. Ставка используется для разложения цены B6 на стоимость без НДС и сумму НДС с учётом выбора в B7. Вводите значение в формате процента; при отсутствии НДС укажите 0%.</t>
        </r>
      </text>
    </comment>
    <comment ref="D9" authorId="0" shapeId="0" xr:uid="{EA2ECD82-3FE5-E64E-A09E-BC9FE9FF43A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дату покупки, подписания или регистрации сделки в соответствии с принятой методикой модели. Дата задаёт начало инвестиционного горизонта, используется как дата по умолчанию для отдельных расходов и участвует в расчёте даты продажи B91.</t>
        </r>
      </text>
    </comment>
    <comment ref="D10" authorId="0" shapeId="0" xr:uid="{FDE4D912-1422-B94C-98C5-99CA517A913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фактическую или ожидаемую дату передачи помещения и получения ключей. Дата используется в графике платежей и как дата по умолчанию для ремонта и начала операционных расходов, если специальные даты не указаны отдельно.</t>
        </r>
      </text>
    </comment>
    <comment ref="D11" authorId="0" shapeId="0" xr:uid="{7922E7F3-6B1F-A44A-A809-B77D75C21BB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общую сумму ремонта и подготовки помещения к аренде. Модель отражает её как единовременный денежный отток на расчётную дату ремонта B13. Сумма также учитывается как расход при расчёте налоговой базы продажи методом «С прибыли».</t>
        </r>
      </text>
    </comment>
    <comment ref="D12" authorId="0" shapeId="0" xr:uid="{661D44BF-ED4B-2E4F-B633-DF5169693DD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Необязательное поле. Укажите фактическую дату оплаты ремонта, если она отличается от даты передачи ключей. Если оставить ячейку пустой, модель использует дату передачи ключей B10; итоговая применяемая дата отображается в B13.</t>
        </r>
      </text>
    </comment>
    <comment ref="D13" authorId="0" shapeId="0" xr:uid="{9781B3D4-2B9F-3A45-8AB4-D04834587AB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Расчётное поле, вручную не заполняется. Показывает дату, на которую модель отнесёт единовременную оплату ремонта: дату из B12, а при её отсутствии — дату передачи ключей B10.</t>
        </r>
      </text>
    </comment>
    <comment ref="D14" authorId="0" shapeId="0" xr:uid="{DDF8A987-3B47-A247-9B45-F48B8D4B5DE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исходную ставку коммунальных расходов на 1 м² в месяц. Модель умножает её на площадь B5, применяет ежегодный рост B41 и учитывает порядок НДС, заданный в B43–B44.</t>
        </r>
      </text>
    </comment>
    <comment ref="D15" authorId="0" shapeId="0" xr:uid="{CA6696FF-F235-BA4E-BA28-D3A54D1BBA24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исходную ставку эксплуатационных расходов на 1 м² в месяц. Модель умножает её на площадь B5, применяет ежегодный рост B42 и учитывает порядок НДС, заданный в B43–B44.</t>
        </r>
      </text>
    </comment>
    <comment ref="D16" authorId="0" shapeId="0" xr:uid="{5109C79A-BF55-A744-948A-ECA4408B2D9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кадастровую стоимость объекта, используемую для налога на имущество. Ежемесячный налог рассчитывается с учётом коэффициента базы B68, годовой ставки B67 и даты начала начисления B69.</t>
        </r>
      </text>
    </comment>
    <comment ref="D17" authorId="0" shapeId="0" xr:uid="{DC59F617-FDDE-C442-8FCA-3E801ACC0AE4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Расчётное поле, вручную не изменяется. Стоимость покупки без НДС определяется из договорной цены B6, формата цены B7 и ставки НДС B8. Используется, в частности, как возможная база приобретения при расчёте налога с прибыли от продажи.</t>
        </r>
      </text>
    </comment>
    <comment ref="D18" authorId="0" shapeId="0" xr:uid="{53CFF4CB-F564-7441-BECA-3DBEFA99176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Расчётное поле, вручную не изменяется. Показывает сумму НДС в стоимости покупки, рассчитанную по B6–B8. Эта сумма используется при моделировании вычета входного НДС в блоке B61–B62.</t>
        </r>
      </text>
    </comment>
    <comment ref="D19" authorId="0" shapeId="0" xr:uid="{28315C10-1AB2-644A-B593-2AD8414A7E9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Расчётное поле, вручную не изменяется. Показывает полную стоимость покупки с НДС и должно согласовываться с общей суммой платежей по объекту. На эту сумму также рассчитывается комиссия посреднику при покупке B72.</t>
        </r>
      </text>
    </comment>
    <comment ref="D22" authorId="0" shapeId="0" xr:uid="{50A1887C-AF86-1646-B0E4-3B54439C2FF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Укажите, используется ли кредитное финансирование.
«Да» — модель формирует кредитный денежный поток, начисляет проценты и погашение долга по параметрам B23–B27.
«Нет» — кредитная часть расчёта не применяется, даже если отдельные кредитные параметры заполнены.</t>
        </r>
      </text>
    </comment>
    <comment ref="D23" authorId="0" shapeId="0" xr:uid="{038C47A0-805B-8C46-B39F-0C6B24BAB6C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сумму фактически привлекаемого кредита. Она должна согласовываться с кредитной частью графика платежей и не должна превышать финансируемую стоимость без экономического обоснования. При B22 = «Нет» параметр не используется.</t>
        </r>
      </text>
    </comment>
    <comment ref="D24" authorId="0" shapeId="0" xr:uid="{F7AD4895-CC8D-6645-879B-AA6BD75B7FD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номинальную годовую процентную ставку по кредиту. Проценты начисляются на непогашенный остаток долга пропорционально фактическому количеству дней по базе 365. Вводите ставку в формате процента.</t>
        </r>
      </text>
    </comment>
    <comment ref="D25" authorId="0" shapeId="0" xr:uid="{C533756B-5700-AA46-A239-8DBAC3608E7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срок кредита в полных месяцах. Срок определяет период погашения основного долга и должен помещаться в горизонт модели; при продаже до окончания кредита остаток задолженности продолжает влиять на итоговые денежные потоки.</t>
        </r>
      </text>
    </comment>
    <comment ref="D26" authorId="0" shapeId="0" xr:uid="{31485554-1701-3749-9AF3-B350E565DDF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фактическую дату выдачи кредита. С этой даты в модели возникает кредитный денежный приток, формируется остаток задолженности и начинается начисление процентов в соответствии с графиком.</t>
        </r>
      </text>
    </comment>
    <comment ref="D27" authorId="0" shapeId="0" xr:uid="{01EBDC4A-BA1A-2F4E-897F-125E2B77FDA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Аннуитетный платёж — одинаковая общая сумма платежа каждый период: вначале в ней больше процентов и меньше погашения основного долга, затем доля процентов снижается, а основного долга растёт.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Погашение равными долями — основная сумма долга погашается одинаковыми частями, а проценты начисляются на уменьшающийся остаток. Поэтому общий платёж постепенно снижается; первые платежи обычно выше, чем при аннуитетной схеме.</t>
        </r>
      </text>
    </comment>
    <comment ref="D30" authorId="0" shapeId="0" xr:uid="{1DD1D234-4D81-914F-BE3E-C957BE2700F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дату начала начисления аренды. В первом месяце арендная плата рассчитывается пропорционально фактическому количеству дней аренды; последующие месяцы учитываются полностью с учётом каникул и простоя.</t>
        </r>
      </text>
    </comment>
    <comment ref="D31" authorId="0" shapeId="0" xr:uid="{04B5E246-D55B-354A-B253-F5066CFA567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базовую месячную ставку аренды за 1 м² для первого года аренды. Ставка указывается без НДС, умножается на площадь B5 и корректируется на арендные каникулы, простой и неполный первый месяц.</t>
        </r>
      </text>
    </comment>
    <comment ref="D32" authorId="0" shapeId="0" xr:uid="{F823D94C-EB86-7549-8762-D15A91378A0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месячную ставку аренды за 1 м² для второго года аренды, без НДС. Значение применяется после завершения первого года аренды и до перехода к ставке третьего года.</t>
        </r>
      </text>
    </comment>
    <comment ref="D33" authorId="0" shapeId="0" xr:uid="{DA24BE4A-3249-1948-915E-23E3A85D422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месячную ставку аренды за 1 м² для третьего года аренды, без НДС. После окончания третьего года дальнейшая ставка формируется индексацией этой ставки по параметру B34.</t>
        </r>
      </text>
    </comment>
    <comment ref="D34" authorId="0" shapeId="0" xr:uid="{D1E98A07-4AA1-6346-9854-CD31022ADE7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годовой процент индексации аренды после третьего года. Каждый следующий год ставка увеличивается относительно ставки предыдущего года. Например, 5% означает умножение предыдущей ставки на 1,05.</t>
        </r>
      </text>
    </comment>
    <comment ref="D35" authorId="0" shapeId="0" xr:uid="{CB00F4C5-5742-114E-AEDF-862387C19A4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Укажите, компенсирует ли арендатор коммунальные расходы.
«Да» — компенсация отражается отдельным доходным потоком, при этом сами коммунальные расходы продолжают показываться отдельно.
«Нет» — расходы несёт собственник без компенсации арендатором.</t>
        </r>
      </text>
    </comment>
    <comment ref="D36" authorId="0" shapeId="0" xr:uid="{FCBD1ABD-6D26-9B43-BB55-DAE6AC610AD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Укажите, компенсирует ли арендатор эксплуатационные расходы.
«Да» — компенсация отражается отдельным доходным потоком, а эксплуатационные расходы остаются в расходной части.
«Нет» — расходы полностью относятся на собственника.</t>
        </r>
      </text>
    </comment>
    <comment ref="D37" authorId="0" shapeId="0" xr:uid="{A45D65FA-5211-8346-A79B-2BC049FC36B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продолжительность арендных каникул в месяцах с даты начала аренды. В течение этого периода базовая арендная плата принимается равной нулю. После окончания каникул расчёт возобновляется с учётом ставки аренды и простоя.</t>
        </r>
      </text>
    </comment>
    <comment ref="D38" authorId="0" shapeId="0" xr:uid="{30C7AEA1-D7DC-2B4F-A93D-BA3FE6A0B37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устойчивую долю простоя после окончания арендных каникул. Показатель уменьшает потенциальную арендную выручку: 0% означает отсутствие простоя, 10% — получение 90% потенциальной аренды, 100% — отсутствие арендной выручки.</t>
        </r>
      </text>
    </comment>
    <comment ref="D41" authorId="0" shapeId="0" xr:uid="{6E0AED96-D98E-1245-A04E-6059FE20DD4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годовой темп роста коммунальных расходов. Индексация применяется к исходной ставке B14 и увеличивает будущие расходы. Значение вводится в формате процента; 0% означает постоянную ставку.</t>
        </r>
      </text>
    </comment>
    <comment ref="D42" authorId="0" shapeId="0" xr:uid="{23C039CB-3FC3-274D-A886-B84AABDA2D1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годовой темп роста эксплуатационных расходов. Индексация применяется к исходной ставке B15 независимо от роста коммунальных и прочих расходов. Значение вводится в формате процента.</t>
        </r>
      </text>
    </comment>
    <comment ref="D43" authorId="0" shapeId="0" xr:uid="{02DEA15B-69BD-2843-B202-7D27448A5AF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Выберите, включён ли НДС в ставки расходов B14–B15.
• «С НДС» — введённые ставки являются валовыми; модель выделяет из них входной НДС.
• «Без НДС» — ставки являются чистыми; НДС начисляется сверху по ставке B44 для определения денежного платежа.</t>
        </r>
      </text>
    </comment>
    <comment ref="D44" authorId="0" shapeId="0" xr:uid="{547885DB-0BF7-D448-9A39-EFFFC5084B2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ставку НДС по коммунальным и эксплуатационным расходам. Она используется для выделения или начисления входного НДС в зависимости от выбора B43. Возможность зачёта НДС зависит от статуса покупателя B51.</t>
        </r>
      </text>
    </comment>
    <comment ref="D45" authorId="0" shapeId="0" xr:uid="{E3F76CE8-8902-3341-A285-8948CB33AE8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Укажите дату, с которой начинаются коммунальные и эксплуатационные расходы. Если поле пустое, модель использует дату передачи ключей B10. В первом месяце расходы могут рассчитываться пропорционально периоду владения или эксплуатации.</t>
        </r>
      </text>
    </comment>
    <comment ref="D49" authorId="0" shapeId="0" xr:uid="{7AA11539-551A-684D-BFF9-62957CFA479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Назначение: выберите фактический налоговый статус покупателя (собственника объекта).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Допустимые варианты:
</t>
        </r>
        <r>
          <rPr>
            <sz val="10"/>
            <color rgb="FF000000"/>
            <rFont val="Tahoma"/>
            <family val="2"/>
            <charset val="204"/>
          </rPr>
          <t xml:space="preserve">• «Налог на прибыль» — организация, для которой рассчитывается налог на прибыль.
</t>
        </r>
        <r>
          <rPr>
            <sz val="10"/>
            <color rgb="FF000000"/>
            <rFont val="Tahoma"/>
            <family val="2"/>
            <charset val="204"/>
          </rPr>
          <t xml:space="preserve">• «НДФЛ» — физическое лицо, если применим НДФЛ.
</t>
        </r>
        <r>
          <rPr>
            <sz val="10"/>
            <color rgb="FF000000"/>
            <rFont val="Tahoma"/>
            <family val="2"/>
            <charset val="204"/>
          </rPr>
          <t xml:space="preserve">• «УСН» — применяется упрощённая система налогообложения.
</t>
        </r>
        <r>
          <rPr>
            <sz val="10"/>
            <color rgb="FF000000"/>
            <rFont val="Tahoma"/>
            <family val="2"/>
            <charset val="204"/>
          </rPr>
          <t xml:space="preserve">• «Другой / пользовательский» — иной или специальный режим.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Важно: этот выбор классифицирует режим и используется в контрольных предупреждениях, но не подставляет автоматически ставку или налоговую базу. Обязательно отдельно заполните B50 «Ставка налога» и B53 «Порядок расчёта налоговой базы». Для пользовательского режима проверьте методику с налоговым специалистом.</t>
        </r>
      </text>
    </comment>
    <comment ref="D50" authorId="0" shapeId="0" xr:uid="{03F00261-4163-9445-B90A-E06B229F992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Введите фактическую эффективную ставку налога на доход / прибыль покупателя в процентах.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Модель рассчитывает налог ежемесячно как: налоговая база (по методу из B53, не ниже нуля) </t>
        </r>
        <r>
          <rPr>
            <sz val="10"/>
            <color rgb="FF000000"/>
            <rFont val="Tahoma"/>
            <family val="2"/>
            <charset val="204"/>
          </rPr>
          <t>×</t>
        </r>
        <r>
          <rPr>
            <sz val="10"/>
            <color rgb="FF000000"/>
            <rFont val="Tahoma"/>
            <family val="2"/>
            <charset val="204"/>
          </rPr>
          <t xml:space="preserve"> ставка B50. НДС в эту ставку не включается.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Укажите ставку именно в формате процента: например, значение 15% вводится как «15%». Не полагайтесь на выбор режима в B49 — ставка автоматически не заполняется. Значение 0% используйте только при обоснованном отсутствии налога.</t>
        </r>
      </text>
    </comment>
    <comment ref="D51" authorId="0" shapeId="0" xr:uid="{B55FA343-F7A1-A443-9E90-0D1AF385E6A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Укажите, является ли покупатель (собственник / арендодатель) плательщиком НДС.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«Да»: модель начисляет НДС сверх аренды и компенсаций, выделяет входной НДС из операционных расходов, рассчитывает НДС к уплате и переносимый остаток. При этом становятся обязательными параметры блока НДС, включая дату и долю принятия входного НДС к вычету (B61–B62).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«Нет»: все потоки НДС в расчёте принимаются равными нулю; аренда и компенсации учитываются без начисления НДС. Проверьте согласованность со ставкой B52.</t>
        </r>
      </text>
    </comment>
    <comment ref="D52" authorId="0" shapeId="0" xr:uid="{D5224B3E-CCBC-C449-A227-30D949AB3A8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Введите ставку НДС, начисляемую на аренду и облагаемые компенсации расходов.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Ставки аренды в блоке 4 заданы без НДС, поэтому при B51 = «Да» модель добавляет НДС сверх арендной платы и учитывает его как транзитный денежный поток. Эта же ставка используется для выделения НДС из компенсаций коммунальных и эксплуатационных расходов.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значение в формате процента. Если B51 = «Нет», обычно следует указать 0% для согласованности входных данных.</t>
        </r>
      </text>
    </comment>
    <comment ref="D53" authorId="0" shapeId="0" xr:uid="{6A605B34-D715-EC46-9DD5-95B4E15FBC2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Выберите способ формирования налоговой базы для ежемесячного расчёта налога.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• «Выручка»: база равна арендной выручке и компенсациям расходов без НДС. Операционные расходы, проценты и амортизация базу не уменьшают.
</t>
        </r>
        <r>
          <rPr>
            <sz val="10"/>
            <color rgb="FF000000"/>
            <rFont val="Tahoma"/>
            <family val="2"/>
            <charset val="204"/>
          </rPr>
          <t xml:space="preserve">• «Прибыль до налога»: из выручки вычитаются доля учитываемых расходов B54, проценты — если B55 = «Да», и амортизация / прочие вычеты B56 (равномерно по месяцам).
</t>
        </r>
        <r>
          <rPr>
            <sz val="10"/>
            <color rgb="FF000000"/>
            <rFont val="Tahoma"/>
            <family val="2"/>
            <charset val="204"/>
          </rPr>
          <t xml:space="preserve">• «Пользовательская база»: используется фиксированная годовая база из B57, разделённая на 12 месяцев.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Во всех методах отрицательная база заменяется нулём. Логика упрощённая: перенос убытков, минимальные налоги, лимиты вычетов и иные специальные правила автоматически не моделируются.</t>
        </r>
      </text>
    </comment>
    <comment ref="D54" authorId="0" shapeId="0" xr:uid="{D1A2D043-75E9-8643-B6FB-0F1B488C8DE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Укажите долю операционных расходов, которые уменьшают налоговую базу при B53 = «Прибыль до налога».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• 100% — все смоделированные коммунальные, эксплуатационные, имущественные и прочие расходы учитываются как вычитаемые.
</t>
        </r>
        <r>
          <rPr>
            <sz val="10"/>
            <color rgb="FF000000"/>
            <rFont val="Tahoma"/>
            <family val="2"/>
            <charset val="204"/>
          </rPr>
          <t xml:space="preserve">• 0% — эти расходы не уменьшают базу.
</t>
        </r>
        <r>
          <rPr>
            <sz val="10"/>
            <color rgb="FF000000"/>
            <rFont val="Tahoma"/>
            <family val="2"/>
            <charset val="204"/>
          </rPr>
          <t xml:space="preserve">• Промежуточное значение — расходы учитываются пропорционально.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Проценты по кредиту регулируются отдельно в B55, а амортизация и прочие фиксированные вычеты — в B56. Для методов «Выручка» и «Пользовательская база» значение B54 на расчёт не влияет.</t>
        </r>
      </text>
    </comment>
    <comment ref="D55" authorId="0" shapeId="0" xr:uid="{23E36423-E6E7-E549-8C74-349F5A16242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Укажите, уменьшают ли проценты по кредиту налоговую базу.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«Да»: при методе B53 = «Прибыль до налога» начисленные процентные расходы по долгу вычитаются из налоговой базы.
</t>
        </r>
        <r>
          <rPr>
            <sz val="10"/>
            <color rgb="FF000000"/>
            <rFont val="Tahoma"/>
            <family val="2"/>
            <charset val="204"/>
          </rPr>
          <t xml:space="preserve">«Нет»: проценты не учитываются при расчёте налога.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Параметр не меняет график кредита, денежную уплату процентов или NOI — он влияет только на налоговую базу. Для методов «Выручка» и «Пользовательская база» значение не влияет. Учитывайте фактические ограничения на признание процентов в расходах.</t>
        </r>
      </text>
    </comment>
    <comment ref="D56" authorId="0" shapeId="0" xr:uid="{3DE4DC9B-6E47-C645-8651-D775A6547F0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Введите годовую сумму амортизации и иных фиксированных налоговых вычетов, руб./год.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Параметр используется только при B53 = «Прибыль до налога». Модель делит указанную сумму на 12 и ежемесячно уменьшает налоговую базу на равную величину.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Вводите положительное значение — модель самостоятельно применяет его как вычет. Сумма не рассчитывается автоматически от стоимости объекта и не индексируется. Если вычетов нет, укажите 0. Не включайте сюда расходы, уже учтённые через долю B54, чтобы избежать двойного счёта.</t>
        </r>
      </text>
    </comment>
    <comment ref="D57" authorId="0" shapeId="0" xr:uid="{EF425A63-8E2B-414B-BAAD-C6C76FF6A1B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Введите пользовательскую налоговую базу до налога, руб./год.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Ячейка используется только при B53 = «Пользовательская база». Модель делит годовую сумму на 12, применяет одинаковую месячную базу на всём горизонте и рассчитывает налог по ставке B50. Отрицательное значение фактически будет ограничено нулевой базой.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Указывайте именно налоговую базу, а не сумму налога. Параметр подходит, если стандартные методы «Выручка» и «Прибыль до налога» не отражают фактический режим. Если база меняется по годам или зависит от дополнительных условий, требуется доработка расчётной логики.</t>
        </r>
      </text>
    </comment>
    <comment ref="D58" authorId="0" shapeId="0" xr:uid="{AAFA42D1-507C-3149-89AA-A65DDDA7C8E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Информационное предупреждение, ввод не требуется. Налоговая логика в блоке B49–B57 является упрощённой и может не учитывать перенос убытков, минимальные налоги, ограничения вычетов и иные специальные правила. При необходимости замените её расчётом по фактической налоговой методике.</t>
        </r>
      </text>
    </comment>
    <comment ref="D61" authorId="0" shapeId="0" xr:uid="{0FEEF0CD-8132-AE4D-B3D9-860AEE45DEE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Укажите дату, в месяце которой входной НДС из стоимости покупки принимается к вычету.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Параметр применяется только при B51 = «Да». В выбранном месяце модель отражает единовременный положительный денежный поток в размере НДС в стоимости покупки (B18) </t>
        </r>
        <r>
          <rPr>
            <sz val="10"/>
            <color rgb="FF000000"/>
            <rFont val="Tahoma"/>
            <family val="2"/>
            <charset val="204"/>
          </rPr>
          <t>×</t>
        </r>
        <r>
          <rPr>
            <sz val="10"/>
            <color rgb="FF000000"/>
            <rFont val="Tahoma"/>
            <family val="2"/>
            <charset val="204"/>
          </rPr>
          <t xml:space="preserve"> доля вычета (B62). Это влияет на сроки возврата вложенных средств, IRR и NPV.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Для расчёта используется месяц и год даты; распределение по дням внутри месяца не выполняется. Если дата находится за пределами горизонта модели, вычет не попадёт в денежные потоки. Укажите дату на основании фактического права и планируемого периода заявления вычета.</t>
        </r>
      </text>
    </comment>
    <comment ref="D62" authorId="0" shapeId="0" xr:uid="{E737C3FF-5B90-274E-BA89-85CC11DE3EA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Укажите долю входного НДС из стоимости покупки, которую покупатель сможет принять к вычету.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• 100% — к вычету принимается весь НДС, рассчитанный в B18.
</t>
        </r>
        <r>
          <rPr>
            <sz val="10"/>
            <color rgb="FF000000"/>
            <rFont val="Tahoma"/>
            <family val="2"/>
            <charset val="204"/>
          </rPr>
          <t xml:space="preserve">• 0% — вычет по НДС покупки отсутствует.
</t>
        </r>
        <r>
          <rPr>
            <sz val="10"/>
            <color rgb="FF000000"/>
            <rFont val="Tahoma"/>
            <family val="2"/>
            <charset val="204"/>
          </rPr>
          <t xml:space="preserve">• Промежуточное значение — учитывается частичный вычет.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Вычет отражается единовременно в месяце, указанном в B61, и только если B51 = «Да». Параметр не регулирует текущий входной НДС по коммунальным и эксплуатационным расходам — он рассчитывается отдельно в операционном НДС. Введите значение в формате процента и проверьте право на вычет с налоговым специалистом.</t>
        </r>
      </text>
    </comment>
    <comment ref="D63" authorId="0" shapeId="0" xr:uid="{FF81CE70-F746-0240-96C4-A4E51A9EBF4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Строка фиксирует встроенную методику расчёта операционного НДС и не требует ввода.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Если в отдельном месяце входной НДС и накопленный остаток превышают исходящий НДС, модель не показывает немедленный возврат из бюджета. Неиспользованное отрицательное сальдо переносится на следующие месяцы и уменьшает будущий НДС к уплате.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Проценты на остаток, сроки камеральной проверки, заявление НДС к возмещению и фактический возврат денежных средств отдельно не моделируются. При необходимости возврата НДС логика должна быть доработана.</t>
        </r>
      </text>
    </comment>
    <comment ref="D64" authorId="0" shapeId="0" xr:uid="{11357915-1237-244C-B8DA-83DDF06D158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Строка фиксирует встроенную методику и не является пользовательским вводом.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НДС не увеличивает арендную выручку, NOI и стоимость объекта: он учитывается как транзитный налоговый денежный поток. НДС к уплате, НДС в стоимости покупки и вычет НДС покупки отражаются отдельно и поэтому могут влиять на чистый денежный поток инвестора, IRR и NPV из-за суммы и сроков расчётов.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Изменение этого подхода требует корректировки расчётных формул, а не текста в данной ячейке.</t>
        </r>
      </text>
    </comment>
    <comment ref="D67" authorId="0" shapeId="0" xr:uid="{2FB10EA5-9EFA-494D-9576-04B074B4175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Введите фактическую годовую ставку налога на имущество, применимую к объекту и региону его нахождения.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Модель рассчитывает ежемесячный налог как: кадастровая стоимость (B16) </t>
        </r>
        <r>
          <rPr>
            <sz val="10"/>
            <color rgb="FF000000"/>
            <rFont val="Tahoma"/>
            <family val="2"/>
            <charset val="204"/>
          </rPr>
          <t>×</t>
        </r>
        <r>
          <rPr>
            <sz val="10"/>
            <color rgb="FF000000"/>
            <rFont val="Tahoma"/>
            <family val="2"/>
            <charset val="204"/>
          </rPr>
          <t xml:space="preserve"> коэффициент налоговой базы (B68) </t>
        </r>
        <r>
          <rPr>
            <sz val="10"/>
            <color rgb="FF000000"/>
            <rFont val="Tahoma"/>
            <family val="2"/>
            <charset val="204"/>
          </rPr>
          <t>×</t>
        </r>
        <r>
          <rPr>
            <sz val="10"/>
            <color rgb="FF000000"/>
            <rFont val="Tahoma"/>
            <family val="2"/>
            <charset val="204"/>
          </rPr>
          <t xml:space="preserve"> ставка B67 </t>
        </r>
        <r>
          <rPr>
            <sz val="10"/>
            <color rgb="FF000000"/>
            <rFont val="Tahoma"/>
            <family val="2"/>
            <charset val="204"/>
          </rPr>
          <t>÷</t>
        </r>
        <r>
          <rPr>
            <sz val="10"/>
            <color rgb="FF000000"/>
            <rFont val="Tahoma"/>
            <family val="2"/>
            <charset val="204"/>
          </rPr>
          <t xml:space="preserve"> 12. В первом месяце сумма дополнительно корректируется по фактическому количеству дней с даты начала налога B69.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ставку в формате процента. Если налог не применяется, укажите 0%. Льготы, предельные ставки, изменение региональной ставки по годам и особенности отдельных категорий имущества автоматически не моделируются.</t>
        </r>
      </text>
    </comment>
    <comment ref="D68" authorId="0" shapeId="0" xr:uid="{87AB431C-7C75-7E41-8E78-755ED382A36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Укажите, какая доля кадастровой стоимости B16 используется как налоговая база.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Примеры:
</t>
        </r>
        <r>
          <rPr>
            <sz val="10"/>
            <color rgb="FF000000"/>
            <rFont val="Tahoma"/>
            <family val="2"/>
            <charset val="204"/>
          </rPr>
          <t xml:space="preserve">• 1,00 — база равна 100% кадастровой стоимости.
</t>
        </r>
        <r>
          <rPr>
            <sz val="10"/>
            <color rgb="FF000000"/>
            <rFont val="Tahoma"/>
            <family val="2"/>
            <charset val="204"/>
          </rPr>
          <t xml:space="preserve">• 0,50 — база равна 50% кадастровой стоимости.
</t>
        </r>
        <r>
          <rPr>
            <sz val="10"/>
            <color rgb="FF000000"/>
            <rFont val="Tahoma"/>
            <family val="2"/>
            <charset val="204"/>
          </rPr>
          <t xml:space="preserve">• 0,00 — налоговая база отсутствует.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Коэффициент напрямую умножается на кадастровую стоимость и ставку B67. Значение не является процентом: вводите 1,00, а не 100%. Модель применяет один постоянный коэффициент на всём горизонте; поэтапное изменение базы, льготы и необлагаемые доли отдельно не рассчитываются.</t>
        </r>
      </text>
    </comment>
    <comment ref="D69" authorId="0" shapeId="0" xr:uid="{55AD6AA5-61F4-7B40-99C7-85C7BA95970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Укажите дату, с которой начинается начисление налога на имущество.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Если ячейка пустая, модель использует дату покупки из B9. Налог начисляется с указанной даты; в первом месяце сумма рассчитывается пропорционально количеству календарных дней от даты начала до конца месяца включительно. Со следующего месяца применяется полная месячная сумма.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Дата должна соответствовать фактическому моменту возникновения обязанности по налогу. Если дата находится после продажи или за пределами горизонта модели, налог на имущество в расчёте не возникнет.</t>
        </r>
      </text>
    </comment>
    <comment ref="D72" authorId="0" shapeId="0" xr:uid="{88BF6D8F-4C0A-2441-9A90-A87D0841898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комиссию посреднику при покупке в процентах от стоимости объекта с НДС B19. Комиссия отражается как дополнительный расход приобретения и также уменьшает налоговую прибыль при продаже по методу «С прибыли».</t>
        </r>
      </text>
    </comment>
    <comment ref="D73" authorId="0" shapeId="0" xr:uid="{2A5711C6-E2DA-5D49-B023-9ADEF6ECB30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комиссию посреднику при продаже в процентах от валовой расчётной стоимости продажи. Комиссия удерживается единовременно в месяце продажи и уменьшает чистые поступления инвестора.</t>
        </r>
      </text>
    </comment>
    <comment ref="D74" authorId="0" shapeId="0" xr:uid="{01CE2F3A-1D31-8943-BDAE-70879AF3D09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Введите общую сумму прочих регулярных расходов за год. Модель распределяет её равными месячными долями начиная с даты B76 и применяет отдельную ежегодную индексацию B75.
</t>
        </r>
        <r>
          <rPr>
            <sz val="10"/>
            <color rgb="FF000000"/>
            <rFont val="Tahoma"/>
            <family val="2"/>
            <charset val="204"/>
          </rPr>
          <t>Например: страхование, охрана, уборка, связь, банковские комиссии, юридические и бухгалтерские услуги</t>
        </r>
      </text>
    </comment>
    <comment ref="D75" authorId="0" shapeId="0" xr:uid="{250DAB5E-52A4-454B-8BBC-9C1E58328AB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годовой процент индексации прочих расходов B74. Параметр действует независимо от роста коммунальных и эксплуатационных расходов. Значение 0% сохраняет постоянную годовую сумму.</t>
        </r>
      </text>
    </comment>
    <comment ref="D76" authorId="0" shapeId="0" xr:uid="{ADEB9276-5603-0443-9215-D2D309C1DDD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Укажите дату начала начисления прочих расходов. Если поле оставить пустым, модель использует дату покупки B9. Расходы отражаются помесячно начиная с соответствующего периода.</t>
        </r>
      </text>
    </comment>
    <comment ref="D79" authorId="0" shapeId="0" xr:uid="{257561D5-7520-CC49-923C-1958AB3EC4E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срок владения объектом в годах. Модель рассчитывает дату продажи B91 как дату покупки B9 плюс указанное количество лет. Срок должен находиться в пределах временного горизонта модели.</t>
        </r>
      </text>
    </comment>
    <comment ref="D80" authorId="0" shapeId="0" xr:uid="{68DCFA1C-1F6A-9642-8774-F4C23436F3F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ставку капитализации на дату продажи. Расчётная стоимость определяется как нормализованный годовой NOI, выбранный в B88–B89, делённый на ставку капитализации, с последующей корректировкой B81. Чем ниже ставка, тем выше оценка стоимости. Значение должно быть больше нуля.</t>
        </r>
      </text>
    </comment>
    <comment ref="D81" authorId="0" shapeId="0" xr:uid="{0BDB1CAB-0EE5-E744-A040-49AE3D8CDA2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Корректировка стоимости продажи применяется к цене объекта, рассчитанной методом капитализации. Значение 0% оставляет стоимость без изменений; положительный процент увеличивает цену продажи, отрицательный — уменьшает. Например, корректировка +5% означает умножение расчётной стоимости на 1,05.</t>
        </r>
      </text>
    </comment>
    <comment ref="D82" authorId="0" shapeId="0" xr:uid="{B8ED2E02-2671-EB4A-A181-2D5C6EEE05F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Укажите, рассчитывать ли отдельный налог при продаже объекта.
«Да» — модель определяет налог по ставке B83 и базе, выбранной в B84–B86.
«Нет» — налог при продаже равен нулю.
Этот налог рассчитывается отдельно от текущего налога на операционный доход.</t>
        </r>
      </text>
    </comment>
    <comment ref="D83" authorId="0" shapeId="0" xr:uid="{A3626D6E-27B4-6D44-8DED-D6E46CE74E6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ставку налога, применяемую к выбранной базе продажи. Параметр используется только при B82 = «Да». Налог рассчитывается единовременно в месяце продажи; отрицательная налоговая база в модели заменяется нулём.</t>
        </r>
      </text>
    </comment>
    <comment ref="D84" authorId="0" shapeId="0" xr:uid="{B1E4A875-8AB1-D849-A4D8-4E734275303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Выберите метод расчёта базы налога при продаже.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• «С выручки» — база равна валовой стоимости продажи.
</t>
        </r>
        <r>
          <rPr>
            <sz val="10"/>
            <color rgb="FF000000"/>
            <rFont val="Tahoma"/>
            <family val="2"/>
            <charset val="204"/>
          </rPr>
          <t xml:space="preserve">• «С прибыли» — из стоимости продажи вычитаются комиссия при продаже, выбранная база приобретения B85, ремонт B11 и комиссия при покупке B72; отрицательный результат заменяется нулём.
</t>
        </r>
        <r>
          <rPr>
            <sz val="10"/>
            <color rgb="FF000000"/>
            <rFont val="Tahoma"/>
            <family val="2"/>
            <charset val="204"/>
          </rPr>
          <t>• Пользовательский метод — используется сумма B86.</t>
        </r>
      </text>
    </comment>
    <comment ref="D85" authorId="0" shapeId="0" xr:uid="{72378EC7-D96B-914C-B361-029442761E6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Параметр применяется только при методе налога «С прибыли». Выберите, какую стоимость приобретения вычитать из результата продажи: стоимость без НДС B17 или стоимость с НДС B19. Выбор должен соответствовать фактическому налоговому учёту сделки.</t>
        </r>
      </text>
    </comment>
    <comment ref="D86" authorId="0" shapeId="0" xr:uid="{478DB030-C263-AA47-815E-6E6CDC62200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фиксированную налоговую базу продажи в рублях для пользовательского метода B84. Модель применит к ней ставку B83 и ограничит отрицательное значение нулём. Указывайте именно базу налога, а не сумму налога.</t>
        </r>
      </text>
    </comment>
    <comment ref="D87" authorId="0" shapeId="0" xr:uid="{4A283EEB-A0BD-F44F-BD9B-8C9AD2AB5E30}">
      <text>
        <r>
          <rPr>
            <b/>
            <sz val="10"/>
            <color rgb="FF000000"/>
            <rFont val="Tahoma"/>
            <family val="2"/>
            <charset val="204"/>
          </rPr>
          <t xml:space="preserve">Дмитрий Пушин:
</t>
        </r>
        <r>
          <rPr>
            <sz val="10"/>
            <color rgb="FF000000"/>
            <rFont val="Tahoma"/>
            <family val="2"/>
            <charset val="204"/>
          </rPr>
          <t xml:space="preserve">Введите прочие единовременные расходы, возникающие непосредственно при продаже. Сумма уменьшает чистые поступления в месяце продажи, но в текущей логике не уменьшает налоговую базу метода «С прибыли».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К таким расходам могут относиться:
</t>
        </r>
        <r>
          <rPr>
            <sz val="10"/>
            <color rgb="FF000000"/>
            <rFont val="Tahoma"/>
            <family val="2"/>
            <charset val="204"/>
          </rPr>
          <t xml:space="preserve">• услуги юриста и нотариуса;
</t>
        </r>
        <r>
          <rPr>
            <sz val="10"/>
            <color rgb="FF000000"/>
            <rFont val="Tahoma"/>
            <family val="2"/>
            <charset val="204"/>
          </rPr>
          <t xml:space="preserve">• государственные пошлины и регистрационные расходы;
</t>
        </r>
        <r>
          <rPr>
            <sz val="10"/>
            <color rgb="FF000000"/>
            <rFont val="Tahoma"/>
            <family val="2"/>
            <charset val="204"/>
          </rPr>
          <t xml:space="preserve">• оценка объекта, технические заключения и подготовка документов;
</t>
        </r>
        <r>
          <rPr>
            <sz val="10"/>
            <color rgb="FF000000"/>
            <rFont val="Tahoma"/>
            <family val="2"/>
            <charset val="204"/>
          </rPr>
          <t xml:space="preserve">• услуги банка, аккредитив, эскроу и комиссии за расчёты;
</t>
        </r>
        <r>
          <rPr>
            <sz val="10"/>
            <color rgb="FF000000"/>
            <rFont val="Tahoma"/>
            <family val="2"/>
            <charset val="204"/>
          </rPr>
          <t xml:space="preserve">• маркетинг, реклама и предпродажная подготовка;
</t>
        </r>
        <r>
          <rPr>
            <sz val="10"/>
            <color rgb="FF000000"/>
            <rFont val="Tahoma"/>
            <family val="2"/>
            <charset val="204"/>
          </rPr>
          <t xml:space="preserve">• штрафы, компенсации арендаторам и досрочное расторжение договоров;
</t>
        </r>
        <r>
          <rPr>
            <sz val="10"/>
            <color rgb="FF000000"/>
            <rFont val="Tahoma"/>
            <family val="2"/>
            <charset val="204"/>
          </rPr>
          <t xml:space="preserve">• погашение задолженности по коммунальным услугам и обязательным платежам;
</t>
        </r>
        <r>
          <rPr>
            <sz val="10"/>
            <color rgb="FF000000"/>
            <rFont val="Tahoma"/>
            <family val="2"/>
            <charset val="204"/>
          </rPr>
          <t xml:space="preserve">• демонтаж, вывоз имущества, мелкий ремонт или восстановление помещения;
</t>
        </r>
        <r>
          <rPr>
            <sz val="10"/>
            <color rgb="FF000000"/>
            <rFont val="Tahoma"/>
            <family val="2"/>
            <charset val="204"/>
          </rPr>
          <t xml:space="preserve">• другие разовые затраты, необходимые для завершения сделки.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Не включайте комиссию посреднику — она рассчитывается отдельно по ставке B73. Налог при продаже учитывается отдельно через параметры B82–B86. Не дублируйте суммы, уже отражённые в других строках модели.</t>
        </r>
      </text>
    </comment>
    <comment ref="D88" authorId="0" shapeId="0" xr:uid="{353ADD72-73A5-1B4C-BF30-EA8330532C4C}">
      <text>
        <r>
          <rPr>
            <sz val="10"/>
            <color rgb="FF000000"/>
            <rFont val="Tahoma"/>
            <family val="2"/>
            <charset val="204"/>
          </rPr>
          <t xml:space="preserve">Выберите, какой годовой нормализованный NOI (чистый операционный доход) использовать для оценки стоимости объекта при продаже.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Расчёт стоимости продажи:
</t>
        </r>
        <r>
          <rPr>
            <sz val="10"/>
            <color rgb="FF000000"/>
            <rFont val="Tahoma"/>
            <family val="2"/>
            <charset val="204"/>
          </rPr>
          <t xml:space="preserve">Нормализованный NOI </t>
        </r>
        <r>
          <rPr>
            <sz val="10"/>
            <color rgb="FF000000"/>
            <rFont val="Tahoma"/>
            <family val="2"/>
            <charset val="204"/>
          </rPr>
          <t>÷</t>
        </r>
        <r>
          <rPr>
            <sz val="10"/>
            <color rgb="FF000000"/>
            <rFont val="Tahoma"/>
            <family val="2"/>
            <charset val="204"/>
          </rPr>
          <t xml:space="preserve"> ставка капитализации B80 </t>
        </r>
        <r>
          <rPr>
            <sz val="10"/>
            <color rgb="FF000000"/>
            <rFont val="Tahoma"/>
            <family val="2"/>
            <charset val="204"/>
          </rPr>
          <t>×</t>
        </r>
        <r>
          <rPr>
            <sz val="10"/>
            <color rgb="FF000000"/>
            <rFont val="Tahoma"/>
            <family val="2"/>
            <charset val="204"/>
          </rPr>
          <t xml:space="preserve"> (1 + корректировка B81).
</t>
        </r>
        <r>
          <rPr>
            <sz val="10"/>
            <color rgb="FF000000"/>
            <rFont val="Tahoma"/>
            <family val="2"/>
            <charset val="204"/>
          </rPr>
          <t xml:space="preserve">Итоговая стоимость не может быть меньше нуля.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Доступные варианты: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• «Следующие 12 месяцев» — модель суммирует NOI за 12 месяцев после месяца оценки: от следующего месяца до соответствующего месяца следующего года. Это прогнозный, forward-looking подход. Обычно он подходит, если на дату продажи объект уже работает в стабильном режиме, а будущие ставки аренды, индексация, простой и расходы достоверно спрогнозированы.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• «Последние 12 месяцев» — модель суммирует фактический/расчётный NOI за месяц продажи и предыдущие 11 месяцев. Это trailing-подход, основанный на уже сформированном доходе. Он может быть предпочтительнее, если покупатели оценивают объект по подтверждённым результатам последних 12 месяцев.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• «Пользовательский NOI» — модель использует фиксированную годовую сумму из B89. Выбирайте этот метод, если требуется вручную нормализовать доход: исключить разовые доходы или расходы, учесть рыночную аренду, стабилизированную загрузку, будущую индексацию либо иные условия, не отражённые стандартными методами.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NOI в модели является операционным показателем объекта: до процентов по кредиту, налога на доход/прибыль и денежных потоков финансирования. Не вводите в NOI стоимость продажи, погашение кредита или НДС как доход.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Перед выбором сравните методы и убедитесь, что используемый период является репрезентативным. Каникулы, простой, неполный первый год и временные отклонения расходов могут существенно занизить или завысить оценку.</t>
        </r>
      </text>
    </comment>
    <comment ref="D89" authorId="0" shapeId="0" xr:uid="{1CB8A2AD-F47F-9841-82F1-0A43B64C6C2B}">
      <text>
        <r>
          <rPr>
            <sz val="10"/>
            <color rgb="FF000000"/>
            <rFont val="Tahoma"/>
            <family val="2"/>
            <charset val="204"/>
          </rPr>
          <t xml:space="preserve">Введите нормализованный годовой NOI в рублях, если в B88 выбран вариант «Пользовательский NOI». При других вариантах эта ячейка на расчёт стоимости продажи не влияет.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Что необходимо вводить:
</t>
        </r>
        <r>
          <rPr>
            <sz val="10"/>
            <color rgb="FF000000"/>
            <rFont val="Tahoma"/>
            <family val="2"/>
            <charset val="204"/>
          </rPr>
          <t xml:space="preserve">• годовой чистый операционный доход объекта;
</t>
        </r>
        <r>
          <rPr>
            <sz val="10"/>
            <color rgb="FF000000"/>
            <rFont val="Tahoma"/>
            <family val="2"/>
            <charset val="204"/>
          </rPr>
          <t xml:space="preserve">• сумму до процентов по кредиту и погашения основного долга;
</t>
        </r>
        <r>
          <rPr>
            <sz val="10"/>
            <color rgb="FF000000"/>
            <rFont val="Tahoma"/>
            <family val="2"/>
            <charset val="204"/>
          </rPr>
          <t xml:space="preserve">• сумму до налога на доход/прибыль владельца;
</t>
        </r>
        <r>
          <rPr>
            <sz val="10"/>
            <color rgb="FF000000"/>
            <rFont val="Tahoma"/>
            <family val="2"/>
            <charset val="204"/>
          </rPr>
          <t xml:space="preserve">• сумму без стоимости продажи и без разовых расходов по сделке;
</t>
        </r>
        <r>
          <rPr>
            <sz val="10"/>
            <color rgb="FF000000"/>
            <rFont val="Tahoma"/>
            <family val="2"/>
            <charset val="204"/>
          </rPr>
          <t xml:space="preserve">• устойчивый, повторяемый доход за 12 месяцев.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Общий принцип расчёта NOI:
</t>
        </r>
        <r>
          <rPr>
            <sz val="10"/>
            <color rgb="FF000000"/>
            <rFont val="Tahoma"/>
            <family val="2"/>
            <charset val="204"/>
          </rPr>
          <t xml:space="preserve">арендная выручка и компенсации операционных расходов минус коммунальные, эксплуатационные, имущественные и прочие операционные расходы. Не включайте кредитные платежи, налог при продаже, комиссию посредника при продаже и прочие расходы из B87.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Возможные причины использовать пользовательский NOI:
</t>
        </r>
        <r>
          <rPr>
            <sz val="10"/>
            <color rgb="FF000000"/>
            <rFont val="Tahoma"/>
            <family val="2"/>
            <charset val="204"/>
          </rPr>
          <t xml:space="preserve">• действующая аренда ниже или выше рыночного уровня;
</t>
        </r>
        <r>
          <rPr>
            <sz val="10"/>
            <color rgb="FF000000"/>
            <rFont val="Tahoma"/>
            <family val="2"/>
            <charset val="204"/>
          </rPr>
          <t xml:space="preserve">• на дату продажи ещё действуют арендные каникулы;
</t>
        </r>
        <r>
          <rPr>
            <sz val="10"/>
            <color rgb="FF000000"/>
            <rFont val="Tahoma"/>
            <family val="2"/>
            <charset val="204"/>
          </rPr>
          <t xml:space="preserve">• текущий простой не соответствует устойчивой загрузке;
</t>
        </r>
        <r>
          <rPr>
            <sz val="10"/>
            <color rgb="FF000000"/>
            <rFont val="Tahoma"/>
            <family val="2"/>
            <charset val="204"/>
          </rPr>
          <t xml:space="preserve">• в последних или следующих 12 месяцах есть разовые расходы;
</t>
        </r>
        <r>
          <rPr>
            <sz val="10"/>
            <color rgb="FF000000"/>
            <rFont val="Tahoma"/>
            <family val="2"/>
            <charset val="204"/>
          </rPr>
          <t xml:space="preserve">• необходимо учесть стабилизированную аренду после завершения ремонта или заселения;
</t>
        </r>
        <r>
          <rPr>
            <sz val="10"/>
            <color rgb="FF000000"/>
            <rFont val="Tahoma"/>
            <family val="2"/>
            <charset val="204"/>
          </rPr>
          <t xml:space="preserve">• стандартный прогноз модели не отражает условия предполагаемой сделки.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Расчёт стоимости:
</t>
        </r>
        <r>
          <rPr>
            <sz val="10"/>
            <color rgb="FF000000"/>
            <rFont val="Tahoma"/>
            <family val="2"/>
            <charset val="204"/>
          </rPr>
          <t xml:space="preserve">B89 </t>
        </r>
        <r>
          <rPr>
            <sz val="10"/>
            <color rgb="FF000000"/>
            <rFont val="Tahoma"/>
            <family val="2"/>
            <charset val="204"/>
          </rPr>
          <t>÷</t>
        </r>
        <r>
          <rPr>
            <sz val="10"/>
            <color rgb="FF000000"/>
            <rFont val="Tahoma"/>
            <family val="2"/>
            <charset val="204"/>
          </rPr>
          <t xml:space="preserve"> B80 </t>
        </r>
        <r>
          <rPr>
            <sz val="10"/>
            <color rgb="FF000000"/>
            <rFont val="Tahoma"/>
            <family val="2"/>
            <charset val="204"/>
          </rPr>
          <t>×</t>
        </r>
        <r>
          <rPr>
            <sz val="10"/>
            <color rgb="FF000000"/>
            <rFont val="Tahoma"/>
            <family val="2"/>
            <charset val="204"/>
          </rPr>
          <t xml:space="preserve"> (1 + B81).
</t>
        </r>
        <r>
          <rPr>
            <sz val="10"/>
            <color rgb="FF000000"/>
            <rFont val="Tahoma"/>
            <family val="2"/>
            <charset val="204"/>
          </rPr>
          <t xml:space="preserve">Например, при NOI 12 000 000 руб., ставке капитализации 10% и корректировке 0% стоимость составит 120 000 000 руб.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положительную годовую сумму в рублях. Не вводите месячный NOI: если известен устойчивый месячный показатель, сначала умножьте его на 12. Рекомендуется подтвердить сумму арендным реестром, бюджетом объекта или рыночным расчётом и проверить отсутствие двойного учёта доходов и расходов.</t>
        </r>
      </text>
    </comment>
    <comment ref="D90" authorId="0" shapeId="0" xr:uid="{86F67D5D-6908-8242-94D3-EC2BBA51B8CC}">
      <text>
        <r>
          <rPr>
            <sz val="10"/>
            <color rgb="FF000000"/>
            <rFont val="Tahoma"/>
            <family val="2"/>
            <charset val="204"/>
          </rPr>
          <t xml:space="preserve">Введите требуемую годовую ставку доходности, по которой модель рассчитает NPV методом XNPV с учётом точных дат денежных потоков.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В расчёт NPV включается чистый поток инвестора по всей модели: вложения при покупке, ремонт, операционные поступления и расходы, кредитное финансирование и его обслуживание, налоги, а также чистые поступления от продажи. Каждый поток дисконтируется по фактическому количеству дней.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Как интерпретировать результат:
</t>
        </r>
        <r>
          <rPr>
            <sz val="10"/>
            <color rgb="FF000000"/>
            <rFont val="Tahoma"/>
            <family val="2"/>
            <charset val="204"/>
          </rPr>
          <t xml:space="preserve">• NPV &gt; 0 — при выбранной ставке инвестиция создаёт стоимость и ожидаемая доходность выше требуемой;
</t>
        </r>
        <r>
          <rPr>
            <sz val="10"/>
            <color rgb="FF000000"/>
            <rFont val="Tahoma"/>
            <family val="2"/>
            <charset val="204"/>
          </rPr>
          <t xml:space="preserve">• NPV = 0 — ставка примерно соответствует доходности проекта;
</t>
        </r>
        <r>
          <rPr>
            <sz val="10"/>
            <color rgb="FF000000"/>
            <rFont val="Tahoma"/>
            <family val="2"/>
            <charset val="204"/>
          </rPr>
          <t xml:space="preserve">• NPV &lt; 0 — ожидаемая доходность ниже требуемой ставки.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Как выбрать ставку:
</t>
        </r>
        <r>
          <rPr>
            <sz val="10"/>
            <color rgb="FF000000"/>
            <rFont val="Tahoma"/>
            <family val="2"/>
            <charset val="204"/>
          </rPr>
          <t xml:space="preserve">• используйте минимальную доходность, которую инвестор требует для проекта с сопоставимым риском;
</t>
        </r>
        <r>
          <rPr>
            <sz val="10"/>
            <color rgb="FF000000"/>
            <rFont val="Tahoma"/>
            <family val="2"/>
            <charset val="204"/>
          </rPr>
          <t xml:space="preserve">• учитывайте риск объекта, арендатора, простоя, ликвидности, прогноза продажи, инфляции и валюты денежных потоков;
</t>
        </r>
        <r>
          <rPr>
            <sz val="10"/>
            <color rgb="FF000000"/>
            <rFont val="Tahoma"/>
            <family val="2"/>
            <charset val="204"/>
          </rPr>
          <t xml:space="preserve">• ставка должна быть согласована с денежными потоками в рублях и с тем, являются прогнозы номинальными или реальными;
</t>
        </r>
        <r>
          <rPr>
            <sz val="10"/>
            <color rgb="FF000000"/>
            <rFont val="Tahoma"/>
            <family val="2"/>
            <charset val="204"/>
          </rPr>
          <t xml:space="preserve">• поскольку модель использует денежный поток инвестора с учётом кредита, ставку следует выбирать как требуемую доходность на вложенный собственный капитал, а не автоматически использовать ставку по кредиту или ставку капитализации.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Не путайте показатели:
</t>
        </r>
        <r>
          <rPr>
            <sz val="10"/>
            <color rgb="FF000000"/>
            <rFont val="Tahoma"/>
            <family val="2"/>
            <charset val="204"/>
          </rPr>
          <t xml:space="preserve">• ставка дисконтирования B90 определяет текущую ценность всех денежных потоков и NPV;
</t>
        </r>
        <r>
          <rPr>
            <sz val="10"/>
            <color rgb="FF000000"/>
            <rFont val="Tahoma"/>
            <family val="2"/>
            <charset val="204"/>
          </rPr>
          <t xml:space="preserve">• ставка капитализации B80 переводит один годовой NOI в стоимость объекта при продаже;
</t>
        </r>
        <r>
          <rPr>
            <sz val="10"/>
            <color rgb="FF000000"/>
            <rFont val="Tahoma"/>
            <family val="2"/>
            <charset val="204"/>
          </rPr>
          <t xml:space="preserve">• IRR рассчитывается моделью из самих денежных потоков и не вводится вручную.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значение в формате процента, например 18%. Значение 18 означает 1 800% и приведёт к некорректному результату. Для сравнения сценариев используйте одну методику выбора ставки; при высокой неопределённости рекомендуется проверить NPV при нескольких ставках дисконтирования.</t>
        </r>
      </text>
    </comment>
    <comment ref="D91" authorId="0" shapeId="0" xr:uid="{8E1C0220-09D4-B94E-AEC0-DC606A1B278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Расчётное поле, вручную не заполняется. Дата продажи определяется как дата покупки B9 плюс срок инвестиции B79 в годах. В месяце этой даты модель отражает стоимость продажи, комиссию, налог и прочие расходы продажи.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Дмитрий Пушин</author>
  </authors>
  <commentList>
    <comment ref="D5" authorId="0" shapeId="0" xr:uid="{C207A523-3EC2-FB4C-A7A3-0EF038E1D72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Цена покупки объекта с учетом НДС. Это базовая стоимость приобретения, которая влияет на объем первоначальных вложений, денежные потоки инвестора, NPV, IRR и итоговую прибыль. Показатель не включает дополнительные затраты на ремонт, комиссии и финансирование, если они отражены в модели отдельно.</t>
        </r>
      </text>
    </comment>
    <comment ref="I5" authorId="0" shapeId="0" xr:uid="{D9E6F9A4-D143-E144-BFD5-5059754228E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Общая сумма собственных вложений — сумма всех отрицательных денежных потоков инвестора за выбранный период. Показывает совокупный объем средств, фактически направленных в проект, и используется как база для ряда показателей доходности. Может отличаться от первоначальных вложений, поскольку учитывает последующие дополнительные отрицательные потоки.</t>
        </r>
      </text>
    </comment>
    <comment ref="D6" authorId="0" shapeId="0" xr:uid="{EA3D4D66-0F7B-0A43-B88B-E4D438748DE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Максимальный дефицит собственного капитала до начала аренды — наибольшая сумма денежных средств, которую инвестору необходимо одновременно вложить до появления устойчивых арендных поступлений. Показатель помогает оценить реальную потребность в ликвидности и может отличаться от простой суммы всех расходов из-за разного времени платежей и поступлений.</t>
        </r>
      </text>
    </comment>
    <comment ref="I6" authorId="0" shapeId="0" xr:uid="{F78779EF-9017-7F45-8B7E-8B2F46D1084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Доход от аренды — суммарный операционный денежный поток за выбранный период владения без учета продажи объекта и потоков финансирования. Показатель отражает денежный результат эксплуатации после предусмотренных моделью операционных расходов, НДС и налогов. Это не валовая арендная выручка, а денежный эффект аренды для инвестора.</t>
        </r>
      </text>
    </comment>
    <comment ref="D7" authorId="0" shapeId="0" xr:uid="{6DA49831-CE8C-D542-9738-F16CD03D879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Чистый денежный поток за первые 12 месяцев аренды. Показывает, сколько денежных средств объект генерирует в первый год эксплуатации после операционных расходов, НДС и налога в соответствии с логикой модели. Используется для оценки стартовой эффективности аренды и способности объекта обслуживать вложенный капитал.</t>
        </r>
      </text>
    </comment>
    <comment ref="I7" authorId="0" shapeId="0" xr:uid="{E08D3196-6FF4-9340-AAAE-9A9FA292BD4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Доход от продажи показывает экономический результат выхода из инвестиции: чистые поступления, связанные с продажей, за вычетом цены покупки, ремонта и комиссии приобретения, учитываемых формулой модели. Показатель позволяет отделить вклад продажи объекта от дохода, полученного в ходе арендной эксплуатации.</t>
        </r>
      </text>
    </comment>
    <comment ref="D8" authorId="0" shapeId="0" xr:uid="{6417CB16-11B0-5943-97DA-522547C668DC}">
      <text>
        <r>
          <rPr>
            <b/>
            <sz val="10"/>
            <color rgb="FF000000"/>
            <rFont val="Tahoma"/>
            <family val="2"/>
            <charset val="204"/>
          </rPr>
          <t>Средняя доходность проекта рассчитывается как средний годовой NOI, делённый на стоимость проекта (стоимость покупки без НДС, ремонт и комиссия посреднику при покупке). Показатель рассчитывается до финансирования и не зависит от доли собственных и заёмных средств.</t>
        </r>
      </text>
    </comment>
    <comment ref="I8" authorId="0" shapeId="0" xr:uid="{82ED93DA-97F4-484C-9158-451D414DDB5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Доходность эксплуатации за период — отношение суммарного денежного потока от аренды к общей сумме собственных вложений. Показывает, какую долю вложенного капитала принесла эксплуатация объекта за весь выбранный период. Это простая накопленная доходность, не приведенная к одному году и не учитывающая точные даты потоков.</t>
        </r>
      </text>
    </comment>
    <comment ref="D9" authorId="0" shapeId="0" xr:uid="{2049A7EB-2C99-2D4C-9080-8493A3E9CB7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IRR — внутренняя норма доходности инвестиции, рассчитанная функцией XIRR по фактическим датам всех денежных потоков инвестора. Показывает расчетную среднегодовую доходность проекта с учетом размера и времени вложений и поступлений. IRR следует сравнивать с требуемой доходностью и стоимостью капитала: превышение требуемой ставки обычно означает приемлемую доходность проекта.</t>
        </r>
      </text>
    </comment>
    <comment ref="I9" authorId="0" shapeId="0" xr:uid="{69534394-E12A-8846-BEEE-B744E58A735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Доходность от продажи — отношение результата продажи к общей сумме собственных вложений. Показывает, какую часть доходности проекта сформировал выход из инвестиции и изменение стоимости объекта. Показатель не является годовой ставкой и не учитывает время получения денежных потоков, поэтому его следует анализировать вместе с IRR и NPV.</t>
        </r>
      </text>
    </comment>
    <comment ref="D10" authorId="0" shapeId="0" xr:uid="{5937EC32-F90B-E347-8614-8F3AB156BCA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NPV — чистая приведенная стоимость всех денежных потоков инвестора, рассчитанная функцией XNPV по фактическим датам и заданной ставке дисконтирования. Положительный NPV означает, что проект создает стоимость сверх требуемой доходности; нулевой — примерно соответствует ей; отрицательный — не компенсирует требуемую доходность с учетом временной стоимости денег.</t>
        </r>
      </text>
    </comment>
    <comment ref="I10" authorId="0" shapeId="0" xr:uid="{DC85EA0E-FA82-E348-8534-AAC1E25F388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Совокупная доходность — отношение чистой прибыли инвестора к общей сумме собственных вложений. Объединяет результат аренды, продажи и прочих учтенных потоков и показывает общий процент прибыли за весь период. Это не среднегодовая доходность: для учета продолжительности проекта и дат потоков используется IRR.</t>
        </r>
      </text>
    </comment>
    <comment ref="D11" authorId="0" shapeId="0" xr:uid="{39A8174B-1E76-CF47-B2AC-96C2B692A52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Срок окупаемости — количество месяцев и лет до первого момента, когда накопленный денежный поток инвестора становится неотрицательным. Показывает, как быстро возвращается вложенный капитал и помогает оценить риск длительного замораживания средств. Это простой срок окупаемости: он не заменяет NPV и IRR, поскольку сам по себе не учитывает стоимость денег во времени и потоки после окупаемости.</t>
        </r>
      </text>
    </comment>
    <comment ref="I11" authorId="0" shapeId="0" xr:uid="{6E5AF3BF-126A-2A44-AC38-BC5F5EA1B53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Мультипликатор на вложенный капитал показывает отношение суммы всех положительных денежных потоков инвестора к сумме всех отрицательных потоков. Значение 1,00x означает, что поступления равны вложениям; значение выше 1,00x — поступления превышают вложенный капитал. Показатель удобен для оценки общего возврата денег, но не учитывает сроки потоков.</t>
        </r>
      </text>
    </comment>
    <comment ref="D12" authorId="0" shapeId="0" xr:uid="{C4F553BB-302D-CF4B-A6A3-B51DCAF0DF9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Расчетная рыночная стоимость объекта на дату продажи в выбранном сценарии. В модели стоимость определяется через нормализованный операционный доход (NOI) и ставку капитализации. Это оценка стоимости самого объекта, а не чистая сумма, получаемая инвестором: из поступлений при продаже могут дополнительно вычитаться комиссия, налоги и остаток кредита.</t>
        </r>
      </text>
    </comment>
    <comment ref="I12" authorId="0" shapeId="0" xr:uid="{22F07425-755F-F241-8C42-5745F0C9B8D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Прибыль к собственным вложениям — отношение чистой прибыли инвестора к общей сумме собственных вложений, выраженное в разах. Например, 0,30x означает чистую прибыль в размере 30% от вложенного капитала. В отличие от мультипликатора положительных потоков, здесь в числителе используется итоговая прибыль после учета отрицательных потоков.</t>
        </r>
      </text>
    </comment>
    <comment ref="D13" authorId="0" shapeId="0" xr:uid="{47F1C9AC-29AF-9043-A7D2-D610745673E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Ориентировочная стоимость объекта через 5 лет, рассчитанная по методике модели независимо от выбранного срока владения. Показатель нужен для сопоставления среднесрочных сценариев и оценки потенциального роста или снижения капитальной стоимости объекта. Это расчетная оценка, чувствительная к прогнозному NOI и ставке капитализации.</t>
        </r>
      </text>
    </comment>
    <comment ref="I13" authorId="0" shapeId="0" xr:uid="{41F8794A-B688-7F48-9B8F-0F8BF381349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Входной НДС при покупке — сумма НДС, выделенная в цене приобретаемого объекта. В зависимости от налогового режима и условий модели она может быть принята к вычету и временно влияет на потребность в финансировании. Это не самостоятельный доход: экономический результат зависит от возможности и сроков возмещения или зачета НДС.</t>
        </r>
      </text>
    </comment>
    <comment ref="D14" authorId="0" shapeId="0" xr:uid="{6953574F-25AD-0440-BDB2-97B3A454BA3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Ориентировочная стоимость объекта через 10 лет, рассчитанная независимо от выбранной даты продажи. Помогает оценить долгосрочную динамику стоимости и сравнить варианты срока владения. Результат зависит от прогнозной аренды, расходов, нормализованного NOI и принятой ставки капитализации, поэтому его следует рассматривать вместе со сценарным анализом.</t>
        </r>
      </text>
    </comment>
    <comment ref="I14" authorId="0" shapeId="0" xr:uid="{20662864-12B1-6344-9E13-E10D37292114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Экономический эффект НДС — суммарное влияние НДС на денежные потоки проекта по операциям покупки, аренды, расходов и продажи. Положительное значение означает чистый денежный эффект в пользу инвестора, отрицательное — дополнительную налоговую нагрузку. Показатель помогает отделить влияние НДС от операционной и инвестиционной доходности объекта.</t>
        </r>
      </text>
    </comment>
    <comment ref="D15" authorId="0" shapeId="0" xr:uid="{2257A42F-A137-BC48-9B35-4E9222A309E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Ориентировочная стоимость объекта через 15 лет, рассчитанная независимо от выбранного срока владения. Используется для оценки долгосрочного потенциала объекта и влияния продолжительного периода эксплуатации на стоимость. Чем длиннее горизонт, тем выше неопределенность прогноза, поэтому показатель особенно чувствителен к предпосылкам по индексации, расходам и ставке капитализации.</t>
        </r>
      </text>
    </comment>
    <comment ref="I15" authorId="0" shapeId="0" xr:uid="{E55404EC-E2D6-A040-94F1-D9BAE219A01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Максимальный остаток кредита — наибольшая сумма непогашенной задолженности в любой момент расчетного периода. Показывает пиковую долговую нагрузку, необходимый лимит финансирования и потенциальный риск рефинансирования. Используется для проверки достаточности кредита и оценки чувствительности проекта к процентной ставке.</t>
        </r>
      </text>
    </comment>
    <comment ref="D16" authorId="0" shapeId="0" xr:uid="{73DA7A47-8B51-7A4D-A3CF-DA8BA96C4BB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Чистая прибыль инвестора — сумма всех денежных потоков инвестора за выбранный период: вложений, арендных поступлений, результата продажи и других учтенных моделью потоков. Показывает абсолютный финансовый результат в рублях. В отличие от NPV, показатель не дисконтирует потоки и не учитывает, когда именно были получены или вложены деньги.</t>
        </r>
      </text>
    </comment>
    <comment ref="I16" authorId="0" shapeId="0" xr:uid="{772ADEEA-E0CD-EC48-9069-4CB53FA7CBA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Остаток долга при продаже — сумма кредита, которая остается непогашенной на дату выхода из инвестиции. Этот долг должен быть погашен из поступлений от продажи либо отдельно профинансирован и поэтому уменьшает чистую сумму, получаемую инвестором. Ненулевой остаток должен быть явно учтен в итоговых денежных потоках.</t>
        </r>
      </text>
    </comment>
    <comment ref="D17" authorId="0" shapeId="0" xr:uid="{D4F4B0DB-D924-4645-8A2A-8F085D8B784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Итоговый статус контрольных проверок модели. Если отображается ошибка или предупреждение, часть исходных данных, формул или взаимосвязей требует проверки, а инвестиционные показатели могут быть ненадежными. Перед принятием решения необходимо перейти к блоку контрольных проверок и устранить выявленные несоответствия.</t>
        </r>
      </text>
    </comment>
    <comment ref="I17" authorId="0" shapeId="0" xr:uid="{7613A66C-CF46-6545-A0F6-8DA04C847F0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Статус кредита — итоговая проверка использования и погашения заемного финансирования. Показывает, применяется ли кредит и остается ли задолженность на дату продажи. Предупреждение о непогашенном долге означает, что необходимо проверить срок кредита, график погашения и корректность учета остатка в денежных потоках.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Дмитрий Пушин</author>
  </authors>
  <commentList>
    <comment ref="AI2" authorId="0" shapeId="0" xr:uid="{C6B60742-DD5D-3F40-BEFA-728E7380A3C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3" authorId="0" shapeId="0" xr:uid="{359569D5-FDAD-C449-9A05-B43D58F5ADC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4" authorId="0" shapeId="0" xr:uid="{548B793B-3C0B-A04B-AB33-6AC03914689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5" authorId="0" shapeId="0" xr:uid="{ECB9948D-36E8-F543-A58C-BF29E2BA214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6" authorId="0" shapeId="0" xr:uid="{30D1CCDA-DBE7-E34E-A6EC-AE78453EE65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7" authorId="0" shapeId="0" xr:uid="{71198FDF-19B2-7F44-9A36-EA751D350B2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8" authorId="0" shapeId="0" xr:uid="{16EB0081-F85E-4C46-B96E-C732877822F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9" authorId="0" shapeId="0" xr:uid="{731130C8-18DA-724D-8A4F-320B9E61B0A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0" authorId="0" shapeId="0" xr:uid="{E42ED9AE-1E6D-4F47-9FF9-B1052CAD23E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1" authorId="0" shapeId="0" xr:uid="{DFBCA032-B0AD-734F-A415-18846064A7D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2" authorId="0" shapeId="0" xr:uid="{EFF540B5-39A5-F842-8EF5-C268435E980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3" authorId="0" shapeId="0" xr:uid="{4B44099C-6E21-884D-8EE6-E7FAB82A209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4" authorId="0" shapeId="0" xr:uid="{09D0C369-2FA7-F34B-8612-1CFFE652B23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5" authorId="0" shapeId="0" xr:uid="{5E3507A1-CE64-E942-A567-069DDA91DBD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6" authorId="0" shapeId="0" xr:uid="{93A59121-B6F4-AB40-8E2E-9071CE46CF1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7" authorId="0" shapeId="0" xr:uid="{160A6D52-969A-C748-9E77-B7B0CDC4065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8" authorId="0" shapeId="0" xr:uid="{E293F43D-145A-3E40-8BD0-D74DE0B5958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9" authorId="0" shapeId="0" xr:uid="{3DE91CE0-4DA3-2E43-80A8-B3E1D50EE2C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20" authorId="0" shapeId="0" xr:uid="{F5E1EA18-3862-0740-9850-56F72B8AF2D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21" authorId="0" shapeId="0" xr:uid="{970255CC-CE1C-EA4A-92D7-A7124FD1890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22" authorId="0" shapeId="0" xr:uid="{8F237074-C34E-C647-B9B1-BE9573D2264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23" authorId="0" shapeId="0" xr:uid="{CAB846E1-51F6-804B-91B8-5F3EB2690D1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24" authorId="0" shapeId="0" xr:uid="{1E283D73-72D3-C546-8EFE-68161B4A3AB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25" authorId="0" shapeId="0" xr:uid="{3A89CDC6-FB4D-D642-A1A9-E693E98410D4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26" authorId="0" shapeId="0" xr:uid="{60492FB9-9D94-9D4C-B324-6F34FA75304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27" authorId="0" shapeId="0" xr:uid="{9E1753DA-8655-744E-8845-A66893C08BE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28" authorId="0" shapeId="0" xr:uid="{813DC10A-8165-064A-966F-269D9231AEF4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29" authorId="0" shapeId="0" xr:uid="{C00DB8E3-855E-4C47-BD6C-9E1D213EF69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30" authorId="0" shapeId="0" xr:uid="{5D718AD7-7535-B64B-8E1A-165854F8492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31" authorId="0" shapeId="0" xr:uid="{77B1143D-A8E3-854C-9A3C-52D4B9050BE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32" authorId="0" shapeId="0" xr:uid="{F82083CF-DDDE-E340-9A3B-6A375B9B893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33" authorId="0" shapeId="0" xr:uid="{108316AB-3CD3-3A4A-ABCE-BD33263B626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34" authorId="0" shapeId="0" xr:uid="{AE0335CF-5E49-2C4B-8E43-DDE9788173B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35" authorId="0" shapeId="0" xr:uid="{7EB93D5F-C82D-2647-8934-7D3090A4A70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36" authorId="0" shapeId="0" xr:uid="{AFEFA0B3-97F8-C749-8190-E43BCC4012D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37" authorId="0" shapeId="0" xr:uid="{45132E72-7B78-0C4D-B2BA-F04D6769C39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38" authorId="0" shapeId="0" xr:uid="{079022B4-4AD4-554F-B015-00A66E6B3FB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39" authorId="0" shapeId="0" xr:uid="{65CBC023-CF91-E843-AF5A-DF8B93FA0B3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40" authorId="0" shapeId="0" xr:uid="{15A9B985-8AC9-4146-B877-36BD3AA7FCE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41" authorId="0" shapeId="0" xr:uid="{DD2106B8-110D-EC43-A23C-62524C4494D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42" authorId="0" shapeId="0" xr:uid="{90E3BE9B-F5A6-8B41-9384-2F8E7AB4A00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43" authorId="0" shapeId="0" xr:uid="{A05968AB-B15D-8F4A-AF82-595F6ACA8B0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44" authorId="0" shapeId="0" xr:uid="{0C225A0D-7A16-AF48-ACF6-9436D5ED41D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45" authorId="0" shapeId="0" xr:uid="{73A852DF-BF96-124D-B189-56006DC86E7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46" authorId="0" shapeId="0" xr:uid="{C4715C8E-D053-9444-849F-BB370AB2D3A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47" authorId="0" shapeId="0" xr:uid="{BC9E732E-8022-B046-92B4-4AA5859D73A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48" authorId="0" shapeId="0" xr:uid="{9C690A35-5921-DF46-ADE6-DF0C533E1AD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49" authorId="0" shapeId="0" xr:uid="{3512B9A7-303E-5641-96BA-9C3097FE5B7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50" authorId="0" shapeId="0" xr:uid="{8E055FFD-449D-EF44-9B05-3A4251E0265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51" authorId="0" shapeId="0" xr:uid="{E601316E-BA67-204D-BC34-88BB77D6790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52" authorId="0" shapeId="0" xr:uid="{3A102386-1E25-A544-BCCC-B554F28BE8A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53" authorId="0" shapeId="0" xr:uid="{AC88FA57-68D7-F24D-B142-BBCB6733E6E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54" authorId="0" shapeId="0" xr:uid="{97EBF48F-8EA8-1D4C-A205-007B636C845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55" authorId="0" shapeId="0" xr:uid="{192AC1FA-BF82-D74C-8FEC-39D5E0F03A8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56" authorId="0" shapeId="0" xr:uid="{FC8FC6DE-FB72-7949-AFE1-C7C766492E3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57" authorId="0" shapeId="0" xr:uid="{3440510F-9659-E044-81EF-34C5C086621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58" authorId="0" shapeId="0" xr:uid="{FD8A4102-0152-9D4A-9C4E-6807D2B3F7B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59" authorId="0" shapeId="0" xr:uid="{EDC2895D-8629-D946-A3C2-90AF1A264B9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60" authorId="0" shapeId="0" xr:uid="{13F53E76-E205-6E42-AD7E-383DCE354D2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61" authorId="0" shapeId="0" xr:uid="{A63C9F4C-361F-2741-9359-9C29327BA57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62" authorId="0" shapeId="0" xr:uid="{E20A3286-DC82-5C40-9480-F135B79947C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63" authorId="0" shapeId="0" xr:uid="{3C87FBD2-85A6-394C-9E90-A7FAA8B8A6F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64" authorId="0" shapeId="0" xr:uid="{F77A5AB9-650E-1B4C-922D-7BE1594126D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65" authorId="0" shapeId="0" xr:uid="{D1C9953A-1D83-BB43-A524-3AF71F746FD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66" authorId="0" shapeId="0" xr:uid="{7A9B23CC-5250-F240-A8A9-599E98EF4CE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67" authorId="0" shapeId="0" xr:uid="{3A049BE5-958B-5549-8289-03FEDA37C58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68" authorId="0" shapeId="0" xr:uid="{0362AD53-C0D8-FC47-B322-38B8F4DADBF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69" authorId="0" shapeId="0" xr:uid="{ED799EFF-E695-D04F-ACD8-7BD038E2ABF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70" authorId="0" shapeId="0" xr:uid="{28149C7E-C678-5D43-A020-A8DE948C248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71" authorId="0" shapeId="0" xr:uid="{CC76A8EA-9479-6B49-A248-380D816C34F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72" authorId="0" shapeId="0" xr:uid="{77C9CEDF-CC3E-D543-8EF3-3139B807426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73" authorId="0" shapeId="0" xr:uid="{97E0F74D-956A-6345-B597-E5A4A42C155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74" authorId="0" shapeId="0" xr:uid="{72C7DAF5-9D54-9044-9DF8-CE74F061B28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75" authorId="0" shapeId="0" xr:uid="{684242A8-ADD0-AA49-9796-2275D1225B9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76" authorId="0" shapeId="0" xr:uid="{6007A351-6E07-354C-A195-776FAA48CC6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77" authorId="0" shapeId="0" xr:uid="{3DBFA2EC-5DBC-6841-8AAA-3B5BB9463E6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78" authorId="0" shapeId="0" xr:uid="{27878AD0-3C5D-224F-97DB-14D9C4BAFBB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79" authorId="0" shapeId="0" xr:uid="{3F66CFED-F5C8-6C4F-B1BB-D63F0F34329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80" authorId="0" shapeId="0" xr:uid="{5502692E-9A95-064F-82FF-D0AE2245364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81" authorId="0" shapeId="0" xr:uid="{463D048F-9057-5C4A-A8F2-F4ED4C88C59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82" authorId="0" shapeId="0" xr:uid="{B992C431-4611-D94E-B4C2-7A8A60E5D5C4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83" authorId="0" shapeId="0" xr:uid="{FA13B092-6431-D749-8FE9-9BFB0EB8B40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84" authorId="0" shapeId="0" xr:uid="{1CF3CFA3-DDD5-8A46-B9A5-1163093468D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85" authorId="0" shapeId="0" xr:uid="{28116994-888E-D849-BC8B-DCFF985E936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86" authorId="0" shapeId="0" xr:uid="{93003D27-A8FB-CA4B-914F-0C6FA8FB736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87" authorId="0" shapeId="0" xr:uid="{404F9291-121C-A94E-9431-81F267D03AB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88" authorId="0" shapeId="0" xr:uid="{A9AD69E9-FD81-384E-B22D-253199F6025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89" authorId="0" shapeId="0" xr:uid="{15D2428D-C87E-CF4B-B85F-1605AD91AB8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90" authorId="0" shapeId="0" xr:uid="{4C08CA66-6CED-2944-827C-CC74D6696A4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91" authorId="0" shapeId="0" xr:uid="{85D809E7-22C6-934F-AE20-AB6EB5C6113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92" authorId="0" shapeId="0" xr:uid="{7244B181-2AA5-954D-A24A-8357C5C5928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93" authorId="0" shapeId="0" xr:uid="{B20C55F1-247F-B245-92F7-4BDCDE90701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94" authorId="0" shapeId="0" xr:uid="{35B249E2-92E1-3745-9564-8B60A25A519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95" authorId="0" shapeId="0" xr:uid="{4F71F8C5-D780-024D-A4B7-4DD60AA81DE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96" authorId="0" shapeId="0" xr:uid="{7ECD5738-36A6-AF42-987E-1F207501894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97" authorId="0" shapeId="0" xr:uid="{4E638D74-5B39-F24E-93F7-2260793EBD2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98" authorId="0" shapeId="0" xr:uid="{58EC7068-3269-5949-B1FA-97D62BFE897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99" authorId="0" shapeId="0" xr:uid="{A682BCC4-6DA4-D343-9C75-8D3BD19F78A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00" authorId="0" shapeId="0" xr:uid="{4CFB25B8-80ED-454B-B7E8-236A8A6A52C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01" authorId="0" shapeId="0" xr:uid="{F4DF0AD7-1D31-A64D-BCB2-993867A18FC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02" authorId="0" shapeId="0" xr:uid="{57906E44-C4A5-9A43-A43C-14F447877AF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03" authorId="0" shapeId="0" xr:uid="{B951D1D2-7A09-C547-AC11-2D81E6753954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04" authorId="0" shapeId="0" xr:uid="{76F73967-394D-4F44-86AF-B842E61E75B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05" authorId="0" shapeId="0" xr:uid="{189EBC08-440C-8F48-85B7-F18B637276B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06" authorId="0" shapeId="0" xr:uid="{28F8DC6E-BB0D-164B-8F19-603014571C7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07" authorId="0" shapeId="0" xr:uid="{D3D9F3E7-C2E1-954C-BD64-ED4B3A3AE0E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08" authorId="0" shapeId="0" xr:uid="{000887D3-D5D5-9F4A-8755-EFAC5353AF3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09" authorId="0" shapeId="0" xr:uid="{053239E1-2D49-8248-BB3A-D6A008341C2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10" authorId="0" shapeId="0" xr:uid="{B3C29005-B834-EB49-B480-CCB28518465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11" authorId="0" shapeId="0" xr:uid="{DD91DE2C-3AE7-1946-869C-AE22B635029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12" authorId="0" shapeId="0" xr:uid="{502C36BA-D61A-ED4F-B9D0-F8D2794DD404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13" authorId="0" shapeId="0" xr:uid="{A0D9CC17-5E9D-5B44-A672-A767FDC2AFB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14" authorId="0" shapeId="0" xr:uid="{33AD986B-029E-B046-84C3-222355DBA08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15" authorId="0" shapeId="0" xr:uid="{DCD54B41-4FCE-B945-A446-E4374F3A809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16" authorId="0" shapeId="0" xr:uid="{EC496301-7B11-C74A-A76C-5B9227B51E6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17" authorId="0" shapeId="0" xr:uid="{17276B6A-3C61-3D41-936E-EF5E5D91CB5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18" authorId="0" shapeId="0" xr:uid="{99130B61-6D28-5843-B795-B3CFD6814F8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19" authorId="0" shapeId="0" xr:uid="{93A43334-96D7-054F-A2CF-EA0DDFE267E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20" authorId="0" shapeId="0" xr:uid="{A7380746-AABC-1643-83A4-CEB8AF8ED5A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21" authorId="0" shapeId="0" xr:uid="{322A093A-5BEC-7A4F-8EE5-1057C68DA30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22" authorId="0" shapeId="0" xr:uid="{9ED003F3-265D-D845-BBF6-E0005FC1B94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23" authorId="0" shapeId="0" xr:uid="{DAD0C3A6-A49C-F845-B0FC-8491300198E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24" authorId="0" shapeId="0" xr:uid="{C822AC39-401D-7641-B853-03A5B3BFFDD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25" authorId="0" shapeId="0" xr:uid="{5B6A2D57-07D5-E64F-808D-1A1764F9205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26" authorId="0" shapeId="0" xr:uid="{81C4D4A9-F752-C640-96A3-107BA42190F4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27" authorId="0" shapeId="0" xr:uid="{9E90D490-A46A-B240-8EEE-104E44C30FA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28" authorId="0" shapeId="0" xr:uid="{D6E9CC7A-2561-E748-BC42-0233C109EB8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29" authorId="0" shapeId="0" xr:uid="{D42BC995-AE37-F04D-8341-4CB8EAEBA8A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30" authorId="0" shapeId="0" xr:uid="{67074CE7-3E2A-DA45-A944-F1681908CAC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31" authorId="0" shapeId="0" xr:uid="{15CBA47E-613D-7F49-9312-557F8412D44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32" authorId="0" shapeId="0" xr:uid="{4EB2EBA4-1912-A049-BCDD-4D0233DE0C8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33" authorId="0" shapeId="0" xr:uid="{A7E2786B-EECA-6B46-B6BC-BB4849AD964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34" authorId="0" shapeId="0" xr:uid="{1ECC1B9C-50CA-DA42-B04A-1DED302C197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35" authorId="0" shapeId="0" xr:uid="{37C82639-DBA5-C049-9B56-D7E30EDE739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36" authorId="0" shapeId="0" xr:uid="{BE6543DF-0129-9B47-8D80-03C271CE322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37" authorId="0" shapeId="0" xr:uid="{009DE12B-866C-3A46-9833-751F0B5A098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38" authorId="0" shapeId="0" xr:uid="{8A412E3A-9878-F949-A1EE-2A258A16BE6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39" authorId="0" shapeId="0" xr:uid="{AC03DE24-D18F-5946-A1FD-4D891BF6952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40" authorId="0" shapeId="0" xr:uid="{F5BBECF9-D544-BE45-A2BF-0727EE56E2C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41" authorId="0" shapeId="0" xr:uid="{00D7A3A8-768C-8D43-85AB-DE4A7703EBA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42" authorId="0" shapeId="0" xr:uid="{80A0C0E9-B551-9D41-8A44-FFCD193C44B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43" authorId="0" shapeId="0" xr:uid="{FFE3F686-830C-8D4E-BAEB-FCB28913D89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44" authorId="0" shapeId="0" xr:uid="{1166B864-6CA5-AD43-BA82-3E5833E1B18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45" authorId="0" shapeId="0" xr:uid="{3D490888-2259-6B4B-B486-DE9B8AD6FF4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46" authorId="0" shapeId="0" xr:uid="{DBB11F4A-FF38-D242-AEBC-EC23DB93517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47" authorId="0" shapeId="0" xr:uid="{8996918F-81C8-BB4B-A5A6-5E02B6D8F6F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48" authorId="0" shapeId="0" xr:uid="{6583E228-3D5F-764F-BE7A-674F4868405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49" authorId="0" shapeId="0" xr:uid="{761617AA-3768-5641-AAFF-2CFCFDC4FC3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50" authorId="0" shapeId="0" xr:uid="{AEE1386E-F5E1-EF41-92BC-AC5D7E1826B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51" authorId="0" shapeId="0" xr:uid="{EDB33928-E669-C04F-8AB9-06099A07D78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52" authorId="0" shapeId="0" xr:uid="{7A3A5CA8-2507-F740-9BDD-A190CA10B50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53" authorId="0" shapeId="0" xr:uid="{7B2837C8-64CF-5940-A565-0360D5F5E7C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54" authorId="0" shapeId="0" xr:uid="{521B566D-5C0F-044F-B674-77AA1C1FDD6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55" authorId="0" shapeId="0" xr:uid="{1BE3B357-D1E0-934A-982D-EFCC99516B3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56" authorId="0" shapeId="0" xr:uid="{0CCE1EA2-12A7-7842-9B32-AF5A0D367CF4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57" authorId="0" shapeId="0" xr:uid="{AB67F896-37C5-9041-810B-09566975E8B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58" authorId="0" shapeId="0" xr:uid="{B6912720-A2E2-1246-8D8D-FD0394B681D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59" authorId="0" shapeId="0" xr:uid="{59B1A90F-A753-124E-B398-4C5BE649E8D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60" authorId="0" shapeId="0" xr:uid="{97985CBC-17CE-6B42-9288-298F7CEF2F2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61" authorId="0" shapeId="0" xr:uid="{EBE344EA-43AF-8647-B075-B48343F3816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62" authorId="0" shapeId="0" xr:uid="{7BBA3F21-F53F-E745-84A0-EC452867481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63" authorId="0" shapeId="0" xr:uid="{BEDB7684-19D9-674C-89ED-C2D0D394AEE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64" authorId="0" shapeId="0" xr:uid="{68686BED-45A8-4247-9AE8-8727FD93F4C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65" authorId="0" shapeId="0" xr:uid="{1BE22836-1616-7F4A-BA01-2CDD51A51804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66" authorId="0" shapeId="0" xr:uid="{FE436BC7-C09F-2B42-8AFA-F260F73B603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67" authorId="0" shapeId="0" xr:uid="{ABC0B76F-CE30-6945-8859-1545E9A895E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68" authorId="0" shapeId="0" xr:uid="{CD9177AF-8E1E-C745-90D5-84D4E0714A7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69" authorId="0" shapeId="0" xr:uid="{9B34B0F9-065B-8742-96F3-8B692AB8B12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70" authorId="0" shapeId="0" xr:uid="{58698F03-EEA5-1F4D-B6A1-81ADC73E62C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71" authorId="0" shapeId="0" xr:uid="{851B911F-02C9-F146-8516-6E47BDCB684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72" authorId="0" shapeId="0" xr:uid="{56C87C3C-CDF2-3A41-997D-BCCDA1A31F6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73" authorId="0" shapeId="0" xr:uid="{3909F8A1-8192-504D-89B5-A459E5FC0AF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74" authorId="0" shapeId="0" xr:uid="{5F71B1AB-68AE-4A46-B7A3-59E9A078B85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75" authorId="0" shapeId="0" xr:uid="{D8B75312-F7D4-B340-8C5D-3DB1EE04C5B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76" authorId="0" shapeId="0" xr:uid="{84BC8D23-EB3B-564F-9EB6-7B68B45B6CF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77" authorId="0" shapeId="0" xr:uid="{42833342-9760-AF42-AE25-B3C8A4E9BBB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78" authorId="0" shapeId="0" xr:uid="{420D184A-6F11-D74C-B1BC-050DCDB2AD8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79" authorId="0" shapeId="0" xr:uid="{AD918F90-640D-564D-9AC8-8B68DE06EAB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80" authorId="0" shapeId="0" xr:uid="{DC1644A6-F3F1-0245-AA94-9B92090C269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81" authorId="0" shapeId="0" xr:uid="{2338300D-81FB-484F-A7C5-7343CC3D618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82" authorId="0" shapeId="0" xr:uid="{7EFEAD99-604C-B045-A7C8-53A56462D1B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83" authorId="0" shapeId="0" xr:uid="{175D41A5-7809-854B-BE84-3D39A270B1B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84" authorId="0" shapeId="0" xr:uid="{2B0C09D7-F96D-AC48-B888-64ADD5D057B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85" authorId="0" shapeId="0" xr:uid="{5BBA755F-8379-244F-9A86-A184A9B1BB3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86" authorId="0" shapeId="0" xr:uid="{84DB6BD3-210F-3F44-9058-4954AD04C5B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87" authorId="0" shapeId="0" xr:uid="{347E775D-C249-3E46-84D1-457C1E12999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88" authorId="0" shapeId="0" xr:uid="{080F6CED-2AF0-B744-9CB5-CAEC06820D9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89" authorId="0" shapeId="0" xr:uid="{51EF5F5E-1C44-6043-87B8-D159699F5FA4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90" authorId="0" shapeId="0" xr:uid="{423C333C-A659-204D-B653-8EC3FB04335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91" authorId="0" shapeId="0" xr:uid="{B6C21B73-1EB3-044F-B07F-63BB25819DE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92" authorId="0" shapeId="0" xr:uid="{301B2B1B-64DD-5346-A9C4-35F0DE7E75E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93" authorId="0" shapeId="0" xr:uid="{CB5F6508-BCA5-1340-AF18-0CD72B4B7DD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94" authorId="0" shapeId="0" xr:uid="{1961ED1D-EA43-CD46-BAC4-80A8C3975BC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95" authorId="0" shapeId="0" xr:uid="{8411BE19-6FBE-704B-B59F-62BCDDB77A6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96" authorId="0" shapeId="0" xr:uid="{10A14FB1-5528-6349-A249-3C00C5AA23F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<sst xmlns="http://schemas.openxmlformats.org/spreadsheetml/2006/main" count="876" uniqueCount="644">
  <si>
    <t>Пользователь заполняет только голубые ячейки. Все расчёты обновляются автоматически.</t>
  </si>
  <si>
    <t>1. ОБЪЕКТ</t>
  </si>
  <si>
    <t>КОНТРОЛЬНЫЕ ПРОВЕРКИ</t>
  </si>
  <si>
    <t>Площадь помещения</t>
  </si>
  <si>
    <t>м²</t>
  </si>
  <si>
    <t>Обязательный ввод</t>
  </si>
  <si>
    <t>Проверка</t>
  </si>
  <si>
    <t>Статус</t>
  </si>
  <si>
    <t>Значение / отклонение</t>
  </si>
  <si>
    <t>Описание</t>
  </si>
  <si>
    <t>Стоимость помещения</t>
  </si>
  <si>
    <t>руб.</t>
  </si>
  <si>
    <t>Цена по договору в выбранном формате НДС</t>
  </si>
  <si>
    <t>Обязательные параметры</t>
  </si>
  <si>
    <t>—</t>
  </si>
  <si>
    <t>Стоимость указана</t>
  </si>
  <si>
    <t>С НДС / Без НДС</t>
  </si>
  <si>
    <t>Определяет разложение цены</t>
  </si>
  <si>
    <t>Ставка НДС при покупке</t>
  </si>
  <si>
    <t>%</t>
  </si>
  <si>
    <t>Фактическая ставка по сделке</t>
  </si>
  <si>
    <t>Источники финансирования</t>
  </si>
  <si>
    <t>дд.мм.гггг</t>
  </si>
  <si>
    <t>Дата начала аренды</t>
  </si>
  <si>
    <t>Срок инвестиции</t>
  </si>
  <si>
    <t>Можно оставить пустой</t>
  </si>
  <si>
    <t>Ставки и площадь</t>
  </si>
  <si>
    <t>Кредит &lt;= стоимости</t>
  </si>
  <si>
    <t>Коммунальные платежи</t>
  </si>
  <si>
    <t>руб./м²/мес.</t>
  </si>
  <si>
    <t>Исходная ставка</t>
  </si>
  <si>
    <t>Остаток кредита</t>
  </si>
  <si>
    <t>Эксплуатационные платежи</t>
  </si>
  <si>
    <t>Кредит в сроке модели</t>
  </si>
  <si>
    <t>Кадастровая стоимость</t>
  </si>
  <si>
    <t>Для налога на имущество</t>
  </si>
  <si>
    <t>Дата продажи</t>
  </si>
  <si>
    <t>Стоимость покупки без НДС</t>
  </si>
  <si>
    <t>Расчёт</t>
  </si>
  <si>
    <t>Стоимость продажи</t>
  </si>
  <si>
    <t>НДС в стоимости покупки</t>
  </si>
  <si>
    <t>Сценарные параметры</t>
  </si>
  <si>
    <t>Стоимость покупки с НДС</t>
  </si>
  <si>
    <t>Сверяется с графиком платежей</t>
  </si>
  <si>
    <t>Знаки денежных потоков</t>
  </si>
  <si>
    <t>Налоговая логика</t>
  </si>
  <si>
    <t>НДС к вычету</t>
  </si>
  <si>
    <t>Используется кредит</t>
  </si>
  <si>
    <t>Да / Нет</t>
  </si>
  <si>
    <t>Кредит влияет на денежный поток и финансирование</t>
  </si>
  <si>
    <t>Сумма кредита</t>
  </si>
  <si>
    <t>Итоговый статус</t>
  </si>
  <si>
    <t>Процентная ставка</t>
  </si>
  <si>
    <t>% годовых</t>
  </si>
  <si>
    <t>Начисление по фактическим дням / 365</t>
  </si>
  <si>
    <t>Примечание</t>
  </si>
  <si>
    <t>Ошибки блокируют корректную интерпретацию результатов</t>
  </si>
  <si>
    <t>Срок кредита</t>
  </si>
  <si>
    <t>месяцев</t>
  </si>
  <si>
    <t>Не должен выходить за срок модели</t>
  </si>
  <si>
    <t>Дата получения кредита</t>
  </si>
  <si>
    <t>Тип погашения</t>
  </si>
  <si>
    <t>выбор</t>
  </si>
  <si>
    <t>Аннуитетный / Равными долями</t>
  </si>
  <si>
    <t>ДОПУЩЕНИЯ МОДЕЛИ</t>
  </si>
  <si>
    <t>Параметр / метод</t>
  </si>
  <si>
    <t>Значение</t>
  </si>
  <si>
    <t>Влияние</t>
  </si>
  <si>
    <t>Назначение</t>
  </si>
  <si>
    <t>Высокое</t>
  </si>
  <si>
    <t>Первый месяц по фактическим дням</t>
  </si>
  <si>
    <t>Дата принятия НДС к вычету</t>
  </si>
  <si>
    <t>Влияет на IRR и NPV</t>
  </si>
  <si>
    <t>Ставка аренды 1-й год</t>
  </si>
  <si>
    <t>руб./м²/мес. без НДС</t>
  </si>
  <si>
    <t>Базовая ставка</t>
  </si>
  <si>
    <t>Метод погашения кредита</t>
  </si>
  <si>
    <t>Определяет профиль платежей</t>
  </si>
  <si>
    <t>Ставка аренды 2-й год</t>
  </si>
  <si>
    <t>Ставка второго года</t>
  </si>
  <si>
    <t>Налог при продаже</t>
  </si>
  <si>
    <t>Включается отдельным переключателем</t>
  </si>
  <si>
    <t>Ставка аренды 3-й год</t>
  </si>
  <si>
    <t>Ставка третьего года</t>
  </si>
  <si>
    <t>База налога на имущество</t>
  </si>
  <si>
    <t>Среднее</t>
  </si>
  <si>
    <t>Кадастровая стоимость × коэффициент</t>
  </si>
  <si>
    <t>Индексация после 3-го года</t>
  </si>
  <si>
    <t>% в год</t>
  </si>
  <si>
    <t>К ставке предыдущего года</t>
  </si>
  <si>
    <t>Порядок налоговой базы</t>
  </si>
  <si>
    <t>Упрощённая логика может быть заменена</t>
  </si>
  <si>
    <t>Коммунальные оплачивает арендатор</t>
  </si>
  <si>
    <t>Компенсация показывается отдельно</t>
  </si>
  <si>
    <t>Нормализованный NOI</t>
  </si>
  <si>
    <t>Определяет стоимость продажи</t>
  </si>
  <si>
    <t>Эксплуатационные оплачивает арендатор</t>
  </si>
  <si>
    <t>Начало операционных расходов</t>
  </si>
  <si>
    <t>Арендные каникулы</t>
  </si>
  <si>
    <t>Аренда = 0 в течение периода</t>
  </si>
  <si>
    <t>Начало налога на имущество</t>
  </si>
  <si>
    <t>По умолчанию дата покупки</t>
  </si>
  <si>
    <t>Процент простоя</t>
  </si>
  <si>
    <t>После окончания каникул</t>
  </si>
  <si>
    <t>Начало прочих расходов</t>
  </si>
  <si>
    <t>Низкое</t>
  </si>
  <si>
    <t>Даты ежемесячных потоков</t>
  </si>
  <si>
    <t>Конец месяца</t>
  </si>
  <si>
    <t>Разовые события используют фактическую дату</t>
  </si>
  <si>
    <t>Первый месяц аренды</t>
  </si>
  <si>
    <t>По фактическим дням</t>
  </si>
  <si>
    <t>Пропорциональный расчёт</t>
  </si>
  <si>
    <t>Рост коммунальных расходов</t>
  </si>
  <si>
    <t>Ежегодная индексация</t>
  </si>
  <si>
    <t>Первоначальные вложения</t>
  </si>
  <si>
    <t>Максимальный дефицит до аренды</t>
  </si>
  <si>
    <t>Потребность в собственном капитале</t>
  </si>
  <si>
    <t>Рост эксплуатационных расходов</t>
  </si>
  <si>
    <t>Ставки расходов указаны</t>
  </si>
  <si>
    <t>Определяет валовой денежный платёж</t>
  </si>
  <si>
    <t>Налоговая оговорка</t>
  </si>
  <si>
    <t>Не является консультацией</t>
  </si>
  <si>
    <t>Проверить под фактический режим клиента</t>
  </si>
  <si>
    <t>Ставка НДС по операционным расходам</t>
  </si>
  <si>
    <t>Для выделения входного НДС</t>
  </si>
  <si>
    <t>Дата начала операционных расходов</t>
  </si>
  <si>
    <t>Налоговый режим покупателя</t>
  </si>
  <si>
    <t>Упрощённая логика, не налоговая консультация</t>
  </si>
  <si>
    <t>Ставка налога</t>
  </si>
  <si>
    <t>Фактическая ставка клиента</t>
  </si>
  <si>
    <t>Покупатель является плательщиком НДС</t>
  </si>
  <si>
    <t>Определяет транзитный НДС</t>
  </si>
  <si>
    <t>Ставка НДС с аренды</t>
  </si>
  <si>
    <t>Начисляется сверх ставки аренды</t>
  </si>
  <si>
    <t>Порядок расчёта налоговой базы</t>
  </si>
  <si>
    <t>Прибыль / Выручка / Пользовательская база</t>
  </si>
  <si>
    <t>Доля расходов, уменьшающих базу</t>
  </si>
  <si>
    <t>Для метода «Прибыль до налога»</t>
  </si>
  <si>
    <t>Проценты уменьшают налоговую базу</t>
  </si>
  <si>
    <t>Не влияет на NOI</t>
  </si>
  <si>
    <t>Амортизация и прочие вычеты</t>
  </si>
  <si>
    <t>руб./год</t>
  </si>
  <si>
    <t>Дополнительный вычет</t>
  </si>
  <si>
    <t>Пользовательская налоговая база</t>
  </si>
  <si>
    <t>Только для пользовательского метода</t>
  </si>
  <si>
    <t>Предупреждение</t>
  </si>
  <si>
    <t>Логика может быть заменена фактическими данными</t>
  </si>
  <si>
    <t>Определяет месяц экономического эффекта</t>
  </si>
  <si>
    <t>Доля входного НДС к вычету</t>
  </si>
  <si>
    <t>Позволяет учесть частичный вычет</t>
  </si>
  <si>
    <t>Операционный НДС</t>
  </si>
  <si>
    <t>Перенос отрицательного сальдо</t>
  </si>
  <si>
    <t>метод</t>
  </si>
  <si>
    <t>Отрицательное сальдо переносится</t>
  </si>
  <si>
    <t>НДС в инвестиционном доходе</t>
  </si>
  <si>
    <t>Не включается</t>
  </si>
  <si>
    <t>Не включается как инвестиционный доход</t>
  </si>
  <si>
    <t>Ставка налога на имущество</t>
  </si>
  <si>
    <t>Фактическая региональная ставка</t>
  </si>
  <si>
    <t>Коэффициент налоговой базы</t>
  </si>
  <si>
    <t>коэффициент</t>
  </si>
  <si>
    <t>1,0 = 100% кадастровой стоимости</t>
  </si>
  <si>
    <t>Дата начала налога на имущество</t>
  </si>
  <si>
    <t>Комиссия посреднику при покупке</t>
  </si>
  <si>
    <t>От стоимости покупки с НДС</t>
  </si>
  <si>
    <t>Комиссия посреднику при продаже</t>
  </si>
  <si>
    <t>От валовой стоимости продажи</t>
  </si>
  <si>
    <t>Прочие расходы</t>
  </si>
  <si>
    <t>Распределяются помесячно</t>
  </si>
  <si>
    <t>Индексация прочих расходов</t>
  </si>
  <si>
    <t>Отдельный параметр</t>
  </si>
  <si>
    <t>Дата начала прочих расходов</t>
  </si>
  <si>
    <t>лет: 5 / 10 / 15</t>
  </si>
  <si>
    <t>Определяет дату продажи</t>
  </si>
  <si>
    <t>Ставка капитализации при продаже</t>
  </si>
  <si>
    <t>Должна быть больше нуля</t>
  </si>
  <si>
    <t>Корректировка стоимости продажи</t>
  </si>
  <si>
    <t>К стоимости по капитализации</t>
  </si>
  <si>
    <t>Учитывать налог при продаже</t>
  </si>
  <si>
    <t>Отдельно от операционного налога</t>
  </si>
  <si>
    <t>Ставка налога при продаже</t>
  </si>
  <si>
    <t>При включённом налоге</t>
  </si>
  <si>
    <t>База налога при продаже</t>
  </si>
  <si>
    <t>Выручка / прибыль / пользовательская</t>
  </si>
  <si>
    <t>База приобретения для налога</t>
  </si>
  <si>
    <t>Для метода «С прибыли»</t>
  </si>
  <si>
    <t>Пользовательская база налога при продаже</t>
  </si>
  <si>
    <t>Прочие расходы при продаже</t>
  </si>
  <si>
    <t>Единовременный отток</t>
  </si>
  <si>
    <t>Метод нормализованного NOI</t>
  </si>
  <si>
    <t>Следующие / последние 12 месяцев / пользовательский</t>
  </si>
  <si>
    <t>Пользовательский нормализованный NOI</t>
  </si>
  <si>
    <t>Ставка дисконтирования</t>
  </si>
  <si>
    <t>Для XNPV</t>
  </si>
  <si>
    <t>Дата покупки + срок инвестиции</t>
  </si>
  <si>
    <t>Месяц</t>
  </si>
  <si>
    <t>Кредитные средства</t>
  </si>
  <si>
    <t>Общий платёж</t>
  </si>
  <si>
    <t>Накопленный платёж</t>
  </si>
  <si>
    <t>Остаток стоимости</t>
  </si>
  <si>
    <t>№</t>
  </si>
  <si>
    <t>Дата потока</t>
  </si>
  <si>
    <t>В модели</t>
  </si>
  <si>
    <t>Месяц аренды</t>
  </si>
  <si>
    <t>Год аренды</t>
  </si>
  <si>
    <t>Ставка аренды</t>
  </si>
  <si>
    <t>Потенциальная аренда</t>
  </si>
  <si>
    <t>Потери от простоя</t>
  </si>
  <si>
    <t>Аренда без НДС</t>
  </si>
  <si>
    <t>НДС с аренды</t>
  </si>
  <si>
    <t>Денежная аренда</t>
  </si>
  <si>
    <t>Входной НДС КУ</t>
  </si>
  <si>
    <t>Компенсация КУ</t>
  </si>
  <si>
    <t>НДС компенсации КУ</t>
  </si>
  <si>
    <t>Входной НДС ЭП</t>
  </si>
  <si>
    <t>Компенсация ЭП</t>
  </si>
  <si>
    <t>НДС компенсации ЭП</t>
  </si>
  <si>
    <t>Налог на имущество</t>
  </si>
  <si>
    <t>NOI</t>
  </si>
  <si>
    <t>Покупка без НДС</t>
  </si>
  <si>
    <t>НДС при покупке</t>
  </si>
  <si>
    <t>Комиссия при покупке</t>
  </si>
  <si>
    <t>Получение кредита</t>
  </si>
  <si>
    <t>Долг на начало</t>
  </si>
  <si>
    <t>Месяц кредита</t>
  </si>
  <si>
    <t>Проценты</t>
  </si>
  <si>
    <t>Плановый платёж</t>
  </si>
  <si>
    <t>Погашение тела</t>
  </si>
  <si>
    <t>Платёж по кредиту</t>
  </si>
  <si>
    <t>Долг на конец</t>
  </si>
  <si>
    <t>Вычет НДС покупки</t>
  </si>
  <si>
    <t>Входящий остаток НДС</t>
  </si>
  <si>
    <t>Исходящий НДС</t>
  </si>
  <si>
    <t>Входной НДС</t>
  </si>
  <si>
    <t>Уплата НДС</t>
  </si>
  <si>
    <t>Исходящий остаток НДС</t>
  </si>
  <si>
    <t>Налоговая база</t>
  </si>
  <si>
    <t>Налог на доход</t>
  </si>
  <si>
    <t>NOI следующих 12 мес.</t>
  </si>
  <si>
    <t>Расчётная стоимость</t>
  </si>
  <si>
    <t>Валовая продажа</t>
  </si>
  <si>
    <t>Комиссия при продаже</t>
  </si>
  <si>
    <t>Налоги/расходы продажи</t>
  </si>
  <si>
    <t>Чистые поступления от продажи</t>
  </si>
  <si>
    <t>Фиксированный поток</t>
  </si>
  <si>
    <t>Чистый поток инвестора</t>
  </si>
  <si>
    <t>Накопленный поток</t>
  </si>
  <si>
    <t>Дисконтированный поток</t>
  </si>
  <si>
    <t>Флаг окупаемости</t>
  </si>
  <si>
    <t>Операционный денежный поток</t>
  </si>
  <si>
    <t>Операционный результат</t>
  </si>
  <si>
    <t>Инвестиционная прибыль</t>
  </si>
  <si>
    <t>Проверка знаков</t>
  </si>
  <si>
    <t>Сначала — итог для инвестора; ниже — детализация всех денежных потоков и формул.</t>
  </si>
  <si>
    <t>ИНВЕСТИЦИОННАЯ ПРИВЛЕКАТЕЛЬНОСТЬ</t>
  </si>
  <si>
    <t>РЕЗУЛЬТАТЫ ИНВЕСТИЦИИ</t>
  </si>
  <si>
    <t>ГОДОВОЙ ДЕНЕЖНЫЙ ПОТОК</t>
  </si>
  <si>
    <t>Цена покупки</t>
  </si>
  <si>
    <t>IRR</t>
  </si>
  <si>
    <t>NPV</t>
  </si>
  <si>
    <t>Срок окупаемости</t>
  </si>
  <si>
    <t>мес. / лет</t>
  </si>
  <si>
    <t>Стоимость объекта при продаже</t>
  </si>
  <si>
    <t>Стоимость объекта через 5 лет</t>
  </si>
  <si>
    <t>Стоимость объекта через 10 лет</t>
  </si>
  <si>
    <t>Стоимость объекта через 15 лет</t>
  </si>
  <si>
    <t>Чистая прибыль инвестора</t>
  </si>
  <si>
    <t>Статус модели</t>
  </si>
  <si>
    <t>Общая сумма собственных вложений</t>
  </si>
  <si>
    <t>Доход от аренды</t>
  </si>
  <si>
    <t>Доход от продажи</t>
  </si>
  <si>
    <t>Доходность эксплуатации за период</t>
  </si>
  <si>
    <t>Доходность от продажи</t>
  </si>
  <si>
    <t>Совокупная доходность</t>
  </si>
  <si>
    <t>Мультипликатор на вложенный капитал</t>
  </si>
  <si>
    <t>x</t>
  </si>
  <si>
    <t>Прибыль / собственные вложения</t>
  </si>
  <si>
    <t>Входной НДС при покупке</t>
  </si>
  <si>
    <t>Экономический эффект НДС</t>
  </si>
  <si>
    <t>Максимальный остаток кредита</t>
  </si>
  <si>
    <t>Остаток долга при продаже</t>
  </si>
  <si>
    <t>Статус кредита</t>
  </si>
  <si>
    <t>Год владения</t>
  </si>
  <si>
    <t>Операционный поток</t>
  </si>
  <si>
    <t>Поток инвестора</t>
  </si>
  <si>
    <t>Год 1</t>
  </si>
  <si>
    <t>Год 2</t>
  </si>
  <si>
    <t>Год 3</t>
  </si>
  <si>
    <t>Год 4</t>
  </si>
  <si>
    <t>Год 5</t>
  </si>
  <si>
    <t>Год 6</t>
  </si>
  <si>
    <t>Год 7</t>
  </si>
  <si>
    <t>Год 8</t>
  </si>
  <si>
    <t>Год 9</t>
  </si>
  <si>
    <t>Год 10</t>
  </si>
  <si>
    <t>Год 11</t>
  </si>
  <si>
    <t>Год 12</t>
  </si>
  <si>
    <t>Год 13</t>
  </si>
  <si>
    <t>Год 14</t>
  </si>
  <si>
    <t>Год 15</t>
  </si>
  <si>
    <t>ПЕРИОД</t>
  </si>
  <si>
    <t>ИНВЕСТИЦИОННЫЕ РАСХОДЫ</t>
  </si>
  <si>
    <t>ФИНАНСИРОВАНИЕ</t>
  </si>
  <si>
    <t>ОПЕРАЦИОННАЯ ДЕЯТЕЛЬНОСТЬ</t>
  </si>
  <si>
    <t>НАЛОГИ И НДС</t>
  </si>
  <si>
    <t>ПРОДАЖА</t>
  </si>
  <si>
    <t>РЕЗУЛЬТАТ</t>
  </si>
  <si>
    <t>Комиссия покупки</t>
  </si>
  <si>
    <t>Общий платёж кредита</t>
  </si>
  <si>
    <t>Остаток долга</t>
  </si>
  <si>
    <t>Простой</t>
  </si>
  <si>
    <t>Коммунальные</t>
  </si>
  <si>
    <t>Эксплуатационные</t>
  </si>
  <si>
    <t>Комиссия продажи</t>
  </si>
  <si>
    <t>Чистая продажа</t>
  </si>
  <si>
    <t>Чистый поток</t>
  </si>
  <si>
    <t>Источник дохода</t>
  </si>
  <si>
    <t>Результат</t>
  </si>
  <si>
    <t>Между сценариями меняются только ставки аренды, индексация и простой. Все остальные параметры идентичны.</t>
  </si>
  <si>
    <t>ПАРАМЕТРЫ СЦЕНАРИЕВ</t>
  </si>
  <si>
    <t>Параметр</t>
  </si>
  <si>
    <t>Консервативный</t>
  </si>
  <si>
    <t>Базовый</t>
  </si>
  <si>
    <t>Оптимистичный</t>
  </si>
  <si>
    <t>СРАВНИТЕЛЬНАЯ ТАБЛИЦА</t>
  </si>
  <si>
    <t>Показатель</t>
  </si>
  <si>
    <t>Индексация</t>
  </si>
  <si>
    <t>Средний годовой NOI</t>
  </si>
  <si>
    <t>Чистая прибыль</t>
  </si>
  <si>
    <t>Статус расчёта</t>
  </si>
  <si>
    <t>КОНСЕРВАТИВНЫЙ СЦЕНАРИЙ</t>
  </si>
  <si>
    <t>БАЗОВЫЙ СЦЕНАРИЙ</t>
  </si>
  <si>
    <t>ОПТИМИСТИЧНЫЙ СЦЕНАРИЙ</t>
  </si>
  <si>
    <t>Конс. Ставка аренды</t>
  </si>
  <si>
    <t>Конс. Потенциальная аренда</t>
  </si>
  <si>
    <t>Конс. Каникулы</t>
  </si>
  <si>
    <t>Конс. Простой</t>
  </si>
  <si>
    <t>Конс. Аренда без НДС</t>
  </si>
  <si>
    <t>Конс. НДС аренды</t>
  </si>
  <si>
    <t>Конс. Денежная аренда</t>
  </si>
  <si>
    <t>Конс. NOI</t>
  </si>
  <si>
    <t>Конс. Входящий остаток НДС</t>
  </si>
  <si>
    <t>Конс. Уплата НДС</t>
  </si>
  <si>
    <t>Конс. Исходящий остаток НДС</t>
  </si>
  <si>
    <t>Конс. Налоговая база</t>
  </si>
  <si>
    <t>Конс. Налог на доход</t>
  </si>
  <si>
    <t>Конс. NOI следующих 12 мес.</t>
  </si>
  <si>
    <t>Конс. Валовая продажа</t>
  </si>
  <si>
    <t>Конс. Комиссия продажи</t>
  </si>
  <si>
    <t>Конс. Налоги/расходы продажи</t>
  </si>
  <si>
    <t>Конс. Чистая продажа</t>
  </si>
  <si>
    <t>Конс. Поток инвестора</t>
  </si>
  <si>
    <t>Конс. Накопленный поток</t>
  </si>
  <si>
    <t>Конс. PV</t>
  </si>
  <si>
    <t>Конс. Операционный поток</t>
  </si>
  <si>
    <t>Конс. Флаг окупаемости</t>
  </si>
  <si>
    <t>База Ставка аренды</t>
  </si>
  <si>
    <t>База Потенциальная аренда</t>
  </si>
  <si>
    <t>База Каникулы</t>
  </si>
  <si>
    <t>База Простой</t>
  </si>
  <si>
    <t>База Аренда без НДС</t>
  </si>
  <si>
    <t>База НДС аренды</t>
  </si>
  <si>
    <t>База Денежная аренда</t>
  </si>
  <si>
    <t>База NOI</t>
  </si>
  <si>
    <t>База Входящий остаток НДС</t>
  </si>
  <si>
    <t>База Уплата НДС</t>
  </si>
  <si>
    <t>База Исходящий остаток НДС</t>
  </si>
  <si>
    <t>База Налоговая база</t>
  </si>
  <si>
    <t>База Налог на доход</t>
  </si>
  <si>
    <t>База NOI следующих 12 мес.</t>
  </si>
  <si>
    <t>База Валовая продажа</t>
  </si>
  <si>
    <t>База Комиссия продажи</t>
  </si>
  <si>
    <t>База Налоги/расходы продажи</t>
  </si>
  <si>
    <t>База Чистая продажа</t>
  </si>
  <si>
    <t>База Поток инвестора</t>
  </si>
  <si>
    <t>База Накопленный поток</t>
  </si>
  <si>
    <t>База PV</t>
  </si>
  <si>
    <t>База Операционный поток</t>
  </si>
  <si>
    <t>База Флаг окупаемости</t>
  </si>
  <si>
    <t>Опт. Ставка аренды</t>
  </si>
  <si>
    <t>Опт. Потенциальная аренда</t>
  </si>
  <si>
    <t>Опт. Каникулы</t>
  </si>
  <si>
    <t>Опт. Простой</t>
  </si>
  <si>
    <t>Опт. Аренда без НДС</t>
  </si>
  <si>
    <t>Опт. НДС аренды</t>
  </si>
  <si>
    <t>Опт. Денежная аренда</t>
  </si>
  <si>
    <t>Опт. NOI</t>
  </si>
  <si>
    <t>Опт. Входящий остаток НДС</t>
  </si>
  <si>
    <t>Опт. Уплата НДС</t>
  </si>
  <si>
    <t>Опт. Исходящий остаток НДС</t>
  </si>
  <si>
    <t>Опт. Налоговая база</t>
  </si>
  <si>
    <t>Опт. Налог на доход</t>
  </si>
  <si>
    <t>Опт. NOI следующих 12 мес.</t>
  </si>
  <si>
    <t>Опт. Валовая продажа</t>
  </si>
  <si>
    <t>Опт. Комиссия продажи</t>
  </si>
  <si>
    <t>Опт. Налоги/расходы продажи</t>
  </si>
  <si>
    <t>Опт. Чистая продажа</t>
  </si>
  <si>
    <t>Опт. Поток инвестора</t>
  </si>
  <si>
    <t>Опт. Накопленный поток</t>
  </si>
  <si>
    <t>Опт. PV</t>
  </si>
  <si>
    <t>Опт. Операционный поток</t>
  </si>
  <si>
    <t>Опт. Флаг окупаемости</t>
  </si>
  <si>
    <t>Сценарий</t>
  </si>
  <si>
    <t>2. КРЕДИТ</t>
  </si>
  <si>
    <t>3. УСЛОВИЯ АРЕНДЫ</t>
  </si>
  <si>
    <t>4. КОММУНАЛЬНЫЕ И ЭКСПЛУАТАЦИОННЫЕ РАСХОДЫ</t>
  </si>
  <si>
    <t>5. НАЛОГОВЫЙ РЕЖИМ</t>
  </si>
  <si>
    <t>6. НДС</t>
  </si>
  <si>
    <t>7. НАЛОГ НА ИМУЩЕСТВО</t>
  </si>
  <si>
    <t>8. ПРОЧИЕ РАСХОДЫ</t>
  </si>
  <si>
    <t>9. ПРОДАЖА И ДИСКОНТИРОВАНИЕ</t>
  </si>
  <si>
    <t>Средняя доходность</t>
  </si>
  <si>
    <t>Актуально на</t>
  </si>
  <si>
    <t>Правило</t>
  </si>
  <si>
    <t>Заполняйте только голубые ячейки; формулы и служебные листы не изменяйте.</t>
  </si>
  <si>
    <t>1. НАЗНАЧЕНИЕ И КАРТА ЛИСТОВ</t>
  </si>
  <si>
    <t>Лист</t>
  </si>
  <si>
    <t>Действия пользователя</t>
  </si>
  <si>
    <t>Ключевая зона</t>
  </si>
  <si>
    <t>Исходные данные</t>
  </si>
  <si>
    <t>Главный лист ввода параметров и контрольных проверок</t>
  </si>
  <si>
    <t>Инвестиционный расчет</t>
  </si>
  <si>
    <t>Сценарный анализ</t>
  </si>
  <si>
    <t>Сравнение консервативного, базового и оптимистичного вариантов</t>
  </si>
  <si>
    <t>Заполнить голубые сценарные параметры и сравнить результаты</t>
  </si>
  <si>
    <t>Параметры A4:D9; сравнение A12:D25</t>
  </si>
  <si>
    <t>Служебный помесячный расчёт базового варианта</t>
  </si>
  <si>
    <t>Не редактировать</t>
  </si>
  <si>
    <t>Используется формулами модели</t>
  </si>
  <si>
    <t>Служебный расчёт трёх сценариев</t>
  </si>
  <si>
    <t>Используется листом «Сценарный анализ»</t>
  </si>
  <si>
    <t>2. БЫСТРЫЙ ПОРЯДОК РАБОТЫ</t>
  </si>
  <si>
    <t>Шаг</t>
  </si>
  <si>
    <t>Где</t>
  </si>
  <si>
    <t>Что сделать</t>
  </si>
  <si>
    <t>Как проверить</t>
  </si>
  <si>
    <t>Введите дату начала аренды, ставки 1–3-го года, индексацию, компенсацию расходов, каникулы и простой.</t>
  </si>
  <si>
    <t>Задайте рост операционных расходов, формат НДС и при необходимости дату начала расходов.</t>
  </si>
  <si>
    <t>Настройте налоговый режим, ставку, НДС и метод налоговой базы. Пользовательскую базу вводите только при выборе соответствующего метода.</t>
  </si>
  <si>
    <t>B49:B62; предупреждение в B58 требует отдельной проверки налоговым специалистом.</t>
  </si>
  <si>
    <t>Введите налог на имущество, комиссии, прочие расходы, срок владения, капитализацию, параметры продажи и ставку дисконтирования.</t>
  </si>
  <si>
    <t>B67:B90; срок инвестиции — только 5, 10 или 15 лет.</t>
  </si>
  <si>
    <t>Заполните консервативные и оптимистичные ставки аренды, индексацию и простой. Базовые значения подтягиваются из главного листа.</t>
  </si>
  <si>
    <t>Голубые ячейки B5:B9 и D5:D9; C5:C9 не перезаписывать.</t>
  </si>
  <si>
    <t>Проверьте контрольный блок и устраните все критические ошибки.</t>
  </si>
  <si>
    <t>В N6:N22 не должно быть статуса «ОШИБКА»; итоговый статус — N23.</t>
  </si>
  <si>
    <t>Сравните доходность и окупаемость трёх сценариев и оцените устойчивость инвестиции.</t>
  </si>
  <si>
    <t>Сравнительная таблица A12:D25 и помесячные блоки ниже.</t>
  </si>
  <si>
    <t>3. ПРАВИЛА ВВОДА ДАННЫХ</t>
  </si>
  <si>
    <t>Требование</t>
  </si>
  <si>
    <t>Пример / пояснение</t>
  </si>
  <si>
    <t>Риск при нарушении</t>
  </si>
  <si>
    <t>Редактируемые ячейки</t>
  </si>
  <si>
    <t>Меняйте только голубые ячейки.</t>
  </si>
  <si>
    <t>Расчётные ячейки содержат формулы и обновляются автоматически.</t>
  </si>
  <si>
    <t>Перезапись формул нарушает модель и сценарии.</t>
  </si>
  <si>
    <t>Даты</t>
  </si>
  <si>
    <t>Вводите реальные даты в формате дд.мм.гггг.</t>
  </si>
  <si>
    <t>IRR и NPV рассчитываются по фактическим датам.</t>
  </si>
  <si>
    <t>Вводите как проценты, а не как целые числа.</t>
  </si>
  <si>
    <t>Например 12% — значение 12%, а не 12.</t>
  </si>
  <si>
    <t>Ошибочная ставка кратно искажает результат.</t>
  </si>
  <si>
    <t>Знаки</t>
  </si>
  <si>
    <t>Исходные суммы вводите положительными, если поле не требует иного.</t>
  </si>
  <si>
    <t>Модель самостоятельно формирует притоки и оттоки инвестора.</t>
  </si>
  <si>
    <t>Ручные минусы могут перевернуть денежный поток.</t>
  </si>
  <si>
    <t>Поля выбора</t>
  </si>
  <si>
    <t>Используйте предусмотренные варианты «Да/Нет» и выпадающие списки.</t>
  </si>
  <si>
    <t>Не вводите собственные формулировки вместо доступного выбора.</t>
  </si>
  <si>
    <t>Формулы могут не распознать значение.</t>
  </si>
  <si>
    <t>Условные поля</t>
  </si>
  <si>
    <t>Заполняйте дополнительные поля только при включении соответствующей опции.</t>
  </si>
  <si>
    <t>Кредит — B23:B27; НДС к вычету — B61:B62; пользовательские базы — B57, B86, B89.</t>
  </si>
  <si>
    <t>Неполная настройка вызывает ошибку или предупреждение.</t>
  </si>
  <si>
    <t>Сохранение версий</t>
  </si>
  <si>
    <t>Перед изменением ключевых допущений сохраняйте копию файла.</t>
  </si>
  <si>
    <t>Удобно хранить отдельные версии по объектам и инвестиционным решениям.</t>
  </si>
  <si>
    <t>Снижается риск потери исходного сценария.</t>
  </si>
  <si>
    <t>4. КОНТРОЛЬНЫЕ ПРОВЕРКИ</t>
  </si>
  <si>
    <t>Нормальный статус</t>
  </si>
  <si>
    <t>Что означает</t>
  </si>
  <si>
    <t>Действие при ошибке</t>
  </si>
  <si>
    <t>OK</t>
  </si>
  <si>
    <t>Все обязательные входы заполнены.</t>
  </si>
  <si>
    <t>Используйте перечень незаполненных адресов в P6.</t>
  </si>
  <si>
    <t>OK / допустимое предупреждение</t>
  </si>
  <si>
    <t>Проверьте даты B9, B10 и B30.</t>
  </si>
  <si>
    <t>Кредит</t>
  </si>
  <si>
    <t>Кредит не превышает цену и полностью погашен к дате продажи.</t>
  </si>
  <si>
    <t>Скорректируйте сумму, срок, дату выдачи или тип погашения.</t>
  </si>
  <si>
    <t>Продажа</t>
  </si>
  <si>
    <t>Дата продажи соответствует сроку владения, расчётная стоимость положительна.</t>
  </si>
  <si>
    <t>Проверьте срок, NOI, ставку капитализации и метод нормализации.</t>
  </si>
  <si>
    <t>Сценарии</t>
  </si>
  <si>
    <t>Для всех трёх сценариев определены пять параметров.</t>
  </si>
  <si>
    <t>Заполните голубые ячейки B5:B9 и D5:D9 на сценарном листе.</t>
  </si>
  <si>
    <t>Модель работает корректно</t>
  </si>
  <si>
    <t>Критических ошибок нет; предупреждения изучены.</t>
  </si>
  <si>
    <t>Не используйте результаты для решения, пока N23 показывает ошибку.</t>
  </si>
  <si>
    <t>Смысл</t>
  </si>
  <si>
    <t>Интерпретация</t>
  </si>
  <si>
    <t>Инвестиционный расчет B6</t>
  </si>
  <si>
    <t>Показывает требуемый капитал на старте.</t>
  </si>
  <si>
    <t>Годовая внутренняя норма доходности XIRR по фактическим датам.</t>
  </si>
  <si>
    <t>Сравнивайте с требуемой доходностью и альтернативными инвестициями.</t>
  </si>
  <si>
    <t>Текущая стоимость денежных потоков при ставке дисконтирования из B90 исходных данных.</t>
  </si>
  <si>
    <t>Положительный NPV означает превышение выбранной ставки доходности.</t>
  </si>
  <si>
    <t>Момент перехода накопленного потока инвестора в положительную зону.</t>
  </si>
  <si>
    <t>Нормализованный NOI, капитализированный по ставке продажи.</t>
  </si>
  <si>
    <t>Особенно чувствительна к NOI и ставке капитализации.</t>
  </si>
  <si>
    <t>Сумма всех денежных потоков инвестора за срок модели.</t>
  </si>
  <si>
    <t>Не заменяет IRR/NPV, так как не учитывает стоимость времени отдельно.</t>
  </si>
  <si>
    <t>Результаты инвестиции</t>
  </si>
  <si>
    <t>Собственные вложения, доход аренды, продажи, эффект НДС, кредит и мультипликаторы.</t>
  </si>
  <si>
    <t>Годовой и месячный поток</t>
  </si>
  <si>
    <t>K5:N20 и A22:AX216</t>
  </si>
  <si>
    <t>Динамика операционного потока, NOI, долга, продажи и накопленного результата.</t>
  </si>
  <si>
    <t>Проверяйте провалы ликвидности и зависимость результата от продажи.</t>
  </si>
  <si>
    <t>6. СЦЕНАРНЫЙ АНАЛИЗ</t>
  </si>
  <si>
    <t>Между сценариями изменяются только ставки аренды 1–3-го года, индексация после 3-го года и процент простоя. Все остальные параметры одинаковы.</t>
  </si>
  <si>
    <t>Подход</t>
  </si>
  <si>
    <t>Что проверить</t>
  </si>
  <si>
    <t>Более низкая аренда/индексация и больший простой.</t>
  </si>
  <si>
    <t>Сохраняется ли приемлемая IRR и окупаемость.</t>
  </si>
  <si>
    <t>Колонка B сравнительной таблицы.</t>
  </si>
  <si>
    <t>Параметры связаны с основными исходными данными.</t>
  </si>
  <si>
    <t>Соответствует ли реалистичному плану аренды.</t>
  </si>
  <si>
    <t>Колонка C сравнительной таблицы.</t>
  </si>
  <si>
    <t>Более высокая аренда/индексация и меньший простой.</t>
  </si>
  <si>
    <t>Не завышены ли предпосылки относительно рынка.</t>
  </si>
  <si>
    <t>Колонка D сравнительной таблицы.</t>
  </si>
  <si>
    <t>7. ТИПОВЫЕ СООБЩЕНИЯ И ДЕЙСТВИЯ</t>
  </si>
  <si>
    <t>Сообщение</t>
  </si>
  <si>
    <t>Причина</t>
  </si>
  <si>
    <t>Можно ли анализировать результат</t>
  </si>
  <si>
    <t>ТРЕБУЕТСЯ ВВОД</t>
  </si>
  <si>
    <t>Заполните указанные голубые ячейки и повторно проверьте N6:N23.</t>
  </si>
  <si>
    <t>Нет.</t>
  </si>
  <si>
    <t>ОШИБКА: исправьте контрольные проверки</t>
  </si>
  <si>
    <t>Одна или несколько критических проверок не пройдены.</t>
  </si>
  <si>
    <t>Читайте описание справа в P6:P22 и исправляйте первопричину.</t>
  </si>
  <si>
    <t>ПРЕДУПРЕЖДЕНИЕ</t>
  </si>
  <si>
    <t>Модель рассчитана, но допущение требует подтверждения.</t>
  </si>
  <si>
    <t>Проверьте даты, налоговую методику и пользовательские базы.</t>
  </si>
  <si>
    <t>Да, только после осознанной проверки.</t>
  </si>
  <si>
    <t>ПРОВЕРЬТЕ ПОТОКИ</t>
  </si>
  <si>
    <t>Для IRR нет одновременно отрицательных и положительных потоков либо расчёт не сходится.</t>
  </si>
  <si>
    <t>Проверьте цену, платежи, аренду, срок, продажу и знаки потоков.</t>
  </si>
  <si>
    <t>Нет для IRR.</t>
  </si>
  <si>
    <t>Инвестиция не окупается</t>
  </si>
  <si>
    <t>Накопленный поток остаётся отрицательным до даты продажи.</t>
  </si>
  <si>
    <t>Проверьте срок, аренду, расходы, кредит и стоимость продажи.</t>
  </si>
  <si>
    <t>Да, как негативный инвестиционный результат.</t>
  </si>
  <si>
    <t>8. ОГРАНИЧЕНИЯ МОДЕЛИ</t>
  </si>
  <si>
    <t>Налоговые расчёты являются упрощёнными и не заменяют консультацию налогового или юридического специалиста.</t>
  </si>
  <si>
    <t>Результат зависит от качества исходных данных, предположений о простое, индексации, расходах, ставке капитализации и цене продажи.</t>
  </si>
  <si>
    <t>Не редактируйте формулы, служебные листы «Расчёты» и «Сценарии_расчёт», а также расчётные ячейки на пользовательских листах.</t>
  </si>
  <si>
    <t>Перед инвестиционным решением проверьте чувствительность, ликвидность, долговую нагрузку и рыночную обоснованность ставок.</t>
  </si>
  <si>
    <t>Главные результаты, выделенные ключевые показатели и детальный денежный поток</t>
  </si>
  <si>
    <t>Сначала оценить зелёный блок A8:C11; подробные определения открывать в примечаниях D5:D17 и I5:I17; формулы не менять</t>
  </si>
  <si>
    <t>Ключевые показатели A8:C11; примечания D5:D17 и I5:I17; детализация A22:AX216</t>
  </si>
  <si>
    <t>Подробные объяснения доступны в примечаниях D5:D17 и I5:I17; результаты интерпретировать только при корректном статусе модели.</t>
  </si>
  <si>
    <t>5. КАК ЧИТАТЬ ОСНОВНЫЕ РЕЗУЛЬТАТЫ И ПРИМЕЧАНИЯ</t>
  </si>
  <si>
    <t>B8; пояснение D8</t>
  </si>
  <si>
    <t>B9; пояснение D9</t>
  </si>
  <si>
    <t>B10; пояснение D10</t>
  </si>
  <si>
    <t>B11; пояснение D11</t>
  </si>
  <si>
    <t>Показывает скорость возврата капитала; не заменяет IRR и NPV, так как не учитывает все потоки и стоимость денег во времени.</t>
  </si>
  <si>
    <t>B12; пояснение D12</t>
  </si>
  <si>
    <t>B16; пояснение D16</t>
  </si>
  <si>
    <t>F5:I17; пояснения I5:I17</t>
  </si>
  <si>
    <t>Используйте для понимания источников итоговой доходности; пояснения открываются из примечаний в столбце I.</t>
  </si>
  <si>
    <t>Примечания к показателям</t>
  </si>
  <si>
    <t>D5:D17 и I5:I17</t>
  </si>
  <si>
    <t>Подробно объясняют назначение, состав расчёта и интерпретацию каждого показателя.</t>
  </si>
  <si>
    <t>Наведите курсор на ячейку с красным треугольником. Если окно закрыто, используйте «Рецензирование → Примечания → Показать/скрыть примечание».</t>
  </si>
  <si>
    <t>Средняя доходность проекта (NOI / стоимость проекта)</t>
  </si>
  <si>
    <t>Операционный поток 1-го года (после налогов, до долга)</t>
  </si>
  <si>
    <t>Средняя доходность проекта</t>
  </si>
  <si>
    <t>Модель рассчитывает помесячные денежные потоки инвестора, стоимость продажи, среднюю доходность проекта по NOI, IRR, NPV, срок окупаемости, прибыль и результаты по трём сценариям. Четыре ключевых показателя выделены на итоговом листе зелёным цветом.</t>
  </si>
  <si>
    <t>Сначала оцените четыре выделенных показателя: среднюю доходность проекта по NOI, IRR, NPV и срок окупаемости. Затем проанализируйте прибыль, структуру доходов и денежные потоки.</t>
  </si>
  <si>
    <t>Средний годовой NOI к стоимости проекта, используемой в расчёте.</t>
  </si>
  <si>
    <t>Показывает операционную доходность объекта и не зависит от структуры финансирования.</t>
  </si>
  <si>
    <t>Средний годовой NOI / стоимость проекта</t>
  </si>
  <si>
    <t>Не зависит от структуры финансирования; методика раскрыта на итоговом листе</t>
  </si>
  <si>
    <t>Поток окупаемости без продажи</t>
  </si>
  <si>
    <t>Накопленный поток окупаемости</t>
  </si>
  <si>
    <t>Флаг окупаемости без продажи</t>
  </si>
  <si>
    <t>Конс. Поток окупаемости без продажи</t>
  </si>
  <si>
    <t>Конс. Накопленный поток окупаемости</t>
  </si>
  <si>
    <t>Конс. Флаг окупаемости без продажи</t>
  </si>
  <si>
    <t>База Поток окупаемости без продажи</t>
  </si>
  <si>
    <t>База Накопленный поток окупаемости</t>
  </si>
  <si>
    <t>База Флаг окупаемости без продажи</t>
  </si>
  <si>
    <t>Опт. Поток окупаемости без продажи</t>
  </si>
  <si>
    <t>Опт. Накопленный поток окупаемости</t>
  </si>
  <si>
    <t>Опт. Флаг окупаемости без продажи</t>
  </si>
  <si>
    <t>Срок окупаемости (без продажи)</t>
  </si>
  <si>
    <t>Окупаемость = 360 мес.</t>
  </si>
  <si>
    <t>Окупаемость без продажи, мес. (360 = 30 лет и более)</t>
  </si>
  <si>
    <t>В верхнем кратком блоке это верхняя граница графика: 30 лет или более.</t>
  </si>
  <si>
    <t>Текстовая строка в A21:D21 показывает «более 30 лет», если окупаемость не достигнута за 360 месяцев.</t>
  </si>
  <si>
    <t>Ровно 30 лет отображается как 360 мес. / 30,0 лет.</t>
  </si>
  <si>
    <t>ИНВЕСТИЦИОННАЯ МОДЕЛЬ ПОКУПКИ ГОТОВОГО КОММЕРЧЕСКОГО ОБЪЕКТА</t>
  </si>
  <si>
    <t>Дата покупки / закрытия сделки</t>
  </si>
  <si>
    <t>Дата договора и перехода права собственности</t>
  </si>
  <si>
    <t>Дата начала владения</t>
  </si>
  <si>
    <t>Для готового объекта совпадает с датой покупки</t>
  </si>
  <si>
    <t>Затраты на подготовку / ремонт</t>
  </si>
  <si>
    <t>Необязательный единовременный денежный отток</t>
  </si>
  <si>
    <t>Дата оплаты подготовки / ремонта</t>
  </si>
  <si>
    <t>Расчётная дата оплаты подготовки / ремонта</t>
  </si>
  <si>
    <t>Если дата не введена — дата покупки</t>
  </si>
  <si>
    <t>Кредитная часть оплаты на дату сделки</t>
  </si>
  <si>
    <t>Автоматически: дата покупки готового объекта</t>
  </si>
  <si>
    <t>Если пусто — с даты покупки</t>
  </si>
  <si>
    <t>10. ФИНАНСИРОВАНИЕ ПОКУПКИ — ОПЛАТА НА ДАТУ СДЕЛКИ</t>
  </si>
  <si>
    <t>Собственные средства (расчёт)</t>
  </si>
  <si>
    <t>Оплата сделки = цена</t>
  </si>
  <si>
    <t>Покупка и начало владения</t>
  </si>
  <si>
    <t>ИНСТРУКЦИЯ ПО РАБОТЕ С МОДЕЛЬЮ ПОКУПКИ ГОТОВОГО ОБЪЕКТА</t>
  </si>
  <si>
    <t>Модель оценивает покупку готового коммерческого объекта, его эксплуатацию, аренду, кредитное финансирование и последующую продажу.</t>
  </si>
  <si>
    <t>Введите параметры готового объекта: площадь, цену, НДС и дату покупки. Дата начала владения определяется автоматически как дата сделки; подготовка/ремонт указываются при необходимости.</t>
  </si>
  <si>
    <t>Оплата приобретения формируется автоматически одной суммой в месяц сделки: кредит — по разделу 2, остаток — собственные средства.</t>
  </si>
  <si>
    <t>Ручной помесячный ввод не требуется.</t>
  </si>
  <si>
    <t>Дата аренды не может быть раньше даты покупки; при свободном объекте может совпадать с ней.</t>
  </si>
  <si>
    <t>Если даты начала расходов не заполнены, расходы начинаются с даты покупки.</t>
  </si>
  <si>
    <t>Дата покупки и дата начала владения должны совпадать.</t>
  </si>
  <si>
    <t>Платёж за готовый объект формируется в месяц сделки и равен цене покупки.</t>
  </si>
  <si>
    <t>Готовый объект доступен с даты сделки; аренда не начинается раньше покупки.</t>
  </si>
  <si>
    <t>Начальные инвестиции — максимальный дефицит собственных средств с даты сделки до начала аренды.</t>
  </si>
  <si>
    <t>Заполнить голубые ячейки; оплата сделки рассчитывается автоматически</t>
  </si>
  <si>
    <t>Входы A5:B90; расчёт оплаты F5:J188; проверки M4:P24</t>
  </si>
  <si>
    <t>Модель не включает период строительства; владение начинается в дату сделки.</t>
  </si>
  <si>
    <t>Укажите, используется ли кредит. При ответе «Да» заполните сумму, ставку, срок и тип погашения; дата выдачи определяется автоматически.</t>
  </si>
  <si>
    <t>B22:B25 и B27; B26 равна дате покупки. Сумма кредита не выше стоимости покупки, срок — не позже продажи.</t>
  </si>
  <si>
    <t>Оплата сделки</t>
  </si>
  <si>
    <t>Проверьте цену покупки, признак кредита и сумму кредита.</t>
  </si>
  <si>
    <t>Не заполнены обязательные параметры или нарушены контрольные проверки сделки.</t>
  </si>
  <si>
    <t>Если не введена — дата покупки</t>
  </si>
  <si>
    <t>ИНВЕСТИЦИОННАЯ ПРИВЛЕКАТЕЛЬНОСТЬ ГОТОВОГО КОММЕРЧЕСКОГО ОБЪЕКТА</t>
  </si>
  <si>
    <t>Методика: средняя доходность проекта = средний годовой NOI / стоимость проекта. В расчёте стоимость проекта включает стоимость покупки без НДС, подготовку/ремонт и комиссию посреднику при покупке. NOI рассчитывается до финансирования, поэтому кредитный приток, погашение тела долга и проценты не влияют на показатель.</t>
  </si>
  <si>
    <t>Подготовка / ремонт</t>
  </si>
  <si>
    <t>СЦЕНАРНЫЙ АНАЛИЗ ПОКУПКИ ГОТОВОГО ОБЪЕКТА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</si>
</sst>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#,##0.0"/>
    <numFmt numFmtId="165" formatCode="#,##0;[Red]\-#,##0;\-"/>
    <numFmt numFmtId="166" formatCode="0.0%"/>
    <numFmt numFmtId="167" formatCode="dd\.mm\.yyyy"/>
    <numFmt numFmtId="168" formatCode="0.00\x"/>
    <numFmt numFmtId="169" formatCode="mm\.yyyy"/>
    <numFmt numFmtId="170" formatCode="#,##0.00;[Red]\-#,##0.00;\-"/>
    <numFmt numFmtId="171" formatCode="#,##0;[Red]\-#,##0;\–"/>
    <numFmt numFmtId="172" formatCode="\+#,##0;[Red]\-#,##0;\–"/>
    <numFmt numFmtId="173" formatCode="dd\.mm\.yyyy;;"/>
    <numFmt numFmtId="174" formatCode="mm\.yyyy;;"/>
    <numFmt numFmtId="175" formatCode=";;;@"/>
    <numFmt numFmtId="176" formatCode="0.0%;[Red]\-0.0%;\–"/>
    <numFmt numFmtId="177" formatCode="0.00\x;[Red]\-0.00\x;\–"/>
    <numFmt numFmtId="178" formatCode="#,##0;[Red]\-#,##0;;@"/>
    <numFmt numFmtId="179" formatCode="0.0%;[Red]\-0.0%;;@"/>
    <numFmt numFmtId="180" formatCode="0;[Red]\-0;\–"/>
  </numFmts>
  <fonts count="28" x14ac:knownFonts="1">
    <font>
      <sz val="12"/>
      <color theme="1"/>
      <name val="Aptos Narrow"/>
      <family val="2"/>
      <charset val="204"/>
      <scheme val="minor"/>
    </font>
    <font>
      <b/>
      <sz val="12"/>
      <color theme="1"/>
      <name val="Aptos Narrow"/>
      <family val="2"/>
      <charset val="204"/>
      <scheme val="minor"/>
    </font>
    <font>
      <b/>
      <sz val="12"/>
      <color rgb="FFFFFFFF"/>
      <name val="Aptos Narrow"/>
      <family val="2"/>
      <charset val="204"/>
      <scheme val="minor"/>
    </font>
    <font>
      <b/>
      <sz val="16"/>
      <color rgb="FFFFFFFF"/>
      <name val="Aptos Narrow"/>
      <family val="2"/>
      <charset val="204"/>
      <scheme val="minor"/>
    </font>
    <font>
      <i/>
      <sz val="12"/>
      <color theme="1"/>
      <name val="Aptos Narrow"/>
      <family val="2"/>
      <charset val="204"/>
      <scheme val="minor"/>
    </font>
    <font>
      <i/>
      <sz val="10"/>
      <color theme="1"/>
      <name val="Aptos Narrow"/>
      <family val="2"/>
      <charset val="204"/>
      <scheme val="minor"/>
    </font>
    <font>
      <sz val="12"/>
      <color theme="1"/>
      <name val="Calibri"/>
      <family val="2"/>
    </font>
    <font>
      <b/>
      <sz val="12"/>
      <color rgb="FFFFFFFF"/>
      <name val="Calibri"/>
      <family val="2"/>
    </font>
    <font>
      <b/>
      <sz val="12"/>
      <color theme="1"/>
      <name val="Calibri"/>
      <family val="2"/>
    </font>
    <font>
      <sz val="12"/>
      <color rgb="FF0070C0"/>
      <name val="Aptos Narrow"/>
      <family val="2"/>
      <charset val="204"/>
      <scheme val="minor"/>
    </font>
    <font>
      <sz val="12"/>
      <color rgb="FF0070C0"/>
      <name val="Calibri"/>
      <family val="2"/>
    </font>
    <font>
      <sz val="12"/>
      <color rgb="FF222222"/>
      <name val="Calibri"/>
      <family val="2"/>
    </font>
    <font>
      <b/>
      <sz val="12"/>
      <color rgb="FF222222"/>
      <name val="Calibri"/>
      <family val="2"/>
    </font>
    <font>
      <b/>
      <sz val="16"/>
      <color rgb="FFFFFFFF"/>
      <name val="Calibri"/>
      <family val="2"/>
    </font>
    <font>
      <i/>
      <sz val="12"/>
      <color theme="1"/>
      <name val="Calibri"/>
      <family val="2"/>
    </font>
    <font>
      <sz val="10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2"/>
      <color rgb="FF000000"/>
      <name val="Calibri"/>
      <family val="2"/>
    </font>
    <font>
      <sz val="12"/>
      <color rgb="FF000000"/>
      <name val="Aptos Narrow"/>
      <scheme val="minor"/>
    </font>
    <font>
      <b/>
      <sz val="12"/>
      <color rgb="FF000000"/>
      <name val="Aptos Narrow"/>
      <scheme val="minor"/>
    </font>
    <font>
      <sz val="11"/>
      <color rgb="FF222222"/>
      <name val="Aptos Narrow"/>
      <scheme val="minor"/>
    </font>
    <font>
      <b/>
      <sz val="16"/>
      <color rgb="FFFFFFFF"/>
      <name val="Aptos Narrow"/>
      <scheme val="minor"/>
    </font>
    <font>
      <i/>
      <sz val="11"/>
      <color rgb="FF222222"/>
      <name val="Aptos Narrow"/>
      <scheme val="minor"/>
    </font>
    <font>
      <i/>
      <sz val="11"/>
      <color rgb="FF595959"/>
      <name val="Aptos Narrow"/>
      <scheme val="minor"/>
    </font>
    <font>
      <b/>
      <sz val="11"/>
      <color rgb="FF222222"/>
      <name val="Aptos Narrow"/>
      <scheme val="minor"/>
    </font>
    <font>
      <b/>
      <sz val="12"/>
      <color rgb="FFFFFFFF"/>
      <name val="Aptos Narrow"/>
      <scheme val="minor"/>
    </font>
    <font>
      <u/>
      <sz val="12"/>
      <color theme="10"/>
      <name val="Aptos Narrow"/>
      <family val="2"/>
      <charset val="204"/>
      <scheme val="minor"/>
    </font>
    <font>
      <sz val="11"/>
      <color rgb="FF595959"/>
      <name val="Aptos Narrow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D2330"/>
        <bgColor indexed="64"/>
      </patternFill>
    </fill>
    <fill>
      <patternFill patternType="solid">
        <fgColor rgb="FFE2E3E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1D4E78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6E0B4"/>
        <bgColor indexed="64"/>
      </patternFill>
    </fill>
  </fills>
  <borders count="20">
    <border>
      <left/>
      <right/>
      <top/>
      <bottom/>
      <diagonal/>
    </border>
    <border>
      <left style="medium">
        <color rgb="FF4472C4"/>
      </left>
      <right/>
      <top/>
      <bottom/>
      <diagonal/>
    </border>
    <border>
      <left/>
      <right style="medium">
        <color rgb="FF4472C4"/>
      </right>
      <top style="thin">
        <color rgb="FF9EADBF"/>
      </top>
      <bottom/>
      <diagonal/>
    </border>
    <border>
      <left/>
      <right/>
      <top style="thin">
        <color rgb="FF9EADBF"/>
      </top>
      <bottom/>
      <diagonal/>
    </border>
    <border>
      <left/>
      <right style="medium">
        <color rgb="FF4472C4"/>
      </right>
      <top style="medium">
        <color rgb="FF4472C4"/>
      </top>
      <bottom/>
      <diagonal/>
    </border>
    <border>
      <left/>
      <right/>
      <top style="medium">
        <color rgb="FF4472C4"/>
      </top>
      <bottom/>
      <diagonal/>
    </border>
    <border>
      <left/>
      <right style="medium">
        <color rgb="FF4472C4"/>
      </right>
      <top style="thin">
        <color rgb="FF9EADBF"/>
      </top>
      <bottom style="medium">
        <color rgb="FF4472C4"/>
      </bottom>
      <diagonal/>
    </border>
    <border>
      <left/>
      <right/>
      <top style="thin">
        <color rgb="FF9EADBF"/>
      </top>
      <bottom style="medium">
        <color rgb="FF4472C4"/>
      </bottom>
      <diagonal/>
    </border>
    <border>
      <left style="medium">
        <color rgb="FF4472C4"/>
      </left>
      <right/>
      <top style="medium">
        <color rgb="FF4472C4"/>
      </top>
      <bottom style="thin">
        <color rgb="FF9EADBF"/>
      </bottom>
      <diagonal/>
    </border>
    <border>
      <left style="medium">
        <color rgb="FF4472C4"/>
      </left>
      <right/>
      <top style="thin">
        <color rgb="FF9EADBF"/>
      </top>
      <bottom style="medium">
        <color rgb="FF4472C4"/>
      </bottom>
      <diagonal/>
    </border>
    <border>
      <left/>
      <right/>
      <top/>
      <bottom style="thin">
        <color rgb="FF9E9E9E"/>
      </bottom>
      <diagonal/>
    </border>
    <border>
      <left/>
      <right/>
      <top/>
      <bottom style="thin">
        <color rgb="FF7F7F7F"/>
      </bottom>
      <diagonal/>
    </border>
    <border>
      <left/>
      <right/>
      <top style="medium">
        <color rgb="FF548235"/>
      </top>
      <bottom/>
      <diagonal/>
    </border>
    <border>
      <left style="medium">
        <color rgb="FF548235"/>
      </left>
      <right/>
      <top style="medium">
        <color rgb="FF548235"/>
      </top>
      <bottom/>
      <diagonal/>
    </border>
    <border>
      <left/>
      <right style="medium">
        <color rgb="FF548235"/>
      </right>
      <top style="medium">
        <color rgb="FF548235"/>
      </top>
      <bottom/>
      <diagonal/>
    </border>
    <border>
      <left style="medium">
        <color rgb="FF548235"/>
      </left>
      <right/>
      <top/>
      <bottom/>
      <diagonal/>
    </border>
    <border>
      <left/>
      <right style="medium">
        <color rgb="FF548235"/>
      </right>
      <top/>
      <bottom/>
      <diagonal/>
    </border>
    <border>
      <left/>
      <right/>
      <top/>
      <bottom style="medium">
        <color rgb="FF548235"/>
      </bottom>
      <diagonal/>
    </border>
    <border>
      <left style="medium">
        <color rgb="FF548235"/>
      </left>
      <right/>
      <top/>
      <bottom style="medium">
        <color rgb="FF548235"/>
      </bottom>
      <diagonal/>
    </border>
    <border>
      <left/>
      <right style="medium">
        <color rgb="FF548235"/>
      </right>
      <top/>
      <bottom style="medium">
        <color rgb="FF548235"/>
      </bottom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133">
    <xf numFmtId="0" fontId="0" fillId="0" borderId="0" xfId="0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6" fillId="0" borderId="0" xfId="0" applyFo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vertical="center"/>
    </xf>
    <xf numFmtId="164" fontId="10" fillId="6" borderId="0" xfId="0" applyNumberFormat="1" applyFont="1" applyFill="1" applyAlignment="1">
      <alignment vertical="center"/>
    </xf>
    <xf numFmtId="165" fontId="10" fillId="6" borderId="0" xfId="0" applyNumberFormat="1" applyFont="1" applyFill="1" applyAlignment="1">
      <alignment vertical="center"/>
    </xf>
    <xf numFmtId="166" fontId="10" fillId="6" borderId="0" xfId="0" applyNumberFormat="1" applyFont="1" applyFill="1" applyAlignment="1">
      <alignment vertical="center"/>
    </xf>
    <xf numFmtId="167" fontId="10" fillId="6" borderId="0" xfId="0" applyNumberFormat="1" applyFont="1" applyFill="1" applyAlignment="1">
      <alignment vertical="center"/>
    </xf>
    <xf numFmtId="1" fontId="10" fillId="6" borderId="0" xfId="0" applyNumberFormat="1" applyFont="1" applyFill="1" applyAlignment="1">
      <alignment vertical="center"/>
    </xf>
    <xf numFmtId="167" fontId="6" fillId="0" borderId="0" xfId="0" applyNumberFormat="1" applyFont="1" applyAlignment="1">
      <alignment vertical="center"/>
    </xf>
    <xf numFmtId="168" fontId="6" fillId="0" borderId="0" xfId="0" applyNumberFormat="1" applyFont="1" applyAlignment="1">
      <alignment vertical="center"/>
    </xf>
    <xf numFmtId="169" fontId="0" fillId="0" borderId="0" xfId="0" applyNumberFormat="1"/>
    <xf numFmtId="169" fontId="6" fillId="0" borderId="0" xfId="0" applyNumberFormat="1" applyFont="1"/>
    <xf numFmtId="0" fontId="8" fillId="3" borderId="0" xfId="0" applyFont="1" applyFill="1"/>
    <xf numFmtId="0" fontId="2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8" fillId="0" borderId="0" xfId="0" applyFont="1"/>
    <xf numFmtId="0" fontId="8" fillId="3" borderId="0" xfId="0" applyFont="1" applyFill="1" applyAlignment="1">
      <alignment wrapText="1"/>
    </xf>
    <xf numFmtId="0" fontId="8" fillId="5" borderId="0" xfId="0" applyFont="1" applyFill="1" applyAlignment="1">
      <alignment vertical="center"/>
    </xf>
    <xf numFmtId="0" fontId="8" fillId="5" borderId="0" xfId="0" applyFont="1" applyFill="1" applyAlignment="1">
      <alignment vertical="center" wrapText="1"/>
    </xf>
    <xf numFmtId="170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4" fontId="6" fillId="0" borderId="0" xfId="0" applyNumberFormat="1" applyFont="1" applyAlignment="1">
      <alignment vertical="center"/>
    </xf>
    <xf numFmtId="171" fontId="11" fillId="7" borderId="0" xfId="0" applyNumberFormat="1" applyFont="1" applyFill="1" applyAlignment="1">
      <alignment vertical="center"/>
    </xf>
    <xf numFmtId="171" fontId="6" fillId="0" borderId="0" xfId="0" applyNumberFormat="1" applyFont="1" applyAlignment="1">
      <alignment vertical="center"/>
    </xf>
    <xf numFmtId="171" fontId="6" fillId="8" borderId="0" xfId="0" applyNumberFormat="1" applyFont="1" applyFill="1"/>
    <xf numFmtId="171" fontId="6" fillId="7" borderId="0" xfId="0" applyNumberFormat="1" applyFont="1" applyFill="1"/>
    <xf numFmtId="172" fontId="6" fillId="0" borderId="0" xfId="0" applyNumberFormat="1" applyFont="1"/>
    <xf numFmtId="167" fontId="6" fillId="0" borderId="0" xfId="0" applyNumberFormat="1" applyFont="1"/>
    <xf numFmtId="172" fontId="0" fillId="0" borderId="0" xfId="0" applyNumberFormat="1"/>
    <xf numFmtId="166" fontId="0" fillId="0" borderId="0" xfId="0" applyNumberFormat="1"/>
    <xf numFmtId="173" fontId="11" fillId="7" borderId="0" xfId="0" applyNumberFormat="1" applyFont="1" applyFill="1" applyAlignment="1">
      <alignment vertical="center"/>
    </xf>
    <xf numFmtId="173" fontId="6" fillId="0" borderId="0" xfId="0" applyNumberFormat="1" applyFont="1" applyAlignment="1">
      <alignment vertical="center"/>
    </xf>
    <xf numFmtId="174" fontId="6" fillId="0" borderId="0" xfId="0" applyNumberFormat="1" applyFont="1" applyAlignment="1">
      <alignment vertical="center"/>
    </xf>
    <xf numFmtId="175" fontId="6" fillId="4" borderId="0" xfId="0" applyNumberFormat="1" applyFont="1" applyFill="1" applyAlignment="1">
      <alignment vertical="center"/>
    </xf>
    <xf numFmtId="175" fontId="8" fillId="5" borderId="0" xfId="0" applyNumberFormat="1" applyFont="1" applyFill="1" applyAlignment="1">
      <alignment vertical="center"/>
    </xf>
    <xf numFmtId="175" fontId="6" fillId="0" borderId="0" xfId="0" applyNumberFormat="1" applyFont="1" applyAlignment="1">
      <alignment vertical="center"/>
    </xf>
    <xf numFmtId="175" fontId="11" fillId="7" borderId="0" xfId="0" applyNumberFormat="1" applyFont="1" applyFill="1" applyAlignment="1">
      <alignment vertical="center"/>
    </xf>
    <xf numFmtId="176" fontId="6" fillId="7" borderId="0" xfId="0" applyNumberFormat="1" applyFont="1" applyFill="1"/>
    <xf numFmtId="177" fontId="6" fillId="7" borderId="0" xfId="0" applyNumberFormat="1" applyFont="1" applyFill="1"/>
    <xf numFmtId="178" fontId="9" fillId="6" borderId="0" xfId="0" applyNumberFormat="1" applyFont="1" applyFill="1"/>
    <xf numFmtId="178" fontId="0" fillId="7" borderId="0" xfId="0" applyNumberFormat="1" applyFill="1"/>
    <xf numFmtId="179" fontId="9" fillId="6" borderId="0" xfId="0" applyNumberFormat="1" applyFont="1" applyFill="1"/>
    <xf numFmtId="179" fontId="0" fillId="7" borderId="0" xfId="0" applyNumberFormat="1" applyFill="1"/>
    <xf numFmtId="174" fontId="0" fillId="0" borderId="0" xfId="0" applyNumberFormat="1"/>
    <xf numFmtId="175" fontId="6" fillId="4" borderId="0" xfId="0" applyNumberFormat="1" applyFont="1" applyFill="1"/>
    <xf numFmtId="0" fontId="10" fillId="6" borderId="0" xfId="0" applyFont="1" applyFill="1" applyAlignment="1">
      <alignment horizontal="right" vertical="center"/>
    </xf>
    <xf numFmtId="3" fontId="11" fillId="9" borderId="0" xfId="0" applyNumberFormat="1" applyFont="1" applyFill="1" applyAlignment="1">
      <alignment vertical="center"/>
    </xf>
    <xf numFmtId="3" fontId="11" fillId="9" borderId="0" xfId="0" applyNumberFormat="1" applyFont="1" applyFill="1" applyAlignment="1">
      <alignment horizontal="right" vertical="center"/>
    </xf>
    <xf numFmtId="0" fontId="11" fillId="10" borderId="0" xfId="0" applyFont="1" applyFill="1" applyAlignment="1">
      <alignment vertical="center"/>
    </xf>
    <xf numFmtId="166" fontId="10" fillId="6" borderId="0" xfId="0" applyNumberFormat="1" applyFont="1" applyFill="1" applyAlignment="1">
      <alignment horizontal="right" vertical="center"/>
    </xf>
    <xf numFmtId="165" fontId="10" fillId="6" borderId="0" xfId="0" applyNumberFormat="1" applyFont="1" applyFill="1" applyAlignment="1">
      <alignment horizontal="right" vertical="center"/>
    </xf>
    <xf numFmtId="1" fontId="10" fillId="6" borderId="0" xfId="0" applyNumberFormat="1" applyFont="1" applyFill="1" applyAlignment="1">
      <alignment horizontal="right" vertical="center"/>
    </xf>
    <xf numFmtId="173" fontId="11" fillId="7" borderId="0" xfId="0" applyNumberFormat="1" applyFont="1" applyFill="1" applyAlignment="1">
      <alignment horizontal="right" vertical="center"/>
    </xf>
    <xf numFmtId="167" fontId="10" fillId="6" borderId="0" xfId="0" applyNumberFormat="1" applyFont="1" applyFill="1" applyAlignment="1">
      <alignment horizontal="right" vertical="center"/>
    </xf>
    <xf numFmtId="168" fontId="10" fillId="6" borderId="0" xfId="0" applyNumberFormat="1" applyFont="1" applyFill="1" applyAlignment="1">
      <alignment horizontal="right" vertical="center"/>
    </xf>
    <xf numFmtId="167" fontId="11" fillId="9" borderId="0" xfId="0" applyNumberFormat="1" applyFont="1" applyFill="1" applyAlignment="1">
      <alignment horizontal="right" vertical="center"/>
    </xf>
    <xf numFmtId="166" fontId="11" fillId="9" borderId="0" xfId="0" applyNumberFormat="1" applyFont="1" applyFill="1" applyAlignment="1">
      <alignment horizontal="right" vertical="center"/>
    </xf>
    <xf numFmtId="0" fontId="11" fillId="7" borderId="0" xfId="0" applyFont="1" applyFill="1" applyAlignment="1">
      <alignment horizontal="left" vertical="center"/>
    </xf>
    <xf numFmtId="171" fontId="17" fillId="11" borderId="0" xfId="0" applyNumberFormat="1" applyFont="1" applyFill="1" applyAlignment="1">
      <alignment vertical="center"/>
    </xf>
    <xf numFmtId="3" fontId="0" fillId="0" borderId="0" xfId="0" applyNumberFormat="1" applyAlignment="1">
      <alignment horizontal="right"/>
    </xf>
    <xf numFmtId="176" fontId="0" fillId="0" borderId="0" xfId="0" applyNumberFormat="1" applyAlignment="1">
      <alignment horizontal="right"/>
    </xf>
    <xf numFmtId="171" fontId="0" fillId="0" borderId="0" xfId="0" applyNumberFormat="1" applyAlignment="1">
      <alignment horizontal="right"/>
    </xf>
    <xf numFmtId="175" fontId="0" fillId="0" borderId="0" xfId="0" applyNumberFormat="1" applyAlignment="1">
      <alignment horizontal="right"/>
    </xf>
    <xf numFmtId="0" fontId="19" fillId="12" borderId="1" xfId="0" applyFont="1" applyFill="1" applyBorder="1" applyAlignment="1">
      <alignment horizontal="left"/>
    </xf>
    <xf numFmtId="176" fontId="19" fillId="12" borderId="3" xfId="0" applyNumberFormat="1" applyFont="1" applyFill="1" applyBorder="1" applyAlignment="1">
      <alignment horizontal="right"/>
    </xf>
    <xf numFmtId="176" fontId="19" fillId="12" borderId="2" xfId="0" applyNumberFormat="1" applyFont="1" applyFill="1" applyBorder="1" applyAlignment="1">
      <alignment horizontal="right"/>
    </xf>
    <xf numFmtId="176" fontId="19" fillId="12" borderId="5" xfId="0" applyNumberFormat="1" applyFont="1" applyFill="1" applyBorder="1" applyAlignment="1">
      <alignment horizontal="right"/>
    </xf>
    <xf numFmtId="176" fontId="19" fillId="12" borderId="4" xfId="0" applyNumberFormat="1" applyFont="1" applyFill="1" applyBorder="1" applyAlignment="1">
      <alignment horizontal="right"/>
    </xf>
    <xf numFmtId="171" fontId="19" fillId="12" borderId="3" xfId="0" applyNumberFormat="1" applyFont="1" applyFill="1" applyBorder="1" applyAlignment="1">
      <alignment horizontal="right"/>
    </xf>
    <xf numFmtId="171" fontId="19" fillId="12" borderId="2" xfId="0" applyNumberFormat="1" applyFont="1" applyFill="1" applyBorder="1" applyAlignment="1">
      <alignment horizontal="right"/>
    </xf>
    <xf numFmtId="0" fontId="19" fillId="12" borderId="7" xfId="0" applyFont="1" applyFill="1" applyBorder="1" applyAlignment="1">
      <alignment horizontal="right"/>
    </xf>
    <xf numFmtId="0" fontId="19" fillId="12" borderId="6" xfId="0" applyFont="1" applyFill="1" applyBorder="1" applyAlignment="1">
      <alignment horizontal="right"/>
    </xf>
    <xf numFmtId="0" fontId="19" fillId="12" borderId="8" xfId="0" applyFont="1" applyFill="1" applyBorder="1" applyAlignment="1">
      <alignment horizontal="left"/>
    </xf>
    <xf numFmtId="0" fontId="19" fillId="12" borderId="9" xfId="0" applyFont="1" applyFill="1" applyBorder="1" applyAlignment="1">
      <alignment horizontal="left"/>
    </xf>
    <xf numFmtId="0" fontId="19" fillId="3" borderId="10" xfId="0" applyFont="1" applyFill="1" applyBorder="1" applyAlignment="1">
      <alignment horizontal="center"/>
    </xf>
    <xf numFmtId="176" fontId="18" fillId="11" borderId="0" xfId="0" applyNumberFormat="1" applyFont="1" applyFill="1" applyAlignment="1">
      <alignment horizontal="right"/>
    </xf>
    <xf numFmtId="180" fontId="18" fillId="11" borderId="0" xfId="0" applyNumberFormat="1" applyFont="1" applyFill="1" applyAlignment="1">
      <alignment horizontal="right"/>
    </xf>
    <xf numFmtId="0" fontId="20" fillId="0" borderId="0" xfId="0" applyFont="1" applyAlignment="1">
      <alignment vertical="top" wrapText="1"/>
    </xf>
    <xf numFmtId="0" fontId="24" fillId="7" borderId="0" xfId="0" applyFont="1" applyFill="1" applyAlignment="1">
      <alignment vertical="top" wrapText="1"/>
    </xf>
    <xf numFmtId="0" fontId="24" fillId="14" borderId="11" xfId="0" applyFont="1" applyFill="1" applyBorder="1" applyAlignment="1">
      <alignment horizontal="center" vertical="top" wrapText="1"/>
    </xf>
    <xf numFmtId="0" fontId="26" fillId="0" borderId="0" xfId="1" applyAlignment="1">
      <alignment vertical="top" wrapText="1"/>
    </xf>
    <xf numFmtId="0" fontId="24" fillId="4" borderId="0" xfId="0" applyFont="1" applyFill="1" applyAlignment="1">
      <alignment vertical="top" wrapText="1"/>
    </xf>
    <xf numFmtId="0" fontId="8" fillId="8" borderId="13" xfId="0" applyFont="1" applyFill="1" applyBorder="1"/>
    <xf numFmtId="176" fontId="8" fillId="15" borderId="0" xfId="0" applyNumberFormat="1" applyFont="1" applyFill="1"/>
    <xf numFmtId="176" fontId="8" fillId="15" borderId="12" xfId="0" applyNumberFormat="1" applyFont="1" applyFill="1" applyBorder="1"/>
    <xf numFmtId="0" fontId="8" fillId="8" borderId="14" xfId="0" applyFont="1" applyFill="1" applyBorder="1"/>
    <xf numFmtId="0" fontId="8" fillId="8" borderId="15" xfId="0" applyFont="1" applyFill="1" applyBorder="1"/>
    <xf numFmtId="0" fontId="8" fillId="8" borderId="16" xfId="0" applyFont="1" applyFill="1" applyBorder="1"/>
    <xf numFmtId="171" fontId="8" fillId="15" borderId="0" xfId="0" applyNumberFormat="1" applyFont="1" applyFill="1"/>
    <xf numFmtId="0" fontId="8" fillId="8" borderId="18" xfId="0" applyFont="1" applyFill="1" applyBorder="1"/>
    <xf numFmtId="0" fontId="8" fillId="15" borderId="17" xfId="0" applyFont="1" applyFill="1" applyBorder="1"/>
    <xf numFmtId="0" fontId="8" fillId="8" borderId="19" xfId="0" applyFont="1" applyFill="1" applyBorder="1"/>
    <xf numFmtId="0" fontId="24" fillId="0" borderId="0" xfId="0" applyFont="1" applyAlignment="1">
      <alignment vertical="top" wrapText="1"/>
    </xf>
    <xf numFmtId="0" fontId="24" fillId="8" borderId="0" xfId="0" applyFont="1" applyFill="1" applyAlignment="1">
      <alignment vertical="top" wrapText="1"/>
    </xf>
    <xf numFmtId="0" fontId="20" fillId="8" borderId="0" xfId="0" applyFont="1" applyFill="1" applyAlignment="1">
      <alignment vertical="top"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7" fillId="2" borderId="0" xfId="0" applyFon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wrapText="1"/>
    </xf>
    <xf numFmtId="0" fontId="13" fillId="2" borderId="0" xfId="0" applyFont="1" applyFill="1"/>
    <xf numFmtId="0" fontId="14" fillId="0" borderId="0" xfId="0" applyFont="1"/>
    <xf numFmtId="0" fontId="7" fillId="2" borderId="0" xfId="0" applyFont="1" applyFill="1"/>
    <xf numFmtId="0" fontId="22" fillId="0" borderId="0" xfId="0" applyFont="1" applyAlignment="1">
      <alignment vertical="top"/>
    </xf>
    <xf numFmtId="0" fontId="22" fillId="0" borderId="0" xfId="0" applyFont="1" applyAlignment="1">
      <alignment vertical="top" wrapText="1"/>
    </xf>
    <xf numFmtId="0" fontId="20" fillId="7" borderId="0" xfId="0" applyFont="1" applyFill="1" applyAlignment="1">
      <alignment vertical="top"/>
    </xf>
    <xf numFmtId="0" fontId="20" fillId="7" borderId="0" xfId="0" applyFont="1" applyFill="1" applyAlignment="1">
      <alignment vertical="top" wrapText="1"/>
    </xf>
    <xf numFmtId="0" fontId="21" fillId="2" borderId="0" xfId="0" applyFont="1" applyFill="1" applyAlignment="1">
      <alignment vertical="top"/>
    </xf>
    <xf numFmtId="0" fontId="21" fillId="2" borderId="0" xfId="0" applyFont="1" applyFill="1" applyAlignment="1">
      <alignment vertical="top"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vertical="top" wrapText="1"/>
    </xf>
    <xf numFmtId="0" fontId="25" fillId="13" borderId="0" xfId="0" applyFont="1" applyFill="1" applyAlignment="1">
      <alignment vertical="top" wrapText="1"/>
    </xf>
    <xf numFmtId="0" fontId="27" fillId="0" borderId="0" xfId="0" applyFont="1" applyAlignment="1">
      <alignment vertical="top"/>
    </xf>
    <xf numFmtId="0" fontId="27" fillId="0" borderId="0" xfId="0" applyFont="1" applyAlignment="1">
      <alignment vertical="top" wrapText="1"/>
    </xf>
    <xf numFmtId="0" fontId="25" fillId="13" borderId="0" xfId="0" applyFont="1" applyFill="1" applyAlignment="1">
      <alignment vertical="top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12" fillId="7" borderId="0" xfId="0" applyFont="1" applyFill="1" applyAlignment="1">
      <alignment vertical="center"/>
    </xf>
    <xf numFmtId="0" fontId="4" fillId="0" borderId="0" xfId="0" applyFont="1"/>
    <xf numFmtId="0" fontId="2" fillId="2" borderId="0" xfId="0" applyFont="1" applyFill="1"/>
    <xf numFmtId="167" fontId="11" fillId="7" borderId="0" xfId="0" applyNumberFormat="1" applyFont="1" applyFill="1" applyAlignment="1">
      <alignment vertical="center"/>
    </xf>
    <xf numFmtId="14" fontId="24" fillId="7" borderId="0" xfId="0" applyNumberFormat="1" applyFont="1" applyFill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4">
    <dxf>
      <font>
        <color rgb="FF0070C0"/>
      </font>
      <fill>
        <patternFill patternType="solid">
          <fgColor indexed="64"/>
          <bgColor rgb="FFDDEBF7"/>
        </patternFill>
      </fill>
    </dxf>
    <dxf>
      <font>
        <b/>
        <i val="0"/>
        <color rgb="FF000000"/>
      </font>
      <fill>
        <patternFill patternType="solid">
          <fgColor indexed="64"/>
          <bgColor rgb="FFF2F2F2"/>
        </patternFill>
      </fill>
    </dxf>
    <dxf>
      <font>
        <b/>
        <i val="0"/>
        <color rgb="FF000000"/>
      </font>
      <fill>
        <patternFill patternType="solid">
          <fgColor indexed="64"/>
          <bgColor rgb="FFE2E3E5"/>
        </patternFill>
      </fill>
    </dxf>
    <dxf>
      <font>
        <color rgb="FFFFFFFF"/>
      </font>
      <fill>
        <patternFill patternType="solid">
          <fgColor indexed="64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Чистый денежный поток по месяцам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'Инвестиционный расчет'!$AN$23:$AN$215</c:f>
              <c:strCache>
                <c:ptCount val="193"/>
                <c:pt idx="0">
                  <c:v>Чистый поток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'Инвестиционный расчет'!$AM$216</c:f>
            </c:multiLvlStrRef>
          </c:cat>
          <c:val>
            <c:numRef>
              <c:f>'Инвестиционный расчет'!$AN$216</c:f>
              <c:numCache>
                <c:formatCode>\+#\ ##0;[Red]\-#\ ##0;\–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1F-D143-BCAB-A7D160051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14852671"/>
        <c:axId val="614854463"/>
      </c:barChart>
      <c:catAx>
        <c:axId val="61485267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Месяц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14854463"/>
        <c:crosses val="autoZero"/>
        <c:auto val="1"/>
        <c:lblAlgn val="ctr"/>
        <c:lblOffset val="100"/>
        <c:noMultiLvlLbl val="0"/>
      </c:catAx>
      <c:valAx>
        <c:axId val="6148544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руб.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\+#\ ##0;[Red]\-#\ ##0;\–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14852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Накопленный денежный поток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'Инвестиционный расчет'!$AQ$23:$AQ$215</c:f>
              <c:strCache>
                <c:ptCount val="193"/>
                <c:pt idx="0">
                  <c:v>Накопленный поток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'Инвестиционный расчет'!$AP$216</c:f>
            </c:multiLvlStrRef>
          </c:cat>
          <c:val>
            <c:numRef>
              <c:f>'Инвестиционный расчет'!$AQ$216</c:f>
              <c:numCache>
                <c:formatCode>\+#\ ##0;[Red]\-#\ ##0;\–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D7-0141-9EF8-FB40C1EF28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4788799"/>
        <c:axId val="624791039"/>
      </c:lineChart>
      <c:catAx>
        <c:axId val="6247887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Месяц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24791039"/>
        <c:crosses val="autoZero"/>
        <c:auto val="1"/>
        <c:lblAlgn val="ctr"/>
        <c:lblOffset val="100"/>
        <c:noMultiLvlLbl val="0"/>
      </c:catAx>
      <c:valAx>
        <c:axId val="6247910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руб.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\+#\ ##0;[Red]\-#\ ##0;\–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247887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Доходы инвестора: аренда и продажа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'Инвестиционный расчет'!$AT$23:$AT$24</c:f>
              <c:strCache>
                <c:ptCount val="2"/>
                <c:pt idx="0">
                  <c:v>Результат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'Инвестиционный расчет'!$AS$25</c:f>
              <c:strCache>
                <c:ptCount val="1"/>
                <c:pt idx="0">
                  <c:v>Доход от продажи</c:v>
                </c:pt>
              </c:strCache>
            </c:strRef>
          </c:cat>
          <c:val>
            <c:numRef>
              <c:f>'Инвестиционный расчет'!$AT$25</c:f>
              <c:numCache>
                <c:formatCode>\+#\ ##0;[Red]\-#\ ##0;\–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9E-3647-ABA0-A8FB82515A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83842687"/>
        <c:axId val="626062911"/>
      </c:barChart>
      <c:catAx>
        <c:axId val="58384268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Источник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26062911"/>
        <c:crosses val="autoZero"/>
        <c:auto val="1"/>
        <c:lblAlgn val="ctr"/>
        <c:lblOffset val="100"/>
        <c:noMultiLvlLbl val="0"/>
      </c:catAx>
      <c:valAx>
        <c:axId val="6260629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руб.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\+#\ ##0;[Red]\-#\ ##0;\–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838426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Расчётная стоимость объекта и остаток долга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'Инвестиционный расчет'!$AX$23:$AX$215</c:f>
              <c:strCache>
                <c:ptCount val="193"/>
                <c:pt idx="0">
                  <c:v>Остаток долга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'Инвестиционный расчет'!$AV$216:$AW$216</c:f>
            </c:multiLvlStrRef>
          </c:cat>
          <c:val>
            <c:numRef>
              <c:f>'Инвестиционный расчет'!$AX$216</c:f>
              <c:numCache>
                <c:formatCode>\+#\ ##0;[Red]\-#\ ##0;\–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B9-0345-AEFE-AE4A9AC0B5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828351"/>
        <c:axId val="583839999"/>
      </c:lineChart>
      <c:catAx>
        <c:axId val="583828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Месяц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83839999"/>
        <c:crosses val="autoZero"/>
        <c:auto val="1"/>
        <c:lblAlgn val="ctr"/>
        <c:lblOffset val="100"/>
        <c:noMultiLvlLbl val="0"/>
      </c:catAx>
      <c:valAx>
        <c:axId val="5838399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руб.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\+#\ ##0;[Red]\-#\ ##0;\–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838283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IRR </a:t>
            </a:r>
            <a:r>
              <a:rPr lang="ru-RU"/>
              <a:t>по сценариям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'Сценарный анализ'!$G$4</c:f>
              <c:strCache>
                <c:ptCount val="1"/>
                <c:pt idx="0">
                  <c:v>IRR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'Сценарный анализ'!$F$5:$F$7</c:f>
              <c:strCache>
                <c:ptCount val="3"/>
                <c:pt idx="0">
                  <c:v>Консервативный</c:v>
                </c:pt>
                <c:pt idx="1">
                  <c:v>Базовый</c:v>
                </c:pt>
                <c:pt idx="2">
                  <c:v>Оптимистичный</c:v>
                </c:pt>
              </c:strCache>
            </c:strRef>
          </c:cat>
          <c:val>
            <c:numRef>
              <c:f>'Сценарный анализ'!$G$5:$G$7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48-ED4D-B246-1050DE0CB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84094975"/>
        <c:axId val="584096767"/>
      </c:barChart>
      <c:catAx>
        <c:axId val="58409497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Сценарий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84096767"/>
        <c:crosses val="autoZero"/>
        <c:auto val="1"/>
        <c:lblAlgn val="ctr"/>
        <c:lblOffset val="100"/>
        <c:noMultiLvlLbl val="0"/>
      </c:catAx>
      <c:valAx>
        <c:axId val="5840967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IRR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840949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Средняя доходность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'Сценарный анализ'!$J$4</c:f>
              <c:strCache>
                <c:ptCount val="1"/>
                <c:pt idx="0">
                  <c:v>Средняя доходность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'Сценарный анализ'!$I$5:$I$7</c:f>
              <c:strCache>
                <c:ptCount val="3"/>
                <c:pt idx="0">
                  <c:v>Консервативный</c:v>
                </c:pt>
                <c:pt idx="1">
                  <c:v>Базовый</c:v>
                </c:pt>
                <c:pt idx="2">
                  <c:v>Оптимистичный</c:v>
                </c:pt>
              </c:strCache>
            </c:strRef>
          </c:cat>
          <c:val>
            <c:numRef>
              <c:f>'Сценарный анализ'!$J$5:$J$7</c:f>
              <c:numCache>
                <c:formatCode>0.0%;[Red]\-0.0%;\–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34-5640-B740-6AE34592C3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84388543"/>
        <c:axId val="584390335"/>
      </c:barChart>
      <c:catAx>
        <c:axId val="58438854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84390335"/>
        <c:crosses val="autoZero"/>
        <c:auto val="1"/>
        <c:lblAlgn val="ctr"/>
        <c:lblOffset val="100"/>
        <c:noMultiLvlLbl val="0"/>
      </c:catAx>
      <c:valAx>
        <c:axId val="5843903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Доходность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0.0%;[Red]\-0.0%;\–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843885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Окупаемость, мес.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'Сценарный анализ'!$M$4</c:f>
              <c:strCache>
                <c:ptCount val="1"/>
                <c:pt idx="0">
                  <c:v>Окупаемость без продажи, мес. (360 = 30 лет и более)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'Сценарный анализ'!$L$5:$L$7</c:f>
              <c:strCache>
                <c:ptCount val="3"/>
                <c:pt idx="0">
                  <c:v>Консервативный</c:v>
                </c:pt>
                <c:pt idx="1">
                  <c:v>Базовый</c:v>
                </c:pt>
                <c:pt idx="2">
                  <c:v>Оптимистичный</c:v>
                </c:pt>
              </c:strCache>
            </c:strRef>
          </c:cat>
          <c:val>
            <c:numRef>
              <c:f>'Сценарный анализ'!$M$5:$M$7</c:f>
              <c:numCache>
                <c:formatCode>0;[Red]\-0;\–</c:formatCode>
                <c:ptCount val="3"/>
                <c:pt idx="0">
                  <c:v>0</c:v>
                </c:pt>
                <c:pt idx="1">
                  <c:v>360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FA-9A45-8A23-335557631B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771721855"/>
        <c:axId val="801664383"/>
      </c:barChart>
      <c:catAx>
        <c:axId val="77172185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801664383"/>
        <c:crosses val="autoZero"/>
        <c:auto val="1"/>
        <c:lblAlgn val="ctr"/>
        <c:lblOffset val="100"/>
        <c:noMultiLvlLbl val="0"/>
      </c:catAx>
      <c:valAx>
        <c:axId val="8016643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Месяцев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0;[Red]\-0;\–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717218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219</xdr:row>
      <xdr:rowOff>0</xdr:rowOff>
    </xdr:from>
    <xdr:to>
      <xdr:col>9</xdr:col>
      <xdr:colOff>0</xdr:colOff>
      <xdr:row>235</xdr:row>
      <xdr:rowOff>0</xdr:rowOff>
    </xdr:to>
    <xdr:graphicFrame macro="">
      <xdr:nvGraphicFramePr>
        <xdr:cNvPr id="2" name="График_Денежный_поток">
          <a:extLst>
            <a:ext uri="{FF2B5EF4-FFF2-40B4-BE49-F238E27FC236}">
              <a16:creationId xmlns:a16="http://schemas.microsoft.com/office/drawing/2014/main" id="{AD8951C2-E995-8C49-8A78-4EAF7672BC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219</xdr:row>
      <xdr:rowOff>0</xdr:rowOff>
    </xdr:from>
    <xdr:to>
      <xdr:col>19</xdr:col>
      <xdr:colOff>0</xdr:colOff>
      <xdr:row>235</xdr:row>
      <xdr:rowOff>0</xdr:rowOff>
    </xdr:to>
    <xdr:graphicFrame macro="">
      <xdr:nvGraphicFramePr>
        <xdr:cNvPr id="3" name="График_Накопленный_поток">
          <a:extLst>
            <a:ext uri="{FF2B5EF4-FFF2-40B4-BE49-F238E27FC236}">
              <a16:creationId xmlns:a16="http://schemas.microsoft.com/office/drawing/2014/main" id="{B9FD5923-FE4B-8042-9114-A43B2254AA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0</xdr:colOff>
      <xdr:row>219</xdr:row>
      <xdr:rowOff>0</xdr:rowOff>
    </xdr:from>
    <xdr:to>
      <xdr:col>29</xdr:col>
      <xdr:colOff>0</xdr:colOff>
      <xdr:row>235</xdr:row>
      <xdr:rowOff>0</xdr:rowOff>
    </xdr:to>
    <xdr:graphicFrame macro="">
      <xdr:nvGraphicFramePr>
        <xdr:cNvPr id="4" name="График_Доходы_инвестора">
          <a:extLst>
            <a:ext uri="{FF2B5EF4-FFF2-40B4-BE49-F238E27FC236}">
              <a16:creationId xmlns:a16="http://schemas.microsoft.com/office/drawing/2014/main" id="{6C4A7DFF-5B5D-7D4A-A913-44A46ABBC9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30</xdr:col>
      <xdr:colOff>0</xdr:colOff>
      <xdr:row>219</xdr:row>
      <xdr:rowOff>0</xdr:rowOff>
    </xdr:from>
    <xdr:to>
      <xdr:col>39</xdr:col>
      <xdr:colOff>0</xdr:colOff>
      <xdr:row>235</xdr:row>
      <xdr:rowOff>0</xdr:rowOff>
    </xdr:to>
    <xdr:graphicFrame macro="">
      <xdr:nvGraphicFramePr>
        <xdr:cNvPr id="5" name="График_Стоимость_и_долг">
          <a:extLst>
            <a:ext uri="{FF2B5EF4-FFF2-40B4-BE49-F238E27FC236}">
              <a16:creationId xmlns:a16="http://schemas.microsoft.com/office/drawing/2014/main" id="{A964EAF7-3E83-8542-A211-462BE1A30B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10</xdr:row>
      <xdr:rowOff>0</xdr:rowOff>
    </xdr:from>
    <xdr:to>
      <xdr:col>10</xdr:col>
      <xdr:colOff>0</xdr:colOff>
      <xdr:row>24</xdr:row>
      <xdr:rowOff>0</xdr:rowOff>
    </xdr:to>
    <xdr:graphicFrame macro="">
      <xdr:nvGraphicFramePr>
        <xdr:cNvPr id="2" name="График_IRR_сценарии">
          <a:extLst>
            <a:ext uri="{FF2B5EF4-FFF2-40B4-BE49-F238E27FC236}">
              <a16:creationId xmlns:a16="http://schemas.microsoft.com/office/drawing/2014/main" id="{4CD83D4B-08AA-D54B-9B26-3A292FFC47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1168400</xdr:colOff>
      <xdr:row>10</xdr:row>
      <xdr:rowOff>12700</xdr:rowOff>
    </xdr:from>
    <xdr:to>
      <xdr:col>13</xdr:col>
      <xdr:colOff>469900</xdr:colOff>
      <xdr:row>24</xdr:row>
      <xdr:rowOff>12700</xdr:rowOff>
    </xdr:to>
    <xdr:graphicFrame macro="">
      <xdr:nvGraphicFramePr>
        <xdr:cNvPr id="3" name="График_Доходность_сценарии">
          <a:extLst>
            <a:ext uri="{FF2B5EF4-FFF2-40B4-BE49-F238E27FC236}">
              <a16:creationId xmlns:a16="http://schemas.microsoft.com/office/drawing/2014/main" id="{4ED55639-9095-004E-AD15-B8887076A9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609600</xdr:colOff>
      <xdr:row>9</xdr:row>
      <xdr:rowOff>190500</xdr:rowOff>
    </xdr:from>
    <xdr:to>
      <xdr:col>16</xdr:col>
      <xdr:colOff>1117600</xdr:colOff>
      <xdr:row>23</xdr:row>
      <xdr:rowOff>190500</xdr:rowOff>
    </xdr:to>
    <xdr:graphicFrame macro="">
      <xdr:nvGraphicFramePr>
        <xdr:cNvPr id="4" name="График_Окупаемость_сценарии">
          <a:extLst>
            <a:ext uri="{FF2B5EF4-FFF2-40B4-BE49-F238E27FC236}">
              <a16:creationId xmlns:a16="http://schemas.microsoft.com/office/drawing/2014/main" id="{70CB4A63-2BAF-B44E-A1CB-E67D5EA8FC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DC28BF0-374A-C649-AFF2-72658C701E41}">
  <we:reference id="wa200010215" version="2.0.0.0" store="en-US" storeType="OMEX"/>
  <we:alternateReferences>
    <we:reference id="WA200010215" version="2.0.0.0" store="" storeType="OMEX"/>
  </we:alternateReferences>
  <we:properties>
    <we:property name="bps.codex_control.document_id" value="&quot;ea71ac99-788a-4986-abfc-06bfc4578c6e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4FB2A-5882-9A42-A5AB-B8FD81173CEA}">
  <sheetPr>
    <tabColor rgb="FF1D4E78"/>
  </sheetPr>
  <dimension ref="A1:D80"/>
  <sheetViews>
    <sheetView showGridLines="0" workbookViewId="0">
      <pane ySplit="3" topLeftCell="A4" activePane="bottomLeft" state="frozen"/>
      <selection pane="bottomLeft" activeCell="C3" sqref="C3"/>
    </sheetView>
  </sheetViews>
  <sheetFormatPr baseColWidth="10" defaultRowHeight="16" x14ac:dyDescent="0.2"/>
  <cols>
    <col min="1" max="1" width="20" customWidth="1"/>
    <col min="2" max="2" width="30" customWidth="1"/>
    <col min="3" max="3" width="51.6640625" customWidth="1"/>
    <col min="4" max="4" width="55" customWidth="1"/>
  </cols>
  <sheetData>
    <row r="1" spans="1:4" ht="22" customHeight="1" x14ac:dyDescent="0.2">
      <c r="A1" s="114" t="s">
        <v>620</v>
      </c>
      <c r="B1" s="115"/>
      <c r="C1" s="115"/>
      <c r="D1" s="115"/>
    </row>
    <row r="2" spans="1:4" ht="16" customHeight="1" x14ac:dyDescent="0.2">
      <c r="A2" s="116" t="s">
        <v>621</v>
      </c>
      <c r="B2" s="117"/>
      <c r="C2" s="117"/>
      <c r="D2" s="117"/>
    </row>
    <row r="3" spans="1:4" ht="32" customHeight="1" x14ac:dyDescent="0.2">
      <c r="A3" s="85" t="s">
        <v>412</v>
      </c>
      <c r="B3" s="132">
        <f>DATE(2026,9,7)</f>
        <v>46272</v>
      </c>
      <c r="C3" s="85" t="s">
        <v>413</v>
      </c>
      <c r="D3" s="85" t="s">
        <v>414</v>
      </c>
    </row>
    <row r="4" spans="1:4" x14ac:dyDescent="0.2">
      <c r="A4" s="84"/>
      <c r="B4" s="84"/>
      <c r="C4" s="84"/>
      <c r="D4" s="84"/>
    </row>
    <row r="5" spans="1:4" x14ac:dyDescent="0.2">
      <c r="A5" s="118" t="s">
        <v>415</v>
      </c>
      <c r="B5" s="118"/>
      <c r="C5" s="118"/>
      <c r="D5" s="118"/>
    </row>
    <row r="6" spans="1:4" ht="16" customHeight="1" x14ac:dyDescent="0.2">
      <c r="A6" s="110" t="s">
        <v>579</v>
      </c>
      <c r="B6" s="111"/>
      <c r="C6" s="111"/>
      <c r="D6" s="111"/>
    </row>
    <row r="7" spans="1:4" x14ac:dyDescent="0.2">
      <c r="A7" s="86" t="s">
        <v>416</v>
      </c>
      <c r="B7" s="86" t="s">
        <v>68</v>
      </c>
      <c r="C7" s="86" t="s">
        <v>417</v>
      </c>
      <c r="D7" s="86" t="s">
        <v>418</v>
      </c>
    </row>
    <row r="8" spans="1:4" ht="32" customHeight="1" x14ac:dyDescent="0.2">
      <c r="A8" s="87" t="str">
        <f>HYPERLINK("#'Исходные данные'!A1","Исходные данные")</f>
        <v>Исходные данные</v>
      </c>
      <c r="B8" s="84" t="s">
        <v>420</v>
      </c>
      <c r="C8" s="84" t="s">
        <v>631</v>
      </c>
      <c r="D8" s="84" t="s">
        <v>632</v>
      </c>
    </row>
    <row r="9" spans="1:4" ht="48" customHeight="1" x14ac:dyDescent="0.2">
      <c r="A9" s="87" t="str">
        <f>HYPERLINK("#'Инвестиционный расчет'!A1","Инвестиционный расчет")</f>
        <v>Инвестиционный расчет</v>
      </c>
      <c r="B9" s="84" t="s">
        <v>558</v>
      </c>
      <c r="C9" s="84" t="s">
        <v>559</v>
      </c>
      <c r="D9" s="84" t="s">
        <v>560</v>
      </c>
    </row>
    <row r="10" spans="1:4" ht="48" customHeight="1" x14ac:dyDescent="0.2">
      <c r="A10" s="87" t="str">
        <f>HYPERLINK("#'Сценарный анализ'!A1","Сценарный анализ")</f>
        <v>Сценарный анализ</v>
      </c>
      <c r="B10" s="84" t="s">
        <v>423</v>
      </c>
      <c r="C10" s="84" t="s">
        <v>424</v>
      </c>
      <c r="D10" s="84" t="s">
        <v>425</v>
      </c>
    </row>
    <row r="11" spans="1:4" ht="32" customHeight="1" x14ac:dyDescent="0.2">
      <c r="A11" s="87" t="str">
        <f>HYPERLINK("#'Расчёты'!A1","Расчёты")</f>
        <v>Расчёты</v>
      </c>
      <c r="B11" s="84" t="s">
        <v>426</v>
      </c>
      <c r="C11" s="84" t="s">
        <v>427</v>
      </c>
      <c r="D11" s="84" t="s">
        <v>428</v>
      </c>
    </row>
    <row r="12" spans="1:4" ht="17" x14ac:dyDescent="0.2">
      <c r="A12" s="87" t="str">
        <f>HYPERLINK("#'Сценарии_расчёт'!A1","Сценарии_расчёт")</f>
        <v>Сценарии_расчёт</v>
      </c>
      <c r="B12" s="84" t="s">
        <v>429</v>
      </c>
      <c r="C12" s="84" t="s">
        <v>427</v>
      </c>
      <c r="D12" s="84" t="s">
        <v>430</v>
      </c>
    </row>
    <row r="13" spans="1:4" x14ac:dyDescent="0.2">
      <c r="A13" s="84"/>
      <c r="B13" s="84"/>
      <c r="C13" s="84"/>
      <c r="D13" s="84"/>
    </row>
    <row r="14" spans="1:4" x14ac:dyDescent="0.2">
      <c r="A14" s="118" t="s">
        <v>431</v>
      </c>
      <c r="B14" s="118"/>
      <c r="C14" s="118"/>
      <c r="D14" s="118"/>
    </row>
    <row r="15" spans="1:4" x14ac:dyDescent="0.2">
      <c r="A15" s="86" t="s">
        <v>432</v>
      </c>
      <c r="B15" s="86" t="s">
        <v>433</v>
      </c>
      <c r="C15" s="86" t="s">
        <v>434</v>
      </c>
      <c r="D15" s="86" t="s">
        <v>435</v>
      </c>
    </row>
    <row r="16" spans="1:4" ht="48" customHeight="1" x14ac:dyDescent="0.2">
      <c r="A16" s="84">
        <v>1</v>
      </c>
      <c r="B16" s="84" t="s">
        <v>419</v>
      </c>
      <c r="C16" s="84" t="s">
        <v>622</v>
      </c>
      <c r="D16" s="84" t="s">
        <v>633</v>
      </c>
    </row>
    <row r="17" spans="1:4" ht="32" customHeight="1" x14ac:dyDescent="0.2">
      <c r="A17" s="84">
        <v>2</v>
      </c>
      <c r="B17" s="84" t="s">
        <v>419</v>
      </c>
      <c r="C17" s="84" t="s">
        <v>634</v>
      </c>
      <c r="D17" s="84" t="s">
        <v>635</v>
      </c>
    </row>
    <row r="18" spans="1:4" ht="48" customHeight="1" x14ac:dyDescent="0.2">
      <c r="A18" s="84">
        <v>3</v>
      </c>
      <c r="B18" s="84" t="s">
        <v>419</v>
      </c>
      <c r="C18" s="84" t="s">
        <v>623</v>
      </c>
      <c r="D18" s="84" t="s">
        <v>624</v>
      </c>
    </row>
    <row r="19" spans="1:4" ht="32" customHeight="1" x14ac:dyDescent="0.2">
      <c r="A19" s="84">
        <v>4</v>
      </c>
      <c r="B19" s="84" t="s">
        <v>419</v>
      </c>
      <c r="C19" s="84" t="s">
        <v>436</v>
      </c>
      <c r="D19" s="84" t="s">
        <v>625</v>
      </c>
    </row>
    <row r="20" spans="1:4" ht="32" customHeight="1" x14ac:dyDescent="0.2">
      <c r="A20" s="84">
        <v>5</v>
      </c>
      <c r="B20" s="84" t="s">
        <v>419</v>
      </c>
      <c r="C20" s="84" t="s">
        <v>437</v>
      </c>
      <c r="D20" s="84" t="s">
        <v>626</v>
      </c>
    </row>
    <row r="21" spans="1:4" ht="48" customHeight="1" x14ac:dyDescent="0.2">
      <c r="A21" s="84">
        <v>6</v>
      </c>
      <c r="B21" s="84" t="s">
        <v>419</v>
      </c>
      <c r="C21" s="84" t="s">
        <v>438</v>
      </c>
      <c r="D21" s="84" t="s">
        <v>439</v>
      </c>
    </row>
    <row r="22" spans="1:4" ht="48" customHeight="1" x14ac:dyDescent="0.2">
      <c r="A22" s="84">
        <v>7</v>
      </c>
      <c r="B22" s="84" t="s">
        <v>419</v>
      </c>
      <c r="C22" s="84" t="s">
        <v>440</v>
      </c>
      <c r="D22" s="84" t="s">
        <v>441</v>
      </c>
    </row>
    <row r="23" spans="1:4" ht="48" customHeight="1" x14ac:dyDescent="0.2">
      <c r="A23" s="84">
        <v>8</v>
      </c>
      <c r="B23" s="84" t="s">
        <v>422</v>
      </c>
      <c r="C23" s="84" t="s">
        <v>442</v>
      </c>
      <c r="D23" s="84" t="s">
        <v>443</v>
      </c>
    </row>
    <row r="24" spans="1:4" ht="32" customHeight="1" x14ac:dyDescent="0.2">
      <c r="A24" s="84">
        <v>9</v>
      </c>
      <c r="B24" s="84" t="s">
        <v>419</v>
      </c>
      <c r="C24" s="84" t="s">
        <v>444</v>
      </c>
      <c r="D24" s="84" t="s">
        <v>445</v>
      </c>
    </row>
    <row r="25" spans="1:4" ht="64" customHeight="1" x14ac:dyDescent="0.2">
      <c r="A25" s="84">
        <v>10</v>
      </c>
      <c r="B25" s="84" t="s">
        <v>421</v>
      </c>
      <c r="C25" s="84" t="s">
        <v>580</v>
      </c>
      <c r="D25" s="84" t="s">
        <v>561</v>
      </c>
    </row>
    <row r="26" spans="1:4" ht="32" customHeight="1" x14ac:dyDescent="0.2">
      <c r="A26" s="84">
        <v>11</v>
      </c>
      <c r="B26" s="84" t="s">
        <v>422</v>
      </c>
      <c r="C26" s="84" t="s">
        <v>446</v>
      </c>
      <c r="D26" s="84" t="s">
        <v>447</v>
      </c>
    </row>
    <row r="27" spans="1:4" x14ac:dyDescent="0.2">
      <c r="A27" s="84"/>
      <c r="B27" s="84"/>
      <c r="C27" s="84"/>
      <c r="D27" s="84"/>
    </row>
    <row r="28" spans="1:4" x14ac:dyDescent="0.2">
      <c r="A28" s="118" t="s">
        <v>448</v>
      </c>
      <c r="B28" s="118"/>
      <c r="C28" s="118"/>
      <c r="D28" s="118"/>
    </row>
    <row r="29" spans="1:4" x14ac:dyDescent="0.2">
      <c r="A29" s="86" t="s">
        <v>413</v>
      </c>
      <c r="B29" s="86" t="s">
        <v>449</v>
      </c>
      <c r="C29" s="86" t="s">
        <v>450</v>
      </c>
      <c r="D29" s="86" t="s">
        <v>451</v>
      </c>
    </row>
    <row r="30" spans="1:4" ht="32" customHeight="1" x14ac:dyDescent="0.2">
      <c r="A30" s="84" t="s">
        <v>452</v>
      </c>
      <c r="B30" s="84" t="s">
        <v>453</v>
      </c>
      <c r="C30" s="84" t="s">
        <v>454</v>
      </c>
      <c r="D30" s="84" t="s">
        <v>455</v>
      </c>
    </row>
    <row r="31" spans="1:4" ht="32" customHeight="1" x14ac:dyDescent="0.2">
      <c r="A31" s="84" t="s">
        <v>456</v>
      </c>
      <c r="B31" s="84" t="s">
        <v>457</v>
      </c>
      <c r="C31" s="84" t="s">
        <v>627</v>
      </c>
      <c r="D31" s="84" t="s">
        <v>458</v>
      </c>
    </row>
    <row r="32" spans="1:4" ht="32" customHeight="1" x14ac:dyDescent="0.2">
      <c r="A32" s="84" t="s">
        <v>225</v>
      </c>
      <c r="B32" s="84" t="s">
        <v>459</v>
      </c>
      <c r="C32" s="84" t="s">
        <v>460</v>
      </c>
      <c r="D32" s="84" t="s">
        <v>461</v>
      </c>
    </row>
    <row r="33" spans="1:4" ht="48" customHeight="1" x14ac:dyDescent="0.2">
      <c r="A33" s="84" t="s">
        <v>462</v>
      </c>
      <c r="B33" s="84" t="s">
        <v>463</v>
      </c>
      <c r="C33" s="84" t="s">
        <v>464</v>
      </c>
      <c r="D33" s="84" t="s">
        <v>465</v>
      </c>
    </row>
    <row r="34" spans="1:4" ht="48" customHeight="1" x14ac:dyDescent="0.2">
      <c r="A34" s="84" t="s">
        <v>466</v>
      </c>
      <c r="B34" s="84" t="s">
        <v>467</v>
      </c>
      <c r="C34" s="84" t="s">
        <v>468</v>
      </c>
      <c r="D34" s="84" t="s">
        <v>469</v>
      </c>
    </row>
    <row r="35" spans="1:4" ht="48" customHeight="1" x14ac:dyDescent="0.2">
      <c r="A35" s="84" t="s">
        <v>470</v>
      </c>
      <c r="B35" s="84" t="s">
        <v>471</v>
      </c>
      <c r="C35" s="84" t="s">
        <v>472</v>
      </c>
      <c r="D35" s="84" t="s">
        <v>473</v>
      </c>
    </row>
    <row r="36" spans="1:4" ht="48" customHeight="1" x14ac:dyDescent="0.2">
      <c r="A36" s="84" t="s">
        <v>474</v>
      </c>
      <c r="B36" s="84" t="s">
        <v>475</v>
      </c>
      <c r="C36" s="84" t="s">
        <v>476</v>
      </c>
      <c r="D36" s="84" t="s">
        <v>477</v>
      </c>
    </row>
    <row r="37" spans="1:4" x14ac:dyDescent="0.2">
      <c r="A37" s="84"/>
      <c r="B37" s="84"/>
      <c r="C37" s="84"/>
      <c r="D37" s="84"/>
    </row>
    <row r="38" spans="1:4" x14ac:dyDescent="0.2">
      <c r="A38" s="118" t="s">
        <v>478</v>
      </c>
      <c r="B38" s="118"/>
      <c r="C38" s="118"/>
      <c r="D38" s="118"/>
    </row>
    <row r="39" spans="1:4" x14ac:dyDescent="0.2">
      <c r="A39" s="86" t="s">
        <v>6</v>
      </c>
      <c r="B39" s="86" t="s">
        <v>479</v>
      </c>
      <c r="C39" s="86" t="s">
        <v>480</v>
      </c>
      <c r="D39" s="86" t="s">
        <v>481</v>
      </c>
    </row>
    <row r="40" spans="1:4" ht="32" x14ac:dyDescent="0.2">
      <c r="A40" s="84" t="s">
        <v>13</v>
      </c>
      <c r="B40" s="84" t="s">
        <v>482</v>
      </c>
      <c r="C40" s="84" t="s">
        <v>483</v>
      </c>
      <c r="D40" s="84" t="s">
        <v>484</v>
      </c>
    </row>
    <row r="41" spans="1:4" ht="32" customHeight="1" x14ac:dyDescent="0.2">
      <c r="A41" s="84" t="s">
        <v>636</v>
      </c>
      <c r="B41" s="84" t="s">
        <v>482</v>
      </c>
      <c r="C41" s="84" t="s">
        <v>628</v>
      </c>
      <c r="D41" s="84" t="s">
        <v>637</v>
      </c>
    </row>
    <row r="42" spans="1:4" ht="32" customHeight="1" x14ac:dyDescent="0.2">
      <c r="A42" s="84" t="s">
        <v>456</v>
      </c>
      <c r="B42" s="84" t="s">
        <v>485</v>
      </c>
      <c r="C42" s="84" t="s">
        <v>629</v>
      </c>
      <c r="D42" s="84" t="s">
        <v>486</v>
      </c>
    </row>
    <row r="43" spans="1:4" ht="32" customHeight="1" x14ac:dyDescent="0.2">
      <c r="A43" s="84" t="s">
        <v>487</v>
      </c>
      <c r="B43" s="84" t="s">
        <v>482</v>
      </c>
      <c r="C43" s="84" t="s">
        <v>488</v>
      </c>
      <c r="D43" s="84" t="s">
        <v>489</v>
      </c>
    </row>
    <row r="44" spans="1:4" ht="32" customHeight="1" x14ac:dyDescent="0.2">
      <c r="A44" s="84" t="s">
        <v>490</v>
      </c>
      <c r="B44" s="84" t="s">
        <v>482</v>
      </c>
      <c r="C44" s="84" t="s">
        <v>491</v>
      </c>
      <c r="D44" s="84" t="s">
        <v>492</v>
      </c>
    </row>
    <row r="45" spans="1:4" ht="16" customHeight="1" x14ac:dyDescent="0.2">
      <c r="A45" s="84" t="s">
        <v>493</v>
      </c>
      <c r="B45" s="84" t="s">
        <v>482</v>
      </c>
      <c r="C45" s="84" t="s">
        <v>494</v>
      </c>
      <c r="D45" s="84" t="s">
        <v>495</v>
      </c>
    </row>
    <row r="46" spans="1:4" ht="32" customHeight="1" x14ac:dyDescent="0.2">
      <c r="A46" s="88" t="s">
        <v>51</v>
      </c>
      <c r="B46" s="88" t="s">
        <v>496</v>
      </c>
      <c r="C46" s="88" t="s">
        <v>497</v>
      </c>
      <c r="D46" s="88" t="s">
        <v>498</v>
      </c>
    </row>
    <row r="47" spans="1:4" x14ac:dyDescent="0.2">
      <c r="A47" s="84"/>
      <c r="B47" s="84"/>
      <c r="C47" s="84"/>
      <c r="D47" s="84"/>
    </row>
    <row r="48" spans="1:4" ht="16" customHeight="1" x14ac:dyDescent="0.2">
      <c r="A48" s="121" t="s">
        <v>562</v>
      </c>
      <c r="B48" s="118"/>
      <c r="C48" s="118"/>
      <c r="D48" s="118"/>
    </row>
    <row r="49" spans="1:4" x14ac:dyDescent="0.2">
      <c r="A49" s="86" t="s">
        <v>325</v>
      </c>
      <c r="B49" s="86" t="s">
        <v>433</v>
      </c>
      <c r="C49" s="86" t="s">
        <v>499</v>
      </c>
      <c r="D49" s="86" t="s">
        <v>500</v>
      </c>
    </row>
    <row r="50" spans="1:4" ht="32" customHeight="1" x14ac:dyDescent="0.2">
      <c r="A50" s="84" t="s">
        <v>114</v>
      </c>
      <c r="B50" s="84" t="s">
        <v>501</v>
      </c>
      <c r="C50" s="84" t="s">
        <v>630</v>
      </c>
      <c r="D50" s="84" t="s">
        <v>502</v>
      </c>
    </row>
    <row r="51" spans="1:4" ht="32" customHeight="1" x14ac:dyDescent="0.2">
      <c r="A51" s="100" t="s">
        <v>576</v>
      </c>
      <c r="B51" s="101" t="s">
        <v>563</v>
      </c>
      <c r="C51" s="101" t="s">
        <v>581</v>
      </c>
      <c r="D51" s="101" t="s">
        <v>582</v>
      </c>
    </row>
    <row r="52" spans="1:4" ht="32" customHeight="1" x14ac:dyDescent="0.2">
      <c r="A52" s="100" t="s">
        <v>258</v>
      </c>
      <c r="B52" s="101" t="s">
        <v>564</v>
      </c>
      <c r="C52" s="101" t="s">
        <v>503</v>
      </c>
      <c r="D52" s="101" t="s">
        <v>504</v>
      </c>
    </row>
    <row r="53" spans="1:4" ht="32" customHeight="1" x14ac:dyDescent="0.2">
      <c r="A53" s="100" t="s">
        <v>259</v>
      </c>
      <c r="B53" s="101" t="s">
        <v>565</v>
      </c>
      <c r="C53" s="101" t="s">
        <v>505</v>
      </c>
      <c r="D53" s="101" t="s">
        <v>506</v>
      </c>
    </row>
    <row r="54" spans="1:4" ht="32" customHeight="1" x14ac:dyDescent="0.2">
      <c r="A54" s="100" t="s">
        <v>260</v>
      </c>
      <c r="B54" s="101" t="s">
        <v>566</v>
      </c>
      <c r="C54" s="101" t="s">
        <v>507</v>
      </c>
      <c r="D54" s="101" t="s">
        <v>567</v>
      </c>
    </row>
    <row r="55" spans="1:4" ht="32" customHeight="1" x14ac:dyDescent="0.2">
      <c r="A55" s="84" t="s">
        <v>262</v>
      </c>
      <c r="B55" s="84" t="s">
        <v>568</v>
      </c>
      <c r="C55" s="84" t="s">
        <v>508</v>
      </c>
      <c r="D55" s="84" t="s">
        <v>509</v>
      </c>
    </row>
    <row r="56" spans="1:4" ht="32" customHeight="1" x14ac:dyDescent="0.2">
      <c r="A56" s="84" t="s">
        <v>266</v>
      </c>
      <c r="B56" s="84" t="s">
        <v>569</v>
      </c>
      <c r="C56" s="84" t="s">
        <v>510</v>
      </c>
      <c r="D56" s="84" t="s">
        <v>511</v>
      </c>
    </row>
    <row r="57" spans="1:4" ht="32" customHeight="1" x14ac:dyDescent="0.2">
      <c r="A57" s="84" t="s">
        <v>512</v>
      </c>
      <c r="B57" s="84" t="s">
        <v>570</v>
      </c>
      <c r="C57" s="84" t="s">
        <v>513</v>
      </c>
      <c r="D57" s="84" t="s">
        <v>571</v>
      </c>
    </row>
    <row r="58" spans="1:4" ht="32" customHeight="1" x14ac:dyDescent="0.2">
      <c r="A58" s="84" t="s">
        <v>514</v>
      </c>
      <c r="B58" s="84" t="s">
        <v>515</v>
      </c>
      <c r="C58" s="84" t="s">
        <v>516</v>
      </c>
      <c r="D58" s="84" t="s">
        <v>517</v>
      </c>
    </row>
    <row r="59" spans="1:4" ht="48" customHeight="1" x14ac:dyDescent="0.2">
      <c r="A59" s="99" t="s">
        <v>572</v>
      </c>
      <c r="B59" s="84" t="s">
        <v>573</v>
      </c>
      <c r="C59" s="84" t="s">
        <v>574</v>
      </c>
      <c r="D59" s="84" t="s">
        <v>575</v>
      </c>
    </row>
    <row r="60" spans="1:4" x14ac:dyDescent="0.2">
      <c r="A60" s="118" t="s">
        <v>518</v>
      </c>
      <c r="B60" s="118"/>
      <c r="C60" s="118"/>
      <c r="D60" s="118"/>
    </row>
    <row r="61" spans="1:4" ht="16" customHeight="1" x14ac:dyDescent="0.2">
      <c r="A61" s="112" t="s">
        <v>519</v>
      </c>
      <c r="B61" s="113"/>
      <c r="C61" s="113"/>
      <c r="D61" s="113"/>
    </row>
    <row r="62" spans="1:4" x14ac:dyDescent="0.2">
      <c r="A62" s="86" t="s">
        <v>402</v>
      </c>
      <c r="B62" s="86" t="s">
        <v>520</v>
      </c>
      <c r="C62" s="86" t="s">
        <v>521</v>
      </c>
      <c r="D62" s="86" t="s">
        <v>317</v>
      </c>
    </row>
    <row r="63" spans="1:4" ht="32" customHeight="1" x14ac:dyDescent="0.2">
      <c r="A63" s="84" t="s">
        <v>321</v>
      </c>
      <c r="B63" s="84" t="s">
        <v>522</v>
      </c>
      <c r="C63" s="84" t="s">
        <v>523</v>
      </c>
      <c r="D63" s="84" t="s">
        <v>524</v>
      </c>
    </row>
    <row r="64" spans="1:4" ht="32" customHeight="1" x14ac:dyDescent="0.2">
      <c r="A64" s="84" t="s">
        <v>322</v>
      </c>
      <c r="B64" s="84" t="s">
        <v>525</v>
      </c>
      <c r="C64" s="84" t="s">
        <v>526</v>
      </c>
      <c r="D64" s="84" t="s">
        <v>527</v>
      </c>
    </row>
    <row r="65" spans="1:4" ht="32" customHeight="1" x14ac:dyDescent="0.2">
      <c r="A65" s="84" t="s">
        <v>323</v>
      </c>
      <c r="B65" s="84" t="s">
        <v>528</v>
      </c>
      <c r="C65" s="84" t="s">
        <v>529</v>
      </c>
      <c r="D65" s="84" t="s">
        <v>530</v>
      </c>
    </row>
    <row r="66" spans="1:4" ht="48" customHeight="1" x14ac:dyDescent="0.2">
      <c r="A66" s="84" t="s">
        <v>598</v>
      </c>
      <c r="B66" s="84" t="s">
        <v>600</v>
      </c>
      <c r="C66" s="84" t="s">
        <v>601</v>
      </c>
      <c r="D66" s="84" t="s">
        <v>602</v>
      </c>
    </row>
    <row r="67" spans="1:4" x14ac:dyDescent="0.2">
      <c r="A67" s="84"/>
      <c r="B67" s="84"/>
      <c r="C67" s="84"/>
      <c r="D67" s="84"/>
    </row>
    <row r="68" spans="1:4" x14ac:dyDescent="0.2">
      <c r="A68" s="118" t="s">
        <v>531</v>
      </c>
      <c r="B68" s="118"/>
      <c r="C68" s="118"/>
      <c r="D68" s="118"/>
    </row>
    <row r="69" spans="1:4" x14ac:dyDescent="0.2">
      <c r="A69" s="86" t="s">
        <v>532</v>
      </c>
      <c r="B69" s="86" t="s">
        <v>533</v>
      </c>
      <c r="C69" s="86" t="s">
        <v>434</v>
      </c>
      <c r="D69" s="86" t="s">
        <v>534</v>
      </c>
    </row>
    <row r="70" spans="1:4" ht="32" customHeight="1" x14ac:dyDescent="0.2">
      <c r="A70" s="84" t="s">
        <v>535</v>
      </c>
      <c r="B70" s="84" t="s">
        <v>638</v>
      </c>
      <c r="C70" s="84" t="s">
        <v>536</v>
      </c>
      <c r="D70" s="84" t="s">
        <v>537</v>
      </c>
    </row>
    <row r="71" spans="1:4" ht="32" customHeight="1" x14ac:dyDescent="0.2">
      <c r="A71" s="84" t="s">
        <v>538</v>
      </c>
      <c r="B71" s="84" t="s">
        <v>539</v>
      </c>
      <c r="C71" s="84" t="s">
        <v>540</v>
      </c>
      <c r="D71" s="84" t="s">
        <v>537</v>
      </c>
    </row>
    <row r="72" spans="1:4" ht="32" customHeight="1" x14ac:dyDescent="0.2">
      <c r="A72" s="84" t="s">
        <v>541</v>
      </c>
      <c r="B72" s="84" t="s">
        <v>542</v>
      </c>
      <c r="C72" s="84" t="s">
        <v>543</v>
      </c>
      <c r="D72" s="84" t="s">
        <v>544</v>
      </c>
    </row>
    <row r="73" spans="1:4" ht="48" customHeight="1" x14ac:dyDescent="0.2">
      <c r="A73" s="84" t="s">
        <v>545</v>
      </c>
      <c r="B73" s="84" t="s">
        <v>546</v>
      </c>
      <c r="C73" s="84" t="s">
        <v>547</v>
      </c>
      <c r="D73" s="84" t="s">
        <v>548</v>
      </c>
    </row>
    <row r="74" spans="1:4" ht="32" customHeight="1" x14ac:dyDescent="0.2">
      <c r="A74" s="84" t="s">
        <v>549</v>
      </c>
      <c r="B74" s="84" t="s">
        <v>550</v>
      </c>
      <c r="C74" s="84" t="s">
        <v>551</v>
      </c>
      <c r="D74" s="84" t="s">
        <v>552</v>
      </c>
    </row>
    <row r="75" spans="1:4" x14ac:dyDescent="0.2">
      <c r="A75" s="84"/>
      <c r="B75" s="84"/>
      <c r="C75" s="84"/>
      <c r="D75" s="84"/>
    </row>
    <row r="76" spans="1:4" x14ac:dyDescent="0.2">
      <c r="A76" s="118" t="s">
        <v>553</v>
      </c>
      <c r="B76" s="118"/>
      <c r="C76" s="118"/>
      <c r="D76" s="118"/>
    </row>
    <row r="77" spans="1:4" ht="16" customHeight="1" x14ac:dyDescent="0.2">
      <c r="A77" s="119" t="s">
        <v>554</v>
      </c>
      <c r="B77" s="120"/>
      <c r="C77" s="120"/>
      <c r="D77" s="120"/>
    </row>
    <row r="78" spans="1:4" ht="16" customHeight="1" x14ac:dyDescent="0.2">
      <c r="A78" s="119" t="s">
        <v>555</v>
      </c>
      <c r="B78" s="120"/>
      <c r="C78" s="120"/>
      <c r="D78" s="120"/>
    </row>
    <row r="79" spans="1:4" ht="16" customHeight="1" x14ac:dyDescent="0.2">
      <c r="A79" s="119" t="s">
        <v>556</v>
      </c>
      <c r="B79" s="120"/>
      <c r="C79" s="120"/>
      <c r="D79" s="120"/>
    </row>
    <row r="80" spans="1:4" ht="16" customHeight="1" x14ac:dyDescent="0.2">
      <c r="A80" s="119" t="s">
        <v>557</v>
      </c>
      <c r="B80" s="120"/>
      <c r="C80" s="120"/>
      <c r="D80" s="120"/>
    </row>
  </sheetData>
  <mergeCells count="16">
    <mergeCell ref="A77:D77"/>
    <mergeCell ref="A78:D78"/>
    <mergeCell ref="A79:D79"/>
    <mergeCell ref="A80:D80"/>
    <mergeCell ref="A48:D48"/>
    <mergeCell ref="A60:D60"/>
    <mergeCell ref="A68:D68"/>
    <mergeCell ref="A76:D76"/>
    <mergeCell ref="A6:D6"/>
    <mergeCell ref="A61:D61"/>
    <mergeCell ref="A1:D1"/>
    <mergeCell ref="A2:D2"/>
    <mergeCell ref="A5:D5"/>
    <mergeCell ref="A14:D14"/>
    <mergeCell ref="A28:D28"/>
    <mergeCell ref="A38:D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B36DC-8D16-9F46-8EE1-6256ADA5806C}">
  <dimension ref="A1:P188"/>
  <sheetViews>
    <sheetView showGridLines="0" tabSelected="1" workbookViewId="0">
      <selection activeCell="B5" sqref="B5"/>
    </sheetView>
  </sheetViews>
  <sheetFormatPr baseColWidth="10" defaultRowHeight="16" x14ac:dyDescent="0.2"/>
  <cols>
    <col min="1" max="1" width="37.5" style="3" customWidth="1"/>
    <col min="2" max="2" width="20.83203125" style="3" customWidth="1"/>
    <col min="3" max="3" width="21.6640625" style="3" customWidth="1"/>
    <col min="4" max="4" width="41.6640625" style="3" customWidth="1"/>
    <col min="5" max="5" width="3" customWidth="1"/>
    <col min="6" max="6" width="13.33203125" style="3" customWidth="1"/>
    <col min="7" max="11" width="18.33203125" style="3" customWidth="1"/>
    <col min="13" max="13" width="29.1640625" customWidth="1"/>
    <col min="14" max="14" width="24.1640625" customWidth="1"/>
    <col min="15" max="15" width="20" customWidth="1"/>
    <col min="16" max="16" width="43.33203125" customWidth="1"/>
  </cols>
  <sheetData>
    <row r="1" spans="1:16" ht="30" customHeight="1" x14ac:dyDescent="0.3">
      <c r="A1" s="122" t="s">
        <v>603</v>
      </c>
      <c r="B1" s="122"/>
      <c r="C1" s="122"/>
      <c r="D1" s="123"/>
      <c r="E1" s="122"/>
      <c r="P1" s="103"/>
    </row>
    <row r="2" spans="1:16" x14ac:dyDescent="0.2">
      <c r="A2" s="124" t="s">
        <v>0</v>
      </c>
      <c r="B2" s="124"/>
      <c r="C2" s="124"/>
      <c r="D2" s="125"/>
      <c r="E2" s="124"/>
      <c r="P2" s="103"/>
    </row>
    <row r="3" spans="1:16" x14ac:dyDescent="0.2">
      <c r="D3" s="102"/>
      <c r="P3" s="103"/>
    </row>
    <row r="4" spans="1:16" ht="20" customHeight="1" x14ac:dyDescent="0.2">
      <c r="A4" s="126" t="s">
        <v>1</v>
      </c>
      <c r="B4" s="126"/>
      <c r="C4" s="126"/>
      <c r="D4" s="127"/>
      <c r="E4" s="4"/>
      <c r="F4" s="126" t="s">
        <v>616</v>
      </c>
      <c r="G4" s="126"/>
      <c r="H4" s="126"/>
      <c r="I4" s="126"/>
      <c r="J4" s="126"/>
      <c r="K4" s="126"/>
      <c r="M4" s="126" t="s">
        <v>2</v>
      </c>
      <c r="N4" s="126"/>
      <c r="O4" s="126"/>
      <c r="P4" s="127"/>
    </row>
    <row r="5" spans="1:16" ht="30" customHeight="1" x14ac:dyDescent="0.2">
      <c r="A5" s="5" t="s">
        <v>3</v>
      </c>
      <c r="B5" s="10"/>
      <c r="C5" s="5" t="s">
        <v>4</v>
      </c>
      <c r="D5" s="6" t="s">
        <v>5</v>
      </c>
      <c r="E5" s="4"/>
      <c r="F5" s="8" t="s">
        <v>195</v>
      </c>
      <c r="G5" s="8" t="s">
        <v>617</v>
      </c>
      <c r="H5" s="8" t="s">
        <v>196</v>
      </c>
      <c r="I5" s="8" t="s">
        <v>197</v>
      </c>
      <c r="J5" s="8" t="s">
        <v>198</v>
      </c>
      <c r="K5" s="8" t="s">
        <v>199</v>
      </c>
      <c r="M5" s="7" t="s">
        <v>6</v>
      </c>
      <c r="N5" s="7" t="s">
        <v>7</v>
      </c>
      <c r="O5" s="7" t="s">
        <v>8</v>
      </c>
      <c r="P5" s="8" t="s">
        <v>9</v>
      </c>
    </row>
    <row r="6" spans="1:16" ht="25" customHeight="1" x14ac:dyDescent="0.2">
      <c r="A6" s="5" t="s">
        <v>10</v>
      </c>
      <c r="B6" s="11"/>
      <c r="C6" s="5" t="s">
        <v>11</v>
      </c>
      <c r="D6" s="6" t="s">
        <v>12</v>
      </c>
      <c r="E6" s="4"/>
      <c r="F6" s="39" t="str">
        <f>IF(OR($B$9="",$B$10="",$B$10&lt;$B$9),"",IF(ROWS($F$6:F6)&lt;=DATEDIF(DATE(YEAR($B$9),MONTH($B$9),1),DATE(YEAR($B$10),MONTH($B$10),1),"m")+1,EDATE(DATE(YEAR($B$9),MONTH($B$9),1),ROWS($F$6:F6)-1),IF(ROWS($F$6:F6)=DATEDIF(DATE(YEAR($B$9),MONTH($B$9),1),DATE(YEAR($B$10),MONTH($B$10),1),"m")+2,"ИТОГО",IF(ROWS($F$6:F6)=DATEDIF(DATE(YEAR($B$9),MONTH($B$9),1),DATE(YEAR($B$10),MONTH($B$10),1),"m")+3,"Отклонение графика платежей",""))))</f>
        <v/>
      </c>
      <c r="G6" s="65" t="str">
        <f>IF(F6="","",IF(ISNUMBER(F6),IF($B$19="","",MAX(0,N($B$19)-N(H6))),IF(F6="ИТОГО",SUM($G$6:INDEX($G:$G,ROW()-1)),"")))</f>
        <v/>
      </c>
      <c r="H6" s="65" t="str">
        <f>IF(F6="","",IF(ISNUMBER(F6),IF($B$22&lt;&gt;"Да",0,IF(OR($B$23="",$B$24="",$B$25="",$B$26="",$B$27=""),"",IF(AND(YEAR(F6)=YEAR($B$26),MONTH(F6)=MONTH($B$26)),$B$23,0))),IF(F6="ИТОГО",SUM($H$6:INDEX($H:$H,ROW()-1)),IF(F6="Отклонение графика платежей","Проверка",""))))</f>
        <v/>
      </c>
      <c r="I6" s="30" t="str" cm="1">
        <f t="array" ref="I6">IF(F6="","",IF(ISNUMBER(F6),SUM(G6:H6),IF(F6="ИТОГО",SUM($I$6:INDEX($I:$I,ROW()-1)),IF(F6="Отклонение графика платежей",IF($B$19="","",INDEX($I:$I,ROW()-1)-$B$19),""))))</f>
        <v/>
      </c>
      <c r="J6" s="30" t="str">
        <f>IF(F6="","",IF(ISNUMBER(F6),SUM($I$6:I6),IF(F6="ИТОГО",I6,IF(F6="Отклонение графика платежей",IF(I6="","ТРЕБУЕТСЯ ВВОД",IF(ABS(I6)&lt;0.01,"OK","ОШИБКА: график платежей не соответствует стоимости помещения")),""))))</f>
        <v/>
      </c>
      <c r="K6" s="30" t="str">
        <f t="shared" ref="K6:K37" si="0">IF(F6="","",IF(ISNUMBER(F6),IF($B$19="","",$B$19-J6),IF(F6="ИТОГО",IF($B$19="","",$B$19-I6),IF(F6="Отклонение графика платежей",I6,""))))</f>
        <v/>
      </c>
      <c r="M6" s="5" t="s">
        <v>13</v>
      </c>
      <c r="N6" s="40" t="str">
        <f>IF(AND(B5&lt;&gt;"",B6&lt;&gt;"",B7&lt;&gt;"",B8&lt;&gt;"",B9&lt;&gt;"",B14&lt;&gt;"",B15&lt;&gt;"",B16&lt;&gt;"",B22&lt;&gt;"",IF(B22="Да",AND(B23&lt;&gt;"",B24&lt;&gt;"",B25&lt;&gt;"",B27&lt;&gt;""),TRUE),B30&lt;&gt;"",B31&lt;&gt;"",B32&lt;&gt;"",B33&lt;&gt;"",B34&lt;&gt;"",B35&lt;&gt;"",B36&lt;&gt;"",B37&lt;&gt;"",B38&lt;&gt;"",B41&lt;&gt;"",B42&lt;&gt;"",B43&lt;&gt;"",B44&lt;&gt;"",B49&lt;&gt;"",B50&lt;&gt;"",B51&lt;&gt;"",B52&lt;&gt;"",B53&lt;&gt;"",B54&lt;&gt;"",B55&lt;&gt;"",IF(B53="Пользовательская база",B57&lt;&gt;"",TRUE),B67&lt;&gt;"",B68&lt;&gt;"",B72&lt;&gt;"",B73&lt;&gt;"",B74&lt;&gt;"",B75&lt;&gt;"",B79&lt;&gt;"",B80&lt;&gt;"",B81&lt;&gt;"",B82&lt;&gt;"",B88&lt;&gt;"",B90&lt;&gt;"",IF(B51="Да",AND(B61&lt;&gt;"",B62&lt;&gt;""),TRUE),IF(B82="Да",AND(B83&lt;&gt;"",B84&lt;&gt;"",B85&lt;&gt;"",IF(B84="Пользовательская база",B86&lt;&gt;"",TRUE)),TRUE),IF(B88="Пользовательский NOI",B89&lt;&gt;"",TRUE)),"OK","ОШИБКА")</f>
        <v>ОШИБКА</v>
      </c>
      <c r="O6" s="5" t="str">
        <f>IF(N6="OK","Все обязательные поля заполнены","Есть незаполненные обязательные параметры")</f>
        <v>Есть незаполненные обязательные параметры</v>
      </c>
      <c r="P6" s="6" t="str">
        <f>IF(N6="OK","","Заполните ячейки: "&amp;_xlfn.TEXTJOIN(", ",TRUE,IF(B5="","B5",""),IF(B6="","B6",""),IF(B7="","B7",""),IF(B8="","B8",""),IF(B9="","B9",""),IF(B14="","B14",""),IF(B15="","B15",""),IF(B16="","B16",""),IF(B22="","B22",""),IF(AND(B22="Да",B23=""),"B23",""),IF(AND(B22="Да",B24=""),"B24",""),IF(AND(B22="Да",B25=""),"B25",""),IF(AND(B22="Да",B27=""),"B27",""),IF(B30="","B30",""),IF(B31="","B31",""),IF(B32="","B32",""),IF(B33="","B33",""),IF(B34="","B34",""),IF(B35="","B35",""),IF(B36="","B36",""),IF(B37="","B37",""),IF(B38="","B38",""),IF(B41="","B41",""),IF(B42="","B42",""),IF(B43="","B43",""),IF(B44="","B44",""),IF(B49="","B49",""),IF(B50="","B50",""),IF(B51="","B51",""),IF(B52="","B52",""),IF(B53="","B53",""),IF(B54="","B54",""),IF(B55="","B55",""),IF(AND(B53="Пользовательская база",B57=""),"B57",""),IF(B67="","B67",""),IF(B68="","B68",""),IF(B72="","B72",""),IF(B73="","B73",""),IF(B74="","B74",""),IF(B75="","B75",""),IF(B79="","B79",""),IF(B80="","B80",""),IF(B81="","B81",""),IF(B82="","B82",""),IF(AND(B51="Да",B61=""),"B61",""),IF(AND(B51="Да",B62=""),"B62",""),IF(AND(B82="Да",B83=""),"B83",""),IF(AND(B82="Да",B84=""),"B84",""),IF(AND(B82="Да",B85=""),"B85",""),IF(AND(B82="Да",B84="Пользовательская база",B86=""),"B86",""),IF(B88="","B88",""),IF(AND(B88="Пользовательский NOI",B89=""),"B89",""),IF(B90="","B90","")))</f>
        <v>Заполните ячейки: B5, B6, B7, B8, B9, B14, B15, B16, B22, B30, B31, B32, B33, B34, B35, B36, B37, B38, B41, B42, B43, B44, B49, B50, B51, B52, B53, B54, B55, B67, B68, B72, B73, B74, B75, B79, B80, B81, B82, B88, B90</v>
      </c>
    </row>
    <row r="7" spans="1:16" ht="25" customHeight="1" x14ac:dyDescent="0.2">
      <c r="A7" s="5" t="s">
        <v>15</v>
      </c>
      <c r="B7" s="52"/>
      <c r="C7" s="5" t="s">
        <v>16</v>
      </c>
      <c r="D7" s="6" t="s">
        <v>17</v>
      </c>
      <c r="E7" s="4"/>
      <c r="F7" s="39" t="str">
        <f>IF(OR($B$9="",$B$10="",$B$10&lt;$B$9),"",IF(ROWS($F$6:F7)&lt;=DATEDIF(DATE(YEAR($B$9),MONTH($B$9),1),DATE(YEAR($B$10),MONTH($B$10),1),"m")+1,EDATE(DATE(YEAR($B$9),MONTH($B$9),1),ROWS($F$6:F7)-1),IF(ROWS($F$6:F7)=DATEDIF(DATE(YEAR($B$9),MONTH($B$9),1),DATE(YEAR($B$10),MONTH($B$10),1),"m")+2,"ИТОГО",IF(ROWS($F$6:F7)=DATEDIF(DATE(YEAR($B$9),MONTH($B$9),1),DATE(YEAR($B$10),MONTH($B$10),1),"m")+3,"Отклонение графика платежей",""))))</f>
        <v/>
      </c>
      <c r="G7" s="65" t="str">
        <f>IF(F7="","",IF(ISNUMBER(F7),IF($B$19="","",MAX(0,N($B$19)-N(H7))),IF(F7="ИТОГО",SUM($G$6:INDEX($G:$G,ROW()-1)),"")))</f>
        <v/>
      </c>
      <c r="H7" s="65" t="str">
        <f>IF(F7="","",IF(ISNUMBER(F7),IF($B$22&lt;&gt;"Да",0,IF(OR($B$23="",$B$24="",$B$25="",$B$26="",$B$27=""),"",IF(AND(YEAR(F7)=YEAR($B$26),MONTH(F7)=MONTH($B$26)),$B$23,0))),IF(F7="ИТОГО",SUM($H$6:INDEX($H:$H,ROW()-1)),IF(F7="Отклонение графика платежей","Проверка",""))))</f>
        <v/>
      </c>
      <c r="I7" s="30" t="str" cm="1">
        <f t="array" ref="I7">IF(F7="","",IF(ISNUMBER(F7),SUM(G7:H7),IF(F7="ИТОГО",SUM($I$6:INDEX($I:$I,ROW()-1)),IF(F7="Отклонение графика платежей",IF($B$19="","",INDEX($I:$I,ROW()-1)-$B$19),""))))</f>
        <v/>
      </c>
      <c r="J7" s="30" t="str">
        <f>IF(F7="","",IF(ISNUMBER(F7),SUM($I$6:I7),IF(F7="ИТОГО",I7,IF(F7="Отклонение графика платежей",IF(I7="","ТРЕБУЕТСЯ ВВОД",IF(ABS(I7)&lt;0.01,"OK","ОШИБКА: график платежей не соответствует стоимости помещения")),""))))</f>
        <v/>
      </c>
      <c r="K7" s="30" t="str">
        <f t="shared" si="0"/>
        <v/>
      </c>
      <c r="M7" s="5" t="s">
        <v>618</v>
      </c>
      <c r="N7" s="40" t="str">
        <f>IF(B19="","ОШИБКА",IF(ABS(IFERROR(INDEX(I6:I188,MATCH("Отклонение графика платежей",F6:F188,0)),0))&lt;0.01,"OK","ОШИБКА"))</f>
        <v>ОШИБКА</v>
      </c>
      <c r="O7" s="26" t="str">
        <f>IFERROR(INDEX(I6:I188,MATCH("Отклонение графика платежей",F6:F188,0)),"")</f>
        <v/>
      </c>
      <c r="P7" s="6" t="str">
        <f>IF(N7="OK","Оплата сделки равна стоимости покупки с НДС","Платёж на дату сделки не соответствует стоимости объекта")</f>
        <v>Платёж на дату сделки не соответствует стоимости объекта</v>
      </c>
    </row>
    <row r="8" spans="1:16" ht="25" customHeight="1" x14ac:dyDescent="0.2">
      <c r="A8" s="5" t="s">
        <v>18</v>
      </c>
      <c r="B8" s="12"/>
      <c r="C8" s="5" t="s">
        <v>19</v>
      </c>
      <c r="D8" s="6" t="s">
        <v>20</v>
      </c>
      <c r="E8" s="4"/>
      <c r="F8" s="39" t="str">
        <f>IF(OR($B$9="",$B$10="",$B$10&lt;$B$9),"",IF(ROWS($F$6:F8)&lt;=DATEDIF(DATE(YEAR($B$9),MONTH($B$9),1),DATE(YEAR($B$10),MONTH($B$10),1),"m")+1,EDATE(DATE(YEAR($B$9),MONTH($B$9),1),ROWS($F$6:F8)-1),IF(ROWS($F$6:F8)=DATEDIF(DATE(YEAR($B$9),MONTH($B$9),1),DATE(YEAR($B$10),MONTH($B$10),1),"m")+2,"ИТОГО",IF(ROWS($F$6:F8)=DATEDIF(DATE(YEAR($B$9),MONTH($B$9),1),DATE(YEAR($B$10),MONTH($B$10),1),"m")+3,"Отклонение графика платежей",""))))</f>
        <v/>
      </c>
      <c r="G8" s="65" t="str">
        <f>IF(F8="","",IF(ISNUMBER(F8),IF($B$19="","",MAX(0,N($B$19)-N(H8))),IF(F8="ИТОГО",SUM($G$6:INDEX($G:$G,ROW()-1)),"")))</f>
        <v/>
      </c>
      <c r="H8" s="65" t="str">
        <f>IF(F8="","",IF(ISNUMBER(F8),IF($B$22&lt;&gt;"Да",0,IF(OR($B$23="",$B$24="",$B$25="",$B$26="",$B$27=""),"",IF(AND(YEAR(F8)=YEAR($B$26),MONTH(F8)=MONTH($B$26)),$B$23,0))),IF(F8="ИТОГО",SUM($H$6:INDEX($H:$H,ROW()-1)),IF(F8="Отклонение графика платежей","Проверка",""))))</f>
        <v/>
      </c>
      <c r="I8" s="30" t="str" cm="1">
        <f t="array" ref="I8">IF(F8="","",IF(ISNUMBER(F8),SUM(G8:H8),IF(F8="ИТОГО",SUM($I$6:INDEX($I:$I,ROW()-1)),IF(F8="Отклонение графика платежей",IF($B$19="","",INDEX($I:$I,ROW()-1)-$B$19),""))))</f>
        <v/>
      </c>
      <c r="J8" s="30" t="str">
        <f>IF(F8="","",IF(ISNUMBER(F8),SUM($I$6:I8),IF(F8="ИТОГО",I8,IF(F8="Отклонение графика платежей",IF(I8="","ТРЕБУЕТСЯ ВВОД",IF(ABS(I8)&lt;0.01,"OK","ОШИБКА: график платежей не соответствует стоимости помещения")),""))))</f>
        <v/>
      </c>
      <c r="K8" s="30" t="str">
        <f t="shared" si="0"/>
        <v/>
      </c>
      <c r="M8" s="5" t="s">
        <v>21</v>
      </c>
      <c r="N8" s="40" t="str">
        <f>IF(B19="","ОШИБКА",IF(AND(ABS(SUMIF(F6:F188,"&gt;0",G6:G188)+SUMIF(F6:F188,"&gt;0",H6:H188)-SUMIF(F6:F188,"&gt;0",I6:I188))&lt;0.01,IF(B22="Да",ABS(SUMIF(F6:F188,"&gt;0",H6:H188)-B23)&lt;0.01,SUMIF(F6:F188,"&gt;0",H6:H188)=0)),"OK","ОШИБКА"))</f>
        <v>ОШИБКА</v>
      </c>
      <c r="O8" s="26">
        <f>IF(B22="Да",SUMIF(F6:F188,"&gt;0",H6:H188)-B23,SUMIF(F6:F188,"&gt;0",H6:H188))</f>
        <v>0</v>
      </c>
      <c r="P8" s="6" t="str">
        <f>IF(N8="OK","Собственные и кредитные средства согласованы","Кредитная часть графика должна совпадать с суммой кредита; при отсутствии кредита — быть нулевой")</f>
        <v>Кредитная часть графика должна совпадать с суммой кредита; при отсутствии кредита — быть нулевой</v>
      </c>
    </row>
    <row r="9" spans="1:16" ht="25" customHeight="1" x14ac:dyDescent="0.2">
      <c r="A9" s="5" t="s">
        <v>604</v>
      </c>
      <c r="B9" s="13"/>
      <c r="C9" s="5" t="s">
        <v>22</v>
      </c>
      <c r="D9" s="6" t="s">
        <v>605</v>
      </c>
      <c r="E9" s="4"/>
      <c r="F9" s="39" t="str">
        <f>IF(OR($B$9="",$B$10="",$B$10&lt;$B$9),"",IF(ROWS($F$6:F9)&lt;=DATEDIF(DATE(YEAR($B$9),MONTH($B$9),1),DATE(YEAR($B$10),MONTH($B$10),1),"m")+1,EDATE(DATE(YEAR($B$9),MONTH($B$9),1),ROWS($F$6:F9)-1),IF(ROWS($F$6:F9)=DATEDIF(DATE(YEAR($B$9),MONTH($B$9),1),DATE(YEAR($B$10),MONTH($B$10),1),"m")+2,"ИТОГО",IF(ROWS($F$6:F9)=DATEDIF(DATE(YEAR($B$9),MONTH($B$9),1),DATE(YEAR($B$10),MONTH($B$10),1),"m")+3,"Отклонение графика платежей",""))))</f>
        <v/>
      </c>
      <c r="G9" s="65" t="str">
        <f>IF(F9="","",IF(ISNUMBER(F9),IF($B$19="","",MAX(0,N($B$19)-N(H9))),IF(F9="ИТОГО",SUM($G$6:INDEX($G:$G,ROW()-1)),"")))</f>
        <v/>
      </c>
      <c r="H9" s="65" t="str">
        <f>IF(F9="","",IF(ISNUMBER(F9),IF($B$22&lt;&gt;"Да",0,IF(OR($B$23="",$B$24="",$B$25="",$B$26="",$B$27=""),"",IF(AND(YEAR(F9)=YEAR($B$26),MONTH(F9)=MONTH($B$26)),$B$23,0))),IF(F9="ИТОГО",SUM($H$6:INDEX($H:$H,ROW()-1)),IF(F9="Отклонение графика платежей","Проверка",""))))</f>
        <v/>
      </c>
      <c r="I9" s="30" t="str" cm="1">
        <f t="array" ref="I9">IF(F9="","",IF(ISNUMBER(F9),SUM(G9:H9),IF(F9="ИТОГО",SUM($I$6:INDEX($I:$I,ROW()-1)),IF(F9="Отклонение графика платежей",IF($B$19="","",INDEX($I:$I,ROW()-1)-$B$19),""))))</f>
        <v/>
      </c>
      <c r="J9" s="30" t="str">
        <f>IF(F9="","",IF(ISNUMBER(F9),SUM($I$6:I9),IF(F9="ИТОГО",I9,IF(F9="Отклонение графика платежей",IF(I9="","ТРЕБУЕТСЯ ВВОД",IF(ABS(I9)&lt;0.01,"OK","ОШИБКА: график платежей не соответствует стоимости помещения")),""))))</f>
        <v/>
      </c>
      <c r="K9" s="30" t="str">
        <f t="shared" si="0"/>
        <v/>
      </c>
      <c r="M9" s="5" t="s">
        <v>619</v>
      </c>
      <c r="N9" s="40" t="str">
        <f>IF(OR(B9="",B10=""),"ОШИБКА",IF(B9=B10,"OK","ОШИБКА"))</f>
        <v>ОШИБКА</v>
      </c>
      <c r="O9" s="26" t="str">
        <f>IF(OR(B9="",B10=""),"",B10-B9)</f>
        <v/>
      </c>
      <c r="P9" s="6" t="str">
        <f>IF(N9="OK","Начало владения совпадает с датой покупки","Для готового объекта начало владения должно совпадать с датой покупки")</f>
        <v>Для готового объекта начало владения должно совпадать с датой покупки</v>
      </c>
    </row>
    <row r="10" spans="1:16" ht="25" customHeight="1" x14ac:dyDescent="0.2">
      <c r="A10" s="5" t="s">
        <v>606</v>
      </c>
      <c r="B10" s="131" t="str">
        <f>IF(B9="","",B9)</f>
        <v/>
      </c>
      <c r="C10" s="5" t="s">
        <v>22</v>
      </c>
      <c r="D10" s="6" t="s">
        <v>607</v>
      </c>
      <c r="E10" s="4"/>
      <c r="F10" s="39" t="str">
        <f>IF(OR($B$9="",$B$10="",$B$10&lt;$B$9),"",IF(ROWS($F$6:F10)&lt;=DATEDIF(DATE(YEAR($B$9),MONTH($B$9),1),DATE(YEAR($B$10),MONTH($B$10),1),"m")+1,EDATE(DATE(YEAR($B$9),MONTH($B$9),1),ROWS($F$6:F10)-1),IF(ROWS($F$6:F10)=DATEDIF(DATE(YEAR($B$9),MONTH($B$9),1),DATE(YEAR($B$10),MONTH($B$10),1),"m")+2,"ИТОГО",IF(ROWS($F$6:F10)=DATEDIF(DATE(YEAR($B$9),MONTH($B$9),1),DATE(YEAR($B$10),MONTH($B$10),1),"m")+3,"Отклонение графика платежей",""))))</f>
        <v/>
      </c>
      <c r="G10" s="65" t="str">
        <f>IF(F10="","",IF(ISNUMBER(F10),IF($B$19="","",MAX(0,N($B$19)-N(H10))),IF(F10="ИТОГО",SUM($G$6:INDEX($G:$G,ROW()-1)),"")))</f>
        <v/>
      </c>
      <c r="H10" s="65" t="str">
        <f>IF(F10="","",IF(ISNUMBER(F10),IF($B$22&lt;&gt;"Да",0,IF(OR($B$23="",$B$24="",$B$25="",$B$26="",$B$27=""),"",IF(AND(YEAR(F10)=YEAR($B$26),MONTH(F10)=MONTH($B$26)),$B$23,0))),IF(F10="ИТОГО",SUM($H$6:INDEX($H:$H,ROW()-1)),IF(F10="Отклонение графика платежей","Проверка",""))))</f>
        <v/>
      </c>
      <c r="I10" s="30" t="str" cm="1">
        <f t="array" ref="I10">IF(F10="","",IF(ISNUMBER(F10),SUM(G10:H10),IF(F10="ИТОГО",SUM($I$6:INDEX($I:$I,ROW()-1)),IF(F10="Отклонение графика платежей",IF($B$19="","",INDEX($I:$I,ROW()-1)-$B$19),""))))</f>
        <v/>
      </c>
      <c r="J10" s="30" t="str">
        <f>IF(F10="","",IF(ISNUMBER(F10),SUM($I$6:I10),IF(F10="ИТОГО",I10,IF(F10="Отклонение графика платежей",IF(I10="","ТРЕБУЕТСЯ ВВОД",IF(ABS(I10)&lt;0.01,"OK","ОШИБКА: график платежей не соответствует стоимости помещения")),""))))</f>
        <v/>
      </c>
      <c r="K10" s="30" t="str">
        <f t="shared" si="0"/>
        <v/>
      </c>
      <c r="M10" s="5" t="s">
        <v>23</v>
      </c>
      <c r="N10" s="40" t="str">
        <f>IF(OR(B9="",B30=""),"ОШИБКА",IF(B9&lt;=B30,"OK","ПРЕДУПРЕЖДЕНИЕ"))</f>
        <v>ОШИБКА</v>
      </c>
      <c r="O10" s="26" t="str">
        <f>IF(OR(B9="",B30=""),"",B30-B9)</f>
        <v/>
      </c>
      <c r="P10" s="6" t="str">
        <f>IF(N10="OK","Аренда начинается не раньше покупки объекта","Начало аренды раньше даты покупки — проверьте допущение")</f>
        <v>Начало аренды раньше даты покупки — проверьте допущение</v>
      </c>
    </row>
    <row r="11" spans="1:16" ht="25" customHeight="1" x14ac:dyDescent="0.2">
      <c r="A11" s="5" t="s">
        <v>608</v>
      </c>
      <c r="B11" s="11"/>
      <c r="C11" s="5" t="s">
        <v>11</v>
      </c>
      <c r="D11" s="6" t="s">
        <v>609</v>
      </c>
      <c r="E11" s="4"/>
      <c r="F11" s="39" t="str">
        <f>IF(OR($B$9="",$B$10="",$B$10&lt;$B$9),"",IF(ROWS($F$6:F11)&lt;=DATEDIF(DATE(YEAR($B$9),MONTH($B$9),1),DATE(YEAR($B$10),MONTH($B$10),1),"m")+1,EDATE(DATE(YEAR($B$9),MONTH($B$9),1),ROWS($F$6:F11)-1),IF(ROWS($F$6:F11)=DATEDIF(DATE(YEAR($B$9),MONTH($B$9),1),DATE(YEAR($B$10),MONTH($B$10),1),"m")+2,"ИТОГО",IF(ROWS($F$6:F11)=DATEDIF(DATE(YEAR($B$9),MONTH($B$9),1),DATE(YEAR($B$10),MONTH($B$10),1),"m")+3,"Отклонение графика платежей",""))))</f>
        <v/>
      </c>
      <c r="G11" s="65" t="str">
        <f>IF(F11="","",IF(ISNUMBER(F11),IF($B$19="","",MAX(0,N($B$19)-N(H11))),IF(F11="ИТОГО",SUM($G$6:INDEX($G:$G,ROW()-1)),"")))</f>
        <v/>
      </c>
      <c r="H11" s="65" t="str">
        <f>IF(F11="","",IF(ISNUMBER(F11),IF($B$22&lt;&gt;"Да",0,IF(OR($B$23="",$B$24="",$B$25="",$B$26="",$B$27=""),"",IF(AND(YEAR(F11)=YEAR($B$26),MONTH(F11)=MONTH($B$26)),$B$23,0))),IF(F11="ИТОГО",SUM($H$6:INDEX($H:$H,ROW()-1)),IF(F11="Отклонение графика платежей","Проверка",""))))</f>
        <v/>
      </c>
      <c r="I11" s="30" t="str" cm="1">
        <f t="array" ref="I11">IF(F11="","",IF(ISNUMBER(F11),SUM(G11:H11),IF(F11="ИТОГО",SUM($I$6:INDEX($I:$I,ROW()-1)),IF(F11="Отклонение графика платежей",IF($B$19="","",INDEX($I:$I,ROW()-1)-$B$19),""))))</f>
        <v/>
      </c>
      <c r="J11" s="30" t="str">
        <f>IF(F11="","",IF(ISNUMBER(F11),SUM($I$6:I11),IF(F11="ИТОГО",I11,IF(F11="Отклонение графика платежей",IF(I11="","ТРЕБУЕТСЯ ВВОД",IF(ABS(I11)&lt;0.01,"OK","ОШИБКА: график платежей не соответствует стоимости помещения")),""))))</f>
        <v/>
      </c>
      <c r="K11" s="30" t="str">
        <f t="shared" si="0"/>
        <v/>
      </c>
      <c r="M11" s="5" t="s">
        <v>24</v>
      </c>
      <c r="N11" s="40" t="str">
        <f>IF(OR(B79=5,B79=10,B79=15),"OK","ОШИБКА")</f>
        <v>ОШИБКА</v>
      </c>
      <c r="O11" s="26">
        <f>B79</f>
        <v>0</v>
      </c>
      <c r="P11" s="6" t="str">
        <f>IF(N11="OK","Допустимый срок инвестиции","Разрешены только 5, 10 или 15 лет")</f>
        <v>Разрешены только 5, 10 или 15 лет</v>
      </c>
    </row>
    <row r="12" spans="1:16" ht="25" customHeight="1" x14ac:dyDescent="0.2">
      <c r="A12" s="5" t="s">
        <v>610</v>
      </c>
      <c r="B12" s="13"/>
      <c r="C12" s="5" t="s">
        <v>22</v>
      </c>
      <c r="D12" s="6" t="s">
        <v>25</v>
      </c>
      <c r="E12" s="4"/>
      <c r="F12" s="39" t="str">
        <f>IF(OR($B$9="",$B$10="",$B$10&lt;$B$9),"",IF(ROWS($F$6:F12)&lt;=DATEDIF(DATE(YEAR($B$9),MONTH($B$9),1),DATE(YEAR($B$10),MONTH($B$10),1),"m")+1,EDATE(DATE(YEAR($B$9),MONTH($B$9),1),ROWS($F$6:F12)-1),IF(ROWS($F$6:F12)=DATEDIF(DATE(YEAR($B$9),MONTH($B$9),1),DATE(YEAR($B$10),MONTH($B$10),1),"m")+2,"ИТОГО",IF(ROWS($F$6:F12)=DATEDIF(DATE(YEAR($B$9),MONTH($B$9),1),DATE(YEAR($B$10),MONTH($B$10),1),"m")+3,"Отклонение графика платежей",""))))</f>
        <v/>
      </c>
      <c r="G12" s="65" t="str">
        <f>IF(F12="","",IF(ISNUMBER(F12),IF($B$19="","",MAX(0,N($B$19)-N(H12))),IF(F12="ИТОГО",SUM($G$6:INDEX($G:$G,ROW()-1)),"")))</f>
        <v/>
      </c>
      <c r="H12" s="65" t="str">
        <f>IF(F12="","",IF(ISNUMBER(F12),IF($B$22&lt;&gt;"Да",0,IF(OR($B$23="",$B$24="",$B$25="",$B$26="",$B$27=""),"",IF(AND(YEAR(F12)=YEAR($B$26),MONTH(F12)=MONTH($B$26)),$B$23,0))),IF(F12="ИТОГО",SUM($H$6:INDEX($H:$H,ROW()-1)),IF(F12="Отклонение графика платежей","Проверка",""))))</f>
        <v/>
      </c>
      <c r="I12" s="30" t="str" cm="1">
        <f t="array" ref="I12">IF(F12="","",IF(ISNUMBER(F12),SUM(G12:H12),IF(F12="ИТОГО",SUM($I$6:INDEX($I:$I,ROW()-1)),IF(F12="Отклонение графика платежей",IF($B$19="","",INDEX($I:$I,ROW()-1)-$B$19),""))))</f>
        <v/>
      </c>
      <c r="J12" s="30" t="str">
        <f>IF(F12="","",IF(ISNUMBER(F12),SUM($I$6:I12),IF(F12="ИТОГО",I12,IF(F12="Отклонение графика платежей",IF(I12="","ТРЕБУЕТСЯ ВВОД",IF(ABS(I12)&lt;0.01,"OK","ОШИБКА: график платежей не соответствует стоимости помещения")),""))))</f>
        <v/>
      </c>
      <c r="K12" s="30" t="str">
        <f t="shared" si="0"/>
        <v/>
      </c>
      <c r="M12" s="5" t="s">
        <v>26</v>
      </c>
      <c r="N12" s="40" t="str">
        <f>IF(AND(N(B5)&gt;0,N(B19)&gt;0,N(B31)&gt;0,N(B32)&gt;0,N(B33)&gt;0,N(B80)&gt;0,N(B90)&gt;=0),"OK","ОШИБКА")</f>
        <v>ОШИБКА</v>
      </c>
      <c r="O12" s="26">
        <f>MIN(N(B5),N(B19),N(B31),N(B32),N(B33),N(B80))</f>
        <v>0</v>
      </c>
      <c r="P12" s="6" t="str">
        <f>IF(N12="OK","Ключевые ставки и объём положительны","Площадь, цена, аренда и капитализация должны быть &gt; 0; дисконтирование &gt;= 0")</f>
        <v>Площадь, цена, аренда и капитализация должны быть &gt; 0; дисконтирование &gt;= 0</v>
      </c>
    </row>
    <row r="13" spans="1:16" ht="25" customHeight="1" x14ac:dyDescent="0.2">
      <c r="A13" s="5" t="s">
        <v>611</v>
      </c>
      <c r="B13" s="37" t="str">
        <f>IF(B9="","",IF(B12="",B9,B12))</f>
        <v/>
      </c>
      <c r="C13" s="5" t="s">
        <v>22</v>
      </c>
      <c r="D13" s="6" t="s">
        <v>612</v>
      </c>
      <c r="E13" s="4"/>
      <c r="F13" s="39" t="str">
        <f>IF(OR($B$9="",$B$10="",$B$10&lt;$B$9),"",IF(ROWS($F$6:F13)&lt;=DATEDIF(DATE(YEAR($B$9),MONTH($B$9),1),DATE(YEAR($B$10),MONTH($B$10),1),"m")+1,EDATE(DATE(YEAR($B$9),MONTH($B$9),1),ROWS($F$6:F13)-1),IF(ROWS($F$6:F13)=DATEDIF(DATE(YEAR($B$9),MONTH($B$9),1),DATE(YEAR($B$10),MONTH($B$10),1),"m")+2,"ИТОГО",IF(ROWS($F$6:F13)=DATEDIF(DATE(YEAR($B$9),MONTH($B$9),1),DATE(YEAR($B$10),MONTH($B$10),1),"m")+3,"Отклонение графика платежей",""))))</f>
        <v/>
      </c>
      <c r="G13" s="65" t="str">
        <f>IF(F13="","",IF(ISNUMBER(F13),IF($B$19="","",MAX(0,N($B$19)-N(H13))),IF(F13="ИТОГО",SUM($G$6:INDEX($G:$G,ROW()-1)),"")))</f>
        <v/>
      </c>
      <c r="H13" s="65" t="str">
        <f>IF(F13="","",IF(ISNUMBER(F13),IF($B$22&lt;&gt;"Да",0,IF(OR($B$23="",$B$24="",$B$25="",$B$26="",$B$27=""),"",IF(AND(YEAR(F13)=YEAR($B$26),MONTH(F13)=MONTH($B$26)),$B$23,0))),IF(F13="ИТОГО",SUM($H$6:INDEX($H:$H,ROW()-1)),IF(F13="Отклонение графика платежей","Проверка",""))))</f>
        <v/>
      </c>
      <c r="I13" s="30" t="str" cm="1">
        <f t="array" ref="I13">IF(F13="","",IF(ISNUMBER(F13),SUM(G13:H13),IF(F13="ИТОГО",SUM($I$6:INDEX($I:$I,ROW()-1)),IF(F13="Отклонение графика платежей",IF($B$19="","",INDEX($I:$I,ROW()-1)-$B$19),""))))</f>
        <v/>
      </c>
      <c r="J13" s="30" t="str">
        <f>IF(F13="","",IF(ISNUMBER(F13),SUM($I$6:I13),IF(F13="ИТОГО",I13,IF(F13="Отклонение графика платежей",IF(I13="","ТРЕБУЕТСЯ ВВОД",IF(ABS(I13)&lt;0.01,"OK","ОШИБКА: график платежей не соответствует стоимости помещения")),""))))</f>
        <v/>
      </c>
      <c r="K13" s="30" t="str">
        <f t="shared" si="0"/>
        <v/>
      </c>
      <c r="M13" s="5" t="s">
        <v>27</v>
      </c>
      <c r="N13" s="40" t="str">
        <f>IF(B22="Нет","OK",IF(AND(B23&gt;=0,B23&lt;=B19),"OK","ОШИБКА"))</f>
        <v>OK</v>
      </c>
      <c r="O13" s="26" t="str">
        <f>IF(B22="Да",B19-B23,B19)</f>
        <v/>
      </c>
      <c r="P13" s="6" t="str">
        <f>IF(N13="OK","Сумма кредита допустима","Сумма кредита не должна превышать стоимость покупки")</f>
        <v>Сумма кредита допустима</v>
      </c>
    </row>
    <row r="14" spans="1:16" ht="25" customHeight="1" x14ac:dyDescent="0.2">
      <c r="A14" s="5" t="s">
        <v>28</v>
      </c>
      <c r="B14" s="53"/>
      <c r="C14" s="5" t="s">
        <v>29</v>
      </c>
      <c r="D14" s="6" t="s">
        <v>30</v>
      </c>
      <c r="E14" s="4"/>
      <c r="F14" s="39" t="str">
        <f>IF(OR($B$9="",$B$10="",$B$10&lt;$B$9),"",IF(ROWS($F$6:F14)&lt;=DATEDIF(DATE(YEAR($B$9),MONTH($B$9),1),DATE(YEAR($B$10),MONTH($B$10),1),"m")+1,EDATE(DATE(YEAR($B$9),MONTH($B$9),1),ROWS($F$6:F14)-1),IF(ROWS($F$6:F14)=DATEDIF(DATE(YEAR($B$9),MONTH($B$9),1),DATE(YEAR($B$10),MONTH($B$10),1),"m")+2,"ИТОГО",IF(ROWS($F$6:F14)=DATEDIF(DATE(YEAR($B$9),MONTH($B$9),1),DATE(YEAR($B$10),MONTH($B$10),1),"m")+3,"Отклонение графика платежей",""))))</f>
        <v/>
      </c>
      <c r="G14" s="65" t="str">
        <f>IF(F14="","",IF(ISNUMBER(F14),IF($B$19="","",MAX(0,N($B$19)-N(H14))),IF(F14="ИТОГО",SUM($G$6:INDEX($G:$G,ROW()-1)),"")))</f>
        <v/>
      </c>
      <c r="H14" s="65" t="str">
        <f>IF(F14="","",IF(ISNUMBER(F14),IF($B$22&lt;&gt;"Да",0,IF(OR($B$23="",$B$24="",$B$25="",$B$26="",$B$27=""),"",IF(AND(YEAR(F14)=YEAR($B$26),MONTH(F14)=MONTH($B$26)),$B$23,0))),IF(F14="ИТОГО",SUM($H$6:INDEX($H:$H,ROW()-1)),IF(F14="Отклонение графика платежей","Проверка",""))))</f>
        <v/>
      </c>
      <c r="I14" s="30" t="str" cm="1">
        <f t="array" ref="I14">IF(F14="","",IF(ISNUMBER(F14),SUM(G14:H14),IF(F14="ИТОГО",SUM($I$6:INDEX($I:$I,ROW()-1)),IF(F14="Отклонение графика платежей",IF($B$19="","",INDEX($I:$I,ROW()-1)-$B$19),""))))</f>
        <v/>
      </c>
      <c r="J14" s="30" t="str">
        <f>IF(F14="","",IF(ISNUMBER(F14),SUM($I$6:I14),IF(F14="ИТОГО",I14,IF(F14="Отклонение графика платежей",IF(I14="","ТРЕБУЕТСЯ ВВОД",IF(ABS(I14)&lt;0.01,"OK","ОШИБКА: график платежей не соответствует стоимости помещения")),""))))</f>
        <v/>
      </c>
      <c r="K14" s="30" t="str">
        <f t="shared" si="0"/>
        <v/>
      </c>
      <c r="M14" s="5" t="s">
        <v>31</v>
      </c>
      <c r="N14" s="40" t="str">
        <f>IF(MIN(Расчёты!$AK$2:$AK$194)&gt;=-0.01,"OK","ОШИБКА")</f>
        <v>OK</v>
      </c>
      <c r="O14" s="26">
        <f>MIN(Расчёты!$AK$2:$AK$194)</f>
        <v>0</v>
      </c>
      <c r="P14" s="6" t="str">
        <f>IF(N14="OK","Отрицательный долг отсутствует","Остаток кредита стал отрицательным")</f>
        <v>Отрицательный долг отсутствует</v>
      </c>
    </row>
    <row r="15" spans="1:16" ht="25" customHeight="1" x14ac:dyDescent="0.2">
      <c r="A15" s="5" t="s">
        <v>32</v>
      </c>
      <c r="B15" s="53"/>
      <c r="C15" s="5" t="s">
        <v>29</v>
      </c>
      <c r="D15" s="6" t="s">
        <v>30</v>
      </c>
      <c r="E15" s="4"/>
      <c r="F15" s="39" t="str">
        <f>IF(OR($B$9="",$B$10="",$B$10&lt;$B$9),"",IF(ROWS($F$6:F15)&lt;=DATEDIF(DATE(YEAR($B$9),MONTH($B$9),1),DATE(YEAR($B$10),MONTH($B$10),1),"m")+1,EDATE(DATE(YEAR($B$9),MONTH($B$9),1),ROWS($F$6:F15)-1),IF(ROWS($F$6:F15)=DATEDIF(DATE(YEAR($B$9),MONTH($B$9),1),DATE(YEAR($B$10),MONTH($B$10),1),"m")+2,"ИТОГО",IF(ROWS($F$6:F15)=DATEDIF(DATE(YEAR($B$9),MONTH($B$9),1),DATE(YEAR($B$10),MONTH($B$10),1),"m")+3,"Отклонение графика платежей",""))))</f>
        <v/>
      </c>
      <c r="G15" s="65" t="str">
        <f>IF(F15="","",IF(ISNUMBER(F15),IF($B$19="","",MAX(0,N($B$19)-N(H15))),IF(F15="ИТОГО",SUM($G$6:INDEX($G:$G,ROW()-1)),"")))</f>
        <v/>
      </c>
      <c r="H15" s="65" t="str">
        <f>IF(F15="","",IF(ISNUMBER(F15),IF($B$22&lt;&gt;"Да",0,IF(OR($B$23="",$B$24="",$B$25="",$B$26="",$B$27=""),"",IF(AND(YEAR(F15)=YEAR($B$26),MONTH(F15)=MONTH($B$26)),$B$23,0))),IF(F15="ИТОГО",SUM($H$6:INDEX($H:$H,ROW()-1)),IF(F15="Отклонение графика платежей","Проверка",""))))</f>
        <v/>
      </c>
      <c r="I15" s="30" t="str" cm="1">
        <f t="array" ref="I15">IF(F15="","",IF(ISNUMBER(F15),SUM(G15:H15),IF(F15="ИТОГО",SUM($I$6:INDEX($I:$I,ROW()-1)),IF(F15="Отклонение графика платежей",IF($B$19="","",INDEX($I:$I,ROW()-1)-$B$19),""))))</f>
        <v/>
      </c>
      <c r="J15" s="30" t="str">
        <f>IF(F15="","",IF(ISNUMBER(F15),SUM($I$6:I15),IF(F15="ИТОГО",I15,IF(F15="Отклонение графика платежей",IF(I15="","ТРЕБУЕТСЯ ВВОД",IF(ABS(I15)&lt;0.01,"OK","ОШИБКА: график платежей не соответствует стоимости помещения")),""))))</f>
        <v/>
      </c>
      <c r="K15" s="30" t="str">
        <f t="shared" si="0"/>
        <v/>
      </c>
      <c r="M15" s="5" t="s">
        <v>33</v>
      </c>
      <c r="N15" s="40" t="str" cm="1">
        <f t="array" ref="N15">IF(B22="Нет","OK",IF(OR(B26="",B25="",B91=""),"ОШИБКА",IF(AND(EDATE(B26,B25)&lt;=B91,LOOKUP(2,1/(Расчёты!$E$2:$E$194=1),Расчёты!$AK$2:$AK$194)&lt;=0.01),"OK","ОШИБКА")))</f>
        <v>ОШИБКА</v>
      </c>
      <c r="O15" s="26" cm="1">
        <f t="array" ref="O15">IF(B22="Да",LOOKUP(2,1/(Расчёты!$E$2:$E$194=1),Расчёты!$AK$2:$AK$194),0)</f>
        <v>0</v>
      </c>
      <c r="P15" s="6" t="str">
        <f>IF(N15="OK","График кредита завершён в сроке модели","Кредит выходит за дату продажи или остаётся непогашенным")</f>
        <v>Кредит выходит за дату продажи или остаётся непогашенным</v>
      </c>
    </row>
    <row r="16" spans="1:16" ht="25" customHeight="1" x14ac:dyDescent="0.2">
      <c r="A16" s="5" t="s">
        <v>34</v>
      </c>
      <c r="B16" s="54"/>
      <c r="C16" s="5" t="s">
        <v>11</v>
      </c>
      <c r="D16" s="6" t="s">
        <v>35</v>
      </c>
      <c r="E16" s="4"/>
      <c r="F16" s="39" t="str">
        <f>IF(OR($B$9="",$B$10="",$B$10&lt;$B$9),"",IF(ROWS($F$6:F16)&lt;=DATEDIF(DATE(YEAR($B$9),MONTH($B$9),1),DATE(YEAR($B$10),MONTH($B$10),1),"m")+1,EDATE(DATE(YEAR($B$9),MONTH($B$9),1),ROWS($F$6:F16)-1),IF(ROWS($F$6:F16)=DATEDIF(DATE(YEAR($B$9),MONTH($B$9),1),DATE(YEAR($B$10),MONTH($B$10),1),"m")+2,"ИТОГО",IF(ROWS($F$6:F16)=DATEDIF(DATE(YEAR($B$9),MONTH($B$9),1),DATE(YEAR($B$10),MONTH($B$10),1),"m")+3,"Отклонение графика платежей",""))))</f>
        <v/>
      </c>
      <c r="G16" s="65" t="str">
        <f>IF(F16="","",IF(ISNUMBER(F16),IF($B$19="","",MAX(0,N($B$19)-N(H16))),IF(F16="ИТОГО",SUM($G$6:INDEX($G:$G,ROW()-1)),"")))</f>
        <v/>
      </c>
      <c r="H16" s="65" t="str">
        <f>IF(F16="","",IF(ISNUMBER(F16),IF($B$22&lt;&gt;"Да",0,IF(OR($B$23="",$B$24="",$B$25="",$B$26="",$B$27=""),"",IF(AND(YEAR(F16)=YEAR($B$26),MONTH(F16)=MONTH($B$26)),$B$23,0))),IF(F16="ИТОГО",SUM($H$6:INDEX($H:$H,ROW()-1)),IF(F16="Отклонение графика платежей","Проверка",""))))</f>
        <v/>
      </c>
      <c r="I16" s="30" t="str" cm="1">
        <f t="array" ref="I16">IF(F16="","",IF(ISNUMBER(F16),SUM(G16:H16),IF(F16="ИТОГО",SUM($I$6:INDEX($I:$I,ROW()-1)),IF(F16="Отклонение графика платежей",IF($B$19="","",INDEX($I:$I,ROW()-1)-$B$19),""))))</f>
        <v/>
      </c>
      <c r="J16" s="30" t="str">
        <f>IF(F16="","",IF(ISNUMBER(F16),SUM($I$6:I16),IF(F16="ИТОГО",I16,IF(F16="Отклонение графика платежей",IF(I16="","ТРЕБУЕТСЯ ВВОД",IF(ABS(I16)&lt;0.01,"OK","ОШИБКА: график платежей не соответствует стоимости помещения")),""))))</f>
        <v/>
      </c>
      <c r="K16" s="30" t="str">
        <f t="shared" si="0"/>
        <v/>
      </c>
      <c r="M16" s="5" t="s">
        <v>36</v>
      </c>
      <c r="N16" s="40" t="str">
        <f>IF(OR(B9="",B79="",B91=""),"ОШИБКА",IF(B91=EDATE(B9,B79*12),"OK","ОШИБКА"))</f>
        <v>ОШИБКА</v>
      </c>
      <c r="O16" s="26" t="str">
        <f>B91</f>
        <v/>
      </c>
      <c r="P16" s="6" t="str">
        <f>IF(N16="OK","Дата продажи определена корректно","Дата продажи должна равняться дате покупки + срок инвестиции")</f>
        <v>Дата продажи должна равняться дате покупки + срок инвестиции</v>
      </c>
    </row>
    <row r="17" spans="1:16" ht="25" customHeight="1" x14ac:dyDescent="0.2">
      <c r="A17" s="5" t="s">
        <v>37</v>
      </c>
      <c r="B17" s="29" t="str">
        <f>IF(OR(B6="",B7="",B8=""),"",IF(B7="С НДС",B6/(1+B8),B6))</f>
        <v/>
      </c>
      <c r="C17" s="5" t="s">
        <v>11</v>
      </c>
      <c r="D17" s="6" t="s">
        <v>38</v>
      </c>
      <c r="E17" s="4"/>
      <c r="F17" s="39" t="str">
        <f>IF(OR($B$9="",$B$10="",$B$10&lt;$B$9),"",IF(ROWS($F$6:F17)&lt;=DATEDIF(DATE(YEAR($B$9),MONTH($B$9),1),DATE(YEAR($B$10),MONTH($B$10),1),"m")+1,EDATE(DATE(YEAR($B$9),MONTH($B$9),1),ROWS($F$6:F17)-1),IF(ROWS($F$6:F17)=DATEDIF(DATE(YEAR($B$9),MONTH($B$9),1),DATE(YEAR($B$10),MONTH($B$10),1),"m")+2,"ИТОГО",IF(ROWS($F$6:F17)=DATEDIF(DATE(YEAR($B$9),MONTH($B$9),1),DATE(YEAR($B$10),MONTH($B$10),1),"m")+3,"Отклонение графика платежей",""))))</f>
        <v/>
      </c>
      <c r="G17" s="65" t="str">
        <f>IF(F17="","",IF(ISNUMBER(F17),IF($B$19="","",MAX(0,N($B$19)-N(H17))),IF(F17="ИТОГО",SUM($G$6:INDEX($G:$G,ROW()-1)),"")))</f>
        <v/>
      </c>
      <c r="H17" s="65" t="str">
        <f>IF(F17="","",IF(ISNUMBER(F17),IF($B$22&lt;&gt;"Да",0,IF(OR($B$23="",$B$24="",$B$25="",$B$26="",$B$27=""),"",IF(AND(YEAR(F17)=YEAR($B$26),MONTH(F17)=MONTH($B$26)),$B$23,0))),IF(F17="ИТОГО",SUM($H$6:INDEX($H:$H,ROW()-1)),IF(F17="Отклонение графика платежей","Проверка",""))))</f>
        <v/>
      </c>
      <c r="I17" s="30" t="str" cm="1">
        <f t="array" ref="I17">IF(F17="","",IF(ISNUMBER(F17),SUM(G17:H17),IF(F17="ИТОГО",SUM($I$6:INDEX($I:$I,ROW()-1)),IF(F17="Отклонение графика платежей",IF($B$19="","",INDEX($I:$I,ROW()-1)-$B$19),""))))</f>
        <v/>
      </c>
      <c r="J17" s="30" t="str">
        <f>IF(F17="","",IF(ISNUMBER(F17),SUM($I$6:I17),IF(F17="ИТОГО",I17,IF(F17="Отклонение графика платежей",IF(I17="","ТРЕБУЕТСЯ ВВОД",IF(ABS(I17)&lt;0.01,"OK","ОШИБКА: график платежей не соответствует стоимости помещения")),""))))</f>
        <v/>
      </c>
      <c r="K17" s="30" t="str">
        <f t="shared" si="0"/>
        <v/>
      </c>
      <c r="M17" s="5" t="s">
        <v>39</v>
      </c>
      <c r="N17" s="40" t="str">
        <f>IF(B91="","ОШИБКА",IF(SUM(Расчёты!$AV$2:$AV$194)&gt;0,"OK","ОШИБКА"))</f>
        <v>ОШИБКА</v>
      </c>
      <c r="O17" s="26">
        <f>SUM(Расчёты!$AV$2:$AV$194)</f>
        <v>0</v>
      </c>
      <c r="P17" s="6" t="str">
        <f>IF(N17="OK","Стоимость продажи положительна","Проверьте NOI, ставку капитализации и методику нормализации")</f>
        <v>Проверьте NOI, ставку капитализации и методику нормализации</v>
      </c>
    </row>
    <row r="18" spans="1:16" ht="25" customHeight="1" x14ac:dyDescent="0.2">
      <c r="A18" s="5" t="s">
        <v>40</v>
      </c>
      <c r="B18" s="29" t="str">
        <f>IF(OR(B6="",B7="",B8=""),"",IF(B7="С НДС",B6-B17,B6*B8))</f>
        <v/>
      </c>
      <c r="C18" s="5" t="s">
        <v>11</v>
      </c>
      <c r="D18" s="6" t="s">
        <v>38</v>
      </c>
      <c r="E18" s="4"/>
      <c r="F18" s="39" t="str">
        <f>IF(OR($B$9="",$B$10="",$B$10&lt;$B$9),"",IF(ROWS($F$6:F18)&lt;=DATEDIF(DATE(YEAR($B$9),MONTH($B$9),1),DATE(YEAR($B$10),MONTH($B$10),1),"m")+1,EDATE(DATE(YEAR($B$9),MONTH($B$9),1),ROWS($F$6:F18)-1),IF(ROWS($F$6:F18)=DATEDIF(DATE(YEAR($B$9),MONTH($B$9),1),DATE(YEAR($B$10),MONTH($B$10),1),"m")+2,"ИТОГО",IF(ROWS($F$6:F18)=DATEDIF(DATE(YEAR($B$9),MONTH($B$9),1),DATE(YEAR($B$10),MONTH($B$10),1),"m")+3,"Отклонение графика платежей",""))))</f>
        <v/>
      </c>
      <c r="G18" s="65" t="str">
        <f>IF(F18="","",IF(ISNUMBER(F18),IF($B$19="","",MAX(0,N($B$19)-N(H18))),IF(F18="ИТОГО",SUM($G$6:INDEX($G:$G,ROW()-1)),"")))</f>
        <v/>
      </c>
      <c r="H18" s="65" t="str">
        <f>IF(F18="","",IF(ISNUMBER(F18),IF($B$22&lt;&gt;"Да",0,IF(OR($B$23="",$B$24="",$B$25="",$B$26="",$B$27=""),"",IF(AND(YEAR(F18)=YEAR($B$26),MONTH(F18)=MONTH($B$26)),$B$23,0))),IF(F18="ИТОГО",SUM($H$6:INDEX($H:$H,ROW()-1)),IF(F18="Отклонение графика платежей","Проверка",""))))</f>
        <v/>
      </c>
      <c r="I18" s="30" t="str" cm="1">
        <f t="array" ref="I18">IF(F18="","",IF(ISNUMBER(F18),SUM(G18:H18),IF(F18="ИТОГО",SUM($I$6:INDEX($I:$I,ROW()-1)),IF(F18="Отклонение графика платежей",IF($B$19="","",INDEX($I:$I,ROW()-1)-$B$19),""))))</f>
        <v/>
      </c>
      <c r="J18" s="30" t="str">
        <f>IF(F18="","",IF(ISNUMBER(F18),SUM($I$6:I18),IF(F18="ИТОГО",I18,IF(F18="Отклонение графика платежей",IF(I18="","ТРЕБУЕТСЯ ВВОД",IF(ABS(I18)&lt;0.01,"OK","ОШИБКА: график платежей не соответствует стоимости помещения")),""))))</f>
        <v/>
      </c>
      <c r="K18" s="30" t="str">
        <f t="shared" si="0"/>
        <v/>
      </c>
      <c r="M18" s="5" t="s">
        <v>41</v>
      </c>
      <c r="N18" s="40" t="str">
        <f>IF(AND(COUNT('Сценарный анализ'!$B$5:$B$9)=5,COUNT('Сценарный анализ'!$C$5:$C$9)=5,COUNT('Сценарный анализ'!$D$5:$D$9)=5),"OK","ОШИБКА")</f>
        <v>ОШИБКА</v>
      </c>
      <c r="O18" s="26">
        <f>COUNT('Сценарный анализ'!$B$5:$D$9)</f>
        <v>5</v>
      </c>
      <c r="P18" s="6" t="str">
        <f>IF(N18="OK","Все сценарные параметры заполнены","Заполните ставки аренды, индексацию и простой по трём сценариям")</f>
        <v>Заполните ставки аренды, индексацию и простой по трём сценариям</v>
      </c>
    </row>
    <row r="19" spans="1:16" ht="25" customHeight="1" x14ac:dyDescent="0.2">
      <c r="A19" s="5" t="s">
        <v>42</v>
      </c>
      <c r="B19" s="29" t="str">
        <f>IF(B17="","",B17+B18)</f>
        <v/>
      </c>
      <c r="C19" s="5" t="s">
        <v>11</v>
      </c>
      <c r="D19" s="6" t="s">
        <v>43</v>
      </c>
      <c r="E19" s="4"/>
      <c r="F19" s="39" t="str">
        <f>IF(OR($B$9="",$B$10="",$B$10&lt;$B$9),"",IF(ROWS($F$6:F19)&lt;=DATEDIF(DATE(YEAR($B$9),MONTH($B$9),1),DATE(YEAR($B$10),MONTH($B$10),1),"m")+1,EDATE(DATE(YEAR($B$9),MONTH($B$9),1),ROWS($F$6:F19)-1),IF(ROWS($F$6:F19)=DATEDIF(DATE(YEAR($B$9),MONTH($B$9),1),DATE(YEAR($B$10),MONTH($B$10),1),"m")+2,"ИТОГО",IF(ROWS($F$6:F19)=DATEDIF(DATE(YEAR($B$9),MONTH($B$9),1),DATE(YEAR($B$10),MONTH($B$10),1),"m")+3,"Отклонение графика платежей",""))))</f>
        <v/>
      </c>
      <c r="G19" s="65" t="str">
        <f>IF(F19="","",IF(ISNUMBER(F19),IF($B$19="","",MAX(0,N($B$19)-N(H19))),IF(F19="ИТОГО",SUM($G$6:INDEX($G:$G,ROW()-1)),"")))</f>
        <v/>
      </c>
      <c r="H19" s="65" t="str">
        <f>IF(F19="","",IF(ISNUMBER(F19),IF($B$22&lt;&gt;"Да",0,IF(OR($B$23="",$B$24="",$B$25="",$B$26="",$B$27=""),"",IF(AND(YEAR(F19)=YEAR($B$26),MONTH(F19)=MONTH($B$26)),$B$23,0))),IF(F19="ИТОГО",SUM($H$6:INDEX($H:$H,ROW()-1)),IF(F19="Отклонение графика платежей","Проверка",""))))</f>
        <v/>
      </c>
      <c r="I19" s="30" t="str" cm="1">
        <f t="array" ref="I19">IF(F19="","",IF(ISNUMBER(F19),SUM(G19:H19),IF(F19="ИТОГО",SUM($I$6:INDEX($I:$I,ROW()-1)),IF(F19="Отклонение графика платежей",IF($B$19="","",INDEX($I:$I,ROW()-1)-$B$19),""))))</f>
        <v/>
      </c>
      <c r="J19" s="30" t="str">
        <f>IF(F19="","",IF(ISNUMBER(F19),SUM($I$6:I19),IF(F19="ИТОГО",I19,IF(F19="Отклонение графика платежей",IF(I19="","ТРЕБУЕТСЯ ВВОД",IF(ABS(I19)&lt;0.01,"OK","ОШИБКА: график платежей не соответствует стоимости помещения")),""))))</f>
        <v/>
      </c>
      <c r="K19" s="30" t="str">
        <f t="shared" si="0"/>
        <v/>
      </c>
      <c r="M19" s="5" t="s">
        <v>44</v>
      </c>
      <c r="N19" s="40" t="str">
        <f>IF(MIN(Расчёты!$BH$2:$BH$194)=1,"OK","ОШИБКА")</f>
        <v>OK</v>
      </c>
      <c r="O19" s="26">
        <f>MIN(Расчёты!$BH$2:$BH$194)</f>
        <v>1</v>
      </c>
      <c r="P19" s="6" t="str">
        <f>IF(N19="OK","Знаки потоков соответствуют логике","Обнаружен необъяснимый знак денежного потока")</f>
        <v>Знаки потоков соответствуют логике</v>
      </c>
    </row>
    <row r="20" spans="1:16" ht="25" customHeight="1" x14ac:dyDescent="0.2">
      <c r="A20" s="5"/>
      <c r="B20" s="5"/>
      <c r="C20" s="5"/>
      <c r="D20" s="6"/>
      <c r="E20" s="4"/>
      <c r="F20" s="39" t="str">
        <f>IF(OR($B$9="",$B$10="",$B$10&lt;$B$9),"",IF(ROWS($F$6:F20)&lt;=DATEDIF(DATE(YEAR($B$9),MONTH($B$9),1),DATE(YEAR($B$10),MONTH($B$10),1),"m")+1,EDATE(DATE(YEAR($B$9),MONTH($B$9),1),ROWS($F$6:F20)-1),IF(ROWS($F$6:F20)=DATEDIF(DATE(YEAR($B$9),MONTH($B$9),1),DATE(YEAR($B$10),MONTH($B$10),1),"m")+2,"ИТОГО",IF(ROWS($F$6:F20)=DATEDIF(DATE(YEAR($B$9),MONTH($B$9),1),DATE(YEAR($B$10),MONTH($B$10),1),"m")+3,"Отклонение графика платежей",""))))</f>
        <v/>
      </c>
      <c r="G20" s="65" t="str">
        <f>IF(F20="","",IF(ISNUMBER(F20),IF($B$19="","",MAX(0,N($B$19)-N(H20))),IF(F20="ИТОГО",SUM($G$6:INDEX($G:$G,ROW()-1)),"")))</f>
        <v/>
      </c>
      <c r="H20" s="65" t="str">
        <f>IF(F20="","",IF(ISNUMBER(F20),IF($B$22&lt;&gt;"Да",0,IF(OR($B$23="",$B$24="",$B$25="",$B$26="",$B$27=""),"",IF(AND(YEAR(F20)=YEAR($B$26),MONTH(F20)=MONTH($B$26)),$B$23,0))),IF(F20="ИТОГО",SUM($H$6:INDEX($H:$H,ROW()-1)),IF(F20="Отклонение графика платежей","Проверка",""))))</f>
        <v/>
      </c>
      <c r="I20" s="30" t="str" cm="1">
        <f t="array" ref="I20">IF(F20="","",IF(ISNUMBER(F20),SUM(G20:H20),IF(F20="ИТОГО",SUM($I$6:INDEX($I:$I,ROW()-1)),IF(F20="Отклонение графика платежей",IF($B$19="","",INDEX($I:$I,ROW()-1)-$B$19),""))))</f>
        <v/>
      </c>
      <c r="J20" s="30" t="str">
        <f>IF(F20="","",IF(ISNUMBER(F20),SUM($I$6:I20),IF(F20="ИТОГО",I20,IF(F20="Отклонение графика платежей",IF(I20="","ТРЕБУЕТСЯ ВВОД",IF(ABS(I20)&lt;0.01,"OK","ОШИБКА: график платежей не соответствует стоимости помещения")),""))))</f>
        <v/>
      </c>
      <c r="K20" s="30" t="str">
        <f t="shared" si="0"/>
        <v/>
      </c>
      <c r="M20" s="5" t="s">
        <v>45</v>
      </c>
      <c r="N20" s="40" t="str">
        <f>IF(OR(B49="",B53=""),"ОШИБКА",IF(OR(B49="Другой / пользовательский",B53="Пользовательская база"),"ПРЕДУПРЕЖДЕНИЕ","OK"))</f>
        <v>ОШИБКА</v>
      </c>
      <c r="O20" s="5" t="str">
        <f>B58</f>
        <v>ТРЕБУЕТСЯ НАСТРОЙКА НАЛОГОВОЙ БАЗЫ</v>
      </c>
      <c r="P20" s="6" t="str">
        <f>IF(N20="OK","Базовая налоговая методика выбрана","Проверьте пользовательскую налоговую базу и фактические правила клиента")</f>
        <v>Проверьте пользовательскую налоговую базу и фактические правила клиента</v>
      </c>
    </row>
    <row r="21" spans="1:16" ht="17" x14ac:dyDescent="0.2">
      <c r="A21" s="126" t="s">
        <v>403</v>
      </c>
      <c r="B21" s="126"/>
      <c r="C21" s="126"/>
      <c r="D21" s="127"/>
      <c r="E21" s="4"/>
      <c r="F21" s="39" t="str">
        <f>IF(OR($B$9="",$B$10="",$B$10&lt;$B$9),"",IF(ROWS($F$6:F21)&lt;=DATEDIF(DATE(YEAR($B$9),MONTH($B$9),1),DATE(YEAR($B$10),MONTH($B$10),1),"m")+1,EDATE(DATE(YEAR($B$9),MONTH($B$9),1),ROWS($F$6:F21)-1),IF(ROWS($F$6:F21)=DATEDIF(DATE(YEAR($B$9),MONTH($B$9),1),DATE(YEAR($B$10),MONTH($B$10),1),"m")+2,"ИТОГО",IF(ROWS($F$6:F21)=DATEDIF(DATE(YEAR($B$9),MONTH($B$9),1),DATE(YEAR($B$10),MONTH($B$10),1),"m")+3,"Отклонение графика платежей",""))))</f>
        <v/>
      </c>
      <c r="G21" s="65" t="str">
        <f>IF(F21="","",IF(ISNUMBER(F21),IF($B$19="","",MAX(0,N($B$19)-N(H21))),IF(F21="ИТОГО",SUM($G$6:INDEX($G:$G,ROW()-1)),"")))</f>
        <v/>
      </c>
      <c r="H21" s="65" t="str">
        <f>IF(F21="","",IF(ISNUMBER(F21),IF($B$22&lt;&gt;"Да",0,IF(OR($B$23="",$B$24="",$B$25="",$B$26="",$B$27=""),"",IF(AND(YEAR(F21)=YEAR($B$26),MONTH(F21)=MONTH($B$26)),$B$23,0))),IF(F21="ИТОГО",SUM($H$6:INDEX($H:$H,ROW()-1)),IF(F21="Отклонение графика платежей","Проверка",""))))</f>
        <v/>
      </c>
      <c r="I21" s="30" t="str" cm="1">
        <f t="array" ref="I21">IF(F21="","",IF(ISNUMBER(F21),SUM(G21:H21),IF(F21="ИТОГО",SUM($I$6:INDEX($I:$I,ROW()-1)),IF(F21="Отклонение графика платежей",IF($B$19="","",INDEX($I:$I,ROW()-1)-$B$19),""))))</f>
        <v/>
      </c>
      <c r="J21" s="30" t="str">
        <f>IF(F21="","",IF(ISNUMBER(F21),SUM($I$6:I21),IF(F21="ИТОГО",I21,IF(F21="Отклонение графика платежей",IF(I21="","ТРЕБУЕТСЯ ВВОД",IF(ABS(I21)&lt;0.01,"OK","ОШИБКА: график платежей не соответствует стоимости помещения")),""))))</f>
        <v/>
      </c>
      <c r="K21" s="30" t="str">
        <f t="shared" si="0"/>
        <v/>
      </c>
      <c r="M21" s="5" t="s">
        <v>46</v>
      </c>
      <c r="N21" s="40" t="str">
        <f>IF(B51&lt;&gt;"Да","OK",IF(AND(B61&lt;&gt;"",B62&lt;&gt;""),"OK","ОШИБКА"))</f>
        <v>OK</v>
      </c>
      <c r="O21" s="5" t="str">
        <f>IF(B51="Да",B61,"НДС не применяется")</f>
        <v>НДС не применяется</v>
      </c>
      <c r="P21" s="6" t="str">
        <f>IF(N21="OK","Период вычета НДС определён","Укажите дату и долю принятия входного НДС к вычету")</f>
        <v>Период вычета НДС определён</v>
      </c>
    </row>
    <row r="22" spans="1:16" ht="25" customHeight="1" x14ac:dyDescent="0.2">
      <c r="A22" s="5" t="s">
        <v>47</v>
      </c>
      <c r="B22" s="52"/>
      <c r="C22" s="5" t="s">
        <v>48</v>
      </c>
      <c r="D22" s="6" t="s">
        <v>49</v>
      </c>
      <c r="E22" s="4"/>
      <c r="F22" s="39" t="str">
        <f>IF(OR($B$9="",$B$10="",$B$10&lt;$B$9),"",IF(ROWS($F$6:F22)&lt;=DATEDIF(DATE(YEAR($B$9),MONTH($B$9),1),DATE(YEAR($B$10),MONTH($B$10),1),"m")+1,EDATE(DATE(YEAR($B$9),MONTH($B$9),1),ROWS($F$6:F22)-1),IF(ROWS($F$6:F22)=DATEDIF(DATE(YEAR($B$9),MONTH($B$9),1),DATE(YEAR($B$10),MONTH($B$10),1),"m")+2,"ИТОГО",IF(ROWS($F$6:F22)=DATEDIF(DATE(YEAR($B$9),MONTH($B$9),1),DATE(YEAR($B$10),MONTH($B$10),1),"m")+3,"Отклонение графика платежей",""))))</f>
        <v/>
      </c>
      <c r="G22" s="65" t="str">
        <f>IF(F22="","",IF(ISNUMBER(F22),IF($B$19="","",MAX(0,N($B$19)-N(H22))),IF(F22="ИТОГО",SUM($G$6:INDEX($G:$G,ROW()-1)),"")))</f>
        <v/>
      </c>
      <c r="H22" s="65" t="str">
        <f>IF(F22="","",IF(ISNUMBER(F22),IF($B$22&lt;&gt;"Да",0,IF(OR($B$23="",$B$24="",$B$25="",$B$26="",$B$27=""),"",IF(AND(YEAR(F22)=YEAR($B$26),MONTH(F22)=MONTH($B$26)),$B$23,0))),IF(F22="ИТОГО",SUM($H$6:INDEX($H:$H,ROW()-1)),IF(F22="Отклонение графика платежей","Проверка",""))))</f>
        <v/>
      </c>
      <c r="I22" s="30" t="str" cm="1">
        <f t="array" ref="I22">IF(F22="","",IF(ISNUMBER(F22),SUM(G22:H22),IF(F22="ИТОГО",SUM($I$6:INDEX($I:$I,ROW()-1)),IF(F22="Отклонение графика платежей",IF($B$19="","",INDEX($I:$I,ROW()-1)-$B$19),""))))</f>
        <v/>
      </c>
      <c r="J22" s="30" t="str">
        <f>IF(F22="","",IF(ISNUMBER(F22),SUM($I$6:I22),IF(F22="ИТОГО",I22,IF(F22="Отклонение графика платежей",IF(I22="","ТРЕБУЕТСЯ ВВОД",IF(ABS(I22)&lt;0.01,"OK","ОШИБКА: график платежей не соответствует стоимости помещения")),""))))</f>
        <v/>
      </c>
      <c r="K22" s="30" t="str">
        <f t="shared" si="0"/>
        <v/>
      </c>
      <c r="M22" s="5" t="s">
        <v>636</v>
      </c>
      <c r="N22" s="40" t="str">
        <f>IF(IFERROR(INDEX(J6:J188,MATCH("Отклонение графика платежей",F6:F188,0)),"ТРЕБУЕТСЯ ВВОД")="OK","OK","ОШИБКА")</f>
        <v>ОШИБКА</v>
      </c>
      <c r="O22" s="5" t="str">
        <f>IFERROR(INDEX(J6:J188,MATCH("Отклонение графика платежей",F6:F188,0)),"ТРЕБУЕТСЯ ВВОД")</f>
        <v>ТРЕБУЕТСЯ ВВОД</v>
      </c>
      <c r="P22" s="6" t="str">
        <f>IF(N22="OK","Оплата сделки сбалансирована","Проверьте стоимость покупки и параметры кредита")</f>
        <v>Проверьте стоимость покупки и параметры кредита</v>
      </c>
    </row>
    <row r="23" spans="1:16" ht="25" customHeight="1" x14ac:dyDescent="0.2">
      <c r="A23" s="5" t="s">
        <v>50</v>
      </c>
      <c r="B23" s="11"/>
      <c r="C23" s="5" t="s">
        <v>11</v>
      </c>
      <c r="D23" s="6" t="s">
        <v>613</v>
      </c>
      <c r="E23" s="4"/>
      <c r="F23" s="39" t="str">
        <f>IF(OR($B$9="",$B$10="",$B$10&lt;$B$9),"",IF(ROWS($F$6:F23)&lt;=DATEDIF(DATE(YEAR($B$9),MONTH($B$9),1),DATE(YEAR($B$10),MONTH($B$10),1),"m")+1,EDATE(DATE(YEAR($B$9),MONTH($B$9),1),ROWS($F$6:F23)-1),IF(ROWS($F$6:F23)=DATEDIF(DATE(YEAR($B$9),MONTH($B$9),1),DATE(YEAR($B$10),MONTH($B$10),1),"m")+2,"ИТОГО",IF(ROWS($F$6:F23)=DATEDIF(DATE(YEAR($B$9),MONTH($B$9),1),DATE(YEAR($B$10),MONTH($B$10),1),"m")+3,"Отклонение графика платежей",""))))</f>
        <v/>
      </c>
      <c r="G23" s="65" t="str">
        <f>IF(F23="","",IF(ISNUMBER(F23),IF($B$19="","",MAX(0,N($B$19)-N(H23))),IF(F23="ИТОГО",SUM($G$6:INDEX($G:$G,ROW()-1)),"")))</f>
        <v/>
      </c>
      <c r="H23" s="65" t="str">
        <f>IF(F23="","",IF(ISNUMBER(F23),IF($B$22&lt;&gt;"Да",0,IF(OR($B$23="",$B$24="",$B$25="",$B$26="",$B$27=""),"",IF(AND(YEAR(F23)=YEAR($B$26),MONTH(F23)=MONTH($B$26)),$B$23,0))),IF(F23="ИТОГО",SUM($H$6:INDEX($H:$H,ROW()-1)),IF(F23="Отклонение графика платежей","Проверка",""))))</f>
        <v/>
      </c>
      <c r="I23" s="30" t="str" cm="1">
        <f t="array" ref="I23">IF(F23="","",IF(ISNUMBER(F23),SUM(G23:H23),IF(F23="ИТОГО",SUM($I$6:INDEX($I:$I,ROW()-1)),IF(F23="Отклонение графика платежей",IF($B$19="","",INDEX($I:$I,ROW()-1)-$B$19),""))))</f>
        <v/>
      </c>
      <c r="J23" s="30" t="str">
        <f>IF(F23="","",IF(ISNUMBER(F23),SUM($I$6:I23),IF(F23="ИТОГО",I23,IF(F23="Отклонение графика платежей",IF(I23="","ТРЕБУЕТСЯ ВВОД",IF(ABS(I23)&lt;0.01,"OK","ОШИБКА: график платежей не соответствует стоимости помещения")),""))))</f>
        <v/>
      </c>
      <c r="K23" s="30" t="str">
        <f t="shared" si="0"/>
        <v/>
      </c>
      <c r="M23" s="5" t="s">
        <v>51</v>
      </c>
      <c r="N23" s="41" t="str">
        <f>IF(COUNTIF(N6:N22,"ОШИБКА")&gt;0,"ОШИБКА: исправьте контрольные проверки",IF(COUNTIF(N6:N22,"ПРЕДУПРЕЖДЕНИЕ")&gt;0,"ПРЕДУПРЕЖДЕНИЕ: модель рассчитана, проверьте допущения","Модель рассчитана корректно"))</f>
        <v>ОШИБКА: исправьте контрольные проверки</v>
      </c>
      <c r="O23" s="24">
        <f>COUNTIF(N6:N22,"ОШИБКА")</f>
        <v>13</v>
      </c>
      <c r="P23" s="25" t="str">
        <f>IF(O23=0,"Критические ошибки отсутствуют","Количество критических ошибок")</f>
        <v>Количество критических ошибок</v>
      </c>
    </row>
    <row r="24" spans="1:16" ht="25" customHeight="1" x14ac:dyDescent="0.2">
      <c r="A24" s="5" t="s">
        <v>52</v>
      </c>
      <c r="B24" s="12"/>
      <c r="C24" s="5" t="s">
        <v>53</v>
      </c>
      <c r="D24" s="6" t="s">
        <v>54</v>
      </c>
      <c r="E24" s="4"/>
      <c r="F24" s="39" t="str">
        <f>IF(OR($B$9="",$B$10="",$B$10&lt;$B$9),"",IF(ROWS($F$6:F24)&lt;=DATEDIF(DATE(YEAR($B$9),MONTH($B$9),1),DATE(YEAR($B$10),MONTH($B$10),1),"m")+1,EDATE(DATE(YEAR($B$9),MONTH($B$9),1),ROWS($F$6:F24)-1),IF(ROWS($F$6:F24)=DATEDIF(DATE(YEAR($B$9),MONTH($B$9),1),DATE(YEAR($B$10),MONTH($B$10),1),"m")+2,"ИТОГО",IF(ROWS($F$6:F24)=DATEDIF(DATE(YEAR($B$9),MONTH($B$9),1),DATE(YEAR($B$10),MONTH($B$10),1),"m")+3,"Отклонение графика платежей",""))))</f>
        <v/>
      </c>
      <c r="G24" s="65" t="str">
        <f>IF(F24="","",IF(ISNUMBER(F24),IF($B$19="","",MAX(0,N($B$19)-N(H24))),IF(F24="ИТОГО",SUM($G$6:INDEX($G:$G,ROW()-1)),"")))</f>
        <v/>
      </c>
      <c r="H24" s="65" t="str">
        <f>IF(F24="","",IF(ISNUMBER(F24),IF($B$22&lt;&gt;"Да",0,IF(OR($B$23="",$B$24="",$B$25="",$B$26="",$B$27=""),"",IF(AND(YEAR(F24)=YEAR($B$26),MONTH(F24)=MONTH($B$26)),$B$23,0))),IF(F24="ИТОГО",SUM($H$6:INDEX($H:$H,ROW()-1)),IF(F24="Отклонение графика платежей","Проверка",""))))</f>
        <v/>
      </c>
      <c r="I24" s="30" t="str" cm="1">
        <f t="array" ref="I24">IF(F24="","",IF(ISNUMBER(F24),SUM(G24:H24),IF(F24="ИТОГО",SUM($I$6:INDEX($I:$I,ROW()-1)),IF(F24="Отклонение графика платежей",IF($B$19="","",INDEX($I:$I,ROW()-1)-$B$19),""))))</f>
        <v/>
      </c>
      <c r="J24" s="30" t="str">
        <f>IF(F24="","",IF(ISNUMBER(F24),SUM($I$6:I24),IF(F24="ИТОГО",I24,IF(F24="Отклонение графика платежей",IF(I24="","ТРЕБУЕТСЯ ВВОД",IF(ABS(I24)&lt;0.01,"OK","ОШИБКА: график платежей не соответствует стоимости помещения")),""))))</f>
        <v/>
      </c>
      <c r="K24" s="30" t="str">
        <f t="shared" si="0"/>
        <v/>
      </c>
      <c r="M24" s="5" t="s">
        <v>55</v>
      </c>
      <c r="N24" s="5" t="s">
        <v>14</v>
      </c>
      <c r="O24" s="5" t="s">
        <v>14</v>
      </c>
      <c r="P24" s="6" t="s">
        <v>56</v>
      </c>
    </row>
    <row r="25" spans="1:16" ht="25" customHeight="1" x14ac:dyDescent="0.2">
      <c r="A25" s="5" t="s">
        <v>57</v>
      </c>
      <c r="B25" s="14"/>
      <c r="C25" s="5" t="s">
        <v>58</v>
      </c>
      <c r="D25" s="6" t="s">
        <v>59</v>
      </c>
      <c r="E25" s="4"/>
      <c r="F25" s="39" t="str">
        <f>IF(OR($B$9="",$B$10="",$B$10&lt;$B$9),"",IF(ROWS($F$6:F25)&lt;=DATEDIF(DATE(YEAR($B$9),MONTH($B$9),1),DATE(YEAR($B$10),MONTH($B$10),1),"m")+1,EDATE(DATE(YEAR($B$9),MONTH($B$9),1),ROWS($F$6:F25)-1),IF(ROWS($F$6:F25)=DATEDIF(DATE(YEAR($B$9),MONTH($B$9),1),DATE(YEAR($B$10),MONTH($B$10),1),"m")+2,"ИТОГО",IF(ROWS($F$6:F25)=DATEDIF(DATE(YEAR($B$9),MONTH($B$9),1),DATE(YEAR($B$10),MONTH($B$10),1),"m")+3,"Отклонение графика платежей",""))))</f>
        <v/>
      </c>
      <c r="G25" s="65" t="str">
        <f>IF(F25="","",IF(ISNUMBER(F25),IF($B$19="","",MAX(0,N($B$19)-N(H25))),IF(F25="ИТОГО",SUM($G$6:INDEX($G:$G,ROW()-1)),"")))</f>
        <v/>
      </c>
      <c r="H25" s="65" t="str">
        <f>IF(F25="","",IF(ISNUMBER(F25),IF($B$22&lt;&gt;"Да",0,IF(OR($B$23="",$B$24="",$B$25="",$B$26="",$B$27=""),"",IF(AND(YEAR(F25)=YEAR($B$26),MONTH(F25)=MONTH($B$26)),$B$23,0))),IF(F25="ИТОГО",SUM($H$6:INDEX($H:$H,ROW()-1)),IF(F25="Отклонение графика платежей","Проверка",""))))</f>
        <v/>
      </c>
      <c r="I25" s="30" t="str" cm="1">
        <f t="array" ref="I25">IF(F25="","",IF(ISNUMBER(F25),SUM(G25:H25),IF(F25="ИТОГО",SUM($I$6:INDEX($I:$I,ROW()-1)),IF(F25="Отклонение графика платежей",IF($B$19="","",INDEX($I:$I,ROW()-1)-$B$19),""))))</f>
        <v/>
      </c>
      <c r="J25" s="30" t="str">
        <f>IF(F25="","",IF(ISNUMBER(F25),SUM($I$6:I25),IF(F25="ИТОГО",I25,IF(F25="Отклонение графика платежей",IF(I25="","ТРЕБУЕТСЯ ВВОД",IF(ABS(I25)&lt;0.01,"OK","ОШИБКА: график платежей не соответствует стоимости помещения")),""))))</f>
        <v/>
      </c>
      <c r="K25" s="30" t="str">
        <f t="shared" si="0"/>
        <v/>
      </c>
      <c r="P25" s="103"/>
    </row>
    <row r="26" spans="1:16" ht="25" customHeight="1" x14ac:dyDescent="0.2">
      <c r="A26" s="5" t="s">
        <v>60</v>
      </c>
      <c r="B26" s="131" t="str">
        <f>IF(B22="Да",IF(B9="","",B9),"")</f>
        <v/>
      </c>
      <c r="C26" s="5" t="s">
        <v>22</v>
      </c>
      <c r="D26" s="6" t="s">
        <v>614</v>
      </c>
      <c r="E26" s="4"/>
      <c r="F26" s="39" t="str">
        <f>IF(OR($B$9="",$B$10="",$B$10&lt;$B$9),"",IF(ROWS($F$6:F26)&lt;=DATEDIF(DATE(YEAR($B$9),MONTH($B$9),1),DATE(YEAR($B$10),MONTH($B$10),1),"m")+1,EDATE(DATE(YEAR($B$9),MONTH($B$9),1),ROWS($F$6:F26)-1),IF(ROWS($F$6:F26)=DATEDIF(DATE(YEAR($B$9),MONTH($B$9),1),DATE(YEAR($B$10),MONTH($B$10),1),"m")+2,"ИТОГО",IF(ROWS($F$6:F26)=DATEDIF(DATE(YEAR($B$9),MONTH($B$9),1),DATE(YEAR($B$10),MONTH($B$10),1),"m")+3,"Отклонение графика платежей",""))))</f>
        <v/>
      </c>
      <c r="G26" s="65" t="str">
        <f>IF(F26="","",IF(ISNUMBER(F26),IF($B$19="","",MAX(0,N($B$19)-N(H26))),IF(F26="ИТОГО",SUM($G$6:INDEX($G:$G,ROW()-1)),"")))</f>
        <v/>
      </c>
      <c r="H26" s="65" t="str">
        <f>IF(F26="","",IF(ISNUMBER(F26),IF($B$22&lt;&gt;"Да",0,IF(OR($B$23="",$B$24="",$B$25="",$B$26="",$B$27=""),"",IF(AND(YEAR(F26)=YEAR($B$26),MONTH(F26)=MONTH($B$26)),$B$23,0))),IF(F26="ИТОГО",SUM($H$6:INDEX($H:$H,ROW()-1)),IF(F26="Отклонение графика платежей","Проверка",""))))</f>
        <v/>
      </c>
      <c r="I26" s="30" t="str" cm="1">
        <f t="array" ref="I26">IF(F26="","",IF(ISNUMBER(F26),SUM(G26:H26),IF(F26="ИТОГО",SUM($I$6:INDEX($I:$I,ROW()-1)),IF(F26="Отклонение графика платежей",IF($B$19="","",INDEX($I:$I,ROW()-1)-$B$19),""))))</f>
        <v/>
      </c>
      <c r="J26" s="30" t="str">
        <f>IF(F26="","",IF(ISNUMBER(F26),SUM($I$6:I26),IF(F26="ИТОГО",I26,IF(F26="Отклонение графика платежей",IF(I26="","ТРЕБУЕТСЯ ВВОД",IF(ABS(I26)&lt;0.01,"OK","ОШИБКА: график платежей не соответствует стоимости помещения")),""))))</f>
        <v/>
      </c>
      <c r="K26" s="30" t="str">
        <f t="shared" si="0"/>
        <v/>
      </c>
      <c r="P26" s="103"/>
    </row>
    <row r="27" spans="1:16" ht="25" customHeight="1" x14ac:dyDescent="0.2">
      <c r="A27" s="5" t="s">
        <v>61</v>
      </c>
      <c r="B27" s="52"/>
      <c r="C27" s="5" t="s">
        <v>62</v>
      </c>
      <c r="D27" s="6" t="s">
        <v>63</v>
      </c>
      <c r="E27" s="4"/>
      <c r="F27" s="39" t="str">
        <f>IF(OR($B$9="",$B$10="",$B$10&lt;$B$9),"",IF(ROWS($F$6:F27)&lt;=DATEDIF(DATE(YEAR($B$9),MONTH($B$9),1),DATE(YEAR($B$10),MONTH($B$10),1),"m")+1,EDATE(DATE(YEAR($B$9),MONTH($B$9),1),ROWS($F$6:F27)-1),IF(ROWS($F$6:F27)=DATEDIF(DATE(YEAR($B$9),MONTH($B$9),1),DATE(YEAR($B$10),MONTH($B$10),1),"m")+2,"ИТОГО",IF(ROWS($F$6:F27)=DATEDIF(DATE(YEAR($B$9),MONTH($B$9),1),DATE(YEAR($B$10),MONTH($B$10),1),"m")+3,"Отклонение графика платежей",""))))</f>
        <v/>
      </c>
      <c r="G27" s="65" t="str">
        <f>IF(F27="","",IF(ISNUMBER(F27),IF($B$19="","",MAX(0,N($B$19)-N(H27))),IF(F27="ИТОГО",SUM($G$6:INDEX($G:$G,ROW()-1)),"")))</f>
        <v/>
      </c>
      <c r="H27" s="65" t="str">
        <f>IF(F27="","",IF(ISNUMBER(F27),IF($B$22&lt;&gt;"Да",0,IF(OR($B$23="",$B$24="",$B$25="",$B$26="",$B$27=""),"",IF(AND(YEAR(F27)=YEAR($B$26),MONTH(F27)=MONTH($B$26)),$B$23,0))),IF(F27="ИТОГО",SUM($H$6:INDEX($H:$H,ROW()-1)),IF(F27="Отклонение графика платежей","Проверка",""))))</f>
        <v/>
      </c>
      <c r="I27" s="30" t="str" cm="1">
        <f t="array" ref="I27">IF(F27="","",IF(ISNUMBER(F27),SUM(G27:H27),IF(F27="ИТОГО",SUM($I$6:INDEX($I:$I,ROW()-1)),IF(F27="Отклонение графика платежей",IF($B$19="","",INDEX($I:$I,ROW()-1)-$B$19),""))))</f>
        <v/>
      </c>
      <c r="J27" s="30" t="str">
        <f>IF(F27="","",IF(ISNUMBER(F27),SUM($I$6:I27),IF(F27="ИТОГО",I27,IF(F27="Отклонение графика платежей",IF(I27="","ТРЕБУЕТСЯ ВВОД",IF(ABS(I27)&lt;0.01,"OK","ОШИБКА: график платежей не соответствует стоимости помещения")),""))))</f>
        <v/>
      </c>
      <c r="K27" s="30" t="str">
        <f t="shared" si="0"/>
        <v/>
      </c>
      <c r="M27" s="126" t="s">
        <v>64</v>
      </c>
      <c r="N27" s="126"/>
      <c r="O27" s="126"/>
      <c r="P27" s="127"/>
    </row>
    <row r="28" spans="1:16" ht="25" customHeight="1" x14ac:dyDescent="0.2">
      <c r="A28" s="5"/>
      <c r="B28" s="5"/>
      <c r="C28" s="5"/>
      <c r="D28" s="6"/>
      <c r="E28" s="4"/>
      <c r="F28" s="39" t="str">
        <f>IF(OR($B$9="",$B$10="",$B$10&lt;$B$9),"",IF(ROWS($F$6:F28)&lt;=DATEDIF(DATE(YEAR($B$9),MONTH($B$9),1),DATE(YEAR($B$10),MONTH($B$10),1),"m")+1,EDATE(DATE(YEAR($B$9),MONTH($B$9),1),ROWS($F$6:F28)-1),IF(ROWS($F$6:F28)=DATEDIF(DATE(YEAR($B$9),MONTH($B$9),1),DATE(YEAR($B$10),MONTH($B$10),1),"m")+2,"ИТОГО",IF(ROWS($F$6:F28)=DATEDIF(DATE(YEAR($B$9),MONTH($B$9),1),DATE(YEAR($B$10),MONTH($B$10),1),"m")+3,"Отклонение графика платежей",""))))</f>
        <v/>
      </c>
      <c r="G28" s="65" t="str">
        <f>IF(F28="","",IF(ISNUMBER(F28),IF($B$19="","",MAX(0,N($B$19)-N(H28))),IF(F28="ИТОГО",SUM($G$6:INDEX($G:$G,ROW()-1)),"")))</f>
        <v/>
      </c>
      <c r="H28" s="65" t="str">
        <f>IF(F28="","",IF(ISNUMBER(F28),IF($B$22&lt;&gt;"Да",0,IF(OR($B$23="",$B$24="",$B$25="",$B$26="",$B$27=""),"",IF(AND(YEAR(F28)=YEAR($B$26),MONTH(F28)=MONTH($B$26)),$B$23,0))),IF(F28="ИТОГО",SUM($H$6:INDEX($H:$H,ROW()-1)),IF(F28="Отклонение графика платежей","Проверка",""))))</f>
        <v/>
      </c>
      <c r="I28" s="30" t="str" cm="1">
        <f t="array" ref="I28">IF(F28="","",IF(ISNUMBER(F28),SUM(G28:H28),IF(F28="ИТОГО",SUM($I$6:INDEX($I:$I,ROW()-1)),IF(F28="Отклонение графика платежей",IF($B$19="","",INDEX($I:$I,ROW()-1)-$B$19),""))))</f>
        <v/>
      </c>
      <c r="J28" s="30" t="str">
        <f>IF(F28="","",IF(ISNUMBER(F28),SUM($I$6:I28),IF(F28="ИТОГО",I28,IF(F28="Отклонение графика платежей",IF(I28="","ТРЕБУЕТСЯ ВВОД",IF(ABS(I28)&lt;0.01,"OK","ОШИБКА: график платежей не соответствует стоимости помещения")),""))))</f>
        <v/>
      </c>
      <c r="K28" s="30" t="str">
        <f t="shared" si="0"/>
        <v/>
      </c>
      <c r="M28" s="7" t="s">
        <v>65</v>
      </c>
      <c r="N28" s="7" t="s">
        <v>66</v>
      </c>
      <c r="O28" s="7" t="s">
        <v>67</v>
      </c>
      <c r="P28" s="8" t="s">
        <v>68</v>
      </c>
    </row>
    <row r="29" spans="1:16" ht="25" customHeight="1" x14ac:dyDescent="0.2">
      <c r="A29" s="126" t="s">
        <v>404</v>
      </c>
      <c r="B29" s="126"/>
      <c r="C29" s="126"/>
      <c r="D29" s="127"/>
      <c r="E29" s="4"/>
      <c r="F29" s="39" t="str">
        <f>IF(OR($B$9="",$B$10="",$B$10&lt;$B$9),"",IF(ROWS($F$6:F29)&lt;=DATEDIF(DATE(YEAR($B$9),MONTH($B$9),1),DATE(YEAR($B$10),MONTH($B$10),1),"m")+1,EDATE(DATE(YEAR($B$9),MONTH($B$9),1),ROWS($F$6:F29)-1),IF(ROWS($F$6:F29)=DATEDIF(DATE(YEAR($B$9),MONTH($B$9),1),DATE(YEAR($B$10),MONTH($B$10),1),"m")+2,"ИТОГО",IF(ROWS($F$6:F29)=DATEDIF(DATE(YEAR($B$9),MONTH($B$9),1),DATE(YEAR($B$10),MONTH($B$10),1),"m")+3,"Отклонение графика платежей",""))))</f>
        <v/>
      </c>
      <c r="G29" s="65" t="str">
        <f>IF(F29="","",IF(ISNUMBER(F29),IF($B$19="","",MAX(0,N($B$19)-N(H29))),IF(F29="ИТОГО",SUM($G$6:INDEX($G:$G,ROW()-1)),"")))</f>
        <v/>
      </c>
      <c r="H29" s="65" t="str">
        <f>IF(F29="","",IF(ISNUMBER(F29),IF($B$22&lt;&gt;"Да",0,IF(OR($B$23="",$B$24="",$B$25="",$B$26="",$B$27=""),"",IF(AND(YEAR(F29)=YEAR($B$26),MONTH(F29)=MONTH($B$26)),$B$23,0))),IF(F29="ИТОГО",SUM($H$6:INDEX($H:$H,ROW()-1)),IF(F29="Отклонение графика платежей","Проверка",""))))</f>
        <v/>
      </c>
      <c r="I29" s="30" t="str" cm="1">
        <f t="array" ref="I29">IF(F29="","",IF(ISNUMBER(F29),SUM(G29:H29),IF(F29="ИТОГО",SUM($I$6:INDEX($I:$I,ROW()-1)),IF(F29="Отклонение графика платежей",IF($B$19="","",INDEX($I:$I,ROW()-1)-$B$19),""))))</f>
        <v/>
      </c>
      <c r="J29" s="30" t="str">
        <f>IF(F29="","",IF(ISNUMBER(F29),SUM($I$6:I29),IF(F29="ИТОГО",I29,IF(F29="Отклонение графика платежей",IF(I29="","ТРЕБУЕТСЯ ВВОД",IF(ABS(I29)&lt;0.01,"OK","ОШИБКА: график платежей не соответствует стоимости помещения")),""))))</f>
        <v/>
      </c>
      <c r="K29" s="30" t="str">
        <f t="shared" si="0"/>
        <v/>
      </c>
      <c r="M29" s="5" t="s">
        <v>610</v>
      </c>
      <c r="N29" s="38" t="str">
        <f>IF(B13="","",B13)</f>
        <v/>
      </c>
      <c r="O29" s="9" t="s">
        <v>69</v>
      </c>
      <c r="P29" s="6" t="s">
        <v>639</v>
      </c>
    </row>
    <row r="30" spans="1:16" ht="25" customHeight="1" x14ac:dyDescent="0.2">
      <c r="A30" s="5" t="s">
        <v>23</v>
      </c>
      <c r="B30" s="60"/>
      <c r="C30" s="5" t="s">
        <v>22</v>
      </c>
      <c r="D30" s="6" t="s">
        <v>70</v>
      </c>
      <c r="E30" s="4"/>
      <c r="F30" s="39" t="str">
        <f>IF(OR($B$9="",$B$10="",$B$10&lt;$B$9),"",IF(ROWS($F$6:F30)&lt;=DATEDIF(DATE(YEAR($B$9),MONTH($B$9),1),DATE(YEAR($B$10),MONTH($B$10),1),"m")+1,EDATE(DATE(YEAR($B$9),MONTH($B$9),1),ROWS($F$6:F30)-1),IF(ROWS($F$6:F30)=DATEDIF(DATE(YEAR($B$9),MONTH($B$9),1),DATE(YEAR($B$10),MONTH($B$10),1),"m")+2,"ИТОГО",IF(ROWS($F$6:F30)=DATEDIF(DATE(YEAR($B$9),MONTH($B$9),1),DATE(YEAR($B$10),MONTH($B$10),1),"m")+3,"Отклонение графика платежей",""))))</f>
        <v/>
      </c>
      <c r="G30" s="65" t="str">
        <f>IF(F30="","",IF(ISNUMBER(F30),IF($B$19="","",MAX(0,N($B$19)-N(H30))),IF(F30="ИТОГО",SUM($G$6:INDEX($G:$G,ROW()-1)),"")))</f>
        <v/>
      </c>
      <c r="H30" s="65" t="str">
        <f>IF(F30="","",IF(ISNUMBER(F30),IF($B$22&lt;&gt;"Да",0,IF(OR($B$23="",$B$24="",$B$25="",$B$26="",$B$27=""),"",IF(AND(YEAR(F30)=YEAR($B$26),MONTH(F30)=MONTH($B$26)),$B$23,0))),IF(F30="ИТОГО",SUM($H$6:INDEX($H:$H,ROW()-1)),IF(F30="Отклонение графика платежей","Проверка",""))))</f>
        <v/>
      </c>
      <c r="I30" s="30" t="str" cm="1">
        <f t="array" ref="I30">IF(F30="","",IF(ISNUMBER(F30),SUM(G30:H30),IF(F30="ИТОГО",SUM($I$6:INDEX($I:$I,ROW()-1)),IF(F30="Отклонение графика платежей",IF($B$19="","",INDEX($I:$I,ROW()-1)-$B$19),""))))</f>
        <v/>
      </c>
      <c r="J30" s="30" t="str">
        <f>IF(F30="","",IF(ISNUMBER(F30),SUM($I$6:I30),IF(F30="ИТОГО",I30,IF(F30="Отклонение графика платежей",IF(I30="","ТРЕБУЕТСЯ ВВОД",IF(ABS(I30)&lt;0.01,"OK","ОШИБКА: график платежей не соответствует стоимости помещения")),""))))</f>
        <v/>
      </c>
      <c r="K30" s="30" t="str">
        <f t="shared" si="0"/>
        <v/>
      </c>
      <c r="M30" s="5" t="s">
        <v>71</v>
      </c>
      <c r="N30" s="38" t="str">
        <f>IF(B61="","",B61)</f>
        <v/>
      </c>
      <c r="O30" s="9" t="s">
        <v>69</v>
      </c>
      <c r="P30" s="6" t="s">
        <v>72</v>
      </c>
    </row>
    <row r="31" spans="1:16" ht="25" customHeight="1" x14ac:dyDescent="0.2">
      <c r="A31" s="5" t="s">
        <v>73</v>
      </c>
      <c r="B31" s="57"/>
      <c r="C31" s="5" t="s">
        <v>74</v>
      </c>
      <c r="D31" s="6" t="s">
        <v>75</v>
      </c>
      <c r="E31" s="4"/>
      <c r="F31" s="39" t="str">
        <f>IF(OR($B$9="",$B$10="",$B$10&lt;$B$9),"",IF(ROWS($F$6:F31)&lt;=DATEDIF(DATE(YEAR($B$9),MONTH($B$9),1),DATE(YEAR($B$10),MONTH($B$10),1),"m")+1,EDATE(DATE(YEAR($B$9),MONTH($B$9),1),ROWS($F$6:F31)-1),IF(ROWS($F$6:F31)=DATEDIF(DATE(YEAR($B$9),MONTH($B$9),1),DATE(YEAR($B$10),MONTH($B$10),1),"m")+2,"ИТОГО",IF(ROWS($F$6:F31)=DATEDIF(DATE(YEAR($B$9),MONTH($B$9),1),DATE(YEAR($B$10),MONTH($B$10),1),"m")+3,"Отклонение графика платежей",""))))</f>
        <v/>
      </c>
      <c r="G31" s="65" t="str">
        <f>IF(F31="","",IF(ISNUMBER(F31),IF($B$19="","",MAX(0,N($B$19)-N(H31))),IF(F31="ИТОГО",SUM($G$6:INDEX($G:$G,ROW()-1)),"")))</f>
        <v/>
      </c>
      <c r="H31" s="65" t="str">
        <f>IF(F31="","",IF(ISNUMBER(F31),IF($B$22&lt;&gt;"Да",0,IF(OR($B$23="",$B$24="",$B$25="",$B$26="",$B$27=""),"",IF(AND(YEAR(F31)=YEAR($B$26),MONTH(F31)=MONTH($B$26)),$B$23,0))),IF(F31="ИТОГО",SUM($H$6:INDEX($H:$H,ROW()-1)),IF(F31="Отклонение графика платежей","Проверка",""))))</f>
        <v/>
      </c>
      <c r="I31" s="30" t="str" cm="1">
        <f t="array" ref="I31">IF(F31="","",IF(ISNUMBER(F31),SUM(G31:H31),IF(F31="ИТОГО",SUM($I$6:INDEX($I:$I,ROW()-1)),IF(F31="Отклонение графика платежей",IF($B$19="","",INDEX($I:$I,ROW()-1)-$B$19),""))))</f>
        <v/>
      </c>
      <c r="J31" s="30" t="str">
        <f>IF(F31="","",IF(ISNUMBER(F31),SUM($I$6:I31),IF(F31="ИТОГО",I31,IF(F31="Отклонение графика платежей",IF(I31="","ТРЕБУЕТСЯ ВВОД",IF(ABS(I31)&lt;0.01,"OK","ОШИБКА: график платежей не соответствует стоимости помещения")),""))))</f>
        <v/>
      </c>
      <c r="K31" s="30" t="str">
        <f t="shared" si="0"/>
        <v/>
      </c>
      <c r="M31" s="5" t="s">
        <v>76</v>
      </c>
      <c r="N31" s="42">
        <f>B27</f>
        <v>0</v>
      </c>
      <c r="O31" s="9" t="s">
        <v>69</v>
      </c>
      <c r="P31" s="6" t="s">
        <v>77</v>
      </c>
    </row>
    <row r="32" spans="1:16" ht="25" customHeight="1" x14ac:dyDescent="0.2">
      <c r="A32" s="5" t="s">
        <v>78</v>
      </c>
      <c r="B32" s="57"/>
      <c r="C32" s="5" t="s">
        <v>74</v>
      </c>
      <c r="D32" s="6" t="s">
        <v>79</v>
      </c>
      <c r="E32" s="4"/>
      <c r="F32" s="39" t="str">
        <f>IF(OR($B$9="",$B$10="",$B$10&lt;$B$9),"",IF(ROWS($F$6:F32)&lt;=DATEDIF(DATE(YEAR($B$9),MONTH($B$9),1),DATE(YEAR($B$10),MONTH($B$10),1),"m")+1,EDATE(DATE(YEAR($B$9),MONTH($B$9),1),ROWS($F$6:F32)-1),IF(ROWS($F$6:F32)=DATEDIF(DATE(YEAR($B$9),MONTH($B$9),1),DATE(YEAR($B$10),MONTH($B$10),1),"m")+2,"ИТОГО",IF(ROWS($F$6:F32)=DATEDIF(DATE(YEAR($B$9),MONTH($B$9),1),DATE(YEAR($B$10),MONTH($B$10),1),"m")+3,"Отклонение графика платежей",""))))</f>
        <v/>
      </c>
      <c r="G32" s="65" t="str">
        <f>IF(F32="","",IF(ISNUMBER(F32),IF($B$19="","",MAX(0,N($B$19)-N(H32))),IF(F32="ИТОГО",SUM($G$6:INDEX($G:$G,ROW()-1)),"")))</f>
        <v/>
      </c>
      <c r="H32" s="65" t="str">
        <f>IF(F32="","",IF(ISNUMBER(F32),IF($B$22&lt;&gt;"Да",0,IF(OR($B$23="",$B$24="",$B$25="",$B$26="",$B$27=""),"",IF(AND(YEAR(F32)=YEAR($B$26),MONTH(F32)=MONTH($B$26)),$B$23,0))),IF(F32="ИТОГО",SUM($H$6:INDEX($H:$H,ROW()-1)),IF(F32="Отклонение графика платежей","Проверка",""))))</f>
        <v/>
      </c>
      <c r="I32" s="30" t="str" cm="1">
        <f t="array" ref="I32">IF(F32="","",IF(ISNUMBER(F32),SUM(G32:H32),IF(F32="ИТОГО",SUM($I$6:INDEX($I:$I,ROW()-1)),IF(F32="Отклонение графика платежей",IF($B$19="","",INDEX($I:$I,ROW()-1)-$B$19),""))))</f>
        <v/>
      </c>
      <c r="J32" s="30" t="str">
        <f>IF(F32="","",IF(ISNUMBER(F32),SUM($I$6:I32),IF(F32="ИТОГО",I32,IF(F32="Отклонение графика платежей",IF(I32="","ТРЕБУЕТСЯ ВВОД",IF(ABS(I32)&lt;0.01,"OK","ОШИБКА: график платежей не соответствует стоимости помещения")),""))))</f>
        <v/>
      </c>
      <c r="K32" s="30" t="str">
        <f t="shared" si="0"/>
        <v/>
      </c>
      <c r="M32" s="5" t="s">
        <v>80</v>
      </c>
      <c r="N32" s="42">
        <f>B82</f>
        <v>0</v>
      </c>
      <c r="O32" s="9" t="s">
        <v>69</v>
      </c>
      <c r="P32" s="6" t="s">
        <v>81</v>
      </c>
    </row>
    <row r="33" spans="1:16" ht="25" customHeight="1" x14ac:dyDescent="0.2">
      <c r="A33" s="5" t="s">
        <v>82</v>
      </c>
      <c r="B33" s="57"/>
      <c r="C33" s="5" t="s">
        <v>74</v>
      </c>
      <c r="D33" s="6" t="s">
        <v>83</v>
      </c>
      <c r="E33" s="4"/>
      <c r="F33" s="39" t="str">
        <f>IF(OR($B$9="",$B$10="",$B$10&lt;$B$9),"",IF(ROWS($F$6:F33)&lt;=DATEDIF(DATE(YEAR($B$9),MONTH($B$9),1),DATE(YEAR($B$10),MONTH($B$10),1),"m")+1,EDATE(DATE(YEAR($B$9),MONTH($B$9),1),ROWS($F$6:F33)-1),IF(ROWS($F$6:F33)=DATEDIF(DATE(YEAR($B$9),MONTH($B$9),1),DATE(YEAR($B$10),MONTH($B$10),1),"m")+2,"ИТОГО",IF(ROWS($F$6:F33)=DATEDIF(DATE(YEAR($B$9),MONTH($B$9),1),DATE(YEAR($B$10),MONTH($B$10),1),"m")+3,"Отклонение графика платежей",""))))</f>
        <v/>
      </c>
      <c r="G33" s="65" t="str">
        <f>IF(F33="","",IF(ISNUMBER(F33),IF($B$19="","",MAX(0,N($B$19)-N(H33))),IF(F33="ИТОГО",SUM($G$6:INDEX($G:$G,ROW()-1)),"")))</f>
        <v/>
      </c>
      <c r="H33" s="65" t="str">
        <f>IF(F33="","",IF(ISNUMBER(F33),IF($B$22&lt;&gt;"Да",0,IF(OR($B$23="",$B$24="",$B$25="",$B$26="",$B$27=""),"",IF(AND(YEAR(F33)=YEAR($B$26),MONTH(F33)=MONTH($B$26)),$B$23,0))),IF(F33="ИТОГО",SUM($H$6:INDEX($H:$H,ROW()-1)),IF(F33="Отклонение графика платежей","Проверка",""))))</f>
        <v/>
      </c>
      <c r="I33" s="30" t="str" cm="1">
        <f t="array" ref="I33">IF(F33="","",IF(ISNUMBER(F33),SUM(G33:H33),IF(F33="ИТОГО",SUM($I$6:INDEX($I:$I,ROW()-1)),IF(F33="Отклонение графика платежей",IF($B$19="","",INDEX($I:$I,ROW()-1)-$B$19),""))))</f>
        <v/>
      </c>
      <c r="J33" s="30" t="str">
        <f>IF(F33="","",IF(ISNUMBER(F33),SUM($I$6:I33),IF(F33="ИТОГО",I33,IF(F33="Отклонение графика платежей",IF(I33="","ТРЕБУЕТСЯ ВВОД",IF(ABS(I33)&lt;0.01,"OK","ОШИБКА: график платежей не соответствует стоимости помещения")),""))))</f>
        <v/>
      </c>
      <c r="K33" s="30" t="str">
        <f t="shared" si="0"/>
        <v/>
      </c>
      <c r="M33" s="5" t="s">
        <v>84</v>
      </c>
      <c r="N33" s="16">
        <f>B68</f>
        <v>0</v>
      </c>
      <c r="O33" s="9" t="s">
        <v>85</v>
      </c>
      <c r="P33" s="6" t="s">
        <v>86</v>
      </c>
    </row>
    <row r="34" spans="1:16" ht="25" customHeight="1" x14ac:dyDescent="0.2">
      <c r="A34" s="5" t="s">
        <v>87</v>
      </c>
      <c r="B34" s="56"/>
      <c r="C34" s="5" t="s">
        <v>88</v>
      </c>
      <c r="D34" s="6" t="s">
        <v>89</v>
      </c>
      <c r="E34" s="4"/>
      <c r="F34" s="39" t="str">
        <f>IF(OR($B$9="",$B$10="",$B$10&lt;$B$9),"",IF(ROWS($F$6:F34)&lt;=DATEDIF(DATE(YEAR($B$9),MONTH($B$9),1),DATE(YEAR($B$10),MONTH($B$10),1),"m")+1,EDATE(DATE(YEAR($B$9),MONTH($B$9),1),ROWS($F$6:F34)-1),IF(ROWS($F$6:F34)=DATEDIF(DATE(YEAR($B$9),MONTH($B$9),1),DATE(YEAR($B$10),MONTH($B$10),1),"m")+2,"ИТОГО",IF(ROWS($F$6:F34)=DATEDIF(DATE(YEAR($B$9),MONTH($B$9),1),DATE(YEAR($B$10),MONTH($B$10),1),"m")+3,"Отклонение графика платежей",""))))</f>
        <v/>
      </c>
      <c r="G34" s="65" t="str">
        <f>IF(F34="","",IF(ISNUMBER(F34),IF($B$19="","",MAX(0,N($B$19)-N(H34))),IF(F34="ИТОГО",SUM($G$6:INDEX($G:$G,ROW()-1)),"")))</f>
        <v/>
      </c>
      <c r="H34" s="65" t="str">
        <f>IF(F34="","",IF(ISNUMBER(F34),IF($B$22&lt;&gt;"Да",0,IF(OR($B$23="",$B$24="",$B$25="",$B$26="",$B$27=""),"",IF(AND(YEAR(F34)=YEAR($B$26),MONTH(F34)=MONTH($B$26)),$B$23,0))),IF(F34="ИТОГО",SUM($H$6:INDEX($H:$H,ROW()-1)),IF(F34="Отклонение графика платежей","Проверка",""))))</f>
        <v/>
      </c>
      <c r="I34" s="30" t="str" cm="1">
        <f t="array" ref="I34">IF(F34="","",IF(ISNUMBER(F34),SUM(G34:H34),IF(F34="ИТОГО",SUM($I$6:INDEX($I:$I,ROW()-1)),IF(F34="Отклонение графика платежей",IF($B$19="","",INDEX($I:$I,ROW()-1)-$B$19),""))))</f>
        <v/>
      </c>
      <c r="J34" s="30" t="str">
        <f>IF(F34="","",IF(ISNUMBER(F34),SUM($I$6:I34),IF(F34="ИТОГО",I34,IF(F34="Отклонение графика платежей",IF(I34="","ТРЕБУЕТСЯ ВВОД",IF(ABS(I34)&lt;0.01,"OK","ОШИБКА: график платежей не соответствует стоимости помещения")),""))))</f>
        <v/>
      </c>
      <c r="K34" s="30" t="str">
        <f t="shared" si="0"/>
        <v/>
      </c>
      <c r="M34" s="5" t="s">
        <v>90</v>
      </c>
      <c r="N34" s="42">
        <f>B53</f>
        <v>0</v>
      </c>
      <c r="O34" s="9" t="s">
        <v>69</v>
      </c>
      <c r="P34" s="6" t="s">
        <v>91</v>
      </c>
    </row>
    <row r="35" spans="1:16" ht="25" customHeight="1" x14ac:dyDescent="0.2">
      <c r="A35" s="5" t="s">
        <v>92</v>
      </c>
      <c r="B35" s="52"/>
      <c r="C35" s="5" t="s">
        <v>48</v>
      </c>
      <c r="D35" s="6" t="s">
        <v>93</v>
      </c>
      <c r="E35" s="4"/>
      <c r="F35" s="39" t="str">
        <f>IF(OR($B$9="",$B$10="",$B$10&lt;$B$9),"",IF(ROWS($F$6:F35)&lt;=DATEDIF(DATE(YEAR($B$9),MONTH($B$9),1),DATE(YEAR($B$10),MONTH($B$10),1),"m")+1,EDATE(DATE(YEAR($B$9),MONTH($B$9),1),ROWS($F$6:F35)-1),IF(ROWS($F$6:F35)=DATEDIF(DATE(YEAR($B$9),MONTH($B$9),1),DATE(YEAR($B$10),MONTH($B$10),1),"m")+2,"ИТОГО",IF(ROWS($F$6:F35)=DATEDIF(DATE(YEAR($B$9),MONTH($B$9),1),DATE(YEAR($B$10),MONTH($B$10),1),"m")+3,"Отклонение графика платежей",""))))</f>
        <v/>
      </c>
      <c r="G35" s="65" t="str">
        <f>IF(F35="","",IF(ISNUMBER(F35),IF($B$19="","",MAX(0,N($B$19)-N(H35))),IF(F35="ИТОГО",SUM($G$6:INDEX($G:$G,ROW()-1)),"")))</f>
        <v/>
      </c>
      <c r="H35" s="65" t="str">
        <f>IF(F35="","",IF(ISNUMBER(F35),IF($B$22&lt;&gt;"Да",0,IF(OR($B$23="",$B$24="",$B$25="",$B$26="",$B$27=""),"",IF(AND(YEAR(F35)=YEAR($B$26),MONTH(F35)=MONTH($B$26)),$B$23,0))),IF(F35="ИТОГО",SUM($H$6:INDEX($H:$H,ROW()-1)),IF(F35="Отклонение графика платежей","Проверка",""))))</f>
        <v/>
      </c>
      <c r="I35" s="30" t="str" cm="1">
        <f t="array" ref="I35">IF(F35="","",IF(ISNUMBER(F35),SUM(G35:H35),IF(F35="ИТОГО",SUM($I$6:INDEX($I:$I,ROW()-1)),IF(F35="Отклонение графика платежей",IF($B$19="","",INDEX($I:$I,ROW()-1)-$B$19),""))))</f>
        <v/>
      </c>
      <c r="J35" s="30" t="str">
        <f>IF(F35="","",IF(ISNUMBER(F35),SUM($I$6:I35),IF(F35="ИТОГО",I35,IF(F35="Отклонение графика платежей",IF(I35="","ТРЕБУЕТСЯ ВВОД",IF(ABS(I35)&lt;0.01,"OK","ОШИБКА: график платежей не соответствует стоимости помещения")),""))))</f>
        <v/>
      </c>
      <c r="K35" s="30" t="str">
        <f t="shared" si="0"/>
        <v/>
      </c>
      <c r="M35" s="5" t="s">
        <v>94</v>
      </c>
      <c r="N35" s="42">
        <f>B88</f>
        <v>0</v>
      </c>
      <c r="O35" s="9" t="s">
        <v>69</v>
      </c>
      <c r="P35" s="6" t="s">
        <v>95</v>
      </c>
    </row>
    <row r="36" spans="1:16" ht="25" customHeight="1" x14ac:dyDescent="0.2">
      <c r="A36" s="5" t="s">
        <v>96</v>
      </c>
      <c r="B36" s="52"/>
      <c r="C36" s="5" t="s">
        <v>48</v>
      </c>
      <c r="D36" s="6" t="s">
        <v>93</v>
      </c>
      <c r="E36" s="4"/>
      <c r="F36" s="39" t="str">
        <f>IF(OR($B$9="",$B$10="",$B$10&lt;$B$9),"",IF(ROWS($F$6:F36)&lt;=DATEDIF(DATE(YEAR($B$9),MONTH($B$9),1),DATE(YEAR($B$10),MONTH($B$10),1),"m")+1,EDATE(DATE(YEAR($B$9),MONTH($B$9),1),ROWS($F$6:F36)-1),IF(ROWS($F$6:F36)=DATEDIF(DATE(YEAR($B$9),MONTH($B$9),1),DATE(YEAR($B$10),MONTH($B$10),1),"m")+2,"ИТОГО",IF(ROWS($F$6:F36)=DATEDIF(DATE(YEAR($B$9),MONTH($B$9),1),DATE(YEAR($B$10),MONTH($B$10),1),"m")+3,"Отклонение графика платежей",""))))</f>
        <v/>
      </c>
      <c r="G36" s="65" t="str">
        <f>IF(F36="","",IF(ISNUMBER(F36),IF($B$19="","",MAX(0,N($B$19)-N(H36))),IF(F36="ИТОГО",SUM($G$6:INDEX($G:$G,ROW()-1)),"")))</f>
        <v/>
      </c>
      <c r="H36" s="65" t="str">
        <f>IF(F36="","",IF(ISNUMBER(F36),IF($B$22&lt;&gt;"Да",0,IF(OR($B$23="",$B$24="",$B$25="",$B$26="",$B$27=""),"",IF(AND(YEAR(F36)=YEAR($B$26),MONTH(F36)=MONTH($B$26)),$B$23,0))),IF(F36="ИТОГО",SUM($H$6:INDEX($H:$H,ROW()-1)),IF(F36="Отклонение графика платежей","Проверка",""))))</f>
        <v/>
      </c>
      <c r="I36" s="30" t="str" cm="1">
        <f t="array" ref="I36">IF(F36="","",IF(ISNUMBER(F36),SUM(G36:H36),IF(F36="ИТОГО",SUM($I$6:INDEX($I:$I,ROW()-1)),IF(F36="Отклонение графика платежей",IF($B$19="","",INDEX($I:$I,ROW()-1)-$B$19),""))))</f>
        <v/>
      </c>
      <c r="J36" s="30" t="str">
        <f>IF(F36="","",IF(ISNUMBER(F36),SUM($I$6:I36),IF(F36="ИТОГО",I36,IF(F36="Отклонение графика платежей",IF(I36="","ТРЕБУЕТСЯ ВВОД",IF(ABS(I36)&lt;0.01,"OK","ОШИБКА: график платежей не соответствует стоимости помещения")),""))))</f>
        <v/>
      </c>
      <c r="K36" s="30" t="str">
        <f t="shared" si="0"/>
        <v/>
      </c>
      <c r="M36" s="5" t="s">
        <v>97</v>
      </c>
      <c r="N36" s="38" t="str">
        <f>IF(AND(B45="",B10=""),"",IF(B45="",B10,B45))</f>
        <v/>
      </c>
      <c r="O36" s="9" t="s">
        <v>85</v>
      </c>
      <c r="P36" s="6" t="s">
        <v>101</v>
      </c>
    </row>
    <row r="37" spans="1:16" ht="25" customHeight="1" x14ac:dyDescent="0.2">
      <c r="A37" s="5" t="s">
        <v>98</v>
      </c>
      <c r="B37" s="58"/>
      <c r="C37" s="5" t="s">
        <v>58</v>
      </c>
      <c r="D37" s="6" t="s">
        <v>99</v>
      </c>
      <c r="E37" s="4"/>
      <c r="F37" s="39" t="str">
        <f>IF(OR($B$9="",$B$10="",$B$10&lt;$B$9),"",IF(ROWS($F$6:F37)&lt;=DATEDIF(DATE(YEAR($B$9),MONTH($B$9),1),DATE(YEAR($B$10),MONTH($B$10),1),"m")+1,EDATE(DATE(YEAR($B$9),MONTH($B$9),1),ROWS($F$6:F37)-1),IF(ROWS($F$6:F37)=DATEDIF(DATE(YEAR($B$9),MONTH($B$9),1),DATE(YEAR($B$10),MONTH($B$10),1),"m")+2,"ИТОГО",IF(ROWS($F$6:F37)=DATEDIF(DATE(YEAR($B$9),MONTH($B$9),1),DATE(YEAR($B$10),MONTH($B$10),1),"m")+3,"Отклонение графика платежей",""))))</f>
        <v/>
      </c>
      <c r="G37" s="65" t="str">
        <f>IF(F37="","",IF(ISNUMBER(F37),IF($B$19="","",MAX(0,N($B$19)-N(H37))),IF(F37="ИТОГО",SUM($G$6:INDEX($G:$G,ROW()-1)),"")))</f>
        <v/>
      </c>
      <c r="H37" s="65" t="str">
        <f>IF(F37="","",IF(ISNUMBER(F37),IF($B$22&lt;&gt;"Да",0,IF(OR($B$23="",$B$24="",$B$25="",$B$26="",$B$27=""),"",IF(AND(YEAR(F37)=YEAR($B$26),MONTH(F37)=MONTH($B$26)),$B$23,0))),IF(F37="ИТОГО",SUM($H$6:INDEX($H:$H,ROW()-1)),IF(F37="Отклонение графика платежей","Проверка",""))))</f>
        <v/>
      </c>
      <c r="I37" s="30" t="str" cm="1">
        <f t="array" ref="I37">IF(F37="","",IF(ISNUMBER(F37),SUM(G37:H37),IF(F37="ИТОГО",SUM($I$6:INDEX($I:$I,ROW()-1)),IF(F37="Отклонение графика платежей",IF($B$19="","",INDEX($I:$I,ROW()-1)-$B$19),""))))</f>
        <v/>
      </c>
      <c r="J37" s="30" t="str">
        <f>IF(F37="","",IF(ISNUMBER(F37),SUM($I$6:I37),IF(F37="ИТОГО",I37,IF(F37="Отклонение графика платежей",IF(I37="","ТРЕБУЕТСЯ ВВОД",IF(ABS(I37)&lt;0.01,"OK","ОШИБКА: график платежей не соответствует стоимости помещения")),""))))</f>
        <v/>
      </c>
      <c r="K37" s="30" t="str">
        <f t="shared" si="0"/>
        <v/>
      </c>
      <c r="M37" s="5" t="s">
        <v>100</v>
      </c>
      <c r="N37" s="38" t="str">
        <f>IF(AND(B69="",B10=""),"",IF(B69="",B10,B69))</f>
        <v/>
      </c>
      <c r="O37" s="9" t="s">
        <v>85</v>
      </c>
      <c r="P37" s="6" t="s">
        <v>101</v>
      </c>
    </row>
    <row r="38" spans="1:16" ht="25" customHeight="1" x14ac:dyDescent="0.2">
      <c r="A38" s="5" t="s">
        <v>102</v>
      </c>
      <c r="B38" s="56"/>
      <c r="C38" s="5" t="s">
        <v>19</v>
      </c>
      <c r="D38" s="6" t="s">
        <v>103</v>
      </c>
      <c r="E38" s="4"/>
      <c r="F38" s="39" t="str">
        <f>IF(OR($B$9="",$B$10="",$B$10&lt;$B$9),"",IF(ROWS($F$6:F38)&lt;=DATEDIF(DATE(YEAR($B$9),MONTH($B$9),1),DATE(YEAR($B$10),MONTH($B$10),1),"m")+1,EDATE(DATE(YEAR($B$9),MONTH($B$9),1),ROWS($F$6:F38)-1),IF(ROWS($F$6:F38)=DATEDIF(DATE(YEAR($B$9),MONTH($B$9),1),DATE(YEAR($B$10),MONTH($B$10),1),"m")+2,"ИТОГО",IF(ROWS($F$6:F38)=DATEDIF(DATE(YEAR($B$9),MONTH($B$9),1),DATE(YEAR($B$10),MONTH($B$10),1),"m")+3,"Отклонение графика платежей",""))))</f>
        <v/>
      </c>
      <c r="G38" s="65" t="str">
        <f>IF(F38="","",IF(ISNUMBER(F38),IF($B$19="","",MAX(0,N($B$19)-N(H38))),IF(F38="ИТОГО",SUM($G$6:INDEX($G:$G,ROW()-1)),"")))</f>
        <v/>
      </c>
      <c r="H38" s="65" t="str">
        <f>IF(F38="","",IF(ISNUMBER(F38),IF($B$22&lt;&gt;"Да",0,IF(OR($B$23="",$B$24="",$B$25="",$B$26="",$B$27=""),"",IF(AND(YEAR(F38)=YEAR($B$26),MONTH(F38)=MONTH($B$26)),$B$23,0))),IF(F38="ИТОГО",SUM($H$6:INDEX($H:$H,ROW()-1)),IF(F38="Отклонение графика платежей","Проверка",""))))</f>
        <v/>
      </c>
      <c r="I38" s="30" t="str" cm="1">
        <f t="array" ref="I38">IF(F38="","",IF(ISNUMBER(F38),SUM(G38:H38),IF(F38="ИТОГО",SUM($I$6:INDEX($I:$I,ROW()-1)),IF(F38="Отклонение графика платежей",IF($B$19="","",INDEX($I:$I,ROW()-1)-$B$19),""))))</f>
        <v/>
      </c>
      <c r="J38" s="30" t="str">
        <f>IF(F38="","",IF(ISNUMBER(F38),SUM($I$6:I38),IF(F38="ИТОГО",I38,IF(F38="Отклонение графика платежей",IF(I38="","ТРЕБУЕТСЯ ВВОД",IF(ABS(I38)&lt;0.01,"OK","ОШИБКА: график платежей не соответствует стоимости помещения")),""))))</f>
        <v/>
      </c>
      <c r="K38" s="30" t="str">
        <f t="shared" ref="K38:K69" si="1">IF(F38="","",IF(ISNUMBER(F38),IF($B$19="","",$B$19-J38),IF(F38="ИТОГО",IF($B$19="","",$B$19-I38),IF(F38="Отклонение графика платежей",I38,""))))</f>
        <v/>
      </c>
      <c r="M38" s="5" t="s">
        <v>104</v>
      </c>
      <c r="N38" s="38" t="str">
        <f>IF(AND(B76="",B10=""),"",IF(B76="",B10,B76))</f>
        <v/>
      </c>
      <c r="O38" s="9" t="s">
        <v>105</v>
      </c>
      <c r="P38" s="6" t="s">
        <v>101</v>
      </c>
    </row>
    <row r="39" spans="1:16" ht="25" customHeight="1" x14ac:dyDescent="0.2">
      <c r="A39" s="5"/>
      <c r="B39" s="5"/>
      <c r="C39" s="5"/>
      <c r="D39" s="6"/>
      <c r="E39" s="4"/>
      <c r="F39" s="39" t="str">
        <f>IF(OR($B$9="",$B$10="",$B$10&lt;$B$9),"",IF(ROWS($F$6:F39)&lt;=DATEDIF(DATE(YEAR($B$9),MONTH($B$9),1),DATE(YEAR($B$10),MONTH($B$10),1),"m")+1,EDATE(DATE(YEAR($B$9),MONTH($B$9),1),ROWS($F$6:F39)-1),IF(ROWS($F$6:F39)=DATEDIF(DATE(YEAR($B$9),MONTH($B$9),1),DATE(YEAR($B$10),MONTH($B$10),1),"m")+2,"ИТОГО",IF(ROWS($F$6:F39)=DATEDIF(DATE(YEAR($B$9),MONTH($B$9),1),DATE(YEAR($B$10),MONTH($B$10),1),"m")+3,"Отклонение графика платежей",""))))</f>
        <v/>
      </c>
      <c r="G39" s="65" t="str">
        <f>IF(F39="","",IF(ISNUMBER(F39),IF($B$19="","",MAX(0,N($B$19)-N(H39))),IF(F39="ИТОГО",SUM($G$6:INDEX($G:$G,ROW()-1)),"")))</f>
        <v/>
      </c>
      <c r="H39" s="65" t="str">
        <f>IF(F39="","",IF(ISNUMBER(F39),IF($B$22&lt;&gt;"Да",0,IF(OR($B$23="",$B$24="",$B$25="",$B$26="",$B$27=""),"",IF(AND(YEAR(F39)=YEAR($B$26),MONTH(F39)=MONTH($B$26)),$B$23,0))),IF(F39="ИТОГО",SUM($H$6:INDEX($H:$H,ROW()-1)),IF(F39="Отклонение графика платежей","Проверка",""))))</f>
        <v/>
      </c>
      <c r="I39" s="30" t="str" cm="1">
        <f t="array" ref="I39">IF(F39="","",IF(ISNUMBER(F39),SUM(G39:H39),IF(F39="ИТОГО",SUM($I$6:INDEX($I:$I,ROW()-1)),IF(F39="Отклонение графика платежей",IF($B$19="","",INDEX($I:$I,ROW()-1)-$B$19),""))))</f>
        <v/>
      </c>
      <c r="J39" s="30" t="str">
        <f>IF(F39="","",IF(ISNUMBER(F39),SUM($I$6:I39),IF(F39="ИТОГО",I39,IF(F39="Отклонение графика платежей",IF(I39="","ТРЕБУЕТСЯ ВВОД",IF(ABS(I39)&lt;0.01,"OK","ОШИБКА: график платежей не соответствует стоимости помещения")),""))))</f>
        <v/>
      </c>
      <c r="K39" s="30" t="str">
        <f t="shared" si="1"/>
        <v/>
      </c>
      <c r="M39" s="5" t="s">
        <v>106</v>
      </c>
      <c r="N39" s="5" t="s">
        <v>107</v>
      </c>
      <c r="O39" s="9" t="s">
        <v>85</v>
      </c>
      <c r="P39" s="6" t="s">
        <v>108</v>
      </c>
    </row>
    <row r="40" spans="1:16" ht="25" customHeight="1" x14ac:dyDescent="0.2">
      <c r="A40" s="126" t="s">
        <v>405</v>
      </c>
      <c r="B40" s="126"/>
      <c r="C40" s="126"/>
      <c r="D40" s="127"/>
      <c r="E40" s="4"/>
      <c r="F40" s="39" t="str">
        <f>IF(OR($B$9="",$B$10="",$B$10&lt;$B$9),"",IF(ROWS($F$6:F40)&lt;=DATEDIF(DATE(YEAR($B$9),MONTH($B$9),1),DATE(YEAR($B$10),MONTH($B$10),1),"m")+1,EDATE(DATE(YEAR($B$9),MONTH($B$9),1),ROWS($F$6:F40)-1),IF(ROWS($F$6:F40)=DATEDIF(DATE(YEAR($B$9),MONTH($B$9),1),DATE(YEAR($B$10),MONTH($B$10),1),"m")+2,"ИТОГО",IF(ROWS($F$6:F40)=DATEDIF(DATE(YEAR($B$9),MONTH($B$9),1),DATE(YEAR($B$10),MONTH($B$10),1),"m")+3,"Отклонение графика платежей",""))))</f>
        <v/>
      </c>
      <c r="G40" s="65" t="str">
        <f>IF(F40="","",IF(ISNUMBER(F40),IF($B$19="","",MAX(0,N($B$19)-N(H40))),IF(F40="ИТОГО",SUM($G$6:INDEX($G:$G,ROW()-1)),"")))</f>
        <v/>
      </c>
      <c r="H40" s="65" t="str">
        <f>IF(F40="","",IF(ISNUMBER(F40),IF($B$22&lt;&gt;"Да",0,IF(OR($B$23="",$B$24="",$B$25="",$B$26="",$B$27=""),"",IF(AND(YEAR(F40)=YEAR($B$26),MONTH(F40)=MONTH($B$26)),$B$23,0))),IF(F40="ИТОГО",SUM($H$6:INDEX($H:$H,ROW()-1)),IF(F40="Отклонение графика платежей","Проверка",""))))</f>
        <v/>
      </c>
      <c r="I40" s="30" t="str" cm="1">
        <f t="array" ref="I40">IF(F40="","",IF(ISNUMBER(F40),SUM(G40:H40),IF(F40="ИТОГО",SUM($I$6:INDEX($I:$I,ROW()-1)),IF(F40="Отклонение графика платежей",IF($B$19="","",INDEX($I:$I,ROW()-1)-$B$19),""))))</f>
        <v/>
      </c>
      <c r="J40" s="30" t="str">
        <f>IF(F40="","",IF(ISNUMBER(F40),SUM($I$6:I40),IF(F40="ИТОГО",I40,IF(F40="Отклонение графика платежей",IF(I40="","ТРЕБУЕТСЯ ВВОД",IF(ABS(I40)&lt;0.01,"OK","ОШИБКА: график платежей не соответствует стоимости помещения")),""))))</f>
        <v/>
      </c>
      <c r="K40" s="30" t="str">
        <f t="shared" si="1"/>
        <v/>
      </c>
      <c r="M40" s="5" t="s">
        <v>109</v>
      </c>
      <c r="N40" s="5" t="s">
        <v>110</v>
      </c>
      <c r="O40" s="9" t="s">
        <v>85</v>
      </c>
      <c r="P40" s="6" t="s">
        <v>111</v>
      </c>
    </row>
    <row r="41" spans="1:16" ht="25" customHeight="1" x14ac:dyDescent="0.2">
      <c r="A41" s="5" t="s">
        <v>112</v>
      </c>
      <c r="B41" s="56"/>
      <c r="C41" s="5" t="s">
        <v>88</v>
      </c>
      <c r="D41" s="6" t="s">
        <v>113</v>
      </c>
      <c r="E41" s="4"/>
      <c r="F41" s="39" t="str">
        <f>IF(OR($B$9="",$B$10="",$B$10&lt;$B$9),"",IF(ROWS($F$6:F41)&lt;=DATEDIF(DATE(YEAR($B$9),MONTH($B$9),1),DATE(YEAR($B$10),MONTH($B$10),1),"m")+1,EDATE(DATE(YEAR($B$9),MONTH($B$9),1),ROWS($F$6:F41)-1),IF(ROWS($F$6:F41)=DATEDIF(DATE(YEAR($B$9),MONTH($B$9),1),DATE(YEAR($B$10),MONTH($B$10),1),"m")+2,"ИТОГО",IF(ROWS($F$6:F41)=DATEDIF(DATE(YEAR($B$9),MONTH($B$9),1),DATE(YEAR($B$10),MONTH($B$10),1),"m")+3,"Отклонение графика платежей",""))))</f>
        <v/>
      </c>
      <c r="G41" s="65" t="str">
        <f>IF(F41="","",IF(ISNUMBER(F41),IF($B$19="","",MAX(0,N($B$19)-N(H41))),IF(F41="ИТОГО",SUM($G$6:INDEX($G:$G,ROW()-1)),"")))</f>
        <v/>
      </c>
      <c r="H41" s="65" t="str">
        <f>IF(F41="","",IF(ISNUMBER(F41),IF($B$22&lt;&gt;"Да",0,IF(OR($B$23="",$B$24="",$B$25="",$B$26="",$B$27=""),"",IF(AND(YEAR(F41)=YEAR($B$26),MONTH(F41)=MONTH($B$26)),$B$23,0))),IF(F41="ИТОГО",SUM($H$6:INDEX($H:$H,ROW()-1)),IF(F41="Отклонение графика платежей","Проверка",""))))</f>
        <v/>
      </c>
      <c r="I41" s="30" t="str" cm="1">
        <f t="array" ref="I41">IF(F41="","",IF(ISNUMBER(F41),SUM(G41:H41),IF(F41="ИТОГО",SUM($I$6:INDEX($I:$I,ROW()-1)),IF(F41="Отклонение графика платежей",IF($B$19="","",INDEX($I:$I,ROW()-1)-$B$19),""))))</f>
        <v/>
      </c>
      <c r="J41" s="30" t="str">
        <f>IF(F41="","",IF(ISNUMBER(F41),SUM($I$6:I41),IF(F41="ИТОГО",I41,IF(F41="Отклонение графика платежей",IF(I41="","ТРЕБУЕТСЯ ВВОД",IF(ABS(I41)&lt;0.01,"OK","ОШИБКА: график платежей не соответствует стоимости помещения")),""))))</f>
        <v/>
      </c>
      <c r="K41" s="30" t="str">
        <f t="shared" si="1"/>
        <v/>
      </c>
      <c r="M41" s="5" t="s">
        <v>114</v>
      </c>
      <c r="N41" s="5" t="s">
        <v>115</v>
      </c>
      <c r="O41" s="9" t="s">
        <v>69</v>
      </c>
      <c r="P41" s="6" t="s">
        <v>116</v>
      </c>
    </row>
    <row r="42" spans="1:16" ht="25" customHeight="1" x14ac:dyDescent="0.2">
      <c r="A42" s="5" t="s">
        <v>117</v>
      </c>
      <c r="B42" s="56"/>
      <c r="C42" s="5" t="s">
        <v>88</v>
      </c>
      <c r="D42" s="6" t="s">
        <v>113</v>
      </c>
      <c r="E42" s="4"/>
      <c r="F42" s="39" t="str">
        <f>IF(OR($B$9="",$B$10="",$B$10&lt;$B$9),"",IF(ROWS($F$6:F42)&lt;=DATEDIF(DATE(YEAR($B$9),MONTH($B$9),1),DATE(YEAR($B$10),MONTH($B$10),1),"m")+1,EDATE(DATE(YEAR($B$9),MONTH($B$9),1),ROWS($F$6:F42)-1),IF(ROWS($F$6:F42)=DATEDIF(DATE(YEAR($B$9),MONTH($B$9),1),DATE(YEAR($B$10),MONTH($B$10),1),"m")+2,"ИТОГО",IF(ROWS($F$6:F42)=DATEDIF(DATE(YEAR($B$9),MONTH($B$9),1),DATE(YEAR($B$10),MONTH($B$10),1),"m")+3,"Отклонение графика платежей",""))))</f>
        <v/>
      </c>
      <c r="G42" s="65" t="str">
        <f>IF(F42="","",IF(ISNUMBER(F42),IF($B$19="","",MAX(0,N($B$19)-N(H42))),IF(F42="ИТОГО",SUM($G$6:INDEX($G:$G,ROW()-1)),"")))</f>
        <v/>
      </c>
      <c r="H42" s="65" t="str">
        <f>IF(F42="","",IF(ISNUMBER(F42),IF($B$22&lt;&gt;"Да",0,IF(OR($B$23="",$B$24="",$B$25="",$B$26="",$B$27=""),"",IF(AND(YEAR(F42)=YEAR($B$26),MONTH(F42)=MONTH($B$26)),$B$23,0))),IF(F42="ИТОГО",SUM($H$6:INDEX($H:$H,ROW()-1)),IF(F42="Отклонение графика платежей","Проверка",""))))</f>
        <v/>
      </c>
      <c r="I42" s="30" t="str" cm="1">
        <f t="array" ref="I42">IF(F42="","",IF(ISNUMBER(F42),SUM(G42:H42),IF(F42="ИТОГО",SUM($I$6:INDEX($I:$I,ROW()-1)),IF(F42="Отклонение графика платежей",IF($B$19="","",INDEX($I:$I,ROW()-1)-$B$19),""))))</f>
        <v/>
      </c>
      <c r="J42" s="30" t="str">
        <f>IF(F42="","",IF(ISNUMBER(F42),SUM($I$6:I42),IF(F42="ИТОГО",I42,IF(F42="Отклонение графика платежей",IF(I42="","ТРЕБУЕТСЯ ВВОД",IF(ABS(I42)&lt;0.01,"OK","ОШИБКА: график платежей не соответствует стоимости помещения")),""))))</f>
        <v/>
      </c>
      <c r="K42" s="30" t="str">
        <f t="shared" si="1"/>
        <v/>
      </c>
      <c r="M42" s="5" t="s">
        <v>578</v>
      </c>
      <c r="N42" s="5" t="s">
        <v>583</v>
      </c>
      <c r="O42" s="9" t="s">
        <v>69</v>
      </c>
      <c r="P42" s="6" t="s">
        <v>584</v>
      </c>
    </row>
    <row r="43" spans="1:16" ht="25" customHeight="1" x14ac:dyDescent="0.2">
      <c r="A43" s="5" t="s">
        <v>118</v>
      </c>
      <c r="B43" s="52"/>
      <c r="C43" s="5" t="s">
        <v>16</v>
      </c>
      <c r="D43" s="6" t="s">
        <v>119</v>
      </c>
      <c r="E43" s="4"/>
      <c r="F43" s="39" t="str">
        <f>IF(OR($B$9="",$B$10="",$B$10&lt;$B$9),"",IF(ROWS($F$6:F43)&lt;=DATEDIF(DATE(YEAR($B$9),MONTH($B$9),1),DATE(YEAR($B$10),MONTH($B$10),1),"m")+1,EDATE(DATE(YEAR($B$9),MONTH($B$9),1),ROWS($F$6:F43)-1),IF(ROWS($F$6:F43)=DATEDIF(DATE(YEAR($B$9),MONTH($B$9),1),DATE(YEAR($B$10),MONTH($B$10),1),"m")+2,"ИТОГО",IF(ROWS($F$6:F43)=DATEDIF(DATE(YEAR($B$9),MONTH($B$9),1),DATE(YEAR($B$10),MONTH($B$10),1),"m")+3,"Отклонение графика платежей",""))))</f>
        <v/>
      </c>
      <c r="G43" s="65" t="str">
        <f>IF(F43="","",IF(ISNUMBER(F43),IF($B$19="","",MAX(0,N($B$19)-N(H43))),IF(F43="ИТОГО",SUM($G$6:INDEX($G:$G,ROW()-1)),"")))</f>
        <v/>
      </c>
      <c r="H43" s="65" t="str">
        <f>IF(F43="","",IF(ISNUMBER(F43),IF($B$22&lt;&gt;"Да",0,IF(OR($B$23="",$B$24="",$B$25="",$B$26="",$B$27=""),"",IF(AND(YEAR(F43)=YEAR($B$26),MONTH(F43)=MONTH($B$26)),$B$23,0))),IF(F43="ИТОГО",SUM($H$6:INDEX($H:$H,ROW()-1)),IF(F43="Отклонение графика платежей","Проверка",""))))</f>
        <v/>
      </c>
      <c r="I43" s="30" t="str" cm="1">
        <f t="array" ref="I43">IF(F43="","",IF(ISNUMBER(F43),SUM(G43:H43),IF(F43="ИТОГО",SUM($I$6:INDEX($I:$I,ROW()-1)),IF(F43="Отклонение графика платежей",IF($B$19="","",INDEX($I:$I,ROW()-1)-$B$19),""))))</f>
        <v/>
      </c>
      <c r="J43" s="30" t="str">
        <f>IF(F43="","",IF(ISNUMBER(F43),SUM($I$6:I43),IF(F43="ИТОГО",I43,IF(F43="Отклонение графика платежей",IF(I43="","ТРЕБУЕТСЯ ВВОД",IF(ABS(I43)&lt;0.01,"OK","ОШИБКА: график платежей не соответствует стоимости помещения")),""))))</f>
        <v/>
      </c>
      <c r="K43" s="30" t="str">
        <f t="shared" si="1"/>
        <v/>
      </c>
      <c r="M43" s="5" t="s">
        <v>120</v>
      </c>
      <c r="N43" s="5" t="s">
        <v>121</v>
      </c>
      <c r="O43" s="9" t="s">
        <v>69</v>
      </c>
      <c r="P43" s="6" t="s">
        <v>122</v>
      </c>
    </row>
    <row r="44" spans="1:16" ht="25" customHeight="1" x14ac:dyDescent="0.2">
      <c r="A44" s="5" t="s">
        <v>123</v>
      </c>
      <c r="B44" s="56"/>
      <c r="C44" s="5" t="s">
        <v>19</v>
      </c>
      <c r="D44" s="6" t="s">
        <v>124</v>
      </c>
      <c r="E44" s="4"/>
      <c r="F44" s="39" t="str">
        <f>IF(OR($B$9="",$B$10="",$B$10&lt;$B$9),"",IF(ROWS($F$6:F44)&lt;=DATEDIF(DATE(YEAR($B$9),MONTH($B$9),1),DATE(YEAR($B$10),MONTH($B$10),1),"m")+1,EDATE(DATE(YEAR($B$9),MONTH($B$9),1),ROWS($F$6:F44)-1),IF(ROWS($F$6:F44)=DATEDIF(DATE(YEAR($B$9),MONTH($B$9),1),DATE(YEAR($B$10),MONTH($B$10),1),"m")+2,"ИТОГО",IF(ROWS($F$6:F44)=DATEDIF(DATE(YEAR($B$9),MONTH($B$9),1),DATE(YEAR($B$10),MONTH($B$10),1),"m")+3,"Отклонение графика платежей",""))))</f>
        <v/>
      </c>
      <c r="G44" s="65" t="str">
        <f>IF(F44="","",IF(ISNUMBER(F44),IF($B$19="","",MAX(0,N($B$19)-N(H44))),IF(F44="ИТОГО",SUM($G$6:INDEX($G:$G,ROW()-1)),"")))</f>
        <v/>
      </c>
      <c r="H44" s="65" t="str">
        <f>IF(F44="","",IF(ISNUMBER(F44),IF($B$22&lt;&gt;"Да",0,IF(OR($B$23="",$B$24="",$B$25="",$B$26="",$B$27=""),"",IF(AND(YEAR(F44)=YEAR($B$26),MONTH(F44)=MONTH($B$26)),$B$23,0))),IF(F44="ИТОГО",SUM($H$6:INDEX($H:$H,ROW()-1)),IF(F44="Отклонение графика платежей","Проверка",""))))</f>
        <v/>
      </c>
      <c r="I44" s="30" t="str" cm="1">
        <f t="array" ref="I44">IF(F44="","",IF(ISNUMBER(F44),SUM(G44:H44),IF(F44="ИТОГО",SUM($I$6:INDEX($I:$I,ROW()-1)),IF(F44="Отклонение графика платежей",IF($B$19="","",INDEX($I:$I,ROW()-1)-$B$19),""))))</f>
        <v/>
      </c>
      <c r="J44" s="30" t="str">
        <f>IF(F44="","",IF(ISNUMBER(F44),SUM($I$6:I44),IF(F44="ИТОГО",I44,IF(F44="Отклонение графика платежей",IF(I44="","ТРЕБУЕТСЯ ВВОД",IF(ABS(I44)&lt;0.01,"OK","ОШИБКА: график платежей не соответствует стоимости помещения")),""))))</f>
        <v/>
      </c>
      <c r="K44" s="30" t="str">
        <f t="shared" si="1"/>
        <v/>
      </c>
      <c r="P44" s="103"/>
    </row>
    <row r="45" spans="1:16" ht="25" customHeight="1" x14ac:dyDescent="0.2">
      <c r="A45" s="5" t="s">
        <v>125</v>
      </c>
      <c r="B45" s="60"/>
      <c r="C45" s="5" t="s">
        <v>22</v>
      </c>
      <c r="D45" s="6" t="s">
        <v>615</v>
      </c>
      <c r="E45" s="4"/>
      <c r="F45" s="39" t="str">
        <f>IF(OR($B$9="",$B$10="",$B$10&lt;$B$9),"",IF(ROWS($F$6:F45)&lt;=DATEDIF(DATE(YEAR($B$9),MONTH($B$9),1),DATE(YEAR($B$10),MONTH($B$10),1),"m")+1,EDATE(DATE(YEAR($B$9),MONTH($B$9),1),ROWS($F$6:F45)-1),IF(ROWS($F$6:F45)=DATEDIF(DATE(YEAR($B$9),MONTH($B$9),1),DATE(YEAR($B$10),MONTH($B$10),1),"m")+2,"ИТОГО",IF(ROWS($F$6:F45)=DATEDIF(DATE(YEAR($B$9),MONTH($B$9),1),DATE(YEAR($B$10),MONTH($B$10),1),"m")+3,"Отклонение графика платежей",""))))</f>
        <v/>
      </c>
      <c r="G45" s="65" t="str">
        <f>IF(F45="","",IF(ISNUMBER(F45),IF($B$19="","",MAX(0,N($B$19)-N(H45))),IF(F45="ИТОГО",SUM($G$6:INDEX($G:$G,ROW()-1)),"")))</f>
        <v/>
      </c>
      <c r="H45" s="65" t="str">
        <f>IF(F45="","",IF(ISNUMBER(F45),IF($B$22&lt;&gt;"Да",0,IF(OR($B$23="",$B$24="",$B$25="",$B$26="",$B$27=""),"",IF(AND(YEAR(F45)=YEAR($B$26),MONTH(F45)=MONTH($B$26)),$B$23,0))),IF(F45="ИТОГО",SUM($H$6:INDEX($H:$H,ROW()-1)),IF(F45="Отклонение графика платежей","Проверка",""))))</f>
        <v/>
      </c>
      <c r="I45" s="30" t="str" cm="1">
        <f t="array" ref="I45">IF(F45="","",IF(ISNUMBER(F45),SUM(G45:H45),IF(F45="ИТОГО",SUM($I$6:INDEX($I:$I,ROW()-1)),IF(F45="Отклонение графика платежей",IF($B$19="","",INDEX($I:$I,ROW()-1)-$B$19),""))))</f>
        <v/>
      </c>
      <c r="J45" s="30" t="str">
        <f>IF(F45="","",IF(ISNUMBER(F45),SUM($I$6:I45),IF(F45="ИТОГО",I45,IF(F45="Отклонение графика платежей",IF(I45="","ТРЕБУЕТСЯ ВВОД",IF(ABS(I45)&lt;0.01,"OK","ОШИБКА: график платежей не соответствует стоимости помещения")),""))))</f>
        <v/>
      </c>
      <c r="K45" s="30" t="str">
        <f t="shared" si="1"/>
        <v/>
      </c>
      <c r="P45" s="103"/>
    </row>
    <row r="46" spans="1:16" ht="25" customHeight="1" x14ac:dyDescent="0.2">
      <c r="A46" s="5"/>
      <c r="B46" s="5"/>
      <c r="C46" s="5"/>
      <c r="D46" s="6"/>
      <c r="E46" s="4"/>
      <c r="F46" s="39" t="str">
        <f>IF(OR($B$9="",$B$10="",$B$10&lt;$B$9),"",IF(ROWS($F$6:F46)&lt;=DATEDIF(DATE(YEAR($B$9),MONTH($B$9),1),DATE(YEAR($B$10),MONTH($B$10),1),"m")+1,EDATE(DATE(YEAR($B$9),MONTH($B$9),1),ROWS($F$6:F46)-1),IF(ROWS($F$6:F46)=DATEDIF(DATE(YEAR($B$9),MONTH($B$9),1),DATE(YEAR($B$10),MONTH($B$10),1),"m")+2,"ИТОГО",IF(ROWS($F$6:F46)=DATEDIF(DATE(YEAR($B$9),MONTH($B$9),1),DATE(YEAR($B$10),MONTH($B$10),1),"m")+3,"Отклонение графика платежей",""))))</f>
        <v/>
      </c>
      <c r="G46" s="65" t="str">
        <f>IF(F46="","",IF(ISNUMBER(F46),IF($B$19="","",MAX(0,N($B$19)-N(H46))),IF(F46="ИТОГО",SUM($G$6:INDEX($G:$G,ROW()-1)),"")))</f>
        <v/>
      </c>
      <c r="H46" s="65" t="str">
        <f>IF(F46="","",IF(ISNUMBER(F46),IF($B$22&lt;&gt;"Да",0,IF(OR($B$23="",$B$24="",$B$25="",$B$26="",$B$27=""),"",IF(AND(YEAR(F46)=YEAR($B$26),MONTH(F46)=MONTH($B$26)),$B$23,0))),IF(F46="ИТОГО",SUM($H$6:INDEX($H:$H,ROW()-1)),IF(F46="Отклонение графика платежей","Проверка",""))))</f>
        <v/>
      </c>
      <c r="I46" s="30" t="str" cm="1">
        <f t="array" ref="I46">IF(F46="","",IF(ISNUMBER(F46),SUM(G46:H46),IF(F46="ИТОГО",SUM($I$6:INDEX($I:$I,ROW()-1)),IF(F46="Отклонение графика платежей",IF($B$19="","",INDEX($I:$I,ROW()-1)-$B$19),""))))</f>
        <v/>
      </c>
      <c r="J46" s="30" t="str">
        <f>IF(F46="","",IF(ISNUMBER(F46),SUM($I$6:I46),IF(F46="ИТОГО",I46,IF(F46="Отклонение графика платежей",IF(I46="","ТРЕБУЕТСЯ ВВОД",IF(ABS(I46)&lt;0.01,"OK","ОШИБКА: график платежей не соответствует стоимости помещения")),""))))</f>
        <v/>
      </c>
      <c r="K46" s="30" t="str">
        <f t="shared" si="1"/>
        <v/>
      </c>
      <c r="P46" s="103"/>
    </row>
    <row r="47" spans="1:16" ht="25" customHeight="1" x14ac:dyDescent="0.2">
      <c r="A47" s="5"/>
      <c r="B47" s="5"/>
      <c r="C47" s="5"/>
      <c r="D47" s="6"/>
      <c r="E47" s="4"/>
      <c r="F47" s="39" t="str">
        <f>IF(OR($B$9="",$B$10="",$B$10&lt;$B$9),"",IF(ROWS($F$6:F47)&lt;=DATEDIF(DATE(YEAR($B$9),MONTH($B$9),1),DATE(YEAR($B$10),MONTH($B$10),1),"m")+1,EDATE(DATE(YEAR($B$9),MONTH($B$9),1),ROWS($F$6:F47)-1),IF(ROWS($F$6:F47)=DATEDIF(DATE(YEAR($B$9),MONTH($B$9),1),DATE(YEAR($B$10),MONTH($B$10),1),"m")+2,"ИТОГО",IF(ROWS($F$6:F47)=DATEDIF(DATE(YEAR($B$9),MONTH($B$9),1),DATE(YEAR($B$10),MONTH($B$10),1),"m")+3,"Отклонение графика платежей",""))))</f>
        <v/>
      </c>
      <c r="G47" s="65" t="str">
        <f>IF(F47="","",IF(ISNUMBER(F47),IF($B$19="","",MAX(0,N($B$19)-N(H47))),IF(F47="ИТОГО",SUM($G$6:INDEX($G:$G,ROW()-1)),"")))</f>
        <v/>
      </c>
      <c r="H47" s="65" t="str">
        <f>IF(F47="","",IF(ISNUMBER(F47),IF($B$22&lt;&gt;"Да",0,IF(OR($B$23="",$B$24="",$B$25="",$B$26="",$B$27=""),"",IF(AND(YEAR(F47)=YEAR($B$26),MONTH(F47)=MONTH($B$26)),$B$23,0))),IF(F47="ИТОГО",SUM($H$6:INDEX($H:$H,ROW()-1)),IF(F47="Отклонение графика платежей","Проверка",""))))</f>
        <v/>
      </c>
      <c r="I47" s="30" t="str" cm="1">
        <f t="array" ref="I47">IF(F47="","",IF(ISNUMBER(F47),SUM(G47:H47),IF(F47="ИТОГО",SUM($I$6:INDEX($I:$I,ROW()-1)),IF(F47="Отклонение графика платежей",IF($B$19="","",INDEX($I:$I,ROW()-1)-$B$19),""))))</f>
        <v/>
      </c>
      <c r="J47" s="30" t="str">
        <f>IF(F47="","",IF(ISNUMBER(F47),SUM($I$6:I47),IF(F47="ИТОГО",I47,IF(F47="Отклонение графика платежей",IF(I47="","ТРЕБУЕТСЯ ВВОД",IF(ABS(I47)&lt;0.01,"OK","ОШИБКА: график платежей не соответствует стоимости помещения")),""))))</f>
        <v/>
      </c>
      <c r="K47" s="30" t="str">
        <f t="shared" si="1"/>
        <v/>
      </c>
      <c r="P47" s="103"/>
    </row>
    <row r="48" spans="1:16" ht="25" customHeight="1" x14ac:dyDescent="0.2">
      <c r="A48" s="126" t="s">
        <v>406</v>
      </c>
      <c r="B48" s="126"/>
      <c r="C48" s="126"/>
      <c r="D48" s="127"/>
      <c r="E48" s="4"/>
      <c r="F48" s="39" t="str">
        <f>IF(OR($B$9="",$B$10="",$B$10&lt;$B$9),"",IF(ROWS($F$6:F48)&lt;=DATEDIF(DATE(YEAR($B$9),MONTH($B$9),1),DATE(YEAR($B$10),MONTH($B$10),1),"m")+1,EDATE(DATE(YEAR($B$9),MONTH($B$9),1),ROWS($F$6:F48)-1),IF(ROWS($F$6:F48)=DATEDIF(DATE(YEAR($B$9),MONTH($B$9),1),DATE(YEAR($B$10),MONTH($B$10),1),"m")+2,"ИТОГО",IF(ROWS($F$6:F48)=DATEDIF(DATE(YEAR($B$9),MONTH($B$9),1),DATE(YEAR($B$10),MONTH($B$10),1),"m")+3,"Отклонение графика платежей",""))))</f>
        <v/>
      </c>
      <c r="G48" s="65" t="str">
        <f>IF(F48="","",IF(ISNUMBER(F48),IF($B$19="","",MAX(0,N($B$19)-N(H48))),IF(F48="ИТОГО",SUM($G$6:INDEX($G:$G,ROW()-1)),"")))</f>
        <v/>
      </c>
      <c r="H48" s="65" t="str">
        <f>IF(F48="","",IF(ISNUMBER(F48),IF($B$22&lt;&gt;"Да",0,IF(OR($B$23="",$B$24="",$B$25="",$B$26="",$B$27=""),"",IF(AND(YEAR(F48)=YEAR($B$26),MONTH(F48)=MONTH($B$26)),$B$23,0))),IF(F48="ИТОГО",SUM($H$6:INDEX($H:$H,ROW()-1)),IF(F48="Отклонение графика платежей","Проверка",""))))</f>
        <v/>
      </c>
      <c r="I48" s="30" t="str" cm="1">
        <f t="array" ref="I48">IF(F48="","",IF(ISNUMBER(F48),SUM(G48:H48),IF(F48="ИТОГО",SUM($I$6:INDEX($I:$I,ROW()-1)),IF(F48="Отклонение графика платежей",IF($B$19="","",INDEX($I:$I,ROW()-1)-$B$19),""))))</f>
        <v/>
      </c>
      <c r="J48" s="30" t="str">
        <f>IF(F48="","",IF(ISNUMBER(F48),SUM($I$6:I48),IF(F48="ИТОГО",I48,IF(F48="Отклонение графика платежей",IF(I48="","ТРЕБУЕТСЯ ВВОД",IF(ABS(I48)&lt;0.01,"OK","ОШИБКА: график платежей не соответствует стоимости помещения")),""))))</f>
        <v/>
      </c>
      <c r="K48" s="30" t="str">
        <f t="shared" si="1"/>
        <v/>
      </c>
      <c r="P48" s="103"/>
    </row>
    <row r="49" spans="1:16" ht="25" customHeight="1" x14ac:dyDescent="0.2">
      <c r="A49" s="5" t="s">
        <v>126</v>
      </c>
      <c r="B49" s="52"/>
      <c r="C49" s="5" t="s">
        <v>62</v>
      </c>
      <c r="D49" s="6" t="s">
        <v>127</v>
      </c>
      <c r="E49" s="4"/>
      <c r="F49" s="39" t="str">
        <f>IF(OR($B$9="",$B$10="",$B$10&lt;$B$9),"",IF(ROWS($F$6:F49)&lt;=DATEDIF(DATE(YEAR($B$9),MONTH($B$9),1),DATE(YEAR($B$10),MONTH($B$10),1),"m")+1,EDATE(DATE(YEAR($B$9),MONTH($B$9),1),ROWS($F$6:F49)-1),IF(ROWS($F$6:F49)=DATEDIF(DATE(YEAR($B$9),MONTH($B$9),1),DATE(YEAR($B$10),MONTH($B$10),1),"m")+2,"ИТОГО",IF(ROWS($F$6:F49)=DATEDIF(DATE(YEAR($B$9),MONTH($B$9),1),DATE(YEAR($B$10),MONTH($B$10),1),"m")+3,"Отклонение графика платежей",""))))</f>
        <v/>
      </c>
      <c r="G49" s="65" t="str">
        <f>IF(F49="","",IF(ISNUMBER(F49),IF($B$19="","",MAX(0,N($B$19)-N(H49))),IF(F49="ИТОГО",SUM($G$6:INDEX($G:$G,ROW()-1)),"")))</f>
        <v/>
      </c>
      <c r="H49" s="65" t="str">
        <f>IF(F49="","",IF(ISNUMBER(F49),IF($B$22&lt;&gt;"Да",0,IF(OR($B$23="",$B$24="",$B$25="",$B$26="",$B$27=""),"",IF(AND(YEAR(F49)=YEAR($B$26),MONTH(F49)=MONTH($B$26)),$B$23,0))),IF(F49="ИТОГО",SUM($H$6:INDEX($H:$H,ROW()-1)),IF(F49="Отклонение графика платежей","Проверка",""))))</f>
        <v/>
      </c>
      <c r="I49" s="30" t="str" cm="1">
        <f t="array" ref="I49">IF(F49="","",IF(ISNUMBER(F49),SUM(G49:H49),IF(F49="ИТОГО",SUM($I$6:INDEX($I:$I,ROW()-1)),IF(F49="Отклонение графика платежей",IF($B$19="","",INDEX($I:$I,ROW()-1)-$B$19),""))))</f>
        <v/>
      </c>
      <c r="J49" s="30" t="str">
        <f>IF(F49="","",IF(ISNUMBER(F49),SUM($I$6:I49),IF(F49="ИТОГО",I49,IF(F49="Отклонение графика платежей",IF(I49="","ТРЕБУЕТСЯ ВВОД",IF(ABS(I49)&lt;0.01,"OK","ОШИБКА: график платежей не соответствует стоимости помещения")),""))))</f>
        <v/>
      </c>
      <c r="K49" s="30" t="str">
        <f t="shared" si="1"/>
        <v/>
      </c>
      <c r="P49" s="103"/>
    </row>
    <row r="50" spans="1:16" ht="25" customHeight="1" x14ac:dyDescent="0.2">
      <c r="A50" s="5" t="s">
        <v>128</v>
      </c>
      <c r="B50" s="56"/>
      <c r="C50" s="5" t="s">
        <v>19</v>
      </c>
      <c r="D50" s="6" t="s">
        <v>129</v>
      </c>
      <c r="E50" s="4"/>
      <c r="F50" s="39" t="str">
        <f>IF(OR($B$9="",$B$10="",$B$10&lt;$B$9),"",IF(ROWS($F$6:F50)&lt;=DATEDIF(DATE(YEAR($B$9),MONTH($B$9),1),DATE(YEAR($B$10),MONTH($B$10),1),"m")+1,EDATE(DATE(YEAR($B$9),MONTH($B$9),1),ROWS($F$6:F50)-1),IF(ROWS($F$6:F50)=DATEDIF(DATE(YEAR($B$9),MONTH($B$9),1),DATE(YEAR($B$10),MONTH($B$10),1),"m")+2,"ИТОГО",IF(ROWS($F$6:F50)=DATEDIF(DATE(YEAR($B$9),MONTH($B$9),1),DATE(YEAR($B$10),MONTH($B$10),1),"m")+3,"Отклонение графика платежей",""))))</f>
        <v/>
      </c>
      <c r="G50" s="65" t="str">
        <f>IF(F50="","",IF(ISNUMBER(F50),IF($B$19="","",MAX(0,N($B$19)-N(H50))),IF(F50="ИТОГО",SUM($G$6:INDEX($G:$G,ROW()-1)),"")))</f>
        <v/>
      </c>
      <c r="H50" s="65" t="str">
        <f>IF(F50="","",IF(ISNUMBER(F50),IF($B$22&lt;&gt;"Да",0,IF(OR($B$23="",$B$24="",$B$25="",$B$26="",$B$27=""),"",IF(AND(YEAR(F50)=YEAR($B$26),MONTH(F50)=MONTH($B$26)),$B$23,0))),IF(F50="ИТОГО",SUM($H$6:INDEX($H:$H,ROW()-1)),IF(F50="Отклонение графика платежей","Проверка",""))))</f>
        <v/>
      </c>
      <c r="I50" s="30" t="str" cm="1">
        <f t="array" ref="I50">IF(F50="","",IF(ISNUMBER(F50),SUM(G50:H50),IF(F50="ИТОГО",SUM($I$6:INDEX($I:$I,ROW()-1)),IF(F50="Отклонение графика платежей",IF($B$19="","",INDEX($I:$I,ROW()-1)-$B$19),""))))</f>
        <v/>
      </c>
      <c r="J50" s="30" t="str">
        <f>IF(F50="","",IF(ISNUMBER(F50),SUM($I$6:I50),IF(F50="ИТОГО",I50,IF(F50="Отклонение графика платежей",IF(I50="","ТРЕБУЕТСЯ ВВОД",IF(ABS(I50)&lt;0.01,"OK","ОШИБКА: график платежей не соответствует стоимости помещения")),""))))</f>
        <v/>
      </c>
      <c r="K50" s="30" t="str">
        <f t="shared" si="1"/>
        <v/>
      </c>
      <c r="P50" s="103"/>
    </row>
    <row r="51" spans="1:16" ht="25" customHeight="1" x14ac:dyDescent="0.2">
      <c r="A51" s="5" t="s">
        <v>130</v>
      </c>
      <c r="B51" s="52"/>
      <c r="C51" s="5" t="s">
        <v>48</v>
      </c>
      <c r="D51" s="6" t="s">
        <v>131</v>
      </c>
      <c r="E51" s="4"/>
      <c r="F51" s="39" t="str">
        <f>IF(OR($B$9="",$B$10="",$B$10&lt;$B$9),"",IF(ROWS($F$6:F51)&lt;=DATEDIF(DATE(YEAR($B$9),MONTH($B$9),1),DATE(YEAR($B$10),MONTH($B$10),1),"m")+1,EDATE(DATE(YEAR($B$9),MONTH($B$9),1),ROWS($F$6:F51)-1),IF(ROWS($F$6:F51)=DATEDIF(DATE(YEAR($B$9),MONTH($B$9),1),DATE(YEAR($B$10),MONTH($B$10),1),"m")+2,"ИТОГО",IF(ROWS($F$6:F51)=DATEDIF(DATE(YEAR($B$9),MONTH($B$9),1),DATE(YEAR($B$10),MONTH($B$10),1),"m")+3,"Отклонение графика платежей",""))))</f>
        <v/>
      </c>
      <c r="G51" s="65" t="str">
        <f>IF(F51="","",IF(ISNUMBER(F51),IF($B$19="","",MAX(0,N($B$19)-N(H51))),IF(F51="ИТОГО",SUM($G$6:INDEX($G:$G,ROW()-1)),"")))</f>
        <v/>
      </c>
      <c r="H51" s="65" t="str">
        <f>IF(F51="","",IF(ISNUMBER(F51),IF($B$22&lt;&gt;"Да",0,IF(OR($B$23="",$B$24="",$B$25="",$B$26="",$B$27=""),"",IF(AND(YEAR(F51)=YEAR($B$26),MONTH(F51)=MONTH($B$26)),$B$23,0))),IF(F51="ИТОГО",SUM($H$6:INDEX($H:$H,ROW()-1)),IF(F51="Отклонение графика платежей","Проверка",""))))</f>
        <v/>
      </c>
      <c r="I51" s="30" t="str" cm="1">
        <f t="array" ref="I51">IF(F51="","",IF(ISNUMBER(F51),SUM(G51:H51),IF(F51="ИТОГО",SUM($I$6:INDEX($I:$I,ROW()-1)),IF(F51="Отклонение графика платежей",IF($B$19="","",INDEX($I:$I,ROW()-1)-$B$19),""))))</f>
        <v/>
      </c>
      <c r="J51" s="30" t="str">
        <f>IF(F51="","",IF(ISNUMBER(F51),SUM($I$6:I51),IF(F51="ИТОГО",I51,IF(F51="Отклонение графика платежей",IF(I51="","ТРЕБУЕТСЯ ВВОД",IF(ABS(I51)&lt;0.01,"OK","ОШИБКА: график платежей не соответствует стоимости помещения")),""))))</f>
        <v/>
      </c>
      <c r="K51" s="30" t="str">
        <f t="shared" si="1"/>
        <v/>
      </c>
      <c r="P51" s="103"/>
    </row>
    <row r="52" spans="1:16" ht="25" customHeight="1" x14ac:dyDescent="0.2">
      <c r="A52" s="5" t="s">
        <v>132</v>
      </c>
      <c r="B52" s="56"/>
      <c r="C52" s="5" t="s">
        <v>19</v>
      </c>
      <c r="D52" s="6" t="s">
        <v>133</v>
      </c>
      <c r="E52" s="4"/>
      <c r="F52" s="39" t="str">
        <f>IF(OR($B$9="",$B$10="",$B$10&lt;$B$9),"",IF(ROWS($F$6:F52)&lt;=DATEDIF(DATE(YEAR($B$9),MONTH($B$9),1),DATE(YEAR($B$10),MONTH($B$10),1),"m")+1,EDATE(DATE(YEAR($B$9),MONTH($B$9),1),ROWS($F$6:F52)-1),IF(ROWS($F$6:F52)=DATEDIF(DATE(YEAR($B$9),MONTH($B$9),1),DATE(YEAR($B$10),MONTH($B$10),1),"m")+2,"ИТОГО",IF(ROWS($F$6:F52)=DATEDIF(DATE(YEAR($B$9),MONTH($B$9),1),DATE(YEAR($B$10),MONTH($B$10),1),"m")+3,"Отклонение графика платежей",""))))</f>
        <v/>
      </c>
      <c r="G52" s="65" t="str">
        <f>IF(F52="","",IF(ISNUMBER(F52),IF($B$19="","",MAX(0,N($B$19)-N(H52))),IF(F52="ИТОГО",SUM($G$6:INDEX($G:$G,ROW()-1)),"")))</f>
        <v/>
      </c>
      <c r="H52" s="65" t="str">
        <f>IF(F52="","",IF(ISNUMBER(F52),IF($B$22&lt;&gt;"Да",0,IF(OR($B$23="",$B$24="",$B$25="",$B$26="",$B$27=""),"",IF(AND(YEAR(F52)=YEAR($B$26),MONTH(F52)=MONTH($B$26)),$B$23,0))),IF(F52="ИТОГО",SUM($H$6:INDEX($H:$H,ROW()-1)),IF(F52="Отклонение графика платежей","Проверка",""))))</f>
        <v/>
      </c>
      <c r="I52" s="30" t="str" cm="1">
        <f t="array" ref="I52">IF(F52="","",IF(ISNUMBER(F52),SUM(G52:H52),IF(F52="ИТОГО",SUM($I$6:INDEX($I:$I,ROW()-1)),IF(F52="Отклонение графика платежей",IF($B$19="","",INDEX($I:$I,ROW()-1)-$B$19),""))))</f>
        <v/>
      </c>
      <c r="J52" s="30" t="str">
        <f>IF(F52="","",IF(ISNUMBER(F52),SUM($I$6:I52),IF(F52="ИТОГО",I52,IF(F52="Отклонение графика платежей",IF(I52="","ТРЕБУЕТСЯ ВВОД",IF(ABS(I52)&lt;0.01,"OK","ОШИБКА: график платежей не соответствует стоимости помещения")),""))))</f>
        <v/>
      </c>
      <c r="K52" s="30" t="str">
        <f t="shared" si="1"/>
        <v/>
      </c>
      <c r="P52" s="103"/>
    </row>
    <row r="53" spans="1:16" ht="25" customHeight="1" x14ac:dyDescent="0.2">
      <c r="A53" s="5" t="s">
        <v>134</v>
      </c>
      <c r="B53" s="52"/>
      <c r="C53" s="5" t="s">
        <v>62</v>
      </c>
      <c r="D53" s="6" t="s">
        <v>135</v>
      </c>
      <c r="E53" s="4"/>
      <c r="F53" s="39" t="str">
        <f>IF(OR($B$9="",$B$10="",$B$10&lt;$B$9),"",IF(ROWS($F$6:F53)&lt;=DATEDIF(DATE(YEAR($B$9),MONTH($B$9),1),DATE(YEAR($B$10),MONTH($B$10),1),"m")+1,EDATE(DATE(YEAR($B$9),MONTH($B$9),1),ROWS($F$6:F53)-1),IF(ROWS($F$6:F53)=DATEDIF(DATE(YEAR($B$9),MONTH($B$9),1),DATE(YEAR($B$10),MONTH($B$10),1),"m")+2,"ИТОГО",IF(ROWS($F$6:F53)=DATEDIF(DATE(YEAR($B$9),MONTH($B$9),1),DATE(YEAR($B$10),MONTH($B$10),1),"m")+3,"Отклонение графика платежей",""))))</f>
        <v/>
      </c>
      <c r="G53" s="65" t="str">
        <f>IF(F53="","",IF(ISNUMBER(F53),IF($B$19="","",MAX(0,N($B$19)-N(H53))),IF(F53="ИТОГО",SUM($G$6:INDEX($G:$G,ROW()-1)),"")))</f>
        <v/>
      </c>
      <c r="H53" s="65" t="str">
        <f>IF(F53="","",IF(ISNUMBER(F53),IF($B$22&lt;&gt;"Да",0,IF(OR($B$23="",$B$24="",$B$25="",$B$26="",$B$27=""),"",IF(AND(YEAR(F53)=YEAR($B$26),MONTH(F53)=MONTH($B$26)),$B$23,0))),IF(F53="ИТОГО",SUM($H$6:INDEX($H:$H,ROW()-1)),IF(F53="Отклонение графика платежей","Проверка",""))))</f>
        <v/>
      </c>
      <c r="I53" s="30" t="str" cm="1">
        <f t="array" ref="I53">IF(F53="","",IF(ISNUMBER(F53),SUM(G53:H53),IF(F53="ИТОГО",SUM($I$6:INDEX($I:$I,ROW()-1)),IF(F53="Отклонение графика платежей",IF($B$19="","",INDEX($I:$I,ROW()-1)-$B$19),""))))</f>
        <v/>
      </c>
      <c r="J53" s="30" t="str">
        <f>IF(F53="","",IF(ISNUMBER(F53),SUM($I$6:I53),IF(F53="ИТОГО",I53,IF(F53="Отклонение графика платежей",IF(I53="","ТРЕБУЕТСЯ ВВОД",IF(ABS(I53)&lt;0.01,"OK","ОШИБКА: график платежей не соответствует стоимости помещения")),""))))</f>
        <v/>
      </c>
      <c r="K53" s="30" t="str">
        <f t="shared" si="1"/>
        <v/>
      </c>
      <c r="P53" s="103"/>
    </row>
    <row r="54" spans="1:16" ht="25" customHeight="1" x14ac:dyDescent="0.2">
      <c r="A54" s="5" t="s">
        <v>136</v>
      </c>
      <c r="B54" s="56"/>
      <c r="C54" s="5" t="s">
        <v>19</v>
      </c>
      <c r="D54" s="6" t="s">
        <v>137</v>
      </c>
      <c r="E54" s="4"/>
      <c r="F54" s="39" t="str">
        <f>IF(OR($B$9="",$B$10="",$B$10&lt;$B$9),"",IF(ROWS($F$6:F54)&lt;=DATEDIF(DATE(YEAR($B$9),MONTH($B$9),1),DATE(YEAR($B$10),MONTH($B$10),1),"m")+1,EDATE(DATE(YEAR($B$9),MONTH($B$9),1),ROWS($F$6:F54)-1),IF(ROWS($F$6:F54)=DATEDIF(DATE(YEAR($B$9),MONTH($B$9),1),DATE(YEAR($B$10),MONTH($B$10),1),"m")+2,"ИТОГО",IF(ROWS($F$6:F54)=DATEDIF(DATE(YEAR($B$9),MONTH($B$9),1),DATE(YEAR($B$10),MONTH($B$10),1),"m")+3,"Отклонение графика платежей",""))))</f>
        <v/>
      </c>
      <c r="G54" s="65" t="str">
        <f>IF(F54="","",IF(ISNUMBER(F54),IF($B$19="","",MAX(0,N($B$19)-N(H54))),IF(F54="ИТОГО",SUM($G$6:INDEX($G:$G,ROW()-1)),"")))</f>
        <v/>
      </c>
      <c r="H54" s="65" t="str">
        <f>IF(F54="","",IF(ISNUMBER(F54),IF($B$22&lt;&gt;"Да",0,IF(OR($B$23="",$B$24="",$B$25="",$B$26="",$B$27=""),"",IF(AND(YEAR(F54)=YEAR($B$26),MONTH(F54)=MONTH($B$26)),$B$23,0))),IF(F54="ИТОГО",SUM($H$6:INDEX($H:$H,ROW()-1)),IF(F54="Отклонение графика платежей","Проверка",""))))</f>
        <v/>
      </c>
      <c r="I54" s="30" t="str" cm="1">
        <f t="array" ref="I54">IF(F54="","",IF(ISNUMBER(F54),SUM(G54:H54),IF(F54="ИТОГО",SUM($I$6:INDEX($I:$I,ROW()-1)),IF(F54="Отклонение графика платежей",IF($B$19="","",INDEX($I:$I,ROW()-1)-$B$19),""))))</f>
        <v/>
      </c>
      <c r="J54" s="30" t="str">
        <f>IF(F54="","",IF(ISNUMBER(F54),SUM($I$6:I54),IF(F54="ИТОГО",I54,IF(F54="Отклонение графика платежей",IF(I54="","ТРЕБУЕТСЯ ВВОД",IF(ABS(I54)&lt;0.01,"OK","ОШИБКА: график платежей не соответствует стоимости помещения")),""))))</f>
        <v/>
      </c>
      <c r="K54" s="30" t="str">
        <f t="shared" si="1"/>
        <v/>
      </c>
      <c r="P54" s="103"/>
    </row>
    <row r="55" spans="1:16" ht="25" customHeight="1" x14ac:dyDescent="0.2">
      <c r="A55" s="5" t="s">
        <v>138</v>
      </c>
      <c r="B55" s="52"/>
      <c r="C55" s="5" t="s">
        <v>48</v>
      </c>
      <c r="D55" s="6" t="s">
        <v>139</v>
      </c>
      <c r="E55" s="4"/>
      <c r="F55" s="39" t="str">
        <f>IF(OR($B$9="",$B$10="",$B$10&lt;$B$9),"",IF(ROWS($F$6:F55)&lt;=DATEDIF(DATE(YEAR($B$9),MONTH($B$9),1),DATE(YEAR($B$10),MONTH($B$10),1),"m")+1,EDATE(DATE(YEAR($B$9),MONTH($B$9),1),ROWS($F$6:F55)-1),IF(ROWS($F$6:F55)=DATEDIF(DATE(YEAR($B$9),MONTH($B$9),1),DATE(YEAR($B$10),MONTH($B$10),1),"m")+2,"ИТОГО",IF(ROWS($F$6:F55)=DATEDIF(DATE(YEAR($B$9),MONTH($B$9),1),DATE(YEAR($B$10),MONTH($B$10),1),"m")+3,"Отклонение графика платежей",""))))</f>
        <v/>
      </c>
      <c r="G55" s="65" t="str">
        <f>IF(F55="","",IF(ISNUMBER(F55),IF($B$19="","",MAX(0,N($B$19)-N(H55))),IF(F55="ИТОГО",SUM($G$6:INDEX($G:$G,ROW()-1)),"")))</f>
        <v/>
      </c>
      <c r="H55" s="65" t="str">
        <f>IF(F55="","",IF(ISNUMBER(F55),IF($B$22&lt;&gt;"Да",0,IF(OR($B$23="",$B$24="",$B$25="",$B$26="",$B$27=""),"",IF(AND(YEAR(F55)=YEAR($B$26),MONTH(F55)=MONTH($B$26)),$B$23,0))),IF(F55="ИТОГО",SUM($H$6:INDEX($H:$H,ROW()-1)),IF(F55="Отклонение графика платежей","Проверка",""))))</f>
        <v/>
      </c>
      <c r="I55" s="30" t="str" cm="1">
        <f t="array" ref="I55">IF(F55="","",IF(ISNUMBER(F55),SUM(G55:H55),IF(F55="ИТОГО",SUM($I$6:INDEX($I:$I,ROW()-1)),IF(F55="Отклонение графика платежей",IF($B$19="","",INDEX($I:$I,ROW()-1)-$B$19),""))))</f>
        <v/>
      </c>
      <c r="J55" s="30" t="str">
        <f>IF(F55="","",IF(ISNUMBER(F55),SUM($I$6:I55),IF(F55="ИТОГО",I55,IF(F55="Отклонение графика платежей",IF(I55="","ТРЕБУЕТСЯ ВВОД",IF(ABS(I55)&lt;0.01,"OK","ОШИБКА: график платежей не соответствует стоимости помещения")),""))))</f>
        <v/>
      </c>
      <c r="K55" s="30" t="str">
        <f t="shared" si="1"/>
        <v/>
      </c>
      <c r="P55" s="103"/>
    </row>
    <row r="56" spans="1:16" ht="25" customHeight="1" x14ac:dyDescent="0.2">
      <c r="A56" s="5" t="s">
        <v>140</v>
      </c>
      <c r="B56" s="57"/>
      <c r="C56" s="5" t="s">
        <v>141</v>
      </c>
      <c r="D56" s="6" t="s">
        <v>142</v>
      </c>
      <c r="E56" s="4"/>
      <c r="F56" s="39" t="str">
        <f>IF(OR($B$9="",$B$10="",$B$10&lt;$B$9),"",IF(ROWS($F$6:F56)&lt;=DATEDIF(DATE(YEAR($B$9),MONTH($B$9),1),DATE(YEAR($B$10),MONTH($B$10),1),"m")+1,EDATE(DATE(YEAR($B$9),MONTH($B$9),1),ROWS($F$6:F56)-1),IF(ROWS($F$6:F56)=DATEDIF(DATE(YEAR($B$9),MONTH($B$9),1),DATE(YEAR($B$10),MONTH($B$10),1),"m")+2,"ИТОГО",IF(ROWS($F$6:F56)=DATEDIF(DATE(YEAR($B$9),MONTH($B$9),1),DATE(YEAR($B$10),MONTH($B$10),1),"m")+3,"Отклонение графика платежей",""))))</f>
        <v/>
      </c>
      <c r="G56" s="65" t="str">
        <f>IF(F56="","",IF(ISNUMBER(F56),IF($B$19="","",MAX(0,N($B$19)-N(H56))),IF(F56="ИТОГО",SUM($G$6:INDEX($G:$G,ROW()-1)),"")))</f>
        <v/>
      </c>
      <c r="H56" s="65" t="str">
        <f>IF(F56="","",IF(ISNUMBER(F56),IF($B$22&lt;&gt;"Да",0,IF(OR($B$23="",$B$24="",$B$25="",$B$26="",$B$27=""),"",IF(AND(YEAR(F56)=YEAR($B$26),MONTH(F56)=MONTH($B$26)),$B$23,0))),IF(F56="ИТОГО",SUM($H$6:INDEX($H:$H,ROW()-1)),IF(F56="Отклонение графика платежей","Проверка",""))))</f>
        <v/>
      </c>
      <c r="I56" s="30" t="str" cm="1">
        <f t="array" ref="I56">IF(F56="","",IF(ISNUMBER(F56),SUM(G56:H56),IF(F56="ИТОГО",SUM($I$6:INDEX($I:$I,ROW()-1)),IF(F56="Отклонение графика платежей",IF($B$19="","",INDEX($I:$I,ROW()-1)-$B$19),""))))</f>
        <v/>
      </c>
      <c r="J56" s="30" t="str">
        <f>IF(F56="","",IF(ISNUMBER(F56),SUM($I$6:I56),IF(F56="ИТОГО",I56,IF(F56="Отклонение графика платежей",IF(I56="","ТРЕБУЕТСЯ ВВОД",IF(ABS(I56)&lt;0.01,"OK","ОШИБКА: график платежей не соответствует стоимости помещения")),""))))</f>
        <v/>
      </c>
      <c r="K56" s="30" t="str">
        <f t="shared" si="1"/>
        <v/>
      </c>
      <c r="P56" s="103"/>
    </row>
    <row r="57" spans="1:16" ht="25" customHeight="1" x14ac:dyDescent="0.2">
      <c r="A57" s="5" t="s">
        <v>143</v>
      </c>
      <c r="B57" s="57"/>
      <c r="C57" s="5" t="s">
        <v>141</v>
      </c>
      <c r="D57" s="6" t="s">
        <v>144</v>
      </c>
      <c r="E57" s="4"/>
      <c r="F57" s="39" t="str">
        <f>IF(OR($B$9="",$B$10="",$B$10&lt;$B$9),"",IF(ROWS($F$6:F57)&lt;=DATEDIF(DATE(YEAR($B$9),MONTH($B$9),1),DATE(YEAR($B$10),MONTH($B$10),1),"m")+1,EDATE(DATE(YEAR($B$9),MONTH($B$9),1),ROWS($F$6:F57)-1),IF(ROWS($F$6:F57)=DATEDIF(DATE(YEAR($B$9),MONTH($B$9),1),DATE(YEAR($B$10),MONTH($B$10),1),"m")+2,"ИТОГО",IF(ROWS($F$6:F57)=DATEDIF(DATE(YEAR($B$9),MONTH($B$9),1),DATE(YEAR($B$10),MONTH($B$10),1),"m")+3,"Отклонение графика платежей",""))))</f>
        <v/>
      </c>
      <c r="G57" s="65" t="str">
        <f>IF(F57="","",IF(ISNUMBER(F57),IF($B$19="","",MAX(0,N($B$19)-N(H57))),IF(F57="ИТОГО",SUM($G$6:INDEX($G:$G,ROW()-1)),"")))</f>
        <v/>
      </c>
      <c r="H57" s="65" t="str">
        <f>IF(F57="","",IF(ISNUMBER(F57),IF($B$22&lt;&gt;"Да",0,IF(OR($B$23="",$B$24="",$B$25="",$B$26="",$B$27=""),"",IF(AND(YEAR(F57)=YEAR($B$26),MONTH(F57)=MONTH($B$26)),$B$23,0))),IF(F57="ИТОГО",SUM($H$6:INDEX($H:$H,ROW()-1)),IF(F57="Отклонение графика платежей","Проверка",""))))</f>
        <v/>
      </c>
      <c r="I57" s="30" t="str" cm="1">
        <f t="array" ref="I57">IF(F57="","",IF(ISNUMBER(F57),SUM(G57:H57),IF(F57="ИТОГО",SUM($I$6:INDEX($I:$I,ROW()-1)),IF(F57="Отклонение графика платежей",IF($B$19="","",INDEX($I:$I,ROW()-1)-$B$19),""))))</f>
        <v/>
      </c>
      <c r="J57" s="30" t="str">
        <f>IF(F57="","",IF(ISNUMBER(F57),SUM($I$6:I57),IF(F57="ИТОГО",I57,IF(F57="Отклонение графика платежей",IF(I57="","ТРЕБУЕТСЯ ВВОД",IF(ABS(I57)&lt;0.01,"OK","ОШИБКА: график платежей не соответствует стоимости помещения")),""))))</f>
        <v/>
      </c>
      <c r="K57" s="30" t="str">
        <f t="shared" si="1"/>
        <v/>
      </c>
      <c r="P57" s="103"/>
    </row>
    <row r="58" spans="1:16" ht="25" customHeight="1" x14ac:dyDescent="0.2">
      <c r="A58" s="5" t="s">
        <v>145</v>
      </c>
      <c r="B58" s="43" t="str">
        <f>IF(OR(B49="",B53=""),"ТРЕБУЕТСЯ НАСТРОЙКА НАЛОГОВОЙ БАЗЫ",IF(OR(B49="Другой / пользовательский",B53="Пользовательская база"),"ПРОВЕРЬТЕ ПОЛЬЗОВАТЕЛЬСКУЮ НАЛОГОВУЮ БАЗУ","Упрощённая логика; требуется проверка налоговым специалистом"))</f>
        <v>ТРЕБУЕТСЯ НАСТРОЙКА НАЛОГОВОЙ БАЗЫ</v>
      </c>
      <c r="C58" s="5"/>
      <c r="D58" s="6" t="s">
        <v>146</v>
      </c>
      <c r="E58" s="4"/>
      <c r="F58" s="39" t="str">
        <f>IF(OR($B$9="",$B$10="",$B$10&lt;$B$9),"",IF(ROWS($F$6:F58)&lt;=DATEDIF(DATE(YEAR($B$9),MONTH($B$9),1),DATE(YEAR($B$10),MONTH($B$10),1),"m")+1,EDATE(DATE(YEAR($B$9),MONTH($B$9),1),ROWS($F$6:F58)-1),IF(ROWS($F$6:F58)=DATEDIF(DATE(YEAR($B$9),MONTH($B$9),1),DATE(YEAR($B$10),MONTH($B$10),1),"m")+2,"ИТОГО",IF(ROWS($F$6:F58)=DATEDIF(DATE(YEAR($B$9),MONTH($B$9),1),DATE(YEAR($B$10),MONTH($B$10),1),"m")+3,"Отклонение графика платежей",""))))</f>
        <v/>
      </c>
      <c r="G58" s="65" t="str">
        <f>IF(F58="","",IF(ISNUMBER(F58),IF($B$19="","",MAX(0,N($B$19)-N(H58))),IF(F58="ИТОГО",SUM($G$6:INDEX($G:$G,ROW()-1)),"")))</f>
        <v/>
      </c>
      <c r="H58" s="65" t="str">
        <f>IF(F58="","",IF(ISNUMBER(F58),IF($B$22&lt;&gt;"Да",0,IF(OR($B$23="",$B$24="",$B$25="",$B$26="",$B$27=""),"",IF(AND(YEAR(F58)=YEAR($B$26),MONTH(F58)=MONTH($B$26)),$B$23,0))),IF(F58="ИТОГО",SUM($H$6:INDEX($H:$H,ROW()-1)),IF(F58="Отклонение графика платежей","Проверка",""))))</f>
        <v/>
      </c>
      <c r="I58" s="30" t="str" cm="1">
        <f t="array" ref="I58">IF(F58="","",IF(ISNUMBER(F58),SUM(G58:H58),IF(F58="ИТОГО",SUM($I$6:INDEX($I:$I,ROW()-1)),IF(F58="Отклонение графика платежей",IF($B$19="","",INDEX($I:$I,ROW()-1)-$B$19),""))))</f>
        <v/>
      </c>
      <c r="J58" s="30" t="str">
        <f>IF(F58="","",IF(ISNUMBER(F58),SUM($I$6:I58),IF(F58="ИТОГО",I58,IF(F58="Отклонение графика платежей",IF(I58="","ТРЕБУЕТСЯ ВВОД",IF(ABS(I58)&lt;0.01,"OK","ОШИБКА: график платежей не соответствует стоимости помещения")),""))))</f>
        <v/>
      </c>
      <c r="K58" s="30" t="str">
        <f t="shared" si="1"/>
        <v/>
      </c>
      <c r="P58" s="103"/>
    </row>
    <row r="59" spans="1:16" ht="25" customHeight="1" x14ac:dyDescent="0.2">
      <c r="A59" s="5"/>
      <c r="B59" s="55"/>
      <c r="C59" s="5"/>
      <c r="D59" s="6"/>
      <c r="E59" s="4"/>
      <c r="F59" s="39" t="str">
        <f>IF(OR($B$9="",$B$10="",$B$10&lt;$B$9),"",IF(ROWS($F$6:F59)&lt;=DATEDIF(DATE(YEAR($B$9),MONTH($B$9),1),DATE(YEAR($B$10),MONTH($B$10),1),"m")+1,EDATE(DATE(YEAR($B$9),MONTH($B$9),1),ROWS($F$6:F59)-1),IF(ROWS($F$6:F59)=DATEDIF(DATE(YEAR($B$9),MONTH($B$9),1),DATE(YEAR($B$10),MONTH($B$10),1),"m")+2,"ИТОГО",IF(ROWS($F$6:F59)=DATEDIF(DATE(YEAR($B$9),MONTH($B$9),1),DATE(YEAR($B$10),MONTH($B$10),1),"m")+3,"Отклонение графика платежей",""))))</f>
        <v/>
      </c>
      <c r="G59" s="65" t="str">
        <f>IF(F59="","",IF(ISNUMBER(F59),IF($B$19="","",MAX(0,N($B$19)-N(H59))),IF(F59="ИТОГО",SUM($G$6:INDEX($G:$G,ROW()-1)),"")))</f>
        <v/>
      </c>
      <c r="H59" s="65" t="str">
        <f>IF(F59="","",IF(ISNUMBER(F59),IF($B$22&lt;&gt;"Да",0,IF(OR($B$23="",$B$24="",$B$25="",$B$26="",$B$27=""),"",IF(AND(YEAR(F59)=YEAR($B$26),MONTH(F59)=MONTH($B$26)),$B$23,0))),IF(F59="ИТОГО",SUM($H$6:INDEX($H:$H,ROW()-1)),IF(F59="Отклонение графика платежей","Проверка",""))))</f>
        <v/>
      </c>
      <c r="I59" s="30" t="str" cm="1">
        <f t="array" ref="I59">IF(F59="","",IF(ISNUMBER(F59),SUM(G59:H59),IF(F59="ИТОГО",SUM($I$6:INDEX($I:$I,ROW()-1)),IF(F59="Отклонение графика платежей",IF($B$19="","",INDEX($I:$I,ROW()-1)-$B$19),""))))</f>
        <v/>
      </c>
      <c r="J59" s="30" t="str">
        <f>IF(F59="","",IF(ISNUMBER(F59),SUM($I$6:I59),IF(F59="ИТОГО",I59,IF(F59="Отклонение графика платежей",IF(I59="","ТРЕБУЕТСЯ ВВОД",IF(ABS(I59)&lt;0.01,"OK","ОШИБКА: график платежей не соответствует стоимости помещения")),""))))</f>
        <v/>
      </c>
      <c r="K59" s="30" t="str">
        <f t="shared" si="1"/>
        <v/>
      </c>
      <c r="P59" s="103"/>
    </row>
    <row r="60" spans="1:16" ht="25" customHeight="1" x14ac:dyDescent="0.2">
      <c r="A60" s="126" t="s">
        <v>407</v>
      </c>
      <c r="B60" s="128"/>
      <c r="C60" s="126"/>
      <c r="D60" s="127"/>
      <c r="E60" s="4"/>
      <c r="F60" s="39" t="str">
        <f>IF(OR($B$9="",$B$10="",$B$10&lt;$B$9),"",IF(ROWS($F$6:F60)&lt;=DATEDIF(DATE(YEAR($B$9),MONTH($B$9),1),DATE(YEAR($B$10),MONTH($B$10),1),"m")+1,EDATE(DATE(YEAR($B$9),MONTH($B$9),1),ROWS($F$6:F60)-1),IF(ROWS($F$6:F60)=DATEDIF(DATE(YEAR($B$9),MONTH($B$9),1),DATE(YEAR($B$10),MONTH($B$10),1),"m")+2,"ИТОГО",IF(ROWS($F$6:F60)=DATEDIF(DATE(YEAR($B$9),MONTH($B$9),1),DATE(YEAR($B$10),MONTH($B$10),1),"m")+3,"Отклонение графика платежей",""))))</f>
        <v/>
      </c>
      <c r="G60" s="65" t="str">
        <f>IF(F60="","",IF(ISNUMBER(F60),IF($B$19="","",MAX(0,N($B$19)-N(H60))),IF(F60="ИТОГО",SUM($G$6:INDEX($G:$G,ROW()-1)),"")))</f>
        <v/>
      </c>
      <c r="H60" s="65" t="str">
        <f>IF(F60="","",IF(ISNUMBER(F60),IF($B$22&lt;&gt;"Да",0,IF(OR($B$23="",$B$24="",$B$25="",$B$26="",$B$27=""),"",IF(AND(YEAR(F60)=YEAR($B$26),MONTH(F60)=MONTH($B$26)),$B$23,0))),IF(F60="ИТОГО",SUM($H$6:INDEX($H:$H,ROW()-1)),IF(F60="Отклонение графика платежей","Проверка",""))))</f>
        <v/>
      </c>
      <c r="I60" s="30" t="str" cm="1">
        <f t="array" ref="I60">IF(F60="","",IF(ISNUMBER(F60),SUM(G60:H60),IF(F60="ИТОГО",SUM($I$6:INDEX($I:$I,ROW()-1)),IF(F60="Отклонение графика платежей",IF($B$19="","",INDEX($I:$I,ROW()-1)-$B$19),""))))</f>
        <v/>
      </c>
      <c r="J60" s="30" t="str">
        <f>IF(F60="","",IF(ISNUMBER(F60),SUM($I$6:I60),IF(F60="ИТОГО",I60,IF(F60="Отклонение графика платежей",IF(I60="","ТРЕБУЕТСЯ ВВОД",IF(ABS(I60)&lt;0.01,"OK","ОШИБКА: график платежей не соответствует стоимости помещения")),""))))</f>
        <v/>
      </c>
      <c r="K60" s="30" t="str">
        <f t="shared" si="1"/>
        <v/>
      </c>
      <c r="P60" s="103"/>
    </row>
    <row r="61" spans="1:16" ht="25" customHeight="1" x14ac:dyDescent="0.2">
      <c r="A61" s="5" t="s">
        <v>71</v>
      </c>
      <c r="B61" s="62"/>
      <c r="C61" s="5" t="s">
        <v>22</v>
      </c>
      <c r="D61" s="6" t="s">
        <v>147</v>
      </c>
      <c r="E61" s="4"/>
      <c r="F61" s="39" t="str">
        <f>IF(OR($B$9="",$B$10="",$B$10&lt;$B$9),"",IF(ROWS($F$6:F61)&lt;=DATEDIF(DATE(YEAR($B$9),MONTH($B$9),1),DATE(YEAR($B$10),MONTH($B$10),1),"m")+1,EDATE(DATE(YEAR($B$9),MONTH($B$9),1),ROWS($F$6:F61)-1),IF(ROWS($F$6:F61)=DATEDIF(DATE(YEAR($B$9),MONTH($B$9),1),DATE(YEAR($B$10),MONTH($B$10),1),"m")+2,"ИТОГО",IF(ROWS($F$6:F61)=DATEDIF(DATE(YEAR($B$9),MONTH($B$9),1),DATE(YEAR($B$10),MONTH($B$10),1),"m")+3,"Отклонение графика платежей",""))))</f>
        <v/>
      </c>
      <c r="G61" s="65" t="str">
        <f>IF(F61="","",IF(ISNUMBER(F61),IF($B$19="","",MAX(0,N($B$19)-N(H61))),IF(F61="ИТОГО",SUM($G$6:INDEX($G:$G,ROW()-1)),"")))</f>
        <v/>
      </c>
      <c r="H61" s="65" t="str">
        <f>IF(F61="","",IF(ISNUMBER(F61),IF($B$22&lt;&gt;"Да",0,IF(OR($B$23="",$B$24="",$B$25="",$B$26="",$B$27=""),"",IF(AND(YEAR(F61)=YEAR($B$26),MONTH(F61)=MONTH($B$26)),$B$23,0))),IF(F61="ИТОГО",SUM($H$6:INDEX($H:$H,ROW()-1)),IF(F61="Отклонение графика платежей","Проверка",""))))</f>
        <v/>
      </c>
      <c r="I61" s="30" t="str" cm="1">
        <f t="array" ref="I61">IF(F61="","",IF(ISNUMBER(F61),SUM(G61:H61),IF(F61="ИТОГО",SUM($I$6:INDEX($I:$I,ROW()-1)),IF(F61="Отклонение графика платежей",IF($B$19="","",INDEX($I:$I,ROW()-1)-$B$19),""))))</f>
        <v/>
      </c>
      <c r="J61" s="30" t="str">
        <f>IF(F61="","",IF(ISNUMBER(F61),SUM($I$6:I61),IF(F61="ИТОГО",I61,IF(F61="Отклонение графика платежей",IF(I61="","ТРЕБУЕТСЯ ВВОД",IF(ABS(I61)&lt;0.01,"OK","ОШИБКА: график платежей не соответствует стоимости помещения")),""))))</f>
        <v/>
      </c>
      <c r="K61" s="30" t="str">
        <f t="shared" si="1"/>
        <v/>
      </c>
      <c r="P61" s="103"/>
    </row>
    <row r="62" spans="1:16" ht="25" customHeight="1" x14ac:dyDescent="0.2">
      <c r="A62" s="5" t="s">
        <v>148</v>
      </c>
      <c r="B62" s="63"/>
      <c r="C62" s="5" t="s">
        <v>19</v>
      </c>
      <c r="D62" s="6" t="s">
        <v>149</v>
      </c>
      <c r="E62" s="4"/>
      <c r="F62" s="39" t="str">
        <f>IF(OR($B$9="",$B$10="",$B$10&lt;$B$9),"",IF(ROWS($F$6:F62)&lt;=DATEDIF(DATE(YEAR($B$9),MONTH($B$9),1),DATE(YEAR($B$10),MONTH($B$10),1),"m")+1,EDATE(DATE(YEAR($B$9),MONTH($B$9),1),ROWS($F$6:F62)-1),IF(ROWS($F$6:F62)=DATEDIF(DATE(YEAR($B$9),MONTH($B$9),1),DATE(YEAR($B$10),MONTH($B$10),1),"m")+2,"ИТОГО",IF(ROWS($F$6:F62)=DATEDIF(DATE(YEAR($B$9),MONTH($B$9),1),DATE(YEAR($B$10),MONTH($B$10),1),"m")+3,"Отклонение графика платежей",""))))</f>
        <v/>
      </c>
      <c r="G62" s="65" t="str">
        <f>IF(F62="","",IF(ISNUMBER(F62),IF($B$19="","",MAX(0,N($B$19)-N(H62))),IF(F62="ИТОГО",SUM($G$6:INDEX($G:$G,ROW()-1)),"")))</f>
        <v/>
      </c>
      <c r="H62" s="65" t="str">
        <f>IF(F62="","",IF(ISNUMBER(F62),IF($B$22&lt;&gt;"Да",0,IF(OR($B$23="",$B$24="",$B$25="",$B$26="",$B$27=""),"",IF(AND(YEAR(F62)=YEAR($B$26),MONTH(F62)=MONTH($B$26)),$B$23,0))),IF(F62="ИТОГО",SUM($H$6:INDEX($H:$H,ROW()-1)),IF(F62="Отклонение графика платежей","Проверка",""))))</f>
        <v/>
      </c>
      <c r="I62" s="30" t="str" cm="1">
        <f t="array" ref="I62">IF(F62="","",IF(ISNUMBER(F62),SUM(G62:H62),IF(F62="ИТОГО",SUM($I$6:INDEX($I:$I,ROW()-1)),IF(F62="Отклонение графика платежей",IF($B$19="","",INDEX($I:$I,ROW()-1)-$B$19),""))))</f>
        <v/>
      </c>
      <c r="J62" s="30" t="str">
        <f>IF(F62="","",IF(ISNUMBER(F62),SUM($I$6:I62),IF(F62="ИТОГО",I62,IF(F62="Отклонение графика платежей",IF(I62="","ТРЕБУЕТСЯ ВВОД",IF(ABS(I62)&lt;0.01,"OK","ОШИБКА: график платежей не соответствует стоимости помещения")),""))))</f>
        <v/>
      </c>
      <c r="K62" s="30" t="str">
        <f t="shared" si="1"/>
        <v/>
      </c>
      <c r="P62" s="103"/>
    </row>
    <row r="63" spans="1:16" ht="25" customHeight="1" x14ac:dyDescent="0.2">
      <c r="A63" s="5" t="s">
        <v>150</v>
      </c>
      <c r="B63" s="64" t="s">
        <v>151</v>
      </c>
      <c r="C63" s="5" t="s">
        <v>152</v>
      </c>
      <c r="D63" s="6" t="s">
        <v>153</v>
      </c>
      <c r="E63" s="4"/>
      <c r="F63" s="39" t="str">
        <f>IF(OR($B$9="",$B$10="",$B$10&lt;$B$9),"",IF(ROWS($F$6:F63)&lt;=DATEDIF(DATE(YEAR($B$9),MONTH($B$9),1),DATE(YEAR($B$10),MONTH($B$10),1),"m")+1,EDATE(DATE(YEAR($B$9),MONTH($B$9),1),ROWS($F$6:F63)-1),IF(ROWS($F$6:F63)=DATEDIF(DATE(YEAR($B$9),MONTH($B$9),1),DATE(YEAR($B$10),MONTH($B$10),1),"m")+2,"ИТОГО",IF(ROWS($F$6:F63)=DATEDIF(DATE(YEAR($B$9),MONTH($B$9),1),DATE(YEAR($B$10),MONTH($B$10),1),"m")+3,"Отклонение графика платежей",""))))</f>
        <v/>
      </c>
      <c r="G63" s="65" t="str">
        <f>IF(F63="","",IF(ISNUMBER(F63),IF($B$19="","",MAX(0,N($B$19)-N(H63))),IF(F63="ИТОГО",SUM($G$6:INDEX($G:$G,ROW()-1)),"")))</f>
        <v/>
      </c>
      <c r="H63" s="65" t="str">
        <f>IF(F63="","",IF(ISNUMBER(F63),IF($B$22&lt;&gt;"Да",0,IF(OR($B$23="",$B$24="",$B$25="",$B$26="",$B$27=""),"",IF(AND(YEAR(F63)=YEAR($B$26),MONTH(F63)=MONTH($B$26)),$B$23,0))),IF(F63="ИТОГО",SUM($H$6:INDEX($H:$H,ROW()-1)),IF(F63="Отклонение графика платежей","Проверка",""))))</f>
        <v/>
      </c>
      <c r="I63" s="30" t="str" cm="1">
        <f t="array" ref="I63">IF(F63="","",IF(ISNUMBER(F63),SUM(G63:H63),IF(F63="ИТОГО",SUM($I$6:INDEX($I:$I,ROW()-1)),IF(F63="Отклонение графика платежей",IF($B$19="","",INDEX($I:$I,ROW()-1)-$B$19),""))))</f>
        <v/>
      </c>
      <c r="J63" s="30" t="str">
        <f>IF(F63="","",IF(ISNUMBER(F63),SUM($I$6:I63),IF(F63="ИТОГО",I63,IF(F63="Отклонение графика платежей",IF(I63="","ТРЕБУЕТСЯ ВВОД",IF(ABS(I63)&lt;0.01,"OK","ОШИБКА: график платежей не соответствует стоимости помещения")),""))))</f>
        <v/>
      </c>
      <c r="K63" s="30" t="str">
        <f t="shared" si="1"/>
        <v/>
      </c>
      <c r="P63" s="103"/>
    </row>
    <row r="64" spans="1:16" ht="25" customHeight="1" x14ac:dyDescent="0.2">
      <c r="A64" s="5" t="s">
        <v>154</v>
      </c>
      <c r="B64" s="64" t="s">
        <v>155</v>
      </c>
      <c r="C64" s="5" t="s">
        <v>152</v>
      </c>
      <c r="D64" s="6" t="s">
        <v>156</v>
      </c>
      <c r="E64" s="4"/>
      <c r="F64" s="39" t="str">
        <f>IF(OR($B$9="",$B$10="",$B$10&lt;$B$9),"",IF(ROWS($F$6:F64)&lt;=DATEDIF(DATE(YEAR($B$9),MONTH($B$9),1),DATE(YEAR($B$10),MONTH($B$10),1),"m")+1,EDATE(DATE(YEAR($B$9),MONTH($B$9),1),ROWS($F$6:F64)-1),IF(ROWS($F$6:F64)=DATEDIF(DATE(YEAR($B$9),MONTH($B$9),1),DATE(YEAR($B$10),MONTH($B$10),1),"m")+2,"ИТОГО",IF(ROWS($F$6:F64)=DATEDIF(DATE(YEAR($B$9),MONTH($B$9),1),DATE(YEAR($B$10),MONTH($B$10),1),"m")+3,"Отклонение графика платежей",""))))</f>
        <v/>
      </c>
      <c r="G64" s="65" t="str">
        <f>IF(F64="","",IF(ISNUMBER(F64),IF($B$19="","",MAX(0,N($B$19)-N(H64))),IF(F64="ИТОГО",SUM($G$6:INDEX($G:$G,ROW()-1)),"")))</f>
        <v/>
      </c>
      <c r="H64" s="65" t="str">
        <f>IF(F64="","",IF(ISNUMBER(F64),IF($B$22&lt;&gt;"Да",0,IF(OR($B$23="",$B$24="",$B$25="",$B$26="",$B$27=""),"",IF(AND(YEAR(F64)=YEAR($B$26),MONTH(F64)=MONTH($B$26)),$B$23,0))),IF(F64="ИТОГО",SUM($H$6:INDEX($H:$H,ROW()-1)),IF(F64="Отклонение графика платежей","Проверка",""))))</f>
        <v/>
      </c>
      <c r="I64" s="30" t="str" cm="1">
        <f t="array" ref="I64">IF(F64="","",IF(ISNUMBER(F64),SUM(G64:H64),IF(F64="ИТОГО",SUM($I$6:INDEX($I:$I,ROW()-1)),IF(F64="Отклонение графика платежей",IF($B$19="","",INDEX($I:$I,ROW()-1)-$B$19),""))))</f>
        <v/>
      </c>
      <c r="J64" s="30" t="str">
        <f>IF(F64="","",IF(ISNUMBER(F64),SUM($I$6:I64),IF(F64="ИТОГО",I64,IF(F64="Отклонение графика платежей",IF(I64="","ТРЕБУЕТСЯ ВВОД",IF(ABS(I64)&lt;0.01,"OK","ОШИБКА: график платежей не соответствует стоимости помещения")),""))))</f>
        <v/>
      </c>
      <c r="K64" s="30" t="str">
        <f t="shared" si="1"/>
        <v/>
      </c>
      <c r="P64" s="103"/>
    </row>
    <row r="65" spans="1:16" ht="25" customHeight="1" x14ac:dyDescent="0.2">
      <c r="A65" s="5"/>
      <c r="B65" s="5"/>
      <c r="C65" s="5"/>
      <c r="D65" s="6"/>
      <c r="E65" s="4"/>
      <c r="F65" s="39" t="str">
        <f>IF(OR($B$9="",$B$10="",$B$10&lt;$B$9),"",IF(ROWS($F$6:F65)&lt;=DATEDIF(DATE(YEAR($B$9),MONTH($B$9),1),DATE(YEAR($B$10),MONTH($B$10),1),"m")+1,EDATE(DATE(YEAR($B$9),MONTH($B$9),1),ROWS($F$6:F65)-1),IF(ROWS($F$6:F65)=DATEDIF(DATE(YEAR($B$9),MONTH($B$9),1),DATE(YEAR($B$10),MONTH($B$10),1),"m")+2,"ИТОГО",IF(ROWS($F$6:F65)=DATEDIF(DATE(YEAR($B$9),MONTH($B$9),1),DATE(YEAR($B$10),MONTH($B$10),1),"m")+3,"Отклонение графика платежей",""))))</f>
        <v/>
      </c>
      <c r="G65" s="65" t="str">
        <f>IF(F65="","",IF(ISNUMBER(F65),IF($B$19="","",MAX(0,N($B$19)-N(H65))),IF(F65="ИТОГО",SUM($G$6:INDEX($G:$G,ROW()-1)),"")))</f>
        <v/>
      </c>
      <c r="H65" s="65" t="str">
        <f>IF(F65="","",IF(ISNUMBER(F65),IF($B$22&lt;&gt;"Да",0,IF(OR($B$23="",$B$24="",$B$25="",$B$26="",$B$27=""),"",IF(AND(YEAR(F65)=YEAR($B$26),MONTH(F65)=MONTH($B$26)),$B$23,0))),IF(F65="ИТОГО",SUM($H$6:INDEX($H:$H,ROW()-1)),IF(F65="Отклонение графика платежей","Проверка",""))))</f>
        <v/>
      </c>
      <c r="I65" s="30" t="str" cm="1">
        <f t="array" ref="I65">IF(F65="","",IF(ISNUMBER(F65),SUM(G65:H65),IF(F65="ИТОГО",SUM($I$6:INDEX($I:$I,ROW()-1)),IF(F65="Отклонение графика платежей",IF($B$19="","",INDEX($I:$I,ROW()-1)-$B$19),""))))</f>
        <v/>
      </c>
      <c r="J65" s="30" t="str">
        <f>IF(F65="","",IF(ISNUMBER(F65),SUM($I$6:I65),IF(F65="ИТОГО",I65,IF(F65="Отклонение графика платежей",IF(I65="","ТРЕБУЕТСЯ ВВОД",IF(ABS(I65)&lt;0.01,"OK","ОШИБКА: график платежей не соответствует стоимости помещения")),""))))</f>
        <v/>
      </c>
      <c r="K65" s="30" t="str">
        <f t="shared" si="1"/>
        <v/>
      </c>
      <c r="P65" s="103"/>
    </row>
    <row r="66" spans="1:16" ht="25" customHeight="1" x14ac:dyDescent="0.2">
      <c r="A66" s="126" t="s">
        <v>408</v>
      </c>
      <c r="B66" s="126"/>
      <c r="C66" s="126"/>
      <c r="D66" s="127"/>
      <c r="E66" s="4"/>
      <c r="F66" s="39" t="str">
        <f>IF(OR($B$9="",$B$10="",$B$10&lt;$B$9),"",IF(ROWS($F$6:F66)&lt;=DATEDIF(DATE(YEAR($B$9),MONTH($B$9),1),DATE(YEAR($B$10),MONTH($B$10),1),"m")+1,EDATE(DATE(YEAR($B$9),MONTH($B$9),1),ROWS($F$6:F66)-1),IF(ROWS($F$6:F66)=DATEDIF(DATE(YEAR($B$9),MONTH($B$9),1),DATE(YEAR($B$10),MONTH($B$10),1),"m")+2,"ИТОГО",IF(ROWS($F$6:F66)=DATEDIF(DATE(YEAR($B$9),MONTH($B$9),1),DATE(YEAR($B$10),MONTH($B$10),1),"m")+3,"Отклонение графика платежей",""))))</f>
        <v/>
      </c>
      <c r="G66" s="65" t="str">
        <f>IF(F66="","",IF(ISNUMBER(F66),IF($B$19="","",MAX(0,N($B$19)-N(H66))),IF(F66="ИТОГО",SUM($G$6:INDEX($G:$G,ROW()-1)),"")))</f>
        <v/>
      </c>
      <c r="H66" s="65" t="str">
        <f>IF(F66="","",IF(ISNUMBER(F66),IF($B$22&lt;&gt;"Да",0,IF(OR($B$23="",$B$24="",$B$25="",$B$26="",$B$27=""),"",IF(AND(YEAR(F66)=YEAR($B$26),MONTH(F66)=MONTH($B$26)),$B$23,0))),IF(F66="ИТОГО",SUM($H$6:INDEX($H:$H,ROW()-1)),IF(F66="Отклонение графика платежей","Проверка",""))))</f>
        <v/>
      </c>
      <c r="I66" s="30" t="str" cm="1">
        <f t="array" ref="I66">IF(F66="","",IF(ISNUMBER(F66),SUM(G66:H66),IF(F66="ИТОГО",SUM($I$6:INDEX($I:$I,ROW()-1)),IF(F66="Отклонение графика платежей",IF($B$19="","",INDEX($I:$I,ROW()-1)-$B$19),""))))</f>
        <v/>
      </c>
      <c r="J66" s="30" t="str">
        <f>IF(F66="","",IF(ISNUMBER(F66),SUM($I$6:I66),IF(F66="ИТОГО",I66,IF(F66="Отклонение графика платежей",IF(I66="","ТРЕБУЕТСЯ ВВОД",IF(ABS(I66)&lt;0.01,"OK","ОШИБКА: график платежей не соответствует стоимости помещения")),""))))</f>
        <v/>
      </c>
      <c r="K66" s="30" t="str">
        <f t="shared" si="1"/>
        <v/>
      </c>
      <c r="P66" s="103"/>
    </row>
    <row r="67" spans="1:16" ht="25" customHeight="1" x14ac:dyDescent="0.2">
      <c r="A67" s="5" t="s">
        <v>157</v>
      </c>
      <c r="B67" s="56"/>
      <c r="C67" s="5" t="s">
        <v>88</v>
      </c>
      <c r="D67" s="6" t="s">
        <v>158</v>
      </c>
      <c r="E67" s="4"/>
      <c r="F67" s="39" t="str">
        <f>IF(OR($B$9="",$B$10="",$B$10&lt;$B$9),"",IF(ROWS($F$6:F67)&lt;=DATEDIF(DATE(YEAR($B$9),MONTH($B$9),1),DATE(YEAR($B$10),MONTH($B$10),1),"m")+1,EDATE(DATE(YEAR($B$9),MONTH($B$9),1),ROWS($F$6:F67)-1),IF(ROWS($F$6:F67)=DATEDIF(DATE(YEAR($B$9),MONTH($B$9),1),DATE(YEAR($B$10),MONTH($B$10),1),"m")+2,"ИТОГО",IF(ROWS($F$6:F67)=DATEDIF(DATE(YEAR($B$9),MONTH($B$9),1),DATE(YEAR($B$10),MONTH($B$10),1),"m")+3,"Отклонение графика платежей",""))))</f>
        <v/>
      </c>
      <c r="G67" s="65" t="str">
        <f>IF(F67="","",IF(ISNUMBER(F67),IF($B$19="","",MAX(0,N($B$19)-N(H67))),IF(F67="ИТОГО",SUM($G$6:INDEX($G:$G,ROW()-1)),"")))</f>
        <v/>
      </c>
      <c r="H67" s="65" t="str">
        <f>IF(F67="","",IF(ISNUMBER(F67),IF($B$22&lt;&gt;"Да",0,IF(OR($B$23="",$B$24="",$B$25="",$B$26="",$B$27=""),"",IF(AND(YEAR(F67)=YEAR($B$26),MONTH(F67)=MONTH($B$26)),$B$23,0))),IF(F67="ИТОГО",SUM($H$6:INDEX($H:$H,ROW()-1)),IF(F67="Отклонение графика платежей","Проверка",""))))</f>
        <v/>
      </c>
      <c r="I67" s="30" t="str" cm="1">
        <f t="array" ref="I67">IF(F67="","",IF(ISNUMBER(F67),SUM(G67:H67),IF(F67="ИТОГО",SUM($I$6:INDEX($I:$I,ROW()-1)),IF(F67="Отклонение графика платежей",IF($B$19="","",INDEX($I:$I,ROW()-1)-$B$19),""))))</f>
        <v/>
      </c>
      <c r="J67" s="30" t="str">
        <f>IF(F67="","",IF(ISNUMBER(F67),SUM($I$6:I67),IF(F67="ИТОГО",I67,IF(F67="Отклонение графика платежей",IF(I67="","ТРЕБУЕТСЯ ВВОД",IF(ABS(I67)&lt;0.01,"OK","ОШИБКА: график платежей не соответствует стоимости помещения")),""))))</f>
        <v/>
      </c>
      <c r="K67" s="30" t="str">
        <f t="shared" si="1"/>
        <v/>
      </c>
      <c r="P67" s="103"/>
    </row>
    <row r="68" spans="1:16" ht="25" customHeight="1" x14ac:dyDescent="0.2">
      <c r="A68" s="5" t="s">
        <v>159</v>
      </c>
      <c r="B68" s="61"/>
      <c r="C68" s="5" t="s">
        <v>160</v>
      </c>
      <c r="D68" s="6" t="s">
        <v>161</v>
      </c>
      <c r="E68" s="4"/>
      <c r="F68" s="39" t="str">
        <f>IF(OR($B$9="",$B$10="",$B$10&lt;$B$9),"",IF(ROWS($F$6:F68)&lt;=DATEDIF(DATE(YEAR($B$9),MONTH($B$9),1),DATE(YEAR($B$10),MONTH($B$10),1),"m")+1,EDATE(DATE(YEAR($B$9),MONTH($B$9),1),ROWS($F$6:F68)-1),IF(ROWS($F$6:F68)=DATEDIF(DATE(YEAR($B$9),MONTH($B$9),1),DATE(YEAR($B$10),MONTH($B$10),1),"m")+2,"ИТОГО",IF(ROWS($F$6:F68)=DATEDIF(DATE(YEAR($B$9),MONTH($B$9),1),DATE(YEAR($B$10),MONTH($B$10),1),"m")+3,"Отклонение графика платежей",""))))</f>
        <v/>
      </c>
      <c r="G68" s="65" t="str">
        <f>IF(F68="","",IF(ISNUMBER(F68),IF($B$19="","",MAX(0,N($B$19)-N(H68))),IF(F68="ИТОГО",SUM($G$6:INDEX($G:$G,ROW()-1)),"")))</f>
        <v/>
      </c>
      <c r="H68" s="65" t="str">
        <f>IF(F68="","",IF(ISNUMBER(F68),IF($B$22&lt;&gt;"Да",0,IF(OR($B$23="",$B$24="",$B$25="",$B$26="",$B$27=""),"",IF(AND(YEAR(F68)=YEAR($B$26),MONTH(F68)=MONTH($B$26)),$B$23,0))),IF(F68="ИТОГО",SUM($H$6:INDEX($H:$H,ROW()-1)),IF(F68="Отклонение графика платежей","Проверка",""))))</f>
        <v/>
      </c>
      <c r="I68" s="30" t="str" cm="1">
        <f t="array" ref="I68">IF(F68="","",IF(ISNUMBER(F68),SUM(G68:H68),IF(F68="ИТОГО",SUM($I$6:INDEX($I:$I,ROW()-1)),IF(F68="Отклонение графика платежей",IF($B$19="","",INDEX($I:$I,ROW()-1)-$B$19),""))))</f>
        <v/>
      </c>
      <c r="J68" s="30" t="str">
        <f>IF(F68="","",IF(ISNUMBER(F68),SUM($I$6:I68),IF(F68="ИТОГО",I68,IF(F68="Отклонение графика платежей",IF(I68="","ТРЕБУЕТСЯ ВВОД",IF(ABS(I68)&lt;0.01,"OK","ОШИБКА: график платежей не соответствует стоимости помещения")),""))))</f>
        <v/>
      </c>
      <c r="K68" s="30" t="str">
        <f t="shared" si="1"/>
        <v/>
      </c>
      <c r="P68" s="103"/>
    </row>
    <row r="69" spans="1:16" ht="25" customHeight="1" x14ac:dyDescent="0.2">
      <c r="A69" s="5" t="s">
        <v>162</v>
      </c>
      <c r="B69" s="60"/>
      <c r="C69" s="5" t="s">
        <v>22</v>
      </c>
      <c r="D69" s="6" t="s">
        <v>615</v>
      </c>
      <c r="E69" s="4"/>
      <c r="F69" s="39" t="str">
        <f>IF(OR($B$9="",$B$10="",$B$10&lt;$B$9),"",IF(ROWS($F$6:F69)&lt;=DATEDIF(DATE(YEAR($B$9),MONTH($B$9),1),DATE(YEAR($B$10),MONTH($B$10),1),"m")+1,EDATE(DATE(YEAR($B$9),MONTH($B$9),1),ROWS($F$6:F69)-1),IF(ROWS($F$6:F69)=DATEDIF(DATE(YEAR($B$9),MONTH($B$9),1),DATE(YEAR($B$10),MONTH($B$10),1),"m")+2,"ИТОГО",IF(ROWS($F$6:F69)=DATEDIF(DATE(YEAR($B$9),MONTH($B$9),1),DATE(YEAR($B$10),MONTH($B$10),1),"m")+3,"Отклонение графика платежей",""))))</f>
        <v/>
      </c>
      <c r="G69" s="65" t="str">
        <f>IF(F69="","",IF(ISNUMBER(F69),IF($B$19="","",MAX(0,N($B$19)-N(H69))),IF(F69="ИТОГО",SUM($G$6:INDEX($G:$G,ROW()-1)),"")))</f>
        <v/>
      </c>
      <c r="H69" s="65" t="str">
        <f>IF(F69="","",IF(ISNUMBER(F69),IF($B$22&lt;&gt;"Да",0,IF(OR($B$23="",$B$24="",$B$25="",$B$26="",$B$27=""),"",IF(AND(YEAR(F69)=YEAR($B$26),MONTH(F69)=MONTH($B$26)),$B$23,0))),IF(F69="ИТОГО",SUM($H$6:INDEX($H:$H,ROW()-1)),IF(F69="Отклонение графика платежей","Проверка",""))))</f>
        <v/>
      </c>
      <c r="I69" s="30" t="str" cm="1">
        <f t="array" ref="I69">IF(F69="","",IF(ISNUMBER(F69),SUM(G69:H69),IF(F69="ИТОГО",SUM($I$6:INDEX($I:$I,ROW()-1)),IF(F69="Отклонение графика платежей",IF($B$19="","",INDEX($I:$I,ROW()-1)-$B$19),""))))</f>
        <v/>
      </c>
      <c r="J69" s="30" t="str">
        <f>IF(F69="","",IF(ISNUMBER(F69),SUM($I$6:I69),IF(F69="ИТОГО",I69,IF(F69="Отклонение графика платежей",IF(I69="","ТРЕБУЕТСЯ ВВОД",IF(ABS(I69)&lt;0.01,"OK","ОШИБКА: график платежей не соответствует стоимости помещения")),""))))</f>
        <v/>
      </c>
      <c r="K69" s="30" t="str">
        <f t="shared" si="1"/>
        <v/>
      </c>
      <c r="P69" s="103"/>
    </row>
    <row r="70" spans="1:16" ht="25" customHeight="1" x14ac:dyDescent="0.2">
      <c r="A70" s="5"/>
      <c r="B70" s="5"/>
      <c r="C70" s="5"/>
      <c r="D70" s="6"/>
      <c r="E70" s="4"/>
      <c r="F70" s="39" t="str">
        <f>IF(OR($B$9="",$B$10="",$B$10&lt;$B$9),"",IF(ROWS($F$6:F70)&lt;=DATEDIF(DATE(YEAR($B$9),MONTH($B$9),1),DATE(YEAR($B$10),MONTH($B$10),1),"m")+1,EDATE(DATE(YEAR($B$9),MONTH($B$9),1),ROWS($F$6:F70)-1),IF(ROWS($F$6:F70)=DATEDIF(DATE(YEAR($B$9),MONTH($B$9),1),DATE(YEAR($B$10),MONTH($B$10),1),"m")+2,"ИТОГО",IF(ROWS($F$6:F70)=DATEDIF(DATE(YEAR($B$9),MONTH($B$9),1),DATE(YEAR($B$10),MONTH($B$10),1),"m")+3,"Отклонение графика платежей",""))))</f>
        <v/>
      </c>
      <c r="G70" s="65" t="str">
        <f>IF(F70="","",IF(ISNUMBER(F70),IF($B$19="","",MAX(0,N($B$19)-N(H70))),IF(F70="ИТОГО",SUM($G$6:INDEX($G:$G,ROW()-1)),"")))</f>
        <v/>
      </c>
      <c r="H70" s="65" t="str">
        <f>IF(F70="","",IF(ISNUMBER(F70),IF($B$22&lt;&gt;"Да",0,IF(OR($B$23="",$B$24="",$B$25="",$B$26="",$B$27=""),"",IF(AND(YEAR(F70)=YEAR($B$26),MONTH(F70)=MONTH($B$26)),$B$23,0))),IF(F70="ИТОГО",SUM($H$6:INDEX($H:$H,ROW()-1)),IF(F70="Отклонение графика платежей","Проверка",""))))</f>
        <v/>
      </c>
      <c r="I70" s="30" t="str" cm="1">
        <f t="array" ref="I70">IF(F70="","",IF(ISNUMBER(F70),SUM(G70:H70),IF(F70="ИТОГО",SUM($I$6:INDEX($I:$I,ROW()-1)),IF(F70="Отклонение графика платежей",IF($B$19="","",INDEX($I:$I,ROW()-1)-$B$19),""))))</f>
        <v/>
      </c>
      <c r="J70" s="30" t="str">
        <f>IF(F70="","",IF(ISNUMBER(F70),SUM($I$6:I70),IF(F70="ИТОГО",I70,IF(F70="Отклонение графика платежей",IF(I70="","ТРЕБУЕТСЯ ВВОД",IF(ABS(I70)&lt;0.01,"OK","ОШИБКА: график платежей не соответствует стоимости помещения")),""))))</f>
        <v/>
      </c>
      <c r="K70" s="30" t="str">
        <f t="shared" ref="K70:K101" si="2">IF(F70="","",IF(ISNUMBER(F70),IF($B$19="","",$B$19-J70),IF(F70="ИТОГО",IF($B$19="","",$B$19-I70),IF(F70="Отклонение графика платежей",I70,""))))</f>
        <v/>
      </c>
      <c r="P70" s="103"/>
    </row>
    <row r="71" spans="1:16" ht="25" customHeight="1" x14ac:dyDescent="0.2">
      <c r="A71" s="126" t="s">
        <v>409</v>
      </c>
      <c r="B71" s="126"/>
      <c r="C71" s="126"/>
      <c r="D71" s="127"/>
      <c r="E71" s="4"/>
      <c r="F71" s="39" t="str">
        <f>IF(OR($B$9="",$B$10="",$B$10&lt;$B$9),"",IF(ROWS($F$6:F71)&lt;=DATEDIF(DATE(YEAR($B$9),MONTH($B$9),1),DATE(YEAR($B$10),MONTH($B$10),1),"m")+1,EDATE(DATE(YEAR($B$9),MONTH($B$9),1),ROWS($F$6:F71)-1),IF(ROWS($F$6:F71)=DATEDIF(DATE(YEAR($B$9),MONTH($B$9),1),DATE(YEAR($B$10),MONTH($B$10),1),"m")+2,"ИТОГО",IF(ROWS($F$6:F71)=DATEDIF(DATE(YEAR($B$9),MONTH($B$9),1),DATE(YEAR($B$10),MONTH($B$10),1),"m")+3,"Отклонение графика платежей",""))))</f>
        <v/>
      </c>
      <c r="G71" s="65" t="str">
        <f>IF(F71="","",IF(ISNUMBER(F71),IF($B$19="","",MAX(0,N($B$19)-N(H71))),IF(F71="ИТОГО",SUM($G$6:INDEX($G:$G,ROW()-1)),"")))</f>
        <v/>
      </c>
      <c r="H71" s="65" t="str">
        <f>IF(F71="","",IF(ISNUMBER(F71),IF($B$22&lt;&gt;"Да",0,IF(OR($B$23="",$B$24="",$B$25="",$B$26="",$B$27=""),"",IF(AND(YEAR(F71)=YEAR($B$26),MONTH(F71)=MONTH($B$26)),$B$23,0))),IF(F71="ИТОГО",SUM($H$6:INDEX($H:$H,ROW()-1)),IF(F71="Отклонение графика платежей","Проверка",""))))</f>
        <v/>
      </c>
      <c r="I71" s="30" t="str" cm="1">
        <f t="array" ref="I71">IF(F71="","",IF(ISNUMBER(F71),SUM(G71:H71),IF(F71="ИТОГО",SUM($I$6:INDEX($I:$I,ROW()-1)),IF(F71="Отклонение графика платежей",IF($B$19="","",INDEX($I:$I,ROW()-1)-$B$19),""))))</f>
        <v/>
      </c>
      <c r="J71" s="30" t="str">
        <f>IF(F71="","",IF(ISNUMBER(F71),SUM($I$6:I71),IF(F71="ИТОГО",I71,IF(F71="Отклонение графика платежей",IF(I71="","ТРЕБУЕТСЯ ВВОД",IF(ABS(I71)&lt;0.01,"OK","ОШИБКА: график платежей не соответствует стоимости помещения")),""))))</f>
        <v/>
      </c>
      <c r="K71" s="30" t="str">
        <f t="shared" si="2"/>
        <v/>
      </c>
      <c r="P71" s="103"/>
    </row>
    <row r="72" spans="1:16" ht="25" customHeight="1" x14ac:dyDescent="0.2">
      <c r="A72" s="5" t="s">
        <v>163</v>
      </c>
      <c r="B72" s="56"/>
      <c r="C72" s="5" t="s">
        <v>19</v>
      </c>
      <c r="D72" s="6" t="s">
        <v>164</v>
      </c>
      <c r="E72" s="4"/>
      <c r="F72" s="39" t="str">
        <f>IF(OR($B$9="",$B$10="",$B$10&lt;$B$9),"",IF(ROWS($F$6:F72)&lt;=DATEDIF(DATE(YEAR($B$9),MONTH($B$9),1),DATE(YEAR($B$10),MONTH($B$10),1),"m")+1,EDATE(DATE(YEAR($B$9),MONTH($B$9),1),ROWS($F$6:F72)-1),IF(ROWS($F$6:F72)=DATEDIF(DATE(YEAR($B$9),MONTH($B$9),1),DATE(YEAR($B$10),MONTH($B$10),1),"m")+2,"ИТОГО",IF(ROWS($F$6:F72)=DATEDIF(DATE(YEAR($B$9),MONTH($B$9),1),DATE(YEAR($B$10),MONTH($B$10),1),"m")+3,"Отклонение графика платежей",""))))</f>
        <v/>
      </c>
      <c r="G72" s="65" t="str">
        <f>IF(F72="","",IF(ISNUMBER(F72),IF($B$19="","",MAX(0,N($B$19)-N(H72))),IF(F72="ИТОГО",SUM($G$6:INDEX($G:$G,ROW()-1)),"")))</f>
        <v/>
      </c>
      <c r="H72" s="65" t="str">
        <f>IF(F72="","",IF(ISNUMBER(F72),IF($B$22&lt;&gt;"Да",0,IF(OR($B$23="",$B$24="",$B$25="",$B$26="",$B$27=""),"",IF(AND(YEAR(F72)=YEAR($B$26),MONTH(F72)=MONTH($B$26)),$B$23,0))),IF(F72="ИТОГО",SUM($H$6:INDEX($H:$H,ROW()-1)),IF(F72="Отклонение графика платежей","Проверка",""))))</f>
        <v/>
      </c>
      <c r="I72" s="30" t="str" cm="1">
        <f t="array" ref="I72">IF(F72="","",IF(ISNUMBER(F72),SUM(G72:H72),IF(F72="ИТОГО",SUM($I$6:INDEX($I:$I,ROW()-1)),IF(F72="Отклонение графика платежей",IF($B$19="","",INDEX($I:$I,ROW()-1)-$B$19),""))))</f>
        <v/>
      </c>
      <c r="J72" s="30" t="str">
        <f>IF(F72="","",IF(ISNUMBER(F72),SUM($I$6:I72),IF(F72="ИТОГО",I72,IF(F72="Отклонение графика платежей",IF(I72="","ТРЕБУЕТСЯ ВВОД",IF(ABS(I72)&lt;0.01,"OK","ОШИБКА: график платежей не соответствует стоимости помещения")),""))))</f>
        <v/>
      </c>
      <c r="K72" s="30" t="str">
        <f t="shared" si="2"/>
        <v/>
      </c>
      <c r="P72" s="103"/>
    </row>
    <row r="73" spans="1:16" ht="25" customHeight="1" x14ac:dyDescent="0.2">
      <c r="A73" s="5" t="s">
        <v>165</v>
      </c>
      <c r="B73" s="56"/>
      <c r="C73" s="5" t="s">
        <v>19</v>
      </c>
      <c r="D73" s="6" t="s">
        <v>166</v>
      </c>
      <c r="E73" s="4"/>
      <c r="F73" s="39" t="str">
        <f>IF(OR($B$9="",$B$10="",$B$10&lt;$B$9),"",IF(ROWS($F$6:F73)&lt;=DATEDIF(DATE(YEAR($B$9),MONTH($B$9),1),DATE(YEAR($B$10),MONTH($B$10),1),"m")+1,EDATE(DATE(YEAR($B$9),MONTH($B$9),1),ROWS($F$6:F73)-1),IF(ROWS($F$6:F73)=DATEDIF(DATE(YEAR($B$9),MONTH($B$9),1),DATE(YEAR($B$10),MONTH($B$10),1),"m")+2,"ИТОГО",IF(ROWS($F$6:F73)=DATEDIF(DATE(YEAR($B$9),MONTH($B$9),1),DATE(YEAR($B$10),MONTH($B$10),1),"m")+3,"Отклонение графика платежей",""))))</f>
        <v/>
      </c>
      <c r="G73" s="65" t="str">
        <f>IF(F73="","",IF(ISNUMBER(F73),IF($B$19="","",MAX(0,N($B$19)-N(H73))),IF(F73="ИТОГО",SUM($G$6:INDEX($G:$G,ROW()-1)),"")))</f>
        <v/>
      </c>
      <c r="H73" s="65" t="str">
        <f>IF(F73="","",IF(ISNUMBER(F73),IF($B$22&lt;&gt;"Да",0,IF(OR($B$23="",$B$24="",$B$25="",$B$26="",$B$27=""),"",IF(AND(YEAR(F73)=YEAR($B$26),MONTH(F73)=MONTH($B$26)),$B$23,0))),IF(F73="ИТОГО",SUM($H$6:INDEX($H:$H,ROW()-1)),IF(F73="Отклонение графика платежей","Проверка",""))))</f>
        <v/>
      </c>
      <c r="I73" s="30" t="str" cm="1">
        <f t="array" ref="I73">IF(F73="","",IF(ISNUMBER(F73),SUM(G73:H73),IF(F73="ИТОГО",SUM($I$6:INDEX($I:$I,ROW()-1)),IF(F73="Отклонение графика платежей",IF($B$19="","",INDEX($I:$I,ROW()-1)-$B$19),""))))</f>
        <v/>
      </c>
      <c r="J73" s="30" t="str">
        <f>IF(F73="","",IF(ISNUMBER(F73),SUM($I$6:I73),IF(F73="ИТОГО",I73,IF(F73="Отклонение графика платежей",IF(I73="","ТРЕБУЕТСЯ ВВОД",IF(ABS(I73)&lt;0.01,"OK","ОШИБКА: график платежей не соответствует стоимости помещения")),""))))</f>
        <v/>
      </c>
      <c r="K73" s="30" t="str">
        <f t="shared" si="2"/>
        <v/>
      </c>
      <c r="P73" s="103"/>
    </row>
    <row r="74" spans="1:16" ht="25" customHeight="1" x14ac:dyDescent="0.2">
      <c r="A74" s="5" t="s">
        <v>167</v>
      </c>
      <c r="B74" s="57"/>
      <c r="C74" s="5" t="s">
        <v>141</v>
      </c>
      <c r="D74" s="6" t="s">
        <v>168</v>
      </c>
      <c r="E74" s="4"/>
      <c r="F74" s="39" t="str">
        <f>IF(OR($B$9="",$B$10="",$B$10&lt;$B$9),"",IF(ROWS($F$6:F74)&lt;=DATEDIF(DATE(YEAR($B$9),MONTH($B$9),1),DATE(YEAR($B$10),MONTH($B$10),1),"m")+1,EDATE(DATE(YEAR($B$9),MONTH($B$9),1),ROWS($F$6:F74)-1),IF(ROWS($F$6:F74)=DATEDIF(DATE(YEAR($B$9),MONTH($B$9),1),DATE(YEAR($B$10),MONTH($B$10),1),"m")+2,"ИТОГО",IF(ROWS($F$6:F74)=DATEDIF(DATE(YEAR($B$9),MONTH($B$9),1),DATE(YEAR($B$10),MONTH($B$10),1),"m")+3,"Отклонение графика платежей",""))))</f>
        <v/>
      </c>
      <c r="G74" s="65" t="str">
        <f>IF(F74="","",IF(ISNUMBER(F74),IF($B$19="","",MAX(0,N($B$19)-N(H74))),IF(F74="ИТОГО",SUM($G$6:INDEX($G:$G,ROW()-1)),"")))</f>
        <v/>
      </c>
      <c r="H74" s="65" t="str">
        <f>IF(F74="","",IF(ISNUMBER(F74),IF($B$22&lt;&gt;"Да",0,IF(OR($B$23="",$B$24="",$B$25="",$B$26="",$B$27=""),"",IF(AND(YEAR(F74)=YEAR($B$26),MONTH(F74)=MONTH($B$26)),$B$23,0))),IF(F74="ИТОГО",SUM($H$6:INDEX($H:$H,ROW()-1)),IF(F74="Отклонение графика платежей","Проверка",""))))</f>
        <v/>
      </c>
      <c r="I74" s="30" t="str" cm="1">
        <f t="array" ref="I74">IF(F74="","",IF(ISNUMBER(F74),SUM(G74:H74),IF(F74="ИТОГО",SUM($I$6:INDEX($I:$I,ROW()-1)),IF(F74="Отклонение графика платежей",IF($B$19="","",INDEX($I:$I,ROW()-1)-$B$19),""))))</f>
        <v/>
      </c>
      <c r="J74" s="30" t="str">
        <f>IF(F74="","",IF(ISNUMBER(F74),SUM($I$6:I74),IF(F74="ИТОГО",I74,IF(F74="Отклонение графика платежей",IF(I74="","ТРЕБУЕТСЯ ВВОД",IF(ABS(I74)&lt;0.01,"OK","ОШИБКА: график платежей не соответствует стоимости помещения")),""))))</f>
        <v/>
      </c>
      <c r="K74" s="30" t="str">
        <f t="shared" si="2"/>
        <v/>
      </c>
      <c r="P74" s="103"/>
    </row>
    <row r="75" spans="1:16" ht="25" customHeight="1" x14ac:dyDescent="0.2">
      <c r="A75" s="5" t="s">
        <v>169</v>
      </c>
      <c r="B75" s="56"/>
      <c r="C75" s="5" t="s">
        <v>88</v>
      </c>
      <c r="D75" s="6" t="s">
        <v>170</v>
      </c>
      <c r="E75" s="4"/>
      <c r="F75" s="39" t="str">
        <f>IF(OR($B$9="",$B$10="",$B$10&lt;$B$9),"",IF(ROWS($F$6:F75)&lt;=DATEDIF(DATE(YEAR($B$9),MONTH($B$9),1),DATE(YEAR($B$10),MONTH($B$10),1),"m")+1,EDATE(DATE(YEAR($B$9),MONTH($B$9),1),ROWS($F$6:F75)-1),IF(ROWS($F$6:F75)=DATEDIF(DATE(YEAR($B$9),MONTH($B$9),1),DATE(YEAR($B$10),MONTH($B$10),1),"m")+2,"ИТОГО",IF(ROWS($F$6:F75)=DATEDIF(DATE(YEAR($B$9),MONTH($B$9),1),DATE(YEAR($B$10),MONTH($B$10),1),"m")+3,"Отклонение графика платежей",""))))</f>
        <v/>
      </c>
      <c r="G75" s="65" t="str">
        <f>IF(F75="","",IF(ISNUMBER(F75),IF($B$19="","",MAX(0,N($B$19)-N(H75))),IF(F75="ИТОГО",SUM($G$6:INDEX($G:$G,ROW()-1)),"")))</f>
        <v/>
      </c>
      <c r="H75" s="65" t="str">
        <f>IF(F75="","",IF(ISNUMBER(F75),IF($B$22&lt;&gt;"Да",0,IF(OR($B$23="",$B$24="",$B$25="",$B$26="",$B$27=""),"",IF(AND(YEAR(F75)=YEAR($B$26),MONTH(F75)=MONTH($B$26)),$B$23,0))),IF(F75="ИТОГО",SUM($H$6:INDEX($H:$H,ROW()-1)),IF(F75="Отклонение графика платежей","Проверка",""))))</f>
        <v/>
      </c>
      <c r="I75" s="30" t="str" cm="1">
        <f t="array" ref="I75">IF(F75="","",IF(ISNUMBER(F75),SUM(G75:H75),IF(F75="ИТОГО",SUM($I$6:INDEX($I:$I,ROW()-1)),IF(F75="Отклонение графика платежей",IF($B$19="","",INDEX($I:$I,ROW()-1)-$B$19),""))))</f>
        <v/>
      </c>
      <c r="J75" s="30" t="str">
        <f>IF(F75="","",IF(ISNUMBER(F75),SUM($I$6:I75),IF(F75="ИТОГО",I75,IF(F75="Отклонение графика платежей",IF(I75="","ТРЕБУЕТСЯ ВВОД",IF(ABS(I75)&lt;0.01,"OK","ОШИБКА: график платежей не соответствует стоимости помещения")),""))))</f>
        <v/>
      </c>
      <c r="K75" s="30" t="str">
        <f t="shared" si="2"/>
        <v/>
      </c>
      <c r="P75" s="103"/>
    </row>
    <row r="76" spans="1:16" ht="25" customHeight="1" x14ac:dyDescent="0.2">
      <c r="A76" s="5" t="s">
        <v>171</v>
      </c>
      <c r="B76" s="60"/>
      <c r="C76" s="5" t="s">
        <v>22</v>
      </c>
      <c r="D76" s="6" t="s">
        <v>615</v>
      </c>
      <c r="E76" s="4"/>
      <c r="F76" s="39" t="str">
        <f>IF(OR($B$9="",$B$10="",$B$10&lt;$B$9),"",IF(ROWS($F$6:F76)&lt;=DATEDIF(DATE(YEAR($B$9),MONTH($B$9),1),DATE(YEAR($B$10),MONTH($B$10),1),"m")+1,EDATE(DATE(YEAR($B$9),MONTH($B$9),1),ROWS($F$6:F76)-1),IF(ROWS($F$6:F76)=DATEDIF(DATE(YEAR($B$9),MONTH($B$9),1),DATE(YEAR($B$10),MONTH($B$10),1),"m")+2,"ИТОГО",IF(ROWS($F$6:F76)=DATEDIF(DATE(YEAR($B$9),MONTH($B$9),1),DATE(YEAR($B$10),MONTH($B$10),1),"m")+3,"Отклонение графика платежей",""))))</f>
        <v/>
      </c>
      <c r="G76" s="65" t="str">
        <f>IF(F76="","",IF(ISNUMBER(F76),IF($B$19="","",MAX(0,N($B$19)-N(H76))),IF(F76="ИТОГО",SUM($G$6:INDEX($G:$G,ROW()-1)),"")))</f>
        <v/>
      </c>
      <c r="H76" s="65" t="str">
        <f>IF(F76="","",IF(ISNUMBER(F76),IF($B$22&lt;&gt;"Да",0,IF(OR($B$23="",$B$24="",$B$25="",$B$26="",$B$27=""),"",IF(AND(YEAR(F76)=YEAR($B$26),MONTH(F76)=MONTH($B$26)),$B$23,0))),IF(F76="ИТОГО",SUM($H$6:INDEX($H:$H,ROW()-1)),IF(F76="Отклонение графика платежей","Проверка",""))))</f>
        <v/>
      </c>
      <c r="I76" s="30" t="str" cm="1">
        <f t="array" ref="I76">IF(F76="","",IF(ISNUMBER(F76),SUM(G76:H76),IF(F76="ИТОГО",SUM($I$6:INDEX($I:$I,ROW()-1)),IF(F76="Отклонение графика платежей",IF($B$19="","",INDEX($I:$I,ROW()-1)-$B$19),""))))</f>
        <v/>
      </c>
      <c r="J76" s="30" t="str">
        <f>IF(F76="","",IF(ISNUMBER(F76),SUM($I$6:I76),IF(F76="ИТОГО",I76,IF(F76="Отклонение графика платежей",IF(I76="","ТРЕБУЕТСЯ ВВОД",IF(ABS(I76)&lt;0.01,"OK","ОШИБКА: график платежей не соответствует стоимости помещения")),""))))</f>
        <v/>
      </c>
      <c r="K76" s="30" t="str">
        <f t="shared" si="2"/>
        <v/>
      </c>
      <c r="P76" s="103"/>
    </row>
    <row r="77" spans="1:16" ht="25" customHeight="1" x14ac:dyDescent="0.2">
      <c r="A77" s="5"/>
      <c r="B77" s="5"/>
      <c r="C77" s="5"/>
      <c r="D77" s="6"/>
      <c r="E77" s="4"/>
      <c r="F77" s="39" t="str">
        <f>IF(OR($B$9="",$B$10="",$B$10&lt;$B$9),"",IF(ROWS($F$6:F77)&lt;=DATEDIF(DATE(YEAR($B$9),MONTH($B$9),1),DATE(YEAR($B$10),MONTH($B$10),1),"m")+1,EDATE(DATE(YEAR($B$9),MONTH($B$9),1),ROWS($F$6:F77)-1),IF(ROWS($F$6:F77)=DATEDIF(DATE(YEAR($B$9),MONTH($B$9),1),DATE(YEAR($B$10),MONTH($B$10),1),"m")+2,"ИТОГО",IF(ROWS($F$6:F77)=DATEDIF(DATE(YEAR($B$9),MONTH($B$9),1),DATE(YEAR($B$10),MONTH($B$10),1),"m")+3,"Отклонение графика платежей",""))))</f>
        <v/>
      </c>
      <c r="G77" s="65" t="str">
        <f>IF(F77="","",IF(ISNUMBER(F77),IF($B$19="","",MAX(0,N($B$19)-N(H77))),IF(F77="ИТОГО",SUM($G$6:INDEX($G:$G,ROW()-1)),"")))</f>
        <v/>
      </c>
      <c r="H77" s="65" t="str">
        <f>IF(F77="","",IF(ISNUMBER(F77),IF($B$22&lt;&gt;"Да",0,IF(OR($B$23="",$B$24="",$B$25="",$B$26="",$B$27=""),"",IF(AND(YEAR(F77)=YEAR($B$26),MONTH(F77)=MONTH($B$26)),$B$23,0))),IF(F77="ИТОГО",SUM($H$6:INDEX($H:$H,ROW()-1)),IF(F77="Отклонение графика платежей","Проверка",""))))</f>
        <v/>
      </c>
      <c r="I77" s="30" t="str" cm="1">
        <f t="array" ref="I77">IF(F77="","",IF(ISNUMBER(F77),SUM(G77:H77),IF(F77="ИТОГО",SUM($I$6:INDEX($I:$I,ROW()-1)),IF(F77="Отклонение графика платежей",IF($B$19="","",INDEX($I:$I,ROW()-1)-$B$19),""))))</f>
        <v/>
      </c>
      <c r="J77" s="30" t="str">
        <f>IF(F77="","",IF(ISNUMBER(F77),SUM($I$6:I77),IF(F77="ИТОГО",I77,IF(F77="Отклонение графика платежей",IF(I77="","ТРЕБУЕТСЯ ВВОД",IF(ABS(I77)&lt;0.01,"OK","ОШИБКА: график платежей не соответствует стоимости помещения")),""))))</f>
        <v/>
      </c>
      <c r="K77" s="30" t="str">
        <f t="shared" si="2"/>
        <v/>
      </c>
      <c r="P77" s="103"/>
    </row>
    <row r="78" spans="1:16" ht="25" customHeight="1" x14ac:dyDescent="0.2">
      <c r="A78" s="126" t="s">
        <v>410</v>
      </c>
      <c r="B78" s="126"/>
      <c r="C78" s="126"/>
      <c r="D78" s="127"/>
      <c r="E78" s="4"/>
      <c r="F78" s="39" t="str">
        <f>IF(OR($B$9="",$B$10="",$B$10&lt;$B$9),"",IF(ROWS($F$6:F78)&lt;=DATEDIF(DATE(YEAR($B$9),MONTH($B$9),1),DATE(YEAR($B$10),MONTH($B$10),1),"m")+1,EDATE(DATE(YEAR($B$9),MONTH($B$9),1),ROWS($F$6:F78)-1),IF(ROWS($F$6:F78)=DATEDIF(DATE(YEAR($B$9),MONTH($B$9),1),DATE(YEAR($B$10),MONTH($B$10),1),"m")+2,"ИТОГО",IF(ROWS($F$6:F78)=DATEDIF(DATE(YEAR($B$9),MONTH($B$9),1),DATE(YEAR($B$10),MONTH($B$10),1),"m")+3,"Отклонение графика платежей",""))))</f>
        <v/>
      </c>
      <c r="G78" s="65" t="str">
        <f>IF(F78="","",IF(ISNUMBER(F78),IF($B$19="","",MAX(0,N($B$19)-N(H78))),IF(F78="ИТОГО",SUM($G$6:INDEX($G:$G,ROW()-1)),"")))</f>
        <v/>
      </c>
      <c r="H78" s="65" t="str">
        <f>IF(F78="","",IF(ISNUMBER(F78),IF($B$22&lt;&gt;"Да",0,IF(OR($B$23="",$B$24="",$B$25="",$B$26="",$B$27=""),"",IF(AND(YEAR(F78)=YEAR($B$26),MONTH(F78)=MONTH($B$26)),$B$23,0))),IF(F78="ИТОГО",SUM($H$6:INDEX($H:$H,ROW()-1)),IF(F78="Отклонение графика платежей","Проверка",""))))</f>
        <v/>
      </c>
      <c r="I78" s="30" t="str" cm="1">
        <f t="array" ref="I78">IF(F78="","",IF(ISNUMBER(F78),SUM(G78:H78),IF(F78="ИТОГО",SUM($I$6:INDEX($I:$I,ROW()-1)),IF(F78="Отклонение графика платежей",IF($B$19="","",INDEX($I:$I,ROW()-1)-$B$19),""))))</f>
        <v/>
      </c>
      <c r="J78" s="30" t="str">
        <f>IF(F78="","",IF(ISNUMBER(F78),SUM($I$6:I78),IF(F78="ИТОГО",I78,IF(F78="Отклонение графика платежей",IF(I78="","ТРЕБУЕТСЯ ВВОД",IF(ABS(I78)&lt;0.01,"OK","ОШИБКА: график платежей не соответствует стоимости помещения")),""))))</f>
        <v/>
      </c>
      <c r="K78" s="30" t="str">
        <f t="shared" si="2"/>
        <v/>
      </c>
      <c r="P78" s="103"/>
    </row>
    <row r="79" spans="1:16" ht="25" customHeight="1" x14ac:dyDescent="0.2">
      <c r="A79" s="5" t="s">
        <v>24</v>
      </c>
      <c r="B79" s="58"/>
      <c r="C79" s="5" t="s">
        <v>172</v>
      </c>
      <c r="D79" s="6" t="s">
        <v>173</v>
      </c>
      <c r="E79" s="4"/>
      <c r="F79" s="39" t="str">
        <f>IF(OR($B$9="",$B$10="",$B$10&lt;$B$9),"",IF(ROWS($F$6:F79)&lt;=DATEDIF(DATE(YEAR($B$9),MONTH($B$9),1),DATE(YEAR($B$10),MONTH($B$10),1),"m")+1,EDATE(DATE(YEAR($B$9),MONTH($B$9),1),ROWS($F$6:F79)-1),IF(ROWS($F$6:F79)=DATEDIF(DATE(YEAR($B$9),MONTH($B$9),1),DATE(YEAR($B$10),MONTH($B$10),1),"m")+2,"ИТОГО",IF(ROWS($F$6:F79)=DATEDIF(DATE(YEAR($B$9),MONTH($B$9),1),DATE(YEAR($B$10),MONTH($B$10),1),"m")+3,"Отклонение графика платежей",""))))</f>
        <v/>
      </c>
      <c r="G79" s="65" t="str">
        <f>IF(F79="","",IF(ISNUMBER(F79),IF($B$19="","",MAX(0,N($B$19)-N(H79))),IF(F79="ИТОГО",SUM($G$6:INDEX($G:$G,ROW()-1)),"")))</f>
        <v/>
      </c>
      <c r="H79" s="65" t="str">
        <f>IF(F79="","",IF(ISNUMBER(F79),IF($B$22&lt;&gt;"Да",0,IF(OR($B$23="",$B$24="",$B$25="",$B$26="",$B$27=""),"",IF(AND(YEAR(F79)=YEAR($B$26),MONTH(F79)=MONTH($B$26)),$B$23,0))),IF(F79="ИТОГО",SUM($H$6:INDEX($H:$H,ROW()-1)),IF(F79="Отклонение графика платежей","Проверка",""))))</f>
        <v/>
      </c>
      <c r="I79" s="30" t="str" cm="1">
        <f t="array" ref="I79">IF(F79="","",IF(ISNUMBER(F79),SUM(G79:H79),IF(F79="ИТОГО",SUM($I$6:INDEX($I:$I,ROW()-1)),IF(F79="Отклонение графика платежей",IF($B$19="","",INDEX($I:$I,ROW()-1)-$B$19),""))))</f>
        <v/>
      </c>
      <c r="J79" s="30" t="str">
        <f>IF(F79="","",IF(ISNUMBER(F79),SUM($I$6:I79),IF(F79="ИТОГО",I79,IF(F79="Отклонение графика платежей",IF(I79="","ТРЕБУЕТСЯ ВВОД",IF(ABS(I79)&lt;0.01,"OK","ОШИБКА: график платежей не соответствует стоимости помещения")),""))))</f>
        <v/>
      </c>
      <c r="K79" s="30" t="str">
        <f t="shared" si="2"/>
        <v/>
      </c>
      <c r="P79" s="103"/>
    </row>
    <row r="80" spans="1:16" ht="25" customHeight="1" x14ac:dyDescent="0.2">
      <c r="A80" s="5" t="s">
        <v>174</v>
      </c>
      <c r="B80" s="56"/>
      <c r="C80" s="5" t="s">
        <v>19</v>
      </c>
      <c r="D80" s="6" t="s">
        <v>175</v>
      </c>
      <c r="E80" s="4"/>
      <c r="F80" s="39" t="str">
        <f>IF(OR($B$9="",$B$10="",$B$10&lt;$B$9),"",IF(ROWS($F$6:F80)&lt;=DATEDIF(DATE(YEAR($B$9),MONTH($B$9),1),DATE(YEAR($B$10),MONTH($B$10),1),"m")+1,EDATE(DATE(YEAR($B$9),MONTH($B$9),1),ROWS($F$6:F80)-1),IF(ROWS($F$6:F80)=DATEDIF(DATE(YEAR($B$9),MONTH($B$9),1),DATE(YEAR($B$10),MONTH($B$10),1),"m")+2,"ИТОГО",IF(ROWS($F$6:F80)=DATEDIF(DATE(YEAR($B$9),MONTH($B$9),1),DATE(YEAR($B$10),MONTH($B$10),1),"m")+3,"Отклонение графика платежей",""))))</f>
        <v/>
      </c>
      <c r="G80" s="65" t="str">
        <f>IF(F80="","",IF(ISNUMBER(F80),IF($B$19="","",MAX(0,N($B$19)-N(H80))),IF(F80="ИТОГО",SUM($G$6:INDEX($G:$G,ROW()-1)),"")))</f>
        <v/>
      </c>
      <c r="H80" s="65" t="str">
        <f>IF(F80="","",IF(ISNUMBER(F80),IF($B$22&lt;&gt;"Да",0,IF(OR($B$23="",$B$24="",$B$25="",$B$26="",$B$27=""),"",IF(AND(YEAR(F80)=YEAR($B$26),MONTH(F80)=MONTH($B$26)),$B$23,0))),IF(F80="ИТОГО",SUM($H$6:INDEX($H:$H,ROW()-1)),IF(F80="Отклонение графика платежей","Проверка",""))))</f>
        <v/>
      </c>
      <c r="I80" s="30" t="str" cm="1">
        <f t="array" ref="I80">IF(F80="","",IF(ISNUMBER(F80),SUM(G80:H80),IF(F80="ИТОГО",SUM($I$6:INDEX($I:$I,ROW()-1)),IF(F80="Отклонение графика платежей",IF($B$19="","",INDEX($I:$I,ROW()-1)-$B$19),""))))</f>
        <v/>
      </c>
      <c r="J80" s="30" t="str">
        <f>IF(F80="","",IF(ISNUMBER(F80),SUM($I$6:I80),IF(F80="ИТОГО",I80,IF(F80="Отклонение графика платежей",IF(I80="","ТРЕБУЕТСЯ ВВОД",IF(ABS(I80)&lt;0.01,"OK","ОШИБКА: график платежей не соответствует стоимости помещения")),""))))</f>
        <v/>
      </c>
      <c r="K80" s="30" t="str">
        <f t="shared" si="2"/>
        <v/>
      </c>
      <c r="P80" s="103"/>
    </row>
    <row r="81" spans="1:16" ht="25" customHeight="1" x14ac:dyDescent="0.2">
      <c r="A81" s="5" t="s">
        <v>176</v>
      </c>
      <c r="B81" s="56"/>
      <c r="C81" s="5" t="s">
        <v>19</v>
      </c>
      <c r="D81" s="6" t="s">
        <v>177</v>
      </c>
      <c r="E81" s="4"/>
      <c r="F81" s="39" t="str">
        <f>IF(OR($B$9="",$B$10="",$B$10&lt;$B$9),"",IF(ROWS($F$6:F81)&lt;=DATEDIF(DATE(YEAR($B$9),MONTH($B$9),1),DATE(YEAR($B$10),MONTH($B$10),1),"m")+1,EDATE(DATE(YEAR($B$9),MONTH($B$9),1),ROWS($F$6:F81)-1),IF(ROWS($F$6:F81)=DATEDIF(DATE(YEAR($B$9),MONTH($B$9),1),DATE(YEAR($B$10),MONTH($B$10),1),"m")+2,"ИТОГО",IF(ROWS($F$6:F81)=DATEDIF(DATE(YEAR($B$9),MONTH($B$9),1),DATE(YEAR($B$10),MONTH($B$10),1),"m")+3,"Отклонение графика платежей",""))))</f>
        <v/>
      </c>
      <c r="G81" s="65" t="str">
        <f>IF(F81="","",IF(ISNUMBER(F81),IF($B$19="","",MAX(0,N($B$19)-N(H81))),IF(F81="ИТОГО",SUM($G$6:INDEX($G:$G,ROW()-1)),"")))</f>
        <v/>
      </c>
      <c r="H81" s="65" t="str">
        <f>IF(F81="","",IF(ISNUMBER(F81),IF($B$22&lt;&gt;"Да",0,IF(OR($B$23="",$B$24="",$B$25="",$B$26="",$B$27=""),"",IF(AND(YEAR(F81)=YEAR($B$26),MONTH(F81)=MONTH($B$26)),$B$23,0))),IF(F81="ИТОГО",SUM($H$6:INDEX($H:$H,ROW()-1)),IF(F81="Отклонение графика платежей","Проверка",""))))</f>
        <v/>
      </c>
      <c r="I81" s="30" t="str" cm="1">
        <f t="array" ref="I81">IF(F81="","",IF(ISNUMBER(F81),SUM(G81:H81),IF(F81="ИТОГО",SUM($I$6:INDEX($I:$I,ROW()-1)),IF(F81="Отклонение графика платежей",IF($B$19="","",INDEX($I:$I,ROW()-1)-$B$19),""))))</f>
        <v/>
      </c>
      <c r="J81" s="30" t="str">
        <f>IF(F81="","",IF(ISNUMBER(F81),SUM($I$6:I81),IF(F81="ИТОГО",I81,IF(F81="Отклонение графика платежей",IF(I81="","ТРЕБУЕТСЯ ВВОД",IF(ABS(I81)&lt;0.01,"OK","ОШИБКА: график платежей не соответствует стоимости помещения")),""))))</f>
        <v/>
      </c>
      <c r="K81" s="30" t="str">
        <f t="shared" si="2"/>
        <v/>
      </c>
      <c r="P81" s="103"/>
    </row>
    <row r="82" spans="1:16" ht="25" customHeight="1" x14ac:dyDescent="0.2">
      <c r="A82" s="5" t="s">
        <v>178</v>
      </c>
      <c r="B82" s="56"/>
      <c r="C82" s="5" t="s">
        <v>48</v>
      </c>
      <c r="D82" s="6" t="s">
        <v>179</v>
      </c>
      <c r="E82" s="4"/>
      <c r="F82" s="39" t="str">
        <f>IF(OR($B$9="",$B$10="",$B$10&lt;$B$9),"",IF(ROWS($F$6:F82)&lt;=DATEDIF(DATE(YEAR($B$9),MONTH($B$9),1),DATE(YEAR($B$10),MONTH($B$10),1),"m")+1,EDATE(DATE(YEAR($B$9),MONTH($B$9),1),ROWS($F$6:F82)-1),IF(ROWS($F$6:F82)=DATEDIF(DATE(YEAR($B$9),MONTH($B$9),1),DATE(YEAR($B$10),MONTH($B$10),1),"m")+2,"ИТОГО",IF(ROWS($F$6:F82)=DATEDIF(DATE(YEAR($B$9),MONTH($B$9),1),DATE(YEAR($B$10),MONTH($B$10),1),"m")+3,"Отклонение графика платежей",""))))</f>
        <v/>
      </c>
      <c r="G82" s="65" t="str">
        <f>IF(F82="","",IF(ISNUMBER(F82),IF($B$19="","",MAX(0,N($B$19)-N(H82))),IF(F82="ИТОГО",SUM($G$6:INDEX($G:$G,ROW()-1)),"")))</f>
        <v/>
      </c>
      <c r="H82" s="65" t="str">
        <f>IF(F82="","",IF(ISNUMBER(F82),IF($B$22&lt;&gt;"Да",0,IF(OR($B$23="",$B$24="",$B$25="",$B$26="",$B$27=""),"",IF(AND(YEAR(F82)=YEAR($B$26),MONTH(F82)=MONTH($B$26)),$B$23,0))),IF(F82="ИТОГО",SUM($H$6:INDEX($H:$H,ROW()-1)),IF(F82="Отклонение графика платежей","Проверка",""))))</f>
        <v/>
      </c>
      <c r="I82" s="30" t="str" cm="1">
        <f t="array" ref="I82">IF(F82="","",IF(ISNUMBER(F82),SUM(G82:H82),IF(F82="ИТОГО",SUM($I$6:INDEX($I:$I,ROW()-1)),IF(F82="Отклонение графика платежей",IF($B$19="","",INDEX($I:$I,ROW()-1)-$B$19),""))))</f>
        <v/>
      </c>
      <c r="J82" s="30" t="str">
        <f>IF(F82="","",IF(ISNUMBER(F82),SUM($I$6:I82),IF(F82="ИТОГО",I82,IF(F82="Отклонение графика платежей",IF(I82="","ТРЕБУЕТСЯ ВВОД",IF(ABS(I82)&lt;0.01,"OK","ОШИБКА: график платежей не соответствует стоимости помещения")),""))))</f>
        <v/>
      </c>
      <c r="K82" s="30" t="str">
        <f t="shared" si="2"/>
        <v/>
      </c>
      <c r="P82" s="103"/>
    </row>
    <row r="83" spans="1:16" ht="25" customHeight="1" x14ac:dyDescent="0.2">
      <c r="A83" s="5" t="s">
        <v>180</v>
      </c>
      <c r="B83" s="56"/>
      <c r="C83" s="5" t="s">
        <v>19</v>
      </c>
      <c r="D83" s="6" t="s">
        <v>181</v>
      </c>
      <c r="E83" s="4"/>
      <c r="F83" s="39" t="str">
        <f>IF(OR($B$9="",$B$10="",$B$10&lt;$B$9),"",IF(ROWS($F$6:F83)&lt;=DATEDIF(DATE(YEAR($B$9),MONTH($B$9),1),DATE(YEAR($B$10),MONTH($B$10),1),"m")+1,EDATE(DATE(YEAR($B$9),MONTH($B$9),1),ROWS($F$6:F83)-1),IF(ROWS($F$6:F83)=DATEDIF(DATE(YEAR($B$9),MONTH($B$9),1),DATE(YEAR($B$10),MONTH($B$10),1),"m")+2,"ИТОГО",IF(ROWS($F$6:F83)=DATEDIF(DATE(YEAR($B$9),MONTH($B$9),1),DATE(YEAR($B$10),MONTH($B$10),1),"m")+3,"Отклонение графика платежей",""))))</f>
        <v/>
      </c>
      <c r="G83" s="65" t="str">
        <f>IF(F83="","",IF(ISNUMBER(F83),IF($B$19="","",MAX(0,N($B$19)-N(H83))),IF(F83="ИТОГО",SUM($G$6:INDEX($G:$G,ROW()-1)),"")))</f>
        <v/>
      </c>
      <c r="H83" s="65" t="str">
        <f>IF(F83="","",IF(ISNUMBER(F83),IF($B$22&lt;&gt;"Да",0,IF(OR($B$23="",$B$24="",$B$25="",$B$26="",$B$27=""),"",IF(AND(YEAR(F83)=YEAR($B$26),MONTH(F83)=MONTH($B$26)),$B$23,0))),IF(F83="ИТОГО",SUM($H$6:INDEX($H:$H,ROW()-1)),IF(F83="Отклонение графика платежей","Проверка",""))))</f>
        <v/>
      </c>
      <c r="I83" s="30" t="str" cm="1">
        <f t="array" ref="I83">IF(F83="","",IF(ISNUMBER(F83),SUM(G83:H83),IF(F83="ИТОГО",SUM($I$6:INDEX($I:$I,ROW()-1)),IF(F83="Отклонение графика платежей",IF($B$19="","",INDEX($I:$I,ROW()-1)-$B$19),""))))</f>
        <v/>
      </c>
      <c r="J83" s="30" t="str">
        <f>IF(F83="","",IF(ISNUMBER(F83),SUM($I$6:I83),IF(F83="ИТОГО",I83,IF(F83="Отклонение графика платежей",IF(I83="","ТРЕБУЕТСЯ ВВОД",IF(ABS(I83)&lt;0.01,"OK","ОШИБКА: график платежей не соответствует стоимости помещения")),""))))</f>
        <v/>
      </c>
      <c r="K83" s="30" t="str">
        <f t="shared" si="2"/>
        <v/>
      </c>
      <c r="P83" s="103"/>
    </row>
    <row r="84" spans="1:16" ht="25" customHeight="1" x14ac:dyDescent="0.2">
      <c r="A84" s="5" t="s">
        <v>182</v>
      </c>
      <c r="B84" s="52"/>
      <c r="C84" s="5" t="s">
        <v>62</v>
      </c>
      <c r="D84" s="6" t="s">
        <v>183</v>
      </c>
      <c r="E84" s="4"/>
      <c r="F84" s="39" t="str">
        <f>IF(OR($B$9="",$B$10="",$B$10&lt;$B$9),"",IF(ROWS($F$6:F84)&lt;=DATEDIF(DATE(YEAR($B$9),MONTH($B$9),1),DATE(YEAR($B$10),MONTH($B$10),1),"m")+1,EDATE(DATE(YEAR($B$9),MONTH($B$9),1),ROWS($F$6:F84)-1),IF(ROWS($F$6:F84)=DATEDIF(DATE(YEAR($B$9),MONTH($B$9),1),DATE(YEAR($B$10),MONTH($B$10),1),"m")+2,"ИТОГО",IF(ROWS($F$6:F84)=DATEDIF(DATE(YEAR($B$9),MONTH($B$9),1),DATE(YEAR($B$10),MONTH($B$10),1),"m")+3,"Отклонение графика платежей",""))))</f>
        <v/>
      </c>
      <c r="G84" s="65" t="str">
        <f>IF(F84="","",IF(ISNUMBER(F84),IF($B$19="","",MAX(0,N($B$19)-N(H84))),IF(F84="ИТОГО",SUM($G$6:INDEX($G:$G,ROW()-1)),"")))</f>
        <v/>
      </c>
      <c r="H84" s="65" t="str">
        <f>IF(F84="","",IF(ISNUMBER(F84),IF($B$22&lt;&gt;"Да",0,IF(OR($B$23="",$B$24="",$B$25="",$B$26="",$B$27=""),"",IF(AND(YEAR(F84)=YEAR($B$26),MONTH(F84)=MONTH($B$26)),$B$23,0))),IF(F84="ИТОГО",SUM($H$6:INDEX($H:$H,ROW()-1)),IF(F84="Отклонение графика платежей","Проверка",""))))</f>
        <v/>
      </c>
      <c r="I84" s="30" t="str" cm="1">
        <f t="array" ref="I84">IF(F84="","",IF(ISNUMBER(F84),SUM(G84:H84),IF(F84="ИТОГО",SUM($I$6:INDEX($I:$I,ROW()-1)),IF(F84="Отклонение графика платежей",IF($B$19="","",INDEX($I:$I,ROW()-1)-$B$19),""))))</f>
        <v/>
      </c>
      <c r="J84" s="30" t="str">
        <f>IF(F84="","",IF(ISNUMBER(F84),SUM($I$6:I84),IF(F84="ИТОГО",I84,IF(F84="Отклонение графика платежей",IF(I84="","ТРЕБУЕТСЯ ВВОД",IF(ABS(I84)&lt;0.01,"OK","ОШИБКА: график платежей не соответствует стоимости помещения")),""))))</f>
        <v/>
      </c>
      <c r="K84" s="30" t="str">
        <f t="shared" si="2"/>
        <v/>
      </c>
      <c r="P84" s="103"/>
    </row>
    <row r="85" spans="1:16" ht="25" customHeight="1" x14ac:dyDescent="0.2">
      <c r="A85" s="5" t="s">
        <v>184</v>
      </c>
      <c r="B85" s="52"/>
      <c r="C85" s="5" t="s">
        <v>16</v>
      </c>
      <c r="D85" s="6" t="s">
        <v>185</v>
      </c>
      <c r="E85" s="4"/>
      <c r="F85" s="39" t="str">
        <f>IF(OR($B$9="",$B$10="",$B$10&lt;$B$9),"",IF(ROWS($F$6:F85)&lt;=DATEDIF(DATE(YEAR($B$9),MONTH($B$9),1),DATE(YEAR($B$10),MONTH($B$10),1),"m")+1,EDATE(DATE(YEAR($B$9),MONTH($B$9),1),ROWS($F$6:F85)-1),IF(ROWS($F$6:F85)=DATEDIF(DATE(YEAR($B$9),MONTH($B$9),1),DATE(YEAR($B$10),MONTH($B$10),1),"m")+2,"ИТОГО",IF(ROWS($F$6:F85)=DATEDIF(DATE(YEAR($B$9),MONTH($B$9),1),DATE(YEAR($B$10),MONTH($B$10),1),"m")+3,"Отклонение графика платежей",""))))</f>
        <v/>
      </c>
      <c r="G85" s="65" t="str">
        <f>IF(F85="","",IF(ISNUMBER(F85),IF($B$19="","",MAX(0,N($B$19)-N(H85))),IF(F85="ИТОГО",SUM($G$6:INDEX($G:$G,ROW()-1)),"")))</f>
        <v/>
      </c>
      <c r="H85" s="65" t="str">
        <f>IF(F85="","",IF(ISNUMBER(F85),IF($B$22&lt;&gt;"Да",0,IF(OR($B$23="",$B$24="",$B$25="",$B$26="",$B$27=""),"",IF(AND(YEAR(F85)=YEAR($B$26),MONTH(F85)=MONTH($B$26)),$B$23,0))),IF(F85="ИТОГО",SUM($H$6:INDEX($H:$H,ROW()-1)),IF(F85="Отклонение графика платежей","Проверка",""))))</f>
        <v/>
      </c>
      <c r="I85" s="30" t="str" cm="1">
        <f t="array" ref="I85">IF(F85="","",IF(ISNUMBER(F85),SUM(G85:H85),IF(F85="ИТОГО",SUM($I$6:INDEX($I:$I,ROW()-1)),IF(F85="Отклонение графика платежей",IF($B$19="","",INDEX($I:$I,ROW()-1)-$B$19),""))))</f>
        <v/>
      </c>
      <c r="J85" s="30" t="str">
        <f>IF(F85="","",IF(ISNUMBER(F85),SUM($I$6:I85),IF(F85="ИТОГО",I85,IF(F85="Отклонение графика платежей",IF(I85="","ТРЕБУЕТСЯ ВВОД",IF(ABS(I85)&lt;0.01,"OK","ОШИБКА: график платежей не соответствует стоимости помещения")),""))))</f>
        <v/>
      </c>
      <c r="K85" s="30" t="str">
        <f t="shared" si="2"/>
        <v/>
      </c>
      <c r="P85" s="103"/>
    </row>
    <row r="86" spans="1:16" ht="25" customHeight="1" x14ac:dyDescent="0.2">
      <c r="A86" s="5" t="s">
        <v>186</v>
      </c>
      <c r="B86" s="57"/>
      <c r="C86" s="5" t="s">
        <v>11</v>
      </c>
      <c r="D86" s="6" t="s">
        <v>144</v>
      </c>
      <c r="E86" s="4"/>
      <c r="F86" s="39" t="str">
        <f>IF(OR($B$9="",$B$10="",$B$10&lt;$B$9),"",IF(ROWS($F$6:F86)&lt;=DATEDIF(DATE(YEAR($B$9),MONTH($B$9),1),DATE(YEAR($B$10),MONTH($B$10),1),"m")+1,EDATE(DATE(YEAR($B$9),MONTH($B$9),1),ROWS($F$6:F86)-1),IF(ROWS($F$6:F86)=DATEDIF(DATE(YEAR($B$9),MONTH($B$9),1),DATE(YEAR($B$10),MONTH($B$10),1),"m")+2,"ИТОГО",IF(ROWS($F$6:F86)=DATEDIF(DATE(YEAR($B$9),MONTH($B$9),1),DATE(YEAR($B$10),MONTH($B$10),1),"m")+3,"Отклонение графика платежей",""))))</f>
        <v/>
      </c>
      <c r="G86" s="65" t="str">
        <f>IF(F86="","",IF(ISNUMBER(F86),IF($B$19="","",MAX(0,N($B$19)-N(H86))),IF(F86="ИТОГО",SUM($G$6:INDEX($G:$G,ROW()-1)),"")))</f>
        <v/>
      </c>
      <c r="H86" s="65" t="str">
        <f>IF(F86="","",IF(ISNUMBER(F86),IF($B$22&lt;&gt;"Да",0,IF(OR($B$23="",$B$24="",$B$25="",$B$26="",$B$27=""),"",IF(AND(YEAR(F86)=YEAR($B$26),MONTH(F86)=MONTH($B$26)),$B$23,0))),IF(F86="ИТОГО",SUM($H$6:INDEX($H:$H,ROW()-1)),IF(F86="Отклонение графика платежей","Проверка",""))))</f>
        <v/>
      </c>
      <c r="I86" s="30" t="str" cm="1">
        <f t="array" ref="I86">IF(F86="","",IF(ISNUMBER(F86),SUM(G86:H86),IF(F86="ИТОГО",SUM($I$6:INDEX($I:$I,ROW()-1)),IF(F86="Отклонение графика платежей",IF($B$19="","",INDEX($I:$I,ROW()-1)-$B$19),""))))</f>
        <v/>
      </c>
      <c r="J86" s="30" t="str">
        <f>IF(F86="","",IF(ISNUMBER(F86),SUM($I$6:I86),IF(F86="ИТОГО",I86,IF(F86="Отклонение графика платежей",IF(I86="","ТРЕБУЕТСЯ ВВОД",IF(ABS(I86)&lt;0.01,"OK","ОШИБКА: график платежей не соответствует стоимости помещения")),""))))</f>
        <v/>
      </c>
      <c r="K86" s="30" t="str">
        <f t="shared" si="2"/>
        <v/>
      </c>
      <c r="P86" s="103"/>
    </row>
    <row r="87" spans="1:16" ht="25" customHeight="1" x14ac:dyDescent="0.2">
      <c r="A87" s="5" t="s">
        <v>187</v>
      </c>
      <c r="B87" s="57"/>
      <c r="C87" s="5" t="s">
        <v>11</v>
      </c>
      <c r="D87" s="6" t="s">
        <v>188</v>
      </c>
      <c r="E87" s="4"/>
      <c r="F87" s="39" t="str">
        <f>IF(OR($B$9="",$B$10="",$B$10&lt;$B$9),"",IF(ROWS($F$6:F87)&lt;=DATEDIF(DATE(YEAR($B$9),MONTH($B$9),1),DATE(YEAR($B$10),MONTH($B$10),1),"m")+1,EDATE(DATE(YEAR($B$9),MONTH($B$9),1),ROWS($F$6:F87)-1),IF(ROWS($F$6:F87)=DATEDIF(DATE(YEAR($B$9),MONTH($B$9),1),DATE(YEAR($B$10),MONTH($B$10),1),"m")+2,"ИТОГО",IF(ROWS($F$6:F87)=DATEDIF(DATE(YEAR($B$9),MONTH($B$9),1),DATE(YEAR($B$10),MONTH($B$10),1),"m")+3,"Отклонение графика платежей",""))))</f>
        <v/>
      </c>
      <c r="G87" s="65" t="str">
        <f>IF(F87="","",IF(ISNUMBER(F87),IF($B$19="","",MAX(0,N($B$19)-N(H87))),IF(F87="ИТОГО",SUM($G$6:INDEX($G:$G,ROW()-1)),"")))</f>
        <v/>
      </c>
      <c r="H87" s="65" t="str">
        <f>IF(F87="","",IF(ISNUMBER(F87),IF($B$22&lt;&gt;"Да",0,IF(OR($B$23="",$B$24="",$B$25="",$B$26="",$B$27=""),"",IF(AND(YEAR(F87)=YEAR($B$26),MONTH(F87)=MONTH($B$26)),$B$23,0))),IF(F87="ИТОГО",SUM($H$6:INDEX($H:$H,ROW()-1)),IF(F87="Отклонение графика платежей","Проверка",""))))</f>
        <v/>
      </c>
      <c r="I87" s="30" t="str" cm="1">
        <f t="array" ref="I87">IF(F87="","",IF(ISNUMBER(F87),SUM(G87:H87),IF(F87="ИТОГО",SUM($I$6:INDEX($I:$I,ROW()-1)),IF(F87="Отклонение графика платежей",IF($B$19="","",INDEX($I:$I,ROW()-1)-$B$19),""))))</f>
        <v/>
      </c>
      <c r="J87" s="30" t="str">
        <f>IF(F87="","",IF(ISNUMBER(F87),SUM($I$6:I87),IF(F87="ИТОГО",I87,IF(F87="Отклонение графика платежей",IF(I87="","ТРЕБУЕТСЯ ВВОД",IF(ABS(I87)&lt;0.01,"OK","ОШИБКА: график платежей не соответствует стоимости помещения")),""))))</f>
        <v/>
      </c>
      <c r="K87" s="30" t="str">
        <f t="shared" si="2"/>
        <v/>
      </c>
      <c r="P87" s="103"/>
    </row>
    <row r="88" spans="1:16" ht="25" customHeight="1" x14ac:dyDescent="0.2">
      <c r="A88" s="5" t="s">
        <v>189</v>
      </c>
      <c r="B88" s="52"/>
      <c r="C88" s="5" t="s">
        <v>62</v>
      </c>
      <c r="D88" s="6" t="s">
        <v>190</v>
      </c>
      <c r="E88" s="4"/>
      <c r="F88" s="39" t="str">
        <f>IF(OR($B$9="",$B$10="",$B$10&lt;$B$9),"",IF(ROWS($F$6:F88)&lt;=DATEDIF(DATE(YEAR($B$9),MONTH($B$9),1),DATE(YEAR($B$10),MONTH($B$10),1),"m")+1,EDATE(DATE(YEAR($B$9),MONTH($B$9),1),ROWS($F$6:F88)-1),IF(ROWS($F$6:F88)=DATEDIF(DATE(YEAR($B$9),MONTH($B$9),1),DATE(YEAR($B$10),MONTH($B$10),1),"m")+2,"ИТОГО",IF(ROWS($F$6:F88)=DATEDIF(DATE(YEAR($B$9),MONTH($B$9),1),DATE(YEAR($B$10),MONTH($B$10),1),"m")+3,"Отклонение графика платежей",""))))</f>
        <v/>
      </c>
      <c r="G88" s="65" t="str">
        <f>IF(F88="","",IF(ISNUMBER(F88),IF($B$19="","",MAX(0,N($B$19)-N(H88))),IF(F88="ИТОГО",SUM($G$6:INDEX($G:$G,ROW()-1)),"")))</f>
        <v/>
      </c>
      <c r="H88" s="65" t="str">
        <f>IF(F88="","",IF(ISNUMBER(F88),IF($B$22&lt;&gt;"Да",0,IF(OR($B$23="",$B$24="",$B$25="",$B$26="",$B$27=""),"",IF(AND(YEAR(F88)=YEAR($B$26),MONTH(F88)=MONTH($B$26)),$B$23,0))),IF(F88="ИТОГО",SUM($H$6:INDEX($H:$H,ROW()-1)),IF(F88="Отклонение графика платежей","Проверка",""))))</f>
        <v/>
      </c>
      <c r="I88" s="30" t="str" cm="1">
        <f t="array" ref="I88">IF(F88="","",IF(ISNUMBER(F88),SUM(G88:H88),IF(F88="ИТОГО",SUM($I$6:INDEX($I:$I,ROW()-1)),IF(F88="Отклонение графика платежей",IF($B$19="","",INDEX($I:$I,ROW()-1)-$B$19),""))))</f>
        <v/>
      </c>
      <c r="J88" s="30" t="str">
        <f>IF(F88="","",IF(ISNUMBER(F88),SUM($I$6:I88),IF(F88="ИТОГО",I88,IF(F88="Отклонение графика платежей",IF(I88="","ТРЕБУЕТСЯ ВВОД",IF(ABS(I88)&lt;0.01,"OK","ОШИБКА: график платежей не соответствует стоимости помещения")),""))))</f>
        <v/>
      </c>
      <c r="K88" s="30" t="str">
        <f t="shared" si="2"/>
        <v/>
      </c>
      <c r="P88" s="103"/>
    </row>
    <row r="89" spans="1:16" ht="25" customHeight="1" x14ac:dyDescent="0.2">
      <c r="A89" s="5" t="s">
        <v>191</v>
      </c>
      <c r="B89" s="57"/>
      <c r="C89" s="5" t="s">
        <v>141</v>
      </c>
      <c r="D89" s="6" t="s">
        <v>144</v>
      </c>
      <c r="E89" s="4"/>
      <c r="F89" s="39" t="str">
        <f>IF(OR($B$9="",$B$10="",$B$10&lt;$B$9),"",IF(ROWS($F$6:F89)&lt;=DATEDIF(DATE(YEAR($B$9),MONTH($B$9),1),DATE(YEAR($B$10),MONTH($B$10),1),"m")+1,EDATE(DATE(YEAR($B$9),MONTH($B$9),1),ROWS($F$6:F89)-1),IF(ROWS($F$6:F89)=DATEDIF(DATE(YEAR($B$9),MONTH($B$9),1),DATE(YEAR($B$10),MONTH($B$10),1),"m")+2,"ИТОГО",IF(ROWS($F$6:F89)=DATEDIF(DATE(YEAR($B$9),MONTH($B$9),1),DATE(YEAR($B$10),MONTH($B$10),1),"m")+3,"Отклонение графика платежей",""))))</f>
        <v/>
      </c>
      <c r="G89" s="65" t="str">
        <f>IF(F89="","",IF(ISNUMBER(F89),IF($B$19="","",MAX(0,N($B$19)-N(H89))),IF(F89="ИТОГО",SUM($G$6:INDEX($G:$G,ROW()-1)),"")))</f>
        <v/>
      </c>
      <c r="H89" s="65" t="str">
        <f>IF(F89="","",IF(ISNUMBER(F89),IF($B$22&lt;&gt;"Да",0,IF(OR($B$23="",$B$24="",$B$25="",$B$26="",$B$27=""),"",IF(AND(YEAR(F89)=YEAR($B$26),MONTH(F89)=MONTH($B$26)),$B$23,0))),IF(F89="ИТОГО",SUM($H$6:INDEX($H:$H,ROW()-1)),IF(F89="Отклонение графика платежей","Проверка",""))))</f>
        <v/>
      </c>
      <c r="I89" s="30" t="str" cm="1">
        <f t="array" ref="I89">IF(F89="","",IF(ISNUMBER(F89),SUM(G89:H89),IF(F89="ИТОГО",SUM($I$6:INDEX($I:$I,ROW()-1)),IF(F89="Отклонение графика платежей",IF($B$19="","",INDEX($I:$I,ROW()-1)-$B$19),""))))</f>
        <v/>
      </c>
      <c r="J89" s="30" t="str">
        <f>IF(F89="","",IF(ISNUMBER(F89),SUM($I$6:I89),IF(F89="ИТОГО",I89,IF(F89="Отклонение графика платежей",IF(I89="","ТРЕБУЕТСЯ ВВОД",IF(ABS(I89)&lt;0.01,"OK","ОШИБКА: график платежей не соответствует стоимости помещения")),""))))</f>
        <v/>
      </c>
      <c r="K89" s="30" t="str">
        <f t="shared" si="2"/>
        <v/>
      </c>
      <c r="P89" s="103"/>
    </row>
    <row r="90" spans="1:16" ht="25" customHeight="1" x14ac:dyDescent="0.2">
      <c r="A90" s="5" t="s">
        <v>192</v>
      </c>
      <c r="B90" s="56"/>
      <c r="C90" s="5" t="s">
        <v>53</v>
      </c>
      <c r="D90" s="6" t="s">
        <v>193</v>
      </c>
      <c r="E90" s="4"/>
      <c r="F90" s="39" t="str">
        <f>IF(OR($B$9="",$B$10="",$B$10&lt;$B$9),"",IF(ROWS($F$6:F90)&lt;=DATEDIF(DATE(YEAR($B$9),MONTH($B$9),1),DATE(YEAR($B$10),MONTH($B$10),1),"m")+1,EDATE(DATE(YEAR($B$9),MONTH($B$9),1),ROWS($F$6:F90)-1),IF(ROWS($F$6:F90)=DATEDIF(DATE(YEAR($B$9),MONTH($B$9),1),DATE(YEAR($B$10),MONTH($B$10),1),"m")+2,"ИТОГО",IF(ROWS($F$6:F90)=DATEDIF(DATE(YEAR($B$9),MONTH($B$9),1),DATE(YEAR($B$10),MONTH($B$10),1),"m")+3,"Отклонение графика платежей",""))))</f>
        <v/>
      </c>
      <c r="G90" s="65" t="str">
        <f>IF(F90="","",IF(ISNUMBER(F90),IF($B$19="","",MAX(0,N($B$19)-N(H90))),IF(F90="ИТОГО",SUM($G$6:INDEX($G:$G,ROW()-1)),"")))</f>
        <v/>
      </c>
      <c r="H90" s="65" t="str">
        <f>IF(F90="","",IF(ISNUMBER(F90),IF($B$22&lt;&gt;"Да",0,IF(OR($B$23="",$B$24="",$B$25="",$B$26="",$B$27=""),"",IF(AND(YEAR(F90)=YEAR($B$26),MONTH(F90)=MONTH($B$26)),$B$23,0))),IF(F90="ИТОГО",SUM($H$6:INDEX($H:$H,ROW()-1)),IF(F90="Отклонение графика платежей","Проверка",""))))</f>
        <v/>
      </c>
      <c r="I90" s="30" t="str" cm="1">
        <f t="array" ref="I90">IF(F90="","",IF(ISNUMBER(F90),SUM(G90:H90),IF(F90="ИТОГО",SUM($I$6:INDEX($I:$I,ROW()-1)),IF(F90="Отклонение графика платежей",IF($B$19="","",INDEX($I:$I,ROW()-1)-$B$19),""))))</f>
        <v/>
      </c>
      <c r="J90" s="30" t="str">
        <f>IF(F90="","",IF(ISNUMBER(F90),SUM($I$6:I90),IF(F90="ИТОГО",I90,IF(F90="Отклонение графика платежей",IF(I90="","ТРЕБУЕТСЯ ВВОД",IF(ABS(I90)&lt;0.01,"OK","ОШИБКА: график платежей не соответствует стоимости помещения")),""))))</f>
        <v/>
      </c>
      <c r="K90" s="30" t="str">
        <f t="shared" si="2"/>
        <v/>
      </c>
      <c r="P90" s="103"/>
    </row>
    <row r="91" spans="1:16" ht="25" customHeight="1" x14ac:dyDescent="0.2">
      <c r="A91" s="5" t="s">
        <v>36</v>
      </c>
      <c r="B91" s="59" t="str">
        <f>IF(OR(B9="",B79=""),"",EDATE(B9,B79*12))</f>
        <v/>
      </c>
      <c r="C91" s="5" t="s">
        <v>22</v>
      </c>
      <c r="D91" s="6" t="s">
        <v>194</v>
      </c>
      <c r="E91" s="4"/>
      <c r="F91" s="39" t="str">
        <f>IF(OR($B$9="",$B$10="",$B$10&lt;$B$9),"",IF(ROWS($F$6:F91)&lt;=DATEDIF(DATE(YEAR($B$9),MONTH($B$9),1),DATE(YEAR($B$10),MONTH($B$10),1),"m")+1,EDATE(DATE(YEAR($B$9),MONTH($B$9),1),ROWS($F$6:F91)-1),IF(ROWS($F$6:F91)=DATEDIF(DATE(YEAR($B$9),MONTH($B$9),1),DATE(YEAR($B$10),MONTH($B$10),1),"m")+2,"ИТОГО",IF(ROWS($F$6:F91)=DATEDIF(DATE(YEAR($B$9),MONTH($B$9),1),DATE(YEAR($B$10),MONTH($B$10),1),"m")+3,"Отклонение графика платежей",""))))</f>
        <v/>
      </c>
      <c r="G91" s="65" t="str">
        <f>IF(F91="","",IF(ISNUMBER(F91),IF($B$19="","",MAX(0,N($B$19)-N(H91))),IF(F91="ИТОГО",SUM($G$6:INDEX($G:$G,ROW()-1)),"")))</f>
        <v/>
      </c>
      <c r="H91" s="65" t="str">
        <f>IF(F91="","",IF(ISNUMBER(F91),IF($B$22&lt;&gt;"Да",0,IF(OR($B$23="",$B$24="",$B$25="",$B$26="",$B$27=""),"",IF(AND(YEAR(F91)=YEAR($B$26),MONTH(F91)=MONTH($B$26)),$B$23,0))),IF(F91="ИТОГО",SUM($H$6:INDEX($H:$H,ROW()-1)),IF(F91="Отклонение графика платежей","Проверка",""))))</f>
        <v/>
      </c>
      <c r="I91" s="30" t="str" cm="1">
        <f t="array" ref="I91">IF(F91="","",IF(ISNUMBER(F91),SUM(G91:H91),IF(F91="ИТОГО",SUM($I$6:INDEX($I:$I,ROW()-1)),IF(F91="Отклонение графика платежей",IF($B$19="","",INDEX($I:$I,ROW()-1)-$B$19),""))))</f>
        <v/>
      </c>
      <c r="J91" s="30" t="str">
        <f>IF(F91="","",IF(ISNUMBER(F91),SUM($I$6:I91),IF(F91="ИТОГО",I91,IF(F91="Отклонение графика платежей",IF(I91="","ТРЕБУЕТСЯ ВВОД",IF(ABS(I91)&lt;0.01,"OK","ОШИБКА: график платежей не соответствует стоимости помещения")),""))))</f>
        <v/>
      </c>
      <c r="K91" s="30" t="str">
        <f t="shared" si="2"/>
        <v/>
      </c>
      <c r="P91" s="103"/>
    </row>
    <row r="92" spans="1:16" x14ac:dyDescent="0.2">
      <c r="A92" s="5"/>
      <c r="B92" s="5"/>
      <c r="C92" s="5"/>
      <c r="D92" s="6"/>
      <c r="E92" s="4"/>
      <c r="F92" s="39" t="str">
        <f>IF(OR($B$9="",$B$10="",$B$10&lt;$B$9),"",IF(ROWS($F$6:F92)&lt;=DATEDIF(DATE(YEAR($B$9),MONTH($B$9),1),DATE(YEAR($B$10),MONTH($B$10),1),"m")+1,EDATE(DATE(YEAR($B$9),MONTH($B$9),1),ROWS($F$6:F92)-1),IF(ROWS($F$6:F92)=DATEDIF(DATE(YEAR($B$9),MONTH($B$9),1),DATE(YEAR($B$10),MONTH($B$10),1),"m")+2,"ИТОГО",IF(ROWS($F$6:F92)=DATEDIF(DATE(YEAR($B$9),MONTH($B$9),1),DATE(YEAR($B$10),MONTH($B$10),1),"m")+3,"Отклонение графика платежей",""))))</f>
        <v/>
      </c>
      <c r="G92" s="65" t="str">
        <f>IF(F92="","",IF(ISNUMBER(F92),IF($B$19="","",MAX(0,N($B$19)-N(H92))),IF(F92="ИТОГО",SUM($G$6:INDEX($G:$G,ROW()-1)),"")))</f>
        <v/>
      </c>
      <c r="H92" s="65" t="str">
        <f>IF(F92="","",IF(ISNUMBER(F92),IF($B$22&lt;&gt;"Да",0,IF(OR($B$23="",$B$24="",$B$25="",$B$26="",$B$27=""),"",IF(AND(YEAR(F92)=YEAR($B$26),MONTH(F92)=MONTH($B$26)),$B$23,0))),IF(F92="ИТОГО",SUM($H$6:INDEX($H:$H,ROW()-1)),IF(F92="Отклонение графика платежей","Проверка",""))))</f>
        <v/>
      </c>
      <c r="I92" s="30" t="str" cm="1">
        <f t="array" ref="I92">IF(F92="","",IF(ISNUMBER(F92),SUM(G92:H92),IF(F92="ИТОГО",SUM($I$6:INDEX($I:$I,ROW()-1)),IF(F92="Отклонение графика платежей",IF($B$19="","",INDEX($I:$I,ROW()-1)-$B$19),""))))</f>
        <v/>
      </c>
      <c r="J92" s="30" t="str">
        <f>IF(F92="","",IF(ISNUMBER(F92),SUM($I$6:I92),IF(F92="ИТОГО",I92,IF(F92="Отклонение графика платежей",IF(I92="","ТРЕБУЕТСЯ ВВОД",IF(ABS(I92)&lt;0.01,"OK","ОШИБКА: график платежей не соответствует стоимости помещения")),""))))</f>
        <v/>
      </c>
      <c r="K92" s="30" t="str">
        <f t="shared" si="2"/>
        <v/>
      </c>
      <c r="P92" s="103"/>
    </row>
    <row r="93" spans="1:16" x14ac:dyDescent="0.2">
      <c r="A93" s="5"/>
      <c r="B93" s="5"/>
      <c r="C93" s="5"/>
      <c r="D93" s="6"/>
      <c r="E93" s="4"/>
      <c r="F93" s="39" t="str">
        <f>IF(OR($B$9="",$B$10="",$B$10&lt;$B$9),"",IF(ROWS($F$6:F93)&lt;=DATEDIF(DATE(YEAR($B$9),MONTH($B$9),1),DATE(YEAR($B$10),MONTH($B$10),1),"m")+1,EDATE(DATE(YEAR($B$9),MONTH($B$9),1),ROWS($F$6:F93)-1),IF(ROWS($F$6:F93)=DATEDIF(DATE(YEAR($B$9),MONTH($B$9),1),DATE(YEAR($B$10),MONTH($B$10),1),"m")+2,"ИТОГО",IF(ROWS($F$6:F93)=DATEDIF(DATE(YEAR($B$9),MONTH($B$9),1),DATE(YEAR($B$10),MONTH($B$10),1),"m")+3,"Отклонение графика платежей",""))))</f>
        <v/>
      </c>
      <c r="G93" s="65" t="str">
        <f>IF(F93="","",IF(ISNUMBER(F93),IF($B$19="","",MAX(0,N($B$19)-N(H93))),IF(F93="ИТОГО",SUM($G$6:INDEX($G:$G,ROW()-1)),"")))</f>
        <v/>
      </c>
      <c r="H93" s="65" t="str">
        <f>IF(F93="","",IF(ISNUMBER(F93),IF($B$22&lt;&gt;"Да",0,IF(OR($B$23="",$B$24="",$B$25="",$B$26="",$B$27=""),"",IF(AND(YEAR(F93)=YEAR($B$26),MONTH(F93)=MONTH($B$26)),$B$23,0))),IF(F93="ИТОГО",SUM($H$6:INDEX($H:$H,ROW()-1)),IF(F93="Отклонение графика платежей","Проверка",""))))</f>
        <v/>
      </c>
      <c r="I93" s="30" t="str" cm="1">
        <f t="array" ref="I93">IF(F93="","",IF(ISNUMBER(F93),SUM(G93:H93),IF(F93="ИТОГО",SUM($I$6:INDEX($I:$I,ROW()-1)),IF(F93="Отклонение графика платежей",IF($B$19="","",INDEX($I:$I,ROW()-1)-$B$19),""))))</f>
        <v/>
      </c>
      <c r="J93" s="30" t="str">
        <f>IF(F93="","",IF(ISNUMBER(F93),SUM($I$6:I93),IF(F93="ИТОГО",I93,IF(F93="Отклонение графика платежей",IF(I93="","ТРЕБУЕТСЯ ВВОД",IF(ABS(I93)&lt;0.01,"OK","ОШИБКА: график платежей не соответствует стоимости помещения")),""))))</f>
        <v/>
      </c>
      <c r="K93" s="30" t="str">
        <f t="shared" si="2"/>
        <v/>
      </c>
      <c r="P93" s="103"/>
    </row>
    <row r="94" spans="1:16" x14ac:dyDescent="0.2">
      <c r="A94" s="5"/>
      <c r="B94" s="5"/>
      <c r="C94" s="5"/>
      <c r="D94" s="6"/>
      <c r="E94" s="4"/>
      <c r="F94" s="39" t="str">
        <f>IF(OR($B$9="",$B$10="",$B$10&lt;$B$9),"",IF(ROWS($F$6:F94)&lt;=DATEDIF(DATE(YEAR($B$9),MONTH($B$9),1),DATE(YEAR($B$10),MONTH($B$10),1),"m")+1,EDATE(DATE(YEAR($B$9),MONTH($B$9),1),ROWS($F$6:F94)-1),IF(ROWS($F$6:F94)=DATEDIF(DATE(YEAR($B$9),MONTH($B$9),1),DATE(YEAR($B$10),MONTH($B$10),1),"m")+2,"ИТОГО",IF(ROWS($F$6:F94)=DATEDIF(DATE(YEAR($B$9),MONTH($B$9),1),DATE(YEAR($B$10),MONTH($B$10),1),"m")+3,"Отклонение графика платежей",""))))</f>
        <v/>
      </c>
      <c r="G94" s="65" t="str">
        <f>IF(F94="","",IF(ISNUMBER(F94),IF($B$19="","",MAX(0,N($B$19)-N(H94))),IF(F94="ИТОГО",SUM($G$6:INDEX($G:$G,ROW()-1)),"")))</f>
        <v/>
      </c>
      <c r="H94" s="65" t="str">
        <f>IF(F94="","",IF(ISNUMBER(F94),IF($B$22&lt;&gt;"Да",0,IF(OR($B$23="",$B$24="",$B$25="",$B$26="",$B$27=""),"",IF(AND(YEAR(F94)=YEAR($B$26),MONTH(F94)=MONTH($B$26)),$B$23,0))),IF(F94="ИТОГО",SUM($H$6:INDEX($H:$H,ROW()-1)),IF(F94="Отклонение графика платежей","Проверка",""))))</f>
        <v/>
      </c>
      <c r="I94" s="30" t="str" cm="1">
        <f t="array" ref="I94">IF(F94="","",IF(ISNUMBER(F94),SUM(G94:H94),IF(F94="ИТОГО",SUM($I$6:INDEX($I:$I,ROW()-1)),IF(F94="Отклонение графика платежей",IF($B$19="","",INDEX($I:$I,ROW()-1)-$B$19),""))))</f>
        <v/>
      </c>
      <c r="J94" s="30" t="str">
        <f>IF(F94="","",IF(ISNUMBER(F94),SUM($I$6:I94),IF(F94="ИТОГО",I94,IF(F94="Отклонение графика платежей",IF(I94="","ТРЕБУЕТСЯ ВВОД",IF(ABS(I94)&lt;0.01,"OK","ОШИБКА: график платежей не соответствует стоимости помещения")),""))))</f>
        <v/>
      </c>
      <c r="K94" s="30" t="str">
        <f t="shared" si="2"/>
        <v/>
      </c>
      <c r="P94" s="103"/>
    </row>
    <row r="95" spans="1:16" x14ac:dyDescent="0.2">
      <c r="A95" s="5"/>
      <c r="B95" s="5"/>
      <c r="C95" s="5"/>
      <c r="D95" s="6"/>
      <c r="E95" s="4"/>
      <c r="F95" s="39" t="str">
        <f>IF(OR($B$9="",$B$10="",$B$10&lt;$B$9),"",IF(ROWS($F$6:F95)&lt;=DATEDIF(DATE(YEAR($B$9),MONTH($B$9),1),DATE(YEAR($B$10),MONTH($B$10),1),"m")+1,EDATE(DATE(YEAR($B$9),MONTH($B$9),1),ROWS($F$6:F95)-1),IF(ROWS($F$6:F95)=DATEDIF(DATE(YEAR($B$9),MONTH($B$9),1),DATE(YEAR($B$10),MONTH($B$10),1),"m")+2,"ИТОГО",IF(ROWS($F$6:F95)=DATEDIF(DATE(YEAR($B$9),MONTH($B$9),1),DATE(YEAR($B$10),MONTH($B$10),1),"m")+3,"Отклонение графика платежей",""))))</f>
        <v/>
      </c>
      <c r="G95" s="65" t="str">
        <f>IF(F95="","",IF(ISNUMBER(F95),IF($B$19="","",MAX(0,N($B$19)-N(H95))),IF(F95="ИТОГО",SUM($G$6:INDEX($G:$G,ROW()-1)),"")))</f>
        <v/>
      </c>
      <c r="H95" s="65" t="str">
        <f>IF(F95="","",IF(ISNUMBER(F95),IF($B$22&lt;&gt;"Да",0,IF(OR($B$23="",$B$24="",$B$25="",$B$26="",$B$27=""),"",IF(AND(YEAR(F95)=YEAR($B$26),MONTH(F95)=MONTH($B$26)),$B$23,0))),IF(F95="ИТОГО",SUM($H$6:INDEX($H:$H,ROW()-1)),IF(F95="Отклонение графика платежей","Проверка",""))))</f>
        <v/>
      </c>
      <c r="I95" s="30" t="str" cm="1">
        <f t="array" ref="I95">IF(F95="","",IF(ISNUMBER(F95),SUM(G95:H95),IF(F95="ИТОГО",SUM($I$6:INDEX($I:$I,ROW()-1)),IF(F95="Отклонение графика платежей",IF($B$19="","",INDEX($I:$I,ROW()-1)-$B$19),""))))</f>
        <v/>
      </c>
      <c r="J95" s="30" t="str">
        <f>IF(F95="","",IF(ISNUMBER(F95),SUM($I$6:I95),IF(F95="ИТОГО",I95,IF(F95="Отклонение графика платежей",IF(I95="","ТРЕБУЕТСЯ ВВОД",IF(ABS(I95)&lt;0.01,"OK","ОШИБКА: график платежей не соответствует стоимости помещения")),""))))</f>
        <v/>
      </c>
      <c r="K95" s="30" t="str">
        <f t="shared" si="2"/>
        <v/>
      </c>
      <c r="P95" s="103"/>
    </row>
    <row r="96" spans="1:16" x14ac:dyDescent="0.2">
      <c r="A96" s="5"/>
      <c r="B96" s="5"/>
      <c r="C96" s="5"/>
      <c r="D96" s="6"/>
      <c r="E96" s="4"/>
      <c r="F96" s="39" t="str">
        <f>IF(OR($B$9="",$B$10="",$B$10&lt;$B$9),"",IF(ROWS($F$6:F96)&lt;=DATEDIF(DATE(YEAR($B$9),MONTH($B$9),1),DATE(YEAR($B$10),MONTH($B$10),1),"m")+1,EDATE(DATE(YEAR($B$9),MONTH($B$9),1),ROWS($F$6:F96)-1),IF(ROWS($F$6:F96)=DATEDIF(DATE(YEAR($B$9),MONTH($B$9),1),DATE(YEAR($B$10),MONTH($B$10),1),"m")+2,"ИТОГО",IF(ROWS($F$6:F96)=DATEDIF(DATE(YEAR($B$9),MONTH($B$9),1),DATE(YEAR($B$10),MONTH($B$10),1),"m")+3,"Отклонение графика платежей",""))))</f>
        <v/>
      </c>
      <c r="G96" s="65" t="str">
        <f>IF(F96="","",IF(ISNUMBER(F96),IF($B$19="","",MAX(0,N($B$19)-N(H96))),IF(F96="ИТОГО",SUM($G$6:INDEX($G:$G,ROW()-1)),"")))</f>
        <v/>
      </c>
      <c r="H96" s="65" t="str">
        <f>IF(F96="","",IF(ISNUMBER(F96),IF($B$22&lt;&gt;"Да",0,IF(OR($B$23="",$B$24="",$B$25="",$B$26="",$B$27=""),"",IF(AND(YEAR(F96)=YEAR($B$26),MONTH(F96)=MONTH($B$26)),$B$23,0))),IF(F96="ИТОГО",SUM($H$6:INDEX($H:$H,ROW()-1)),IF(F96="Отклонение графика платежей","Проверка",""))))</f>
        <v/>
      </c>
      <c r="I96" s="30" t="str" cm="1">
        <f t="array" ref="I96">IF(F96="","",IF(ISNUMBER(F96),SUM(G96:H96),IF(F96="ИТОГО",SUM($I$6:INDEX($I:$I,ROW()-1)),IF(F96="Отклонение графика платежей",IF($B$19="","",INDEX($I:$I,ROW()-1)-$B$19),""))))</f>
        <v/>
      </c>
      <c r="J96" s="30" t="str">
        <f>IF(F96="","",IF(ISNUMBER(F96),SUM($I$6:I96),IF(F96="ИТОГО",I96,IF(F96="Отклонение графика платежей",IF(I96="","ТРЕБУЕТСЯ ВВОД",IF(ABS(I96)&lt;0.01,"OK","ОШИБКА: график платежей не соответствует стоимости помещения")),""))))</f>
        <v/>
      </c>
      <c r="K96" s="30" t="str">
        <f t="shared" si="2"/>
        <v/>
      </c>
      <c r="P96" s="103"/>
    </row>
    <row r="97" spans="1:16" x14ac:dyDescent="0.2">
      <c r="A97" s="5"/>
      <c r="B97" s="5"/>
      <c r="C97" s="5"/>
      <c r="D97" s="6"/>
      <c r="E97" s="4"/>
      <c r="F97" s="39" t="str">
        <f>IF(OR($B$9="",$B$10="",$B$10&lt;$B$9),"",IF(ROWS($F$6:F97)&lt;=DATEDIF(DATE(YEAR($B$9),MONTH($B$9),1),DATE(YEAR($B$10),MONTH($B$10),1),"m")+1,EDATE(DATE(YEAR($B$9),MONTH($B$9),1),ROWS($F$6:F97)-1),IF(ROWS($F$6:F97)=DATEDIF(DATE(YEAR($B$9),MONTH($B$9),1),DATE(YEAR($B$10),MONTH($B$10),1),"m")+2,"ИТОГО",IF(ROWS($F$6:F97)=DATEDIF(DATE(YEAR($B$9),MONTH($B$9),1),DATE(YEAR($B$10),MONTH($B$10),1),"m")+3,"Отклонение графика платежей",""))))</f>
        <v/>
      </c>
      <c r="G97" s="65" t="str">
        <f>IF(F97="","",IF(ISNUMBER(F97),IF($B$19="","",MAX(0,N($B$19)-N(H97))),IF(F97="ИТОГО",SUM($G$6:INDEX($G:$G,ROW()-1)),"")))</f>
        <v/>
      </c>
      <c r="H97" s="65" t="str">
        <f>IF(F97="","",IF(ISNUMBER(F97),IF($B$22&lt;&gt;"Да",0,IF(OR($B$23="",$B$24="",$B$25="",$B$26="",$B$27=""),"",IF(AND(YEAR(F97)=YEAR($B$26),MONTH(F97)=MONTH($B$26)),$B$23,0))),IF(F97="ИТОГО",SUM($H$6:INDEX($H:$H,ROW()-1)),IF(F97="Отклонение графика платежей","Проверка",""))))</f>
        <v/>
      </c>
      <c r="I97" s="30" t="str" cm="1">
        <f t="array" ref="I97">IF(F97="","",IF(ISNUMBER(F97),SUM(G97:H97),IF(F97="ИТОГО",SUM($I$6:INDEX($I:$I,ROW()-1)),IF(F97="Отклонение графика платежей",IF($B$19="","",INDEX($I:$I,ROW()-1)-$B$19),""))))</f>
        <v/>
      </c>
      <c r="J97" s="30" t="str">
        <f>IF(F97="","",IF(ISNUMBER(F97),SUM($I$6:I97),IF(F97="ИТОГО",I97,IF(F97="Отклонение графика платежей",IF(I97="","ТРЕБУЕТСЯ ВВОД",IF(ABS(I97)&lt;0.01,"OK","ОШИБКА: график платежей не соответствует стоимости помещения")),""))))</f>
        <v/>
      </c>
      <c r="K97" s="30" t="str">
        <f t="shared" si="2"/>
        <v/>
      </c>
      <c r="P97" s="103"/>
    </row>
    <row r="98" spans="1:16" x14ac:dyDescent="0.2">
      <c r="A98" s="5"/>
      <c r="B98" s="5"/>
      <c r="C98" s="5"/>
      <c r="D98" s="6"/>
      <c r="E98" s="4"/>
      <c r="F98" s="39" t="str">
        <f>IF(OR($B$9="",$B$10="",$B$10&lt;$B$9),"",IF(ROWS($F$6:F98)&lt;=DATEDIF(DATE(YEAR($B$9),MONTH($B$9),1),DATE(YEAR($B$10),MONTH($B$10),1),"m")+1,EDATE(DATE(YEAR($B$9),MONTH($B$9),1),ROWS($F$6:F98)-1),IF(ROWS($F$6:F98)=DATEDIF(DATE(YEAR($B$9),MONTH($B$9),1),DATE(YEAR($B$10),MONTH($B$10),1),"m")+2,"ИТОГО",IF(ROWS($F$6:F98)=DATEDIF(DATE(YEAR($B$9),MONTH($B$9),1),DATE(YEAR($B$10),MONTH($B$10),1),"m")+3,"Отклонение графика платежей",""))))</f>
        <v/>
      </c>
      <c r="G98" s="65" t="str">
        <f>IF(F98="","",IF(ISNUMBER(F98),IF($B$19="","",MAX(0,N($B$19)-N(H98))),IF(F98="ИТОГО",SUM($G$6:INDEX($G:$G,ROW()-1)),"")))</f>
        <v/>
      </c>
      <c r="H98" s="65" t="str">
        <f>IF(F98="","",IF(ISNUMBER(F98),IF($B$22&lt;&gt;"Да",0,IF(OR($B$23="",$B$24="",$B$25="",$B$26="",$B$27=""),"",IF(AND(YEAR(F98)=YEAR($B$26),MONTH(F98)=MONTH($B$26)),$B$23,0))),IF(F98="ИТОГО",SUM($H$6:INDEX($H:$H,ROW()-1)),IF(F98="Отклонение графика платежей","Проверка",""))))</f>
        <v/>
      </c>
      <c r="I98" s="30" t="str" cm="1">
        <f t="array" ref="I98">IF(F98="","",IF(ISNUMBER(F98),SUM(G98:H98),IF(F98="ИТОГО",SUM($I$6:INDEX($I:$I,ROW()-1)),IF(F98="Отклонение графика платежей",IF($B$19="","",INDEX($I:$I,ROW()-1)-$B$19),""))))</f>
        <v/>
      </c>
      <c r="J98" s="30" t="str">
        <f>IF(F98="","",IF(ISNUMBER(F98),SUM($I$6:I98),IF(F98="ИТОГО",I98,IF(F98="Отклонение графика платежей",IF(I98="","ТРЕБУЕТСЯ ВВОД",IF(ABS(I98)&lt;0.01,"OK","ОШИБКА: график платежей не соответствует стоимости помещения")),""))))</f>
        <v/>
      </c>
      <c r="K98" s="30" t="str">
        <f t="shared" si="2"/>
        <v/>
      </c>
      <c r="P98" s="103"/>
    </row>
    <row r="99" spans="1:16" x14ac:dyDescent="0.2">
      <c r="A99" s="5"/>
      <c r="B99" s="5"/>
      <c r="C99" s="5"/>
      <c r="D99" s="6"/>
      <c r="E99" s="4"/>
      <c r="F99" s="39" t="str">
        <f>IF(OR($B$9="",$B$10="",$B$10&lt;$B$9),"",IF(ROWS($F$6:F99)&lt;=DATEDIF(DATE(YEAR($B$9),MONTH($B$9),1),DATE(YEAR($B$10),MONTH($B$10),1),"m")+1,EDATE(DATE(YEAR($B$9),MONTH($B$9),1),ROWS($F$6:F99)-1),IF(ROWS($F$6:F99)=DATEDIF(DATE(YEAR($B$9),MONTH($B$9),1),DATE(YEAR($B$10),MONTH($B$10),1),"m")+2,"ИТОГО",IF(ROWS($F$6:F99)=DATEDIF(DATE(YEAR($B$9),MONTH($B$9),1),DATE(YEAR($B$10),MONTH($B$10),1),"m")+3,"Отклонение графика платежей",""))))</f>
        <v/>
      </c>
      <c r="G99" s="65" t="str">
        <f>IF(F99="","",IF(ISNUMBER(F99),IF($B$19="","",MAX(0,N($B$19)-N(H99))),IF(F99="ИТОГО",SUM($G$6:INDEX($G:$G,ROW()-1)),"")))</f>
        <v/>
      </c>
      <c r="H99" s="65" t="str">
        <f>IF(F99="","",IF(ISNUMBER(F99),IF($B$22&lt;&gt;"Да",0,IF(OR($B$23="",$B$24="",$B$25="",$B$26="",$B$27=""),"",IF(AND(YEAR(F99)=YEAR($B$26),MONTH(F99)=MONTH($B$26)),$B$23,0))),IF(F99="ИТОГО",SUM($H$6:INDEX($H:$H,ROW()-1)),IF(F99="Отклонение графика платежей","Проверка",""))))</f>
        <v/>
      </c>
      <c r="I99" s="30" t="str" cm="1">
        <f t="array" ref="I99">IF(F99="","",IF(ISNUMBER(F99),SUM(G99:H99),IF(F99="ИТОГО",SUM($I$6:INDEX($I:$I,ROW()-1)),IF(F99="Отклонение графика платежей",IF($B$19="","",INDEX($I:$I,ROW()-1)-$B$19),""))))</f>
        <v/>
      </c>
      <c r="J99" s="30" t="str">
        <f>IF(F99="","",IF(ISNUMBER(F99),SUM($I$6:I99),IF(F99="ИТОГО",I99,IF(F99="Отклонение графика платежей",IF(I99="","ТРЕБУЕТСЯ ВВОД",IF(ABS(I99)&lt;0.01,"OK","ОШИБКА: график платежей не соответствует стоимости помещения")),""))))</f>
        <v/>
      </c>
      <c r="K99" s="30" t="str">
        <f t="shared" si="2"/>
        <v/>
      </c>
      <c r="P99" s="103"/>
    </row>
    <row r="100" spans="1:16" x14ac:dyDescent="0.2">
      <c r="A100" s="5"/>
      <c r="B100" s="5"/>
      <c r="C100" s="5"/>
      <c r="D100" s="6"/>
      <c r="E100" s="4"/>
      <c r="F100" s="39" t="str">
        <f>IF(OR($B$9="",$B$10="",$B$10&lt;$B$9),"",IF(ROWS($F$6:F100)&lt;=DATEDIF(DATE(YEAR($B$9),MONTH($B$9),1),DATE(YEAR($B$10),MONTH($B$10),1),"m")+1,EDATE(DATE(YEAR($B$9),MONTH($B$9),1),ROWS($F$6:F100)-1),IF(ROWS($F$6:F100)=DATEDIF(DATE(YEAR($B$9),MONTH($B$9),1),DATE(YEAR($B$10),MONTH($B$10),1),"m")+2,"ИТОГО",IF(ROWS($F$6:F100)=DATEDIF(DATE(YEAR($B$9),MONTH($B$9),1),DATE(YEAR($B$10),MONTH($B$10),1),"m")+3,"Отклонение графика платежей",""))))</f>
        <v/>
      </c>
      <c r="G100" s="65" t="str">
        <f>IF(F100="","",IF(ISNUMBER(F100),IF($B$19="","",MAX(0,N($B$19)-N(H100))),IF(F100="ИТОГО",SUM($G$6:INDEX($G:$G,ROW()-1)),"")))</f>
        <v/>
      </c>
      <c r="H100" s="65" t="str">
        <f>IF(F100="","",IF(ISNUMBER(F100),IF($B$22&lt;&gt;"Да",0,IF(OR($B$23="",$B$24="",$B$25="",$B$26="",$B$27=""),"",IF(AND(YEAR(F100)=YEAR($B$26),MONTH(F100)=MONTH($B$26)),$B$23,0))),IF(F100="ИТОГО",SUM($H$6:INDEX($H:$H,ROW()-1)),IF(F100="Отклонение графика платежей","Проверка",""))))</f>
        <v/>
      </c>
      <c r="I100" s="30" t="str" cm="1">
        <f t="array" ref="I100">IF(F100="","",IF(ISNUMBER(F100),SUM(G100:H100),IF(F100="ИТОГО",SUM($I$6:INDEX($I:$I,ROW()-1)),IF(F100="Отклонение графика платежей",IF($B$19="","",INDEX($I:$I,ROW()-1)-$B$19),""))))</f>
        <v/>
      </c>
      <c r="J100" s="30" t="str">
        <f>IF(F100="","",IF(ISNUMBER(F100),SUM($I$6:I100),IF(F100="ИТОГО",I100,IF(F100="Отклонение графика платежей",IF(I100="","ТРЕБУЕТСЯ ВВОД",IF(ABS(I100)&lt;0.01,"OK","ОШИБКА: график платежей не соответствует стоимости помещения")),""))))</f>
        <v/>
      </c>
      <c r="K100" s="30" t="str">
        <f t="shared" si="2"/>
        <v/>
      </c>
      <c r="P100" s="103"/>
    </row>
    <row r="101" spans="1:16" x14ac:dyDescent="0.2">
      <c r="A101" s="5"/>
      <c r="B101" s="15"/>
      <c r="C101" s="5"/>
      <c r="D101" s="6"/>
      <c r="E101" s="4"/>
      <c r="F101" s="39" t="str">
        <f>IF(OR($B$9="",$B$10="",$B$10&lt;$B$9),"",IF(ROWS($F$6:F101)&lt;=DATEDIF(DATE(YEAR($B$9),MONTH($B$9),1),DATE(YEAR($B$10),MONTH($B$10),1),"m")+1,EDATE(DATE(YEAR($B$9),MONTH($B$9),1),ROWS($F$6:F101)-1),IF(ROWS($F$6:F101)=DATEDIF(DATE(YEAR($B$9),MONTH($B$9),1),DATE(YEAR($B$10),MONTH($B$10),1),"m")+2,"ИТОГО",IF(ROWS($F$6:F101)=DATEDIF(DATE(YEAR($B$9),MONTH($B$9),1),DATE(YEAR($B$10),MONTH($B$10),1),"m")+3,"Отклонение графика платежей",""))))</f>
        <v/>
      </c>
      <c r="G101" s="65" t="str">
        <f>IF(F101="","",IF(ISNUMBER(F101),IF($B$19="","",MAX(0,N($B$19)-N(H101))),IF(F101="ИТОГО",SUM($G$6:INDEX($G:$G,ROW()-1)),"")))</f>
        <v/>
      </c>
      <c r="H101" s="65" t="str">
        <f>IF(F101="","",IF(ISNUMBER(F101),IF($B$22&lt;&gt;"Да",0,IF(OR($B$23="",$B$24="",$B$25="",$B$26="",$B$27=""),"",IF(AND(YEAR(F101)=YEAR($B$26),MONTH(F101)=MONTH($B$26)),$B$23,0))),IF(F101="ИТОГО",SUM($H$6:INDEX($H:$H,ROW()-1)),IF(F101="Отклонение графика платежей","Проверка",""))))</f>
        <v/>
      </c>
      <c r="I101" s="30" t="str" cm="1">
        <f t="array" ref="I101">IF(F101="","",IF(ISNUMBER(F101),SUM(G101:H101),IF(F101="ИТОГО",SUM($I$6:INDEX($I:$I,ROW()-1)),IF(F101="Отклонение графика платежей",IF($B$19="","",INDEX($I:$I,ROW()-1)-$B$19),""))))</f>
        <v/>
      </c>
      <c r="J101" s="30" t="str">
        <f>IF(F101="","",IF(ISNUMBER(F101),SUM($I$6:I101),IF(F101="ИТОГО",I101,IF(F101="Отклонение графика платежей",IF(I101="","ТРЕБУЕТСЯ ВВОД",IF(ABS(I101)&lt;0.01,"OK","ОШИБКА: график платежей не соответствует стоимости помещения")),""))))</f>
        <v/>
      </c>
      <c r="K101" s="30" t="str">
        <f t="shared" si="2"/>
        <v/>
      </c>
      <c r="P101" s="103"/>
    </row>
    <row r="102" spans="1:16" x14ac:dyDescent="0.2">
      <c r="A102" s="5"/>
      <c r="B102" s="27"/>
      <c r="C102" s="5"/>
      <c r="D102" s="6"/>
      <c r="E102" s="4"/>
      <c r="F102" s="39" t="str">
        <f>IF(OR($B$9="",$B$10="",$B$10&lt;$B$9),"",IF(ROWS($F$6:F102)&lt;=DATEDIF(DATE(YEAR($B$9),MONTH($B$9),1),DATE(YEAR($B$10),MONTH($B$10),1),"m")+1,EDATE(DATE(YEAR($B$9),MONTH($B$9),1),ROWS($F$6:F102)-1),IF(ROWS($F$6:F102)=DATEDIF(DATE(YEAR($B$9),MONTH($B$9),1),DATE(YEAR($B$10),MONTH($B$10),1),"m")+2,"ИТОГО",IF(ROWS($F$6:F102)=DATEDIF(DATE(YEAR($B$9),MONTH($B$9),1),DATE(YEAR($B$10),MONTH($B$10),1),"m")+3,"Отклонение графика платежей",""))))</f>
        <v/>
      </c>
      <c r="G102" s="65" t="str">
        <f>IF(F102="","",IF(ISNUMBER(F102),IF($B$19="","",MAX(0,N($B$19)-N(H102))),IF(F102="ИТОГО",SUM($G$6:INDEX($G:$G,ROW()-1)),"")))</f>
        <v/>
      </c>
      <c r="H102" s="65" t="str">
        <f>IF(F102="","",IF(ISNUMBER(F102),IF($B$22&lt;&gt;"Да",0,IF(OR($B$23="",$B$24="",$B$25="",$B$26="",$B$27=""),"",IF(AND(YEAR(F102)=YEAR($B$26),MONTH(F102)=MONTH($B$26)),$B$23,0))),IF(F102="ИТОГО",SUM($H$6:INDEX($H:$H,ROW()-1)),IF(F102="Отклонение графика платежей","Проверка",""))))</f>
        <v/>
      </c>
      <c r="I102" s="30" t="str" cm="1">
        <f t="array" ref="I102">IF(F102="","",IF(ISNUMBER(F102),SUM(G102:H102),IF(F102="ИТОГО",SUM($I$6:INDEX($I:$I,ROW()-1)),IF(F102="Отклонение графика платежей",IF($B$19="","",INDEX($I:$I,ROW()-1)-$B$19),""))))</f>
        <v/>
      </c>
      <c r="J102" s="30" t="str">
        <f>IF(F102="","",IF(ISNUMBER(F102),SUM($I$6:I102),IF(F102="ИТОГО",I102,IF(F102="Отклонение графика платежей",IF(I102="","ТРЕБУЕТСЯ ВВОД",IF(ABS(I102)&lt;0.01,"OK","ОШИБКА: график платежей не соответствует стоимости помещения")),""))))</f>
        <v/>
      </c>
      <c r="K102" s="30" t="str">
        <f t="shared" ref="K102:K133" si="3">IF(F102="","",IF(ISNUMBER(F102),IF($B$19="","",$B$19-J102),IF(F102="ИТОГО",IF($B$19="","",$B$19-I102),IF(F102="Отклонение графика платежей",I102,""))))</f>
        <v/>
      </c>
      <c r="P102" s="103"/>
    </row>
    <row r="103" spans="1:16" x14ac:dyDescent="0.2">
      <c r="A103" s="5"/>
      <c r="B103" s="5"/>
      <c r="C103" s="5"/>
      <c r="D103" s="6"/>
      <c r="E103" s="4"/>
      <c r="F103" s="39" t="str">
        <f>IF(OR($B$9="",$B$10="",$B$10&lt;$B$9),"",IF(ROWS($F$6:F103)&lt;=DATEDIF(DATE(YEAR($B$9),MONTH($B$9),1),DATE(YEAR($B$10),MONTH($B$10),1),"m")+1,EDATE(DATE(YEAR($B$9),MONTH($B$9),1),ROWS($F$6:F103)-1),IF(ROWS($F$6:F103)=DATEDIF(DATE(YEAR($B$9),MONTH($B$9),1),DATE(YEAR($B$10),MONTH($B$10),1),"m")+2,"ИТОГО",IF(ROWS($F$6:F103)=DATEDIF(DATE(YEAR($B$9),MONTH($B$9),1),DATE(YEAR($B$10),MONTH($B$10),1),"m")+3,"Отклонение графика платежей",""))))</f>
        <v/>
      </c>
      <c r="G103" s="65" t="str">
        <f>IF(F103="","",IF(ISNUMBER(F103),IF($B$19="","",MAX(0,N($B$19)-N(H103))),IF(F103="ИТОГО",SUM($G$6:INDEX($G:$G,ROW()-1)),"")))</f>
        <v/>
      </c>
      <c r="H103" s="65" t="str">
        <f>IF(F103="","",IF(ISNUMBER(F103),IF($B$22&lt;&gt;"Да",0,IF(OR($B$23="",$B$24="",$B$25="",$B$26="",$B$27=""),"",IF(AND(YEAR(F103)=YEAR($B$26),MONTH(F103)=MONTH($B$26)),$B$23,0))),IF(F103="ИТОГО",SUM($H$6:INDEX($H:$H,ROW()-1)),IF(F103="Отклонение графика платежей","Проверка",""))))</f>
        <v/>
      </c>
      <c r="I103" s="30" t="str" cm="1">
        <f t="array" ref="I103">IF(F103="","",IF(ISNUMBER(F103),SUM(G103:H103),IF(F103="ИТОГО",SUM($I$6:INDEX($I:$I,ROW()-1)),IF(F103="Отклонение графика платежей",IF($B$19="","",INDEX($I:$I,ROW()-1)-$B$19),""))))</f>
        <v/>
      </c>
      <c r="J103" s="30" t="str">
        <f>IF(F103="","",IF(ISNUMBER(F103),SUM($I$6:I103),IF(F103="ИТОГО",I103,IF(F103="Отклонение графика платежей",IF(I103="","ТРЕБУЕТСЯ ВВОД",IF(ABS(I103)&lt;0.01,"OK","ОШИБКА: график платежей не соответствует стоимости помещения")),""))))</f>
        <v/>
      </c>
      <c r="K103" s="30" t="str">
        <f t="shared" si="3"/>
        <v/>
      </c>
      <c r="P103" s="103"/>
    </row>
    <row r="104" spans="1:16" x14ac:dyDescent="0.2">
      <c r="A104" s="5"/>
      <c r="B104" s="5"/>
      <c r="C104" s="5"/>
      <c r="D104" s="6"/>
      <c r="E104" s="4"/>
      <c r="F104" s="39" t="str">
        <f>IF(OR($B$9="",$B$10="",$B$10&lt;$B$9),"",IF(ROWS($F$6:F104)&lt;=DATEDIF(DATE(YEAR($B$9),MONTH($B$9),1),DATE(YEAR($B$10),MONTH($B$10),1),"m")+1,EDATE(DATE(YEAR($B$9),MONTH($B$9),1),ROWS($F$6:F104)-1),IF(ROWS($F$6:F104)=DATEDIF(DATE(YEAR($B$9),MONTH($B$9),1),DATE(YEAR($B$10),MONTH($B$10),1),"m")+2,"ИТОГО",IF(ROWS($F$6:F104)=DATEDIF(DATE(YEAR($B$9),MONTH($B$9),1),DATE(YEAR($B$10),MONTH($B$10),1),"m")+3,"Отклонение графика платежей",""))))</f>
        <v/>
      </c>
      <c r="G104" s="65" t="str">
        <f>IF(F104="","",IF(ISNUMBER(F104),IF($B$19="","",MAX(0,N($B$19)-N(H104))),IF(F104="ИТОГО",SUM($G$6:INDEX($G:$G,ROW()-1)),"")))</f>
        <v/>
      </c>
      <c r="H104" s="65" t="str">
        <f>IF(F104="","",IF(ISNUMBER(F104),IF($B$22&lt;&gt;"Да",0,IF(OR($B$23="",$B$24="",$B$25="",$B$26="",$B$27=""),"",IF(AND(YEAR(F104)=YEAR($B$26),MONTH(F104)=MONTH($B$26)),$B$23,0))),IF(F104="ИТОГО",SUM($H$6:INDEX($H:$H,ROW()-1)),IF(F104="Отклонение графика платежей","Проверка",""))))</f>
        <v/>
      </c>
      <c r="I104" s="30" t="str" cm="1">
        <f t="array" ref="I104">IF(F104="","",IF(ISNUMBER(F104),SUM(G104:H104),IF(F104="ИТОГО",SUM($I$6:INDEX($I:$I,ROW()-1)),IF(F104="Отклонение графика платежей",IF($B$19="","",INDEX($I:$I,ROW()-1)-$B$19),""))))</f>
        <v/>
      </c>
      <c r="J104" s="30" t="str">
        <f>IF(F104="","",IF(ISNUMBER(F104),SUM($I$6:I104),IF(F104="ИТОГО",I104,IF(F104="Отклонение графика платежей",IF(I104="","ТРЕБУЕТСЯ ВВОД",IF(ABS(I104)&lt;0.01,"OK","ОШИБКА: график платежей не соответствует стоимости помещения")),""))))</f>
        <v/>
      </c>
      <c r="K104" s="30" t="str">
        <f t="shared" si="3"/>
        <v/>
      </c>
      <c r="P104" s="103"/>
    </row>
    <row r="105" spans="1:16" x14ac:dyDescent="0.2">
      <c r="A105" s="5"/>
      <c r="B105" s="28"/>
      <c r="C105" s="5"/>
      <c r="D105" s="6"/>
      <c r="E105" s="4"/>
      <c r="F105" s="39" t="str">
        <f>IF(OR($B$9="",$B$10="",$B$10&lt;$B$9),"",IF(ROWS($F$6:F105)&lt;=DATEDIF(DATE(YEAR($B$9),MONTH($B$9),1),DATE(YEAR($B$10),MONTH($B$10),1),"m")+1,EDATE(DATE(YEAR($B$9),MONTH($B$9),1),ROWS($F$6:F105)-1),IF(ROWS($F$6:F105)=DATEDIF(DATE(YEAR($B$9),MONTH($B$9),1),DATE(YEAR($B$10),MONTH($B$10),1),"m")+2,"ИТОГО",IF(ROWS($F$6:F105)=DATEDIF(DATE(YEAR($B$9),MONTH($B$9),1),DATE(YEAR($B$10),MONTH($B$10),1),"m")+3,"Отклонение графика платежей",""))))</f>
        <v/>
      </c>
      <c r="G105" s="65" t="str">
        <f>IF(F105="","",IF(ISNUMBER(F105),IF($B$19="","",MAX(0,N($B$19)-N(H105))),IF(F105="ИТОГО",SUM($G$6:INDEX($G:$G,ROW()-1)),"")))</f>
        <v/>
      </c>
      <c r="H105" s="65" t="str">
        <f>IF(F105="","",IF(ISNUMBER(F105),IF($B$22&lt;&gt;"Да",0,IF(OR($B$23="",$B$24="",$B$25="",$B$26="",$B$27=""),"",IF(AND(YEAR(F105)=YEAR($B$26),MONTH(F105)=MONTH($B$26)),$B$23,0))),IF(F105="ИТОГО",SUM($H$6:INDEX($H:$H,ROW()-1)),IF(F105="Отклонение графика платежей","Проверка",""))))</f>
        <v/>
      </c>
      <c r="I105" s="30" t="str" cm="1">
        <f t="array" ref="I105">IF(F105="","",IF(ISNUMBER(F105),SUM(G105:H105),IF(F105="ИТОГО",SUM($I$6:INDEX($I:$I,ROW()-1)),IF(F105="Отклонение графика платежей",IF($B$19="","",INDEX($I:$I,ROW()-1)-$B$19),""))))</f>
        <v/>
      </c>
      <c r="J105" s="30" t="str">
        <f>IF(F105="","",IF(ISNUMBER(F105),SUM($I$6:I105),IF(F105="ИТОГО",I105,IF(F105="Отклонение графика платежей",IF(I105="","ТРЕБУЕТСЯ ВВОД",IF(ABS(I105)&lt;0.01,"OK","ОШИБКА: график платежей не соответствует стоимости помещения")),""))))</f>
        <v/>
      </c>
      <c r="K105" s="30" t="str">
        <f t="shared" si="3"/>
        <v/>
      </c>
      <c r="P105" s="103"/>
    </row>
    <row r="106" spans="1:16" x14ac:dyDescent="0.2">
      <c r="A106" s="5"/>
      <c r="B106" s="5"/>
      <c r="C106" s="5"/>
      <c r="D106" s="6"/>
      <c r="E106" s="4"/>
      <c r="F106" s="39" t="str">
        <f>IF(OR($B$9="",$B$10="",$B$10&lt;$B$9),"",IF(ROWS($F$6:F106)&lt;=DATEDIF(DATE(YEAR($B$9),MONTH($B$9),1),DATE(YEAR($B$10),MONTH($B$10),1),"m")+1,EDATE(DATE(YEAR($B$9),MONTH($B$9),1),ROWS($F$6:F106)-1),IF(ROWS($F$6:F106)=DATEDIF(DATE(YEAR($B$9),MONTH($B$9),1),DATE(YEAR($B$10),MONTH($B$10),1),"m")+2,"ИТОГО",IF(ROWS($F$6:F106)=DATEDIF(DATE(YEAR($B$9),MONTH($B$9),1),DATE(YEAR($B$10),MONTH($B$10),1),"m")+3,"Отклонение графика платежей",""))))</f>
        <v/>
      </c>
      <c r="G106" s="65" t="str">
        <f>IF(F106="","",IF(ISNUMBER(F106),IF($B$19="","",MAX(0,N($B$19)-N(H106))),IF(F106="ИТОГО",SUM($G$6:INDEX($G:$G,ROW()-1)),"")))</f>
        <v/>
      </c>
      <c r="H106" s="65" t="str">
        <f>IF(F106="","",IF(ISNUMBER(F106),IF($B$22&lt;&gt;"Да",0,IF(OR($B$23="",$B$24="",$B$25="",$B$26="",$B$27=""),"",IF(AND(YEAR(F106)=YEAR($B$26),MONTH(F106)=MONTH($B$26)),$B$23,0))),IF(F106="ИТОГО",SUM($H$6:INDEX($H:$H,ROW()-1)),IF(F106="Отклонение графика платежей","Проверка",""))))</f>
        <v/>
      </c>
      <c r="I106" s="30" t="str" cm="1">
        <f t="array" ref="I106">IF(F106="","",IF(ISNUMBER(F106),SUM(G106:H106),IF(F106="ИТОГО",SUM($I$6:INDEX($I:$I,ROW()-1)),IF(F106="Отклонение графика платежей",IF($B$19="","",INDEX($I:$I,ROW()-1)-$B$19),""))))</f>
        <v/>
      </c>
      <c r="J106" s="30" t="str">
        <f>IF(F106="","",IF(ISNUMBER(F106),SUM($I$6:I106),IF(F106="ИТОГО",I106,IF(F106="Отклонение графика платежей",IF(I106="","ТРЕБУЕТСЯ ВВОД",IF(ABS(I106)&lt;0.01,"OK","ОШИБКА: график платежей не соответствует стоимости помещения")),""))))</f>
        <v/>
      </c>
      <c r="K106" s="30" t="str">
        <f t="shared" si="3"/>
        <v/>
      </c>
      <c r="P106" s="103"/>
    </row>
    <row r="107" spans="1:16" x14ac:dyDescent="0.2">
      <c r="A107" s="5"/>
      <c r="B107" s="5"/>
      <c r="C107" s="5"/>
      <c r="D107" s="6"/>
      <c r="E107" s="4"/>
      <c r="F107" s="39" t="str">
        <f>IF(OR($B$9="",$B$10="",$B$10&lt;$B$9),"",IF(ROWS($F$6:F107)&lt;=DATEDIF(DATE(YEAR($B$9),MONTH($B$9),1),DATE(YEAR($B$10),MONTH($B$10),1),"m")+1,EDATE(DATE(YEAR($B$9),MONTH($B$9),1),ROWS($F$6:F107)-1),IF(ROWS($F$6:F107)=DATEDIF(DATE(YEAR($B$9),MONTH($B$9),1),DATE(YEAR($B$10),MONTH($B$10),1),"m")+2,"ИТОГО",IF(ROWS($F$6:F107)=DATEDIF(DATE(YEAR($B$9),MONTH($B$9),1),DATE(YEAR($B$10),MONTH($B$10),1),"m")+3,"Отклонение графика платежей",""))))</f>
        <v/>
      </c>
      <c r="G107" s="65" t="str">
        <f>IF(F107="","",IF(ISNUMBER(F107),IF($B$19="","",MAX(0,N($B$19)-N(H107))),IF(F107="ИТОГО",SUM($G$6:INDEX($G:$G,ROW()-1)),"")))</f>
        <v/>
      </c>
      <c r="H107" s="65" t="str">
        <f>IF(F107="","",IF(ISNUMBER(F107),IF($B$22&lt;&gt;"Да",0,IF(OR($B$23="",$B$24="",$B$25="",$B$26="",$B$27=""),"",IF(AND(YEAR(F107)=YEAR($B$26),MONTH(F107)=MONTH($B$26)),$B$23,0))),IF(F107="ИТОГО",SUM($H$6:INDEX($H:$H,ROW()-1)),IF(F107="Отклонение графика платежей","Проверка",""))))</f>
        <v/>
      </c>
      <c r="I107" s="30" t="str" cm="1">
        <f t="array" ref="I107">IF(F107="","",IF(ISNUMBER(F107),SUM(G107:H107),IF(F107="ИТОГО",SUM($I$6:INDEX($I:$I,ROW()-1)),IF(F107="Отклонение графика платежей",IF($B$19="","",INDEX($I:$I,ROW()-1)-$B$19),""))))</f>
        <v/>
      </c>
      <c r="J107" s="30" t="str">
        <f>IF(F107="","",IF(ISNUMBER(F107),SUM($I$6:I107),IF(F107="ИТОГО",I107,IF(F107="Отклонение графика платежей",IF(I107="","ТРЕБУЕТСЯ ВВОД",IF(ABS(I107)&lt;0.01,"OK","ОШИБКА: график платежей не соответствует стоимости помещения")),""))))</f>
        <v/>
      </c>
      <c r="K107" s="30" t="str">
        <f t="shared" si="3"/>
        <v/>
      </c>
      <c r="P107" s="103"/>
    </row>
    <row r="108" spans="1:16" x14ac:dyDescent="0.2">
      <c r="A108" s="5"/>
      <c r="B108" s="5"/>
      <c r="C108" s="5"/>
      <c r="D108" s="6"/>
      <c r="E108" s="4"/>
      <c r="F108" s="39" t="str">
        <f>IF(OR($B$9="",$B$10="",$B$10&lt;$B$9),"",IF(ROWS($F$6:F108)&lt;=DATEDIF(DATE(YEAR($B$9),MONTH($B$9),1),DATE(YEAR($B$10),MONTH($B$10),1),"m")+1,EDATE(DATE(YEAR($B$9),MONTH($B$9),1),ROWS($F$6:F108)-1),IF(ROWS($F$6:F108)=DATEDIF(DATE(YEAR($B$9),MONTH($B$9),1),DATE(YEAR($B$10),MONTH($B$10),1),"m")+2,"ИТОГО",IF(ROWS($F$6:F108)=DATEDIF(DATE(YEAR($B$9),MONTH($B$9),1),DATE(YEAR($B$10),MONTH($B$10),1),"m")+3,"Отклонение графика платежей",""))))</f>
        <v/>
      </c>
      <c r="G108" s="65" t="str">
        <f>IF(F108="","",IF(ISNUMBER(F108),IF($B$19="","",MAX(0,N($B$19)-N(H108))),IF(F108="ИТОГО",SUM($G$6:INDEX($G:$G,ROW()-1)),"")))</f>
        <v/>
      </c>
      <c r="H108" s="65" t="str">
        <f>IF(F108="","",IF(ISNUMBER(F108),IF($B$22&lt;&gt;"Да",0,IF(OR($B$23="",$B$24="",$B$25="",$B$26="",$B$27=""),"",IF(AND(YEAR(F108)=YEAR($B$26),MONTH(F108)=MONTH($B$26)),$B$23,0))),IF(F108="ИТОГО",SUM($H$6:INDEX($H:$H,ROW()-1)),IF(F108="Отклонение графика платежей","Проверка",""))))</f>
        <v/>
      </c>
      <c r="I108" s="30" t="str" cm="1">
        <f t="array" ref="I108">IF(F108="","",IF(ISNUMBER(F108),SUM(G108:H108),IF(F108="ИТОГО",SUM($I$6:INDEX($I:$I,ROW()-1)),IF(F108="Отклонение графика платежей",IF($B$19="","",INDEX($I:$I,ROW()-1)-$B$19),""))))</f>
        <v/>
      </c>
      <c r="J108" s="30" t="str">
        <f>IF(F108="","",IF(ISNUMBER(F108),SUM($I$6:I108),IF(F108="ИТОГО",I108,IF(F108="Отклонение графика платежей",IF(I108="","ТРЕБУЕТСЯ ВВОД",IF(ABS(I108)&lt;0.01,"OK","ОШИБКА: график платежей не соответствует стоимости помещения")),""))))</f>
        <v/>
      </c>
      <c r="K108" s="30" t="str">
        <f t="shared" si="3"/>
        <v/>
      </c>
      <c r="P108" s="103"/>
    </row>
    <row r="109" spans="1:16" x14ac:dyDescent="0.2">
      <c r="A109" s="5"/>
      <c r="B109" s="5"/>
      <c r="C109" s="5"/>
      <c r="D109" s="6"/>
      <c r="E109" s="4"/>
      <c r="F109" s="39" t="str">
        <f>IF(OR($B$9="",$B$10="",$B$10&lt;$B$9),"",IF(ROWS($F$6:F109)&lt;=DATEDIF(DATE(YEAR($B$9),MONTH($B$9),1),DATE(YEAR($B$10),MONTH($B$10),1),"m")+1,EDATE(DATE(YEAR($B$9),MONTH($B$9),1),ROWS($F$6:F109)-1),IF(ROWS($F$6:F109)=DATEDIF(DATE(YEAR($B$9),MONTH($B$9),1),DATE(YEAR($B$10),MONTH($B$10),1),"m")+2,"ИТОГО",IF(ROWS($F$6:F109)=DATEDIF(DATE(YEAR($B$9),MONTH($B$9),1),DATE(YEAR($B$10),MONTH($B$10),1),"m")+3,"Отклонение графика платежей",""))))</f>
        <v/>
      </c>
      <c r="G109" s="65" t="str">
        <f>IF(F109="","",IF(ISNUMBER(F109),IF($B$19="","",MAX(0,N($B$19)-N(H109))),IF(F109="ИТОГО",SUM($G$6:INDEX($G:$G,ROW()-1)),"")))</f>
        <v/>
      </c>
      <c r="H109" s="65" t="str">
        <f>IF(F109="","",IF(ISNUMBER(F109),IF($B$22&lt;&gt;"Да",0,IF(OR($B$23="",$B$24="",$B$25="",$B$26="",$B$27=""),"",IF(AND(YEAR(F109)=YEAR($B$26),MONTH(F109)=MONTH($B$26)),$B$23,0))),IF(F109="ИТОГО",SUM($H$6:INDEX($H:$H,ROW()-1)),IF(F109="Отклонение графика платежей","Проверка",""))))</f>
        <v/>
      </c>
      <c r="I109" s="30" t="str" cm="1">
        <f t="array" ref="I109">IF(F109="","",IF(ISNUMBER(F109),SUM(G109:H109),IF(F109="ИТОГО",SUM($I$6:INDEX($I:$I,ROW()-1)),IF(F109="Отклонение графика платежей",IF($B$19="","",INDEX($I:$I,ROW()-1)-$B$19),""))))</f>
        <v/>
      </c>
      <c r="J109" s="30" t="str">
        <f>IF(F109="","",IF(ISNUMBER(F109),SUM($I$6:I109),IF(F109="ИТОГО",I109,IF(F109="Отклонение графика платежей",IF(I109="","ТРЕБУЕТСЯ ВВОД",IF(ABS(I109)&lt;0.01,"OK","ОШИБКА: график платежей не соответствует стоимости помещения")),""))))</f>
        <v/>
      </c>
      <c r="K109" s="30" t="str">
        <f t="shared" si="3"/>
        <v/>
      </c>
      <c r="P109" s="103"/>
    </row>
    <row r="110" spans="1:16" x14ac:dyDescent="0.2">
      <c r="A110" s="5"/>
      <c r="B110" s="5"/>
      <c r="C110" s="5"/>
      <c r="D110" s="6"/>
      <c r="E110" s="4"/>
      <c r="F110" s="39" t="str">
        <f>IF(OR($B$9="",$B$10="",$B$10&lt;$B$9),"",IF(ROWS($F$6:F110)&lt;=DATEDIF(DATE(YEAR($B$9),MONTH($B$9),1),DATE(YEAR($B$10),MONTH($B$10),1),"m")+1,EDATE(DATE(YEAR($B$9),MONTH($B$9),1),ROWS($F$6:F110)-1),IF(ROWS($F$6:F110)=DATEDIF(DATE(YEAR($B$9),MONTH($B$9),1),DATE(YEAR($B$10),MONTH($B$10),1),"m")+2,"ИТОГО",IF(ROWS($F$6:F110)=DATEDIF(DATE(YEAR($B$9),MONTH($B$9),1),DATE(YEAR($B$10),MONTH($B$10),1),"m")+3,"Отклонение графика платежей",""))))</f>
        <v/>
      </c>
      <c r="G110" s="65" t="str">
        <f>IF(F110="","",IF(ISNUMBER(F110),IF($B$19="","",MAX(0,N($B$19)-N(H110))),IF(F110="ИТОГО",SUM($G$6:INDEX($G:$G,ROW()-1)),"")))</f>
        <v/>
      </c>
      <c r="H110" s="65" t="str">
        <f>IF(F110="","",IF(ISNUMBER(F110),IF($B$22&lt;&gt;"Да",0,IF(OR($B$23="",$B$24="",$B$25="",$B$26="",$B$27=""),"",IF(AND(YEAR(F110)=YEAR($B$26),MONTH(F110)=MONTH($B$26)),$B$23,0))),IF(F110="ИТОГО",SUM($H$6:INDEX($H:$H,ROW()-1)),IF(F110="Отклонение графика платежей","Проверка",""))))</f>
        <v/>
      </c>
      <c r="I110" s="30" t="str" cm="1">
        <f t="array" ref="I110">IF(F110="","",IF(ISNUMBER(F110),SUM(G110:H110),IF(F110="ИТОГО",SUM($I$6:INDEX($I:$I,ROW()-1)),IF(F110="Отклонение графика платежей",IF($B$19="","",INDEX($I:$I,ROW()-1)-$B$19),""))))</f>
        <v/>
      </c>
      <c r="J110" s="30" t="str">
        <f>IF(F110="","",IF(ISNUMBER(F110),SUM($I$6:I110),IF(F110="ИТОГО",I110,IF(F110="Отклонение графика платежей",IF(I110="","ТРЕБУЕТСЯ ВВОД",IF(ABS(I110)&lt;0.01,"OK","ОШИБКА: график платежей не соответствует стоимости помещения")),""))))</f>
        <v/>
      </c>
      <c r="K110" s="30" t="str">
        <f t="shared" si="3"/>
        <v/>
      </c>
      <c r="P110" s="103"/>
    </row>
    <row r="111" spans="1:16" x14ac:dyDescent="0.2">
      <c r="A111" s="5"/>
      <c r="B111" s="5"/>
      <c r="C111" s="5"/>
      <c r="D111" s="6"/>
      <c r="E111" s="4"/>
      <c r="F111" s="39" t="str">
        <f>IF(OR($B$9="",$B$10="",$B$10&lt;$B$9),"",IF(ROWS($F$6:F111)&lt;=DATEDIF(DATE(YEAR($B$9),MONTH($B$9),1),DATE(YEAR($B$10),MONTH($B$10),1),"m")+1,EDATE(DATE(YEAR($B$9),MONTH($B$9),1),ROWS($F$6:F111)-1),IF(ROWS($F$6:F111)=DATEDIF(DATE(YEAR($B$9),MONTH($B$9),1),DATE(YEAR($B$10),MONTH($B$10),1),"m")+2,"ИТОГО",IF(ROWS($F$6:F111)=DATEDIF(DATE(YEAR($B$9),MONTH($B$9),1),DATE(YEAR($B$10),MONTH($B$10),1),"m")+3,"Отклонение графика платежей",""))))</f>
        <v/>
      </c>
      <c r="G111" s="65" t="str">
        <f>IF(F111="","",IF(ISNUMBER(F111),IF($B$19="","",MAX(0,N($B$19)-N(H111))),IF(F111="ИТОГО",SUM($G$6:INDEX($G:$G,ROW()-1)),"")))</f>
        <v/>
      </c>
      <c r="H111" s="65" t="str">
        <f>IF(F111="","",IF(ISNUMBER(F111),IF($B$22&lt;&gt;"Да",0,IF(OR($B$23="",$B$24="",$B$25="",$B$26="",$B$27=""),"",IF(AND(YEAR(F111)=YEAR($B$26),MONTH(F111)=MONTH($B$26)),$B$23,0))),IF(F111="ИТОГО",SUM($H$6:INDEX($H:$H,ROW()-1)),IF(F111="Отклонение графика платежей","Проверка",""))))</f>
        <v/>
      </c>
      <c r="I111" s="30" t="str" cm="1">
        <f t="array" ref="I111">IF(F111="","",IF(ISNUMBER(F111),SUM(G111:H111),IF(F111="ИТОГО",SUM($I$6:INDEX($I:$I,ROW()-1)),IF(F111="Отклонение графика платежей",IF($B$19="","",INDEX($I:$I,ROW()-1)-$B$19),""))))</f>
        <v/>
      </c>
      <c r="J111" s="30" t="str">
        <f>IF(F111="","",IF(ISNUMBER(F111),SUM($I$6:I111),IF(F111="ИТОГО",I111,IF(F111="Отклонение графика платежей",IF(I111="","ТРЕБУЕТСЯ ВВОД",IF(ABS(I111)&lt;0.01,"OK","ОШИБКА: график платежей не соответствует стоимости помещения")),""))))</f>
        <v/>
      </c>
      <c r="K111" s="30" t="str">
        <f t="shared" si="3"/>
        <v/>
      </c>
      <c r="P111" s="103"/>
    </row>
    <row r="112" spans="1:16" x14ac:dyDescent="0.2">
      <c r="A112" s="5"/>
      <c r="B112" s="5"/>
      <c r="C112" s="5"/>
      <c r="D112" s="6"/>
      <c r="E112" s="4"/>
      <c r="F112" s="39" t="str">
        <f>IF(OR($B$9="",$B$10="",$B$10&lt;$B$9),"",IF(ROWS($F$6:F112)&lt;=DATEDIF(DATE(YEAR($B$9),MONTH($B$9),1),DATE(YEAR($B$10),MONTH($B$10),1),"m")+1,EDATE(DATE(YEAR($B$9),MONTH($B$9),1),ROWS($F$6:F112)-1),IF(ROWS($F$6:F112)=DATEDIF(DATE(YEAR($B$9),MONTH($B$9),1),DATE(YEAR($B$10),MONTH($B$10),1),"m")+2,"ИТОГО",IF(ROWS($F$6:F112)=DATEDIF(DATE(YEAR($B$9),MONTH($B$9),1),DATE(YEAR($B$10),MONTH($B$10),1),"m")+3,"Отклонение графика платежей",""))))</f>
        <v/>
      </c>
      <c r="G112" s="65" t="str">
        <f>IF(F112="","",IF(ISNUMBER(F112),IF($B$19="","",MAX(0,N($B$19)-N(H112))),IF(F112="ИТОГО",SUM($G$6:INDEX($G:$G,ROW()-1)),"")))</f>
        <v/>
      </c>
      <c r="H112" s="65" t="str">
        <f>IF(F112="","",IF(ISNUMBER(F112),IF($B$22&lt;&gt;"Да",0,IF(OR($B$23="",$B$24="",$B$25="",$B$26="",$B$27=""),"",IF(AND(YEAR(F112)=YEAR($B$26),MONTH(F112)=MONTH($B$26)),$B$23,0))),IF(F112="ИТОГО",SUM($H$6:INDEX($H:$H,ROW()-1)),IF(F112="Отклонение графика платежей","Проверка",""))))</f>
        <v/>
      </c>
      <c r="I112" s="30" t="str" cm="1">
        <f t="array" ref="I112">IF(F112="","",IF(ISNUMBER(F112),SUM(G112:H112),IF(F112="ИТОГО",SUM($I$6:INDEX($I:$I,ROW()-1)),IF(F112="Отклонение графика платежей",IF($B$19="","",INDEX($I:$I,ROW()-1)-$B$19),""))))</f>
        <v/>
      </c>
      <c r="J112" s="30" t="str">
        <f>IF(F112="","",IF(ISNUMBER(F112),SUM($I$6:I112),IF(F112="ИТОГО",I112,IF(F112="Отклонение графика платежей",IF(I112="","ТРЕБУЕТСЯ ВВОД",IF(ABS(I112)&lt;0.01,"OK","ОШИБКА: график платежей не соответствует стоимости помещения")),""))))</f>
        <v/>
      </c>
      <c r="K112" s="30" t="str">
        <f t="shared" si="3"/>
        <v/>
      </c>
      <c r="P112" s="103"/>
    </row>
    <row r="113" spans="1:16" x14ac:dyDescent="0.2">
      <c r="A113" s="5"/>
      <c r="B113" s="5"/>
      <c r="C113" s="5"/>
      <c r="D113" s="6"/>
      <c r="E113" s="4"/>
      <c r="F113" s="39" t="str">
        <f>IF(OR($B$9="",$B$10="",$B$10&lt;$B$9),"",IF(ROWS($F$6:F113)&lt;=DATEDIF(DATE(YEAR($B$9),MONTH($B$9),1),DATE(YEAR($B$10),MONTH($B$10),1),"m")+1,EDATE(DATE(YEAR($B$9),MONTH($B$9),1),ROWS($F$6:F113)-1),IF(ROWS($F$6:F113)=DATEDIF(DATE(YEAR($B$9),MONTH($B$9),1),DATE(YEAR($B$10),MONTH($B$10),1),"m")+2,"ИТОГО",IF(ROWS($F$6:F113)=DATEDIF(DATE(YEAR($B$9),MONTH($B$9),1),DATE(YEAR($B$10),MONTH($B$10),1),"m")+3,"Отклонение графика платежей",""))))</f>
        <v/>
      </c>
      <c r="G113" s="65" t="str">
        <f>IF(F113="","",IF(ISNUMBER(F113),IF($B$19="","",MAX(0,N($B$19)-N(H113))),IF(F113="ИТОГО",SUM($G$6:INDEX($G:$G,ROW()-1)),"")))</f>
        <v/>
      </c>
      <c r="H113" s="65" t="str">
        <f>IF(F113="","",IF(ISNUMBER(F113),IF($B$22&lt;&gt;"Да",0,IF(OR($B$23="",$B$24="",$B$25="",$B$26="",$B$27=""),"",IF(AND(YEAR(F113)=YEAR($B$26),MONTH(F113)=MONTH($B$26)),$B$23,0))),IF(F113="ИТОГО",SUM($H$6:INDEX($H:$H,ROW()-1)),IF(F113="Отклонение графика платежей","Проверка",""))))</f>
        <v/>
      </c>
      <c r="I113" s="30" t="str" cm="1">
        <f t="array" ref="I113">IF(F113="","",IF(ISNUMBER(F113),SUM(G113:H113),IF(F113="ИТОГО",SUM($I$6:INDEX($I:$I,ROW()-1)),IF(F113="Отклонение графика платежей",IF($B$19="","",INDEX($I:$I,ROW()-1)-$B$19),""))))</f>
        <v/>
      </c>
      <c r="J113" s="30" t="str">
        <f>IF(F113="","",IF(ISNUMBER(F113),SUM($I$6:I113),IF(F113="ИТОГО",I113,IF(F113="Отклонение графика платежей",IF(I113="","ТРЕБУЕТСЯ ВВОД",IF(ABS(I113)&lt;0.01,"OK","ОШИБКА: график платежей не соответствует стоимости помещения")),""))))</f>
        <v/>
      </c>
      <c r="K113" s="30" t="str">
        <f t="shared" si="3"/>
        <v/>
      </c>
      <c r="P113" s="103"/>
    </row>
    <row r="114" spans="1:16" x14ac:dyDescent="0.2">
      <c r="A114" s="5"/>
      <c r="B114" s="5"/>
      <c r="C114" s="5"/>
      <c r="D114" s="6"/>
      <c r="E114" s="4"/>
      <c r="F114" s="39" t="str">
        <f>IF(OR($B$9="",$B$10="",$B$10&lt;$B$9),"",IF(ROWS($F$6:F114)&lt;=DATEDIF(DATE(YEAR($B$9),MONTH($B$9),1),DATE(YEAR($B$10),MONTH($B$10),1),"m")+1,EDATE(DATE(YEAR($B$9),MONTH($B$9),1),ROWS($F$6:F114)-1),IF(ROWS($F$6:F114)=DATEDIF(DATE(YEAR($B$9),MONTH($B$9),1),DATE(YEAR($B$10),MONTH($B$10),1),"m")+2,"ИТОГО",IF(ROWS($F$6:F114)=DATEDIF(DATE(YEAR($B$9),MONTH($B$9),1),DATE(YEAR($B$10),MONTH($B$10),1),"m")+3,"Отклонение графика платежей",""))))</f>
        <v/>
      </c>
      <c r="G114" s="65" t="str">
        <f>IF(F114="","",IF(ISNUMBER(F114),IF($B$19="","",MAX(0,N($B$19)-N(H114))),IF(F114="ИТОГО",SUM($G$6:INDEX($G:$G,ROW()-1)),"")))</f>
        <v/>
      </c>
      <c r="H114" s="65" t="str">
        <f>IF(F114="","",IF(ISNUMBER(F114),IF($B$22&lt;&gt;"Да",0,IF(OR($B$23="",$B$24="",$B$25="",$B$26="",$B$27=""),"",IF(AND(YEAR(F114)=YEAR($B$26),MONTH(F114)=MONTH($B$26)),$B$23,0))),IF(F114="ИТОГО",SUM($H$6:INDEX($H:$H,ROW()-1)),IF(F114="Отклонение графика платежей","Проверка",""))))</f>
        <v/>
      </c>
      <c r="I114" s="30" t="str" cm="1">
        <f t="array" ref="I114">IF(F114="","",IF(ISNUMBER(F114),SUM(G114:H114),IF(F114="ИТОГО",SUM($I$6:INDEX($I:$I,ROW()-1)),IF(F114="Отклонение графика платежей",IF($B$19="","",INDEX($I:$I,ROW()-1)-$B$19),""))))</f>
        <v/>
      </c>
      <c r="J114" s="30" t="str">
        <f>IF(F114="","",IF(ISNUMBER(F114),SUM($I$6:I114),IF(F114="ИТОГО",I114,IF(F114="Отклонение графика платежей",IF(I114="","ТРЕБУЕТСЯ ВВОД",IF(ABS(I114)&lt;0.01,"OK","ОШИБКА: график платежей не соответствует стоимости помещения")),""))))</f>
        <v/>
      </c>
      <c r="K114" s="30" t="str">
        <f t="shared" si="3"/>
        <v/>
      </c>
      <c r="P114" s="103"/>
    </row>
    <row r="115" spans="1:16" x14ac:dyDescent="0.2">
      <c r="A115" s="5"/>
      <c r="B115" s="5"/>
      <c r="C115" s="5"/>
      <c r="D115" s="6"/>
      <c r="E115" s="4"/>
      <c r="F115" s="39" t="str">
        <f>IF(OR($B$9="",$B$10="",$B$10&lt;$B$9),"",IF(ROWS($F$6:F115)&lt;=DATEDIF(DATE(YEAR($B$9),MONTH($B$9),1),DATE(YEAR($B$10),MONTH($B$10),1),"m")+1,EDATE(DATE(YEAR($B$9),MONTH($B$9),1),ROWS($F$6:F115)-1),IF(ROWS($F$6:F115)=DATEDIF(DATE(YEAR($B$9),MONTH($B$9),1),DATE(YEAR($B$10),MONTH($B$10),1),"m")+2,"ИТОГО",IF(ROWS($F$6:F115)=DATEDIF(DATE(YEAR($B$9),MONTH($B$9),1),DATE(YEAR($B$10),MONTH($B$10),1),"m")+3,"Отклонение графика платежей",""))))</f>
        <v/>
      </c>
      <c r="G115" s="65" t="str">
        <f>IF(F115="","",IF(ISNUMBER(F115),IF($B$19="","",MAX(0,N($B$19)-N(H115))),IF(F115="ИТОГО",SUM($G$6:INDEX($G:$G,ROW()-1)),"")))</f>
        <v/>
      </c>
      <c r="H115" s="65" t="str">
        <f>IF(F115="","",IF(ISNUMBER(F115),IF($B$22&lt;&gt;"Да",0,IF(OR($B$23="",$B$24="",$B$25="",$B$26="",$B$27=""),"",IF(AND(YEAR(F115)=YEAR($B$26),MONTH(F115)=MONTH($B$26)),$B$23,0))),IF(F115="ИТОГО",SUM($H$6:INDEX($H:$H,ROW()-1)),IF(F115="Отклонение графика платежей","Проверка",""))))</f>
        <v/>
      </c>
      <c r="I115" s="30" t="str" cm="1">
        <f t="array" ref="I115">IF(F115="","",IF(ISNUMBER(F115),SUM(G115:H115),IF(F115="ИТОГО",SUM($I$6:INDEX($I:$I,ROW()-1)),IF(F115="Отклонение графика платежей",IF($B$19="","",INDEX($I:$I,ROW()-1)-$B$19),""))))</f>
        <v/>
      </c>
      <c r="J115" s="30" t="str">
        <f>IF(F115="","",IF(ISNUMBER(F115),SUM($I$6:I115),IF(F115="ИТОГО",I115,IF(F115="Отклонение графика платежей",IF(I115="","ТРЕБУЕТСЯ ВВОД",IF(ABS(I115)&lt;0.01,"OK","ОШИБКА: график платежей не соответствует стоимости помещения")),""))))</f>
        <v/>
      </c>
      <c r="K115" s="30" t="str">
        <f t="shared" si="3"/>
        <v/>
      </c>
      <c r="P115" s="103"/>
    </row>
    <row r="116" spans="1:16" x14ac:dyDescent="0.2">
      <c r="A116" s="5"/>
      <c r="B116" s="5"/>
      <c r="C116" s="5"/>
      <c r="D116" s="6"/>
      <c r="E116" s="4"/>
      <c r="F116" s="39" t="str">
        <f>IF(OR($B$9="",$B$10="",$B$10&lt;$B$9),"",IF(ROWS($F$6:F116)&lt;=DATEDIF(DATE(YEAR($B$9),MONTH($B$9),1),DATE(YEAR($B$10),MONTH($B$10),1),"m")+1,EDATE(DATE(YEAR($B$9),MONTH($B$9),1),ROWS($F$6:F116)-1),IF(ROWS($F$6:F116)=DATEDIF(DATE(YEAR($B$9),MONTH($B$9),1),DATE(YEAR($B$10),MONTH($B$10),1),"m")+2,"ИТОГО",IF(ROWS($F$6:F116)=DATEDIF(DATE(YEAR($B$9),MONTH($B$9),1),DATE(YEAR($B$10),MONTH($B$10),1),"m")+3,"Отклонение графика платежей",""))))</f>
        <v/>
      </c>
      <c r="G116" s="65" t="str">
        <f>IF(F116="","",IF(ISNUMBER(F116),IF($B$19="","",MAX(0,N($B$19)-N(H116))),IF(F116="ИТОГО",SUM($G$6:INDEX($G:$G,ROW()-1)),"")))</f>
        <v/>
      </c>
      <c r="H116" s="65" t="str">
        <f>IF(F116="","",IF(ISNUMBER(F116),IF($B$22&lt;&gt;"Да",0,IF(OR($B$23="",$B$24="",$B$25="",$B$26="",$B$27=""),"",IF(AND(YEAR(F116)=YEAR($B$26),MONTH(F116)=MONTH($B$26)),$B$23,0))),IF(F116="ИТОГО",SUM($H$6:INDEX($H:$H,ROW()-1)),IF(F116="Отклонение графика платежей","Проверка",""))))</f>
        <v/>
      </c>
      <c r="I116" s="30" t="str" cm="1">
        <f t="array" ref="I116">IF(F116="","",IF(ISNUMBER(F116),SUM(G116:H116),IF(F116="ИТОГО",SUM($I$6:INDEX($I:$I,ROW()-1)),IF(F116="Отклонение графика платежей",IF($B$19="","",INDEX($I:$I,ROW()-1)-$B$19),""))))</f>
        <v/>
      </c>
      <c r="J116" s="30" t="str">
        <f>IF(F116="","",IF(ISNUMBER(F116),SUM($I$6:I116),IF(F116="ИТОГО",I116,IF(F116="Отклонение графика платежей",IF(I116="","ТРЕБУЕТСЯ ВВОД",IF(ABS(I116)&lt;0.01,"OK","ОШИБКА: график платежей не соответствует стоимости помещения")),""))))</f>
        <v/>
      </c>
      <c r="K116" s="30" t="str">
        <f t="shared" si="3"/>
        <v/>
      </c>
      <c r="P116" s="103"/>
    </row>
    <row r="117" spans="1:16" x14ac:dyDescent="0.2">
      <c r="A117" s="5"/>
      <c r="B117" s="5"/>
      <c r="C117" s="5"/>
      <c r="D117" s="6"/>
      <c r="E117" s="4"/>
      <c r="F117" s="39" t="str">
        <f>IF(OR($B$9="",$B$10="",$B$10&lt;$B$9),"",IF(ROWS($F$6:F117)&lt;=DATEDIF(DATE(YEAR($B$9),MONTH($B$9),1),DATE(YEAR($B$10),MONTH($B$10),1),"m")+1,EDATE(DATE(YEAR($B$9),MONTH($B$9),1),ROWS($F$6:F117)-1),IF(ROWS($F$6:F117)=DATEDIF(DATE(YEAR($B$9),MONTH($B$9),1),DATE(YEAR($B$10),MONTH($B$10),1),"m")+2,"ИТОГО",IF(ROWS($F$6:F117)=DATEDIF(DATE(YEAR($B$9),MONTH($B$9),1),DATE(YEAR($B$10),MONTH($B$10),1),"m")+3,"Отклонение графика платежей",""))))</f>
        <v/>
      </c>
      <c r="G117" s="65" t="str">
        <f>IF(F117="","",IF(ISNUMBER(F117),IF($B$19="","",MAX(0,N($B$19)-N(H117))),IF(F117="ИТОГО",SUM($G$6:INDEX($G:$G,ROW()-1)),"")))</f>
        <v/>
      </c>
      <c r="H117" s="65" t="str">
        <f>IF(F117="","",IF(ISNUMBER(F117),IF($B$22&lt;&gt;"Да",0,IF(OR($B$23="",$B$24="",$B$25="",$B$26="",$B$27=""),"",IF(AND(YEAR(F117)=YEAR($B$26),MONTH(F117)=MONTH($B$26)),$B$23,0))),IF(F117="ИТОГО",SUM($H$6:INDEX($H:$H,ROW()-1)),IF(F117="Отклонение графика платежей","Проверка",""))))</f>
        <v/>
      </c>
      <c r="I117" s="30" t="str" cm="1">
        <f t="array" ref="I117">IF(F117="","",IF(ISNUMBER(F117),SUM(G117:H117),IF(F117="ИТОГО",SUM($I$6:INDEX($I:$I,ROW()-1)),IF(F117="Отклонение графика платежей",IF($B$19="","",INDEX($I:$I,ROW()-1)-$B$19),""))))</f>
        <v/>
      </c>
      <c r="J117" s="30" t="str">
        <f>IF(F117="","",IF(ISNUMBER(F117),SUM($I$6:I117),IF(F117="ИТОГО",I117,IF(F117="Отклонение графика платежей",IF(I117="","ТРЕБУЕТСЯ ВВОД",IF(ABS(I117)&lt;0.01,"OK","ОШИБКА: график платежей не соответствует стоимости помещения")),""))))</f>
        <v/>
      </c>
      <c r="K117" s="30" t="str">
        <f t="shared" si="3"/>
        <v/>
      </c>
      <c r="P117" s="103"/>
    </row>
    <row r="118" spans="1:16" x14ac:dyDescent="0.2">
      <c r="A118" s="5"/>
      <c r="B118" s="5"/>
      <c r="C118" s="5"/>
      <c r="D118" s="6"/>
      <c r="E118" s="4"/>
      <c r="F118" s="39" t="str">
        <f>IF(OR($B$9="",$B$10="",$B$10&lt;$B$9),"",IF(ROWS($F$6:F118)&lt;=DATEDIF(DATE(YEAR($B$9),MONTH($B$9),1),DATE(YEAR($B$10),MONTH($B$10),1),"m")+1,EDATE(DATE(YEAR($B$9),MONTH($B$9),1),ROWS($F$6:F118)-1),IF(ROWS($F$6:F118)=DATEDIF(DATE(YEAR($B$9),MONTH($B$9),1),DATE(YEAR($B$10),MONTH($B$10),1),"m")+2,"ИТОГО",IF(ROWS($F$6:F118)=DATEDIF(DATE(YEAR($B$9),MONTH($B$9),1),DATE(YEAR($B$10),MONTH($B$10),1),"m")+3,"Отклонение графика платежей",""))))</f>
        <v/>
      </c>
      <c r="G118" s="65" t="str">
        <f>IF(F118="","",IF(ISNUMBER(F118),IF($B$19="","",MAX(0,N($B$19)-N(H118))),IF(F118="ИТОГО",SUM($G$6:INDEX($G:$G,ROW()-1)),"")))</f>
        <v/>
      </c>
      <c r="H118" s="65" t="str">
        <f>IF(F118="","",IF(ISNUMBER(F118),IF($B$22&lt;&gt;"Да",0,IF(OR($B$23="",$B$24="",$B$25="",$B$26="",$B$27=""),"",IF(AND(YEAR(F118)=YEAR($B$26),MONTH(F118)=MONTH($B$26)),$B$23,0))),IF(F118="ИТОГО",SUM($H$6:INDEX($H:$H,ROW()-1)),IF(F118="Отклонение графика платежей","Проверка",""))))</f>
        <v/>
      </c>
      <c r="I118" s="30" t="str" cm="1">
        <f t="array" ref="I118">IF(F118="","",IF(ISNUMBER(F118),SUM(G118:H118),IF(F118="ИТОГО",SUM($I$6:INDEX($I:$I,ROW()-1)),IF(F118="Отклонение графика платежей",IF($B$19="","",INDEX($I:$I,ROW()-1)-$B$19),""))))</f>
        <v/>
      </c>
      <c r="J118" s="30" t="str">
        <f>IF(F118="","",IF(ISNUMBER(F118),SUM($I$6:I118),IF(F118="ИТОГО",I118,IF(F118="Отклонение графика платежей",IF(I118="","ТРЕБУЕТСЯ ВВОД",IF(ABS(I118)&lt;0.01,"OK","ОШИБКА: график платежей не соответствует стоимости помещения")),""))))</f>
        <v/>
      </c>
      <c r="K118" s="30" t="str">
        <f t="shared" si="3"/>
        <v/>
      </c>
      <c r="P118" s="103"/>
    </row>
    <row r="119" spans="1:16" x14ac:dyDescent="0.2">
      <c r="A119" s="5"/>
      <c r="B119" s="5"/>
      <c r="C119" s="5"/>
      <c r="D119" s="6"/>
      <c r="E119" s="4"/>
      <c r="F119" s="39" t="str">
        <f>IF(OR($B$9="",$B$10="",$B$10&lt;$B$9),"",IF(ROWS($F$6:F119)&lt;=DATEDIF(DATE(YEAR($B$9),MONTH($B$9),1),DATE(YEAR($B$10),MONTH($B$10),1),"m")+1,EDATE(DATE(YEAR($B$9),MONTH($B$9),1),ROWS($F$6:F119)-1),IF(ROWS($F$6:F119)=DATEDIF(DATE(YEAR($B$9),MONTH($B$9),1),DATE(YEAR($B$10),MONTH($B$10),1),"m")+2,"ИТОГО",IF(ROWS($F$6:F119)=DATEDIF(DATE(YEAR($B$9),MONTH($B$9),1),DATE(YEAR($B$10),MONTH($B$10),1),"m")+3,"Отклонение графика платежей",""))))</f>
        <v/>
      </c>
      <c r="G119" s="65" t="str">
        <f>IF(F119="","",IF(ISNUMBER(F119),IF($B$19="","",MAX(0,N($B$19)-N(H119))),IF(F119="ИТОГО",SUM($G$6:INDEX($G:$G,ROW()-1)),"")))</f>
        <v/>
      </c>
      <c r="H119" s="65" t="str">
        <f>IF(F119="","",IF(ISNUMBER(F119),IF($B$22&lt;&gt;"Да",0,IF(OR($B$23="",$B$24="",$B$25="",$B$26="",$B$27=""),"",IF(AND(YEAR(F119)=YEAR($B$26),MONTH(F119)=MONTH($B$26)),$B$23,0))),IF(F119="ИТОГО",SUM($H$6:INDEX($H:$H,ROW()-1)),IF(F119="Отклонение графика платежей","Проверка",""))))</f>
        <v/>
      </c>
      <c r="I119" s="30" t="str" cm="1">
        <f t="array" ref="I119">IF(F119="","",IF(ISNUMBER(F119),SUM(G119:H119),IF(F119="ИТОГО",SUM($I$6:INDEX($I:$I,ROW()-1)),IF(F119="Отклонение графика платежей",IF($B$19="","",INDEX($I:$I,ROW()-1)-$B$19),""))))</f>
        <v/>
      </c>
      <c r="J119" s="30" t="str">
        <f>IF(F119="","",IF(ISNUMBER(F119),SUM($I$6:I119),IF(F119="ИТОГО",I119,IF(F119="Отклонение графика платежей",IF(I119="","ТРЕБУЕТСЯ ВВОД",IF(ABS(I119)&lt;0.01,"OK","ОШИБКА: график платежей не соответствует стоимости помещения")),""))))</f>
        <v/>
      </c>
      <c r="K119" s="30" t="str">
        <f t="shared" si="3"/>
        <v/>
      </c>
      <c r="P119" s="103"/>
    </row>
    <row r="120" spans="1:16" x14ac:dyDescent="0.2">
      <c r="A120" s="5"/>
      <c r="B120" s="5"/>
      <c r="C120" s="5"/>
      <c r="D120" s="6"/>
      <c r="E120" s="4"/>
      <c r="F120" s="39" t="str">
        <f>IF(OR($B$9="",$B$10="",$B$10&lt;$B$9),"",IF(ROWS($F$6:F120)&lt;=DATEDIF(DATE(YEAR($B$9),MONTH($B$9),1),DATE(YEAR($B$10),MONTH($B$10),1),"m")+1,EDATE(DATE(YEAR($B$9),MONTH($B$9),1),ROWS($F$6:F120)-1),IF(ROWS($F$6:F120)=DATEDIF(DATE(YEAR($B$9),MONTH($B$9),1),DATE(YEAR($B$10),MONTH($B$10),1),"m")+2,"ИТОГО",IF(ROWS($F$6:F120)=DATEDIF(DATE(YEAR($B$9),MONTH($B$9),1),DATE(YEAR($B$10),MONTH($B$10),1),"m")+3,"Отклонение графика платежей",""))))</f>
        <v/>
      </c>
      <c r="G120" s="65" t="str">
        <f>IF(F120="","",IF(ISNUMBER(F120),IF($B$19="","",MAX(0,N($B$19)-N(H120))),IF(F120="ИТОГО",SUM($G$6:INDEX($G:$G,ROW()-1)),"")))</f>
        <v/>
      </c>
      <c r="H120" s="65" t="str">
        <f>IF(F120="","",IF(ISNUMBER(F120),IF($B$22&lt;&gt;"Да",0,IF(OR($B$23="",$B$24="",$B$25="",$B$26="",$B$27=""),"",IF(AND(YEAR(F120)=YEAR($B$26),MONTH(F120)=MONTH($B$26)),$B$23,0))),IF(F120="ИТОГО",SUM($H$6:INDEX($H:$H,ROW()-1)),IF(F120="Отклонение графика платежей","Проверка",""))))</f>
        <v/>
      </c>
      <c r="I120" s="30" t="str" cm="1">
        <f t="array" ref="I120">IF(F120="","",IF(ISNUMBER(F120),SUM(G120:H120),IF(F120="ИТОГО",SUM($I$6:INDEX($I:$I,ROW()-1)),IF(F120="Отклонение графика платежей",IF($B$19="","",INDEX($I:$I,ROW()-1)-$B$19),""))))</f>
        <v/>
      </c>
      <c r="J120" s="30" t="str">
        <f>IF(F120="","",IF(ISNUMBER(F120),SUM($I$6:I120),IF(F120="ИТОГО",I120,IF(F120="Отклонение графика платежей",IF(I120="","ТРЕБУЕТСЯ ВВОД",IF(ABS(I120)&lt;0.01,"OK","ОШИБКА: график платежей не соответствует стоимости помещения")),""))))</f>
        <v/>
      </c>
      <c r="K120" s="30" t="str">
        <f t="shared" si="3"/>
        <v/>
      </c>
      <c r="P120" s="103"/>
    </row>
    <row r="121" spans="1:16" x14ac:dyDescent="0.2">
      <c r="A121" s="5"/>
      <c r="B121" s="5"/>
      <c r="C121" s="5"/>
      <c r="D121" s="6"/>
      <c r="E121" s="4"/>
      <c r="F121" s="39" t="str">
        <f>IF(OR($B$9="",$B$10="",$B$10&lt;$B$9),"",IF(ROWS($F$6:F121)&lt;=DATEDIF(DATE(YEAR($B$9),MONTH($B$9),1),DATE(YEAR($B$10),MONTH($B$10),1),"m")+1,EDATE(DATE(YEAR($B$9),MONTH($B$9),1),ROWS($F$6:F121)-1),IF(ROWS($F$6:F121)=DATEDIF(DATE(YEAR($B$9),MONTH($B$9),1),DATE(YEAR($B$10),MONTH($B$10),1),"m")+2,"ИТОГО",IF(ROWS($F$6:F121)=DATEDIF(DATE(YEAR($B$9),MONTH($B$9),1),DATE(YEAR($B$10),MONTH($B$10),1),"m")+3,"Отклонение графика платежей",""))))</f>
        <v/>
      </c>
      <c r="G121" s="65" t="str">
        <f>IF(F121="","",IF(ISNUMBER(F121),IF($B$19="","",MAX(0,N($B$19)-N(H121))),IF(F121="ИТОГО",SUM($G$6:INDEX($G:$G,ROW()-1)),"")))</f>
        <v/>
      </c>
      <c r="H121" s="65" t="str">
        <f>IF(F121="","",IF(ISNUMBER(F121),IF($B$22&lt;&gt;"Да",0,IF(OR($B$23="",$B$24="",$B$25="",$B$26="",$B$27=""),"",IF(AND(YEAR(F121)=YEAR($B$26),MONTH(F121)=MONTH($B$26)),$B$23,0))),IF(F121="ИТОГО",SUM($H$6:INDEX($H:$H,ROW()-1)),IF(F121="Отклонение графика платежей","Проверка",""))))</f>
        <v/>
      </c>
      <c r="I121" s="30" t="str" cm="1">
        <f t="array" ref="I121">IF(F121="","",IF(ISNUMBER(F121),SUM(G121:H121),IF(F121="ИТОГО",SUM($I$6:INDEX($I:$I,ROW()-1)),IF(F121="Отклонение графика платежей",IF($B$19="","",INDEX($I:$I,ROW()-1)-$B$19),""))))</f>
        <v/>
      </c>
      <c r="J121" s="30" t="str">
        <f>IF(F121="","",IF(ISNUMBER(F121),SUM($I$6:I121),IF(F121="ИТОГО",I121,IF(F121="Отклонение графика платежей",IF(I121="","ТРЕБУЕТСЯ ВВОД",IF(ABS(I121)&lt;0.01,"OK","ОШИБКА: график платежей не соответствует стоимости помещения")),""))))</f>
        <v/>
      </c>
      <c r="K121" s="30" t="str">
        <f t="shared" si="3"/>
        <v/>
      </c>
      <c r="P121" s="103"/>
    </row>
    <row r="122" spans="1:16" x14ac:dyDescent="0.2">
      <c r="A122" s="5"/>
      <c r="B122" s="5"/>
      <c r="C122" s="5"/>
      <c r="D122" s="6"/>
      <c r="E122" s="4"/>
      <c r="F122" s="39" t="str">
        <f>IF(OR($B$9="",$B$10="",$B$10&lt;$B$9),"",IF(ROWS($F$6:F122)&lt;=DATEDIF(DATE(YEAR($B$9),MONTH($B$9),1),DATE(YEAR($B$10),MONTH($B$10),1),"m")+1,EDATE(DATE(YEAR($B$9),MONTH($B$9),1),ROWS($F$6:F122)-1),IF(ROWS($F$6:F122)=DATEDIF(DATE(YEAR($B$9),MONTH($B$9),1),DATE(YEAR($B$10),MONTH($B$10),1),"m")+2,"ИТОГО",IF(ROWS($F$6:F122)=DATEDIF(DATE(YEAR($B$9),MONTH($B$9),1),DATE(YEAR($B$10),MONTH($B$10),1),"m")+3,"Отклонение графика платежей",""))))</f>
        <v/>
      </c>
      <c r="G122" s="65" t="str">
        <f>IF(F122="","",IF(ISNUMBER(F122),IF($B$19="","",MAX(0,N($B$19)-N(H122))),IF(F122="ИТОГО",SUM($G$6:INDEX($G:$G,ROW()-1)),"")))</f>
        <v/>
      </c>
      <c r="H122" s="65" t="str">
        <f>IF(F122="","",IF(ISNUMBER(F122),IF($B$22&lt;&gt;"Да",0,IF(OR($B$23="",$B$24="",$B$25="",$B$26="",$B$27=""),"",IF(AND(YEAR(F122)=YEAR($B$26),MONTH(F122)=MONTH($B$26)),$B$23,0))),IF(F122="ИТОГО",SUM($H$6:INDEX($H:$H,ROW()-1)),IF(F122="Отклонение графика платежей","Проверка",""))))</f>
        <v/>
      </c>
      <c r="I122" s="30" t="str" cm="1">
        <f t="array" ref="I122">IF(F122="","",IF(ISNUMBER(F122),SUM(G122:H122),IF(F122="ИТОГО",SUM($I$6:INDEX($I:$I,ROW()-1)),IF(F122="Отклонение графика платежей",IF($B$19="","",INDEX($I:$I,ROW()-1)-$B$19),""))))</f>
        <v/>
      </c>
      <c r="J122" s="30" t="str">
        <f>IF(F122="","",IF(ISNUMBER(F122),SUM($I$6:I122),IF(F122="ИТОГО",I122,IF(F122="Отклонение графика платежей",IF(I122="","ТРЕБУЕТСЯ ВВОД",IF(ABS(I122)&lt;0.01,"OK","ОШИБКА: график платежей не соответствует стоимости помещения")),""))))</f>
        <v/>
      </c>
      <c r="K122" s="30" t="str">
        <f t="shared" si="3"/>
        <v/>
      </c>
      <c r="P122" s="103"/>
    </row>
    <row r="123" spans="1:16" x14ac:dyDescent="0.2">
      <c r="A123" s="5"/>
      <c r="B123" s="5"/>
      <c r="C123" s="5"/>
      <c r="D123" s="6"/>
      <c r="E123" s="4"/>
      <c r="F123" s="39" t="str">
        <f>IF(OR($B$9="",$B$10="",$B$10&lt;$B$9),"",IF(ROWS($F$6:F123)&lt;=DATEDIF(DATE(YEAR($B$9),MONTH($B$9),1),DATE(YEAR($B$10),MONTH($B$10),1),"m")+1,EDATE(DATE(YEAR($B$9),MONTH($B$9),1),ROWS($F$6:F123)-1),IF(ROWS($F$6:F123)=DATEDIF(DATE(YEAR($B$9),MONTH($B$9),1),DATE(YEAR($B$10),MONTH($B$10),1),"m")+2,"ИТОГО",IF(ROWS($F$6:F123)=DATEDIF(DATE(YEAR($B$9),MONTH($B$9),1),DATE(YEAR($B$10),MONTH($B$10),1),"m")+3,"Отклонение графика платежей",""))))</f>
        <v/>
      </c>
      <c r="G123" s="65" t="str">
        <f>IF(F123="","",IF(ISNUMBER(F123),IF($B$19="","",MAX(0,N($B$19)-N(H123))),IF(F123="ИТОГО",SUM($G$6:INDEX($G:$G,ROW()-1)),"")))</f>
        <v/>
      </c>
      <c r="H123" s="65" t="str">
        <f>IF(F123="","",IF(ISNUMBER(F123),IF($B$22&lt;&gt;"Да",0,IF(OR($B$23="",$B$24="",$B$25="",$B$26="",$B$27=""),"",IF(AND(YEAR(F123)=YEAR($B$26),MONTH(F123)=MONTH($B$26)),$B$23,0))),IF(F123="ИТОГО",SUM($H$6:INDEX($H:$H,ROW()-1)),IF(F123="Отклонение графика платежей","Проверка",""))))</f>
        <v/>
      </c>
      <c r="I123" s="30" t="str" cm="1">
        <f t="array" ref="I123">IF(F123="","",IF(ISNUMBER(F123),SUM(G123:H123),IF(F123="ИТОГО",SUM($I$6:INDEX($I:$I,ROW()-1)),IF(F123="Отклонение графика платежей",IF($B$19="","",INDEX($I:$I,ROW()-1)-$B$19),""))))</f>
        <v/>
      </c>
      <c r="J123" s="30" t="str">
        <f>IF(F123="","",IF(ISNUMBER(F123),SUM($I$6:I123),IF(F123="ИТОГО",I123,IF(F123="Отклонение графика платежей",IF(I123="","ТРЕБУЕТСЯ ВВОД",IF(ABS(I123)&lt;0.01,"OK","ОШИБКА: график платежей не соответствует стоимости помещения")),""))))</f>
        <v/>
      </c>
      <c r="K123" s="30" t="str">
        <f t="shared" si="3"/>
        <v/>
      </c>
      <c r="P123" s="103"/>
    </row>
    <row r="124" spans="1:16" x14ac:dyDescent="0.2">
      <c r="A124" s="5"/>
      <c r="B124" s="5"/>
      <c r="C124" s="5"/>
      <c r="D124" s="6"/>
      <c r="E124" s="4"/>
      <c r="F124" s="39" t="str">
        <f>IF(OR($B$9="",$B$10="",$B$10&lt;$B$9),"",IF(ROWS($F$6:F124)&lt;=DATEDIF(DATE(YEAR($B$9),MONTH($B$9),1),DATE(YEAR($B$10),MONTH($B$10),1),"m")+1,EDATE(DATE(YEAR($B$9),MONTH($B$9),1),ROWS($F$6:F124)-1),IF(ROWS($F$6:F124)=DATEDIF(DATE(YEAR($B$9),MONTH($B$9),1),DATE(YEAR($B$10),MONTH($B$10),1),"m")+2,"ИТОГО",IF(ROWS($F$6:F124)=DATEDIF(DATE(YEAR($B$9),MONTH($B$9),1),DATE(YEAR($B$10),MONTH($B$10),1),"m")+3,"Отклонение графика платежей",""))))</f>
        <v/>
      </c>
      <c r="G124" s="65" t="str">
        <f>IF(F124="","",IF(ISNUMBER(F124),IF($B$19="","",MAX(0,N($B$19)-N(H124))),IF(F124="ИТОГО",SUM($G$6:INDEX($G:$G,ROW()-1)),"")))</f>
        <v/>
      </c>
      <c r="H124" s="65" t="str">
        <f>IF(F124="","",IF(ISNUMBER(F124),IF($B$22&lt;&gt;"Да",0,IF(OR($B$23="",$B$24="",$B$25="",$B$26="",$B$27=""),"",IF(AND(YEAR(F124)=YEAR($B$26),MONTH(F124)=MONTH($B$26)),$B$23,0))),IF(F124="ИТОГО",SUM($H$6:INDEX($H:$H,ROW()-1)),IF(F124="Отклонение графика платежей","Проверка",""))))</f>
        <v/>
      </c>
      <c r="I124" s="30" t="str" cm="1">
        <f t="array" ref="I124">IF(F124="","",IF(ISNUMBER(F124),SUM(G124:H124),IF(F124="ИТОГО",SUM($I$6:INDEX($I:$I,ROW()-1)),IF(F124="Отклонение графика платежей",IF($B$19="","",INDEX($I:$I,ROW()-1)-$B$19),""))))</f>
        <v/>
      </c>
      <c r="J124" s="30" t="str">
        <f>IF(F124="","",IF(ISNUMBER(F124),SUM($I$6:I124),IF(F124="ИТОГО",I124,IF(F124="Отклонение графика платежей",IF(I124="","ТРЕБУЕТСЯ ВВОД",IF(ABS(I124)&lt;0.01,"OK","ОШИБКА: график платежей не соответствует стоимости помещения")),""))))</f>
        <v/>
      </c>
      <c r="K124" s="30" t="str">
        <f t="shared" si="3"/>
        <v/>
      </c>
      <c r="P124" s="103"/>
    </row>
    <row r="125" spans="1:16" x14ac:dyDescent="0.2">
      <c r="A125" s="5"/>
      <c r="B125" s="5"/>
      <c r="C125" s="5"/>
      <c r="D125" s="6"/>
      <c r="E125" s="4"/>
      <c r="F125" s="39" t="str">
        <f>IF(OR($B$9="",$B$10="",$B$10&lt;$B$9),"",IF(ROWS($F$6:F125)&lt;=DATEDIF(DATE(YEAR($B$9),MONTH($B$9),1),DATE(YEAR($B$10),MONTH($B$10),1),"m")+1,EDATE(DATE(YEAR($B$9),MONTH($B$9),1),ROWS($F$6:F125)-1),IF(ROWS($F$6:F125)=DATEDIF(DATE(YEAR($B$9),MONTH($B$9),1),DATE(YEAR($B$10),MONTH($B$10),1),"m")+2,"ИТОГО",IF(ROWS($F$6:F125)=DATEDIF(DATE(YEAR($B$9),MONTH($B$9),1),DATE(YEAR($B$10),MONTH($B$10),1),"m")+3,"Отклонение графика платежей",""))))</f>
        <v/>
      </c>
      <c r="G125" s="65" t="str">
        <f>IF(F125="","",IF(ISNUMBER(F125),IF($B$19="","",MAX(0,N($B$19)-N(H125))),IF(F125="ИТОГО",SUM($G$6:INDEX($G:$G,ROW()-1)),"")))</f>
        <v/>
      </c>
      <c r="H125" s="65" t="str">
        <f>IF(F125="","",IF(ISNUMBER(F125),IF($B$22&lt;&gt;"Да",0,IF(OR($B$23="",$B$24="",$B$25="",$B$26="",$B$27=""),"",IF(AND(YEAR(F125)=YEAR($B$26),MONTH(F125)=MONTH($B$26)),$B$23,0))),IF(F125="ИТОГО",SUM($H$6:INDEX($H:$H,ROW()-1)),IF(F125="Отклонение графика платежей","Проверка",""))))</f>
        <v/>
      </c>
      <c r="I125" s="30" t="str" cm="1">
        <f t="array" ref="I125">IF(F125="","",IF(ISNUMBER(F125),SUM(G125:H125),IF(F125="ИТОГО",SUM($I$6:INDEX($I:$I,ROW()-1)),IF(F125="Отклонение графика платежей",IF($B$19="","",INDEX($I:$I,ROW()-1)-$B$19),""))))</f>
        <v/>
      </c>
      <c r="J125" s="30" t="str">
        <f>IF(F125="","",IF(ISNUMBER(F125),SUM($I$6:I125),IF(F125="ИТОГО",I125,IF(F125="Отклонение графика платежей",IF(I125="","ТРЕБУЕТСЯ ВВОД",IF(ABS(I125)&lt;0.01,"OK","ОШИБКА: график платежей не соответствует стоимости помещения")),""))))</f>
        <v/>
      </c>
      <c r="K125" s="30" t="str">
        <f t="shared" si="3"/>
        <v/>
      </c>
      <c r="P125" s="103"/>
    </row>
    <row r="126" spans="1:16" x14ac:dyDescent="0.2">
      <c r="A126" s="5"/>
      <c r="B126" s="5"/>
      <c r="C126" s="5"/>
      <c r="D126" s="6"/>
      <c r="E126" s="4"/>
      <c r="F126" s="39" t="str">
        <f>IF(OR($B$9="",$B$10="",$B$10&lt;$B$9),"",IF(ROWS($F$6:F126)&lt;=DATEDIF(DATE(YEAR($B$9),MONTH($B$9),1),DATE(YEAR($B$10),MONTH($B$10),1),"m")+1,EDATE(DATE(YEAR($B$9),MONTH($B$9),1),ROWS($F$6:F126)-1),IF(ROWS($F$6:F126)=DATEDIF(DATE(YEAR($B$9),MONTH($B$9),1),DATE(YEAR($B$10),MONTH($B$10),1),"m")+2,"ИТОГО",IF(ROWS($F$6:F126)=DATEDIF(DATE(YEAR($B$9),MONTH($B$9),1),DATE(YEAR($B$10),MONTH($B$10),1),"m")+3,"Отклонение графика платежей",""))))</f>
        <v/>
      </c>
      <c r="G126" s="65" t="str">
        <f>IF(F126="","",IF(ISNUMBER(F126),IF($B$19="","",MAX(0,N($B$19)-N(H126))),IF(F126="ИТОГО",SUM($G$6:INDEX($G:$G,ROW()-1)),"")))</f>
        <v/>
      </c>
      <c r="H126" s="65" t="str">
        <f>IF(F126="","",IF(ISNUMBER(F126),IF($B$22&lt;&gt;"Да",0,IF(OR($B$23="",$B$24="",$B$25="",$B$26="",$B$27=""),"",IF(AND(YEAR(F126)=YEAR($B$26),MONTH(F126)=MONTH($B$26)),$B$23,0))),IF(F126="ИТОГО",SUM($H$6:INDEX($H:$H,ROW()-1)),IF(F126="Отклонение графика платежей","Проверка",""))))</f>
        <v/>
      </c>
      <c r="I126" s="30" t="str" cm="1">
        <f t="array" ref="I126">IF(F126="","",IF(ISNUMBER(F126),SUM(G126:H126),IF(F126="ИТОГО",SUM($I$6:INDEX($I:$I,ROW()-1)),IF(F126="Отклонение графика платежей",IF($B$19="","",INDEX($I:$I,ROW()-1)-$B$19),""))))</f>
        <v/>
      </c>
      <c r="J126" s="30" t="str">
        <f>IF(F126="","",IF(ISNUMBER(F126),SUM($I$6:I126),IF(F126="ИТОГО",I126,IF(F126="Отклонение графика платежей",IF(I126="","ТРЕБУЕТСЯ ВВОД",IF(ABS(I126)&lt;0.01,"OK","ОШИБКА: график платежей не соответствует стоимости помещения")),""))))</f>
        <v/>
      </c>
      <c r="K126" s="30" t="str">
        <f t="shared" si="3"/>
        <v/>
      </c>
      <c r="P126" s="103"/>
    </row>
    <row r="127" spans="1:16" x14ac:dyDescent="0.2">
      <c r="A127" s="5"/>
      <c r="B127" s="5"/>
      <c r="C127" s="5"/>
      <c r="D127" s="6"/>
      <c r="E127" s="4"/>
      <c r="F127" s="39" t="str">
        <f>IF(OR($B$9="",$B$10="",$B$10&lt;$B$9),"",IF(ROWS($F$6:F127)&lt;=DATEDIF(DATE(YEAR($B$9),MONTH($B$9),1),DATE(YEAR($B$10),MONTH($B$10),1),"m")+1,EDATE(DATE(YEAR($B$9),MONTH($B$9),1),ROWS($F$6:F127)-1),IF(ROWS($F$6:F127)=DATEDIF(DATE(YEAR($B$9),MONTH($B$9),1),DATE(YEAR($B$10),MONTH($B$10),1),"m")+2,"ИТОГО",IF(ROWS($F$6:F127)=DATEDIF(DATE(YEAR($B$9),MONTH($B$9),1),DATE(YEAR($B$10),MONTH($B$10),1),"m")+3,"Отклонение графика платежей",""))))</f>
        <v/>
      </c>
      <c r="G127" s="65" t="str">
        <f>IF(F127="","",IF(ISNUMBER(F127),IF($B$19="","",MAX(0,N($B$19)-N(H127))),IF(F127="ИТОГО",SUM($G$6:INDEX($G:$G,ROW()-1)),"")))</f>
        <v/>
      </c>
      <c r="H127" s="65" t="str">
        <f>IF(F127="","",IF(ISNUMBER(F127),IF($B$22&lt;&gt;"Да",0,IF(OR($B$23="",$B$24="",$B$25="",$B$26="",$B$27=""),"",IF(AND(YEAR(F127)=YEAR($B$26),MONTH(F127)=MONTH($B$26)),$B$23,0))),IF(F127="ИТОГО",SUM($H$6:INDEX($H:$H,ROW()-1)),IF(F127="Отклонение графика платежей","Проверка",""))))</f>
        <v/>
      </c>
      <c r="I127" s="30" t="str" cm="1">
        <f t="array" ref="I127">IF(F127="","",IF(ISNUMBER(F127),SUM(G127:H127),IF(F127="ИТОГО",SUM($I$6:INDEX($I:$I,ROW()-1)),IF(F127="Отклонение графика платежей",IF($B$19="","",INDEX($I:$I,ROW()-1)-$B$19),""))))</f>
        <v/>
      </c>
      <c r="J127" s="30" t="str">
        <f>IF(F127="","",IF(ISNUMBER(F127),SUM($I$6:I127),IF(F127="ИТОГО",I127,IF(F127="Отклонение графика платежей",IF(I127="","ТРЕБУЕТСЯ ВВОД",IF(ABS(I127)&lt;0.01,"OK","ОШИБКА: график платежей не соответствует стоимости помещения")),""))))</f>
        <v/>
      </c>
      <c r="K127" s="30" t="str">
        <f t="shared" si="3"/>
        <v/>
      </c>
      <c r="P127" s="103"/>
    </row>
    <row r="128" spans="1:16" x14ac:dyDescent="0.2">
      <c r="A128" s="5"/>
      <c r="B128" s="5"/>
      <c r="C128" s="5"/>
      <c r="D128" s="6"/>
      <c r="E128" s="4"/>
      <c r="F128" s="39" t="str">
        <f>IF(OR($B$9="",$B$10="",$B$10&lt;$B$9),"",IF(ROWS($F$6:F128)&lt;=DATEDIF(DATE(YEAR($B$9),MONTH($B$9),1),DATE(YEAR($B$10),MONTH($B$10),1),"m")+1,EDATE(DATE(YEAR($B$9),MONTH($B$9),1),ROWS($F$6:F128)-1),IF(ROWS($F$6:F128)=DATEDIF(DATE(YEAR($B$9),MONTH($B$9),1),DATE(YEAR($B$10),MONTH($B$10),1),"m")+2,"ИТОГО",IF(ROWS($F$6:F128)=DATEDIF(DATE(YEAR($B$9),MONTH($B$9),1),DATE(YEAR($B$10),MONTH($B$10),1),"m")+3,"Отклонение графика платежей",""))))</f>
        <v/>
      </c>
      <c r="G128" s="65" t="str">
        <f>IF(F128="","",IF(ISNUMBER(F128),IF($B$19="","",MAX(0,N($B$19)-N(H128))),IF(F128="ИТОГО",SUM($G$6:INDEX($G:$G,ROW()-1)),"")))</f>
        <v/>
      </c>
      <c r="H128" s="65" t="str">
        <f>IF(F128="","",IF(ISNUMBER(F128),IF($B$22&lt;&gt;"Да",0,IF(OR($B$23="",$B$24="",$B$25="",$B$26="",$B$27=""),"",IF(AND(YEAR(F128)=YEAR($B$26),MONTH(F128)=MONTH($B$26)),$B$23,0))),IF(F128="ИТОГО",SUM($H$6:INDEX($H:$H,ROW()-1)),IF(F128="Отклонение графика платежей","Проверка",""))))</f>
        <v/>
      </c>
      <c r="I128" s="30" t="str" cm="1">
        <f t="array" ref="I128">IF(F128="","",IF(ISNUMBER(F128),SUM(G128:H128),IF(F128="ИТОГО",SUM($I$6:INDEX($I:$I,ROW()-1)),IF(F128="Отклонение графика платежей",IF($B$19="","",INDEX($I:$I,ROW()-1)-$B$19),""))))</f>
        <v/>
      </c>
      <c r="J128" s="30" t="str">
        <f>IF(F128="","",IF(ISNUMBER(F128),SUM($I$6:I128),IF(F128="ИТОГО",I128,IF(F128="Отклонение графика платежей",IF(I128="","ТРЕБУЕТСЯ ВВОД",IF(ABS(I128)&lt;0.01,"OK","ОШИБКА: график платежей не соответствует стоимости помещения")),""))))</f>
        <v/>
      </c>
      <c r="K128" s="30" t="str">
        <f t="shared" si="3"/>
        <v/>
      </c>
      <c r="P128" s="103"/>
    </row>
    <row r="129" spans="1:16" x14ac:dyDescent="0.2">
      <c r="A129" s="5"/>
      <c r="B129" s="5"/>
      <c r="C129" s="5"/>
      <c r="D129" s="6"/>
      <c r="E129" s="4"/>
      <c r="F129" s="39" t="str">
        <f>IF(OR($B$9="",$B$10="",$B$10&lt;$B$9),"",IF(ROWS($F$6:F129)&lt;=DATEDIF(DATE(YEAR($B$9),MONTH($B$9),1),DATE(YEAR($B$10),MONTH($B$10),1),"m")+1,EDATE(DATE(YEAR($B$9),MONTH($B$9),1),ROWS($F$6:F129)-1),IF(ROWS($F$6:F129)=DATEDIF(DATE(YEAR($B$9),MONTH($B$9),1),DATE(YEAR($B$10),MONTH($B$10),1),"m")+2,"ИТОГО",IF(ROWS($F$6:F129)=DATEDIF(DATE(YEAR($B$9),MONTH($B$9),1),DATE(YEAR($B$10),MONTH($B$10),1),"m")+3,"Отклонение графика платежей",""))))</f>
        <v/>
      </c>
      <c r="G129" s="65" t="str">
        <f>IF(F129="","",IF(ISNUMBER(F129),IF($B$19="","",MAX(0,N($B$19)-N(H129))),IF(F129="ИТОГО",SUM($G$6:INDEX($G:$G,ROW()-1)),"")))</f>
        <v/>
      </c>
      <c r="H129" s="65" t="str">
        <f>IF(F129="","",IF(ISNUMBER(F129),IF($B$22&lt;&gt;"Да",0,IF(OR($B$23="",$B$24="",$B$25="",$B$26="",$B$27=""),"",IF(AND(YEAR(F129)=YEAR($B$26),MONTH(F129)=MONTH($B$26)),$B$23,0))),IF(F129="ИТОГО",SUM($H$6:INDEX($H:$H,ROW()-1)),IF(F129="Отклонение графика платежей","Проверка",""))))</f>
        <v/>
      </c>
      <c r="I129" s="30" t="str" cm="1">
        <f t="array" ref="I129">IF(F129="","",IF(ISNUMBER(F129),SUM(G129:H129),IF(F129="ИТОГО",SUM($I$6:INDEX($I:$I,ROW()-1)),IF(F129="Отклонение графика платежей",IF($B$19="","",INDEX($I:$I,ROW()-1)-$B$19),""))))</f>
        <v/>
      </c>
      <c r="J129" s="30" t="str">
        <f>IF(F129="","",IF(ISNUMBER(F129),SUM($I$6:I129),IF(F129="ИТОГО",I129,IF(F129="Отклонение графика платежей",IF(I129="","ТРЕБУЕТСЯ ВВОД",IF(ABS(I129)&lt;0.01,"OK","ОШИБКА: график платежей не соответствует стоимости помещения")),""))))</f>
        <v/>
      </c>
      <c r="K129" s="30" t="str">
        <f t="shared" si="3"/>
        <v/>
      </c>
      <c r="P129" s="103"/>
    </row>
    <row r="130" spans="1:16" x14ac:dyDescent="0.2">
      <c r="A130" s="5"/>
      <c r="B130" s="5"/>
      <c r="C130" s="5"/>
      <c r="D130" s="6"/>
      <c r="E130" s="4"/>
      <c r="F130" s="39" t="str">
        <f>IF(OR($B$9="",$B$10="",$B$10&lt;$B$9),"",IF(ROWS($F$6:F130)&lt;=DATEDIF(DATE(YEAR($B$9),MONTH($B$9),1),DATE(YEAR($B$10),MONTH($B$10),1),"m")+1,EDATE(DATE(YEAR($B$9),MONTH($B$9),1),ROWS($F$6:F130)-1),IF(ROWS($F$6:F130)=DATEDIF(DATE(YEAR($B$9),MONTH($B$9),1),DATE(YEAR($B$10),MONTH($B$10),1),"m")+2,"ИТОГО",IF(ROWS($F$6:F130)=DATEDIF(DATE(YEAR($B$9),MONTH($B$9),1),DATE(YEAR($B$10),MONTH($B$10),1),"m")+3,"Отклонение графика платежей",""))))</f>
        <v/>
      </c>
      <c r="G130" s="65" t="str">
        <f>IF(F130="","",IF(ISNUMBER(F130),IF($B$19="","",MAX(0,N($B$19)-N(H130))),IF(F130="ИТОГО",SUM($G$6:INDEX($G:$G,ROW()-1)),"")))</f>
        <v/>
      </c>
      <c r="H130" s="65" t="str">
        <f>IF(F130="","",IF(ISNUMBER(F130),IF($B$22&lt;&gt;"Да",0,IF(OR($B$23="",$B$24="",$B$25="",$B$26="",$B$27=""),"",IF(AND(YEAR(F130)=YEAR($B$26),MONTH(F130)=MONTH($B$26)),$B$23,0))),IF(F130="ИТОГО",SUM($H$6:INDEX($H:$H,ROW()-1)),IF(F130="Отклонение графика платежей","Проверка",""))))</f>
        <v/>
      </c>
      <c r="I130" s="30" t="str" cm="1">
        <f t="array" ref="I130">IF(F130="","",IF(ISNUMBER(F130),SUM(G130:H130),IF(F130="ИТОГО",SUM($I$6:INDEX($I:$I,ROW()-1)),IF(F130="Отклонение графика платежей",IF($B$19="","",INDEX($I:$I,ROW()-1)-$B$19),""))))</f>
        <v/>
      </c>
      <c r="J130" s="30" t="str">
        <f>IF(F130="","",IF(ISNUMBER(F130),SUM($I$6:I130),IF(F130="ИТОГО",I130,IF(F130="Отклонение графика платежей",IF(I130="","ТРЕБУЕТСЯ ВВОД",IF(ABS(I130)&lt;0.01,"OK","ОШИБКА: график платежей не соответствует стоимости помещения")),""))))</f>
        <v/>
      </c>
      <c r="K130" s="30" t="str">
        <f t="shared" si="3"/>
        <v/>
      </c>
      <c r="P130" s="103"/>
    </row>
    <row r="131" spans="1:16" x14ac:dyDescent="0.2">
      <c r="A131" s="5"/>
      <c r="B131" s="5"/>
      <c r="C131" s="5"/>
      <c r="D131" s="6"/>
      <c r="E131" s="4"/>
      <c r="F131" s="39" t="str">
        <f>IF(OR($B$9="",$B$10="",$B$10&lt;$B$9),"",IF(ROWS($F$6:F131)&lt;=DATEDIF(DATE(YEAR($B$9),MONTH($B$9),1),DATE(YEAR($B$10),MONTH($B$10),1),"m")+1,EDATE(DATE(YEAR($B$9),MONTH($B$9),1),ROWS($F$6:F131)-1),IF(ROWS($F$6:F131)=DATEDIF(DATE(YEAR($B$9),MONTH($B$9),1),DATE(YEAR($B$10),MONTH($B$10),1),"m")+2,"ИТОГО",IF(ROWS($F$6:F131)=DATEDIF(DATE(YEAR($B$9),MONTH($B$9),1),DATE(YEAR($B$10),MONTH($B$10),1),"m")+3,"Отклонение графика платежей",""))))</f>
        <v/>
      </c>
      <c r="G131" s="65" t="str">
        <f>IF(F131="","",IF(ISNUMBER(F131),IF($B$19="","",MAX(0,N($B$19)-N(H131))),IF(F131="ИТОГО",SUM($G$6:INDEX($G:$G,ROW()-1)),"")))</f>
        <v/>
      </c>
      <c r="H131" s="65" t="str">
        <f>IF(F131="","",IF(ISNUMBER(F131),IF($B$22&lt;&gt;"Да",0,IF(OR($B$23="",$B$24="",$B$25="",$B$26="",$B$27=""),"",IF(AND(YEAR(F131)=YEAR($B$26),MONTH(F131)=MONTH($B$26)),$B$23,0))),IF(F131="ИТОГО",SUM($H$6:INDEX($H:$H,ROW()-1)),IF(F131="Отклонение графика платежей","Проверка",""))))</f>
        <v/>
      </c>
      <c r="I131" s="30" t="str" cm="1">
        <f t="array" ref="I131">IF(F131="","",IF(ISNUMBER(F131),SUM(G131:H131),IF(F131="ИТОГО",SUM($I$6:INDEX($I:$I,ROW()-1)),IF(F131="Отклонение графика платежей",IF($B$19="","",INDEX($I:$I,ROW()-1)-$B$19),""))))</f>
        <v/>
      </c>
      <c r="J131" s="30" t="str">
        <f>IF(F131="","",IF(ISNUMBER(F131),SUM($I$6:I131),IF(F131="ИТОГО",I131,IF(F131="Отклонение графика платежей",IF(I131="","ТРЕБУЕТСЯ ВВОД",IF(ABS(I131)&lt;0.01,"OK","ОШИБКА: график платежей не соответствует стоимости помещения")),""))))</f>
        <v/>
      </c>
      <c r="K131" s="30" t="str">
        <f t="shared" si="3"/>
        <v/>
      </c>
      <c r="P131" s="103"/>
    </row>
    <row r="132" spans="1:16" x14ac:dyDescent="0.2">
      <c r="A132" s="5"/>
      <c r="B132" s="5"/>
      <c r="C132" s="5"/>
      <c r="D132" s="6"/>
      <c r="E132" s="4"/>
      <c r="F132" s="39" t="str">
        <f>IF(OR($B$9="",$B$10="",$B$10&lt;$B$9),"",IF(ROWS($F$6:F132)&lt;=DATEDIF(DATE(YEAR($B$9),MONTH($B$9),1),DATE(YEAR($B$10),MONTH($B$10),1),"m")+1,EDATE(DATE(YEAR($B$9),MONTH($B$9),1),ROWS($F$6:F132)-1),IF(ROWS($F$6:F132)=DATEDIF(DATE(YEAR($B$9),MONTH($B$9),1),DATE(YEAR($B$10),MONTH($B$10),1),"m")+2,"ИТОГО",IF(ROWS($F$6:F132)=DATEDIF(DATE(YEAR($B$9),MONTH($B$9),1),DATE(YEAR($B$10),MONTH($B$10),1),"m")+3,"Отклонение графика платежей",""))))</f>
        <v/>
      </c>
      <c r="G132" s="65" t="str">
        <f>IF(F132="","",IF(ISNUMBER(F132),IF($B$19="","",MAX(0,N($B$19)-N(H132))),IF(F132="ИТОГО",SUM($G$6:INDEX($G:$G,ROW()-1)),"")))</f>
        <v/>
      </c>
      <c r="H132" s="65" t="str">
        <f>IF(F132="","",IF(ISNUMBER(F132),IF($B$22&lt;&gt;"Да",0,IF(OR($B$23="",$B$24="",$B$25="",$B$26="",$B$27=""),"",IF(AND(YEAR(F132)=YEAR($B$26),MONTH(F132)=MONTH($B$26)),$B$23,0))),IF(F132="ИТОГО",SUM($H$6:INDEX($H:$H,ROW()-1)),IF(F132="Отклонение графика платежей","Проверка",""))))</f>
        <v/>
      </c>
      <c r="I132" s="30" t="str" cm="1">
        <f t="array" ref="I132">IF(F132="","",IF(ISNUMBER(F132),SUM(G132:H132),IF(F132="ИТОГО",SUM($I$6:INDEX($I:$I,ROW()-1)),IF(F132="Отклонение графика платежей",IF($B$19="","",INDEX($I:$I,ROW()-1)-$B$19),""))))</f>
        <v/>
      </c>
      <c r="J132" s="30" t="str">
        <f>IF(F132="","",IF(ISNUMBER(F132),SUM($I$6:I132),IF(F132="ИТОГО",I132,IF(F132="Отклонение графика платежей",IF(I132="","ТРЕБУЕТСЯ ВВОД",IF(ABS(I132)&lt;0.01,"OK","ОШИБКА: график платежей не соответствует стоимости помещения")),""))))</f>
        <v/>
      </c>
      <c r="K132" s="30" t="str">
        <f t="shared" si="3"/>
        <v/>
      </c>
      <c r="P132" s="103"/>
    </row>
    <row r="133" spans="1:16" x14ac:dyDescent="0.2">
      <c r="A133" s="5"/>
      <c r="B133" s="5"/>
      <c r="C133" s="5"/>
      <c r="D133" s="6"/>
      <c r="E133" s="4"/>
      <c r="F133" s="39" t="str">
        <f>IF(OR($B$9="",$B$10="",$B$10&lt;$B$9),"",IF(ROWS($F$6:F133)&lt;=DATEDIF(DATE(YEAR($B$9),MONTH($B$9),1),DATE(YEAR($B$10),MONTH($B$10),1),"m")+1,EDATE(DATE(YEAR($B$9),MONTH($B$9),1),ROWS($F$6:F133)-1),IF(ROWS($F$6:F133)=DATEDIF(DATE(YEAR($B$9),MONTH($B$9),1),DATE(YEAR($B$10),MONTH($B$10),1),"m")+2,"ИТОГО",IF(ROWS($F$6:F133)=DATEDIF(DATE(YEAR($B$9),MONTH($B$9),1),DATE(YEAR($B$10),MONTH($B$10),1),"m")+3,"Отклонение графика платежей",""))))</f>
        <v/>
      </c>
      <c r="G133" s="65" t="str">
        <f>IF(F133="","",IF(ISNUMBER(F133),IF($B$19="","",MAX(0,N($B$19)-N(H133))),IF(F133="ИТОГО",SUM($G$6:INDEX($G:$G,ROW()-1)),"")))</f>
        <v/>
      </c>
      <c r="H133" s="65" t="str">
        <f>IF(F133="","",IF(ISNUMBER(F133),IF($B$22&lt;&gt;"Да",0,IF(OR($B$23="",$B$24="",$B$25="",$B$26="",$B$27=""),"",IF(AND(YEAR(F133)=YEAR($B$26),MONTH(F133)=MONTH($B$26)),$B$23,0))),IF(F133="ИТОГО",SUM($H$6:INDEX($H:$H,ROW()-1)),IF(F133="Отклонение графика платежей","Проверка",""))))</f>
        <v/>
      </c>
      <c r="I133" s="30" t="str" cm="1">
        <f t="array" ref="I133">IF(F133="","",IF(ISNUMBER(F133),SUM(G133:H133),IF(F133="ИТОГО",SUM($I$6:INDEX($I:$I,ROW()-1)),IF(F133="Отклонение графика платежей",IF($B$19="","",INDEX($I:$I,ROW()-1)-$B$19),""))))</f>
        <v/>
      </c>
      <c r="J133" s="30" t="str">
        <f>IF(F133="","",IF(ISNUMBER(F133),SUM($I$6:I133),IF(F133="ИТОГО",I133,IF(F133="Отклонение графика платежей",IF(I133="","ТРЕБУЕТСЯ ВВОД",IF(ABS(I133)&lt;0.01,"OK","ОШИБКА: график платежей не соответствует стоимости помещения")),""))))</f>
        <v/>
      </c>
      <c r="K133" s="30" t="str">
        <f t="shared" si="3"/>
        <v/>
      </c>
      <c r="P133" s="103"/>
    </row>
    <row r="134" spans="1:16" x14ac:dyDescent="0.2">
      <c r="A134" s="5"/>
      <c r="B134" s="5"/>
      <c r="C134" s="5"/>
      <c r="D134" s="6"/>
      <c r="E134" s="4"/>
      <c r="F134" s="39" t="str">
        <f>IF(OR($B$9="",$B$10="",$B$10&lt;$B$9),"",IF(ROWS($F$6:F134)&lt;=DATEDIF(DATE(YEAR($B$9),MONTH($B$9),1),DATE(YEAR($B$10),MONTH($B$10),1),"m")+1,EDATE(DATE(YEAR($B$9),MONTH($B$9),1),ROWS($F$6:F134)-1),IF(ROWS($F$6:F134)=DATEDIF(DATE(YEAR($B$9),MONTH($B$9),1),DATE(YEAR($B$10),MONTH($B$10),1),"m")+2,"ИТОГО",IF(ROWS($F$6:F134)=DATEDIF(DATE(YEAR($B$9),MONTH($B$9),1),DATE(YEAR($B$10),MONTH($B$10),1),"m")+3,"Отклонение графика платежей",""))))</f>
        <v/>
      </c>
      <c r="G134" s="65" t="str">
        <f>IF(F134="","",IF(ISNUMBER(F134),IF($B$19="","",MAX(0,N($B$19)-N(H134))),IF(F134="ИТОГО",SUM($G$6:INDEX($G:$G,ROW()-1)),"")))</f>
        <v/>
      </c>
      <c r="H134" s="65" t="str">
        <f>IF(F134="","",IF(ISNUMBER(F134),IF($B$22&lt;&gt;"Да",0,IF(OR($B$23="",$B$24="",$B$25="",$B$26="",$B$27=""),"",IF(AND(YEAR(F134)=YEAR($B$26),MONTH(F134)=MONTH($B$26)),$B$23,0))),IF(F134="ИТОГО",SUM($H$6:INDEX($H:$H,ROW()-1)),IF(F134="Отклонение графика платежей","Проверка",""))))</f>
        <v/>
      </c>
      <c r="I134" s="30" t="str" cm="1">
        <f t="array" ref="I134">IF(F134="","",IF(ISNUMBER(F134),SUM(G134:H134),IF(F134="ИТОГО",SUM($I$6:INDEX($I:$I,ROW()-1)),IF(F134="Отклонение графика платежей",IF($B$19="","",INDEX($I:$I,ROW()-1)-$B$19),""))))</f>
        <v/>
      </c>
      <c r="J134" s="30" t="str">
        <f>IF(F134="","",IF(ISNUMBER(F134),SUM($I$6:I134),IF(F134="ИТОГО",I134,IF(F134="Отклонение графика платежей",IF(I134="","ТРЕБУЕТСЯ ВВОД",IF(ABS(I134)&lt;0.01,"OK","ОШИБКА: график платежей не соответствует стоимости помещения")),""))))</f>
        <v/>
      </c>
      <c r="K134" s="30" t="str">
        <f t="shared" ref="K134:K165" si="4">IF(F134="","",IF(ISNUMBER(F134),IF($B$19="","",$B$19-J134),IF(F134="ИТОГО",IF($B$19="","",$B$19-I134),IF(F134="Отклонение графика платежей",I134,""))))</f>
        <v/>
      </c>
      <c r="P134" s="103"/>
    </row>
    <row r="135" spans="1:16" x14ac:dyDescent="0.2">
      <c r="A135" s="5"/>
      <c r="B135" s="5"/>
      <c r="C135" s="5"/>
      <c r="D135" s="6"/>
      <c r="E135" s="4"/>
      <c r="F135" s="39" t="str">
        <f>IF(OR($B$9="",$B$10="",$B$10&lt;$B$9),"",IF(ROWS($F$6:F135)&lt;=DATEDIF(DATE(YEAR($B$9),MONTH($B$9),1),DATE(YEAR($B$10),MONTH($B$10),1),"m")+1,EDATE(DATE(YEAR($B$9),MONTH($B$9),1),ROWS($F$6:F135)-1),IF(ROWS($F$6:F135)=DATEDIF(DATE(YEAR($B$9),MONTH($B$9),1),DATE(YEAR($B$10),MONTH($B$10),1),"m")+2,"ИТОГО",IF(ROWS($F$6:F135)=DATEDIF(DATE(YEAR($B$9),MONTH($B$9),1),DATE(YEAR($B$10),MONTH($B$10),1),"m")+3,"Отклонение графика платежей",""))))</f>
        <v/>
      </c>
      <c r="G135" s="65" t="str">
        <f>IF(F135="","",IF(ISNUMBER(F135),IF($B$19="","",MAX(0,N($B$19)-N(H135))),IF(F135="ИТОГО",SUM($G$6:INDEX($G:$G,ROW()-1)),"")))</f>
        <v/>
      </c>
      <c r="H135" s="65" t="str">
        <f>IF(F135="","",IF(ISNUMBER(F135),IF($B$22&lt;&gt;"Да",0,IF(OR($B$23="",$B$24="",$B$25="",$B$26="",$B$27=""),"",IF(AND(YEAR(F135)=YEAR($B$26),MONTH(F135)=MONTH($B$26)),$B$23,0))),IF(F135="ИТОГО",SUM($H$6:INDEX($H:$H,ROW()-1)),IF(F135="Отклонение графика платежей","Проверка",""))))</f>
        <v/>
      </c>
      <c r="I135" s="30" t="str" cm="1">
        <f t="array" ref="I135">IF(F135="","",IF(ISNUMBER(F135),SUM(G135:H135),IF(F135="ИТОГО",SUM($I$6:INDEX($I:$I,ROW()-1)),IF(F135="Отклонение графика платежей",IF($B$19="","",INDEX($I:$I,ROW()-1)-$B$19),""))))</f>
        <v/>
      </c>
      <c r="J135" s="30" t="str">
        <f>IF(F135="","",IF(ISNUMBER(F135),SUM($I$6:I135),IF(F135="ИТОГО",I135,IF(F135="Отклонение графика платежей",IF(I135="","ТРЕБУЕТСЯ ВВОД",IF(ABS(I135)&lt;0.01,"OK","ОШИБКА: график платежей не соответствует стоимости помещения")),""))))</f>
        <v/>
      </c>
      <c r="K135" s="30" t="str">
        <f t="shared" si="4"/>
        <v/>
      </c>
      <c r="P135" s="103"/>
    </row>
    <row r="136" spans="1:16" x14ac:dyDescent="0.2">
      <c r="A136" s="5"/>
      <c r="B136" s="5"/>
      <c r="C136" s="5"/>
      <c r="D136" s="6"/>
      <c r="E136" s="4"/>
      <c r="F136" s="39" t="str">
        <f>IF(OR($B$9="",$B$10="",$B$10&lt;$B$9),"",IF(ROWS($F$6:F136)&lt;=DATEDIF(DATE(YEAR($B$9),MONTH($B$9),1),DATE(YEAR($B$10),MONTH($B$10),1),"m")+1,EDATE(DATE(YEAR($B$9),MONTH($B$9),1),ROWS($F$6:F136)-1),IF(ROWS($F$6:F136)=DATEDIF(DATE(YEAR($B$9),MONTH($B$9),1),DATE(YEAR($B$10),MONTH($B$10),1),"m")+2,"ИТОГО",IF(ROWS($F$6:F136)=DATEDIF(DATE(YEAR($B$9),MONTH($B$9),1),DATE(YEAR($B$10),MONTH($B$10),1),"m")+3,"Отклонение графика платежей",""))))</f>
        <v/>
      </c>
      <c r="G136" s="65" t="str">
        <f>IF(F136="","",IF(ISNUMBER(F136),IF($B$19="","",MAX(0,N($B$19)-N(H136))),IF(F136="ИТОГО",SUM($G$6:INDEX($G:$G,ROW()-1)),"")))</f>
        <v/>
      </c>
      <c r="H136" s="65" t="str">
        <f>IF(F136="","",IF(ISNUMBER(F136),IF($B$22&lt;&gt;"Да",0,IF(OR($B$23="",$B$24="",$B$25="",$B$26="",$B$27=""),"",IF(AND(YEAR(F136)=YEAR($B$26),MONTH(F136)=MONTH($B$26)),$B$23,0))),IF(F136="ИТОГО",SUM($H$6:INDEX($H:$H,ROW()-1)),IF(F136="Отклонение графика платежей","Проверка",""))))</f>
        <v/>
      </c>
      <c r="I136" s="30" t="str" cm="1">
        <f t="array" ref="I136">IF(F136="","",IF(ISNUMBER(F136),SUM(G136:H136),IF(F136="ИТОГО",SUM($I$6:INDEX($I:$I,ROW()-1)),IF(F136="Отклонение графика платежей",IF($B$19="","",INDEX($I:$I,ROW()-1)-$B$19),""))))</f>
        <v/>
      </c>
      <c r="J136" s="30" t="str">
        <f>IF(F136="","",IF(ISNUMBER(F136),SUM($I$6:I136),IF(F136="ИТОГО",I136,IF(F136="Отклонение графика платежей",IF(I136="","ТРЕБУЕТСЯ ВВОД",IF(ABS(I136)&lt;0.01,"OK","ОШИБКА: график платежей не соответствует стоимости помещения")),""))))</f>
        <v/>
      </c>
      <c r="K136" s="30" t="str">
        <f t="shared" si="4"/>
        <v/>
      </c>
      <c r="P136" s="103"/>
    </row>
    <row r="137" spans="1:16" x14ac:dyDescent="0.2">
      <c r="A137" s="5"/>
      <c r="B137" s="5"/>
      <c r="C137" s="5"/>
      <c r="D137" s="6"/>
      <c r="E137" s="4"/>
      <c r="F137" s="39" t="str">
        <f>IF(OR($B$9="",$B$10="",$B$10&lt;$B$9),"",IF(ROWS($F$6:F137)&lt;=DATEDIF(DATE(YEAR($B$9),MONTH($B$9),1),DATE(YEAR($B$10),MONTH($B$10),1),"m")+1,EDATE(DATE(YEAR($B$9),MONTH($B$9),1),ROWS($F$6:F137)-1),IF(ROWS($F$6:F137)=DATEDIF(DATE(YEAR($B$9),MONTH($B$9),1),DATE(YEAR($B$10),MONTH($B$10),1),"m")+2,"ИТОГО",IF(ROWS($F$6:F137)=DATEDIF(DATE(YEAR($B$9),MONTH($B$9),1),DATE(YEAR($B$10),MONTH($B$10),1),"m")+3,"Отклонение графика платежей",""))))</f>
        <v/>
      </c>
      <c r="G137" s="65" t="str">
        <f>IF(F137="","",IF(ISNUMBER(F137),IF($B$19="","",MAX(0,N($B$19)-N(H137))),IF(F137="ИТОГО",SUM($G$6:INDEX($G:$G,ROW()-1)),"")))</f>
        <v/>
      </c>
      <c r="H137" s="65" t="str">
        <f>IF(F137="","",IF(ISNUMBER(F137),IF($B$22&lt;&gt;"Да",0,IF(OR($B$23="",$B$24="",$B$25="",$B$26="",$B$27=""),"",IF(AND(YEAR(F137)=YEAR($B$26),MONTH(F137)=MONTH($B$26)),$B$23,0))),IF(F137="ИТОГО",SUM($H$6:INDEX($H:$H,ROW()-1)),IF(F137="Отклонение графика платежей","Проверка",""))))</f>
        <v/>
      </c>
      <c r="I137" s="30" t="str" cm="1">
        <f t="array" ref="I137">IF(F137="","",IF(ISNUMBER(F137),SUM(G137:H137),IF(F137="ИТОГО",SUM($I$6:INDEX($I:$I,ROW()-1)),IF(F137="Отклонение графика платежей",IF($B$19="","",INDEX($I:$I,ROW()-1)-$B$19),""))))</f>
        <v/>
      </c>
      <c r="J137" s="30" t="str">
        <f>IF(F137="","",IF(ISNUMBER(F137),SUM($I$6:I137),IF(F137="ИТОГО",I137,IF(F137="Отклонение графика платежей",IF(I137="","ТРЕБУЕТСЯ ВВОД",IF(ABS(I137)&lt;0.01,"OK","ОШИБКА: график платежей не соответствует стоимости помещения")),""))))</f>
        <v/>
      </c>
      <c r="K137" s="30" t="str">
        <f t="shared" si="4"/>
        <v/>
      </c>
      <c r="P137" s="103"/>
    </row>
    <row r="138" spans="1:16" x14ac:dyDescent="0.2">
      <c r="A138" s="5"/>
      <c r="B138" s="5"/>
      <c r="C138" s="5"/>
      <c r="D138" s="6"/>
      <c r="E138" s="4"/>
      <c r="F138" s="39" t="str">
        <f>IF(OR($B$9="",$B$10="",$B$10&lt;$B$9),"",IF(ROWS($F$6:F138)&lt;=DATEDIF(DATE(YEAR($B$9),MONTH($B$9),1),DATE(YEAR($B$10),MONTH($B$10),1),"m")+1,EDATE(DATE(YEAR($B$9),MONTH($B$9),1),ROWS($F$6:F138)-1),IF(ROWS($F$6:F138)=DATEDIF(DATE(YEAR($B$9),MONTH($B$9),1),DATE(YEAR($B$10),MONTH($B$10),1),"m")+2,"ИТОГО",IF(ROWS($F$6:F138)=DATEDIF(DATE(YEAR($B$9),MONTH($B$9),1),DATE(YEAR($B$10),MONTH($B$10),1),"m")+3,"Отклонение графика платежей",""))))</f>
        <v/>
      </c>
      <c r="G138" s="65" t="str">
        <f>IF(F138="","",IF(ISNUMBER(F138),IF($B$19="","",MAX(0,N($B$19)-N(H138))),IF(F138="ИТОГО",SUM($G$6:INDEX($G:$G,ROW()-1)),"")))</f>
        <v/>
      </c>
      <c r="H138" s="65" t="str">
        <f>IF(F138="","",IF(ISNUMBER(F138),IF($B$22&lt;&gt;"Да",0,IF(OR($B$23="",$B$24="",$B$25="",$B$26="",$B$27=""),"",IF(AND(YEAR(F138)=YEAR($B$26),MONTH(F138)=MONTH($B$26)),$B$23,0))),IF(F138="ИТОГО",SUM($H$6:INDEX($H:$H,ROW()-1)),IF(F138="Отклонение графика платежей","Проверка",""))))</f>
        <v/>
      </c>
      <c r="I138" s="30" t="str" cm="1">
        <f t="array" ref="I138">IF(F138="","",IF(ISNUMBER(F138),SUM(G138:H138),IF(F138="ИТОГО",SUM($I$6:INDEX($I:$I,ROW()-1)),IF(F138="Отклонение графика платежей",IF($B$19="","",INDEX($I:$I,ROW()-1)-$B$19),""))))</f>
        <v/>
      </c>
      <c r="J138" s="30" t="str">
        <f>IF(F138="","",IF(ISNUMBER(F138),SUM($I$6:I138),IF(F138="ИТОГО",I138,IF(F138="Отклонение графика платежей",IF(I138="","ТРЕБУЕТСЯ ВВОД",IF(ABS(I138)&lt;0.01,"OK","ОШИБКА: график платежей не соответствует стоимости помещения")),""))))</f>
        <v/>
      </c>
      <c r="K138" s="30" t="str">
        <f t="shared" si="4"/>
        <v/>
      </c>
      <c r="P138" s="103"/>
    </row>
    <row r="139" spans="1:16" x14ac:dyDescent="0.2">
      <c r="A139" s="5"/>
      <c r="B139" s="5"/>
      <c r="C139" s="5"/>
      <c r="D139" s="6"/>
      <c r="E139" s="4"/>
      <c r="F139" s="39" t="str">
        <f>IF(OR($B$9="",$B$10="",$B$10&lt;$B$9),"",IF(ROWS($F$6:F139)&lt;=DATEDIF(DATE(YEAR($B$9),MONTH($B$9),1),DATE(YEAR($B$10),MONTH($B$10),1),"m")+1,EDATE(DATE(YEAR($B$9),MONTH($B$9),1),ROWS($F$6:F139)-1),IF(ROWS($F$6:F139)=DATEDIF(DATE(YEAR($B$9),MONTH($B$9),1),DATE(YEAR($B$10),MONTH($B$10),1),"m")+2,"ИТОГО",IF(ROWS($F$6:F139)=DATEDIF(DATE(YEAR($B$9),MONTH($B$9),1),DATE(YEAR($B$10),MONTH($B$10),1),"m")+3,"Отклонение графика платежей",""))))</f>
        <v/>
      </c>
      <c r="G139" s="65" t="str">
        <f>IF(F139="","",IF(ISNUMBER(F139),IF($B$19="","",MAX(0,N($B$19)-N(H139))),IF(F139="ИТОГО",SUM($G$6:INDEX($G:$G,ROW()-1)),"")))</f>
        <v/>
      </c>
      <c r="H139" s="65" t="str">
        <f>IF(F139="","",IF(ISNUMBER(F139),IF($B$22&lt;&gt;"Да",0,IF(OR($B$23="",$B$24="",$B$25="",$B$26="",$B$27=""),"",IF(AND(YEAR(F139)=YEAR($B$26),MONTH(F139)=MONTH($B$26)),$B$23,0))),IF(F139="ИТОГО",SUM($H$6:INDEX($H:$H,ROW()-1)),IF(F139="Отклонение графика платежей","Проверка",""))))</f>
        <v/>
      </c>
      <c r="I139" s="30" t="str" cm="1">
        <f t="array" ref="I139">IF(F139="","",IF(ISNUMBER(F139),SUM(G139:H139),IF(F139="ИТОГО",SUM($I$6:INDEX($I:$I,ROW()-1)),IF(F139="Отклонение графика платежей",IF($B$19="","",INDEX($I:$I,ROW()-1)-$B$19),""))))</f>
        <v/>
      </c>
      <c r="J139" s="30" t="str">
        <f>IF(F139="","",IF(ISNUMBER(F139),SUM($I$6:I139),IF(F139="ИТОГО",I139,IF(F139="Отклонение графика платежей",IF(I139="","ТРЕБУЕТСЯ ВВОД",IF(ABS(I139)&lt;0.01,"OK","ОШИБКА: график платежей не соответствует стоимости помещения")),""))))</f>
        <v/>
      </c>
      <c r="K139" s="30" t="str">
        <f t="shared" si="4"/>
        <v/>
      </c>
      <c r="P139" s="103"/>
    </row>
    <row r="140" spans="1:16" x14ac:dyDescent="0.2">
      <c r="A140" s="5"/>
      <c r="B140" s="5"/>
      <c r="C140" s="5"/>
      <c r="D140" s="6"/>
      <c r="E140" s="4"/>
      <c r="F140" s="39" t="str">
        <f>IF(OR($B$9="",$B$10="",$B$10&lt;$B$9),"",IF(ROWS($F$6:F140)&lt;=DATEDIF(DATE(YEAR($B$9),MONTH($B$9),1),DATE(YEAR($B$10),MONTH($B$10),1),"m")+1,EDATE(DATE(YEAR($B$9),MONTH($B$9),1),ROWS($F$6:F140)-1),IF(ROWS($F$6:F140)=DATEDIF(DATE(YEAR($B$9),MONTH($B$9),1),DATE(YEAR($B$10),MONTH($B$10),1),"m")+2,"ИТОГО",IF(ROWS($F$6:F140)=DATEDIF(DATE(YEAR($B$9),MONTH($B$9),1),DATE(YEAR($B$10),MONTH($B$10),1),"m")+3,"Отклонение графика платежей",""))))</f>
        <v/>
      </c>
      <c r="G140" s="65" t="str">
        <f>IF(F140="","",IF(ISNUMBER(F140),IF($B$19="","",MAX(0,N($B$19)-N(H140))),IF(F140="ИТОГО",SUM($G$6:INDEX($G:$G,ROW()-1)),"")))</f>
        <v/>
      </c>
      <c r="H140" s="65" t="str">
        <f>IF(F140="","",IF(ISNUMBER(F140),IF($B$22&lt;&gt;"Да",0,IF(OR($B$23="",$B$24="",$B$25="",$B$26="",$B$27=""),"",IF(AND(YEAR(F140)=YEAR($B$26),MONTH(F140)=MONTH($B$26)),$B$23,0))),IF(F140="ИТОГО",SUM($H$6:INDEX($H:$H,ROW()-1)),IF(F140="Отклонение графика платежей","Проверка",""))))</f>
        <v/>
      </c>
      <c r="I140" s="30" t="str" cm="1">
        <f t="array" ref="I140">IF(F140="","",IF(ISNUMBER(F140),SUM(G140:H140),IF(F140="ИТОГО",SUM($I$6:INDEX($I:$I,ROW()-1)),IF(F140="Отклонение графика платежей",IF($B$19="","",INDEX($I:$I,ROW()-1)-$B$19),""))))</f>
        <v/>
      </c>
      <c r="J140" s="30" t="str">
        <f>IF(F140="","",IF(ISNUMBER(F140),SUM($I$6:I140),IF(F140="ИТОГО",I140,IF(F140="Отклонение графика платежей",IF(I140="","ТРЕБУЕТСЯ ВВОД",IF(ABS(I140)&lt;0.01,"OK","ОШИБКА: график платежей не соответствует стоимости помещения")),""))))</f>
        <v/>
      </c>
      <c r="K140" s="30" t="str">
        <f t="shared" si="4"/>
        <v/>
      </c>
      <c r="P140" s="103"/>
    </row>
    <row r="141" spans="1:16" x14ac:dyDescent="0.2">
      <c r="A141" s="5"/>
      <c r="B141" s="5"/>
      <c r="C141" s="5"/>
      <c r="D141" s="6"/>
      <c r="E141" s="4"/>
      <c r="F141" s="39" t="str">
        <f>IF(OR($B$9="",$B$10="",$B$10&lt;$B$9),"",IF(ROWS($F$6:F141)&lt;=DATEDIF(DATE(YEAR($B$9),MONTH($B$9),1),DATE(YEAR($B$10),MONTH($B$10),1),"m")+1,EDATE(DATE(YEAR($B$9),MONTH($B$9),1),ROWS($F$6:F141)-1),IF(ROWS($F$6:F141)=DATEDIF(DATE(YEAR($B$9),MONTH($B$9),1),DATE(YEAR($B$10),MONTH($B$10),1),"m")+2,"ИТОГО",IF(ROWS($F$6:F141)=DATEDIF(DATE(YEAR($B$9),MONTH($B$9),1),DATE(YEAR($B$10),MONTH($B$10),1),"m")+3,"Отклонение графика платежей",""))))</f>
        <v/>
      </c>
      <c r="G141" s="65" t="str">
        <f>IF(F141="","",IF(ISNUMBER(F141),IF($B$19="","",MAX(0,N($B$19)-N(H141))),IF(F141="ИТОГО",SUM($G$6:INDEX($G:$G,ROW()-1)),"")))</f>
        <v/>
      </c>
      <c r="H141" s="65" t="str">
        <f>IF(F141="","",IF(ISNUMBER(F141),IF($B$22&lt;&gt;"Да",0,IF(OR($B$23="",$B$24="",$B$25="",$B$26="",$B$27=""),"",IF(AND(YEAR(F141)=YEAR($B$26),MONTH(F141)=MONTH($B$26)),$B$23,0))),IF(F141="ИТОГО",SUM($H$6:INDEX($H:$H,ROW()-1)),IF(F141="Отклонение графика платежей","Проверка",""))))</f>
        <v/>
      </c>
      <c r="I141" s="30" t="str" cm="1">
        <f t="array" ref="I141">IF(F141="","",IF(ISNUMBER(F141),SUM(G141:H141),IF(F141="ИТОГО",SUM($I$6:INDEX($I:$I,ROW()-1)),IF(F141="Отклонение графика платежей",IF($B$19="","",INDEX($I:$I,ROW()-1)-$B$19),""))))</f>
        <v/>
      </c>
      <c r="J141" s="30" t="str">
        <f>IF(F141="","",IF(ISNUMBER(F141),SUM($I$6:I141),IF(F141="ИТОГО",I141,IF(F141="Отклонение графика платежей",IF(I141="","ТРЕБУЕТСЯ ВВОД",IF(ABS(I141)&lt;0.01,"OK","ОШИБКА: график платежей не соответствует стоимости помещения")),""))))</f>
        <v/>
      </c>
      <c r="K141" s="30" t="str">
        <f t="shared" si="4"/>
        <v/>
      </c>
      <c r="P141" s="103"/>
    </row>
    <row r="142" spans="1:16" x14ac:dyDescent="0.2">
      <c r="A142" s="5"/>
      <c r="B142" s="5"/>
      <c r="C142" s="5"/>
      <c r="D142" s="6"/>
      <c r="E142" s="4"/>
      <c r="F142" s="39" t="str">
        <f>IF(OR($B$9="",$B$10="",$B$10&lt;$B$9),"",IF(ROWS($F$6:F142)&lt;=DATEDIF(DATE(YEAR($B$9),MONTH($B$9),1),DATE(YEAR($B$10),MONTH($B$10),1),"m")+1,EDATE(DATE(YEAR($B$9),MONTH($B$9),1),ROWS($F$6:F142)-1),IF(ROWS($F$6:F142)=DATEDIF(DATE(YEAR($B$9),MONTH($B$9),1),DATE(YEAR($B$10),MONTH($B$10),1),"m")+2,"ИТОГО",IF(ROWS($F$6:F142)=DATEDIF(DATE(YEAR($B$9),MONTH($B$9),1),DATE(YEAR($B$10),MONTH($B$10),1),"m")+3,"Отклонение графика платежей",""))))</f>
        <v/>
      </c>
      <c r="G142" s="65" t="str">
        <f>IF(F142="","",IF(ISNUMBER(F142),IF($B$19="","",MAX(0,N($B$19)-N(H142))),IF(F142="ИТОГО",SUM($G$6:INDEX($G:$G,ROW()-1)),"")))</f>
        <v/>
      </c>
      <c r="H142" s="65" t="str">
        <f>IF(F142="","",IF(ISNUMBER(F142),IF($B$22&lt;&gt;"Да",0,IF(OR($B$23="",$B$24="",$B$25="",$B$26="",$B$27=""),"",IF(AND(YEAR(F142)=YEAR($B$26),MONTH(F142)=MONTH($B$26)),$B$23,0))),IF(F142="ИТОГО",SUM($H$6:INDEX($H:$H,ROW()-1)),IF(F142="Отклонение графика платежей","Проверка",""))))</f>
        <v/>
      </c>
      <c r="I142" s="30" t="str" cm="1">
        <f t="array" ref="I142">IF(F142="","",IF(ISNUMBER(F142),SUM(G142:H142),IF(F142="ИТОГО",SUM($I$6:INDEX($I:$I,ROW()-1)),IF(F142="Отклонение графика платежей",IF($B$19="","",INDEX($I:$I,ROW()-1)-$B$19),""))))</f>
        <v/>
      </c>
      <c r="J142" s="30" t="str">
        <f>IF(F142="","",IF(ISNUMBER(F142),SUM($I$6:I142),IF(F142="ИТОГО",I142,IF(F142="Отклонение графика платежей",IF(I142="","ТРЕБУЕТСЯ ВВОД",IF(ABS(I142)&lt;0.01,"OK","ОШИБКА: график платежей не соответствует стоимости помещения")),""))))</f>
        <v/>
      </c>
      <c r="K142" s="30" t="str">
        <f t="shared" si="4"/>
        <v/>
      </c>
      <c r="P142" s="103"/>
    </row>
    <row r="143" spans="1:16" x14ac:dyDescent="0.2">
      <c r="A143" s="5"/>
      <c r="B143" s="5"/>
      <c r="C143" s="5"/>
      <c r="D143" s="6"/>
      <c r="E143" s="4"/>
      <c r="F143" s="39" t="str">
        <f>IF(OR($B$9="",$B$10="",$B$10&lt;$B$9),"",IF(ROWS($F$6:F143)&lt;=DATEDIF(DATE(YEAR($B$9),MONTH($B$9),1),DATE(YEAR($B$10),MONTH($B$10),1),"m")+1,EDATE(DATE(YEAR($B$9),MONTH($B$9),1),ROWS($F$6:F143)-1),IF(ROWS($F$6:F143)=DATEDIF(DATE(YEAR($B$9),MONTH($B$9),1),DATE(YEAR($B$10),MONTH($B$10),1),"m")+2,"ИТОГО",IF(ROWS($F$6:F143)=DATEDIF(DATE(YEAR($B$9),MONTH($B$9),1),DATE(YEAR($B$10),MONTH($B$10),1),"m")+3,"Отклонение графика платежей",""))))</f>
        <v/>
      </c>
      <c r="G143" s="65" t="str">
        <f>IF(F143="","",IF(ISNUMBER(F143),IF($B$19="","",MAX(0,N($B$19)-N(H143))),IF(F143="ИТОГО",SUM($G$6:INDEX($G:$G,ROW()-1)),"")))</f>
        <v/>
      </c>
      <c r="H143" s="65" t="str">
        <f>IF(F143="","",IF(ISNUMBER(F143),IF($B$22&lt;&gt;"Да",0,IF(OR($B$23="",$B$24="",$B$25="",$B$26="",$B$27=""),"",IF(AND(YEAR(F143)=YEAR($B$26),MONTH(F143)=MONTH($B$26)),$B$23,0))),IF(F143="ИТОГО",SUM($H$6:INDEX($H:$H,ROW()-1)),IF(F143="Отклонение графика платежей","Проверка",""))))</f>
        <v/>
      </c>
      <c r="I143" s="30" t="str" cm="1">
        <f t="array" ref="I143">IF(F143="","",IF(ISNUMBER(F143),SUM(G143:H143),IF(F143="ИТОГО",SUM($I$6:INDEX($I:$I,ROW()-1)),IF(F143="Отклонение графика платежей",IF($B$19="","",INDEX($I:$I,ROW()-1)-$B$19),""))))</f>
        <v/>
      </c>
      <c r="J143" s="30" t="str">
        <f>IF(F143="","",IF(ISNUMBER(F143),SUM($I$6:I143),IF(F143="ИТОГО",I143,IF(F143="Отклонение графика платежей",IF(I143="","ТРЕБУЕТСЯ ВВОД",IF(ABS(I143)&lt;0.01,"OK","ОШИБКА: график платежей не соответствует стоимости помещения")),""))))</f>
        <v/>
      </c>
      <c r="K143" s="30" t="str">
        <f t="shared" si="4"/>
        <v/>
      </c>
      <c r="P143" s="103"/>
    </row>
    <row r="144" spans="1:16" x14ac:dyDescent="0.2">
      <c r="A144" s="5"/>
      <c r="B144" s="5"/>
      <c r="C144" s="5"/>
      <c r="D144" s="6"/>
      <c r="E144" s="4"/>
      <c r="F144" s="39" t="str">
        <f>IF(OR($B$9="",$B$10="",$B$10&lt;$B$9),"",IF(ROWS($F$6:F144)&lt;=DATEDIF(DATE(YEAR($B$9),MONTH($B$9),1),DATE(YEAR($B$10),MONTH($B$10),1),"m")+1,EDATE(DATE(YEAR($B$9),MONTH($B$9),1),ROWS($F$6:F144)-1),IF(ROWS($F$6:F144)=DATEDIF(DATE(YEAR($B$9),MONTH($B$9),1),DATE(YEAR($B$10),MONTH($B$10),1),"m")+2,"ИТОГО",IF(ROWS($F$6:F144)=DATEDIF(DATE(YEAR($B$9),MONTH($B$9),1),DATE(YEAR($B$10),MONTH($B$10),1),"m")+3,"Отклонение графика платежей",""))))</f>
        <v/>
      </c>
      <c r="G144" s="65" t="str">
        <f>IF(F144="","",IF(ISNUMBER(F144),IF($B$19="","",MAX(0,N($B$19)-N(H144))),IF(F144="ИТОГО",SUM($G$6:INDEX($G:$G,ROW()-1)),"")))</f>
        <v/>
      </c>
      <c r="H144" s="65" t="str">
        <f>IF(F144="","",IF(ISNUMBER(F144),IF($B$22&lt;&gt;"Да",0,IF(OR($B$23="",$B$24="",$B$25="",$B$26="",$B$27=""),"",IF(AND(YEAR(F144)=YEAR($B$26),MONTH(F144)=MONTH($B$26)),$B$23,0))),IF(F144="ИТОГО",SUM($H$6:INDEX($H:$H,ROW()-1)),IF(F144="Отклонение графика платежей","Проверка",""))))</f>
        <v/>
      </c>
      <c r="I144" s="30" t="str" cm="1">
        <f t="array" ref="I144">IF(F144="","",IF(ISNUMBER(F144),SUM(G144:H144),IF(F144="ИТОГО",SUM($I$6:INDEX($I:$I,ROW()-1)),IF(F144="Отклонение графика платежей",IF($B$19="","",INDEX($I:$I,ROW()-1)-$B$19),""))))</f>
        <v/>
      </c>
      <c r="J144" s="30" t="str">
        <f>IF(F144="","",IF(ISNUMBER(F144),SUM($I$6:I144),IF(F144="ИТОГО",I144,IF(F144="Отклонение графика платежей",IF(I144="","ТРЕБУЕТСЯ ВВОД",IF(ABS(I144)&lt;0.01,"OK","ОШИБКА: график платежей не соответствует стоимости помещения")),""))))</f>
        <v/>
      </c>
      <c r="K144" s="30" t="str">
        <f t="shared" si="4"/>
        <v/>
      </c>
      <c r="P144" s="103"/>
    </row>
    <row r="145" spans="1:16" x14ac:dyDescent="0.2">
      <c r="A145" s="5"/>
      <c r="B145" s="5"/>
      <c r="C145" s="5"/>
      <c r="D145" s="6"/>
      <c r="E145" s="4"/>
      <c r="F145" s="39" t="str">
        <f>IF(OR($B$9="",$B$10="",$B$10&lt;$B$9),"",IF(ROWS($F$6:F145)&lt;=DATEDIF(DATE(YEAR($B$9),MONTH($B$9),1),DATE(YEAR($B$10),MONTH($B$10),1),"m")+1,EDATE(DATE(YEAR($B$9),MONTH($B$9),1),ROWS($F$6:F145)-1),IF(ROWS($F$6:F145)=DATEDIF(DATE(YEAR($B$9),MONTH($B$9),1),DATE(YEAR($B$10),MONTH($B$10),1),"m")+2,"ИТОГО",IF(ROWS($F$6:F145)=DATEDIF(DATE(YEAR($B$9),MONTH($B$9),1),DATE(YEAR($B$10),MONTH($B$10),1),"m")+3,"Отклонение графика платежей",""))))</f>
        <v/>
      </c>
      <c r="G145" s="65" t="str">
        <f>IF(F145="","",IF(ISNUMBER(F145),IF($B$19="","",MAX(0,N($B$19)-N(H145))),IF(F145="ИТОГО",SUM($G$6:INDEX($G:$G,ROW()-1)),"")))</f>
        <v/>
      </c>
      <c r="H145" s="65" t="str">
        <f>IF(F145="","",IF(ISNUMBER(F145),IF($B$22&lt;&gt;"Да",0,IF(OR($B$23="",$B$24="",$B$25="",$B$26="",$B$27=""),"",IF(AND(YEAR(F145)=YEAR($B$26),MONTH(F145)=MONTH($B$26)),$B$23,0))),IF(F145="ИТОГО",SUM($H$6:INDEX($H:$H,ROW()-1)),IF(F145="Отклонение графика платежей","Проверка",""))))</f>
        <v/>
      </c>
      <c r="I145" s="30" t="str" cm="1">
        <f t="array" ref="I145">IF(F145="","",IF(ISNUMBER(F145),SUM(G145:H145),IF(F145="ИТОГО",SUM($I$6:INDEX($I:$I,ROW()-1)),IF(F145="Отклонение графика платежей",IF($B$19="","",INDEX($I:$I,ROW()-1)-$B$19),""))))</f>
        <v/>
      </c>
      <c r="J145" s="30" t="str">
        <f>IF(F145="","",IF(ISNUMBER(F145),SUM($I$6:I145),IF(F145="ИТОГО",I145,IF(F145="Отклонение графика платежей",IF(I145="","ТРЕБУЕТСЯ ВВОД",IF(ABS(I145)&lt;0.01,"OK","ОШИБКА: график платежей не соответствует стоимости помещения")),""))))</f>
        <v/>
      </c>
      <c r="K145" s="30" t="str">
        <f t="shared" si="4"/>
        <v/>
      </c>
      <c r="P145" s="103"/>
    </row>
    <row r="146" spans="1:16" x14ac:dyDescent="0.2">
      <c r="A146" s="5"/>
      <c r="B146" s="5"/>
      <c r="C146" s="5"/>
      <c r="D146" s="6"/>
      <c r="E146" s="4"/>
      <c r="F146" s="39" t="str">
        <f>IF(OR($B$9="",$B$10="",$B$10&lt;$B$9),"",IF(ROWS($F$6:F146)&lt;=DATEDIF(DATE(YEAR($B$9),MONTH($B$9),1),DATE(YEAR($B$10),MONTH($B$10),1),"m")+1,EDATE(DATE(YEAR($B$9),MONTH($B$9),1),ROWS($F$6:F146)-1),IF(ROWS($F$6:F146)=DATEDIF(DATE(YEAR($B$9),MONTH($B$9),1),DATE(YEAR($B$10),MONTH($B$10),1),"m")+2,"ИТОГО",IF(ROWS($F$6:F146)=DATEDIF(DATE(YEAR($B$9),MONTH($B$9),1),DATE(YEAR($B$10),MONTH($B$10),1),"m")+3,"Отклонение графика платежей",""))))</f>
        <v/>
      </c>
      <c r="G146" s="65" t="str">
        <f>IF(F146="","",IF(ISNUMBER(F146),IF($B$19="","",MAX(0,N($B$19)-N(H146))),IF(F146="ИТОГО",SUM($G$6:INDEX($G:$G,ROW()-1)),"")))</f>
        <v/>
      </c>
      <c r="H146" s="65" t="str">
        <f>IF(F146="","",IF(ISNUMBER(F146),IF($B$22&lt;&gt;"Да",0,IF(OR($B$23="",$B$24="",$B$25="",$B$26="",$B$27=""),"",IF(AND(YEAR(F146)=YEAR($B$26),MONTH(F146)=MONTH($B$26)),$B$23,0))),IF(F146="ИТОГО",SUM($H$6:INDEX($H:$H,ROW()-1)),IF(F146="Отклонение графика платежей","Проверка",""))))</f>
        <v/>
      </c>
      <c r="I146" s="30" t="str" cm="1">
        <f t="array" ref="I146">IF(F146="","",IF(ISNUMBER(F146),SUM(G146:H146),IF(F146="ИТОГО",SUM($I$6:INDEX($I:$I,ROW()-1)),IF(F146="Отклонение графика платежей",IF($B$19="","",INDEX($I:$I,ROW()-1)-$B$19),""))))</f>
        <v/>
      </c>
      <c r="J146" s="30" t="str">
        <f>IF(F146="","",IF(ISNUMBER(F146),SUM($I$6:I146),IF(F146="ИТОГО",I146,IF(F146="Отклонение графика платежей",IF(I146="","ТРЕБУЕТСЯ ВВОД",IF(ABS(I146)&lt;0.01,"OK","ОШИБКА: график платежей не соответствует стоимости помещения")),""))))</f>
        <v/>
      </c>
      <c r="K146" s="30" t="str">
        <f t="shared" si="4"/>
        <v/>
      </c>
      <c r="P146" s="103"/>
    </row>
    <row r="147" spans="1:16" x14ac:dyDescent="0.2">
      <c r="A147" s="5"/>
      <c r="B147" s="5"/>
      <c r="C147" s="5"/>
      <c r="D147" s="6"/>
      <c r="E147" s="4"/>
      <c r="F147" s="39" t="str">
        <f>IF(OR($B$9="",$B$10="",$B$10&lt;$B$9),"",IF(ROWS($F$6:F147)&lt;=DATEDIF(DATE(YEAR($B$9),MONTH($B$9),1),DATE(YEAR($B$10),MONTH($B$10),1),"m")+1,EDATE(DATE(YEAR($B$9),MONTH($B$9),1),ROWS($F$6:F147)-1),IF(ROWS($F$6:F147)=DATEDIF(DATE(YEAR($B$9),MONTH($B$9),1),DATE(YEAR($B$10),MONTH($B$10),1),"m")+2,"ИТОГО",IF(ROWS($F$6:F147)=DATEDIF(DATE(YEAR($B$9),MONTH($B$9),1),DATE(YEAR($B$10),MONTH($B$10),1),"m")+3,"Отклонение графика платежей",""))))</f>
        <v/>
      </c>
      <c r="G147" s="65" t="str">
        <f>IF(F147="","",IF(ISNUMBER(F147),IF($B$19="","",MAX(0,N($B$19)-N(H147))),IF(F147="ИТОГО",SUM($G$6:INDEX($G:$G,ROW()-1)),"")))</f>
        <v/>
      </c>
      <c r="H147" s="65" t="str">
        <f>IF(F147="","",IF(ISNUMBER(F147),IF($B$22&lt;&gt;"Да",0,IF(OR($B$23="",$B$24="",$B$25="",$B$26="",$B$27=""),"",IF(AND(YEAR(F147)=YEAR($B$26),MONTH(F147)=MONTH($B$26)),$B$23,0))),IF(F147="ИТОГО",SUM($H$6:INDEX($H:$H,ROW()-1)),IF(F147="Отклонение графика платежей","Проверка",""))))</f>
        <v/>
      </c>
      <c r="I147" s="30" t="str" cm="1">
        <f t="array" ref="I147">IF(F147="","",IF(ISNUMBER(F147),SUM(G147:H147),IF(F147="ИТОГО",SUM($I$6:INDEX($I:$I,ROW()-1)),IF(F147="Отклонение графика платежей",IF($B$19="","",INDEX($I:$I,ROW()-1)-$B$19),""))))</f>
        <v/>
      </c>
      <c r="J147" s="30" t="str">
        <f>IF(F147="","",IF(ISNUMBER(F147),SUM($I$6:I147),IF(F147="ИТОГО",I147,IF(F147="Отклонение графика платежей",IF(I147="","ТРЕБУЕТСЯ ВВОД",IF(ABS(I147)&lt;0.01,"OK","ОШИБКА: график платежей не соответствует стоимости помещения")),""))))</f>
        <v/>
      </c>
      <c r="K147" s="30" t="str">
        <f t="shared" si="4"/>
        <v/>
      </c>
      <c r="P147" s="103"/>
    </row>
    <row r="148" spans="1:16" x14ac:dyDescent="0.2">
      <c r="A148" s="5"/>
      <c r="B148" s="5"/>
      <c r="C148" s="5"/>
      <c r="D148" s="6"/>
      <c r="E148" s="4"/>
      <c r="F148" s="39" t="str">
        <f>IF(OR($B$9="",$B$10="",$B$10&lt;$B$9),"",IF(ROWS($F$6:F148)&lt;=DATEDIF(DATE(YEAR($B$9),MONTH($B$9),1),DATE(YEAR($B$10),MONTH($B$10),1),"m")+1,EDATE(DATE(YEAR($B$9),MONTH($B$9),1),ROWS($F$6:F148)-1),IF(ROWS($F$6:F148)=DATEDIF(DATE(YEAR($B$9),MONTH($B$9),1),DATE(YEAR($B$10),MONTH($B$10),1),"m")+2,"ИТОГО",IF(ROWS($F$6:F148)=DATEDIF(DATE(YEAR($B$9),MONTH($B$9),1),DATE(YEAR($B$10),MONTH($B$10),1),"m")+3,"Отклонение графика платежей",""))))</f>
        <v/>
      </c>
      <c r="G148" s="65" t="str">
        <f>IF(F148="","",IF(ISNUMBER(F148),IF($B$19="","",MAX(0,N($B$19)-N(H148))),IF(F148="ИТОГО",SUM($G$6:INDEX($G:$G,ROW()-1)),"")))</f>
        <v/>
      </c>
      <c r="H148" s="65" t="str">
        <f>IF(F148="","",IF(ISNUMBER(F148),IF($B$22&lt;&gt;"Да",0,IF(OR($B$23="",$B$24="",$B$25="",$B$26="",$B$27=""),"",IF(AND(YEAR(F148)=YEAR($B$26),MONTH(F148)=MONTH($B$26)),$B$23,0))),IF(F148="ИТОГО",SUM($H$6:INDEX($H:$H,ROW()-1)),IF(F148="Отклонение графика платежей","Проверка",""))))</f>
        <v/>
      </c>
      <c r="I148" s="30" t="str" cm="1">
        <f t="array" ref="I148">IF(F148="","",IF(ISNUMBER(F148),SUM(G148:H148),IF(F148="ИТОГО",SUM($I$6:INDEX($I:$I,ROW()-1)),IF(F148="Отклонение графика платежей",IF($B$19="","",INDEX($I:$I,ROW()-1)-$B$19),""))))</f>
        <v/>
      </c>
      <c r="J148" s="30" t="str">
        <f>IF(F148="","",IF(ISNUMBER(F148),SUM($I$6:I148),IF(F148="ИТОГО",I148,IF(F148="Отклонение графика платежей",IF(I148="","ТРЕБУЕТСЯ ВВОД",IF(ABS(I148)&lt;0.01,"OK","ОШИБКА: график платежей не соответствует стоимости помещения")),""))))</f>
        <v/>
      </c>
      <c r="K148" s="30" t="str">
        <f t="shared" si="4"/>
        <v/>
      </c>
      <c r="P148" s="103"/>
    </row>
    <row r="149" spans="1:16" x14ac:dyDescent="0.2">
      <c r="A149" s="5"/>
      <c r="B149" s="5"/>
      <c r="C149" s="5"/>
      <c r="D149" s="6"/>
      <c r="E149" s="4"/>
      <c r="F149" s="39" t="str">
        <f>IF(OR($B$9="",$B$10="",$B$10&lt;$B$9),"",IF(ROWS($F$6:F149)&lt;=DATEDIF(DATE(YEAR($B$9),MONTH($B$9),1),DATE(YEAR($B$10),MONTH($B$10),1),"m")+1,EDATE(DATE(YEAR($B$9),MONTH($B$9),1),ROWS($F$6:F149)-1),IF(ROWS($F$6:F149)=DATEDIF(DATE(YEAR($B$9),MONTH($B$9),1),DATE(YEAR($B$10),MONTH($B$10),1),"m")+2,"ИТОГО",IF(ROWS($F$6:F149)=DATEDIF(DATE(YEAR($B$9),MONTH($B$9),1),DATE(YEAR($B$10),MONTH($B$10),1),"m")+3,"Отклонение графика платежей",""))))</f>
        <v/>
      </c>
      <c r="G149" s="65" t="str">
        <f>IF(F149="","",IF(ISNUMBER(F149),IF($B$19="","",MAX(0,N($B$19)-N(H149))),IF(F149="ИТОГО",SUM($G$6:INDEX($G:$G,ROW()-1)),"")))</f>
        <v/>
      </c>
      <c r="H149" s="65" t="str">
        <f>IF(F149="","",IF(ISNUMBER(F149),IF($B$22&lt;&gt;"Да",0,IF(OR($B$23="",$B$24="",$B$25="",$B$26="",$B$27=""),"",IF(AND(YEAR(F149)=YEAR($B$26),MONTH(F149)=MONTH($B$26)),$B$23,0))),IF(F149="ИТОГО",SUM($H$6:INDEX($H:$H,ROW()-1)),IF(F149="Отклонение графика платежей","Проверка",""))))</f>
        <v/>
      </c>
      <c r="I149" s="30" t="str" cm="1">
        <f t="array" ref="I149">IF(F149="","",IF(ISNUMBER(F149),SUM(G149:H149),IF(F149="ИТОГО",SUM($I$6:INDEX($I:$I,ROW()-1)),IF(F149="Отклонение графика платежей",IF($B$19="","",INDEX($I:$I,ROW()-1)-$B$19),""))))</f>
        <v/>
      </c>
      <c r="J149" s="30" t="str">
        <f>IF(F149="","",IF(ISNUMBER(F149),SUM($I$6:I149),IF(F149="ИТОГО",I149,IF(F149="Отклонение графика платежей",IF(I149="","ТРЕБУЕТСЯ ВВОД",IF(ABS(I149)&lt;0.01,"OK","ОШИБКА: график платежей не соответствует стоимости помещения")),""))))</f>
        <v/>
      </c>
      <c r="K149" s="30" t="str">
        <f t="shared" si="4"/>
        <v/>
      </c>
      <c r="P149" s="103"/>
    </row>
    <row r="150" spans="1:16" x14ac:dyDescent="0.2">
      <c r="A150" s="5"/>
      <c r="B150" s="5"/>
      <c r="C150" s="5"/>
      <c r="D150" s="6"/>
      <c r="E150" s="4"/>
      <c r="F150" s="39" t="str">
        <f>IF(OR($B$9="",$B$10="",$B$10&lt;$B$9),"",IF(ROWS($F$6:F150)&lt;=DATEDIF(DATE(YEAR($B$9),MONTH($B$9),1),DATE(YEAR($B$10),MONTH($B$10),1),"m")+1,EDATE(DATE(YEAR($B$9),MONTH($B$9),1),ROWS($F$6:F150)-1),IF(ROWS($F$6:F150)=DATEDIF(DATE(YEAR($B$9),MONTH($B$9),1),DATE(YEAR($B$10),MONTH($B$10),1),"m")+2,"ИТОГО",IF(ROWS($F$6:F150)=DATEDIF(DATE(YEAR($B$9),MONTH($B$9),1),DATE(YEAR($B$10),MONTH($B$10),1),"m")+3,"Отклонение графика платежей",""))))</f>
        <v/>
      </c>
      <c r="G150" s="65" t="str">
        <f>IF(F150="","",IF(ISNUMBER(F150),IF($B$19="","",MAX(0,N($B$19)-N(H150))),IF(F150="ИТОГО",SUM($G$6:INDEX($G:$G,ROW()-1)),"")))</f>
        <v/>
      </c>
      <c r="H150" s="65" t="str">
        <f>IF(F150="","",IF(ISNUMBER(F150),IF($B$22&lt;&gt;"Да",0,IF(OR($B$23="",$B$24="",$B$25="",$B$26="",$B$27=""),"",IF(AND(YEAR(F150)=YEAR($B$26),MONTH(F150)=MONTH($B$26)),$B$23,0))),IF(F150="ИТОГО",SUM($H$6:INDEX($H:$H,ROW()-1)),IF(F150="Отклонение графика платежей","Проверка",""))))</f>
        <v/>
      </c>
      <c r="I150" s="30" t="str" cm="1">
        <f t="array" ref="I150">IF(F150="","",IF(ISNUMBER(F150),SUM(G150:H150),IF(F150="ИТОГО",SUM($I$6:INDEX($I:$I,ROW()-1)),IF(F150="Отклонение графика платежей",IF($B$19="","",INDEX($I:$I,ROW()-1)-$B$19),""))))</f>
        <v/>
      </c>
      <c r="J150" s="30" t="str">
        <f>IF(F150="","",IF(ISNUMBER(F150),SUM($I$6:I150),IF(F150="ИТОГО",I150,IF(F150="Отклонение графика платежей",IF(I150="","ТРЕБУЕТСЯ ВВОД",IF(ABS(I150)&lt;0.01,"OK","ОШИБКА: график платежей не соответствует стоимости помещения")),""))))</f>
        <v/>
      </c>
      <c r="K150" s="30" t="str">
        <f t="shared" si="4"/>
        <v/>
      </c>
      <c r="P150" s="103"/>
    </row>
    <row r="151" spans="1:16" x14ac:dyDescent="0.2">
      <c r="A151" s="5"/>
      <c r="B151" s="5"/>
      <c r="C151" s="5"/>
      <c r="D151" s="6"/>
      <c r="E151" s="4"/>
      <c r="F151" s="39" t="str">
        <f>IF(OR($B$9="",$B$10="",$B$10&lt;$B$9),"",IF(ROWS($F$6:F151)&lt;=DATEDIF(DATE(YEAR($B$9),MONTH($B$9),1),DATE(YEAR($B$10),MONTH($B$10),1),"m")+1,EDATE(DATE(YEAR($B$9),MONTH($B$9),1),ROWS($F$6:F151)-1),IF(ROWS($F$6:F151)=DATEDIF(DATE(YEAR($B$9),MONTH($B$9),1),DATE(YEAR($B$10),MONTH($B$10),1),"m")+2,"ИТОГО",IF(ROWS($F$6:F151)=DATEDIF(DATE(YEAR($B$9),MONTH($B$9),1),DATE(YEAR($B$10),MONTH($B$10),1),"m")+3,"Отклонение графика платежей",""))))</f>
        <v/>
      </c>
      <c r="G151" s="65" t="str">
        <f>IF(F151="","",IF(ISNUMBER(F151),IF($B$19="","",MAX(0,N($B$19)-N(H151))),IF(F151="ИТОГО",SUM($G$6:INDEX($G:$G,ROW()-1)),"")))</f>
        <v/>
      </c>
      <c r="H151" s="65" t="str">
        <f>IF(F151="","",IF(ISNUMBER(F151),IF($B$22&lt;&gt;"Да",0,IF(OR($B$23="",$B$24="",$B$25="",$B$26="",$B$27=""),"",IF(AND(YEAR(F151)=YEAR($B$26),MONTH(F151)=MONTH($B$26)),$B$23,0))),IF(F151="ИТОГО",SUM($H$6:INDEX($H:$H,ROW()-1)),IF(F151="Отклонение графика платежей","Проверка",""))))</f>
        <v/>
      </c>
      <c r="I151" s="30" t="str" cm="1">
        <f t="array" ref="I151">IF(F151="","",IF(ISNUMBER(F151),SUM(G151:H151),IF(F151="ИТОГО",SUM($I$6:INDEX($I:$I,ROW()-1)),IF(F151="Отклонение графика платежей",IF($B$19="","",INDEX($I:$I,ROW()-1)-$B$19),""))))</f>
        <v/>
      </c>
      <c r="J151" s="30" t="str">
        <f>IF(F151="","",IF(ISNUMBER(F151),SUM($I$6:I151),IF(F151="ИТОГО",I151,IF(F151="Отклонение графика платежей",IF(I151="","ТРЕБУЕТСЯ ВВОД",IF(ABS(I151)&lt;0.01,"OK","ОШИБКА: график платежей не соответствует стоимости помещения")),""))))</f>
        <v/>
      </c>
      <c r="K151" s="30" t="str">
        <f t="shared" si="4"/>
        <v/>
      </c>
      <c r="P151" s="103"/>
    </row>
    <row r="152" spans="1:16" x14ac:dyDescent="0.2">
      <c r="A152" s="5"/>
      <c r="B152" s="5"/>
      <c r="C152" s="5"/>
      <c r="D152" s="6"/>
      <c r="E152" s="4"/>
      <c r="F152" s="39" t="str">
        <f>IF(OR($B$9="",$B$10="",$B$10&lt;$B$9),"",IF(ROWS($F$6:F152)&lt;=DATEDIF(DATE(YEAR($B$9),MONTH($B$9),1),DATE(YEAR($B$10),MONTH($B$10),1),"m")+1,EDATE(DATE(YEAR($B$9),MONTH($B$9),1),ROWS($F$6:F152)-1),IF(ROWS($F$6:F152)=DATEDIF(DATE(YEAR($B$9),MONTH($B$9),1),DATE(YEAR($B$10),MONTH($B$10),1),"m")+2,"ИТОГО",IF(ROWS($F$6:F152)=DATEDIF(DATE(YEAR($B$9),MONTH($B$9),1),DATE(YEAR($B$10),MONTH($B$10),1),"m")+3,"Отклонение графика платежей",""))))</f>
        <v/>
      </c>
      <c r="G152" s="65" t="str">
        <f>IF(F152="","",IF(ISNUMBER(F152),IF($B$19="","",MAX(0,N($B$19)-N(H152))),IF(F152="ИТОГО",SUM($G$6:INDEX($G:$G,ROW()-1)),"")))</f>
        <v/>
      </c>
      <c r="H152" s="65" t="str">
        <f>IF(F152="","",IF(ISNUMBER(F152),IF($B$22&lt;&gt;"Да",0,IF(OR($B$23="",$B$24="",$B$25="",$B$26="",$B$27=""),"",IF(AND(YEAR(F152)=YEAR($B$26),MONTH(F152)=MONTH($B$26)),$B$23,0))),IF(F152="ИТОГО",SUM($H$6:INDEX($H:$H,ROW()-1)),IF(F152="Отклонение графика платежей","Проверка",""))))</f>
        <v/>
      </c>
      <c r="I152" s="30" t="str" cm="1">
        <f t="array" ref="I152">IF(F152="","",IF(ISNUMBER(F152),SUM(G152:H152),IF(F152="ИТОГО",SUM($I$6:INDEX($I:$I,ROW()-1)),IF(F152="Отклонение графика платежей",IF($B$19="","",INDEX($I:$I,ROW()-1)-$B$19),""))))</f>
        <v/>
      </c>
      <c r="J152" s="30" t="str">
        <f>IF(F152="","",IF(ISNUMBER(F152),SUM($I$6:I152),IF(F152="ИТОГО",I152,IF(F152="Отклонение графика платежей",IF(I152="","ТРЕБУЕТСЯ ВВОД",IF(ABS(I152)&lt;0.01,"OK","ОШИБКА: график платежей не соответствует стоимости помещения")),""))))</f>
        <v/>
      </c>
      <c r="K152" s="30" t="str">
        <f t="shared" si="4"/>
        <v/>
      </c>
      <c r="P152" s="103"/>
    </row>
    <row r="153" spans="1:16" x14ac:dyDescent="0.2">
      <c r="A153" s="5"/>
      <c r="B153" s="5"/>
      <c r="C153" s="5"/>
      <c r="D153" s="6"/>
      <c r="E153" s="4"/>
      <c r="F153" s="39" t="str">
        <f>IF(OR($B$9="",$B$10="",$B$10&lt;$B$9),"",IF(ROWS($F$6:F153)&lt;=DATEDIF(DATE(YEAR($B$9),MONTH($B$9),1),DATE(YEAR($B$10),MONTH($B$10),1),"m")+1,EDATE(DATE(YEAR($B$9),MONTH($B$9),1),ROWS($F$6:F153)-1),IF(ROWS($F$6:F153)=DATEDIF(DATE(YEAR($B$9),MONTH($B$9),1),DATE(YEAR($B$10),MONTH($B$10),1),"m")+2,"ИТОГО",IF(ROWS($F$6:F153)=DATEDIF(DATE(YEAR($B$9),MONTH($B$9),1),DATE(YEAR($B$10),MONTH($B$10),1),"m")+3,"Отклонение графика платежей",""))))</f>
        <v/>
      </c>
      <c r="G153" s="65" t="str">
        <f>IF(F153="","",IF(ISNUMBER(F153),IF($B$19="","",MAX(0,N($B$19)-N(H153))),IF(F153="ИТОГО",SUM($G$6:INDEX($G:$G,ROW()-1)),"")))</f>
        <v/>
      </c>
      <c r="H153" s="65" t="str">
        <f>IF(F153="","",IF(ISNUMBER(F153),IF($B$22&lt;&gt;"Да",0,IF(OR($B$23="",$B$24="",$B$25="",$B$26="",$B$27=""),"",IF(AND(YEAR(F153)=YEAR($B$26),MONTH(F153)=MONTH($B$26)),$B$23,0))),IF(F153="ИТОГО",SUM($H$6:INDEX($H:$H,ROW()-1)),IF(F153="Отклонение графика платежей","Проверка",""))))</f>
        <v/>
      </c>
      <c r="I153" s="30" t="str" cm="1">
        <f t="array" ref="I153">IF(F153="","",IF(ISNUMBER(F153),SUM(G153:H153),IF(F153="ИТОГО",SUM($I$6:INDEX($I:$I,ROW()-1)),IF(F153="Отклонение графика платежей",IF($B$19="","",INDEX($I:$I,ROW()-1)-$B$19),""))))</f>
        <v/>
      </c>
      <c r="J153" s="30" t="str">
        <f>IF(F153="","",IF(ISNUMBER(F153),SUM($I$6:I153),IF(F153="ИТОГО",I153,IF(F153="Отклонение графика платежей",IF(I153="","ТРЕБУЕТСЯ ВВОД",IF(ABS(I153)&lt;0.01,"OK","ОШИБКА: график платежей не соответствует стоимости помещения")),""))))</f>
        <v/>
      </c>
      <c r="K153" s="30" t="str">
        <f t="shared" si="4"/>
        <v/>
      </c>
      <c r="P153" s="103"/>
    </row>
    <row r="154" spans="1:16" x14ac:dyDescent="0.2">
      <c r="A154" s="5"/>
      <c r="B154" s="5"/>
      <c r="C154" s="5"/>
      <c r="D154" s="6"/>
      <c r="E154" s="4"/>
      <c r="F154" s="39" t="str">
        <f>IF(OR($B$9="",$B$10="",$B$10&lt;$B$9),"",IF(ROWS($F$6:F154)&lt;=DATEDIF(DATE(YEAR($B$9),MONTH($B$9),1),DATE(YEAR($B$10),MONTH($B$10),1),"m")+1,EDATE(DATE(YEAR($B$9),MONTH($B$9),1),ROWS($F$6:F154)-1),IF(ROWS($F$6:F154)=DATEDIF(DATE(YEAR($B$9),MONTH($B$9),1),DATE(YEAR($B$10),MONTH($B$10),1),"m")+2,"ИТОГО",IF(ROWS($F$6:F154)=DATEDIF(DATE(YEAR($B$9),MONTH($B$9),1),DATE(YEAR($B$10),MONTH($B$10),1),"m")+3,"Отклонение графика платежей",""))))</f>
        <v/>
      </c>
      <c r="G154" s="65" t="str">
        <f>IF(F154="","",IF(ISNUMBER(F154),IF($B$19="","",MAX(0,N($B$19)-N(H154))),IF(F154="ИТОГО",SUM($G$6:INDEX($G:$G,ROW()-1)),"")))</f>
        <v/>
      </c>
      <c r="H154" s="65" t="str">
        <f>IF(F154="","",IF(ISNUMBER(F154),IF($B$22&lt;&gt;"Да",0,IF(OR($B$23="",$B$24="",$B$25="",$B$26="",$B$27=""),"",IF(AND(YEAR(F154)=YEAR($B$26),MONTH(F154)=MONTH($B$26)),$B$23,0))),IF(F154="ИТОГО",SUM($H$6:INDEX($H:$H,ROW()-1)),IF(F154="Отклонение графика платежей","Проверка",""))))</f>
        <v/>
      </c>
      <c r="I154" s="30" t="str" cm="1">
        <f t="array" ref="I154">IF(F154="","",IF(ISNUMBER(F154),SUM(G154:H154),IF(F154="ИТОГО",SUM($I$6:INDEX($I:$I,ROW()-1)),IF(F154="Отклонение графика платежей",IF($B$19="","",INDEX($I:$I,ROW()-1)-$B$19),""))))</f>
        <v/>
      </c>
      <c r="J154" s="30" t="str">
        <f>IF(F154="","",IF(ISNUMBER(F154),SUM($I$6:I154),IF(F154="ИТОГО",I154,IF(F154="Отклонение графика платежей",IF(I154="","ТРЕБУЕТСЯ ВВОД",IF(ABS(I154)&lt;0.01,"OK","ОШИБКА: график платежей не соответствует стоимости помещения")),""))))</f>
        <v/>
      </c>
      <c r="K154" s="30" t="str">
        <f t="shared" si="4"/>
        <v/>
      </c>
      <c r="P154" s="103"/>
    </row>
    <row r="155" spans="1:16" x14ac:dyDescent="0.2">
      <c r="A155" s="5"/>
      <c r="B155" s="5"/>
      <c r="C155" s="5"/>
      <c r="D155" s="6"/>
      <c r="E155" s="4"/>
      <c r="F155" s="39" t="str">
        <f>IF(OR($B$9="",$B$10="",$B$10&lt;$B$9),"",IF(ROWS($F$6:F155)&lt;=DATEDIF(DATE(YEAR($B$9),MONTH($B$9),1),DATE(YEAR($B$10),MONTH($B$10),1),"m")+1,EDATE(DATE(YEAR($B$9),MONTH($B$9),1),ROWS($F$6:F155)-1),IF(ROWS($F$6:F155)=DATEDIF(DATE(YEAR($B$9),MONTH($B$9),1),DATE(YEAR($B$10),MONTH($B$10),1),"m")+2,"ИТОГО",IF(ROWS($F$6:F155)=DATEDIF(DATE(YEAR($B$9),MONTH($B$9),1),DATE(YEAR($B$10),MONTH($B$10),1),"m")+3,"Отклонение графика платежей",""))))</f>
        <v/>
      </c>
      <c r="G155" s="65" t="str">
        <f>IF(F155="","",IF(ISNUMBER(F155),IF($B$19="","",MAX(0,N($B$19)-N(H155))),IF(F155="ИТОГО",SUM($G$6:INDEX($G:$G,ROW()-1)),"")))</f>
        <v/>
      </c>
      <c r="H155" s="65" t="str">
        <f>IF(F155="","",IF(ISNUMBER(F155),IF($B$22&lt;&gt;"Да",0,IF(OR($B$23="",$B$24="",$B$25="",$B$26="",$B$27=""),"",IF(AND(YEAR(F155)=YEAR($B$26),MONTH(F155)=MONTH($B$26)),$B$23,0))),IF(F155="ИТОГО",SUM($H$6:INDEX($H:$H,ROW()-1)),IF(F155="Отклонение графика платежей","Проверка",""))))</f>
        <v/>
      </c>
      <c r="I155" s="30" t="str" cm="1">
        <f t="array" ref="I155">IF(F155="","",IF(ISNUMBER(F155),SUM(G155:H155),IF(F155="ИТОГО",SUM($I$6:INDEX($I:$I,ROW()-1)),IF(F155="Отклонение графика платежей",IF($B$19="","",INDEX($I:$I,ROW()-1)-$B$19),""))))</f>
        <v/>
      </c>
      <c r="J155" s="30" t="str">
        <f>IF(F155="","",IF(ISNUMBER(F155),SUM($I$6:I155),IF(F155="ИТОГО",I155,IF(F155="Отклонение графика платежей",IF(I155="","ТРЕБУЕТСЯ ВВОД",IF(ABS(I155)&lt;0.01,"OK","ОШИБКА: график платежей не соответствует стоимости помещения")),""))))</f>
        <v/>
      </c>
      <c r="K155" s="30" t="str">
        <f t="shared" si="4"/>
        <v/>
      </c>
      <c r="P155" s="103"/>
    </row>
    <row r="156" spans="1:16" x14ac:dyDescent="0.2">
      <c r="A156" s="5"/>
      <c r="B156" s="5"/>
      <c r="C156" s="5"/>
      <c r="D156" s="6"/>
      <c r="E156" s="4"/>
      <c r="F156" s="39" t="str">
        <f>IF(OR($B$9="",$B$10="",$B$10&lt;$B$9),"",IF(ROWS($F$6:F156)&lt;=DATEDIF(DATE(YEAR($B$9),MONTH($B$9),1),DATE(YEAR($B$10),MONTH($B$10),1),"m")+1,EDATE(DATE(YEAR($B$9),MONTH($B$9),1),ROWS($F$6:F156)-1),IF(ROWS($F$6:F156)=DATEDIF(DATE(YEAR($B$9),MONTH($B$9),1),DATE(YEAR($B$10),MONTH($B$10),1),"m")+2,"ИТОГО",IF(ROWS($F$6:F156)=DATEDIF(DATE(YEAR($B$9),MONTH($B$9),1),DATE(YEAR($B$10),MONTH($B$10),1),"m")+3,"Отклонение графика платежей",""))))</f>
        <v/>
      </c>
      <c r="G156" s="65" t="str">
        <f>IF(F156="","",IF(ISNUMBER(F156),IF($B$19="","",MAX(0,N($B$19)-N(H156))),IF(F156="ИТОГО",SUM($G$6:INDEX($G:$G,ROW()-1)),"")))</f>
        <v/>
      </c>
      <c r="H156" s="65" t="str">
        <f>IF(F156="","",IF(ISNUMBER(F156),IF($B$22&lt;&gt;"Да",0,IF(OR($B$23="",$B$24="",$B$25="",$B$26="",$B$27=""),"",IF(AND(YEAR(F156)=YEAR($B$26),MONTH(F156)=MONTH($B$26)),$B$23,0))),IF(F156="ИТОГО",SUM($H$6:INDEX($H:$H,ROW()-1)),IF(F156="Отклонение графика платежей","Проверка",""))))</f>
        <v/>
      </c>
      <c r="I156" s="30" t="str" cm="1">
        <f t="array" ref="I156">IF(F156="","",IF(ISNUMBER(F156),SUM(G156:H156),IF(F156="ИТОГО",SUM($I$6:INDEX($I:$I,ROW()-1)),IF(F156="Отклонение графика платежей",IF($B$19="","",INDEX($I:$I,ROW()-1)-$B$19),""))))</f>
        <v/>
      </c>
      <c r="J156" s="30" t="str">
        <f>IF(F156="","",IF(ISNUMBER(F156),SUM($I$6:I156),IF(F156="ИТОГО",I156,IF(F156="Отклонение графика платежей",IF(I156="","ТРЕБУЕТСЯ ВВОД",IF(ABS(I156)&lt;0.01,"OK","ОШИБКА: график платежей не соответствует стоимости помещения")),""))))</f>
        <v/>
      </c>
      <c r="K156" s="30" t="str">
        <f t="shared" si="4"/>
        <v/>
      </c>
      <c r="P156" s="103"/>
    </row>
    <row r="157" spans="1:16" x14ac:dyDescent="0.2">
      <c r="A157" s="5"/>
      <c r="B157" s="5"/>
      <c r="C157" s="5"/>
      <c r="D157" s="6"/>
      <c r="E157" s="4"/>
      <c r="F157" s="39" t="str">
        <f>IF(OR($B$9="",$B$10="",$B$10&lt;$B$9),"",IF(ROWS($F$6:F157)&lt;=DATEDIF(DATE(YEAR($B$9),MONTH($B$9),1),DATE(YEAR($B$10),MONTH($B$10),1),"m")+1,EDATE(DATE(YEAR($B$9),MONTH($B$9),1),ROWS($F$6:F157)-1),IF(ROWS($F$6:F157)=DATEDIF(DATE(YEAR($B$9),MONTH($B$9),1),DATE(YEAR($B$10),MONTH($B$10),1),"m")+2,"ИТОГО",IF(ROWS($F$6:F157)=DATEDIF(DATE(YEAR($B$9),MONTH($B$9),1),DATE(YEAR($B$10),MONTH($B$10),1),"m")+3,"Отклонение графика платежей",""))))</f>
        <v/>
      </c>
      <c r="G157" s="65" t="str">
        <f>IF(F157="","",IF(ISNUMBER(F157),IF($B$19="","",MAX(0,N($B$19)-N(H157))),IF(F157="ИТОГО",SUM($G$6:INDEX($G:$G,ROW()-1)),"")))</f>
        <v/>
      </c>
      <c r="H157" s="65" t="str">
        <f>IF(F157="","",IF(ISNUMBER(F157),IF($B$22&lt;&gt;"Да",0,IF(OR($B$23="",$B$24="",$B$25="",$B$26="",$B$27=""),"",IF(AND(YEAR(F157)=YEAR($B$26),MONTH(F157)=MONTH($B$26)),$B$23,0))),IF(F157="ИТОГО",SUM($H$6:INDEX($H:$H,ROW()-1)),IF(F157="Отклонение графика платежей","Проверка",""))))</f>
        <v/>
      </c>
      <c r="I157" s="30" t="str" cm="1">
        <f t="array" ref="I157">IF(F157="","",IF(ISNUMBER(F157),SUM(G157:H157),IF(F157="ИТОГО",SUM($I$6:INDEX($I:$I,ROW()-1)),IF(F157="Отклонение графика платежей",IF($B$19="","",INDEX($I:$I,ROW()-1)-$B$19),""))))</f>
        <v/>
      </c>
      <c r="J157" s="30" t="str">
        <f>IF(F157="","",IF(ISNUMBER(F157),SUM($I$6:I157),IF(F157="ИТОГО",I157,IF(F157="Отклонение графика платежей",IF(I157="","ТРЕБУЕТСЯ ВВОД",IF(ABS(I157)&lt;0.01,"OK","ОШИБКА: график платежей не соответствует стоимости помещения")),""))))</f>
        <v/>
      </c>
      <c r="K157" s="30" t="str">
        <f t="shared" si="4"/>
        <v/>
      </c>
      <c r="P157" s="103"/>
    </row>
    <row r="158" spans="1:16" x14ac:dyDescent="0.2">
      <c r="A158" s="5"/>
      <c r="B158" s="5"/>
      <c r="C158" s="5"/>
      <c r="D158" s="6"/>
      <c r="E158" s="4"/>
      <c r="F158" s="39" t="str">
        <f>IF(OR($B$9="",$B$10="",$B$10&lt;$B$9),"",IF(ROWS($F$6:F158)&lt;=DATEDIF(DATE(YEAR($B$9),MONTH($B$9),1),DATE(YEAR($B$10),MONTH($B$10),1),"m")+1,EDATE(DATE(YEAR($B$9),MONTH($B$9),1),ROWS($F$6:F158)-1),IF(ROWS($F$6:F158)=DATEDIF(DATE(YEAR($B$9),MONTH($B$9),1),DATE(YEAR($B$10),MONTH($B$10),1),"m")+2,"ИТОГО",IF(ROWS($F$6:F158)=DATEDIF(DATE(YEAR($B$9),MONTH($B$9),1),DATE(YEAR($B$10),MONTH($B$10),1),"m")+3,"Отклонение графика платежей",""))))</f>
        <v/>
      </c>
      <c r="G158" s="65" t="str">
        <f>IF(F158="","",IF(ISNUMBER(F158),IF($B$19="","",MAX(0,N($B$19)-N(H158))),IF(F158="ИТОГО",SUM($G$6:INDEX($G:$G,ROW()-1)),"")))</f>
        <v/>
      </c>
      <c r="H158" s="65" t="str">
        <f>IF(F158="","",IF(ISNUMBER(F158),IF($B$22&lt;&gt;"Да",0,IF(OR($B$23="",$B$24="",$B$25="",$B$26="",$B$27=""),"",IF(AND(YEAR(F158)=YEAR($B$26),MONTH(F158)=MONTH($B$26)),$B$23,0))),IF(F158="ИТОГО",SUM($H$6:INDEX($H:$H,ROW()-1)),IF(F158="Отклонение графика платежей","Проверка",""))))</f>
        <v/>
      </c>
      <c r="I158" s="30" t="str" cm="1">
        <f t="array" ref="I158">IF(F158="","",IF(ISNUMBER(F158),SUM(G158:H158),IF(F158="ИТОГО",SUM($I$6:INDEX($I:$I,ROW()-1)),IF(F158="Отклонение графика платежей",IF($B$19="","",INDEX($I:$I,ROW()-1)-$B$19),""))))</f>
        <v/>
      </c>
      <c r="J158" s="30" t="str">
        <f>IF(F158="","",IF(ISNUMBER(F158),SUM($I$6:I158),IF(F158="ИТОГО",I158,IF(F158="Отклонение графика платежей",IF(I158="","ТРЕБУЕТСЯ ВВОД",IF(ABS(I158)&lt;0.01,"OK","ОШИБКА: график платежей не соответствует стоимости помещения")),""))))</f>
        <v/>
      </c>
      <c r="K158" s="30" t="str">
        <f t="shared" si="4"/>
        <v/>
      </c>
      <c r="P158" s="103"/>
    </row>
    <row r="159" spans="1:16" x14ac:dyDescent="0.2">
      <c r="A159" s="5"/>
      <c r="B159" s="5"/>
      <c r="C159" s="5"/>
      <c r="D159" s="6"/>
      <c r="E159" s="4"/>
      <c r="F159" s="39" t="str">
        <f>IF(OR($B$9="",$B$10="",$B$10&lt;$B$9),"",IF(ROWS($F$6:F159)&lt;=DATEDIF(DATE(YEAR($B$9),MONTH($B$9),1),DATE(YEAR($B$10),MONTH($B$10),1),"m")+1,EDATE(DATE(YEAR($B$9),MONTH($B$9),1),ROWS($F$6:F159)-1),IF(ROWS($F$6:F159)=DATEDIF(DATE(YEAR($B$9),MONTH($B$9),1),DATE(YEAR($B$10),MONTH($B$10),1),"m")+2,"ИТОГО",IF(ROWS($F$6:F159)=DATEDIF(DATE(YEAR($B$9),MONTH($B$9),1),DATE(YEAR($B$10),MONTH($B$10),1),"m")+3,"Отклонение графика платежей",""))))</f>
        <v/>
      </c>
      <c r="G159" s="65" t="str">
        <f>IF(F159="","",IF(ISNUMBER(F159),IF($B$19="","",MAX(0,N($B$19)-N(H159))),IF(F159="ИТОГО",SUM($G$6:INDEX($G:$G,ROW()-1)),"")))</f>
        <v/>
      </c>
      <c r="H159" s="65" t="str">
        <f>IF(F159="","",IF(ISNUMBER(F159),IF($B$22&lt;&gt;"Да",0,IF(OR($B$23="",$B$24="",$B$25="",$B$26="",$B$27=""),"",IF(AND(YEAR(F159)=YEAR($B$26),MONTH(F159)=MONTH($B$26)),$B$23,0))),IF(F159="ИТОГО",SUM($H$6:INDEX($H:$H,ROW()-1)),IF(F159="Отклонение графика платежей","Проверка",""))))</f>
        <v/>
      </c>
      <c r="I159" s="30" t="str" cm="1">
        <f t="array" ref="I159">IF(F159="","",IF(ISNUMBER(F159),SUM(G159:H159),IF(F159="ИТОГО",SUM($I$6:INDEX($I:$I,ROW()-1)),IF(F159="Отклонение графика платежей",IF($B$19="","",INDEX($I:$I,ROW()-1)-$B$19),""))))</f>
        <v/>
      </c>
      <c r="J159" s="30" t="str">
        <f>IF(F159="","",IF(ISNUMBER(F159),SUM($I$6:I159),IF(F159="ИТОГО",I159,IF(F159="Отклонение графика платежей",IF(I159="","ТРЕБУЕТСЯ ВВОД",IF(ABS(I159)&lt;0.01,"OK","ОШИБКА: график платежей не соответствует стоимости помещения")),""))))</f>
        <v/>
      </c>
      <c r="K159" s="30" t="str">
        <f t="shared" si="4"/>
        <v/>
      </c>
      <c r="P159" s="103"/>
    </row>
    <row r="160" spans="1:16" x14ac:dyDescent="0.2">
      <c r="A160" s="5"/>
      <c r="B160" s="5"/>
      <c r="C160" s="5"/>
      <c r="D160" s="6"/>
      <c r="E160" s="4"/>
      <c r="F160" s="39" t="str">
        <f>IF(OR($B$9="",$B$10="",$B$10&lt;$B$9),"",IF(ROWS($F$6:F160)&lt;=DATEDIF(DATE(YEAR($B$9),MONTH($B$9),1),DATE(YEAR($B$10),MONTH($B$10),1),"m")+1,EDATE(DATE(YEAR($B$9),MONTH($B$9),1),ROWS($F$6:F160)-1),IF(ROWS($F$6:F160)=DATEDIF(DATE(YEAR($B$9),MONTH($B$9),1),DATE(YEAR($B$10),MONTH($B$10),1),"m")+2,"ИТОГО",IF(ROWS($F$6:F160)=DATEDIF(DATE(YEAR($B$9),MONTH($B$9),1),DATE(YEAR($B$10),MONTH($B$10),1),"m")+3,"Отклонение графика платежей",""))))</f>
        <v/>
      </c>
      <c r="G160" s="65" t="str">
        <f>IF(F160="","",IF(ISNUMBER(F160),IF($B$19="","",MAX(0,N($B$19)-N(H160))),IF(F160="ИТОГО",SUM($G$6:INDEX($G:$G,ROW()-1)),"")))</f>
        <v/>
      </c>
      <c r="H160" s="65" t="str">
        <f>IF(F160="","",IF(ISNUMBER(F160),IF($B$22&lt;&gt;"Да",0,IF(OR($B$23="",$B$24="",$B$25="",$B$26="",$B$27=""),"",IF(AND(YEAR(F160)=YEAR($B$26),MONTH(F160)=MONTH($B$26)),$B$23,0))),IF(F160="ИТОГО",SUM($H$6:INDEX($H:$H,ROW()-1)),IF(F160="Отклонение графика платежей","Проверка",""))))</f>
        <v/>
      </c>
      <c r="I160" s="30" t="str" cm="1">
        <f t="array" ref="I160">IF(F160="","",IF(ISNUMBER(F160),SUM(G160:H160),IF(F160="ИТОГО",SUM($I$6:INDEX($I:$I,ROW()-1)),IF(F160="Отклонение графика платежей",IF($B$19="","",INDEX($I:$I,ROW()-1)-$B$19),""))))</f>
        <v/>
      </c>
      <c r="J160" s="30" t="str">
        <f>IF(F160="","",IF(ISNUMBER(F160),SUM($I$6:I160),IF(F160="ИТОГО",I160,IF(F160="Отклонение графика платежей",IF(I160="","ТРЕБУЕТСЯ ВВОД",IF(ABS(I160)&lt;0.01,"OK","ОШИБКА: график платежей не соответствует стоимости помещения")),""))))</f>
        <v/>
      </c>
      <c r="K160" s="30" t="str">
        <f t="shared" si="4"/>
        <v/>
      </c>
      <c r="P160" s="103"/>
    </row>
    <row r="161" spans="1:16" x14ac:dyDescent="0.2">
      <c r="A161" s="5"/>
      <c r="B161" s="5"/>
      <c r="C161" s="5"/>
      <c r="D161" s="6"/>
      <c r="E161" s="4"/>
      <c r="F161" s="39" t="str">
        <f>IF(OR($B$9="",$B$10="",$B$10&lt;$B$9),"",IF(ROWS($F$6:F161)&lt;=DATEDIF(DATE(YEAR($B$9),MONTH($B$9),1),DATE(YEAR($B$10),MONTH($B$10),1),"m")+1,EDATE(DATE(YEAR($B$9),MONTH($B$9),1),ROWS($F$6:F161)-1),IF(ROWS($F$6:F161)=DATEDIF(DATE(YEAR($B$9),MONTH($B$9),1),DATE(YEAR($B$10),MONTH($B$10),1),"m")+2,"ИТОГО",IF(ROWS($F$6:F161)=DATEDIF(DATE(YEAR($B$9),MONTH($B$9),1),DATE(YEAR($B$10),MONTH($B$10),1),"m")+3,"Отклонение графика платежей",""))))</f>
        <v/>
      </c>
      <c r="G161" s="65" t="str">
        <f>IF(F161="","",IF(ISNUMBER(F161),IF($B$19="","",MAX(0,N($B$19)-N(H161))),IF(F161="ИТОГО",SUM($G$6:INDEX($G:$G,ROW()-1)),"")))</f>
        <v/>
      </c>
      <c r="H161" s="65" t="str">
        <f>IF(F161="","",IF(ISNUMBER(F161),IF($B$22&lt;&gt;"Да",0,IF(OR($B$23="",$B$24="",$B$25="",$B$26="",$B$27=""),"",IF(AND(YEAR(F161)=YEAR($B$26),MONTH(F161)=MONTH($B$26)),$B$23,0))),IF(F161="ИТОГО",SUM($H$6:INDEX($H:$H,ROW()-1)),IF(F161="Отклонение графика платежей","Проверка",""))))</f>
        <v/>
      </c>
      <c r="I161" s="30" t="str" cm="1">
        <f t="array" ref="I161">IF(F161="","",IF(ISNUMBER(F161),SUM(G161:H161),IF(F161="ИТОГО",SUM($I$6:INDEX($I:$I,ROW()-1)),IF(F161="Отклонение графика платежей",IF($B$19="","",INDEX($I:$I,ROW()-1)-$B$19),""))))</f>
        <v/>
      </c>
      <c r="J161" s="30" t="str">
        <f>IF(F161="","",IF(ISNUMBER(F161),SUM($I$6:I161),IF(F161="ИТОГО",I161,IF(F161="Отклонение графика платежей",IF(I161="","ТРЕБУЕТСЯ ВВОД",IF(ABS(I161)&lt;0.01,"OK","ОШИБКА: график платежей не соответствует стоимости помещения")),""))))</f>
        <v/>
      </c>
      <c r="K161" s="30" t="str">
        <f t="shared" si="4"/>
        <v/>
      </c>
      <c r="P161" s="103"/>
    </row>
    <row r="162" spans="1:16" x14ac:dyDescent="0.2">
      <c r="A162" s="5"/>
      <c r="B162" s="5"/>
      <c r="C162" s="5"/>
      <c r="D162" s="6"/>
      <c r="E162" s="4"/>
      <c r="F162" s="39" t="str">
        <f>IF(OR($B$9="",$B$10="",$B$10&lt;$B$9),"",IF(ROWS($F$6:F162)&lt;=DATEDIF(DATE(YEAR($B$9),MONTH($B$9),1),DATE(YEAR($B$10),MONTH($B$10),1),"m")+1,EDATE(DATE(YEAR($B$9),MONTH($B$9),1),ROWS($F$6:F162)-1),IF(ROWS($F$6:F162)=DATEDIF(DATE(YEAR($B$9),MONTH($B$9),1),DATE(YEAR($B$10),MONTH($B$10),1),"m")+2,"ИТОГО",IF(ROWS($F$6:F162)=DATEDIF(DATE(YEAR($B$9),MONTH($B$9),1),DATE(YEAR($B$10),MONTH($B$10),1),"m")+3,"Отклонение графика платежей",""))))</f>
        <v/>
      </c>
      <c r="G162" s="65" t="str">
        <f>IF(F162="","",IF(ISNUMBER(F162),IF($B$19="","",MAX(0,N($B$19)-N(H162))),IF(F162="ИТОГО",SUM($G$6:INDEX($G:$G,ROW()-1)),"")))</f>
        <v/>
      </c>
      <c r="H162" s="65" t="str">
        <f>IF(F162="","",IF(ISNUMBER(F162),IF($B$22&lt;&gt;"Да",0,IF(OR($B$23="",$B$24="",$B$25="",$B$26="",$B$27=""),"",IF(AND(YEAR(F162)=YEAR($B$26),MONTH(F162)=MONTH($B$26)),$B$23,0))),IF(F162="ИТОГО",SUM($H$6:INDEX($H:$H,ROW()-1)),IF(F162="Отклонение графика платежей","Проверка",""))))</f>
        <v/>
      </c>
      <c r="I162" s="30" t="str" cm="1">
        <f t="array" ref="I162">IF(F162="","",IF(ISNUMBER(F162),SUM(G162:H162),IF(F162="ИТОГО",SUM($I$6:INDEX($I:$I,ROW()-1)),IF(F162="Отклонение графика платежей",IF($B$19="","",INDEX($I:$I,ROW()-1)-$B$19),""))))</f>
        <v/>
      </c>
      <c r="J162" s="30" t="str">
        <f>IF(F162="","",IF(ISNUMBER(F162),SUM($I$6:I162),IF(F162="ИТОГО",I162,IF(F162="Отклонение графика платежей",IF(I162="","ТРЕБУЕТСЯ ВВОД",IF(ABS(I162)&lt;0.01,"OK","ОШИБКА: график платежей не соответствует стоимости помещения")),""))))</f>
        <v/>
      </c>
      <c r="K162" s="30" t="str">
        <f t="shared" si="4"/>
        <v/>
      </c>
      <c r="P162" s="103"/>
    </row>
    <row r="163" spans="1:16" x14ac:dyDescent="0.2">
      <c r="A163" s="5"/>
      <c r="B163" s="5"/>
      <c r="C163" s="5"/>
      <c r="D163" s="6"/>
      <c r="E163" s="4"/>
      <c r="F163" s="39" t="str">
        <f>IF(OR($B$9="",$B$10="",$B$10&lt;$B$9),"",IF(ROWS($F$6:F163)&lt;=DATEDIF(DATE(YEAR($B$9),MONTH($B$9),1),DATE(YEAR($B$10),MONTH($B$10),1),"m")+1,EDATE(DATE(YEAR($B$9),MONTH($B$9),1),ROWS($F$6:F163)-1),IF(ROWS($F$6:F163)=DATEDIF(DATE(YEAR($B$9),MONTH($B$9),1),DATE(YEAR($B$10),MONTH($B$10),1),"m")+2,"ИТОГО",IF(ROWS($F$6:F163)=DATEDIF(DATE(YEAR($B$9),MONTH($B$9),1),DATE(YEAR($B$10),MONTH($B$10),1),"m")+3,"Отклонение графика платежей",""))))</f>
        <v/>
      </c>
      <c r="G163" s="65" t="str">
        <f>IF(F163="","",IF(ISNUMBER(F163),IF($B$19="","",MAX(0,N($B$19)-N(H163))),IF(F163="ИТОГО",SUM($G$6:INDEX($G:$G,ROW()-1)),"")))</f>
        <v/>
      </c>
      <c r="H163" s="65" t="str">
        <f>IF(F163="","",IF(ISNUMBER(F163),IF($B$22&lt;&gt;"Да",0,IF(OR($B$23="",$B$24="",$B$25="",$B$26="",$B$27=""),"",IF(AND(YEAR(F163)=YEAR($B$26),MONTH(F163)=MONTH($B$26)),$B$23,0))),IF(F163="ИТОГО",SUM($H$6:INDEX($H:$H,ROW()-1)),IF(F163="Отклонение графика платежей","Проверка",""))))</f>
        <v/>
      </c>
      <c r="I163" s="30" t="str" cm="1">
        <f t="array" ref="I163">IF(F163="","",IF(ISNUMBER(F163),SUM(G163:H163),IF(F163="ИТОГО",SUM($I$6:INDEX($I:$I,ROW()-1)),IF(F163="Отклонение графика платежей",IF($B$19="","",INDEX($I:$I,ROW()-1)-$B$19),""))))</f>
        <v/>
      </c>
      <c r="J163" s="30" t="str">
        <f>IF(F163="","",IF(ISNUMBER(F163),SUM($I$6:I163),IF(F163="ИТОГО",I163,IF(F163="Отклонение графика платежей",IF(I163="","ТРЕБУЕТСЯ ВВОД",IF(ABS(I163)&lt;0.01,"OK","ОШИБКА: график платежей не соответствует стоимости помещения")),""))))</f>
        <v/>
      </c>
      <c r="K163" s="30" t="str">
        <f t="shared" si="4"/>
        <v/>
      </c>
      <c r="P163" s="103"/>
    </row>
    <row r="164" spans="1:16" x14ac:dyDescent="0.2">
      <c r="A164" s="5"/>
      <c r="B164" s="5"/>
      <c r="C164" s="5"/>
      <c r="D164" s="6"/>
      <c r="E164" s="4"/>
      <c r="F164" s="39" t="str">
        <f>IF(OR($B$9="",$B$10="",$B$10&lt;$B$9),"",IF(ROWS($F$6:F164)&lt;=DATEDIF(DATE(YEAR($B$9),MONTH($B$9),1),DATE(YEAR($B$10),MONTH($B$10),1),"m")+1,EDATE(DATE(YEAR($B$9),MONTH($B$9),1),ROWS($F$6:F164)-1),IF(ROWS($F$6:F164)=DATEDIF(DATE(YEAR($B$9),MONTH($B$9),1),DATE(YEAR($B$10),MONTH($B$10),1),"m")+2,"ИТОГО",IF(ROWS($F$6:F164)=DATEDIF(DATE(YEAR($B$9),MONTH($B$9),1),DATE(YEAR($B$10),MONTH($B$10),1),"m")+3,"Отклонение графика платежей",""))))</f>
        <v/>
      </c>
      <c r="G164" s="65" t="str">
        <f>IF(F164="","",IF(ISNUMBER(F164),IF($B$19="","",MAX(0,N($B$19)-N(H164))),IF(F164="ИТОГО",SUM($G$6:INDEX($G:$G,ROW()-1)),"")))</f>
        <v/>
      </c>
      <c r="H164" s="65" t="str">
        <f>IF(F164="","",IF(ISNUMBER(F164),IF($B$22&lt;&gt;"Да",0,IF(OR($B$23="",$B$24="",$B$25="",$B$26="",$B$27=""),"",IF(AND(YEAR(F164)=YEAR($B$26),MONTH(F164)=MONTH($B$26)),$B$23,0))),IF(F164="ИТОГО",SUM($H$6:INDEX($H:$H,ROW()-1)),IF(F164="Отклонение графика платежей","Проверка",""))))</f>
        <v/>
      </c>
      <c r="I164" s="30" t="str" cm="1">
        <f t="array" ref="I164">IF(F164="","",IF(ISNUMBER(F164),SUM(G164:H164),IF(F164="ИТОГО",SUM($I$6:INDEX($I:$I,ROW()-1)),IF(F164="Отклонение графика платежей",IF($B$19="","",INDEX($I:$I,ROW()-1)-$B$19),""))))</f>
        <v/>
      </c>
      <c r="J164" s="30" t="str">
        <f>IF(F164="","",IF(ISNUMBER(F164),SUM($I$6:I164),IF(F164="ИТОГО",I164,IF(F164="Отклонение графика платежей",IF(I164="","ТРЕБУЕТСЯ ВВОД",IF(ABS(I164)&lt;0.01,"OK","ОШИБКА: график платежей не соответствует стоимости помещения")),""))))</f>
        <v/>
      </c>
      <c r="K164" s="30" t="str">
        <f t="shared" si="4"/>
        <v/>
      </c>
      <c r="P164" s="103"/>
    </row>
    <row r="165" spans="1:16" x14ac:dyDescent="0.2">
      <c r="A165" s="5"/>
      <c r="B165" s="5"/>
      <c r="C165" s="5"/>
      <c r="D165" s="6"/>
      <c r="E165" s="4"/>
      <c r="F165" s="39" t="str">
        <f>IF(OR($B$9="",$B$10="",$B$10&lt;$B$9),"",IF(ROWS($F$6:F165)&lt;=DATEDIF(DATE(YEAR($B$9),MONTH($B$9),1),DATE(YEAR($B$10),MONTH($B$10),1),"m")+1,EDATE(DATE(YEAR($B$9),MONTH($B$9),1),ROWS($F$6:F165)-1),IF(ROWS($F$6:F165)=DATEDIF(DATE(YEAR($B$9),MONTH($B$9),1),DATE(YEAR($B$10),MONTH($B$10),1),"m")+2,"ИТОГО",IF(ROWS($F$6:F165)=DATEDIF(DATE(YEAR($B$9),MONTH($B$9),1),DATE(YEAR($B$10),MONTH($B$10),1),"m")+3,"Отклонение графика платежей",""))))</f>
        <v/>
      </c>
      <c r="G165" s="65" t="str">
        <f>IF(F165="","",IF(ISNUMBER(F165),IF($B$19="","",MAX(0,N($B$19)-N(H165))),IF(F165="ИТОГО",SUM($G$6:INDEX($G:$G,ROW()-1)),"")))</f>
        <v/>
      </c>
      <c r="H165" s="65" t="str">
        <f>IF(F165="","",IF(ISNUMBER(F165),IF($B$22&lt;&gt;"Да",0,IF(OR($B$23="",$B$24="",$B$25="",$B$26="",$B$27=""),"",IF(AND(YEAR(F165)=YEAR($B$26),MONTH(F165)=MONTH($B$26)),$B$23,0))),IF(F165="ИТОГО",SUM($H$6:INDEX($H:$H,ROW()-1)),IF(F165="Отклонение графика платежей","Проверка",""))))</f>
        <v/>
      </c>
      <c r="I165" s="30" t="str" cm="1">
        <f t="array" ref="I165">IF(F165="","",IF(ISNUMBER(F165),SUM(G165:H165),IF(F165="ИТОГО",SUM($I$6:INDEX($I:$I,ROW()-1)),IF(F165="Отклонение графика платежей",IF($B$19="","",INDEX($I:$I,ROW()-1)-$B$19),""))))</f>
        <v/>
      </c>
      <c r="J165" s="30" t="str">
        <f>IF(F165="","",IF(ISNUMBER(F165),SUM($I$6:I165),IF(F165="ИТОГО",I165,IF(F165="Отклонение графика платежей",IF(I165="","ТРЕБУЕТСЯ ВВОД",IF(ABS(I165)&lt;0.01,"OK","ОШИБКА: график платежей не соответствует стоимости помещения")),""))))</f>
        <v/>
      </c>
      <c r="K165" s="30" t="str">
        <f t="shared" si="4"/>
        <v/>
      </c>
      <c r="P165" s="103"/>
    </row>
    <row r="166" spans="1:16" x14ac:dyDescent="0.2">
      <c r="A166" s="5"/>
      <c r="B166" s="5"/>
      <c r="C166" s="5"/>
      <c r="D166" s="6"/>
      <c r="E166" s="4"/>
      <c r="F166" s="39" t="str">
        <f>IF(OR($B$9="",$B$10="",$B$10&lt;$B$9),"",IF(ROWS($F$6:F166)&lt;=DATEDIF(DATE(YEAR($B$9),MONTH($B$9),1),DATE(YEAR($B$10),MONTH($B$10),1),"m")+1,EDATE(DATE(YEAR($B$9),MONTH($B$9),1),ROWS($F$6:F166)-1),IF(ROWS($F$6:F166)=DATEDIF(DATE(YEAR($B$9),MONTH($B$9),1),DATE(YEAR($B$10),MONTH($B$10),1),"m")+2,"ИТОГО",IF(ROWS($F$6:F166)=DATEDIF(DATE(YEAR($B$9),MONTH($B$9),1),DATE(YEAR($B$10),MONTH($B$10),1),"m")+3,"Отклонение графика платежей",""))))</f>
        <v/>
      </c>
      <c r="G166" s="65" t="str">
        <f>IF(F166="","",IF(ISNUMBER(F166),IF($B$19="","",MAX(0,N($B$19)-N(H166))),IF(F166="ИТОГО",SUM($G$6:INDEX($G:$G,ROW()-1)),"")))</f>
        <v/>
      </c>
      <c r="H166" s="65" t="str">
        <f>IF(F166="","",IF(ISNUMBER(F166),IF($B$22&lt;&gt;"Да",0,IF(OR($B$23="",$B$24="",$B$25="",$B$26="",$B$27=""),"",IF(AND(YEAR(F166)=YEAR($B$26),MONTH(F166)=MONTH($B$26)),$B$23,0))),IF(F166="ИТОГО",SUM($H$6:INDEX($H:$H,ROW()-1)),IF(F166="Отклонение графика платежей","Проверка",""))))</f>
        <v/>
      </c>
      <c r="I166" s="30" t="str" cm="1">
        <f t="array" ref="I166">IF(F166="","",IF(ISNUMBER(F166),SUM(G166:H166),IF(F166="ИТОГО",SUM($I$6:INDEX($I:$I,ROW()-1)),IF(F166="Отклонение графика платежей",IF($B$19="","",INDEX($I:$I,ROW()-1)-$B$19),""))))</f>
        <v/>
      </c>
      <c r="J166" s="30" t="str">
        <f>IF(F166="","",IF(ISNUMBER(F166),SUM($I$6:I166),IF(F166="ИТОГО",I166,IF(F166="Отклонение графика платежей",IF(I166="","ТРЕБУЕТСЯ ВВОД",IF(ABS(I166)&lt;0.01,"OK","ОШИБКА: график платежей не соответствует стоимости помещения")),""))))</f>
        <v/>
      </c>
      <c r="K166" s="30" t="str">
        <f t="shared" ref="K166:K188" si="5">IF(F166="","",IF(ISNUMBER(F166),IF($B$19="","",$B$19-J166),IF(F166="ИТОГО",IF($B$19="","",$B$19-I166),IF(F166="Отклонение графика платежей",I166,""))))</f>
        <v/>
      </c>
      <c r="P166" s="103"/>
    </row>
    <row r="167" spans="1:16" x14ac:dyDescent="0.2">
      <c r="A167" s="5"/>
      <c r="B167" s="5"/>
      <c r="C167" s="5"/>
      <c r="D167" s="6"/>
      <c r="E167" s="4"/>
      <c r="F167" s="39" t="str">
        <f>IF(OR($B$9="",$B$10="",$B$10&lt;$B$9),"",IF(ROWS($F$6:F167)&lt;=DATEDIF(DATE(YEAR($B$9),MONTH($B$9),1),DATE(YEAR($B$10),MONTH($B$10),1),"m")+1,EDATE(DATE(YEAR($B$9),MONTH($B$9),1),ROWS($F$6:F167)-1),IF(ROWS($F$6:F167)=DATEDIF(DATE(YEAR($B$9),MONTH($B$9),1),DATE(YEAR($B$10),MONTH($B$10),1),"m")+2,"ИТОГО",IF(ROWS($F$6:F167)=DATEDIF(DATE(YEAR($B$9),MONTH($B$9),1),DATE(YEAR($B$10),MONTH($B$10),1),"m")+3,"Отклонение графика платежей",""))))</f>
        <v/>
      </c>
      <c r="G167" s="65" t="str">
        <f>IF(F167="","",IF(ISNUMBER(F167),IF($B$19="","",MAX(0,N($B$19)-N(H167))),IF(F167="ИТОГО",SUM($G$6:INDEX($G:$G,ROW()-1)),"")))</f>
        <v/>
      </c>
      <c r="H167" s="65" t="str">
        <f>IF(F167="","",IF(ISNUMBER(F167),IF($B$22&lt;&gt;"Да",0,IF(OR($B$23="",$B$24="",$B$25="",$B$26="",$B$27=""),"",IF(AND(YEAR(F167)=YEAR($B$26),MONTH(F167)=MONTH($B$26)),$B$23,0))),IF(F167="ИТОГО",SUM($H$6:INDEX($H:$H,ROW()-1)),IF(F167="Отклонение графика платежей","Проверка",""))))</f>
        <v/>
      </c>
      <c r="I167" s="30" t="str" cm="1">
        <f t="array" ref="I167">IF(F167="","",IF(ISNUMBER(F167),SUM(G167:H167),IF(F167="ИТОГО",SUM($I$6:INDEX($I:$I,ROW()-1)),IF(F167="Отклонение графика платежей",IF($B$19="","",INDEX($I:$I,ROW()-1)-$B$19),""))))</f>
        <v/>
      </c>
      <c r="J167" s="30" t="str">
        <f>IF(F167="","",IF(ISNUMBER(F167),SUM($I$6:I167),IF(F167="ИТОГО",I167,IF(F167="Отклонение графика платежей",IF(I167="","ТРЕБУЕТСЯ ВВОД",IF(ABS(I167)&lt;0.01,"OK","ОШИБКА: график платежей не соответствует стоимости помещения")),""))))</f>
        <v/>
      </c>
      <c r="K167" s="30" t="str">
        <f t="shared" si="5"/>
        <v/>
      </c>
      <c r="P167" s="103"/>
    </row>
    <row r="168" spans="1:16" x14ac:dyDescent="0.2">
      <c r="A168" s="5"/>
      <c r="B168" s="5"/>
      <c r="C168" s="5"/>
      <c r="D168" s="6"/>
      <c r="E168" s="4"/>
      <c r="F168" s="39" t="str">
        <f>IF(OR($B$9="",$B$10="",$B$10&lt;$B$9),"",IF(ROWS($F$6:F168)&lt;=DATEDIF(DATE(YEAR($B$9),MONTH($B$9),1),DATE(YEAR($B$10),MONTH($B$10),1),"m")+1,EDATE(DATE(YEAR($B$9),MONTH($B$9),1),ROWS($F$6:F168)-1),IF(ROWS($F$6:F168)=DATEDIF(DATE(YEAR($B$9),MONTH($B$9),1),DATE(YEAR($B$10),MONTH($B$10),1),"m")+2,"ИТОГО",IF(ROWS($F$6:F168)=DATEDIF(DATE(YEAR($B$9),MONTH($B$9),1),DATE(YEAR($B$10),MONTH($B$10),1),"m")+3,"Отклонение графика платежей",""))))</f>
        <v/>
      </c>
      <c r="G168" s="65" t="str">
        <f>IF(F168="","",IF(ISNUMBER(F168),IF($B$19="","",MAX(0,N($B$19)-N(H168))),IF(F168="ИТОГО",SUM($G$6:INDEX($G:$G,ROW()-1)),"")))</f>
        <v/>
      </c>
      <c r="H168" s="65" t="str">
        <f>IF(F168="","",IF(ISNUMBER(F168),IF($B$22&lt;&gt;"Да",0,IF(OR($B$23="",$B$24="",$B$25="",$B$26="",$B$27=""),"",IF(AND(YEAR(F168)=YEAR($B$26),MONTH(F168)=MONTH($B$26)),$B$23,0))),IF(F168="ИТОГО",SUM($H$6:INDEX($H:$H,ROW()-1)),IF(F168="Отклонение графика платежей","Проверка",""))))</f>
        <v/>
      </c>
      <c r="I168" s="30" t="str" cm="1">
        <f t="array" ref="I168">IF(F168="","",IF(ISNUMBER(F168),SUM(G168:H168),IF(F168="ИТОГО",SUM($I$6:INDEX($I:$I,ROW()-1)),IF(F168="Отклонение графика платежей",IF($B$19="","",INDEX($I:$I,ROW()-1)-$B$19),""))))</f>
        <v/>
      </c>
      <c r="J168" s="30" t="str">
        <f>IF(F168="","",IF(ISNUMBER(F168),SUM($I$6:I168),IF(F168="ИТОГО",I168,IF(F168="Отклонение графика платежей",IF(I168="","ТРЕБУЕТСЯ ВВОД",IF(ABS(I168)&lt;0.01,"OK","ОШИБКА: график платежей не соответствует стоимости помещения")),""))))</f>
        <v/>
      </c>
      <c r="K168" s="30" t="str">
        <f t="shared" si="5"/>
        <v/>
      </c>
      <c r="P168" s="103"/>
    </row>
    <row r="169" spans="1:16" x14ac:dyDescent="0.2">
      <c r="A169" s="5"/>
      <c r="B169" s="5"/>
      <c r="C169" s="5"/>
      <c r="D169" s="6"/>
      <c r="E169" s="4"/>
      <c r="F169" s="39" t="str">
        <f>IF(OR($B$9="",$B$10="",$B$10&lt;$B$9),"",IF(ROWS($F$6:F169)&lt;=DATEDIF(DATE(YEAR($B$9),MONTH($B$9),1),DATE(YEAR($B$10),MONTH($B$10),1),"m")+1,EDATE(DATE(YEAR($B$9),MONTH($B$9),1),ROWS($F$6:F169)-1),IF(ROWS($F$6:F169)=DATEDIF(DATE(YEAR($B$9),MONTH($B$9),1),DATE(YEAR($B$10),MONTH($B$10),1),"m")+2,"ИТОГО",IF(ROWS($F$6:F169)=DATEDIF(DATE(YEAR($B$9),MONTH($B$9),1),DATE(YEAR($B$10),MONTH($B$10),1),"m")+3,"Отклонение графика платежей",""))))</f>
        <v/>
      </c>
      <c r="G169" s="65" t="str">
        <f>IF(F169="","",IF(ISNUMBER(F169),IF($B$19="","",MAX(0,N($B$19)-N(H169))),IF(F169="ИТОГО",SUM($G$6:INDEX($G:$G,ROW()-1)),"")))</f>
        <v/>
      </c>
      <c r="H169" s="65" t="str">
        <f>IF(F169="","",IF(ISNUMBER(F169),IF($B$22&lt;&gt;"Да",0,IF(OR($B$23="",$B$24="",$B$25="",$B$26="",$B$27=""),"",IF(AND(YEAR(F169)=YEAR($B$26),MONTH(F169)=MONTH($B$26)),$B$23,0))),IF(F169="ИТОГО",SUM($H$6:INDEX($H:$H,ROW()-1)),IF(F169="Отклонение графика платежей","Проверка",""))))</f>
        <v/>
      </c>
      <c r="I169" s="30" t="str" cm="1">
        <f t="array" ref="I169">IF(F169="","",IF(ISNUMBER(F169),SUM(G169:H169),IF(F169="ИТОГО",SUM($I$6:INDEX($I:$I,ROW()-1)),IF(F169="Отклонение графика платежей",IF($B$19="","",INDEX($I:$I,ROW()-1)-$B$19),""))))</f>
        <v/>
      </c>
      <c r="J169" s="30" t="str">
        <f>IF(F169="","",IF(ISNUMBER(F169),SUM($I$6:I169),IF(F169="ИТОГО",I169,IF(F169="Отклонение графика платежей",IF(I169="","ТРЕБУЕТСЯ ВВОД",IF(ABS(I169)&lt;0.01,"OK","ОШИБКА: график платежей не соответствует стоимости помещения")),""))))</f>
        <v/>
      </c>
      <c r="K169" s="30" t="str">
        <f t="shared" si="5"/>
        <v/>
      </c>
      <c r="P169" s="103"/>
    </row>
    <row r="170" spans="1:16" x14ac:dyDescent="0.2">
      <c r="A170" s="5"/>
      <c r="B170" s="5"/>
      <c r="C170" s="5"/>
      <c r="D170" s="6"/>
      <c r="E170" s="4"/>
      <c r="F170" s="39" t="str">
        <f>IF(OR($B$9="",$B$10="",$B$10&lt;$B$9),"",IF(ROWS($F$6:F170)&lt;=DATEDIF(DATE(YEAR($B$9),MONTH($B$9),1),DATE(YEAR($B$10),MONTH($B$10),1),"m")+1,EDATE(DATE(YEAR($B$9),MONTH($B$9),1),ROWS($F$6:F170)-1),IF(ROWS($F$6:F170)=DATEDIF(DATE(YEAR($B$9),MONTH($B$9),1),DATE(YEAR($B$10),MONTH($B$10),1),"m")+2,"ИТОГО",IF(ROWS($F$6:F170)=DATEDIF(DATE(YEAR($B$9),MONTH($B$9),1),DATE(YEAR($B$10),MONTH($B$10),1),"m")+3,"Отклонение графика платежей",""))))</f>
        <v/>
      </c>
      <c r="G170" s="65" t="str">
        <f>IF(F170="","",IF(ISNUMBER(F170),IF($B$19="","",MAX(0,N($B$19)-N(H170))),IF(F170="ИТОГО",SUM($G$6:INDEX($G:$G,ROW()-1)),"")))</f>
        <v/>
      </c>
      <c r="H170" s="65" t="str">
        <f>IF(F170="","",IF(ISNUMBER(F170),IF($B$22&lt;&gt;"Да",0,IF(OR($B$23="",$B$24="",$B$25="",$B$26="",$B$27=""),"",IF(AND(YEAR(F170)=YEAR($B$26),MONTH(F170)=MONTH($B$26)),$B$23,0))),IF(F170="ИТОГО",SUM($H$6:INDEX($H:$H,ROW()-1)),IF(F170="Отклонение графика платежей","Проверка",""))))</f>
        <v/>
      </c>
      <c r="I170" s="30" t="str" cm="1">
        <f t="array" ref="I170">IF(F170="","",IF(ISNUMBER(F170),SUM(G170:H170),IF(F170="ИТОГО",SUM($I$6:INDEX($I:$I,ROW()-1)),IF(F170="Отклонение графика платежей",IF($B$19="","",INDEX($I:$I,ROW()-1)-$B$19),""))))</f>
        <v/>
      </c>
      <c r="J170" s="30" t="str">
        <f>IF(F170="","",IF(ISNUMBER(F170),SUM($I$6:I170),IF(F170="ИТОГО",I170,IF(F170="Отклонение графика платежей",IF(I170="","ТРЕБУЕТСЯ ВВОД",IF(ABS(I170)&lt;0.01,"OK","ОШИБКА: график платежей не соответствует стоимости помещения")),""))))</f>
        <v/>
      </c>
      <c r="K170" s="30" t="str">
        <f t="shared" si="5"/>
        <v/>
      </c>
      <c r="P170" s="103"/>
    </row>
    <row r="171" spans="1:16" x14ac:dyDescent="0.2">
      <c r="A171" s="5"/>
      <c r="B171" s="5"/>
      <c r="C171" s="5"/>
      <c r="D171" s="6"/>
      <c r="E171" s="4"/>
      <c r="F171" s="39" t="str">
        <f>IF(OR($B$9="",$B$10="",$B$10&lt;$B$9),"",IF(ROWS($F$6:F171)&lt;=DATEDIF(DATE(YEAR($B$9),MONTH($B$9),1),DATE(YEAR($B$10),MONTH($B$10),1),"m")+1,EDATE(DATE(YEAR($B$9),MONTH($B$9),1),ROWS($F$6:F171)-1),IF(ROWS($F$6:F171)=DATEDIF(DATE(YEAR($B$9),MONTH($B$9),1),DATE(YEAR($B$10),MONTH($B$10),1),"m")+2,"ИТОГО",IF(ROWS($F$6:F171)=DATEDIF(DATE(YEAR($B$9),MONTH($B$9),1),DATE(YEAR($B$10),MONTH($B$10),1),"m")+3,"Отклонение графика платежей",""))))</f>
        <v/>
      </c>
      <c r="G171" s="65" t="str">
        <f>IF(F171="","",IF(ISNUMBER(F171),IF($B$19="","",MAX(0,N($B$19)-N(H171))),IF(F171="ИТОГО",SUM($G$6:INDEX($G:$G,ROW()-1)),"")))</f>
        <v/>
      </c>
      <c r="H171" s="65" t="str">
        <f>IF(F171="","",IF(ISNUMBER(F171),IF($B$22&lt;&gt;"Да",0,IF(OR($B$23="",$B$24="",$B$25="",$B$26="",$B$27=""),"",IF(AND(YEAR(F171)=YEAR($B$26),MONTH(F171)=MONTH($B$26)),$B$23,0))),IF(F171="ИТОГО",SUM($H$6:INDEX($H:$H,ROW()-1)),IF(F171="Отклонение графика платежей","Проверка",""))))</f>
        <v/>
      </c>
      <c r="I171" s="30" t="str" cm="1">
        <f t="array" ref="I171">IF(F171="","",IF(ISNUMBER(F171),SUM(G171:H171),IF(F171="ИТОГО",SUM($I$6:INDEX($I:$I,ROW()-1)),IF(F171="Отклонение графика платежей",IF($B$19="","",INDEX($I:$I,ROW()-1)-$B$19),""))))</f>
        <v/>
      </c>
      <c r="J171" s="30" t="str">
        <f>IF(F171="","",IF(ISNUMBER(F171),SUM($I$6:I171),IF(F171="ИТОГО",I171,IF(F171="Отклонение графика платежей",IF(I171="","ТРЕБУЕТСЯ ВВОД",IF(ABS(I171)&lt;0.01,"OK","ОШИБКА: график платежей не соответствует стоимости помещения")),""))))</f>
        <v/>
      </c>
      <c r="K171" s="30" t="str">
        <f t="shared" si="5"/>
        <v/>
      </c>
      <c r="P171" s="103"/>
    </row>
    <row r="172" spans="1:16" x14ac:dyDescent="0.2">
      <c r="A172" s="5"/>
      <c r="B172" s="5"/>
      <c r="C172" s="5"/>
      <c r="D172" s="6"/>
      <c r="E172" s="4"/>
      <c r="F172" s="39" t="str">
        <f>IF(OR($B$9="",$B$10="",$B$10&lt;$B$9),"",IF(ROWS($F$6:F172)&lt;=DATEDIF(DATE(YEAR($B$9),MONTH($B$9),1),DATE(YEAR($B$10),MONTH($B$10),1),"m")+1,EDATE(DATE(YEAR($B$9),MONTH($B$9),1),ROWS($F$6:F172)-1),IF(ROWS($F$6:F172)=DATEDIF(DATE(YEAR($B$9),MONTH($B$9),1),DATE(YEAR($B$10),MONTH($B$10),1),"m")+2,"ИТОГО",IF(ROWS($F$6:F172)=DATEDIF(DATE(YEAR($B$9),MONTH($B$9),1),DATE(YEAR($B$10),MONTH($B$10),1),"m")+3,"Отклонение графика платежей",""))))</f>
        <v/>
      </c>
      <c r="G172" s="65" t="str">
        <f>IF(F172="","",IF(ISNUMBER(F172),IF($B$19="","",MAX(0,N($B$19)-N(H172))),IF(F172="ИТОГО",SUM($G$6:INDEX($G:$G,ROW()-1)),"")))</f>
        <v/>
      </c>
      <c r="H172" s="65" t="str">
        <f>IF(F172="","",IF(ISNUMBER(F172),IF($B$22&lt;&gt;"Да",0,IF(OR($B$23="",$B$24="",$B$25="",$B$26="",$B$27=""),"",IF(AND(YEAR(F172)=YEAR($B$26),MONTH(F172)=MONTH($B$26)),$B$23,0))),IF(F172="ИТОГО",SUM($H$6:INDEX($H:$H,ROW()-1)),IF(F172="Отклонение графика платежей","Проверка",""))))</f>
        <v/>
      </c>
      <c r="I172" s="30" t="str" cm="1">
        <f t="array" ref="I172">IF(F172="","",IF(ISNUMBER(F172),SUM(G172:H172),IF(F172="ИТОГО",SUM($I$6:INDEX($I:$I,ROW()-1)),IF(F172="Отклонение графика платежей",IF($B$19="","",INDEX($I:$I,ROW()-1)-$B$19),""))))</f>
        <v/>
      </c>
      <c r="J172" s="30" t="str">
        <f>IF(F172="","",IF(ISNUMBER(F172),SUM($I$6:I172),IF(F172="ИТОГО",I172,IF(F172="Отклонение графика платежей",IF(I172="","ТРЕБУЕТСЯ ВВОД",IF(ABS(I172)&lt;0.01,"OK","ОШИБКА: график платежей не соответствует стоимости помещения")),""))))</f>
        <v/>
      </c>
      <c r="K172" s="30" t="str">
        <f t="shared" si="5"/>
        <v/>
      </c>
      <c r="P172" s="103"/>
    </row>
    <row r="173" spans="1:16" x14ac:dyDescent="0.2">
      <c r="A173" s="5"/>
      <c r="B173" s="5"/>
      <c r="C173" s="5"/>
      <c r="D173" s="6"/>
      <c r="E173" s="4"/>
      <c r="F173" s="39" t="str">
        <f>IF(OR($B$9="",$B$10="",$B$10&lt;$B$9),"",IF(ROWS($F$6:F173)&lt;=DATEDIF(DATE(YEAR($B$9),MONTH($B$9),1),DATE(YEAR($B$10),MONTH($B$10),1),"m")+1,EDATE(DATE(YEAR($B$9),MONTH($B$9),1),ROWS($F$6:F173)-1),IF(ROWS($F$6:F173)=DATEDIF(DATE(YEAR($B$9),MONTH($B$9),1),DATE(YEAR($B$10),MONTH($B$10),1),"m")+2,"ИТОГО",IF(ROWS($F$6:F173)=DATEDIF(DATE(YEAR($B$9),MONTH($B$9),1),DATE(YEAR($B$10),MONTH($B$10),1),"m")+3,"Отклонение графика платежей",""))))</f>
        <v/>
      </c>
      <c r="G173" s="65" t="str">
        <f>IF(F173="","",IF(ISNUMBER(F173),IF($B$19="","",MAX(0,N($B$19)-N(H173))),IF(F173="ИТОГО",SUM($G$6:INDEX($G:$G,ROW()-1)),"")))</f>
        <v/>
      </c>
      <c r="H173" s="65" t="str">
        <f>IF(F173="","",IF(ISNUMBER(F173),IF($B$22&lt;&gt;"Да",0,IF(OR($B$23="",$B$24="",$B$25="",$B$26="",$B$27=""),"",IF(AND(YEAR(F173)=YEAR($B$26),MONTH(F173)=MONTH($B$26)),$B$23,0))),IF(F173="ИТОГО",SUM($H$6:INDEX($H:$H,ROW()-1)),IF(F173="Отклонение графика платежей","Проверка",""))))</f>
        <v/>
      </c>
      <c r="I173" s="30" t="str" cm="1">
        <f t="array" ref="I173">IF(F173="","",IF(ISNUMBER(F173),SUM(G173:H173),IF(F173="ИТОГО",SUM($I$6:INDEX($I:$I,ROW()-1)),IF(F173="Отклонение графика платежей",IF($B$19="","",INDEX($I:$I,ROW()-1)-$B$19),""))))</f>
        <v/>
      </c>
      <c r="J173" s="30" t="str">
        <f>IF(F173="","",IF(ISNUMBER(F173),SUM($I$6:I173),IF(F173="ИТОГО",I173,IF(F173="Отклонение графика платежей",IF(I173="","ТРЕБУЕТСЯ ВВОД",IF(ABS(I173)&lt;0.01,"OK","ОШИБКА: график платежей не соответствует стоимости помещения")),""))))</f>
        <v/>
      </c>
      <c r="K173" s="30" t="str">
        <f t="shared" si="5"/>
        <v/>
      </c>
      <c r="P173" s="103"/>
    </row>
    <row r="174" spans="1:16" x14ac:dyDescent="0.2">
      <c r="A174" s="5"/>
      <c r="B174" s="5"/>
      <c r="C174" s="5"/>
      <c r="D174" s="6"/>
      <c r="E174" s="4"/>
      <c r="F174" s="39" t="str">
        <f>IF(OR($B$9="",$B$10="",$B$10&lt;$B$9),"",IF(ROWS($F$6:F174)&lt;=DATEDIF(DATE(YEAR($B$9),MONTH($B$9),1),DATE(YEAR($B$10),MONTH($B$10),1),"m")+1,EDATE(DATE(YEAR($B$9),MONTH($B$9),1),ROWS($F$6:F174)-1),IF(ROWS($F$6:F174)=DATEDIF(DATE(YEAR($B$9),MONTH($B$9),1),DATE(YEAR($B$10),MONTH($B$10),1),"m")+2,"ИТОГО",IF(ROWS($F$6:F174)=DATEDIF(DATE(YEAR($B$9),MONTH($B$9),1),DATE(YEAR($B$10),MONTH($B$10),1),"m")+3,"Отклонение графика платежей",""))))</f>
        <v/>
      </c>
      <c r="G174" s="65" t="str">
        <f>IF(F174="","",IF(ISNUMBER(F174),IF($B$19="","",MAX(0,N($B$19)-N(H174))),IF(F174="ИТОГО",SUM($G$6:INDEX($G:$G,ROW()-1)),"")))</f>
        <v/>
      </c>
      <c r="H174" s="65" t="str">
        <f>IF(F174="","",IF(ISNUMBER(F174),IF($B$22&lt;&gt;"Да",0,IF(OR($B$23="",$B$24="",$B$25="",$B$26="",$B$27=""),"",IF(AND(YEAR(F174)=YEAR($B$26),MONTH(F174)=MONTH($B$26)),$B$23,0))),IF(F174="ИТОГО",SUM($H$6:INDEX($H:$H,ROW()-1)),IF(F174="Отклонение графика платежей","Проверка",""))))</f>
        <v/>
      </c>
      <c r="I174" s="30" t="str" cm="1">
        <f t="array" ref="I174">IF(F174="","",IF(ISNUMBER(F174),SUM(G174:H174),IF(F174="ИТОГО",SUM($I$6:INDEX($I:$I,ROW()-1)),IF(F174="Отклонение графика платежей",IF($B$19="","",INDEX($I:$I,ROW()-1)-$B$19),""))))</f>
        <v/>
      </c>
      <c r="J174" s="30" t="str">
        <f>IF(F174="","",IF(ISNUMBER(F174),SUM($I$6:I174),IF(F174="ИТОГО",I174,IF(F174="Отклонение графика платежей",IF(I174="","ТРЕБУЕТСЯ ВВОД",IF(ABS(I174)&lt;0.01,"OK","ОШИБКА: график платежей не соответствует стоимости помещения")),""))))</f>
        <v/>
      </c>
      <c r="K174" s="30" t="str">
        <f t="shared" si="5"/>
        <v/>
      </c>
      <c r="P174" s="103"/>
    </row>
    <row r="175" spans="1:16" x14ac:dyDescent="0.2">
      <c r="A175" s="5"/>
      <c r="B175" s="5"/>
      <c r="C175" s="5"/>
      <c r="D175" s="6"/>
      <c r="E175" s="4"/>
      <c r="F175" s="39" t="str">
        <f>IF(OR($B$9="",$B$10="",$B$10&lt;$B$9),"",IF(ROWS($F$6:F175)&lt;=DATEDIF(DATE(YEAR($B$9),MONTH($B$9),1),DATE(YEAR($B$10),MONTH($B$10),1),"m")+1,EDATE(DATE(YEAR($B$9),MONTH($B$9),1),ROWS($F$6:F175)-1),IF(ROWS($F$6:F175)=DATEDIF(DATE(YEAR($B$9),MONTH($B$9),1),DATE(YEAR($B$10),MONTH($B$10),1),"m")+2,"ИТОГО",IF(ROWS($F$6:F175)=DATEDIF(DATE(YEAR($B$9),MONTH($B$9),1),DATE(YEAR($B$10),MONTH($B$10),1),"m")+3,"Отклонение графика платежей",""))))</f>
        <v/>
      </c>
      <c r="G175" s="65" t="str">
        <f>IF(F175="","",IF(ISNUMBER(F175),IF($B$19="","",MAX(0,N($B$19)-N(H175))),IF(F175="ИТОГО",SUM($G$6:INDEX($G:$G,ROW()-1)),"")))</f>
        <v/>
      </c>
      <c r="H175" s="65" t="str">
        <f>IF(F175="","",IF(ISNUMBER(F175),IF($B$22&lt;&gt;"Да",0,IF(OR($B$23="",$B$24="",$B$25="",$B$26="",$B$27=""),"",IF(AND(YEAR(F175)=YEAR($B$26),MONTH(F175)=MONTH($B$26)),$B$23,0))),IF(F175="ИТОГО",SUM($H$6:INDEX($H:$H,ROW()-1)),IF(F175="Отклонение графика платежей","Проверка",""))))</f>
        <v/>
      </c>
      <c r="I175" s="30" t="str" cm="1">
        <f t="array" ref="I175">IF(F175="","",IF(ISNUMBER(F175),SUM(G175:H175),IF(F175="ИТОГО",SUM($I$6:INDEX($I:$I,ROW()-1)),IF(F175="Отклонение графика платежей",IF($B$19="","",INDEX($I:$I,ROW()-1)-$B$19),""))))</f>
        <v/>
      </c>
      <c r="J175" s="30" t="str">
        <f>IF(F175="","",IF(ISNUMBER(F175),SUM($I$6:I175),IF(F175="ИТОГО",I175,IF(F175="Отклонение графика платежей",IF(I175="","ТРЕБУЕТСЯ ВВОД",IF(ABS(I175)&lt;0.01,"OK","ОШИБКА: график платежей не соответствует стоимости помещения")),""))))</f>
        <v/>
      </c>
      <c r="K175" s="30" t="str">
        <f t="shared" si="5"/>
        <v/>
      </c>
      <c r="P175" s="103"/>
    </row>
    <row r="176" spans="1:16" x14ac:dyDescent="0.2">
      <c r="A176" s="5"/>
      <c r="B176" s="5"/>
      <c r="C176" s="5"/>
      <c r="D176" s="6"/>
      <c r="E176" s="4"/>
      <c r="F176" s="39" t="str">
        <f>IF(OR($B$9="",$B$10="",$B$10&lt;$B$9),"",IF(ROWS($F$6:F176)&lt;=DATEDIF(DATE(YEAR($B$9),MONTH($B$9),1),DATE(YEAR($B$10),MONTH($B$10),1),"m")+1,EDATE(DATE(YEAR($B$9),MONTH($B$9),1),ROWS($F$6:F176)-1),IF(ROWS($F$6:F176)=DATEDIF(DATE(YEAR($B$9),MONTH($B$9),1),DATE(YEAR($B$10),MONTH($B$10),1),"m")+2,"ИТОГО",IF(ROWS($F$6:F176)=DATEDIF(DATE(YEAR($B$9),MONTH($B$9),1),DATE(YEAR($B$10),MONTH($B$10),1),"m")+3,"Отклонение графика платежей",""))))</f>
        <v/>
      </c>
      <c r="G176" s="65" t="str">
        <f>IF(F176="","",IF(ISNUMBER(F176),IF($B$19="","",MAX(0,N($B$19)-N(H176))),IF(F176="ИТОГО",SUM($G$6:INDEX($G:$G,ROW()-1)),"")))</f>
        <v/>
      </c>
      <c r="H176" s="65" t="str">
        <f>IF(F176="","",IF(ISNUMBER(F176),IF($B$22&lt;&gt;"Да",0,IF(OR($B$23="",$B$24="",$B$25="",$B$26="",$B$27=""),"",IF(AND(YEAR(F176)=YEAR($B$26),MONTH(F176)=MONTH($B$26)),$B$23,0))),IF(F176="ИТОГО",SUM($H$6:INDEX($H:$H,ROW()-1)),IF(F176="Отклонение графика платежей","Проверка",""))))</f>
        <v/>
      </c>
      <c r="I176" s="30" t="str" cm="1">
        <f t="array" ref="I176">IF(F176="","",IF(ISNUMBER(F176),SUM(G176:H176),IF(F176="ИТОГО",SUM($I$6:INDEX($I:$I,ROW()-1)),IF(F176="Отклонение графика платежей",IF($B$19="","",INDEX($I:$I,ROW()-1)-$B$19),""))))</f>
        <v/>
      </c>
      <c r="J176" s="30" t="str">
        <f>IF(F176="","",IF(ISNUMBER(F176),SUM($I$6:I176),IF(F176="ИТОГО",I176,IF(F176="Отклонение графика платежей",IF(I176="","ТРЕБУЕТСЯ ВВОД",IF(ABS(I176)&lt;0.01,"OK","ОШИБКА: график платежей не соответствует стоимости помещения")),""))))</f>
        <v/>
      </c>
      <c r="K176" s="30" t="str">
        <f t="shared" si="5"/>
        <v/>
      </c>
      <c r="P176" s="103"/>
    </row>
    <row r="177" spans="1:16" x14ac:dyDescent="0.2">
      <c r="A177" s="5"/>
      <c r="B177" s="5"/>
      <c r="C177" s="5"/>
      <c r="D177" s="6"/>
      <c r="E177" s="4"/>
      <c r="F177" s="39" t="str">
        <f>IF(OR($B$9="",$B$10="",$B$10&lt;$B$9),"",IF(ROWS($F$6:F177)&lt;=DATEDIF(DATE(YEAR($B$9),MONTH($B$9),1),DATE(YEAR($B$10),MONTH($B$10),1),"m")+1,EDATE(DATE(YEAR($B$9),MONTH($B$9),1),ROWS($F$6:F177)-1),IF(ROWS($F$6:F177)=DATEDIF(DATE(YEAR($B$9),MONTH($B$9),1),DATE(YEAR($B$10),MONTH($B$10),1),"m")+2,"ИТОГО",IF(ROWS($F$6:F177)=DATEDIF(DATE(YEAR($B$9),MONTH($B$9),1),DATE(YEAR($B$10),MONTH($B$10),1),"m")+3,"Отклонение графика платежей",""))))</f>
        <v/>
      </c>
      <c r="G177" s="65" t="str">
        <f>IF(F177="","",IF(ISNUMBER(F177),IF($B$19="","",MAX(0,N($B$19)-N(H177))),IF(F177="ИТОГО",SUM($G$6:INDEX($G:$G,ROW()-1)),"")))</f>
        <v/>
      </c>
      <c r="H177" s="65" t="str">
        <f>IF(F177="","",IF(ISNUMBER(F177),IF($B$22&lt;&gt;"Да",0,IF(OR($B$23="",$B$24="",$B$25="",$B$26="",$B$27=""),"",IF(AND(YEAR(F177)=YEAR($B$26),MONTH(F177)=MONTH($B$26)),$B$23,0))),IF(F177="ИТОГО",SUM($H$6:INDEX($H:$H,ROW()-1)),IF(F177="Отклонение графика платежей","Проверка",""))))</f>
        <v/>
      </c>
      <c r="I177" s="30" t="str" cm="1">
        <f t="array" ref="I177">IF(F177="","",IF(ISNUMBER(F177),SUM(G177:H177),IF(F177="ИТОГО",SUM($I$6:INDEX($I:$I,ROW()-1)),IF(F177="Отклонение графика платежей",IF($B$19="","",INDEX($I:$I,ROW()-1)-$B$19),""))))</f>
        <v/>
      </c>
      <c r="J177" s="30" t="str">
        <f>IF(F177="","",IF(ISNUMBER(F177),SUM($I$6:I177),IF(F177="ИТОГО",I177,IF(F177="Отклонение графика платежей",IF(I177="","ТРЕБУЕТСЯ ВВОД",IF(ABS(I177)&lt;0.01,"OK","ОШИБКА: график платежей не соответствует стоимости помещения")),""))))</f>
        <v/>
      </c>
      <c r="K177" s="30" t="str">
        <f t="shared" si="5"/>
        <v/>
      </c>
      <c r="P177" s="103"/>
    </row>
    <row r="178" spans="1:16" x14ac:dyDescent="0.2">
      <c r="A178" s="5"/>
      <c r="B178" s="5"/>
      <c r="C178" s="5"/>
      <c r="D178" s="6"/>
      <c r="E178" s="4"/>
      <c r="F178" s="39" t="str">
        <f>IF(OR($B$9="",$B$10="",$B$10&lt;$B$9),"",IF(ROWS($F$6:F178)&lt;=DATEDIF(DATE(YEAR($B$9),MONTH($B$9),1),DATE(YEAR($B$10),MONTH($B$10),1),"m")+1,EDATE(DATE(YEAR($B$9),MONTH($B$9),1),ROWS($F$6:F178)-1),IF(ROWS($F$6:F178)=DATEDIF(DATE(YEAR($B$9),MONTH($B$9),1),DATE(YEAR($B$10),MONTH($B$10),1),"m")+2,"ИТОГО",IF(ROWS($F$6:F178)=DATEDIF(DATE(YEAR($B$9),MONTH($B$9),1),DATE(YEAR($B$10),MONTH($B$10),1),"m")+3,"Отклонение графика платежей",""))))</f>
        <v/>
      </c>
      <c r="G178" s="65" t="str">
        <f>IF(F178="","",IF(ISNUMBER(F178),IF($B$19="","",MAX(0,N($B$19)-N(H178))),IF(F178="ИТОГО",SUM($G$6:INDEX($G:$G,ROW()-1)),"")))</f>
        <v/>
      </c>
      <c r="H178" s="65" t="str">
        <f>IF(F178="","",IF(ISNUMBER(F178),IF($B$22&lt;&gt;"Да",0,IF(OR($B$23="",$B$24="",$B$25="",$B$26="",$B$27=""),"",IF(AND(YEAR(F178)=YEAR($B$26),MONTH(F178)=MONTH($B$26)),$B$23,0))),IF(F178="ИТОГО",SUM($H$6:INDEX($H:$H,ROW()-1)),IF(F178="Отклонение графика платежей","Проверка",""))))</f>
        <v/>
      </c>
      <c r="I178" s="30" t="str" cm="1">
        <f t="array" ref="I178">IF(F178="","",IF(ISNUMBER(F178),SUM(G178:H178),IF(F178="ИТОГО",SUM($I$6:INDEX($I:$I,ROW()-1)),IF(F178="Отклонение графика платежей",IF($B$19="","",INDEX($I:$I,ROW()-1)-$B$19),""))))</f>
        <v/>
      </c>
      <c r="J178" s="30" t="str">
        <f>IF(F178="","",IF(ISNUMBER(F178),SUM($I$6:I178),IF(F178="ИТОГО",I178,IF(F178="Отклонение графика платежей",IF(I178="","ТРЕБУЕТСЯ ВВОД",IF(ABS(I178)&lt;0.01,"OK","ОШИБКА: график платежей не соответствует стоимости помещения")),""))))</f>
        <v/>
      </c>
      <c r="K178" s="30" t="str">
        <f t="shared" si="5"/>
        <v/>
      </c>
      <c r="P178" s="103"/>
    </row>
    <row r="179" spans="1:16" x14ac:dyDescent="0.2">
      <c r="A179" s="5"/>
      <c r="B179" s="5"/>
      <c r="C179" s="5"/>
      <c r="D179" s="6"/>
      <c r="E179" s="4"/>
      <c r="F179" s="39" t="str">
        <f>IF(OR($B$9="",$B$10="",$B$10&lt;$B$9),"",IF(ROWS($F$6:F179)&lt;=DATEDIF(DATE(YEAR($B$9),MONTH($B$9),1),DATE(YEAR($B$10),MONTH($B$10),1),"m")+1,EDATE(DATE(YEAR($B$9),MONTH($B$9),1),ROWS($F$6:F179)-1),IF(ROWS($F$6:F179)=DATEDIF(DATE(YEAR($B$9),MONTH($B$9),1),DATE(YEAR($B$10),MONTH($B$10),1),"m")+2,"ИТОГО",IF(ROWS($F$6:F179)=DATEDIF(DATE(YEAR($B$9),MONTH($B$9),1),DATE(YEAR($B$10),MONTH($B$10),1),"m")+3,"Отклонение графика платежей",""))))</f>
        <v/>
      </c>
      <c r="G179" s="65" t="str">
        <f>IF(F179="","",IF(ISNUMBER(F179),IF($B$19="","",MAX(0,N($B$19)-N(H179))),IF(F179="ИТОГО",SUM($G$6:INDEX($G:$G,ROW()-1)),"")))</f>
        <v/>
      </c>
      <c r="H179" s="65" t="str">
        <f>IF(F179="","",IF(ISNUMBER(F179),IF($B$22&lt;&gt;"Да",0,IF(OR($B$23="",$B$24="",$B$25="",$B$26="",$B$27=""),"",IF(AND(YEAR(F179)=YEAR($B$26),MONTH(F179)=MONTH($B$26)),$B$23,0))),IF(F179="ИТОГО",SUM($H$6:INDEX($H:$H,ROW()-1)),IF(F179="Отклонение графика платежей","Проверка",""))))</f>
        <v/>
      </c>
      <c r="I179" s="30" t="str" cm="1">
        <f t="array" ref="I179">IF(F179="","",IF(ISNUMBER(F179),SUM(G179:H179),IF(F179="ИТОГО",SUM($I$6:INDEX($I:$I,ROW()-1)),IF(F179="Отклонение графика платежей",IF($B$19="","",INDEX($I:$I,ROW()-1)-$B$19),""))))</f>
        <v/>
      </c>
      <c r="J179" s="30" t="str">
        <f>IF(F179="","",IF(ISNUMBER(F179),SUM($I$6:I179),IF(F179="ИТОГО",I179,IF(F179="Отклонение графика платежей",IF(I179="","ТРЕБУЕТСЯ ВВОД",IF(ABS(I179)&lt;0.01,"OK","ОШИБКА: график платежей не соответствует стоимости помещения")),""))))</f>
        <v/>
      </c>
      <c r="K179" s="30" t="str">
        <f t="shared" si="5"/>
        <v/>
      </c>
      <c r="P179" s="103"/>
    </row>
    <row r="180" spans="1:16" x14ac:dyDescent="0.2">
      <c r="A180" s="5"/>
      <c r="B180" s="5"/>
      <c r="C180" s="5"/>
      <c r="D180" s="6"/>
      <c r="E180" s="4"/>
      <c r="F180" s="39" t="str">
        <f>IF(OR($B$9="",$B$10="",$B$10&lt;$B$9),"",IF(ROWS($F$6:F180)&lt;=DATEDIF(DATE(YEAR($B$9),MONTH($B$9),1),DATE(YEAR($B$10),MONTH($B$10),1),"m")+1,EDATE(DATE(YEAR($B$9),MONTH($B$9),1),ROWS($F$6:F180)-1),IF(ROWS($F$6:F180)=DATEDIF(DATE(YEAR($B$9),MONTH($B$9),1),DATE(YEAR($B$10),MONTH($B$10),1),"m")+2,"ИТОГО",IF(ROWS($F$6:F180)=DATEDIF(DATE(YEAR($B$9),MONTH($B$9),1),DATE(YEAR($B$10),MONTH($B$10),1),"m")+3,"Отклонение графика платежей",""))))</f>
        <v/>
      </c>
      <c r="G180" s="65" t="str">
        <f>IF(F180="","",IF(ISNUMBER(F180),IF($B$19="","",MAX(0,N($B$19)-N(H180))),IF(F180="ИТОГО",SUM($G$6:INDEX($G:$G,ROW()-1)),"")))</f>
        <v/>
      </c>
      <c r="H180" s="65" t="str">
        <f>IF(F180="","",IF(ISNUMBER(F180),IF($B$22&lt;&gt;"Да",0,IF(OR($B$23="",$B$24="",$B$25="",$B$26="",$B$27=""),"",IF(AND(YEAR(F180)=YEAR($B$26),MONTH(F180)=MONTH($B$26)),$B$23,0))),IF(F180="ИТОГО",SUM($H$6:INDEX($H:$H,ROW()-1)),IF(F180="Отклонение графика платежей","Проверка",""))))</f>
        <v/>
      </c>
      <c r="I180" s="30" t="str" cm="1">
        <f t="array" ref="I180">IF(F180="","",IF(ISNUMBER(F180),SUM(G180:H180),IF(F180="ИТОГО",SUM($I$6:INDEX($I:$I,ROW()-1)),IF(F180="Отклонение графика платежей",IF($B$19="","",INDEX($I:$I,ROW()-1)-$B$19),""))))</f>
        <v/>
      </c>
      <c r="J180" s="30" t="str">
        <f>IF(F180="","",IF(ISNUMBER(F180),SUM($I$6:I180),IF(F180="ИТОГО",I180,IF(F180="Отклонение графика платежей",IF(I180="","ТРЕБУЕТСЯ ВВОД",IF(ABS(I180)&lt;0.01,"OK","ОШИБКА: график платежей не соответствует стоимости помещения")),""))))</f>
        <v/>
      </c>
      <c r="K180" s="30" t="str">
        <f t="shared" si="5"/>
        <v/>
      </c>
      <c r="P180" s="103"/>
    </row>
    <row r="181" spans="1:16" x14ac:dyDescent="0.2">
      <c r="A181" s="5"/>
      <c r="B181" s="5"/>
      <c r="C181" s="5"/>
      <c r="D181" s="6"/>
      <c r="E181" s="4"/>
      <c r="F181" s="39" t="str">
        <f>IF(OR($B$9="",$B$10="",$B$10&lt;$B$9),"",IF(ROWS($F$6:F181)&lt;=DATEDIF(DATE(YEAR($B$9),MONTH($B$9),1),DATE(YEAR($B$10),MONTH($B$10),1),"m")+1,EDATE(DATE(YEAR($B$9),MONTH($B$9),1),ROWS($F$6:F181)-1),IF(ROWS($F$6:F181)=DATEDIF(DATE(YEAR($B$9),MONTH($B$9),1),DATE(YEAR($B$10),MONTH($B$10),1),"m")+2,"ИТОГО",IF(ROWS($F$6:F181)=DATEDIF(DATE(YEAR($B$9),MONTH($B$9),1),DATE(YEAR($B$10),MONTH($B$10),1),"m")+3,"Отклонение графика платежей",""))))</f>
        <v/>
      </c>
      <c r="G181" s="65" t="str">
        <f>IF(F181="","",IF(ISNUMBER(F181),IF($B$19="","",MAX(0,N($B$19)-N(H181))),IF(F181="ИТОГО",SUM($G$6:INDEX($G:$G,ROW()-1)),"")))</f>
        <v/>
      </c>
      <c r="H181" s="65" t="str">
        <f>IF(F181="","",IF(ISNUMBER(F181),IF($B$22&lt;&gt;"Да",0,IF(OR($B$23="",$B$24="",$B$25="",$B$26="",$B$27=""),"",IF(AND(YEAR(F181)=YEAR($B$26),MONTH(F181)=MONTH($B$26)),$B$23,0))),IF(F181="ИТОГО",SUM($H$6:INDEX($H:$H,ROW()-1)),IF(F181="Отклонение графика платежей","Проверка",""))))</f>
        <v/>
      </c>
      <c r="I181" s="30" t="str" cm="1">
        <f t="array" ref="I181">IF(F181="","",IF(ISNUMBER(F181),SUM(G181:H181),IF(F181="ИТОГО",SUM($I$6:INDEX($I:$I,ROW()-1)),IF(F181="Отклонение графика платежей",IF($B$19="","",INDEX($I:$I,ROW()-1)-$B$19),""))))</f>
        <v/>
      </c>
      <c r="J181" s="30" t="str">
        <f>IF(F181="","",IF(ISNUMBER(F181),SUM($I$6:I181),IF(F181="ИТОГО",I181,IF(F181="Отклонение графика платежей",IF(I181="","ТРЕБУЕТСЯ ВВОД",IF(ABS(I181)&lt;0.01,"OK","ОШИБКА: график платежей не соответствует стоимости помещения")),""))))</f>
        <v/>
      </c>
      <c r="K181" s="30" t="str">
        <f t="shared" si="5"/>
        <v/>
      </c>
      <c r="P181" s="103"/>
    </row>
    <row r="182" spans="1:16" x14ac:dyDescent="0.2">
      <c r="A182" s="5"/>
      <c r="B182" s="5"/>
      <c r="C182" s="5"/>
      <c r="D182" s="6"/>
      <c r="E182" s="4"/>
      <c r="F182" s="39" t="str">
        <f>IF(OR($B$9="",$B$10="",$B$10&lt;$B$9),"",IF(ROWS($F$6:F182)&lt;=DATEDIF(DATE(YEAR($B$9),MONTH($B$9),1),DATE(YEAR($B$10),MONTH($B$10),1),"m")+1,EDATE(DATE(YEAR($B$9),MONTH($B$9),1),ROWS($F$6:F182)-1),IF(ROWS($F$6:F182)=DATEDIF(DATE(YEAR($B$9),MONTH($B$9),1),DATE(YEAR($B$10),MONTH($B$10),1),"m")+2,"ИТОГО",IF(ROWS($F$6:F182)=DATEDIF(DATE(YEAR($B$9),MONTH($B$9),1),DATE(YEAR($B$10),MONTH($B$10),1),"m")+3,"Отклонение графика платежей",""))))</f>
        <v/>
      </c>
      <c r="G182" s="65" t="str">
        <f>IF(F182="","",IF(ISNUMBER(F182),IF($B$19="","",MAX(0,N($B$19)-N(H182))),IF(F182="ИТОГО",SUM($G$6:INDEX($G:$G,ROW()-1)),"")))</f>
        <v/>
      </c>
      <c r="H182" s="65" t="str">
        <f>IF(F182="","",IF(ISNUMBER(F182),IF($B$22&lt;&gt;"Да",0,IF(OR($B$23="",$B$24="",$B$25="",$B$26="",$B$27=""),"",IF(AND(YEAR(F182)=YEAR($B$26),MONTH(F182)=MONTH($B$26)),$B$23,0))),IF(F182="ИТОГО",SUM($H$6:INDEX($H:$H,ROW()-1)),IF(F182="Отклонение графика платежей","Проверка",""))))</f>
        <v/>
      </c>
      <c r="I182" s="30" t="str" cm="1">
        <f t="array" ref="I182">IF(F182="","",IF(ISNUMBER(F182),SUM(G182:H182),IF(F182="ИТОГО",SUM($I$6:INDEX($I:$I,ROW()-1)),IF(F182="Отклонение графика платежей",IF($B$19="","",INDEX($I:$I,ROW()-1)-$B$19),""))))</f>
        <v/>
      </c>
      <c r="J182" s="30" t="str">
        <f>IF(F182="","",IF(ISNUMBER(F182),SUM($I$6:I182),IF(F182="ИТОГО",I182,IF(F182="Отклонение графика платежей",IF(I182="","ТРЕБУЕТСЯ ВВОД",IF(ABS(I182)&lt;0.01,"OK","ОШИБКА: график платежей не соответствует стоимости помещения")),""))))</f>
        <v/>
      </c>
      <c r="K182" s="30" t="str">
        <f t="shared" si="5"/>
        <v/>
      </c>
      <c r="P182" s="103"/>
    </row>
    <row r="183" spans="1:16" x14ac:dyDescent="0.2">
      <c r="A183" s="5"/>
      <c r="B183" s="5"/>
      <c r="C183" s="5"/>
      <c r="D183" s="6"/>
      <c r="E183" s="4"/>
      <c r="F183" s="39" t="str">
        <f>IF(OR($B$9="",$B$10="",$B$10&lt;$B$9),"",IF(ROWS($F$6:F183)&lt;=DATEDIF(DATE(YEAR($B$9),MONTH($B$9),1),DATE(YEAR($B$10),MONTH($B$10),1),"m")+1,EDATE(DATE(YEAR($B$9),MONTH($B$9),1),ROWS($F$6:F183)-1),IF(ROWS($F$6:F183)=DATEDIF(DATE(YEAR($B$9),MONTH($B$9),1),DATE(YEAR($B$10),MONTH($B$10),1),"m")+2,"ИТОГО",IF(ROWS($F$6:F183)=DATEDIF(DATE(YEAR($B$9),MONTH($B$9),1),DATE(YEAR($B$10),MONTH($B$10),1),"m")+3,"Отклонение графика платежей",""))))</f>
        <v/>
      </c>
      <c r="G183" s="65" t="str">
        <f>IF(F183="","",IF(ISNUMBER(F183),IF($B$19="","",MAX(0,N($B$19)-N(H183))),IF(F183="ИТОГО",SUM($G$6:INDEX($G:$G,ROW()-1)),"")))</f>
        <v/>
      </c>
      <c r="H183" s="65" t="str">
        <f>IF(F183="","",IF(ISNUMBER(F183),IF($B$22&lt;&gt;"Да",0,IF(OR($B$23="",$B$24="",$B$25="",$B$26="",$B$27=""),"",IF(AND(YEAR(F183)=YEAR($B$26),MONTH(F183)=MONTH($B$26)),$B$23,0))),IF(F183="ИТОГО",SUM($H$6:INDEX($H:$H,ROW()-1)),IF(F183="Отклонение графика платежей","Проверка",""))))</f>
        <v/>
      </c>
      <c r="I183" s="30" t="str" cm="1">
        <f t="array" ref="I183">IF(F183="","",IF(ISNUMBER(F183),SUM(G183:H183),IF(F183="ИТОГО",SUM($I$6:INDEX($I:$I,ROW()-1)),IF(F183="Отклонение графика платежей",IF($B$19="","",INDEX($I:$I,ROW()-1)-$B$19),""))))</f>
        <v/>
      </c>
      <c r="J183" s="30" t="str">
        <f>IF(F183="","",IF(ISNUMBER(F183),SUM($I$6:I183),IF(F183="ИТОГО",I183,IF(F183="Отклонение графика платежей",IF(I183="","ТРЕБУЕТСЯ ВВОД",IF(ABS(I183)&lt;0.01,"OK","ОШИБКА: график платежей не соответствует стоимости помещения")),""))))</f>
        <v/>
      </c>
      <c r="K183" s="30" t="str">
        <f t="shared" si="5"/>
        <v/>
      </c>
      <c r="P183" s="103"/>
    </row>
    <row r="184" spans="1:16" x14ac:dyDescent="0.2">
      <c r="A184" s="5"/>
      <c r="B184" s="5"/>
      <c r="C184" s="5"/>
      <c r="D184" s="6"/>
      <c r="E184" s="4"/>
      <c r="F184" s="39" t="str">
        <f>IF(OR($B$9="",$B$10="",$B$10&lt;$B$9),"",IF(ROWS($F$6:F184)&lt;=DATEDIF(DATE(YEAR($B$9),MONTH($B$9),1),DATE(YEAR($B$10),MONTH($B$10),1),"m")+1,EDATE(DATE(YEAR($B$9),MONTH($B$9),1),ROWS($F$6:F184)-1),IF(ROWS($F$6:F184)=DATEDIF(DATE(YEAR($B$9),MONTH($B$9),1),DATE(YEAR($B$10),MONTH($B$10),1),"m")+2,"ИТОГО",IF(ROWS($F$6:F184)=DATEDIF(DATE(YEAR($B$9),MONTH($B$9),1),DATE(YEAR($B$10),MONTH($B$10),1),"m")+3,"Отклонение графика платежей",""))))</f>
        <v/>
      </c>
      <c r="G184" s="65" t="str">
        <f>IF(F184="","",IF(ISNUMBER(F184),IF($B$19="","",MAX(0,N($B$19)-N(H184))),IF(F184="ИТОГО",SUM($G$6:INDEX($G:$G,ROW()-1)),"")))</f>
        <v/>
      </c>
      <c r="H184" s="65" t="str">
        <f>IF(F184="","",IF(ISNUMBER(F184),IF($B$22&lt;&gt;"Да",0,IF(OR($B$23="",$B$24="",$B$25="",$B$26="",$B$27=""),"",IF(AND(YEAR(F184)=YEAR($B$26),MONTH(F184)=MONTH($B$26)),$B$23,0))),IF(F184="ИТОГО",SUM($H$6:INDEX($H:$H,ROW()-1)),IF(F184="Отклонение графика платежей","Проверка",""))))</f>
        <v/>
      </c>
      <c r="I184" s="30" t="str" cm="1">
        <f t="array" ref="I184">IF(F184="","",IF(ISNUMBER(F184),SUM(G184:H184),IF(F184="ИТОГО",SUM($I$6:INDEX($I:$I,ROW()-1)),IF(F184="Отклонение графика платежей",IF($B$19="","",INDEX($I:$I,ROW()-1)-$B$19),""))))</f>
        <v/>
      </c>
      <c r="J184" s="30" t="str">
        <f>IF(F184="","",IF(ISNUMBER(F184),SUM($I$6:I184),IF(F184="ИТОГО",I184,IF(F184="Отклонение графика платежей",IF(I184="","ТРЕБУЕТСЯ ВВОД",IF(ABS(I184)&lt;0.01,"OK","ОШИБКА: график платежей не соответствует стоимости помещения")),""))))</f>
        <v/>
      </c>
      <c r="K184" s="30" t="str">
        <f t="shared" si="5"/>
        <v/>
      </c>
      <c r="P184" s="103"/>
    </row>
    <row r="185" spans="1:16" x14ac:dyDescent="0.2">
      <c r="A185" s="5"/>
      <c r="B185" s="5"/>
      <c r="C185" s="5"/>
      <c r="D185" s="6"/>
      <c r="E185" s="4"/>
      <c r="F185" s="39" t="str">
        <f>IF(OR($B$9="",$B$10="",$B$10&lt;$B$9),"",IF(ROWS($F$6:F185)&lt;=DATEDIF(DATE(YEAR($B$9),MONTH($B$9),1),DATE(YEAR($B$10),MONTH($B$10),1),"m")+1,EDATE(DATE(YEAR($B$9),MONTH($B$9),1),ROWS($F$6:F185)-1),IF(ROWS($F$6:F185)=DATEDIF(DATE(YEAR($B$9),MONTH($B$9),1),DATE(YEAR($B$10),MONTH($B$10),1),"m")+2,"ИТОГО",IF(ROWS($F$6:F185)=DATEDIF(DATE(YEAR($B$9),MONTH($B$9),1),DATE(YEAR($B$10),MONTH($B$10),1),"m")+3,"Отклонение графика платежей",""))))</f>
        <v/>
      </c>
      <c r="G185" s="65" t="str">
        <f>IF(F185="","",IF(ISNUMBER(F185),IF($B$19="","",MAX(0,N($B$19)-N(H185))),IF(F185="ИТОГО",SUM($G$6:INDEX($G:$G,ROW()-1)),"")))</f>
        <v/>
      </c>
      <c r="H185" s="65" t="str">
        <f>IF(F185="","",IF(ISNUMBER(F185),IF($B$22&lt;&gt;"Да",0,IF(OR($B$23="",$B$24="",$B$25="",$B$26="",$B$27=""),"",IF(AND(YEAR(F185)=YEAR($B$26),MONTH(F185)=MONTH($B$26)),$B$23,0))),IF(F185="ИТОГО",SUM($H$6:INDEX($H:$H,ROW()-1)),IF(F185="Отклонение графика платежей","Проверка",""))))</f>
        <v/>
      </c>
      <c r="I185" s="30" t="str" cm="1">
        <f t="array" ref="I185">IF(F185="","",IF(ISNUMBER(F185),SUM(G185:H185),IF(F185="ИТОГО",SUM($I$6:INDEX($I:$I,ROW()-1)),IF(F185="Отклонение графика платежей",IF($B$19="","",INDEX($I:$I,ROW()-1)-$B$19),""))))</f>
        <v/>
      </c>
      <c r="J185" s="30" t="str">
        <f>IF(F185="","",IF(ISNUMBER(F185),SUM($I$6:I185),IF(F185="ИТОГО",I185,IF(F185="Отклонение графика платежей",IF(I185="","ТРЕБУЕТСЯ ВВОД",IF(ABS(I185)&lt;0.01,"OK","ОШИБКА: график платежей не соответствует стоимости помещения")),""))))</f>
        <v/>
      </c>
      <c r="K185" s="30" t="str">
        <f t="shared" si="5"/>
        <v/>
      </c>
      <c r="P185" s="103"/>
    </row>
    <row r="186" spans="1:16" x14ac:dyDescent="0.2">
      <c r="A186" s="5"/>
      <c r="B186" s="5"/>
      <c r="C186" s="5"/>
      <c r="D186" s="6"/>
      <c r="E186" s="4"/>
      <c r="F186" s="39" t="str">
        <f>IF(OR($B$9="",$B$10="",$B$10&lt;$B$9),"",IF(ROWS($F$6:F186)&lt;=DATEDIF(DATE(YEAR($B$9),MONTH($B$9),1),DATE(YEAR($B$10),MONTH($B$10),1),"m")+1,EDATE(DATE(YEAR($B$9),MONTH($B$9),1),ROWS($F$6:F186)-1),IF(ROWS($F$6:F186)=DATEDIF(DATE(YEAR($B$9),MONTH($B$9),1),DATE(YEAR($B$10),MONTH($B$10),1),"m")+2,"ИТОГО",IF(ROWS($F$6:F186)=DATEDIF(DATE(YEAR($B$9),MONTH($B$9),1),DATE(YEAR($B$10),MONTH($B$10),1),"m")+3,"Отклонение графика платежей",""))))</f>
        <v/>
      </c>
      <c r="G186" s="65" t="str">
        <f>IF(F186="","",IF(ISNUMBER(F186),IF($B$19="","",MAX(0,N($B$19)-N(H186))),IF(F186="ИТОГО",SUM($G$6:INDEX($G:$G,ROW()-1)),"")))</f>
        <v/>
      </c>
      <c r="H186" s="65" t="str">
        <f>IF(F186="","",IF(ISNUMBER(F186),IF($B$22&lt;&gt;"Да",0,IF(OR($B$23="",$B$24="",$B$25="",$B$26="",$B$27=""),"",IF(AND(YEAR(F186)=YEAR($B$26),MONTH(F186)=MONTH($B$26)),$B$23,0))),IF(F186="ИТОГО",SUM($H$6:INDEX($H:$H,ROW()-1)),IF(F186="Отклонение графика платежей","Проверка",""))))</f>
        <v/>
      </c>
      <c r="I186" s="30" t="str" cm="1">
        <f t="array" ref="I186">IF(F186="","",IF(ISNUMBER(F186),SUM(G186:H186),IF(F186="ИТОГО",SUM($I$6:INDEX($I:$I,ROW()-1)),IF(F186="Отклонение графика платежей",IF($B$19="","",INDEX($I:$I,ROW()-1)-$B$19),""))))</f>
        <v/>
      </c>
      <c r="J186" s="30" t="str">
        <f>IF(F186="","",IF(ISNUMBER(F186),SUM($I$6:I186),IF(F186="ИТОГО",I186,IF(F186="Отклонение графика платежей",IF(I186="","ТРЕБУЕТСЯ ВВОД",IF(ABS(I186)&lt;0.01,"OK","ОШИБКА: график платежей не соответствует стоимости помещения")),""))))</f>
        <v/>
      </c>
      <c r="K186" s="30" t="str">
        <f t="shared" si="5"/>
        <v/>
      </c>
      <c r="P186" s="103"/>
    </row>
    <row r="187" spans="1:16" x14ac:dyDescent="0.2">
      <c r="A187" s="5"/>
      <c r="B187" s="5"/>
      <c r="C187" s="5"/>
      <c r="D187" s="6"/>
      <c r="E187" s="4"/>
      <c r="F187" s="39" t="str">
        <f>IF(OR($B$9="",$B$10="",$B$10&lt;$B$9),"",IF(ROWS($F$6:F187)&lt;=DATEDIF(DATE(YEAR($B$9),MONTH($B$9),1),DATE(YEAR($B$10),MONTH($B$10),1),"m")+1,EDATE(DATE(YEAR($B$9),MONTH($B$9),1),ROWS($F$6:F187)-1),IF(ROWS($F$6:F187)=DATEDIF(DATE(YEAR($B$9),MONTH($B$9),1),DATE(YEAR($B$10),MONTH($B$10),1),"m")+2,"ИТОГО",IF(ROWS($F$6:F187)=DATEDIF(DATE(YEAR($B$9),MONTH($B$9),1),DATE(YEAR($B$10),MONTH($B$10),1),"m")+3,"Отклонение графика платежей",""))))</f>
        <v/>
      </c>
      <c r="G187" s="65" t="str">
        <f>IF(F187="","",IF(ISNUMBER(F187),IF($B$19="","",MAX(0,N($B$19)-N(H187))),IF(F187="ИТОГО",SUM($G$6:INDEX($G:$G,ROW()-1)),"")))</f>
        <v/>
      </c>
      <c r="H187" s="65" t="str">
        <f>IF(F187="","",IF(ISNUMBER(F187),IF($B$22&lt;&gt;"Да",0,IF(OR($B$23="",$B$24="",$B$25="",$B$26="",$B$27=""),"",IF(AND(YEAR(F187)=YEAR($B$26),MONTH(F187)=MONTH($B$26)),$B$23,0))),IF(F187="ИТОГО",SUM($H$6:INDEX($H:$H,ROW()-1)),IF(F187="Отклонение графика платежей","Проверка",""))))</f>
        <v/>
      </c>
      <c r="I187" s="30" t="str" cm="1">
        <f t="array" ref="I187">IF(F187="","",IF(ISNUMBER(F187),SUM(G187:H187),IF(F187="ИТОГО",SUM($I$6:INDEX($I:$I,ROW()-1)),IF(F187="Отклонение графика платежей",IF($B$19="","",INDEX($I:$I,ROW()-1)-$B$19),""))))</f>
        <v/>
      </c>
      <c r="J187" s="30" t="str">
        <f>IF(F187="","",IF(ISNUMBER(F187),SUM($I$6:I187),IF(F187="ИТОГО",I187,IF(F187="Отклонение графика платежей",IF(I187="","ТРЕБУЕТСЯ ВВОД",IF(ABS(I187)&lt;0.01,"OK","ОШИБКА: график платежей не соответствует стоимости помещения")),""))))</f>
        <v/>
      </c>
      <c r="K187" s="30" t="str">
        <f t="shared" si="5"/>
        <v/>
      </c>
      <c r="P187" s="103"/>
    </row>
    <row r="188" spans="1:16" x14ac:dyDescent="0.2">
      <c r="A188" s="5"/>
      <c r="B188" s="5"/>
      <c r="C188" s="5"/>
      <c r="D188" s="6"/>
      <c r="E188" s="4"/>
      <c r="F188" s="39" t="str">
        <f>IF(OR($B$9="",$B$10="",$B$10&lt;$B$9),"",IF(ROWS($F$6:F188)&lt;=DATEDIF(DATE(YEAR($B$9),MONTH($B$9),1),DATE(YEAR($B$10),MONTH($B$10),1),"m")+1,EDATE(DATE(YEAR($B$9),MONTH($B$9),1),ROWS($F$6:F188)-1),IF(ROWS($F$6:F188)=DATEDIF(DATE(YEAR($B$9),MONTH($B$9),1),DATE(YEAR($B$10),MONTH($B$10),1),"m")+2,"ИТОГО",IF(ROWS($F$6:F188)=DATEDIF(DATE(YEAR($B$9),MONTH($B$9),1),DATE(YEAR($B$10),MONTH($B$10),1),"m")+3,"Отклонение графика платежей",""))))</f>
        <v/>
      </c>
      <c r="G188" s="65" t="str">
        <f>IF(F188="","",IF(ISNUMBER(F188),IF($B$19="","",MAX(0,N($B$19)-N(H188))),IF(F188="ИТОГО",SUM($G$6:INDEX($G:$G,ROW()-1)),"")))</f>
        <v/>
      </c>
      <c r="H188" s="65" t="str">
        <f>IF(F188="","",IF(ISNUMBER(F188),IF($B$22&lt;&gt;"Да",0,IF(OR($B$23="",$B$24="",$B$25="",$B$26="",$B$27=""),"",IF(AND(YEAR(F188)=YEAR($B$26),MONTH(F188)=MONTH($B$26)),$B$23,0))),IF(F188="ИТОГО",SUM($H$6:INDEX($H:$H,ROW()-1)),IF(F188="Отклонение графика платежей","Проверка",""))))</f>
        <v/>
      </c>
      <c r="I188" s="30" t="str" cm="1">
        <f t="array" ref="I188">IF(F188="","",IF(ISNUMBER(F188),SUM(G188:H188),IF(F188="ИТОГО",SUM($I$6:INDEX($I:$I,ROW()-1)),IF(F188="Отклонение графика платежей",IF($B$19="","",INDEX($I:$I,ROW()-1)-$B$19),""))))</f>
        <v/>
      </c>
      <c r="J188" s="30" t="str">
        <f>IF(F188="","",IF(ISNUMBER(F188),SUM($I$6:I188),IF(F188="ИТОГО",I188,IF(F188="Отклонение графика платежей",IF(I188="","ТРЕБУЕТСЯ ВВОД",IF(ABS(I188)&lt;0.01,"OK","ОШИБКА: график платежей не соответствует стоимости помещения")),""))))</f>
        <v/>
      </c>
      <c r="K188" s="30" t="str">
        <f t="shared" si="5"/>
        <v/>
      </c>
      <c r="P188" s="103"/>
    </row>
  </sheetData>
  <mergeCells count="14">
    <mergeCell ref="A71:D71"/>
    <mergeCell ref="A78:D78"/>
    <mergeCell ref="F4:K4"/>
    <mergeCell ref="M4:P4"/>
    <mergeCell ref="M27:P27"/>
    <mergeCell ref="A48:D48"/>
    <mergeCell ref="A60:D60"/>
    <mergeCell ref="A66:D66"/>
    <mergeCell ref="A40:D40"/>
    <mergeCell ref="A1:E1"/>
    <mergeCell ref="A2:E2"/>
    <mergeCell ref="A4:D4"/>
    <mergeCell ref="A21:D21"/>
    <mergeCell ref="A29:D29"/>
  </mergeCells>
  <conditionalFormatting sqref="F6:K188">
    <cfRule type="expression" dxfId="3" priority="1">
      <formula>$F6=""</formula>
    </cfRule>
    <cfRule type="expression" dxfId="2" priority="2">
      <formula>$F6="ИТОГО"</formula>
    </cfRule>
    <cfRule type="expression" dxfId="1" priority="3">
      <formula>$F6="Отклонение графика платежей"</formula>
    </cfRule>
  </conditionalFormatting>
  <conditionalFormatting sqref="G6:G188">
    <cfRule type="expression" dxfId="0" priority="4">
      <formula>ISNUMBER($F6)</formula>
    </cfRule>
  </conditionalFormatting>
  <dataValidations count="8">
    <dataValidation type="list" allowBlank="1" showInputMessage="1" showErrorMessage="1" sqref="B88" xr:uid="{7BD03AD3-2D9F-0D4C-AB97-0C27C68A0697}">
      <formula1>"Следующие 12 месяцев,Последние 12 месяцев,Пользовательский NOI"</formula1>
    </dataValidation>
    <dataValidation type="list" allowBlank="1" showInputMessage="1" showErrorMessage="1" sqref="B84" xr:uid="{AD314790-4C50-CF46-9BA3-6BD9FBA9070B}">
      <formula1>"С выручки,С прибыли,Пользовательская база"</formula1>
    </dataValidation>
    <dataValidation type="list" allowBlank="1" showInputMessage="1" showErrorMessage="1" sqref="B79" xr:uid="{137F4C2C-6C4C-4545-82AC-A7B98EED6EE2}">
      <formula1>"5,10,15"</formula1>
    </dataValidation>
    <dataValidation type="list" allowBlank="1" showInputMessage="1" showErrorMessage="1" sqref="B53" xr:uid="{2E1FF259-9A8A-CA4F-8886-999F92539892}">
      <formula1>"Прибыль до налога,Выручка,Пользовательская база"</formula1>
    </dataValidation>
    <dataValidation type="list" allowBlank="1" showInputMessage="1" showErrorMessage="1" sqref="B49" xr:uid="{6A368720-775D-8949-81DB-59B3D07363D4}">
      <formula1>"Налог на прибыль,НДФЛ,УСН,Другой / пользовательский"</formula1>
    </dataValidation>
    <dataValidation type="list" allowBlank="1" showInputMessage="1" showErrorMessage="1" sqref="B27" xr:uid="{EC885D38-5581-4940-950E-EE6F8543E039}">
      <formula1>"Аннуитетный,Равными долями"</formula1>
    </dataValidation>
    <dataValidation type="list" allowBlank="1" showInputMessage="1" showErrorMessage="1" sqref="B22 B35:B36 B51 B55 B82" xr:uid="{DF3A5515-E8E2-AB40-A0E7-B38513306445}">
      <formula1>"Да,Нет"</formula1>
    </dataValidation>
    <dataValidation type="list" allowBlank="1" showInputMessage="1" showErrorMessage="1" sqref="B7 B43 B85" xr:uid="{EFE068CB-4BFC-3747-8BEA-CBF0DBFD21F0}">
      <formula1>"С НДС,Без НДС"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C10DB-7A8B-784B-A3BF-56D13910328F}">
  <dimension ref="A1:AX216"/>
  <sheetViews>
    <sheetView showGridLines="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16" sqref="I16"/>
    </sheetView>
  </sheetViews>
  <sheetFormatPr baseColWidth="10" defaultRowHeight="16" x14ac:dyDescent="0.2"/>
  <cols>
    <col min="1" max="1" width="36.83203125" style="3" customWidth="1"/>
    <col min="2" max="2" width="14.1640625" style="3" customWidth="1"/>
    <col min="3" max="4" width="15.33203125" style="3" customWidth="1"/>
    <col min="5" max="5" width="17.83203125" style="3" customWidth="1"/>
    <col min="6" max="6" width="40.83203125" style="3" customWidth="1"/>
    <col min="7" max="37" width="15.33203125" style="3" customWidth="1"/>
  </cols>
  <sheetData>
    <row r="1" spans="1:14" ht="30" customHeight="1" x14ac:dyDescent="0.25">
      <c r="A1" s="107" t="s">
        <v>640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</row>
    <row r="2" spans="1:14" x14ac:dyDescent="0.2">
      <c r="A2" s="108" t="s">
        <v>253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</row>
    <row r="4" spans="1:14" ht="25" customHeight="1" x14ac:dyDescent="0.2">
      <c r="A4" s="109" t="s">
        <v>254</v>
      </c>
      <c r="B4" s="109"/>
      <c r="C4" s="109"/>
      <c r="D4" s="109"/>
      <c r="F4" s="109" t="s">
        <v>255</v>
      </c>
      <c r="G4" s="109"/>
      <c r="H4" s="109"/>
      <c r="I4" s="109"/>
      <c r="K4" s="109" t="s">
        <v>256</v>
      </c>
      <c r="L4" s="109"/>
      <c r="M4" s="109"/>
      <c r="N4" s="109"/>
    </row>
    <row r="5" spans="1:14" ht="25" customHeight="1" x14ac:dyDescent="0.2">
      <c r="A5" s="22" t="s">
        <v>257</v>
      </c>
      <c r="B5" s="31" t="str">
        <f>IF('Исходные данные'!$B$19="","",'Исходные данные'!$B$19)</f>
        <v/>
      </c>
      <c r="C5" s="3" t="s">
        <v>11</v>
      </c>
      <c r="F5" s="22" t="s">
        <v>268</v>
      </c>
      <c r="G5" s="32" t="str">
        <f>IF('Исходные данные'!$B$91="","",-SUMIF(Расчёты!$BA$2:$BA$194,"&lt;0",Расчёты!$BA$2:$BA$194))</f>
        <v/>
      </c>
      <c r="H5" s="3" t="s">
        <v>11</v>
      </c>
      <c r="K5" s="19" t="s">
        <v>282</v>
      </c>
      <c r="L5" s="19" t="s">
        <v>283</v>
      </c>
      <c r="M5" s="19" t="s">
        <v>284</v>
      </c>
      <c r="N5" s="19" t="s">
        <v>218</v>
      </c>
    </row>
    <row r="6" spans="1:14" ht="25" customHeight="1" x14ac:dyDescent="0.2">
      <c r="A6" s="22" t="s">
        <v>114</v>
      </c>
      <c r="B6" s="31" t="str">
        <f>IF(OR('Исходные данные'!$B$30="",COUNT(Расчёты!$BB$2:$BB$194)=0),"",MAX(0,-_xlfn.MINIFS(Расчёты!$BB$2:$BB$194,Расчёты!$B$2:$B$194,"&lt;="&amp;DATE(YEAR('Исходные данные'!$B$30),MONTH('Исходные данные'!$B$30),1),Расчёты!$E$2:$E$194,1)))</f>
        <v/>
      </c>
      <c r="C6" s="3" t="s">
        <v>11</v>
      </c>
      <c r="F6" s="22" t="s">
        <v>269</v>
      </c>
      <c r="G6" s="32" t="str">
        <f>IF('Исходные данные'!$B$91="","",SUM(Расчёты!$BE$2:$BE$194))</f>
        <v/>
      </c>
      <c r="H6" s="3" t="s">
        <v>11</v>
      </c>
      <c r="K6" s="3" t="s">
        <v>285</v>
      </c>
      <c r="L6" s="33" t="str">
        <f>IF('Исходные данные'!$B$9="","",SUMIFS(Расчёты!$BE$2:$BE$194,Расчёты!$A$2:$A$194,"&gt;=1",Расчёты!$A$2:$A$194,"&lt;=12",Расчёты!$E$2:$E$194,1))</f>
        <v/>
      </c>
      <c r="M6" s="33" t="str">
        <f>IF('Исходные данные'!$B$9="","",SUMIFS(Расчёты!$BA$2:$BA$194,Расчёты!$A$2:$A$194,"&gt;=1",Расчёты!$A$2:$A$194,"&lt;=12",Расчёты!$E$2:$E$194,1))</f>
        <v/>
      </c>
      <c r="N6" s="33" t="str">
        <f>IF('Исходные данные'!$B$9="","",SUMIFS(Расчёты!$Y$2:$Y$194,Расчёты!$A$2:$A$194,"&gt;=1",Расчёты!$A$2:$A$194,"&lt;=12"))</f>
        <v/>
      </c>
    </row>
    <row r="7" spans="1:14" ht="25" customHeight="1" thickBot="1" x14ac:dyDescent="0.25">
      <c r="A7" s="22" t="s">
        <v>577</v>
      </c>
      <c r="B7" s="31" t="str">
        <f>IF('Исходные данные'!$B$30="","",SUMIFS(Расчёты!$BE$2:$BE$194,Расчёты!$F$2:$F$194,"&gt;=1",Расчёты!$F$2:$F$194,"&lt;=12",Расчёты!$E$2:$E$194,1))</f>
        <v/>
      </c>
      <c r="C7" s="3" t="s">
        <v>141</v>
      </c>
      <c r="F7" s="22" t="s">
        <v>270</v>
      </c>
      <c r="G7" s="32" t="str">
        <f>IF('Исходные данные'!$B$91="","",SUM(Расчёты!$AY$2:$AY$194)-N('Исходные данные'!$B$19)-N('Исходные данные'!$B$11)-N('Исходные данные'!$B$19)*N('Исходные данные'!$B$72))</f>
        <v/>
      </c>
      <c r="H7" s="3" t="s">
        <v>11</v>
      </c>
      <c r="K7" s="3" t="s">
        <v>286</v>
      </c>
      <c r="L7" s="33" t="str">
        <f>IF('Исходные данные'!$B$9="","",SUMIFS(Расчёты!$BE$2:$BE$194,Расчёты!$A$2:$A$194,"&gt;=13",Расчёты!$A$2:$A$194,"&lt;=24",Расчёты!$E$2:$E$194,1))</f>
        <v/>
      </c>
      <c r="M7" s="33" t="str">
        <f>IF('Исходные данные'!$B$9="","",SUMIFS(Расчёты!$BA$2:$BA$194,Расчёты!$A$2:$A$194,"&gt;=13",Расчёты!$A$2:$A$194,"&lt;=24",Расчёты!$E$2:$E$194,1))</f>
        <v/>
      </c>
      <c r="N7" s="33" t="str">
        <f>IF('Исходные данные'!$B$9="","",SUMIFS(Расчёты!$Y$2:$Y$194,Расчёты!$A$2:$A$194,"&gt;=13",Расчёты!$A$2:$A$194,"&lt;=24"))</f>
        <v/>
      </c>
    </row>
    <row r="8" spans="1:14" ht="25" customHeight="1" x14ac:dyDescent="0.2">
      <c r="A8" s="89" t="s">
        <v>576</v>
      </c>
      <c r="B8" s="91" t="str">
        <f>IF(OR('Исходные данные'!$B$79&lt;=0,'Исходные данные'!$B$17=""),"",SUMIFS(Расчёты!$Y$2:$Y$194,Расчёты!$E$2:$E$194,1)/'Исходные данные'!$B$79/('Исходные данные'!$B$17+N('Исходные данные'!$B$11)+N('Исходные данные'!$B$19)*N('Исходные данные'!$B$72)))</f>
        <v/>
      </c>
      <c r="C8" s="92" t="s">
        <v>19</v>
      </c>
      <c r="F8" s="22" t="s">
        <v>271</v>
      </c>
      <c r="G8" s="44" t="str">
        <f>IF(N(G5)&lt;=0,"",G6/G5)</f>
        <v/>
      </c>
      <c r="H8" s="3" t="s">
        <v>19</v>
      </c>
      <c r="K8" s="3" t="s">
        <v>287</v>
      </c>
      <c r="L8" s="33" t="str">
        <f>IF('Исходные данные'!$B$9="","",SUMIFS(Расчёты!$BE$2:$BE$194,Расчёты!$A$2:$A$194,"&gt;=25",Расчёты!$A$2:$A$194,"&lt;=36",Расчёты!$E$2:$E$194,1))</f>
        <v/>
      </c>
      <c r="M8" s="33" t="str">
        <f>IF('Исходные данные'!$B$9="","",SUMIFS(Расчёты!$BA$2:$BA$194,Расчёты!$A$2:$A$194,"&gt;=25",Расчёты!$A$2:$A$194,"&lt;=36",Расчёты!$E$2:$E$194,1))</f>
        <v/>
      </c>
      <c r="N8" s="33" t="str">
        <f>IF('Исходные данные'!$B$9="","",SUMIFS(Расчёты!$Y$2:$Y$194,Расчёты!$A$2:$A$194,"&gt;=25",Расчёты!$A$2:$A$194,"&lt;=36"))</f>
        <v/>
      </c>
    </row>
    <row r="9" spans="1:14" ht="25" customHeight="1" x14ac:dyDescent="0.2">
      <c r="A9" s="93" t="s">
        <v>258</v>
      </c>
      <c r="B9" s="90" t="str">
        <f>IF(OR(COUNTIF(Расчёты!$BA$2:$BA$194,"&lt;0")=0,COUNTIF(Расчёты!$BA$2:$BA$194,"&gt;0")=0),"",IFERROR(XIRR(Расчёты!$BA$2:$BA$194,Расчёты!$D$2:$D$194),"ПРОВЕРЬТЕ ПОТОКИ"))</f>
        <v/>
      </c>
      <c r="C9" s="94" t="s">
        <v>53</v>
      </c>
      <c r="F9" s="22" t="s">
        <v>272</v>
      </c>
      <c r="G9" s="44" t="str">
        <f>IF(N(G5)&lt;=0,"",G7/G5)</f>
        <v/>
      </c>
      <c r="H9" s="3" t="s">
        <v>19</v>
      </c>
      <c r="K9" s="3" t="s">
        <v>288</v>
      </c>
      <c r="L9" s="33" t="str">
        <f>IF('Исходные данные'!$B$9="","",SUMIFS(Расчёты!$BE$2:$BE$194,Расчёты!$A$2:$A$194,"&gt;=37",Расчёты!$A$2:$A$194,"&lt;=48",Расчёты!$E$2:$E$194,1))</f>
        <v/>
      </c>
      <c r="M9" s="33" t="str">
        <f>IF('Исходные данные'!$B$9="","",SUMIFS(Расчёты!$BA$2:$BA$194,Расчёты!$A$2:$A$194,"&gt;=37",Расчёты!$A$2:$A$194,"&lt;=48",Расчёты!$E$2:$E$194,1))</f>
        <v/>
      </c>
      <c r="N9" s="33" t="str">
        <f>IF('Исходные данные'!$B$9="","",SUMIFS(Расчёты!$Y$2:$Y$194,Расчёты!$A$2:$A$194,"&gt;=37",Расчёты!$A$2:$A$194,"&lt;=48"))</f>
        <v/>
      </c>
    </row>
    <row r="10" spans="1:14" ht="25" customHeight="1" x14ac:dyDescent="0.2">
      <c r="A10" s="93" t="s">
        <v>259</v>
      </c>
      <c r="B10" s="95" t="str">
        <f>IF(OR('Исходные данные'!$B$90="",'Исходные данные'!$B$9=""),"",IFERROR(XNPV('Исходные данные'!$B$90,Расчёты!$BA$2:$BA$194,Расчёты!$D$2:$D$194),""))</f>
        <v/>
      </c>
      <c r="C10" s="94" t="s">
        <v>11</v>
      </c>
      <c r="F10" s="22" t="s">
        <v>273</v>
      </c>
      <c r="G10" s="44" t="str">
        <f>IF(N(G5)&lt;=0,"",N(B16)/G5)</f>
        <v/>
      </c>
      <c r="H10" s="3" t="s">
        <v>19</v>
      </c>
      <c r="K10" s="3" t="s">
        <v>289</v>
      </c>
      <c r="L10" s="33" t="str">
        <f>IF('Исходные данные'!$B$9="","",SUMIFS(Расчёты!$BE$2:$BE$194,Расчёты!$A$2:$A$194,"&gt;=49",Расчёты!$A$2:$A$194,"&lt;=60",Расчёты!$E$2:$E$194,1))</f>
        <v/>
      </c>
      <c r="M10" s="33" t="str">
        <f>IF('Исходные данные'!$B$9="","",SUMIFS(Расчёты!$BA$2:$BA$194,Расчёты!$A$2:$A$194,"&gt;=49",Расчёты!$A$2:$A$194,"&lt;=60",Расчёты!$E$2:$E$194,1))</f>
        <v/>
      </c>
      <c r="N10" s="33" t="str">
        <f>IF('Исходные данные'!$B$9="","",SUMIFS(Расчёты!$Y$2:$Y$194,Расчёты!$A$2:$A$194,"&gt;=49",Расчёты!$A$2:$A$194,"&lt;=60"))</f>
        <v/>
      </c>
    </row>
    <row r="11" spans="1:14" ht="25" customHeight="1" thickBot="1" x14ac:dyDescent="0.25">
      <c r="A11" s="96" t="s">
        <v>597</v>
      </c>
      <c r="B11" s="97" t="str">
        <f>IF('Исходные данные'!$B$9="","",IF(COUNTIF(Расчёты!$BK$2:$BK$362,1)=0,"более 30 лет",IF(MATCH(1,Расчёты!$BK$2:$BK$362,0)-1&gt;360,"более 30 лет",(MATCH(1,Расчёты!$BK$2:$BK$362,0)-1)&amp;" мес. / "&amp;TEXT((MATCH(1,Расчёты!$BK$2:$BK$362,0)-1)/12,"0,0")&amp;" лет")))</f>
        <v/>
      </c>
      <c r="C11" s="98" t="s">
        <v>261</v>
      </c>
      <c r="F11" s="22" t="s">
        <v>274</v>
      </c>
      <c r="G11" s="45" t="str">
        <f>IF(N(G5)&lt;=0,"",SUMIF(Расчёты!$BA$2:$BA$194,"&gt;0",Расчёты!$BA$2:$BA$194)/G5)</f>
        <v/>
      </c>
      <c r="H11" s="3" t="s">
        <v>275</v>
      </c>
      <c r="K11" s="3" t="s">
        <v>290</v>
      </c>
      <c r="L11" s="33" t="str">
        <f>IF('Исходные данные'!$B$9="","",SUMIFS(Расчёты!$BE$2:$BE$194,Расчёты!$A$2:$A$194,"&gt;=61",Расчёты!$A$2:$A$194,"&lt;=72",Расчёты!$E$2:$E$194,1))</f>
        <v/>
      </c>
      <c r="M11" s="33" t="str">
        <f>IF('Исходные данные'!$B$9="","",SUMIFS(Расчёты!$BA$2:$BA$194,Расчёты!$A$2:$A$194,"&gt;=61",Расчёты!$A$2:$A$194,"&lt;=72",Расчёты!$E$2:$E$194,1))</f>
        <v/>
      </c>
      <c r="N11" s="33" t="str">
        <f>IF('Исходные данные'!$B$9="","",SUMIFS(Расчёты!$Y$2:$Y$194,Расчёты!$A$2:$A$194,"&gt;=61",Расчёты!$A$2:$A$194,"&lt;=72"))</f>
        <v/>
      </c>
    </row>
    <row r="12" spans="1:14" ht="25" customHeight="1" x14ac:dyDescent="0.2">
      <c r="A12" s="22" t="s">
        <v>262</v>
      </c>
      <c r="B12" s="31" t="str">
        <f>IF('Исходные данные'!$B$91="","",SUM(Расчёты!$AV$2:$AV$194))</f>
        <v/>
      </c>
      <c r="C12" s="3" t="s">
        <v>11</v>
      </c>
      <c r="F12" s="22" t="s">
        <v>276</v>
      </c>
      <c r="G12" s="45" t="str">
        <f>IF(N(G5)&lt;=0,"",N(B16)/G5)</f>
        <v/>
      </c>
      <c r="H12" s="3" t="s">
        <v>275</v>
      </c>
      <c r="K12" s="3" t="s">
        <v>291</v>
      </c>
      <c r="L12" s="33" t="str">
        <f>IF('Исходные данные'!$B$9="","",SUMIFS(Расчёты!$BE$2:$BE$194,Расчёты!$A$2:$A$194,"&gt;=73",Расчёты!$A$2:$A$194,"&lt;=84",Расчёты!$E$2:$E$194,1))</f>
        <v/>
      </c>
      <c r="M12" s="33" t="str">
        <f>IF('Исходные данные'!$B$9="","",SUMIFS(Расчёты!$BA$2:$BA$194,Расчёты!$A$2:$A$194,"&gt;=73",Расчёты!$A$2:$A$194,"&lt;=84",Расчёты!$E$2:$E$194,1))</f>
        <v/>
      </c>
      <c r="N12" s="33" t="str">
        <f>IF('Исходные данные'!$B$9="","",SUMIFS(Расчёты!$Y$2:$Y$194,Расчёты!$A$2:$A$194,"&gt;=73",Расчёты!$A$2:$A$194,"&lt;=84"))</f>
        <v/>
      </c>
    </row>
    <row r="13" spans="1:14" ht="25" customHeight="1" x14ac:dyDescent="0.2">
      <c r="A13" s="22" t="s">
        <v>263</v>
      </c>
      <c r="B13" s="31" t="str">
        <f>IF('Исходные данные'!$B$9="","",SUMIFS(Расчёты!$AU$2:$AU$194,Расчёты!$B$2:$B$194,DATE(YEAR(EDATE('Исходные данные'!$B$9,60)),MONTH(EDATE('Исходные данные'!$B$9,60)),1)))</f>
        <v/>
      </c>
      <c r="C13" s="3" t="s">
        <v>11</v>
      </c>
      <c r="F13" s="22" t="s">
        <v>277</v>
      </c>
      <c r="G13" s="32" t="str">
        <f>IF('Исходные данные'!$B$18="","",'Исходные данные'!$B$18)</f>
        <v/>
      </c>
      <c r="H13" s="3" t="s">
        <v>11</v>
      </c>
      <c r="K13" s="3" t="s">
        <v>292</v>
      </c>
      <c r="L13" s="33" t="str">
        <f>IF('Исходные данные'!$B$9="","",SUMIFS(Расчёты!$BE$2:$BE$194,Расчёты!$A$2:$A$194,"&gt;=85",Расчёты!$A$2:$A$194,"&lt;=96",Расчёты!$E$2:$E$194,1))</f>
        <v/>
      </c>
      <c r="M13" s="33" t="str">
        <f>IF('Исходные данные'!$B$9="","",SUMIFS(Расчёты!$BA$2:$BA$194,Расчёты!$A$2:$A$194,"&gt;=85",Расчёты!$A$2:$A$194,"&lt;=96",Расчёты!$E$2:$E$194,1))</f>
        <v/>
      </c>
      <c r="N13" s="33" t="str">
        <f>IF('Исходные данные'!$B$9="","",SUMIFS(Расчёты!$Y$2:$Y$194,Расчёты!$A$2:$A$194,"&gt;=85",Расчёты!$A$2:$A$194,"&lt;=96"))</f>
        <v/>
      </c>
    </row>
    <row r="14" spans="1:14" ht="25" customHeight="1" x14ac:dyDescent="0.2">
      <c r="A14" s="22" t="s">
        <v>264</v>
      </c>
      <c r="B14" s="31" t="str">
        <f>IF('Исходные данные'!$B$9="","",SUMIFS(Расчёты!$AU$2:$AU$194,Расчёты!$B$2:$B$194,DATE(YEAR(EDATE('Исходные данные'!$B$9,120)),MONTH(EDATE('Исходные данные'!$B$9,120)),1)))</f>
        <v/>
      </c>
      <c r="C14" s="3" t="s">
        <v>11</v>
      </c>
      <c r="F14" s="22" t="s">
        <v>278</v>
      </c>
      <c r="G14" s="32" t="str">
        <f>IF('Исходные данные'!$B$9="","",SUM(Расчёты!$M$2:$M$194)+SUM(Расчёты!$R$2:$R$194)+SUM(Расчёты!$V$2:$V$194)-SUM(Расчёты!$P$2:$P$194)-SUM(Расчёты!$T$2:$T$194)+SUM(Расчёты!$AP$2:$AP$194)+SUM(Расчёты!$AA$2:$AA$194)+SUM(Расчёты!$AL$2:$AL$194))</f>
        <v/>
      </c>
      <c r="H14" s="3" t="s">
        <v>11</v>
      </c>
      <c r="K14" s="3" t="s">
        <v>293</v>
      </c>
      <c r="L14" s="33" t="str">
        <f>IF('Исходные данные'!$B$9="","",SUMIFS(Расчёты!$BE$2:$BE$194,Расчёты!$A$2:$A$194,"&gt;=97",Расчёты!$A$2:$A$194,"&lt;=108",Расчёты!$E$2:$E$194,1))</f>
        <v/>
      </c>
      <c r="M14" s="33" t="str">
        <f>IF('Исходные данные'!$B$9="","",SUMIFS(Расчёты!$BA$2:$BA$194,Расчёты!$A$2:$A$194,"&gt;=97",Расчёты!$A$2:$A$194,"&lt;=108",Расчёты!$E$2:$E$194,1))</f>
        <v/>
      </c>
      <c r="N14" s="33" t="str">
        <f>IF('Исходные данные'!$B$9="","",SUMIFS(Расчёты!$Y$2:$Y$194,Расчёты!$A$2:$A$194,"&gt;=97",Расчёты!$A$2:$A$194,"&lt;=108"))</f>
        <v/>
      </c>
    </row>
    <row r="15" spans="1:14" ht="25" customHeight="1" x14ac:dyDescent="0.2">
      <c r="A15" s="22" t="s">
        <v>265</v>
      </c>
      <c r="B15" s="31" t="str">
        <f>IF('Исходные данные'!$B$9="","",SUMIFS(Расчёты!$AU$2:$AU$194,Расчёты!$B$2:$B$194,DATE(YEAR(EDATE('Исходные данные'!$B$9,180)),MONTH(EDATE('Исходные данные'!$B$9,180)),1)))</f>
        <v/>
      </c>
      <c r="C15" s="3" t="s">
        <v>11</v>
      </c>
      <c r="F15" s="22" t="s">
        <v>279</v>
      </c>
      <c r="G15" s="32" t="str">
        <f>IF('Исходные данные'!$B$22="","",MAX(Расчёты!$AK$2:$AK$194))</f>
        <v/>
      </c>
      <c r="H15" s="3" t="s">
        <v>11</v>
      </c>
      <c r="K15" s="3" t="s">
        <v>294</v>
      </c>
      <c r="L15" s="33" t="str">
        <f>IF('Исходные данные'!$B$9="","",SUMIFS(Расчёты!$BE$2:$BE$194,Расчёты!$A$2:$A$194,"&gt;=109",Расчёты!$A$2:$A$194,"&lt;=120",Расчёты!$E$2:$E$194,1))</f>
        <v/>
      </c>
      <c r="M15" s="33" t="str">
        <f>IF('Исходные данные'!$B$9="","",SUMIFS(Расчёты!$BA$2:$BA$194,Расчёты!$A$2:$A$194,"&gt;=109",Расчёты!$A$2:$A$194,"&lt;=120",Расчёты!$E$2:$E$194,1))</f>
        <v/>
      </c>
      <c r="N15" s="33" t="str">
        <f>IF('Исходные данные'!$B$9="","",SUMIFS(Расчёты!$Y$2:$Y$194,Расчёты!$A$2:$A$194,"&gt;=109",Расчёты!$A$2:$A$194,"&lt;=120"))</f>
        <v/>
      </c>
    </row>
    <row r="16" spans="1:14" ht="25" customHeight="1" x14ac:dyDescent="0.2">
      <c r="A16" s="22" t="s">
        <v>266</v>
      </c>
      <c r="B16" s="31" t="str">
        <f>IF('Исходные данные'!$B$91="","",SUM(Расчёты!$BA$2:$BA$194))</f>
        <v/>
      </c>
      <c r="C16" s="3" t="s">
        <v>11</v>
      </c>
      <c r="F16" s="22" t="s">
        <v>280</v>
      </c>
      <c r="G16" s="32" t="str" cm="1">
        <f t="array" ref="G16">IF('Исходные данные'!$B$91="","",LOOKUP(2,1/(Расчёты!$E$2:$E$194=1),Расчёты!$AK$2:$AK$194))</f>
        <v/>
      </c>
      <c r="H16" s="3" t="s">
        <v>11</v>
      </c>
      <c r="K16" s="3" t="s">
        <v>295</v>
      </c>
      <c r="L16" s="33" t="str">
        <f>IF('Исходные данные'!$B$9="","",SUMIFS(Расчёты!$BE$2:$BE$194,Расчёты!$A$2:$A$194,"&gt;=121",Расчёты!$A$2:$A$194,"&lt;=132",Расчёты!$E$2:$E$194,1))</f>
        <v/>
      </c>
      <c r="M16" s="33" t="str">
        <f>IF('Исходные данные'!$B$9="","",SUMIFS(Расчёты!$BA$2:$BA$194,Расчёты!$A$2:$A$194,"&gt;=121",Расчёты!$A$2:$A$194,"&lt;=132",Расчёты!$E$2:$E$194,1))</f>
        <v/>
      </c>
      <c r="N16" s="33" t="str">
        <f>IF('Исходные данные'!$B$9="","",SUMIFS(Расчёты!$Y$2:$Y$194,Расчёты!$A$2:$A$194,"&gt;=121",Расчёты!$A$2:$A$194,"&lt;=132"))</f>
        <v/>
      </c>
    </row>
    <row r="17" spans="1:50" ht="25" customHeight="1" x14ac:dyDescent="0.2">
      <c r="A17" s="22" t="s">
        <v>267</v>
      </c>
      <c r="B17" s="51" t="str">
        <f>'Исходные данные'!$N$23</f>
        <v>ОШИБКА: исправьте контрольные проверки</v>
      </c>
      <c r="F17" s="22" t="s">
        <v>281</v>
      </c>
      <c r="G17" s="51" t="str">
        <f>IF('Исходные данные'!$B$22="","",IF('Исходные данные'!$B$22="Нет","Кредит не используется",IF(G16&gt;0.01,"ПРЕДУПРЕЖДЕНИЕ: долг остаётся при продаже","Кредит погашен в пределах модели")))</f>
        <v/>
      </c>
      <c r="K17" s="3" t="s">
        <v>296</v>
      </c>
      <c r="L17" s="33" t="str">
        <f>IF('Исходные данные'!$B$9="","",SUMIFS(Расчёты!$BE$2:$BE$194,Расчёты!$A$2:$A$194,"&gt;=133",Расчёты!$A$2:$A$194,"&lt;=144",Расчёты!$E$2:$E$194,1))</f>
        <v/>
      </c>
      <c r="M17" s="33" t="str">
        <f>IF('Исходные данные'!$B$9="","",SUMIFS(Расчёты!$BA$2:$BA$194,Расчёты!$A$2:$A$194,"&gt;=133",Расчёты!$A$2:$A$194,"&lt;=144",Расчёты!$E$2:$E$194,1))</f>
        <v/>
      </c>
      <c r="N17" s="33" t="str">
        <f>IF('Исходные данные'!$B$9="","",SUMIFS(Расчёты!$Y$2:$Y$194,Расчёты!$A$2:$A$194,"&gt;=133",Расчёты!$A$2:$A$194,"&lt;=144"))</f>
        <v/>
      </c>
    </row>
    <row r="18" spans="1:50" ht="25" customHeight="1" x14ac:dyDescent="0.2">
      <c r="K18" s="3" t="s">
        <v>297</v>
      </c>
      <c r="L18" s="33" t="str">
        <f>IF('Исходные данные'!$B$9="","",SUMIFS(Расчёты!$BE$2:$BE$194,Расчёты!$A$2:$A$194,"&gt;=145",Расчёты!$A$2:$A$194,"&lt;=156",Расчёты!$E$2:$E$194,1))</f>
        <v/>
      </c>
      <c r="M18" s="33" t="str">
        <f>IF('Исходные данные'!$B$9="","",SUMIFS(Расчёты!$BA$2:$BA$194,Расчёты!$A$2:$A$194,"&gt;=145",Расчёты!$A$2:$A$194,"&lt;=156",Расчёты!$E$2:$E$194,1))</f>
        <v/>
      </c>
      <c r="N18" s="33" t="str">
        <f>IF('Исходные данные'!$B$9="","",SUMIFS(Расчёты!$Y$2:$Y$194,Расчёты!$A$2:$A$194,"&gt;=145",Расчёты!$A$2:$A$194,"&lt;=156"))</f>
        <v/>
      </c>
    </row>
    <row r="19" spans="1:50" ht="25" customHeight="1" x14ac:dyDescent="0.2">
      <c r="A19" s="105" t="s">
        <v>641</v>
      </c>
      <c r="B19" s="106"/>
      <c r="C19" s="106"/>
      <c r="D19" s="106"/>
      <c r="E19" s="106"/>
      <c r="F19" s="106"/>
      <c r="G19" s="106"/>
      <c r="H19" s="106"/>
      <c r="I19" s="106"/>
      <c r="K19" s="3" t="s">
        <v>298</v>
      </c>
      <c r="L19" s="33" t="str">
        <f>IF('Исходные данные'!$B$9="","",SUMIFS(Расчёты!$BE$2:$BE$194,Расчёты!$A$2:$A$194,"&gt;=157",Расчёты!$A$2:$A$194,"&lt;=168",Расчёты!$E$2:$E$194,1))</f>
        <v/>
      </c>
      <c r="M19" s="33" t="str">
        <f>IF('Исходные данные'!$B$9="","",SUMIFS(Расчёты!$BA$2:$BA$194,Расчёты!$A$2:$A$194,"&gt;=157",Расчёты!$A$2:$A$194,"&lt;=168",Расчёты!$E$2:$E$194,1))</f>
        <v/>
      </c>
      <c r="N19" s="33" t="str">
        <f>IF('Исходные данные'!$B$9="","",SUMIFS(Расчёты!$Y$2:$Y$194,Расчёты!$A$2:$A$194,"&gt;=157",Расчёты!$A$2:$A$194,"&lt;=168"))</f>
        <v/>
      </c>
    </row>
    <row r="20" spans="1:50" ht="25" customHeight="1" x14ac:dyDescent="0.2">
      <c r="A20" s="106"/>
      <c r="B20" s="106"/>
      <c r="C20" s="106"/>
      <c r="D20" s="106"/>
      <c r="E20" s="106"/>
      <c r="F20" s="106"/>
      <c r="G20" s="106"/>
      <c r="H20" s="106"/>
      <c r="I20" s="106"/>
      <c r="K20" s="3" t="s">
        <v>299</v>
      </c>
      <c r="L20" s="33" t="str">
        <f>IF('Исходные данные'!$B$9="","",SUMIFS(Расчёты!$BE$2:$BE$194,Расчёты!$A$2:$A$194,"&gt;=169",Расчёты!$A$2:$A$194,"&lt;=180",Расчёты!$E$2:$E$194,1))</f>
        <v/>
      </c>
      <c r="M20" s="33" t="str">
        <f>IF('Исходные данные'!$B$9="","",SUMIFS(Расчёты!$BA$2:$BA$194,Расчёты!$A$2:$A$194,"&gt;=169",Расчёты!$A$2:$A$194,"&lt;=180",Расчёты!$E$2:$E$194,1))</f>
        <v/>
      </c>
      <c r="N20" s="33" t="str">
        <f>IF('Исходные данные'!$B$9="","",SUMIFS(Расчёты!$Y$2:$Y$194,Расчёты!$A$2:$A$194,"&gt;=169",Расчёты!$A$2:$A$194,"&lt;=180"))</f>
        <v/>
      </c>
    </row>
    <row r="21" spans="1:50" ht="25" customHeight="1" x14ac:dyDescent="0.2"/>
    <row r="22" spans="1:50" ht="25" customHeight="1" x14ac:dyDescent="0.2">
      <c r="A22" s="104" t="s">
        <v>300</v>
      </c>
      <c r="B22" s="104"/>
      <c r="C22" s="104" t="s">
        <v>301</v>
      </c>
      <c r="D22" s="104"/>
      <c r="E22" s="104"/>
      <c r="F22" s="104"/>
      <c r="G22" s="104" t="s">
        <v>302</v>
      </c>
      <c r="H22" s="104"/>
      <c r="I22" s="104"/>
      <c r="J22" s="104"/>
      <c r="K22" s="104"/>
      <c r="L22" s="104" t="s">
        <v>303</v>
      </c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 t="s">
        <v>304</v>
      </c>
      <c r="Z22" s="104"/>
      <c r="AA22" s="104"/>
      <c r="AB22" s="104" t="s">
        <v>305</v>
      </c>
      <c r="AC22" s="104"/>
      <c r="AD22" s="104"/>
      <c r="AE22" s="104"/>
      <c r="AF22" s="104" t="s">
        <v>306</v>
      </c>
      <c r="AG22" s="104"/>
      <c r="AH22" s="104"/>
      <c r="AI22" s="104"/>
      <c r="AJ22" s="104"/>
      <c r="AK22" s="104"/>
    </row>
    <row r="23" spans="1:50" ht="42" customHeight="1" x14ac:dyDescent="0.2">
      <c r="A23" s="23" t="s">
        <v>195</v>
      </c>
      <c r="B23" s="23" t="s">
        <v>201</v>
      </c>
      <c r="C23" s="23" t="s">
        <v>219</v>
      </c>
      <c r="D23" s="23" t="s">
        <v>220</v>
      </c>
      <c r="E23" s="23" t="s">
        <v>642</v>
      </c>
      <c r="F23" s="23" t="s">
        <v>307</v>
      </c>
      <c r="G23" s="23" t="s">
        <v>222</v>
      </c>
      <c r="H23" s="23" t="s">
        <v>227</v>
      </c>
      <c r="I23" s="23" t="s">
        <v>225</v>
      </c>
      <c r="J23" s="23" t="s">
        <v>308</v>
      </c>
      <c r="K23" s="23" t="s">
        <v>309</v>
      </c>
      <c r="L23" s="23" t="s">
        <v>206</v>
      </c>
      <c r="M23" s="23" t="s">
        <v>98</v>
      </c>
      <c r="N23" s="23" t="s">
        <v>310</v>
      </c>
      <c r="O23" s="23" t="s">
        <v>208</v>
      </c>
      <c r="P23" s="23" t="s">
        <v>209</v>
      </c>
      <c r="Q23" s="23" t="s">
        <v>210</v>
      </c>
      <c r="R23" s="23" t="s">
        <v>311</v>
      </c>
      <c r="S23" s="23" t="s">
        <v>212</v>
      </c>
      <c r="T23" s="23" t="s">
        <v>312</v>
      </c>
      <c r="U23" s="23" t="s">
        <v>215</v>
      </c>
      <c r="V23" s="23" t="s">
        <v>217</v>
      </c>
      <c r="W23" s="23" t="s">
        <v>167</v>
      </c>
      <c r="X23" s="23" t="s">
        <v>218</v>
      </c>
      <c r="Y23" s="23" t="s">
        <v>230</v>
      </c>
      <c r="Z23" s="23" t="s">
        <v>234</v>
      </c>
      <c r="AA23" s="23" t="s">
        <v>237</v>
      </c>
      <c r="AB23" s="23" t="s">
        <v>240</v>
      </c>
      <c r="AC23" s="23" t="s">
        <v>313</v>
      </c>
      <c r="AD23" s="23" t="s">
        <v>242</v>
      </c>
      <c r="AE23" s="23" t="s">
        <v>314</v>
      </c>
      <c r="AF23" s="23" t="s">
        <v>284</v>
      </c>
      <c r="AG23" s="23" t="s">
        <v>246</v>
      </c>
      <c r="AH23" s="23" t="s">
        <v>247</v>
      </c>
      <c r="AI23" s="23" t="s">
        <v>239</v>
      </c>
      <c r="AJ23" s="23" t="s">
        <v>250</v>
      </c>
      <c r="AK23" s="23" t="s">
        <v>251</v>
      </c>
      <c r="AM23" t="s">
        <v>195</v>
      </c>
      <c r="AN23" t="s">
        <v>315</v>
      </c>
      <c r="AP23" t="s">
        <v>195</v>
      </c>
      <c r="AQ23" t="s">
        <v>246</v>
      </c>
      <c r="AS23" t="s">
        <v>316</v>
      </c>
      <c r="AT23" t="s">
        <v>317</v>
      </c>
      <c r="AV23" t="s">
        <v>195</v>
      </c>
      <c r="AW23" t="s">
        <v>239</v>
      </c>
      <c r="AX23" t="s">
        <v>309</v>
      </c>
    </row>
    <row r="24" spans="1:50" x14ac:dyDescent="0.2">
      <c r="A24" s="18" t="str">
        <f>IF(Расчёты!$E2=1,Расчёты!$B2,"")</f>
        <v/>
      </c>
      <c r="B24" s="34" t="str">
        <f>IF(Расчёты!$E2=1,Расчёты!$D2,"")</f>
        <v/>
      </c>
      <c r="C24" s="33" t="str">
        <f>IF(Расчёты!$E2=1,Расчёты!$Z2,"")</f>
        <v/>
      </c>
      <c r="D24" s="33" t="str">
        <f>IF(Расчёты!$E2=1,Расчёты!$AA2,"")</f>
        <v/>
      </c>
      <c r="E24" s="33" t="str">
        <f>IF(Расчёты!$E2=1,Расчёты!$AB2,"")</f>
        <v/>
      </c>
      <c r="F24" s="33" t="str">
        <f>IF(Расчёты!$E2=1,Расчёты!$AC2,"")</f>
        <v/>
      </c>
      <c r="G24" s="33" t="str">
        <f>IF(Расчёты!$E2=1,Расчёты!$AD2,"")</f>
        <v/>
      </c>
      <c r="H24" s="33" t="str">
        <f>IF(Расчёты!$E2=1,Расчёты!$AI2,"")</f>
        <v/>
      </c>
      <c r="I24" s="33" t="str">
        <f>IF(Расчёты!$E2=1,Расчёты!$AG2,"")</f>
        <v/>
      </c>
      <c r="J24" s="33" t="str">
        <f>IF(Расчёты!$E2=1,Расчёты!$AJ2,"")</f>
        <v/>
      </c>
      <c r="K24" s="33" t="str">
        <f>IF(Расчёты!$E2=1,Расчёты!$AK2,"")</f>
        <v/>
      </c>
      <c r="L24" s="33" t="str">
        <f>IF(Расчёты!$E2=1,Расчёты!$I2,"")</f>
        <v/>
      </c>
      <c r="M24" s="33" t="str">
        <f>IF(Расчёты!$E2=1,Расчёты!$J2,"")</f>
        <v/>
      </c>
      <c r="N24" s="33" t="str">
        <f>IF(Расчёты!$E2=1,Расчёты!$K2,"")</f>
        <v/>
      </c>
      <c r="O24" s="33" t="str">
        <f>IF(Расчёты!$E2=1,Расчёты!$L2,"")</f>
        <v/>
      </c>
      <c r="P24" s="33" t="str">
        <f>IF(Расчёты!$E2=1,Расчёты!$M2,"")</f>
        <v/>
      </c>
      <c r="Q24" s="33" t="str">
        <f>IF(Расчёты!$E2=1,Расчёты!$N2,"")</f>
        <v/>
      </c>
      <c r="R24" s="33" t="str">
        <f>IF(Расчёты!$E2=1,Расчёты!$O2,"")</f>
        <v/>
      </c>
      <c r="S24" s="33" t="str">
        <f>IF(Расчёты!$E2=1,Расчёты!$Q2,"")</f>
        <v/>
      </c>
      <c r="T24" s="33" t="str">
        <f>IF(Расчёты!$E2=1,Расчёты!$S2,"")</f>
        <v/>
      </c>
      <c r="U24" s="33" t="str">
        <f>IF(Расчёты!$E2=1,Расчёты!$U2,"")</f>
        <v/>
      </c>
      <c r="V24" s="33" t="str">
        <f>IF(Расчёты!$E2=1,Расчёты!$W2,"")</f>
        <v/>
      </c>
      <c r="W24" s="33" t="str">
        <f>IF(Расчёты!$E2=1,Расчёты!$X2,"")</f>
        <v/>
      </c>
      <c r="X24" s="33" t="str">
        <f>IF(Расчёты!$E2=1,Расчёты!$Y2,"")</f>
        <v/>
      </c>
      <c r="Y24" s="33" t="str">
        <f>IF(Расчёты!$E2=1,Расчёты!$AL2,"")</f>
        <v/>
      </c>
      <c r="Z24" s="33" t="str">
        <f>IF(Расчёты!$E2=1,Расчёты!$AP2,"")</f>
        <v/>
      </c>
      <c r="AA24" s="33" t="str">
        <f>IF(Расчёты!$E2=1,Расчёты!$AS2,"")</f>
        <v/>
      </c>
      <c r="AB24" s="33" t="str">
        <f>IF(Расчёты!$E2=1,Расчёты!$AV2,"")</f>
        <v/>
      </c>
      <c r="AC24" s="33" t="str">
        <f>IF(Расчёты!$E2=1,Расчёты!$AW2,"")</f>
        <v/>
      </c>
      <c r="AD24" s="33" t="str">
        <f>IF(Расчёты!$E2=1,Расчёты!$AX2,"")</f>
        <v/>
      </c>
      <c r="AE24" s="33" t="str">
        <f>IF(Расчёты!$E2=1,Расчёты!$AY2,"")</f>
        <v/>
      </c>
      <c r="AF24" s="33" t="str">
        <f>IF(Расчёты!$E2=1,Расчёты!$BA2,"")</f>
        <v/>
      </c>
      <c r="AG24" s="33" t="str">
        <f>IF(Расчёты!$E2=1,Расчёты!$BB2,"")</f>
        <v/>
      </c>
      <c r="AH24" s="33" t="str">
        <f>IF(Расчёты!$E2=1,Расчёты!$BC2,"")</f>
        <v/>
      </c>
      <c r="AI24" s="33" t="str">
        <f>IF(Расчёты!$E2=1,Расчёты!$AU2,"")</f>
        <v/>
      </c>
      <c r="AJ24" s="33" t="str">
        <f>IF(Расчёты!$E2=1,Расчёты!$BF2,"")</f>
        <v/>
      </c>
      <c r="AK24" s="33" t="str">
        <f>IF(Расчёты!$E2=1,Расчёты!$BG2,"")</f>
        <v/>
      </c>
      <c r="AM24" s="17" t="str">
        <f t="shared" ref="AM24:AM55" si="0">A24</f>
        <v/>
      </c>
      <c r="AN24" s="35" t="str">
        <f t="shared" ref="AN24:AN55" si="1">AF24</f>
        <v/>
      </c>
      <c r="AP24" s="17" t="str">
        <f t="shared" ref="AP24:AP55" si="2">A24</f>
        <v/>
      </c>
      <c r="AQ24" s="35" t="str">
        <f t="shared" ref="AQ24:AQ55" si="3">AG24</f>
        <v/>
      </c>
      <c r="AS24" t="s">
        <v>269</v>
      </c>
      <c r="AT24" s="35" t="str">
        <f>G6</f>
        <v/>
      </c>
      <c r="AV24" s="17" t="str">
        <f t="shared" ref="AV24:AV55" si="4">A24</f>
        <v/>
      </c>
      <c r="AW24" s="35" t="str">
        <f t="shared" ref="AW24:AW55" si="5">AI24</f>
        <v/>
      </c>
      <c r="AX24" s="35" t="str">
        <f t="shared" ref="AX24:AX55" si="6">K24</f>
        <v/>
      </c>
    </row>
    <row r="25" spans="1:50" x14ac:dyDescent="0.2">
      <c r="A25" s="18" t="str">
        <f>IF(Расчёты!$E3=1,Расчёты!$B3,"")</f>
        <v/>
      </c>
      <c r="B25" s="34" t="str">
        <f>IF(Расчёты!$E3=1,Расчёты!$D3,"")</f>
        <v/>
      </c>
      <c r="C25" s="33" t="str">
        <f>IF(Расчёты!$E3=1,Расчёты!$Z3,"")</f>
        <v/>
      </c>
      <c r="D25" s="33" t="str">
        <f>IF(Расчёты!$E3=1,Расчёты!$AA3,"")</f>
        <v/>
      </c>
      <c r="E25" s="33" t="str">
        <f>IF(Расчёты!$E3=1,Расчёты!$AB3,"")</f>
        <v/>
      </c>
      <c r="F25" s="33" t="str">
        <f>IF(Расчёты!$E3=1,Расчёты!$AC3,"")</f>
        <v/>
      </c>
      <c r="G25" s="33" t="str">
        <f>IF(Расчёты!$E3=1,Расчёты!$AD3,"")</f>
        <v/>
      </c>
      <c r="H25" s="33" t="str">
        <f>IF(Расчёты!$E3=1,Расчёты!$AI3,"")</f>
        <v/>
      </c>
      <c r="I25" s="33" t="str">
        <f>IF(Расчёты!$E3=1,Расчёты!$AG3,"")</f>
        <v/>
      </c>
      <c r="J25" s="33" t="str">
        <f>IF(Расчёты!$E3=1,Расчёты!$AJ3,"")</f>
        <v/>
      </c>
      <c r="K25" s="33" t="str">
        <f>IF(Расчёты!$E3=1,Расчёты!$AK3,"")</f>
        <v/>
      </c>
      <c r="L25" s="33" t="str">
        <f>IF(Расчёты!$E3=1,Расчёты!$I3,"")</f>
        <v/>
      </c>
      <c r="M25" s="33" t="str">
        <f>IF(Расчёты!$E3=1,Расчёты!$J3,"")</f>
        <v/>
      </c>
      <c r="N25" s="33" t="str">
        <f>IF(Расчёты!$E3=1,Расчёты!$K3,"")</f>
        <v/>
      </c>
      <c r="O25" s="33" t="str">
        <f>IF(Расчёты!$E3=1,Расчёты!$L3,"")</f>
        <v/>
      </c>
      <c r="P25" s="33" t="str">
        <f>IF(Расчёты!$E3=1,Расчёты!$M3,"")</f>
        <v/>
      </c>
      <c r="Q25" s="33" t="str">
        <f>IF(Расчёты!$E3=1,Расчёты!$N3,"")</f>
        <v/>
      </c>
      <c r="R25" s="33" t="str">
        <f>IF(Расчёты!$E3=1,Расчёты!$O3,"")</f>
        <v/>
      </c>
      <c r="S25" s="33" t="str">
        <f>IF(Расчёты!$E3=1,Расчёты!$Q3,"")</f>
        <v/>
      </c>
      <c r="T25" s="33" t="str">
        <f>IF(Расчёты!$E3=1,Расчёты!$S3,"")</f>
        <v/>
      </c>
      <c r="U25" s="33" t="str">
        <f>IF(Расчёты!$E3=1,Расчёты!$U3,"")</f>
        <v/>
      </c>
      <c r="V25" s="33" t="str">
        <f>IF(Расчёты!$E3=1,Расчёты!$W3,"")</f>
        <v/>
      </c>
      <c r="W25" s="33" t="str">
        <f>IF(Расчёты!$E3=1,Расчёты!$X3,"")</f>
        <v/>
      </c>
      <c r="X25" s="33" t="str">
        <f>IF(Расчёты!$E3=1,Расчёты!$Y3,"")</f>
        <v/>
      </c>
      <c r="Y25" s="33" t="str">
        <f>IF(Расчёты!$E3=1,Расчёты!$AL3,"")</f>
        <v/>
      </c>
      <c r="Z25" s="33" t="str">
        <f>IF(Расчёты!$E3=1,Расчёты!$AP3,"")</f>
        <v/>
      </c>
      <c r="AA25" s="33" t="str">
        <f>IF(Расчёты!$E3=1,Расчёты!$AS3,"")</f>
        <v/>
      </c>
      <c r="AB25" s="33" t="str">
        <f>IF(Расчёты!$E3=1,Расчёты!$AV3,"")</f>
        <v/>
      </c>
      <c r="AC25" s="33" t="str">
        <f>IF(Расчёты!$E3=1,Расчёты!$AW3,"")</f>
        <v/>
      </c>
      <c r="AD25" s="33" t="str">
        <f>IF(Расчёты!$E3=1,Расчёты!$AX3,"")</f>
        <v/>
      </c>
      <c r="AE25" s="33" t="str">
        <f>IF(Расчёты!$E3=1,Расчёты!$AY3,"")</f>
        <v/>
      </c>
      <c r="AF25" s="33" t="str">
        <f>IF(Расчёты!$E3=1,Расчёты!$BA3,"")</f>
        <v/>
      </c>
      <c r="AG25" s="33" t="str">
        <f>IF(Расчёты!$E3=1,Расчёты!$BB3,"")</f>
        <v/>
      </c>
      <c r="AH25" s="33" t="str">
        <f>IF(Расчёты!$E3=1,Расчёты!$BC3,"")</f>
        <v/>
      </c>
      <c r="AI25" s="33" t="str">
        <f>IF(Расчёты!$E3=1,Расчёты!$AU3,"")</f>
        <v/>
      </c>
      <c r="AJ25" s="33" t="str">
        <f>IF(Расчёты!$E3=1,Расчёты!$BF3,"")</f>
        <v/>
      </c>
      <c r="AK25" s="33" t="str">
        <f>IF(Расчёты!$E3=1,Расчёты!$BG3,"")</f>
        <v/>
      </c>
      <c r="AM25" s="17" t="str">
        <f t="shared" si="0"/>
        <v/>
      </c>
      <c r="AN25" s="35" t="str">
        <f t="shared" si="1"/>
        <v/>
      </c>
      <c r="AP25" s="17" t="str">
        <f t="shared" si="2"/>
        <v/>
      </c>
      <c r="AQ25" s="35" t="str">
        <f t="shared" si="3"/>
        <v/>
      </c>
      <c r="AS25" t="s">
        <v>270</v>
      </c>
      <c r="AT25" s="35" t="str">
        <f>G7</f>
        <v/>
      </c>
      <c r="AV25" s="17" t="str">
        <f t="shared" si="4"/>
        <v/>
      </c>
      <c r="AW25" s="35" t="str">
        <f t="shared" si="5"/>
        <v/>
      </c>
      <c r="AX25" s="35" t="str">
        <f t="shared" si="6"/>
        <v/>
      </c>
    </row>
    <row r="26" spans="1:50" x14ac:dyDescent="0.2">
      <c r="A26" s="18" t="str">
        <f>IF(Расчёты!$E4=1,Расчёты!$B4,"")</f>
        <v/>
      </c>
      <c r="B26" s="34" t="str">
        <f>IF(Расчёты!$E4=1,Расчёты!$D4,"")</f>
        <v/>
      </c>
      <c r="C26" s="33" t="str">
        <f>IF(Расчёты!$E4=1,Расчёты!$Z4,"")</f>
        <v/>
      </c>
      <c r="D26" s="33" t="str">
        <f>IF(Расчёты!$E4=1,Расчёты!$AA4,"")</f>
        <v/>
      </c>
      <c r="E26" s="33" t="str">
        <f>IF(Расчёты!$E4=1,Расчёты!$AB4,"")</f>
        <v/>
      </c>
      <c r="F26" s="33" t="str">
        <f>IF(Расчёты!$E4=1,Расчёты!$AC4,"")</f>
        <v/>
      </c>
      <c r="G26" s="33" t="str">
        <f>IF(Расчёты!$E4=1,Расчёты!$AD4,"")</f>
        <v/>
      </c>
      <c r="H26" s="33" t="str">
        <f>IF(Расчёты!$E4=1,Расчёты!$AI4,"")</f>
        <v/>
      </c>
      <c r="I26" s="33" t="str">
        <f>IF(Расчёты!$E4=1,Расчёты!$AG4,"")</f>
        <v/>
      </c>
      <c r="J26" s="33" t="str">
        <f>IF(Расчёты!$E4=1,Расчёты!$AJ4,"")</f>
        <v/>
      </c>
      <c r="K26" s="33" t="str">
        <f>IF(Расчёты!$E4=1,Расчёты!$AK4,"")</f>
        <v/>
      </c>
      <c r="L26" s="33" t="str">
        <f>IF(Расчёты!$E4=1,Расчёты!$I4,"")</f>
        <v/>
      </c>
      <c r="M26" s="33" t="str">
        <f>IF(Расчёты!$E4=1,Расчёты!$J4,"")</f>
        <v/>
      </c>
      <c r="N26" s="33" t="str">
        <f>IF(Расчёты!$E4=1,Расчёты!$K4,"")</f>
        <v/>
      </c>
      <c r="O26" s="33" t="str">
        <f>IF(Расчёты!$E4=1,Расчёты!$L4,"")</f>
        <v/>
      </c>
      <c r="P26" s="33" t="str">
        <f>IF(Расчёты!$E4=1,Расчёты!$M4,"")</f>
        <v/>
      </c>
      <c r="Q26" s="33" t="str">
        <f>IF(Расчёты!$E4=1,Расчёты!$N4,"")</f>
        <v/>
      </c>
      <c r="R26" s="33" t="str">
        <f>IF(Расчёты!$E4=1,Расчёты!$O4,"")</f>
        <v/>
      </c>
      <c r="S26" s="33" t="str">
        <f>IF(Расчёты!$E4=1,Расчёты!$Q4,"")</f>
        <v/>
      </c>
      <c r="T26" s="33" t="str">
        <f>IF(Расчёты!$E4=1,Расчёты!$S4,"")</f>
        <v/>
      </c>
      <c r="U26" s="33" t="str">
        <f>IF(Расчёты!$E4=1,Расчёты!$U4,"")</f>
        <v/>
      </c>
      <c r="V26" s="33" t="str">
        <f>IF(Расчёты!$E4=1,Расчёты!$W4,"")</f>
        <v/>
      </c>
      <c r="W26" s="33" t="str">
        <f>IF(Расчёты!$E4=1,Расчёты!$X4,"")</f>
        <v/>
      </c>
      <c r="X26" s="33" t="str">
        <f>IF(Расчёты!$E4=1,Расчёты!$Y4,"")</f>
        <v/>
      </c>
      <c r="Y26" s="33" t="str">
        <f>IF(Расчёты!$E4=1,Расчёты!$AL4,"")</f>
        <v/>
      </c>
      <c r="Z26" s="33" t="str">
        <f>IF(Расчёты!$E4=1,Расчёты!$AP4,"")</f>
        <v/>
      </c>
      <c r="AA26" s="33" t="str">
        <f>IF(Расчёты!$E4=1,Расчёты!$AS4,"")</f>
        <v/>
      </c>
      <c r="AB26" s="33" t="str">
        <f>IF(Расчёты!$E4=1,Расчёты!$AV4,"")</f>
        <v/>
      </c>
      <c r="AC26" s="33" t="str">
        <f>IF(Расчёты!$E4=1,Расчёты!$AW4,"")</f>
        <v/>
      </c>
      <c r="AD26" s="33" t="str">
        <f>IF(Расчёты!$E4=1,Расчёты!$AX4,"")</f>
        <v/>
      </c>
      <c r="AE26" s="33" t="str">
        <f>IF(Расчёты!$E4=1,Расчёты!$AY4,"")</f>
        <v/>
      </c>
      <c r="AF26" s="33" t="str">
        <f>IF(Расчёты!$E4=1,Расчёты!$BA4,"")</f>
        <v/>
      </c>
      <c r="AG26" s="33" t="str">
        <f>IF(Расчёты!$E4=1,Расчёты!$BB4,"")</f>
        <v/>
      </c>
      <c r="AH26" s="33" t="str">
        <f>IF(Расчёты!$E4=1,Расчёты!$BC4,"")</f>
        <v/>
      </c>
      <c r="AI26" s="33" t="str">
        <f>IF(Расчёты!$E4=1,Расчёты!$AU4,"")</f>
        <v/>
      </c>
      <c r="AJ26" s="33" t="str">
        <f>IF(Расчёты!$E4=1,Расчёты!$BF4,"")</f>
        <v/>
      </c>
      <c r="AK26" s="33" t="str">
        <f>IF(Расчёты!$E4=1,Расчёты!$BG4,"")</f>
        <v/>
      </c>
      <c r="AM26" s="17" t="str">
        <f t="shared" si="0"/>
        <v/>
      </c>
      <c r="AN26" s="35" t="str">
        <f t="shared" si="1"/>
        <v/>
      </c>
      <c r="AP26" s="17" t="str">
        <f t="shared" si="2"/>
        <v/>
      </c>
      <c r="AQ26" s="35" t="str">
        <f t="shared" si="3"/>
        <v/>
      </c>
      <c r="AV26" s="17" t="str">
        <f t="shared" si="4"/>
        <v/>
      </c>
      <c r="AW26" s="35" t="str">
        <f t="shared" si="5"/>
        <v/>
      </c>
      <c r="AX26" s="35" t="str">
        <f t="shared" si="6"/>
        <v/>
      </c>
    </row>
    <row r="27" spans="1:50" x14ac:dyDescent="0.2">
      <c r="A27" s="18" t="str">
        <f>IF(Расчёты!$E5=1,Расчёты!$B5,"")</f>
        <v/>
      </c>
      <c r="B27" s="34" t="str">
        <f>IF(Расчёты!$E5=1,Расчёты!$D5,"")</f>
        <v/>
      </c>
      <c r="C27" s="33" t="str">
        <f>IF(Расчёты!$E5=1,Расчёты!$Z5,"")</f>
        <v/>
      </c>
      <c r="D27" s="33" t="str">
        <f>IF(Расчёты!$E5=1,Расчёты!$AA5,"")</f>
        <v/>
      </c>
      <c r="E27" s="33" t="str">
        <f>IF(Расчёты!$E5=1,Расчёты!$AB5,"")</f>
        <v/>
      </c>
      <c r="F27" s="33" t="str">
        <f>IF(Расчёты!$E5=1,Расчёты!$AC5,"")</f>
        <v/>
      </c>
      <c r="G27" s="33" t="str">
        <f>IF(Расчёты!$E5=1,Расчёты!$AD5,"")</f>
        <v/>
      </c>
      <c r="H27" s="33" t="str">
        <f>IF(Расчёты!$E5=1,Расчёты!$AI5,"")</f>
        <v/>
      </c>
      <c r="I27" s="33" t="str">
        <f>IF(Расчёты!$E5=1,Расчёты!$AG5,"")</f>
        <v/>
      </c>
      <c r="J27" s="33" t="str">
        <f>IF(Расчёты!$E5=1,Расчёты!$AJ5,"")</f>
        <v/>
      </c>
      <c r="K27" s="33" t="str">
        <f>IF(Расчёты!$E5=1,Расчёты!$AK5,"")</f>
        <v/>
      </c>
      <c r="L27" s="33" t="str">
        <f>IF(Расчёты!$E5=1,Расчёты!$I5,"")</f>
        <v/>
      </c>
      <c r="M27" s="33" t="str">
        <f>IF(Расчёты!$E5=1,Расчёты!$J5,"")</f>
        <v/>
      </c>
      <c r="N27" s="33" t="str">
        <f>IF(Расчёты!$E5=1,Расчёты!$K5,"")</f>
        <v/>
      </c>
      <c r="O27" s="33" t="str">
        <f>IF(Расчёты!$E5=1,Расчёты!$L5,"")</f>
        <v/>
      </c>
      <c r="P27" s="33" t="str">
        <f>IF(Расчёты!$E5=1,Расчёты!$M5,"")</f>
        <v/>
      </c>
      <c r="Q27" s="33" t="str">
        <f>IF(Расчёты!$E5=1,Расчёты!$N5,"")</f>
        <v/>
      </c>
      <c r="R27" s="33" t="str">
        <f>IF(Расчёты!$E5=1,Расчёты!$O5,"")</f>
        <v/>
      </c>
      <c r="S27" s="33" t="str">
        <f>IF(Расчёты!$E5=1,Расчёты!$Q5,"")</f>
        <v/>
      </c>
      <c r="T27" s="33" t="str">
        <f>IF(Расчёты!$E5=1,Расчёты!$S5,"")</f>
        <v/>
      </c>
      <c r="U27" s="33" t="str">
        <f>IF(Расчёты!$E5=1,Расчёты!$U5,"")</f>
        <v/>
      </c>
      <c r="V27" s="33" t="str">
        <f>IF(Расчёты!$E5=1,Расчёты!$W5,"")</f>
        <v/>
      </c>
      <c r="W27" s="33" t="str">
        <f>IF(Расчёты!$E5=1,Расчёты!$X5,"")</f>
        <v/>
      </c>
      <c r="X27" s="33" t="str">
        <f>IF(Расчёты!$E5=1,Расчёты!$Y5,"")</f>
        <v/>
      </c>
      <c r="Y27" s="33" t="str">
        <f>IF(Расчёты!$E5=1,Расчёты!$AL5,"")</f>
        <v/>
      </c>
      <c r="Z27" s="33" t="str">
        <f>IF(Расчёты!$E5=1,Расчёты!$AP5,"")</f>
        <v/>
      </c>
      <c r="AA27" s="33" t="str">
        <f>IF(Расчёты!$E5=1,Расчёты!$AS5,"")</f>
        <v/>
      </c>
      <c r="AB27" s="33" t="str">
        <f>IF(Расчёты!$E5=1,Расчёты!$AV5,"")</f>
        <v/>
      </c>
      <c r="AC27" s="33" t="str">
        <f>IF(Расчёты!$E5=1,Расчёты!$AW5,"")</f>
        <v/>
      </c>
      <c r="AD27" s="33" t="str">
        <f>IF(Расчёты!$E5=1,Расчёты!$AX5,"")</f>
        <v/>
      </c>
      <c r="AE27" s="33" t="str">
        <f>IF(Расчёты!$E5=1,Расчёты!$AY5,"")</f>
        <v/>
      </c>
      <c r="AF27" s="33" t="str">
        <f>IF(Расчёты!$E5=1,Расчёты!$BA5,"")</f>
        <v/>
      </c>
      <c r="AG27" s="33" t="str">
        <f>IF(Расчёты!$E5=1,Расчёты!$BB5,"")</f>
        <v/>
      </c>
      <c r="AH27" s="33" t="str">
        <f>IF(Расчёты!$E5=1,Расчёты!$BC5,"")</f>
        <v/>
      </c>
      <c r="AI27" s="33" t="str">
        <f>IF(Расчёты!$E5=1,Расчёты!$AU5,"")</f>
        <v/>
      </c>
      <c r="AJ27" s="33" t="str">
        <f>IF(Расчёты!$E5=1,Расчёты!$BF5,"")</f>
        <v/>
      </c>
      <c r="AK27" s="33" t="str">
        <f>IF(Расчёты!$E5=1,Расчёты!$BG5,"")</f>
        <v/>
      </c>
      <c r="AM27" s="17" t="str">
        <f t="shared" si="0"/>
        <v/>
      </c>
      <c r="AN27" s="35" t="str">
        <f t="shared" si="1"/>
        <v/>
      </c>
      <c r="AP27" s="17" t="str">
        <f t="shared" si="2"/>
        <v/>
      </c>
      <c r="AQ27" s="35" t="str">
        <f t="shared" si="3"/>
        <v/>
      </c>
      <c r="AV27" s="17" t="str">
        <f t="shared" si="4"/>
        <v/>
      </c>
      <c r="AW27" s="35" t="str">
        <f t="shared" si="5"/>
        <v/>
      </c>
      <c r="AX27" s="35" t="str">
        <f t="shared" si="6"/>
        <v/>
      </c>
    </row>
    <row r="28" spans="1:50" x14ac:dyDescent="0.2">
      <c r="A28" s="18" t="str">
        <f>IF(Расчёты!$E6=1,Расчёты!$B6,"")</f>
        <v/>
      </c>
      <c r="B28" s="34" t="str">
        <f>IF(Расчёты!$E6=1,Расчёты!$D6,"")</f>
        <v/>
      </c>
      <c r="C28" s="33" t="str">
        <f>IF(Расчёты!$E6=1,Расчёты!$Z6,"")</f>
        <v/>
      </c>
      <c r="D28" s="33" t="str">
        <f>IF(Расчёты!$E6=1,Расчёты!$AA6,"")</f>
        <v/>
      </c>
      <c r="E28" s="33" t="str">
        <f>IF(Расчёты!$E6=1,Расчёты!$AB6,"")</f>
        <v/>
      </c>
      <c r="F28" s="33" t="str">
        <f>IF(Расчёты!$E6=1,Расчёты!$AC6,"")</f>
        <v/>
      </c>
      <c r="G28" s="33" t="str">
        <f>IF(Расчёты!$E6=1,Расчёты!$AD6,"")</f>
        <v/>
      </c>
      <c r="H28" s="33" t="str">
        <f>IF(Расчёты!$E6=1,Расчёты!$AI6,"")</f>
        <v/>
      </c>
      <c r="I28" s="33" t="str">
        <f>IF(Расчёты!$E6=1,Расчёты!$AG6,"")</f>
        <v/>
      </c>
      <c r="J28" s="33" t="str">
        <f>IF(Расчёты!$E6=1,Расчёты!$AJ6,"")</f>
        <v/>
      </c>
      <c r="K28" s="33" t="str">
        <f>IF(Расчёты!$E6=1,Расчёты!$AK6,"")</f>
        <v/>
      </c>
      <c r="L28" s="33" t="str">
        <f>IF(Расчёты!$E6=1,Расчёты!$I6,"")</f>
        <v/>
      </c>
      <c r="M28" s="33" t="str">
        <f>IF(Расчёты!$E6=1,Расчёты!$J6,"")</f>
        <v/>
      </c>
      <c r="N28" s="33" t="str">
        <f>IF(Расчёты!$E6=1,Расчёты!$K6,"")</f>
        <v/>
      </c>
      <c r="O28" s="33" t="str">
        <f>IF(Расчёты!$E6=1,Расчёты!$L6,"")</f>
        <v/>
      </c>
      <c r="P28" s="33" t="str">
        <f>IF(Расчёты!$E6=1,Расчёты!$M6,"")</f>
        <v/>
      </c>
      <c r="Q28" s="33" t="str">
        <f>IF(Расчёты!$E6=1,Расчёты!$N6,"")</f>
        <v/>
      </c>
      <c r="R28" s="33" t="str">
        <f>IF(Расчёты!$E6=1,Расчёты!$O6,"")</f>
        <v/>
      </c>
      <c r="S28" s="33" t="str">
        <f>IF(Расчёты!$E6=1,Расчёты!$Q6,"")</f>
        <v/>
      </c>
      <c r="T28" s="33" t="str">
        <f>IF(Расчёты!$E6=1,Расчёты!$S6,"")</f>
        <v/>
      </c>
      <c r="U28" s="33" t="str">
        <f>IF(Расчёты!$E6=1,Расчёты!$U6,"")</f>
        <v/>
      </c>
      <c r="V28" s="33" t="str">
        <f>IF(Расчёты!$E6=1,Расчёты!$W6,"")</f>
        <v/>
      </c>
      <c r="W28" s="33" t="str">
        <f>IF(Расчёты!$E6=1,Расчёты!$X6,"")</f>
        <v/>
      </c>
      <c r="X28" s="33" t="str">
        <f>IF(Расчёты!$E6=1,Расчёты!$Y6,"")</f>
        <v/>
      </c>
      <c r="Y28" s="33" t="str">
        <f>IF(Расчёты!$E6=1,Расчёты!$AL6,"")</f>
        <v/>
      </c>
      <c r="Z28" s="33" t="str">
        <f>IF(Расчёты!$E6=1,Расчёты!$AP6,"")</f>
        <v/>
      </c>
      <c r="AA28" s="33" t="str">
        <f>IF(Расчёты!$E6=1,Расчёты!$AS6,"")</f>
        <v/>
      </c>
      <c r="AB28" s="33" t="str">
        <f>IF(Расчёты!$E6=1,Расчёты!$AV6,"")</f>
        <v/>
      </c>
      <c r="AC28" s="33" t="str">
        <f>IF(Расчёты!$E6=1,Расчёты!$AW6,"")</f>
        <v/>
      </c>
      <c r="AD28" s="33" t="str">
        <f>IF(Расчёты!$E6=1,Расчёты!$AX6,"")</f>
        <v/>
      </c>
      <c r="AE28" s="33" t="str">
        <f>IF(Расчёты!$E6=1,Расчёты!$AY6,"")</f>
        <v/>
      </c>
      <c r="AF28" s="33" t="str">
        <f>IF(Расчёты!$E6=1,Расчёты!$BA6,"")</f>
        <v/>
      </c>
      <c r="AG28" s="33" t="str">
        <f>IF(Расчёты!$E6=1,Расчёты!$BB6,"")</f>
        <v/>
      </c>
      <c r="AH28" s="33" t="str">
        <f>IF(Расчёты!$E6=1,Расчёты!$BC6,"")</f>
        <v/>
      </c>
      <c r="AI28" s="33" t="str">
        <f>IF(Расчёты!$E6=1,Расчёты!$AU6,"")</f>
        <v/>
      </c>
      <c r="AJ28" s="33" t="str">
        <f>IF(Расчёты!$E6=1,Расчёты!$BF6,"")</f>
        <v/>
      </c>
      <c r="AK28" s="33" t="str">
        <f>IF(Расчёты!$E6=1,Расчёты!$BG6,"")</f>
        <v/>
      </c>
      <c r="AM28" s="17" t="str">
        <f t="shared" si="0"/>
        <v/>
      </c>
      <c r="AN28" s="35" t="str">
        <f t="shared" si="1"/>
        <v/>
      </c>
      <c r="AP28" s="17" t="str">
        <f t="shared" si="2"/>
        <v/>
      </c>
      <c r="AQ28" s="35" t="str">
        <f t="shared" si="3"/>
        <v/>
      </c>
      <c r="AV28" s="17" t="str">
        <f t="shared" si="4"/>
        <v/>
      </c>
      <c r="AW28" s="35" t="str">
        <f t="shared" si="5"/>
        <v/>
      </c>
      <c r="AX28" s="35" t="str">
        <f t="shared" si="6"/>
        <v/>
      </c>
    </row>
    <row r="29" spans="1:50" x14ac:dyDescent="0.2">
      <c r="A29" s="18" t="str">
        <f>IF(Расчёты!$E7=1,Расчёты!$B7,"")</f>
        <v/>
      </c>
      <c r="B29" s="34" t="str">
        <f>IF(Расчёты!$E7=1,Расчёты!$D7,"")</f>
        <v/>
      </c>
      <c r="C29" s="33" t="str">
        <f>IF(Расчёты!$E7=1,Расчёты!$Z7,"")</f>
        <v/>
      </c>
      <c r="D29" s="33" t="str">
        <f>IF(Расчёты!$E7=1,Расчёты!$AA7,"")</f>
        <v/>
      </c>
      <c r="E29" s="33" t="str">
        <f>IF(Расчёты!$E7=1,Расчёты!$AB7,"")</f>
        <v/>
      </c>
      <c r="F29" s="33" t="str">
        <f>IF(Расчёты!$E7=1,Расчёты!$AC7,"")</f>
        <v/>
      </c>
      <c r="G29" s="33" t="str">
        <f>IF(Расчёты!$E7=1,Расчёты!$AD7,"")</f>
        <v/>
      </c>
      <c r="H29" s="33" t="str">
        <f>IF(Расчёты!$E7=1,Расчёты!$AI7,"")</f>
        <v/>
      </c>
      <c r="I29" s="33" t="str">
        <f>IF(Расчёты!$E7=1,Расчёты!$AG7,"")</f>
        <v/>
      </c>
      <c r="J29" s="33" t="str">
        <f>IF(Расчёты!$E7=1,Расчёты!$AJ7,"")</f>
        <v/>
      </c>
      <c r="K29" s="33" t="str">
        <f>IF(Расчёты!$E7=1,Расчёты!$AK7,"")</f>
        <v/>
      </c>
      <c r="L29" s="33" t="str">
        <f>IF(Расчёты!$E7=1,Расчёты!$I7,"")</f>
        <v/>
      </c>
      <c r="M29" s="33" t="str">
        <f>IF(Расчёты!$E7=1,Расчёты!$J7,"")</f>
        <v/>
      </c>
      <c r="N29" s="33" t="str">
        <f>IF(Расчёты!$E7=1,Расчёты!$K7,"")</f>
        <v/>
      </c>
      <c r="O29" s="33" t="str">
        <f>IF(Расчёты!$E7=1,Расчёты!$L7,"")</f>
        <v/>
      </c>
      <c r="P29" s="33" t="str">
        <f>IF(Расчёты!$E7=1,Расчёты!$M7,"")</f>
        <v/>
      </c>
      <c r="Q29" s="33" t="str">
        <f>IF(Расчёты!$E7=1,Расчёты!$N7,"")</f>
        <v/>
      </c>
      <c r="R29" s="33" t="str">
        <f>IF(Расчёты!$E7=1,Расчёты!$O7,"")</f>
        <v/>
      </c>
      <c r="S29" s="33" t="str">
        <f>IF(Расчёты!$E7=1,Расчёты!$Q7,"")</f>
        <v/>
      </c>
      <c r="T29" s="33" t="str">
        <f>IF(Расчёты!$E7=1,Расчёты!$S7,"")</f>
        <v/>
      </c>
      <c r="U29" s="33" t="str">
        <f>IF(Расчёты!$E7=1,Расчёты!$U7,"")</f>
        <v/>
      </c>
      <c r="V29" s="33" t="str">
        <f>IF(Расчёты!$E7=1,Расчёты!$W7,"")</f>
        <v/>
      </c>
      <c r="W29" s="33" t="str">
        <f>IF(Расчёты!$E7=1,Расчёты!$X7,"")</f>
        <v/>
      </c>
      <c r="X29" s="33" t="str">
        <f>IF(Расчёты!$E7=1,Расчёты!$Y7,"")</f>
        <v/>
      </c>
      <c r="Y29" s="33" t="str">
        <f>IF(Расчёты!$E7=1,Расчёты!$AL7,"")</f>
        <v/>
      </c>
      <c r="Z29" s="33" t="str">
        <f>IF(Расчёты!$E7=1,Расчёты!$AP7,"")</f>
        <v/>
      </c>
      <c r="AA29" s="33" t="str">
        <f>IF(Расчёты!$E7=1,Расчёты!$AS7,"")</f>
        <v/>
      </c>
      <c r="AB29" s="33" t="str">
        <f>IF(Расчёты!$E7=1,Расчёты!$AV7,"")</f>
        <v/>
      </c>
      <c r="AC29" s="33" t="str">
        <f>IF(Расчёты!$E7=1,Расчёты!$AW7,"")</f>
        <v/>
      </c>
      <c r="AD29" s="33" t="str">
        <f>IF(Расчёты!$E7=1,Расчёты!$AX7,"")</f>
        <v/>
      </c>
      <c r="AE29" s="33" t="str">
        <f>IF(Расчёты!$E7=1,Расчёты!$AY7,"")</f>
        <v/>
      </c>
      <c r="AF29" s="33" t="str">
        <f>IF(Расчёты!$E7=1,Расчёты!$BA7,"")</f>
        <v/>
      </c>
      <c r="AG29" s="33" t="str">
        <f>IF(Расчёты!$E7=1,Расчёты!$BB7,"")</f>
        <v/>
      </c>
      <c r="AH29" s="33" t="str">
        <f>IF(Расчёты!$E7=1,Расчёты!$BC7,"")</f>
        <v/>
      </c>
      <c r="AI29" s="33" t="str">
        <f>IF(Расчёты!$E7=1,Расчёты!$AU7,"")</f>
        <v/>
      </c>
      <c r="AJ29" s="33" t="str">
        <f>IF(Расчёты!$E7=1,Расчёты!$BF7,"")</f>
        <v/>
      </c>
      <c r="AK29" s="33" t="str">
        <f>IF(Расчёты!$E7=1,Расчёты!$BG7,"")</f>
        <v/>
      </c>
      <c r="AM29" s="17" t="str">
        <f t="shared" si="0"/>
        <v/>
      </c>
      <c r="AN29" s="35" t="str">
        <f t="shared" si="1"/>
        <v/>
      </c>
      <c r="AP29" s="17" t="str">
        <f t="shared" si="2"/>
        <v/>
      </c>
      <c r="AQ29" s="35" t="str">
        <f t="shared" si="3"/>
        <v/>
      </c>
      <c r="AV29" s="17" t="str">
        <f t="shared" si="4"/>
        <v/>
      </c>
      <c r="AW29" s="35" t="str">
        <f t="shared" si="5"/>
        <v/>
      </c>
      <c r="AX29" s="35" t="str">
        <f t="shared" si="6"/>
        <v/>
      </c>
    </row>
    <row r="30" spans="1:50" x14ac:dyDescent="0.2">
      <c r="A30" s="18" t="str">
        <f>IF(Расчёты!$E8=1,Расчёты!$B8,"")</f>
        <v/>
      </c>
      <c r="B30" s="34" t="str">
        <f>IF(Расчёты!$E8=1,Расчёты!$D8,"")</f>
        <v/>
      </c>
      <c r="C30" s="33" t="str">
        <f>IF(Расчёты!$E8=1,Расчёты!$Z8,"")</f>
        <v/>
      </c>
      <c r="D30" s="33" t="str">
        <f>IF(Расчёты!$E8=1,Расчёты!$AA8,"")</f>
        <v/>
      </c>
      <c r="E30" s="33" t="str">
        <f>IF(Расчёты!$E8=1,Расчёты!$AB8,"")</f>
        <v/>
      </c>
      <c r="F30" s="33" t="str">
        <f>IF(Расчёты!$E8=1,Расчёты!$AC8,"")</f>
        <v/>
      </c>
      <c r="G30" s="33" t="str">
        <f>IF(Расчёты!$E8=1,Расчёты!$AD8,"")</f>
        <v/>
      </c>
      <c r="H30" s="33" t="str">
        <f>IF(Расчёты!$E8=1,Расчёты!$AI8,"")</f>
        <v/>
      </c>
      <c r="I30" s="33" t="str">
        <f>IF(Расчёты!$E8=1,Расчёты!$AG8,"")</f>
        <v/>
      </c>
      <c r="J30" s="33" t="str">
        <f>IF(Расчёты!$E8=1,Расчёты!$AJ8,"")</f>
        <v/>
      </c>
      <c r="K30" s="33" t="str">
        <f>IF(Расчёты!$E8=1,Расчёты!$AK8,"")</f>
        <v/>
      </c>
      <c r="L30" s="33" t="str">
        <f>IF(Расчёты!$E8=1,Расчёты!$I8,"")</f>
        <v/>
      </c>
      <c r="M30" s="33" t="str">
        <f>IF(Расчёты!$E8=1,Расчёты!$J8,"")</f>
        <v/>
      </c>
      <c r="N30" s="33" t="str">
        <f>IF(Расчёты!$E8=1,Расчёты!$K8,"")</f>
        <v/>
      </c>
      <c r="O30" s="33" t="str">
        <f>IF(Расчёты!$E8=1,Расчёты!$L8,"")</f>
        <v/>
      </c>
      <c r="P30" s="33" t="str">
        <f>IF(Расчёты!$E8=1,Расчёты!$M8,"")</f>
        <v/>
      </c>
      <c r="Q30" s="33" t="str">
        <f>IF(Расчёты!$E8=1,Расчёты!$N8,"")</f>
        <v/>
      </c>
      <c r="R30" s="33" t="str">
        <f>IF(Расчёты!$E8=1,Расчёты!$O8,"")</f>
        <v/>
      </c>
      <c r="S30" s="33" t="str">
        <f>IF(Расчёты!$E8=1,Расчёты!$Q8,"")</f>
        <v/>
      </c>
      <c r="T30" s="33" t="str">
        <f>IF(Расчёты!$E8=1,Расчёты!$S8,"")</f>
        <v/>
      </c>
      <c r="U30" s="33" t="str">
        <f>IF(Расчёты!$E8=1,Расчёты!$U8,"")</f>
        <v/>
      </c>
      <c r="V30" s="33" t="str">
        <f>IF(Расчёты!$E8=1,Расчёты!$W8,"")</f>
        <v/>
      </c>
      <c r="W30" s="33" t="str">
        <f>IF(Расчёты!$E8=1,Расчёты!$X8,"")</f>
        <v/>
      </c>
      <c r="X30" s="33" t="str">
        <f>IF(Расчёты!$E8=1,Расчёты!$Y8,"")</f>
        <v/>
      </c>
      <c r="Y30" s="33" t="str">
        <f>IF(Расчёты!$E8=1,Расчёты!$AL8,"")</f>
        <v/>
      </c>
      <c r="Z30" s="33" t="str">
        <f>IF(Расчёты!$E8=1,Расчёты!$AP8,"")</f>
        <v/>
      </c>
      <c r="AA30" s="33" t="str">
        <f>IF(Расчёты!$E8=1,Расчёты!$AS8,"")</f>
        <v/>
      </c>
      <c r="AB30" s="33" t="str">
        <f>IF(Расчёты!$E8=1,Расчёты!$AV8,"")</f>
        <v/>
      </c>
      <c r="AC30" s="33" t="str">
        <f>IF(Расчёты!$E8=1,Расчёты!$AW8,"")</f>
        <v/>
      </c>
      <c r="AD30" s="33" t="str">
        <f>IF(Расчёты!$E8=1,Расчёты!$AX8,"")</f>
        <v/>
      </c>
      <c r="AE30" s="33" t="str">
        <f>IF(Расчёты!$E8=1,Расчёты!$AY8,"")</f>
        <v/>
      </c>
      <c r="AF30" s="33" t="str">
        <f>IF(Расчёты!$E8=1,Расчёты!$BA8,"")</f>
        <v/>
      </c>
      <c r="AG30" s="33" t="str">
        <f>IF(Расчёты!$E8=1,Расчёты!$BB8,"")</f>
        <v/>
      </c>
      <c r="AH30" s="33" t="str">
        <f>IF(Расчёты!$E8=1,Расчёты!$BC8,"")</f>
        <v/>
      </c>
      <c r="AI30" s="33" t="str">
        <f>IF(Расчёты!$E8=1,Расчёты!$AU8,"")</f>
        <v/>
      </c>
      <c r="AJ30" s="33" t="str">
        <f>IF(Расчёты!$E8=1,Расчёты!$BF8,"")</f>
        <v/>
      </c>
      <c r="AK30" s="33" t="str">
        <f>IF(Расчёты!$E8=1,Расчёты!$BG8,"")</f>
        <v/>
      </c>
      <c r="AM30" s="17" t="str">
        <f t="shared" si="0"/>
        <v/>
      </c>
      <c r="AN30" s="35" t="str">
        <f t="shared" si="1"/>
        <v/>
      </c>
      <c r="AP30" s="17" t="str">
        <f t="shared" si="2"/>
        <v/>
      </c>
      <c r="AQ30" s="35" t="str">
        <f t="shared" si="3"/>
        <v/>
      </c>
      <c r="AV30" s="17" t="str">
        <f t="shared" si="4"/>
        <v/>
      </c>
      <c r="AW30" s="35" t="str">
        <f t="shared" si="5"/>
        <v/>
      </c>
      <c r="AX30" s="35" t="str">
        <f t="shared" si="6"/>
        <v/>
      </c>
    </row>
    <row r="31" spans="1:50" x14ac:dyDescent="0.2">
      <c r="A31" s="18" t="str">
        <f>IF(Расчёты!$E9=1,Расчёты!$B9,"")</f>
        <v/>
      </c>
      <c r="B31" s="34" t="str">
        <f>IF(Расчёты!$E9=1,Расчёты!$D9,"")</f>
        <v/>
      </c>
      <c r="C31" s="33" t="str">
        <f>IF(Расчёты!$E9=1,Расчёты!$Z9,"")</f>
        <v/>
      </c>
      <c r="D31" s="33" t="str">
        <f>IF(Расчёты!$E9=1,Расчёты!$AA9,"")</f>
        <v/>
      </c>
      <c r="E31" s="33" t="str">
        <f>IF(Расчёты!$E9=1,Расчёты!$AB9,"")</f>
        <v/>
      </c>
      <c r="F31" s="33" t="str">
        <f>IF(Расчёты!$E9=1,Расчёты!$AC9,"")</f>
        <v/>
      </c>
      <c r="G31" s="33" t="str">
        <f>IF(Расчёты!$E9=1,Расчёты!$AD9,"")</f>
        <v/>
      </c>
      <c r="H31" s="33" t="str">
        <f>IF(Расчёты!$E9=1,Расчёты!$AI9,"")</f>
        <v/>
      </c>
      <c r="I31" s="33" t="str">
        <f>IF(Расчёты!$E9=1,Расчёты!$AG9,"")</f>
        <v/>
      </c>
      <c r="J31" s="33" t="str">
        <f>IF(Расчёты!$E9=1,Расчёты!$AJ9,"")</f>
        <v/>
      </c>
      <c r="K31" s="33" t="str">
        <f>IF(Расчёты!$E9=1,Расчёты!$AK9,"")</f>
        <v/>
      </c>
      <c r="L31" s="33" t="str">
        <f>IF(Расчёты!$E9=1,Расчёты!$I9,"")</f>
        <v/>
      </c>
      <c r="M31" s="33" t="str">
        <f>IF(Расчёты!$E9=1,Расчёты!$J9,"")</f>
        <v/>
      </c>
      <c r="N31" s="33" t="str">
        <f>IF(Расчёты!$E9=1,Расчёты!$K9,"")</f>
        <v/>
      </c>
      <c r="O31" s="33" t="str">
        <f>IF(Расчёты!$E9=1,Расчёты!$L9,"")</f>
        <v/>
      </c>
      <c r="P31" s="33" t="str">
        <f>IF(Расчёты!$E9=1,Расчёты!$M9,"")</f>
        <v/>
      </c>
      <c r="Q31" s="33" t="str">
        <f>IF(Расчёты!$E9=1,Расчёты!$N9,"")</f>
        <v/>
      </c>
      <c r="R31" s="33" t="str">
        <f>IF(Расчёты!$E9=1,Расчёты!$O9,"")</f>
        <v/>
      </c>
      <c r="S31" s="33" t="str">
        <f>IF(Расчёты!$E9=1,Расчёты!$Q9,"")</f>
        <v/>
      </c>
      <c r="T31" s="33" t="str">
        <f>IF(Расчёты!$E9=1,Расчёты!$S9,"")</f>
        <v/>
      </c>
      <c r="U31" s="33" t="str">
        <f>IF(Расчёты!$E9=1,Расчёты!$U9,"")</f>
        <v/>
      </c>
      <c r="V31" s="33" t="str">
        <f>IF(Расчёты!$E9=1,Расчёты!$W9,"")</f>
        <v/>
      </c>
      <c r="W31" s="33" t="str">
        <f>IF(Расчёты!$E9=1,Расчёты!$X9,"")</f>
        <v/>
      </c>
      <c r="X31" s="33" t="str">
        <f>IF(Расчёты!$E9=1,Расчёты!$Y9,"")</f>
        <v/>
      </c>
      <c r="Y31" s="33" t="str">
        <f>IF(Расчёты!$E9=1,Расчёты!$AL9,"")</f>
        <v/>
      </c>
      <c r="Z31" s="33" t="str">
        <f>IF(Расчёты!$E9=1,Расчёты!$AP9,"")</f>
        <v/>
      </c>
      <c r="AA31" s="33" t="str">
        <f>IF(Расчёты!$E9=1,Расчёты!$AS9,"")</f>
        <v/>
      </c>
      <c r="AB31" s="33" t="str">
        <f>IF(Расчёты!$E9=1,Расчёты!$AV9,"")</f>
        <v/>
      </c>
      <c r="AC31" s="33" t="str">
        <f>IF(Расчёты!$E9=1,Расчёты!$AW9,"")</f>
        <v/>
      </c>
      <c r="AD31" s="33" t="str">
        <f>IF(Расчёты!$E9=1,Расчёты!$AX9,"")</f>
        <v/>
      </c>
      <c r="AE31" s="33" t="str">
        <f>IF(Расчёты!$E9=1,Расчёты!$AY9,"")</f>
        <v/>
      </c>
      <c r="AF31" s="33" t="str">
        <f>IF(Расчёты!$E9=1,Расчёты!$BA9,"")</f>
        <v/>
      </c>
      <c r="AG31" s="33" t="str">
        <f>IF(Расчёты!$E9=1,Расчёты!$BB9,"")</f>
        <v/>
      </c>
      <c r="AH31" s="33" t="str">
        <f>IF(Расчёты!$E9=1,Расчёты!$BC9,"")</f>
        <v/>
      </c>
      <c r="AI31" s="33" t="str">
        <f>IF(Расчёты!$E9=1,Расчёты!$AU9,"")</f>
        <v/>
      </c>
      <c r="AJ31" s="33" t="str">
        <f>IF(Расчёты!$E9=1,Расчёты!$BF9,"")</f>
        <v/>
      </c>
      <c r="AK31" s="33" t="str">
        <f>IF(Расчёты!$E9=1,Расчёты!$BG9,"")</f>
        <v/>
      </c>
      <c r="AM31" s="17" t="str">
        <f t="shared" si="0"/>
        <v/>
      </c>
      <c r="AN31" s="35" t="str">
        <f t="shared" si="1"/>
        <v/>
      </c>
      <c r="AP31" s="17" t="str">
        <f t="shared" si="2"/>
        <v/>
      </c>
      <c r="AQ31" s="35" t="str">
        <f t="shared" si="3"/>
        <v/>
      </c>
      <c r="AV31" s="17" t="str">
        <f t="shared" si="4"/>
        <v/>
      </c>
      <c r="AW31" s="35" t="str">
        <f t="shared" si="5"/>
        <v/>
      </c>
      <c r="AX31" s="35" t="str">
        <f t="shared" si="6"/>
        <v/>
      </c>
    </row>
    <row r="32" spans="1:50" x14ac:dyDescent="0.2">
      <c r="A32" s="18" t="str">
        <f>IF(Расчёты!$E10=1,Расчёты!$B10,"")</f>
        <v/>
      </c>
      <c r="B32" s="34" t="str">
        <f>IF(Расчёты!$E10=1,Расчёты!$D10,"")</f>
        <v/>
      </c>
      <c r="C32" s="33" t="str">
        <f>IF(Расчёты!$E10=1,Расчёты!$Z10,"")</f>
        <v/>
      </c>
      <c r="D32" s="33" t="str">
        <f>IF(Расчёты!$E10=1,Расчёты!$AA10,"")</f>
        <v/>
      </c>
      <c r="E32" s="33" t="str">
        <f>IF(Расчёты!$E10=1,Расчёты!$AB10,"")</f>
        <v/>
      </c>
      <c r="F32" s="33" t="str">
        <f>IF(Расчёты!$E10=1,Расчёты!$AC10,"")</f>
        <v/>
      </c>
      <c r="G32" s="33" t="str">
        <f>IF(Расчёты!$E10=1,Расчёты!$AD10,"")</f>
        <v/>
      </c>
      <c r="H32" s="33" t="str">
        <f>IF(Расчёты!$E10=1,Расчёты!$AI10,"")</f>
        <v/>
      </c>
      <c r="I32" s="33" t="str">
        <f>IF(Расчёты!$E10=1,Расчёты!$AG10,"")</f>
        <v/>
      </c>
      <c r="J32" s="33" t="str">
        <f>IF(Расчёты!$E10=1,Расчёты!$AJ10,"")</f>
        <v/>
      </c>
      <c r="K32" s="33" t="str">
        <f>IF(Расчёты!$E10=1,Расчёты!$AK10,"")</f>
        <v/>
      </c>
      <c r="L32" s="33" t="str">
        <f>IF(Расчёты!$E10=1,Расчёты!$I10,"")</f>
        <v/>
      </c>
      <c r="M32" s="33" t="str">
        <f>IF(Расчёты!$E10=1,Расчёты!$J10,"")</f>
        <v/>
      </c>
      <c r="N32" s="33" t="str">
        <f>IF(Расчёты!$E10=1,Расчёты!$K10,"")</f>
        <v/>
      </c>
      <c r="O32" s="33" t="str">
        <f>IF(Расчёты!$E10=1,Расчёты!$L10,"")</f>
        <v/>
      </c>
      <c r="P32" s="33" t="str">
        <f>IF(Расчёты!$E10=1,Расчёты!$M10,"")</f>
        <v/>
      </c>
      <c r="Q32" s="33" t="str">
        <f>IF(Расчёты!$E10=1,Расчёты!$N10,"")</f>
        <v/>
      </c>
      <c r="R32" s="33" t="str">
        <f>IF(Расчёты!$E10=1,Расчёты!$O10,"")</f>
        <v/>
      </c>
      <c r="S32" s="33" t="str">
        <f>IF(Расчёты!$E10=1,Расчёты!$Q10,"")</f>
        <v/>
      </c>
      <c r="T32" s="33" t="str">
        <f>IF(Расчёты!$E10=1,Расчёты!$S10,"")</f>
        <v/>
      </c>
      <c r="U32" s="33" t="str">
        <f>IF(Расчёты!$E10=1,Расчёты!$U10,"")</f>
        <v/>
      </c>
      <c r="V32" s="33" t="str">
        <f>IF(Расчёты!$E10=1,Расчёты!$W10,"")</f>
        <v/>
      </c>
      <c r="W32" s="33" t="str">
        <f>IF(Расчёты!$E10=1,Расчёты!$X10,"")</f>
        <v/>
      </c>
      <c r="X32" s="33" t="str">
        <f>IF(Расчёты!$E10=1,Расчёты!$Y10,"")</f>
        <v/>
      </c>
      <c r="Y32" s="33" t="str">
        <f>IF(Расчёты!$E10=1,Расчёты!$AL10,"")</f>
        <v/>
      </c>
      <c r="Z32" s="33" t="str">
        <f>IF(Расчёты!$E10=1,Расчёты!$AP10,"")</f>
        <v/>
      </c>
      <c r="AA32" s="33" t="str">
        <f>IF(Расчёты!$E10=1,Расчёты!$AS10,"")</f>
        <v/>
      </c>
      <c r="AB32" s="33" t="str">
        <f>IF(Расчёты!$E10=1,Расчёты!$AV10,"")</f>
        <v/>
      </c>
      <c r="AC32" s="33" t="str">
        <f>IF(Расчёты!$E10=1,Расчёты!$AW10,"")</f>
        <v/>
      </c>
      <c r="AD32" s="33" t="str">
        <f>IF(Расчёты!$E10=1,Расчёты!$AX10,"")</f>
        <v/>
      </c>
      <c r="AE32" s="33" t="str">
        <f>IF(Расчёты!$E10=1,Расчёты!$AY10,"")</f>
        <v/>
      </c>
      <c r="AF32" s="33" t="str">
        <f>IF(Расчёты!$E10=1,Расчёты!$BA10,"")</f>
        <v/>
      </c>
      <c r="AG32" s="33" t="str">
        <f>IF(Расчёты!$E10=1,Расчёты!$BB10,"")</f>
        <v/>
      </c>
      <c r="AH32" s="33" t="str">
        <f>IF(Расчёты!$E10=1,Расчёты!$BC10,"")</f>
        <v/>
      </c>
      <c r="AI32" s="33" t="str">
        <f>IF(Расчёты!$E10=1,Расчёты!$AU10,"")</f>
        <v/>
      </c>
      <c r="AJ32" s="33" t="str">
        <f>IF(Расчёты!$E10=1,Расчёты!$BF10,"")</f>
        <v/>
      </c>
      <c r="AK32" s="33" t="str">
        <f>IF(Расчёты!$E10=1,Расчёты!$BG10,"")</f>
        <v/>
      </c>
      <c r="AM32" s="17" t="str">
        <f t="shared" si="0"/>
        <v/>
      </c>
      <c r="AN32" s="35" t="str">
        <f t="shared" si="1"/>
        <v/>
      </c>
      <c r="AP32" s="17" t="str">
        <f t="shared" si="2"/>
        <v/>
      </c>
      <c r="AQ32" s="35" t="str">
        <f t="shared" si="3"/>
        <v/>
      </c>
      <c r="AV32" s="17" t="str">
        <f t="shared" si="4"/>
        <v/>
      </c>
      <c r="AW32" s="35" t="str">
        <f t="shared" si="5"/>
        <v/>
      </c>
      <c r="AX32" s="35" t="str">
        <f t="shared" si="6"/>
        <v/>
      </c>
    </row>
    <row r="33" spans="1:50" x14ac:dyDescent="0.2">
      <c r="A33" s="18" t="str">
        <f>IF(Расчёты!$E11=1,Расчёты!$B11,"")</f>
        <v/>
      </c>
      <c r="B33" s="34" t="str">
        <f>IF(Расчёты!$E11=1,Расчёты!$D11,"")</f>
        <v/>
      </c>
      <c r="C33" s="33" t="str">
        <f>IF(Расчёты!$E11=1,Расчёты!$Z11,"")</f>
        <v/>
      </c>
      <c r="D33" s="33" t="str">
        <f>IF(Расчёты!$E11=1,Расчёты!$AA11,"")</f>
        <v/>
      </c>
      <c r="E33" s="33" t="str">
        <f>IF(Расчёты!$E11=1,Расчёты!$AB11,"")</f>
        <v/>
      </c>
      <c r="F33" s="33" t="str">
        <f>IF(Расчёты!$E11=1,Расчёты!$AC11,"")</f>
        <v/>
      </c>
      <c r="G33" s="33" t="str">
        <f>IF(Расчёты!$E11=1,Расчёты!$AD11,"")</f>
        <v/>
      </c>
      <c r="H33" s="33" t="str">
        <f>IF(Расчёты!$E11=1,Расчёты!$AI11,"")</f>
        <v/>
      </c>
      <c r="I33" s="33" t="str">
        <f>IF(Расчёты!$E11=1,Расчёты!$AG11,"")</f>
        <v/>
      </c>
      <c r="J33" s="33" t="str">
        <f>IF(Расчёты!$E11=1,Расчёты!$AJ11,"")</f>
        <v/>
      </c>
      <c r="K33" s="33" t="str">
        <f>IF(Расчёты!$E11=1,Расчёты!$AK11,"")</f>
        <v/>
      </c>
      <c r="L33" s="33" t="str">
        <f>IF(Расчёты!$E11=1,Расчёты!$I11,"")</f>
        <v/>
      </c>
      <c r="M33" s="33" t="str">
        <f>IF(Расчёты!$E11=1,Расчёты!$J11,"")</f>
        <v/>
      </c>
      <c r="N33" s="33" t="str">
        <f>IF(Расчёты!$E11=1,Расчёты!$K11,"")</f>
        <v/>
      </c>
      <c r="O33" s="33" t="str">
        <f>IF(Расчёты!$E11=1,Расчёты!$L11,"")</f>
        <v/>
      </c>
      <c r="P33" s="33" t="str">
        <f>IF(Расчёты!$E11=1,Расчёты!$M11,"")</f>
        <v/>
      </c>
      <c r="Q33" s="33" t="str">
        <f>IF(Расчёты!$E11=1,Расчёты!$N11,"")</f>
        <v/>
      </c>
      <c r="R33" s="33" t="str">
        <f>IF(Расчёты!$E11=1,Расчёты!$O11,"")</f>
        <v/>
      </c>
      <c r="S33" s="33" t="str">
        <f>IF(Расчёты!$E11=1,Расчёты!$Q11,"")</f>
        <v/>
      </c>
      <c r="T33" s="33" t="str">
        <f>IF(Расчёты!$E11=1,Расчёты!$S11,"")</f>
        <v/>
      </c>
      <c r="U33" s="33" t="str">
        <f>IF(Расчёты!$E11=1,Расчёты!$U11,"")</f>
        <v/>
      </c>
      <c r="V33" s="33" t="str">
        <f>IF(Расчёты!$E11=1,Расчёты!$W11,"")</f>
        <v/>
      </c>
      <c r="W33" s="33" t="str">
        <f>IF(Расчёты!$E11=1,Расчёты!$X11,"")</f>
        <v/>
      </c>
      <c r="X33" s="33" t="str">
        <f>IF(Расчёты!$E11=1,Расчёты!$Y11,"")</f>
        <v/>
      </c>
      <c r="Y33" s="33" t="str">
        <f>IF(Расчёты!$E11=1,Расчёты!$AL11,"")</f>
        <v/>
      </c>
      <c r="Z33" s="33" t="str">
        <f>IF(Расчёты!$E11=1,Расчёты!$AP11,"")</f>
        <v/>
      </c>
      <c r="AA33" s="33" t="str">
        <f>IF(Расчёты!$E11=1,Расчёты!$AS11,"")</f>
        <v/>
      </c>
      <c r="AB33" s="33" t="str">
        <f>IF(Расчёты!$E11=1,Расчёты!$AV11,"")</f>
        <v/>
      </c>
      <c r="AC33" s="33" t="str">
        <f>IF(Расчёты!$E11=1,Расчёты!$AW11,"")</f>
        <v/>
      </c>
      <c r="AD33" s="33" t="str">
        <f>IF(Расчёты!$E11=1,Расчёты!$AX11,"")</f>
        <v/>
      </c>
      <c r="AE33" s="33" t="str">
        <f>IF(Расчёты!$E11=1,Расчёты!$AY11,"")</f>
        <v/>
      </c>
      <c r="AF33" s="33" t="str">
        <f>IF(Расчёты!$E11=1,Расчёты!$BA11,"")</f>
        <v/>
      </c>
      <c r="AG33" s="33" t="str">
        <f>IF(Расчёты!$E11=1,Расчёты!$BB11,"")</f>
        <v/>
      </c>
      <c r="AH33" s="33" t="str">
        <f>IF(Расчёты!$E11=1,Расчёты!$BC11,"")</f>
        <v/>
      </c>
      <c r="AI33" s="33" t="str">
        <f>IF(Расчёты!$E11=1,Расчёты!$AU11,"")</f>
        <v/>
      </c>
      <c r="AJ33" s="33" t="str">
        <f>IF(Расчёты!$E11=1,Расчёты!$BF11,"")</f>
        <v/>
      </c>
      <c r="AK33" s="33" t="str">
        <f>IF(Расчёты!$E11=1,Расчёты!$BG11,"")</f>
        <v/>
      </c>
      <c r="AM33" s="17" t="str">
        <f t="shared" si="0"/>
        <v/>
      </c>
      <c r="AN33" s="35" t="str">
        <f t="shared" si="1"/>
        <v/>
      </c>
      <c r="AP33" s="17" t="str">
        <f t="shared" si="2"/>
        <v/>
      </c>
      <c r="AQ33" s="35" t="str">
        <f t="shared" si="3"/>
        <v/>
      </c>
      <c r="AV33" s="17" t="str">
        <f t="shared" si="4"/>
        <v/>
      </c>
      <c r="AW33" s="35" t="str">
        <f t="shared" si="5"/>
        <v/>
      </c>
      <c r="AX33" s="35" t="str">
        <f t="shared" si="6"/>
        <v/>
      </c>
    </row>
    <row r="34" spans="1:50" x14ac:dyDescent="0.2">
      <c r="A34" s="18" t="str">
        <f>IF(Расчёты!$E12=1,Расчёты!$B12,"")</f>
        <v/>
      </c>
      <c r="B34" s="34" t="str">
        <f>IF(Расчёты!$E12=1,Расчёты!$D12,"")</f>
        <v/>
      </c>
      <c r="C34" s="33" t="str">
        <f>IF(Расчёты!$E12=1,Расчёты!$Z12,"")</f>
        <v/>
      </c>
      <c r="D34" s="33" t="str">
        <f>IF(Расчёты!$E12=1,Расчёты!$AA12,"")</f>
        <v/>
      </c>
      <c r="E34" s="33" t="str">
        <f>IF(Расчёты!$E12=1,Расчёты!$AB12,"")</f>
        <v/>
      </c>
      <c r="F34" s="33" t="str">
        <f>IF(Расчёты!$E12=1,Расчёты!$AC12,"")</f>
        <v/>
      </c>
      <c r="G34" s="33" t="str">
        <f>IF(Расчёты!$E12=1,Расчёты!$AD12,"")</f>
        <v/>
      </c>
      <c r="H34" s="33" t="str">
        <f>IF(Расчёты!$E12=1,Расчёты!$AI12,"")</f>
        <v/>
      </c>
      <c r="I34" s="33" t="str">
        <f>IF(Расчёты!$E12=1,Расчёты!$AG12,"")</f>
        <v/>
      </c>
      <c r="J34" s="33" t="str">
        <f>IF(Расчёты!$E12=1,Расчёты!$AJ12,"")</f>
        <v/>
      </c>
      <c r="K34" s="33" t="str">
        <f>IF(Расчёты!$E12=1,Расчёты!$AK12,"")</f>
        <v/>
      </c>
      <c r="L34" s="33" t="str">
        <f>IF(Расчёты!$E12=1,Расчёты!$I12,"")</f>
        <v/>
      </c>
      <c r="M34" s="33" t="str">
        <f>IF(Расчёты!$E12=1,Расчёты!$J12,"")</f>
        <v/>
      </c>
      <c r="N34" s="33" t="str">
        <f>IF(Расчёты!$E12=1,Расчёты!$K12,"")</f>
        <v/>
      </c>
      <c r="O34" s="33" t="str">
        <f>IF(Расчёты!$E12=1,Расчёты!$L12,"")</f>
        <v/>
      </c>
      <c r="P34" s="33" t="str">
        <f>IF(Расчёты!$E12=1,Расчёты!$M12,"")</f>
        <v/>
      </c>
      <c r="Q34" s="33" t="str">
        <f>IF(Расчёты!$E12=1,Расчёты!$N12,"")</f>
        <v/>
      </c>
      <c r="R34" s="33" t="str">
        <f>IF(Расчёты!$E12=1,Расчёты!$O12,"")</f>
        <v/>
      </c>
      <c r="S34" s="33" t="str">
        <f>IF(Расчёты!$E12=1,Расчёты!$Q12,"")</f>
        <v/>
      </c>
      <c r="T34" s="33" t="str">
        <f>IF(Расчёты!$E12=1,Расчёты!$S12,"")</f>
        <v/>
      </c>
      <c r="U34" s="33" t="str">
        <f>IF(Расчёты!$E12=1,Расчёты!$U12,"")</f>
        <v/>
      </c>
      <c r="V34" s="33" t="str">
        <f>IF(Расчёты!$E12=1,Расчёты!$W12,"")</f>
        <v/>
      </c>
      <c r="W34" s="33" t="str">
        <f>IF(Расчёты!$E12=1,Расчёты!$X12,"")</f>
        <v/>
      </c>
      <c r="X34" s="33" t="str">
        <f>IF(Расчёты!$E12=1,Расчёты!$Y12,"")</f>
        <v/>
      </c>
      <c r="Y34" s="33" t="str">
        <f>IF(Расчёты!$E12=1,Расчёты!$AL12,"")</f>
        <v/>
      </c>
      <c r="Z34" s="33" t="str">
        <f>IF(Расчёты!$E12=1,Расчёты!$AP12,"")</f>
        <v/>
      </c>
      <c r="AA34" s="33" t="str">
        <f>IF(Расчёты!$E12=1,Расчёты!$AS12,"")</f>
        <v/>
      </c>
      <c r="AB34" s="33" t="str">
        <f>IF(Расчёты!$E12=1,Расчёты!$AV12,"")</f>
        <v/>
      </c>
      <c r="AC34" s="33" t="str">
        <f>IF(Расчёты!$E12=1,Расчёты!$AW12,"")</f>
        <v/>
      </c>
      <c r="AD34" s="33" t="str">
        <f>IF(Расчёты!$E12=1,Расчёты!$AX12,"")</f>
        <v/>
      </c>
      <c r="AE34" s="33" t="str">
        <f>IF(Расчёты!$E12=1,Расчёты!$AY12,"")</f>
        <v/>
      </c>
      <c r="AF34" s="33" t="str">
        <f>IF(Расчёты!$E12=1,Расчёты!$BA12,"")</f>
        <v/>
      </c>
      <c r="AG34" s="33" t="str">
        <f>IF(Расчёты!$E12=1,Расчёты!$BB12,"")</f>
        <v/>
      </c>
      <c r="AH34" s="33" t="str">
        <f>IF(Расчёты!$E12=1,Расчёты!$BC12,"")</f>
        <v/>
      </c>
      <c r="AI34" s="33" t="str">
        <f>IF(Расчёты!$E12=1,Расчёты!$AU12,"")</f>
        <v/>
      </c>
      <c r="AJ34" s="33" t="str">
        <f>IF(Расчёты!$E12=1,Расчёты!$BF12,"")</f>
        <v/>
      </c>
      <c r="AK34" s="33" t="str">
        <f>IF(Расчёты!$E12=1,Расчёты!$BG12,"")</f>
        <v/>
      </c>
      <c r="AM34" s="17" t="str">
        <f t="shared" si="0"/>
        <v/>
      </c>
      <c r="AN34" s="35" t="str">
        <f t="shared" si="1"/>
        <v/>
      </c>
      <c r="AP34" s="17" t="str">
        <f t="shared" si="2"/>
        <v/>
      </c>
      <c r="AQ34" s="35" t="str">
        <f t="shared" si="3"/>
        <v/>
      </c>
      <c r="AV34" s="17" t="str">
        <f t="shared" si="4"/>
        <v/>
      </c>
      <c r="AW34" s="35" t="str">
        <f t="shared" si="5"/>
        <v/>
      </c>
      <c r="AX34" s="35" t="str">
        <f t="shared" si="6"/>
        <v/>
      </c>
    </row>
    <row r="35" spans="1:50" x14ac:dyDescent="0.2">
      <c r="A35" s="18" t="str">
        <f>IF(Расчёты!$E13=1,Расчёты!$B13,"")</f>
        <v/>
      </c>
      <c r="B35" s="34" t="str">
        <f>IF(Расчёты!$E13=1,Расчёты!$D13,"")</f>
        <v/>
      </c>
      <c r="C35" s="33" t="str">
        <f>IF(Расчёты!$E13=1,Расчёты!$Z13,"")</f>
        <v/>
      </c>
      <c r="D35" s="33" t="str">
        <f>IF(Расчёты!$E13=1,Расчёты!$AA13,"")</f>
        <v/>
      </c>
      <c r="E35" s="33" t="str">
        <f>IF(Расчёты!$E13=1,Расчёты!$AB13,"")</f>
        <v/>
      </c>
      <c r="F35" s="33" t="str">
        <f>IF(Расчёты!$E13=1,Расчёты!$AC13,"")</f>
        <v/>
      </c>
      <c r="G35" s="33" t="str">
        <f>IF(Расчёты!$E13=1,Расчёты!$AD13,"")</f>
        <v/>
      </c>
      <c r="H35" s="33" t="str">
        <f>IF(Расчёты!$E13=1,Расчёты!$AI13,"")</f>
        <v/>
      </c>
      <c r="I35" s="33" t="str">
        <f>IF(Расчёты!$E13=1,Расчёты!$AG13,"")</f>
        <v/>
      </c>
      <c r="J35" s="33" t="str">
        <f>IF(Расчёты!$E13=1,Расчёты!$AJ13,"")</f>
        <v/>
      </c>
      <c r="K35" s="33" t="str">
        <f>IF(Расчёты!$E13=1,Расчёты!$AK13,"")</f>
        <v/>
      </c>
      <c r="L35" s="33" t="str">
        <f>IF(Расчёты!$E13=1,Расчёты!$I13,"")</f>
        <v/>
      </c>
      <c r="M35" s="33" t="str">
        <f>IF(Расчёты!$E13=1,Расчёты!$J13,"")</f>
        <v/>
      </c>
      <c r="N35" s="33" t="str">
        <f>IF(Расчёты!$E13=1,Расчёты!$K13,"")</f>
        <v/>
      </c>
      <c r="O35" s="33" t="str">
        <f>IF(Расчёты!$E13=1,Расчёты!$L13,"")</f>
        <v/>
      </c>
      <c r="P35" s="33" t="str">
        <f>IF(Расчёты!$E13=1,Расчёты!$M13,"")</f>
        <v/>
      </c>
      <c r="Q35" s="33" t="str">
        <f>IF(Расчёты!$E13=1,Расчёты!$N13,"")</f>
        <v/>
      </c>
      <c r="R35" s="33" t="str">
        <f>IF(Расчёты!$E13=1,Расчёты!$O13,"")</f>
        <v/>
      </c>
      <c r="S35" s="33" t="str">
        <f>IF(Расчёты!$E13=1,Расчёты!$Q13,"")</f>
        <v/>
      </c>
      <c r="T35" s="33" t="str">
        <f>IF(Расчёты!$E13=1,Расчёты!$S13,"")</f>
        <v/>
      </c>
      <c r="U35" s="33" t="str">
        <f>IF(Расчёты!$E13=1,Расчёты!$U13,"")</f>
        <v/>
      </c>
      <c r="V35" s="33" t="str">
        <f>IF(Расчёты!$E13=1,Расчёты!$W13,"")</f>
        <v/>
      </c>
      <c r="W35" s="33" t="str">
        <f>IF(Расчёты!$E13=1,Расчёты!$X13,"")</f>
        <v/>
      </c>
      <c r="X35" s="33" t="str">
        <f>IF(Расчёты!$E13=1,Расчёты!$Y13,"")</f>
        <v/>
      </c>
      <c r="Y35" s="33" t="str">
        <f>IF(Расчёты!$E13=1,Расчёты!$AL13,"")</f>
        <v/>
      </c>
      <c r="Z35" s="33" t="str">
        <f>IF(Расчёты!$E13=1,Расчёты!$AP13,"")</f>
        <v/>
      </c>
      <c r="AA35" s="33" t="str">
        <f>IF(Расчёты!$E13=1,Расчёты!$AS13,"")</f>
        <v/>
      </c>
      <c r="AB35" s="33" t="str">
        <f>IF(Расчёты!$E13=1,Расчёты!$AV13,"")</f>
        <v/>
      </c>
      <c r="AC35" s="33" t="str">
        <f>IF(Расчёты!$E13=1,Расчёты!$AW13,"")</f>
        <v/>
      </c>
      <c r="AD35" s="33" t="str">
        <f>IF(Расчёты!$E13=1,Расчёты!$AX13,"")</f>
        <v/>
      </c>
      <c r="AE35" s="33" t="str">
        <f>IF(Расчёты!$E13=1,Расчёты!$AY13,"")</f>
        <v/>
      </c>
      <c r="AF35" s="33" t="str">
        <f>IF(Расчёты!$E13=1,Расчёты!$BA13,"")</f>
        <v/>
      </c>
      <c r="AG35" s="33" t="str">
        <f>IF(Расчёты!$E13=1,Расчёты!$BB13,"")</f>
        <v/>
      </c>
      <c r="AH35" s="33" t="str">
        <f>IF(Расчёты!$E13=1,Расчёты!$BC13,"")</f>
        <v/>
      </c>
      <c r="AI35" s="33" t="str">
        <f>IF(Расчёты!$E13=1,Расчёты!$AU13,"")</f>
        <v/>
      </c>
      <c r="AJ35" s="33" t="str">
        <f>IF(Расчёты!$E13=1,Расчёты!$BF13,"")</f>
        <v/>
      </c>
      <c r="AK35" s="33" t="str">
        <f>IF(Расчёты!$E13=1,Расчёты!$BG13,"")</f>
        <v/>
      </c>
      <c r="AM35" s="17" t="str">
        <f t="shared" si="0"/>
        <v/>
      </c>
      <c r="AN35" s="35" t="str">
        <f t="shared" si="1"/>
        <v/>
      </c>
      <c r="AP35" s="17" t="str">
        <f t="shared" si="2"/>
        <v/>
      </c>
      <c r="AQ35" s="35" t="str">
        <f t="shared" si="3"/>
        <v/>
      </c>
      <c r="AV35" s="17" t="str">
        <f t="shared" si="4"/>
        <v/>
      </c>
      <c r="AW35" s="35" t="str">
        <f t="shared" si="5"/>
        <v/>
      </c>
      <c r="AX35" s="35" t="str">
        <f t="shared" si="6"/>
        <v/>
      </c>
    </row>
    <row r="36" spans="1:50" x14ac:dyDescent="0.2">
      <c r="A36" s="18" t="str">
        <f>IF(Расчёты!$E14=1,Расчёты!$B14,"")</f>
        <v/>
      </c>
      <c r="B36" s="34" t="str">
        <f>IF(Расчёты!$E14=1,Расчёты!$D14,"")</f>
        <v/>
      </c>
      <c r="C36" s="33" t="str">
        <f>IF(Расчёты!$E14=1,Расчёты!$Z14,"")</f>
        <v/>
      </c>
      <c r="D36" s="33" t="str">
        <f>IF(Расчёты!$E14=1,Расчёты!$AA14,"")</f>
        <v/>
      </c>
      <c r="E36" s="33" t="str">
        <f>IF(Расчёты!$E14=1,Расчёты!$AB14,"")</f>
        <v/>
      </c>
      <c r="F36" s="33" t="str">
        <f>IF(Расчёты!$E14=1,Расчёты!$AC14,"")</f>
        <v/>
      </c>
      <c r="G36" s="33" t="str">
        <f>IF(Расчёты!$E14=1,Расчёты!$AD14,"")</f>
        <v/>
      </c>
      <c r="H36" s="33" t="str">
        <f>IF(Расчёты!$E14=1,Расчёты!$AI14,"")</f>
        <v/>
      </c>
      <c r="I36" s="33" t="str">
        <f>IF(Расчёты!$E14=1,Расчёты!$AG14,"")</f>
        <v/>
      </c>
      <c r="J36" s="33" t="str">
        <f>IF(Расчёты!$E14=1,Расчёты!$AJ14,"")</f>
        <v/>
      </c>
      <c r="K36" s="33" t="str">
        <f>IF(Расчёты!$E14=1,Расчёты!$AK14,"")</f>
        <v/>
      </c>
      <c r="L36" s="33" t="str">
        <f>IF(Расчёты!$E14=1,Расчёты!$I14,"")</f>
        <v/>
      </c>
      <c r="M36" s="33" t="str">
        <f>IF(Расчёты!$E14=1,Расчёты!$J14,"")</f>
        <v/>
      </c>
      <c r="N36" s="33" t="str">
        <f>IF(Расчёты!$E14=1,Расчёты!$K14,"")</f>
        <v/>
      </c>
      <c r="O36" s="33" t="str">
        <f>IF(Расчёты!$E14=1,Расчёты!$L14,"")</f>
        <v/>
      </c>
      <c r="P36" s="33" t="str">
        <f>IF(Расчёты!$E14=1,Расчёты!$M14,"")</f>
        <v/>
      </c>
      <c r="Q36" s="33" t="str">
        <f>IF(Расчёты!$E14=1,Расчёты!$N14,"")</f>
        <v/>
      </c>
      <c r="R36" s="33" t="str">
        <f>IF(Расчёты!$E14=1,Расчёты!$O14,"")</f>
        <v/>
      </c>
      <c r="S36" s="33" t="str">
        <f>IF(Расчёты!$E14=1,Расчёты!$Q14,"")</f>
        <v/>
      </c>
      <c r="T36" s="33" t="str">
        <f>IF(Расчёты!$E14=1,Расчёты!$S14,"")</f>
        <v/>
      </c>
      <c r="U36" s="33" t="str">
        <f>IF(Расчёты!$E14=1,Расчёты!$U14,"")</f>
        <v/>
      </c>
      <c r="V36" s="33" t="str">
        <f>IF(Расчёты!$E14=1,Расчёты!$W14,"")</f>
        <v/>
      </c>
      <c r="W36" s="33" t="str">
        <f>IF(Расчёты!$E14=1,Расчёты!$X14,"")</f>
        <v/>
      </c>
      <c r="X36" s="33" t="str">
        <f>IF(Расчёты!$E14=1,Расчёты!$Y14,"")</f>
        <v/>
      </c>
      <c r="Y36" s="33" t="str">
        <f>IF(Расчёты!$E14=1,Расчёты!$AL14,"")</f>
        <v/>
      </c>
      <c r="Z36" s="33" t="str">
        <f>IF(Расчёты!$E14=1,Расчёты!$AP14,"")</f>
        <v/>
      </c>
      <c r="AA36" s="33" t="str">
        <f>IF(Расчёты!$E14=1,Расчёты!$AS14,"")</f>
        <v/>
      </c>
      <c r="AB36" s="33" t="str">
        <f>IF(Расчёты!$E14=1,Расчёты!$AV14,"")</f>
        <v/>
      </c>
      <c r="AC36" s="33" t="str">
        <f>IF(Расчёты!$E14=1,Расчёты!$AW14,"")</f>
        <v/>
      </c>
      <c r="AD36" s="33" t="str">
        <f>IF(Расчёты!$E14=1,Расчёты!$AX14,"")</f>
        <v/>
      </c>
      <c r="AE36" s="33" t="str">
        <f>IF(Расчёты!$E14=1,Расчёты!$AY14,"")</f>
        <v/>
      </c>
      <c r="AF36" s="33" t="str">
        <f>IF(Расчёты!$E14=1,Расчёты!$BA14,"")</f>
        <v/>
      </c>
      <c r="AG36" s="33" t="str">
        <f>IF(Расчёты!$E14=1,Расчёты!$BB14,"")</f>
        <v/>
      </c>
      <c r="AH36" s="33" t="str">
        <f>IF(Расчёты!$E14=1,Расчёты!$BC14,"")</f>
        <v/>
      </c>
      <c r="AI36" s="33" t="str">
        <f>IF(Расчёты!$E14=1,Расчёты!$AU14,"")</f>
        <v/>
      </c>
      <c r="AJ36" s="33" t="str">
        <f>IF(Расчёты!$E14=1,Расчёты!$BF14,"")</f>
        <v/>
      </c>
      <c r="AK36" s="33" t="str">
        <f>IF(Расчёты!$E14=1,Расчёты!$BG14,"")</f>
        <v/>
      </c>
      <c r="AM36" s="17" t="str">
        <f t="shared" si="0"/>
        <v/>
      </c>
      <c r="AN36" s="35" t="str">
        <f t="shared" si="1"/>
        <v/>
      </c>
      <c r="AP36" s="17" t="str">
        <f t="shared" si="2"/>
        <v/>
      </c>
      <c r="AQ36" s="35" t="str">
        <f t="shared" si="3"/>
        <v/>
      </c>
      <c r="AV36" s="17" t="str">
        <f t="shared" si="4"/>
        <v/>
      </c>
      <c r="AW36" s="35" t="str">
        <f t="shared" si="5"/>
        <v/>
      </c>
      <c r="AX36" s="35" t="str">
        <f t="shared" si="6"/>
        <v/>
      </c>
    </row>
    <row r="37" spans="1:50" x14ac:dyDescent="0.2">
      <c r="A37" s="18" t="str">
        <f>IF(Расчёты!$E15=1,Расчёты!$B15,"")</f>
        <v/>
      </c>
      <c r="B37" s="34" t="str">
        <f>IF(Расчёты!$E15=1,Расчёты!$D15,"")</f>
        <v/>
      </c>
      <c r="C37" s="33" t="str">
        <f>IF(Расчёты!$E15=1,Расчёты!$Z15,"")</f>
        <v/>
      </c>
      <c r="D37" s="33" t="str">
        <f>IF(Расчёты!$E15=1,Расчёты!$AA15,"")</f>
        <v/>
      </c>
      <c r="E37" s="33" t="str">
        <f>IF(Расчёты!$E15=1,Расчёты!$AB15,"")</f>
        <v/>
      </c>
      <c r="F37" s="33" t="str">
        <f>IF(Расчёты!$E15=1,Расчёты!$AC15,"")</f>
        <v/>
      </c>
      <c r="G37" s="33" t="str">
        <f>IF(Расчёты!$E15=1,Расчёты!$AD15,"")</f>
        <v/>
      </c>
      <c r="H37" s="33" t="str">
        <f>IF(Расчёты!$E15=1,Расчёты!$AI15,"")</f>
        <v/>
      </c>
      <c r="I37" s="33" t="str">
        <f>IF(Расчёты!$E15=1,Расчёты!$AG15,"")</f>
        <v/>
      </c>
      <c r="J37" s="33" t="str">
        <f>IF(Расчёты!$E15=1,Расчёты!$AJ15,"")</f>
        <v/>
      </c>
      <c r="K37" s="33" t="str">
        <f>IF(Расчёты!$E15=1,Расчёты!$AK15,"")</f>
        <v/>
      </c>
      <c r="L37" s="33" t="str">
        <f>IF(Расчёты!$E15=1,Расчёты!$I15,"")</f>
        <v/>
      </c>
      <c r="M37" s="33" t="str">
        <f>IF(Расчёты!$E15=1,Расчёты!$J15,"")</f>
        <v/>
      </c>
      <c r="N37" s="33" t="str">
        <f>IF(Расчёты!$E15=1,Расчёты!$K15,"")</f>
        <v/>
      </c>
      <c r="O37" s="33" t="str">
        <f>IF(Расчёты!$E15=1,Расчёты!$L15,"")</f>
        <v/>
      </c>
      <c r="P37" s="33" t="str">
        <f>IF(Расчёты!$E15=1,Расчёты!$M15,"")</f>
        <v/>
      </c>
      <c r="Q37" s="33" t="str">
        <f>IF(Расчёты!$E15=1,Расчёты!$N15,"")</f>
        <v/>
      </c>
      <c r="R37" s="33" t="str">
        <f>IF(Расчёты!$E15=1,Расчёты!$O15,"")</f>
        <v/>
      </c>
      <c r="S37" s="33" t="str">
        <f>IF(Расчёты!$E15=1,Расчёты!$Q15,"")</f>
        <v/>
      </c>
      <c r="T37" s="33" t="str">
        <f>IF(Расчёты!$E15=1,Расчёты!$S15,"")</f>
        <v/>
      </c>
      <c r="U37" s="33" t="str">
        <f>IF(Расчёты!$E15=1,Расчёты!$U15,"")</f>
        <v/>
      </c>
      <c r="V37" s="33" t="str">
        <f>IF(Расчёты!$E15=1,Расчёты!$W15,"")</f>
        <v/>
      </c>
      <c r="W37" s="33" t="str">
        <f>IF(Расчёты!$E15=1,Расчёты!$X15,"")</f>
        <v/>
      </c>
      <c r="X37" s="33" t="str">
        <f>IF(Расчёты!$E15=1,Расчёты!$Y15,"")</f>
        <v/>
      </c>
      <c r="Y37" s="33" t="str">
        <f>IF(Расчёты!$E15=1,Расчёты!$AL15,"")</f>
        <v/>
      </c>
      <c r="Z37" s="33" t="str">
        <f>IF(Расчёты!$E15=1,Расчёты!$AP15,"")</f>
        <v/>
      </c>
      <c r="AA37" s="33" t="str">
        <f>IF(Расчёты!$E15=1,Расчёты!$AS15,"")</f>
        <v/>
      </c>
      <c r="AB37" s="33" t="str">
        <f>IF(Расчёты!$E15=1,Расчёты!$AV15,"")</f>
        <v/>
      </c>
      <c r="AC37" s="33" t="str">
        <f>IF(Расчёты!$E15=1,Расчёты!$AW15,"")</f>
        <v/>
      </c>
      <c r="AD37" s="33" t="str">
        <f>IF(Расчёты!$E15=1,Расчёты!$AX15,"")</f>
        <v/>
      </c>
      <c r="AE37" s="33" t="str">
        <f>IF(Расчёты!$E15=1,Расчёты!$AY15,"")</f>
        <v/>
      </c>
      <c r="AF37" s="33" t="str">
        <f>IF(Расчёты!$E15=1,Расчёты!$BA15,"")</f>
        <v/>
      </c>
      <c r="AG37" s="33" t="str">
        <f>IF(Расчёты!$E15=1,Расчёты!$BB15,"")</f>
        <v/>
      </c>
      <c r="AH37" s="33" t="str">
        <f>IF(Расчёты!$E15=1,Расчёты!$BC15,"")</f>
        <v/>
      </c>
      <c r="AI37" s="33" t="str">
        <f>IF(Расчёты!$E15=1,Расчёты!$AU15,"")</f>
        <v/>
      </c>
      <c r="AJ37" s="33" t="str">
        <f>IF(Расчёты!$E15=1,Расчёты!$BF15,"")</f>
        <v/>
      </c>
      <c r="AK37" s="33" t="str">
        <f>IF(Расчёты!$E15=1,Расчёты!$BG15,"")</f>
        <v/>
      </c>
      <c r="AM37" s="17" t="str">
        <f t="shared" si="0"/>
        <v/>
      </c>
      <c r="AN37" s="35" t="str">
        <f t="shared" si="1"/>
        <v/>
      </c>
      <c r="AP37" s="17" t="str">
        <f t="shared" si="2"/>
        <v/>
      </c>
      <c r="AQ37" s="35" t="str">
        <f t="shared" si="3"/>
        <v/>
      </c>
      <c r="AV37" s="17" t="str">
        <f t="shared" si="4"/>
        <v/>
      </c>
      <c r="AW37" s="35" t="str">
        <f t="shared" si="5"/>
        <v/>
      </c>
      <c r="AX37" s="35" t="str">
        <f t="shared" si="6"/>
        <v/>
      </c>
    </row>
    <row r="38" spans="1:50" x14ac:dyDescent="0.2">
      <c r="A38" s="18" t="str">
        <f>IF(Расчёты!$E16=1,Расчёты!$B16,"")</f>
        <v/>
      </c>
      <c r="B38" s="34" t="str">
        <f>IF(Расчёты!$E16=1,Расчёты!$D16,"")</f>
        <v/>
      </c>
      <c r="C38" s="33" t="str">
        <f>IF(Расчёты!$E16=1,Расчёты!$Z16,"")</f>
        <v/>
      </c>
      <c r="D38" s="33" t="str">
        <f>IF(Расчёты!$E16=1,Расчёты!$AA16,"")</f>
        <v/>
      </c>
      <c r="E38" s="33" t="str">
        <f>IF(Расчёты!$E16=1,Расчёты!$AB16,"")</f>
        <v/>
      </c>
      <c r="F38" s="33" t="str">
        <f>IF(Расчёты!$E16=1,Расчёты!$AC16,"")</f>
        <v/>
      </c>
      <c r="G38" s="33" t="str">
        <f>IF(Расчёты!$E16=1,Расчёты!$AD16,"")</f>
        <v/>
      </c>
      <c r="H38" s="33" t="str">
        <f>IF(Расчёты!$E16=1,Расчёты!$AI16,"")</f>
        <v/>
      </c>
      <c r="I38" s="33" t="str">
        <f>IF(Расчёты!$E16=1,Расчёты!$AG16,"")</f>
        <v/>
      </c>
      <c r="J38" s="33" t="str">
        <f>IF(Расчёты!$E16=1,Расчёты!$AJ16,"")</f>
        <v/>
      </c>
      <c r="K38" s="33" t="str">
        <f>IF(Расчёты!$E16=1,Расчёты!$AK16,"")</f>
        <v/>
      </c>
      <c r="L38" s="33" t="str">
        <f>IF(Расчёты!$E16=1,Расчёты!$I16,"")</f>
        <v/>
      </c>
      <c r="M38" s="33" t="str">
        <f>IF(Расчёты!$E16=1,Расчёты!$J16,"")</f>
        <v/>
      </c>
      <c r="N38" s="33" t="str">
        <f>IF(Расчёты!$E16=1,Расчёты!$K16,"")</f>
        <v/>
      </c>
      <c r="O38" s="33" t="str">
        <f>IF(Расчёты!$E16=1,Расчёты!$L16,"")</f>
        <v/>
      </c>
      <c r="P38" s="33" t="str">
        <f>IF(Расчёты!$E16=1,Расчёты!$M16,"")</f>
        <v/>
      </c>
      <c r="Q38" s="33" t="str">
        <f>IF(Расчёты!$E16=1,Расчёты!$N16,"")</f>
        <v/>
      </c>
      <c r="R38" s="33" t="str">
        <f>IF(Расчёты!$E16=1,Расчёты!$O16,"")</f>
        <v/>
      </c>
      <c r="S38" s="33" t="str">
        <f>IF(Расчёты!$E16=1,Расчёты!$Q16,"")</f>
        <v/>
      </c>
      <c r="T38" s="33" t="str">
        <f>IF(Расчёты!$E16=1,Расчёты!$S16,"")</f>
        <v/>
      </c>
      <c r="U38" s="33" t="str">
        <f>IF(Расчёты!$E16=1,Расчёты!$U16,"")</f>
        <v/>
      </c>
      <c r="V38" s="33" t="str">
        <f>IF(Расчёты!$E16=1,Расчёты!$W16,"")</f>
        <v/>
      </c>
      <c r="W38" s="33" t="str">
        <f>IF(Расчёты!$E16=1,Расчёты!$X16,"")</f>
        <v/>
      </c>
      <c r="X38" s="33" t="str">
        <f>IF(Расчёты!$E16=1,Расчёты!$Y16,"")</f>
        <v/>
      </c>
      <c r="Y38" s="33" t="str">
        <f>IF(Расчёты!$E16=1,Расчёты!$AL16,"")</f>
        <v/>
      </c>
      <c r="Z38" s="33" t="str">
        <f>IF(Расчёты!$E16=1,Расчёты!$AP16,"")</f>
        <v/>
      </c>
      <c r="AA38" s="33" t="str">
        <f>IF(Расчёты!$E16=1,Расчёты!$AS16,"")</f>
        <v/>
      </c>
      <c r="AB38" s="33" t="str">
        <f>IF(Расчёты!$E16=1,Расчёты!$AV16,"")</f>
        <v/>
      </c>
      <c r="AC38" s="33" t="str">
        <f>IF(Расчёты!$E16=1,Расчёты!$AW16,"")</f>
        <v/>
      </c>
      <c r="AD38" s="33" t="str">
        <f>IF(Расчёты!$E16=1,Расчёты!$AX16,"")</f>
        <v/>
      </c>
      <c r="AE38" s="33" t="str">
        <f>IF(Расчёты!$E16=1,Расчёты!$AY16,"")</f>
        <v/>
      </c>
      <c r="AF38" s="33" t="str">
        <f>IF(Расчёты!$E16=1,Расчёты!$BA16,"")</f>
        <v/>
      </c>
      <c r="AG38" s="33" t="str">
        <f>IF(Расчёты!$E16=1,Расчёты!$BB16,"")</f>
        <v/>
      </c>
      <c r="AH38" s="33" t="str">
        <f>IF(Расчёты!$E16=1,Расчёты!$BC16,"")</f>
        <v/>
      </c>
      <c r="AI38" s="33" t="str">
        <f>IF(Расчёты!$E16=1,Расчёты!$AU16,"")</f>
        <v/>
      </c>
      <c r="AJ38" s="33" t="str">
        <f>IF(Расчёты!$E16=1,Расчёты!$BF16,"")</f>
        <v/>
      </c>
      <c r="AK38" s="33" t="str">
        <f>IF(Расчёты!$E16=1,Расчёты!$BG16,"")</f>
        <v/>
      </c>
      <c r="AM38" s="17" t="str">
        <f t="shared" si="0"/>
        <v/>
      </c>
      <c r="AN38" s="35" t="str">
        <f t="shared" si="1"/>
        <v/>
      </c>
      <c r="AP38" s="17" t="str">
        <f t="shared" si="2"/>
        <v/>
      </c>
      <c r="AQ38" s="35" t="str">
        <f t="shared" si="3"/>
        <v/>
      </c>
      <c r="AV38" s="17" t="str">
        <f t="shared" si="4"/>
        <v/>
      </c>
      <c r="AW38" s="35" t="str">
        <f t="shared" si="5"/>
        <v/>
      </c>
      <c r="AX38" s="35" t="str">
        <f t="shared" si="6"/>
        <v/>
      </c>
    </row>
    <row r="39" spans="1:50" x14ac:dyDescent="0.2">
      <c r="A39" s="18" t="str">
        <f>IF(Расчёты!$E17=1,Расчёты!$B17,"")</f>
        <v/>
      </c>
      <c r="B39" s="34" t="str">
        <f>IF(Расчёты!$E17=1,Расчёты!$D17,"")</f>
        <v/>
      </c>
      <c r="C39" s="33" t="str">
        <f>IF(Расчёты!$E17=1,Расчёты!$Z17,"")</f>
        <v/>
      </c>
      <c r="D39" s="33" t="str">
        <f>IF(Расчёты!$E17=1,Расчёты!$AA17,"")</f>
        <v/>
      </c>
      <c r="E39" s="33" t="str">
        <f>IF(Расчёты!$E17=1,Расчёты!$AB17,"")</f>
        <v/>
      </c>
      <c r="F39" s="33" t="str">
        <f>IF(Расчёты!$E17=1,Расчёты!$AC17,"")</f>
        <v/>
      </c>
      <c r="G39" s="33" t="str">
        <f>IF(Расчёты!$E17=1,Расчёты!$AD17,"")</f>
        <v/>
      </c>
      <c r="H39" s="33" t="str">
        <f>IF(Расчёты!$E17=1,Расчёты!$AI17,"")</f>
        <v/>
      </c>
      <c r="I39" s="33" t="str">
        <f>IF(Расчёты!$E17=1,Расчёты!$AG17,"")</f>
        <v/>
      </c>
      <c r="J39" s="33" t="str">
        <f>IF(Расчёты!$E17=1,Расчёты!$AJ17,"")</f>
        <v/>
      </c>
      <c r="K39" s="33" t="str">
        <f>IF(Расчёты!$E17=1,Расчёты!$AK17,"")</f>
        <v/>
      </c>
      <c r="L39" s="33" t="str">
        <f>IF(Расчёты!$E17=1,Расчёты!$I17,"")</f>
        <v/>
      </c>
      <c r="M39" s="33" t="str">
        <f>IF(Расчёты!$E17=1,Расчёты!$J17,"")</f>
        <v/>
      </c>
      <c r="N39" s="33" t="str">
        <f>IF(Расчёты!$E17=1,Расчёты!$K17,"")</f>
        <v/>
      </c>
      <c r="O39" s="33" t="str">
        <f>IF(Расчёты!$E17=1,Расчёты!$L17,"")</f>
        <v/>
      </c>
      <c r="P39" s="33" t="str">
        <f>IF(Расчёты!$E17=1,Расчёты!$M17,"")</f>
        <v/>
      </c>
      <c r="Q39" s="33" t="str">
        <f>IF(Расчёты!$E17=1,Расчёты!$N17,"")</f>
        <v/>
      </c>
      <c r="R39" s="33" t="str">
        <f>IF(Расчёты!$E17=1,Расчёты!$O17,"")</f>
        <v/>
      </c>
      <c r="S39" s="33" t="str">
        <f>IF(Расчёты!$E17=1,Расчёты!$Q17,"")</f>
        <v/>
      </c>
      <c r="T39" s="33" t="str">
        <f>IF(Расчёты!$E17=1,Расчёты!$S17,"")</f>
        <v/>
      </c>
      <c r="U39" s="33" t="str">
        <f>IF(Расчёты!$E17=1,Расчёты!$U17,"")</f>
        <v/>
      </c>
      <c r="V39" s="33" t="str">
        <f>IF(Расчёты!$E17=1,Расчёты!$W17,"")</f>
        <v/>
      </c>
      <c r="W39" s="33" t="str">
        <f>IF(Расчёты!$E17=1,Расчёты!$X17,"")</f>
        <v/>
      </c>
      <c r="X39" s="33" t="str">
        <f>IF(Расчёты!$E17=1,Расчёты!$Y17,"")</f>
        <v/>
      </c>
      <c r="Y39" s="33" t="str">
        <f>IF(Расчёты!$E17=1,Расчёты!$AL17,"")</f>
        <v/>
      </c>
      <c r="Z39" s="33" t="str">
        <f>IF(Расчёты!$E17=1,Расчёты!$AP17,"")</f>
        <v/>
      </c>
      <c r="AA39" s="33" t="str">
        <f>IF(Расчёты!$E17=1,Расчёты!$AS17,"")</f>
        <v/>
      </c>
      <c r="AB39" s="33" t="str">
        <f>IF(Расчёты!$E17=1,Расчёты!$AV17,"")</f>
        <v/>
      </c>
      <c r="AC39" s="33" t="str">
        <f>IF(Расчёты!$E17=1,Расчёты!$AW17,"")</f>
        <v/>
      </c>
      <c r="AD39" s="33" t="str">
        <f>IF(Расчёты!$E17=1,Расчёты!$AX17,"")</f>
        <v/>
      </c>
      <c r="AE39" s="33" t="str">
        <f>IF(Расчёты!$E17=1,Расчёты!$AY17,"")</f>
        <v/>
      </c>
      <c r="AF39" s="33" t="str">
        <f>IF(Расчёты!$E17=1,Расчёты!$BA17,"")</f>
        <v/>
      </c>
      <c r="AG39" s="33" t="str">
        <f>IF(Расчёты!$E17=1,Расчёты!$BB17,"")</f>
        <v/>
      </c>
      <c r="AH39" s="33" t="str">
        <f>IF(Расчёты!$E17=1,Расчёты!$BC17,"")</f>
        <v/>
      </c>
      <c r="AI39" s="33" t="str">
        <f>IF(Расчёты!$E17=1,Расчёты!$AU17,"")</f>
        <v/>
      </c>
      <c r="AJ39" s="33" t="str">
        <f>IF(Расчёты!$E17=1,Расчёты!$BF17,"")</f>
        <v/>
      </c>
      <c r="AK39" s="33" t="str">
        <f>IF(Расчёты!$E17=1,Расчёты!$BG17,"")</f>
        <v/>
      </c>
      <c r="AM39" s="17" t="str">
        <f t="shared" si="0"/>
        <v/>
      </c>
      <c r="AN39" s="35" t="str">
        <f t="shared" si="1"/>
        <v/>
      </c>
      <c r="AP39" s="17" t="str">
        <f t="shared" si="2"/>
        <v/>
      </c>
      <c r="AQ39" s="35" t="str">
        <f t="shared" si="3"/>
        <v/>
      </c>
      <c r="AV39" s="17" t="str">
        <f t="shared" si="4"/>
        <v/>
      </c>
      <c r="AW39" s="35" t="str">
        <f t="shared" si="5"/>
        <v/>
      </c>
      <c r="AX39" s="35" t="str">
        <f t="shared" si="6"/>
        <v/>
      </c>
    </row>
    <row r="40" spans="1:50" x14ac:dyDescent="0.2">
      <c r="A40" s="18" t="str">
        <f>IF(Расчёты!$E18=1,Расчёты!$B18,"")</f>
        <v/>
      </c>
      <c r="B40" s="34" t="str">
        <f>IF(Расчёты!$E18=1,Расчёты!$D18,"")</f>
        <v/>
      </c>
      <c r="C40" s="33" t="str">
        <f>IF(Расчёты!$E18=1,Расчёты!$Z18,"")</f>
        <v/>
      </c>
      <c r="D40" s="33" t="str">
        <f>IF(Расчёты!$E18=1,Расчёты!$AA18,"")</f>
        <v/>
      </c>
      <c r="E40" s="33" t="str">
        <f>IF(Расчёты!$E18=1,Расчёты!$AB18,"")</f>
        <v/>
      </c>
      <c r="F40" s="33" t="str">
        <f>IF(Расчёты!$E18=1,Расчёты!$AC18,"")</f>
        <v/>
      </c>
      <c r="G40" s="33" t="str">
        <f>IF(Расчёты!$E18=1,Расчёты!$AD18,"")</f>
        <v/>
      </c>
      <c r="H40" s="33" t="str">
        <f>IF(Расчёты!$E18=1,Расчёты!$AI18,"")</f>
        <v/>
      </c>
      <c r="I40" s="33" t="str">
        <f>IF(Расчёты!$E18=1,Расчёты!$AG18,"")</f>
        <v/>
      </c>
      <c r="J40" s="33" t="str">
        <f>IF(Расчёты!$E18=1,Расчёты!$AJ18,"")</f>
        <v/>
      </c>
      <c r="K40" s="33" t="str">
        <f>IF(Расчёты!$E18=1,Расчёты!$AK18,"")</f>
        <v/>
      </c>
      <c r="L40" s="33" t="str">
        <f>IF(Расчёты!$E18=1,Расчёты!$I18,"")</f>
        <v/>
      </c>
      <c r="M40" s="33" t="str">
        <f>IF(Расчёты!$E18=1,Расчёты!$J18,"")</f>
        <v/>
      </c>
      <c r="N40" s="33" t="str">
        <f>IF(Расчёты!$E18=1,Расчёты!$K18,"")</f>
        <v/>
      </c>
      <c r="O40" s="33" t="str">
        <f>IF(Расчёты!$E18=1,Расчёты!$L18,"")</f>
        <v/>
      </c>
      <c r="P40" s="33" t="str">
        <f>IF(Расчёты!$E18=1,Расчёты!$M18,"")</f>
        <v/>
      </c>
      <c r="Q40" s="33" t="str">
        <f>IF(Расчёты!$E18=1,Расчёты!$N18,"")</f>
        <v/>
      </c>
      <c r="R40" s="33" t="str">
        <f>IF(Расчёты!$E18=1,Расчёты!$O18,"")</f>
        <v/>
      </c>
      <c r="S40" s="33" t="str">
        <f>IF(Расчёты!$E18=1,Расчёты!$Q18,"")</f>
        <v/>
      </c>
      <c r="T40" s="33" t="str">
        <f>IF(Расчёты!$E18=1,Расчёты!$S18,"")</f>
        <v/>
      </c>
      <c r="U40" s="33" t="str">
        <f>IF(Расчёты!$E18=1,Расчёты!$U18,"")</f>
        <v/>
      </c>
      <c r="V40" s="33" t="str">
        <f>IF(Расчёты!$E18=1,Расчёты!$W18,"")</f>
        <v/>
      </c>
      <c r="W40" s="33" t="str">
        <f>IF(Расчёты!$E18=1,Расчёты!$X18,"")</f>
        <v/>
      </c>
      <c r="X40" s="33" t="str">
        <f>IF(Расчёты!$E18=1,Расчёты!$Y18,"")</f>
        <v/>
      </c>
      <c r="Y40" s="33" t="str">
        <f>IF(Расчёты!$E18=1,Расчёты!$AL18,"")</f>
        <v/>
      </c>
      <c r="Z40" s="33" t="str">
        <f>IF(Расчёты!$E18=1,Расчёты!$AP18,"")</f>
        <v/>
      </c>
      <c r="AA40" s="33" t="str">
        <f>IF(Расчёты!$E18=1,Расчёты!$AS18,"")</f>
        <v/>
      </c>
      <c r="AB40" s="33" t="str">
        <f>IF(Расчёты!$E18=1,Расчёты!$AV18,"")</f>
        <v/>
      </c>
      <c r="AC40" s="33" t="str">
        <f>IF(Расчёты!$E18=1,Расчёты!$AW18,"")</f>
        <v/>
      </c>
      <c r="AD40" s="33" t="str">
        <f>IF(Расчёты!$E18=1,Расчёты!$AX18,"")</f>
        <v/>
      </c>
      <c r="AE40" s="33" t="str">
        <f>IF(Расчёты!$E18=1,Расчёты!$AY18,"")</f>
        <v/>
      </c>
      <c r="AF40" s="33" t="str">
        <f>IF(Расчёты!$E18=1,Расчёты!$BA18,"")</f>
        <v/>
      </c>
      <c r="AG40" s="33" t="str">
        <f>IF(Расчёты!$E18=1,Расчёты!$BB18,"")</f>
        <v/>
      </c>
      <c r="AH40" s="33" t="str">
        <f>IF(Расчёты!$E18=1,Расчёты!$BC18,"")</f>
        <v/>
      </c>
      <c r="AI40" s="33" t="str">
        <f>IF(Расчёты!$E18=1,Расчёты!$AU18,"")</f>
        <v/>
      </c>
      <c r="AJ40" s="33" t="str">
        <f>IF(Расчёты!$E18=1,Расчёты!$BF18,"")</f>
        <v/>
      </c>
      <c r="AK40" s="33" t="str">
        <f>IF(Расчёты!$E18=1,Расчёты!$BG18,"")</f>
        <v/>
      </c>
      <c r="AM40" s="17" t="str">
        <f t="shared" si="0"/>
        <v/>
      </c>
      <c r="AN40" s="35" t="str">
        <f t="shared" si="1"/>
        <v/>
      </c>
      <c r="AP40" s="17" t="str">
        <f t="shared" si="2"/>
        <v/>
      </c>
      <c r="AQ40" s="35" t="str">
        <f t="shared" si="3"/>
        <v/>
      </c>
      <c r="AV40" s="17" t="str">
        <f t="shared" si="4"/>
        <v/>
      </c>
      <c r="AW40" s="35" t="str">
        <f t="shared" si="5"/>
        <v/>
      </c>
      <c r="AX40" s="35" t="str">
        <f t="shared" si="6"/>
        <v/>
      </c>
    </row>
    <row r="41" spans="1:50" x14ac:dyDescent="0.2">
      <c r="A41" s="18" t="str">
        <f>IF(Расчёты!$E19=1,Расчёты!$B19,"")</f>
        <v/>
      </c>
      <c r="B41" s="34" t="str">
        <f>IF(Расчёты!$E19=1,Расчёты!$D19,"")</f>
        <v/>
      </c>
      <c r="C41" s="33" t="str">
        <f>IF(Расчёты!$E19=1,Расчёты!$Z19,"")</f>
        <v/>
      </c>
      <c r="D41" s="33" t="str">
        <f>IF(Расчёты!$E19=1,Расчёты!$AA19,"")</f>
        <v/>
      </c>
      <c r="E41" s="33" t="str">
        <f>IF(Расчёты!$E19=1,Расчёты!$AB19,"")</f>
        <v/>
      </c>
      <c r="F41" s="33" t="str">
        <f>IF(Расчёты!$E19=1,Расчёты!$AC19,"")</f>
        <v/>
      </c>
      <c r="G41" s="33" t="str">
        <f>IF(Расчёты!$E19=1,Расчёты!$AD19,"")</f>
        <v/>
      </c>
      <c r="H41" s="33" t="str">
        <f>IF(Расчёты!$E19=1,Расчёты!$AI19,"")</f>
        <v/>
      </c>
      <c r="I41" s="33" t="str">
        <f>IF(Расчёты!$E19=1,Расчёты!$AG19,"")</f>
        <v/>
      </c>
      <c r="J41" s="33" t="str">
        <f>IF(Расчёты!$E19=1,Расчёты!$AJ19,"")</f>
        <v/>
      </c>
      <c r="K41" s="33" t="str">
        <f>IF(Расчёты!$E19=1,Расчёты!$AK19,"")</f>
        <v/>
      </c>
      <c r="L41" s="33" t="str">
        <f>IF(Расчёты!$E19=1,Расчёты!$I19,"")</f>
        <v/>
      </c>
      <c r="M41" s="33" t="str">
        <f>IF(Расчёты!$E19=1,Расчёты!$J19,"")</f>
        <v/>
      </c>
      <c r="N41" s="33" t="str">
        <f>IF(Расчёты!$E19=1,Расчёты!$K19,"")</f>
        <v/>
      </c>
      <c r="O41" s="33" t="str">
        <f>IF(Расчёты!$E19=1,Расчёты!$L19,"")</f>
        <v/>
      </c>
      <c r="P41" s="33" t="str">
        <f>IF(Расчёты!$E19=1,Расчёты!$M19,"")</f>
        <v/>
      </c>
      <c r="Q41" s="33" t="str">
        <f>IF(Расчёты!$E19=1,Расчёты!$N19,"")</f>
        <v/>
      </c>
      <c r="R41" s="33" t="str">
        <f>IF(Расчёты!$E19=1,Расчёты!$O19,"")</f>
        <v/>
      </c>
      <c r="S41" s="33" t="str">
        <f>IF(Расчёты!$E19=1,Расчёты!$Q19,"")</f>
        <v/>
      </c>
      <c r="T41" s="33" t="str">
        <f>IF(Расчёты!$E19=1,Расчёты!$S19,"")</f>
        <v/>
      </c>
      <c r="U41" s="33" t="str">
        <f>IF(Расчёты!$E19=1,Расчёты!$U19,"")</f>
        <v/>
      </c>
      <c r="V41" s="33" t="str">
        <f>IF(Расчёты!$E19=1,Расчёты!$W19,"")</f>
        <v/>
      </c>
      <c r="W41" s="33" t="str">
        <f>IF(Расчёты!$E19=1,Расчёты!$X19,"")</f>
        <v/>
      </c>
      <c r="X41" s="33" t="str">
        <f>IF(Расчёты!$E19=1,Расчёты!$Y19,"")</f>
        <v/>
      </c>
      <c r="Y41" s="33" t="str">
        <f>IF(Расчёты!$E19=1,Расчёты!$AL19,"")</f>
        <v/>
      </c>
      <c r="Z41" s="33" t="str">
        <f>IF(Расчёты!$E19=1,Расчёты!$AP19,"")</f>
        <v/>
      </c>
      <c r="AA41" s="33" t="str">
        <f>IF(Расчёты!$E19=1,Расчёты!$AS19,"")</f>
        <v/>
      </c>
      <c r="AB41" s="33" t="str">
        <f>IF(Расчёты!$E19=1,Расчёты!$AV19,"")</f>
        <v/>
      </c>
      <c r="AC41" s="33" t="str">
        <f>IF(Расчёты!$E19=1,Расчёты!$AW19,"")</f>
        <v/>
      </c>
      <c r="AD41" s="33" t="str">
        <f>IF(Расчёты!$E19=1,Расчёты!$AX19,"")</f>
        <v/>
      </c>
      <c r="AE41" s="33" t="str">
        <f>IF(Расчёты!$E19=1,Расчёты!$AY19,"")</f>
        <v/>
      </c>
      <c r="AF41" s="33" t="str">
        <f>IF(Расчёты!$E19=1,Расчёты!$BA19,"")</f>
        <v/>
      </c>
      <c r="AG41" s="33" t="str">
        <f>IF(Расчёты!$E19=1,Расчёты!$BB19,"")</f>
        <v/>
      </c>
      <c r="AH41" s="33" t="str">
        <f>IF(Расчёты!$E19=1,Расчёты!$BC19,"")</f>
        <v/>
      </c>
      <c r="AI41" s="33" t="str">
        <f>IF(Расчёты!$E19=1,Расчёты!$AU19,"")</f>
        <v/>
      </c>
      <c r="AJ41" s="33" t="str">
        <f>IF(Расчёты!$E19=1,Расчёты!$BF19,"")</f>
        <v/>
      </c>
      <c r="AK41" s="33" t="str">
        <f>IF(Расчёты!$E19=1,Расчёты!$BG19,"")</f>
        <v/>
      </c>
      <c r="AM41" s="17" t="str">
        <f t="shared" si="0"/>
        <v/>
      </c>
      <c r="AN41" s="35" t="str">
        <f t="shared" si="1"/>
        <v/>
      </c>
      <c r="AP41" s="17" t="str">
        <f t="shared" si="2"/>
        <v/>
      </c>
      <c r="AQ41" s="35" t="str">
        <f t="shared" si="3"/>
        <v/>
      </c>
      <c r="AV41" s="17" t="str">
        <f t="shared" si="4"/>
        <v/>
      </c>
      <c r="AW41" s="35" t="str">
        <f t="shared" si="5"/>
        <v/>
      </c>
      <c r="AX41" s="35" t="str">
        <f t="shared" si="6"/>
        <v/>
      </c>
    </row>
    <row r="42" spans="1:50" x14ac:dyDescent="0.2">
      <c r="A42" s="18" t="str">
        <f>IF(Расчёты!$E20=1,Расчёты!$B20,"")</f>
        <v/>
      </c>
      <c r="B42" s="34" t="str">
        <f>IF(Расчёты!$E20=1,Расчёты!$D20,"")</f>
        <v/>
      </c>
      <c r="C42" s="33" t="str">
        <f>IF(Расчёты!$E20=1,Расчёты!$Z20,"")</f>
        <v/>
      </c>
      <c r="D42" s="33" t="str">
        <f>IF(Расчёты!$E20=1,Расчёты!$AA20,"")</f>
        <v/>
      </c>
      <c r="E42" s="33" t="str">
        <f>IF(Расчёты!$E20=1,Расчёты!$AB20,"")</f>
        <v/>
      </c>
      <c r="F42" s="33" t="str">
        <f>IF(Расчёты!$E20=1,Расчёты!$AC20,"")</f>
        <v/>
      </c>
      <c r="G42" s="33" t="str">
        <f>IF(Расчёты!$E20=1,Расчёты!$AD20,"")</f>
        <v/>
      </c>
      <c r="H42" s="33" t="str">
        <f>IF(Расчёты!$E20=1,Расчёты!$AI20,"")</f>
        <v/>
      </c>
      <c r="I42" s="33" t="str">
        <f>IF(Расчёты!$E20=1,Расчёты!$AG20,"")</f>
        <v/>
      </c>
      <c r="J42" s="33" t="str">
        <f>IF(Расчёты!$E20=1,Расчёты!$AJ20,"")</f>
        <v/>
      </c>
      <c r="K42" s="33" t="str">
        <f>IF(Расчёты!$E20=1,Расчёты!$AK20,"")</f>
        <v/>
      </c>
      <c r="L42" s="33" t="str">
        <f>IF(Расчёты!$E20=1,Расчёты!$I20,"")</f>
        <v/>
      </c>
      <c r="M42" s="33" t="str">
        <f>IF(Расчёты!$E20=1,Расчёты!$J20,"")</f>
        <v/>
      </c>
      <c r="N42" s="33" t="str">
        <f>IF(Расчёты!$E20=1,Расчёты!$K20,"")</f>
        <v/>
      </c>
      <c r="O42" s="33" t="str">
        <f>IF(Расчёты!$E20=1,Расчёты!$L20,"")</f>
        <v/>
      </c>
      <c r="P42" s="33" t="str">
        <f>IF(Расчёты!$E20=1,Расчёты!$M20,"")</f>
        <v/>
      </c>
      <c r="Q42" s="33" t="str">
        <f>IF(Расчёты!$E20=1,Расчёты!$N20,"")</f>
        <v/>
      </c>
      <c r="R42" s="33" t="str">
        <f>IF(Расчёты!$E20=1,Расчёты!$O20,"")</f>
        <v/>
      </c>
      <c r="S42" s="33" t="str">
        <f>IF(Расчёты!$E20=1,Расчёты!$Q20,"")</f>
        <v/>
      </c>
      <c r="T42" s="33" t="str">
        <f>IF(Расчёты!$E20=1,Расчёты!$S20,"")</f>
        <v/>
      </c>
      <c r="U42" s="33" t="str">
        <f>IF(Расчёты!$E20=1,Расчёты!$U20,"")</f>
        <v/>
      </c>
      <c r="V42" s="33" t="str">
        <f>IF(Расчёты!$E20=1,Расчёты!$W20,"")</f>
        <v/>
      </c>
      <c r="W42" s="33" t="str">
        <f>IF(Расчёты!$E20=1,Расчёты!$X20,"")</f>
        <v/>
      </c>
      <c r="X42" s="33" t="str">
        <f>IF(Расчёты!$E20=1,Расчёты!$Y20,"")</f>
        <v/>
      </c>
      <c r="Y42" s="33" t="str">
        <f>IF(Расчёты!$E20=1,Расчёты!$AL20,"")</f>
        <v/>
      </c>
      <c r="Z42" s="33" t="str">
        <f>IF(Расчёты!$E20=1,Расчёты!$AP20,"")</f>
        <v/>
      </c>
      <c r="AA42" s="33" t="str">
        <f>IF(Расчёты!$E20=1,Расчёты!$AS20,"")</f>
        <v/>
      </c>
      <c r="AB42" s="33" t="str">
        <f>IF(Расчёты!$E20=1,Расчёты!$AV20,"")</f>
        <v/>
      </c>
      <c r="AC42" s="33" t="str">
        <f>IF(Расчёты!$E20=1,Расчёты!$AW20,"")</f>
        <v/>
      </c>
      <c r="AD42" s="33" t="str">
        <f>IF(Расчёты!$E20=1,Расчёты!$AX20,"")</f>
        <v/>
      </c>
      <c r="AE42" s="33" t="str">
        <f>IF(Расчёты!$E20=1,Расчёты!$AY20,"")</f>
        <v/>
      </c>
      <c r="AF42" s="33" t="str">
        <f>IF(Расчёты!$E20=1,Расчёты!$BA20,"")</f>
        <v/>
      </c>
      <c r="AG42" s="33" t="str">
        <f>IF(Расчёты!$E20=1,Расчёты!$BB20,"")</f>
        <v/>
      </c>
      <c r="AH42" s="33" t="str">
        <f>IF(Расчёты!$E20=1,Расчёты!$BC20,"")</f>
        <v/>
      </c>
      <c r="AI42" s="33" t="str">
        <f>IF(Расчёты!$E20=1,Расчёты!$AU20,"")</f>
        <v/>
      </c>
      <c r="AJ42" s="33" t="str">
        <f>IF(Расчёты!$E20=1,Расчёты!$BF20,"")</f>
        <v/>
      </c>
      <c r="AK42" s="33" t="str">
        <f>IF(Расчёты!$E20=1,Расчёты!$BG20,"")</f>
        <v/>
      </c>
      <c r="AM42" s="17" t="str">
        <f t="shared" si="0"/>
        <v/>
      </c>
      <c r="AN42" s="35" t="str">
        <f t="shared" si="1"/>
        <v/>
      </c>
      <c r="AP42" s="17" t="str">
        <f t="shared" si="2"/>
        <v/>
      </c>
      <c r="AQ42" s="35" t="str">
        <f t="shared" si="3"/>
        <v/>
      </c>
      <c r="AV42" s="17" t="str">
        <f t="shared" si="4"/>
        <v/>
      </c>
      <c r="AW42" s="35" t="str">
        <f t="shared" si="5"/>
        <v/>
      </c>
      <c r="AX42" s="35" t="str">
        <f t="shared" si="6"/>
        <v/>
      </c>
    </row>
    <row r="43" spans="1:50" x14ac:dyDescent="0.2">
      <c r="A43" s="18" t="str">
        <f>IF(Расчёты!$E21=1,Расчёты!$B21,"")</f>
        <v/>
      </c>
      <c r="B43" s="34" t="str">
        <f>IF(Расчёты!$E21=1,Расчёты!$D21,"")</f>
        <v/>
      </c>
      <c r="C43" s="33" t="str">
        <f>IF(Расчёты!$E21=1,Расчёты!$Z21,"")</f>
        <v/>
      </c>
      <c r="D43" s="33" t="str">
        <f>IF(Расчёты!$E21=1,Расчёты!$AA21,"")</f>
        <v/>
      </c>
      <c r="E43" s="33" t="str">
        <f>IF(Расчёты!$E21=1,Расчёты!$AB21,"")</f>
        <v/>
      </c>
      <c r="F43" s="33" t="str">
        <f>IF(Расчёты!$E21=1,Расчёты!$AC21,"")</f>
        <v/>
      </c>
      <c r="G43" s="33" t="str">
        <f>IF(Расчёты!$E21=1,Расчёты!$AD21,"")</f>
        <v/>
      </c>
      <c r="H43" s="33" t="str">
        <f>IF(Расчёты!$E21=1,Расчёты!$AI21,"")</f>
        <v/>
      </c>
      <c r="I43" s="33" t="str">
        <f>IF(Расчёты!$E21=1,Расчёты!$AG21,"")</f>
        <v/>
      </c>
      <c r="J43" s="33" t="str">
        <f>IF(Расчёты!$E21=1,Расчёты!$AJ21,"")</f>
        <v/>
      </c>
      <c r="K43" s="33" t="str">
        <f>IF(Расчёты!$E21=1,Расчёты!$AK21,"")</f>
        <v/>
      </c>
      <c r="L43" s="33" t="str">
        <f>IF(Расчёты!$E21=1,Расчёты!$I21,"")</f>
        <v/>
      </c>
      <c r="M43" s="33" t="str">
        <f>IF(Расчёты!$E21=1,Расчёты!$J21,"")</f>
        <v/>
      </c>
      <c r="N43" s="33" t="str">
        <f>IF(Расчёты!$E21=1,Расчёты!$K21,"")</f>
        <v/>
      </c>
      <c r="O43" s="33" t="str">
        <f>IF(Расчёты!$E21=1,Расчёты!$L21,"")</f>
        <v/>
      </c>
      <c r="P43" s="33" t="str">
        <f>IF(Расчёты!$E21=1,Расчёты!$M21,"")</f>
        <v/>
      </c>
      <c r="Q43" s="33" t="str">
        <f>IF(Расчёты!$E21=1,Расчёты!$N21,"")</f>
        <v/>
      </c>
      <c r="R43" s="33" t="str">
        <f>IF(Расчёты!$E21=1,Расчёты!$O21,"")</f>
        <v/>
      </c>
      <c r="S43" s="33" t="str">
        <f>IF(Расчёты!$E21=1,Расчёты!$Q21,"")</f>
        <v/>
      </c>
      <c r="T43" s="33" t="str">
        <f>IF(Расчёты!$E21=1,Расчёты!$S21,"")</f>
        <v/>
      </c>
      <c r="U43" s="33" t="str">
        <f>IF(Расчёты!$E21=1,Расчёты!$U21,"")</f>
        <v/>
      </c>
      <c r="V43" s="33" t="str">
        <f>IF(Расчёты!$E21=1,Расчёты!$W21,"")</f>
        <v/>
      </c>
      <c r="W43" s="33" t="str">
        <f>IF(Расчёты!$E21=1,Расчёты!$X21,"")</f>
        <v/>
      </c>
      <c r="X43" s="33" t="str">
        <f>IF(Расчёты!$E21=1,Расчёты!$Y21,"")</f>
        <v/>
      </c>
      <c r="Y43" s="33" t="str">
        <f>IF(Расчёты!$E21=1,Расчёты!$AL21,"")</f>
        <v/>
      </c>
      <c r="Z43" s="33" t="str">
        <f>IF(Расчёты!$E21=1,Расчёты!$AP21,"")</f>
        <v/>
      </c>
      <c r="AA43" s="33" t="str">
        <f>IF(Расчёты!$E21=1,Расчёты!$AS21,"")</f>
        <v/>
      </c>
      <c r="AB43" s="33" t="str">
        <f>IF(Расчёты!$E21=1,Расчёты!$AV21,"")</f>
        <v/>
      </c>
      <c r="AC43" s="33" t="str">
        <f>IF(Расчёты!$E21=1,Расчёты!$AW21,"")</f>
        <v/>
      </c>
      <c r="AD43" s="33" t="str">
        <f>IF(Расчёты!$E21=1,Расчёты!$AX21,"")</f>
        <v/>
      </c>
      <c r="AE43" s="33" t="str">
        <f>IF(Расчёты!$E21=1,Расчёты!$AY21,"")</f>
        <v/>
      </c>
      <c r="AF43" s="33" t="str">
        <f>IF(Расчёты!$E21=1,Расчёты!$BA21,"")</f>
        <v/>
      </c>
      <c r="AG43" s="33" t="str">
        <f>IF(Расчёты!$E21=1,Расчёты!$BB21,"")</f>
        <v/>
      </c>
      <c r="AH43" s="33" t="str">
        <f>IF(Расчёты!$E21=1,Расчёты!$BC21,"")</f>
        <v/>
      </c>
      <c r="AI43" s="33" t="str">
        <f>IF(Расчёты!$E21=1,Расчёты!$AU21,"")</f>
        <v/>
      </c>
      <c r="AJ43" s="33" t="str">
        <f>IF(Расчёты!$E21=1,Расчёты!$BF21,"")</f>
        <v/>
      </c>
      <c r="AK43" s="33" t="str">
        <f>IF(Расчёты!$E21=1,Расчёты!$BG21,"")</f>
        <v/>
      </c>
      <c r="AM43" s="17" t="str">
        <f t="shared" si="0"/>
        <v/>
      </c>
      <c r="AN43" s="35" t="str">
        <f t="shared" si="1"/>
        <v/>
      </c>
      <c r="AP43" s="17" t="str">
        <f t="shared" si="2"/>
        <v/>
      </c>
      <c r="AQ43" s="35" t="str">
        <f t="shared" si="3"/>
        <v/>
      </c>
      <c r="AV43" s="17" t="str">
        <f t="shared" si="4"/>
        <v/>
      </c>
      <c r="AW43" s="35" t="str">
        <f t="shared" si="5"/>
        <v/>
      </c>
      <c r="AX43" s="35" t="str">
        <f t="shared" si="6"/>
        <v/>
      </c>
    </row>
    <row r="44" spans="1:50" x14ac:dyDescent="0.2">
      <c r="A44" s="18" t="str">
        <f>IF(Расчёты!$E22=1,Расчёты!$B22,"")</f>
        <v/>
      </c>
      <c r="B44" s="34" t="str">
        <f>IF(Расчёты!$E22=1,Расчёты!$D22,"")</f>
        <v/>
      </c>
      <c r="C44" s="33" t="str">
        <f>IF(Расчёты!$E22=1,Расчёты!$Z22,"")</f>
        <v/>
      </c>
      <c r="D44" s="33" t="str">
        <f>IF(Расчёты!$E22=1,Расчёты!$AA22,"")</f>
        <v/>
      </c>
      <c r="E44" s="33" t="str">
        <f>IF(Расчёты!$E22=1,Расчёты!$AB22,"")</f>
        <v/>
      </c>
      <c r="F44" s="33" t="str">
        <f>IF(Расчёты!$E22=1,Расчёты!$AC22,"")</f>
        <v/>
      </c>
      <c r="G44" s="33" t="str">
        <f>IF(Расчёты!$E22=1,Расчёты!$AD22,"")</f>
        <v/>
      </c>
      <c r="H44" s="33" t="str">
        <f>IF(Расчёты!$E22=1,Расчёты!$AI22,"")</f>
        <v/>
      </c>
      <c r="I44" s="33" t="str">
        <f>IF(Расчёты!$E22=1,Расчёты!$AG22,"")</f>
        <v/>
      </c>
      <c r="J44" s="33" t="str">
        <f>IF(Расчёты!$E22=1,Расчёты!$AJ22,"")</f>
        <v/>
      </c>
      <c r="K44" s="33" t="str">
        <f>IF(Расчёты!$E22=1,Расчёты!$AK22,"")</f>
        <v/>
      </c>
      <c r="L44" s="33" t="str">
        <f>IF(Расчёты!$E22=1,Расчёты!$I22,"")</f>
        <v/>
      </c>
      <c r="M44" s="33" t="str">
        <f>IF(Расчёты!$E22=1,Расчёты!$J22,"")</f>
        <v/>
      </c>
      <c r="N44" s="33" t="str">
        <f>IF(Расчёты!$E22=1,Расчёты!$K22,"")</f>
        <v/>
      </c>
      <c r="O44" s="33" t="str">
        <f>IF(Расчёты!$E22=1,Расчёты!$L22,"")</f>
        <v/>
      </c>
      <c r="P44" s="33" t="str">
        <f>IF(Расчёты!$E22=1,Расчёты!$M22,"")</f>
        <v/>
      </c>
      <c r="Q44" s="33" t="str">
        <f>IF(Расчёты!$E22=1,Расчёты!$N22,"")</f>
        <v/>
      </c>
      <c r="R44" s="33" t="str">
        <f>IF(Расчёты!$E22=1,Расчёты!$O22,"")</f>
        <v/>
      </c>
      <c r="S44" s="33" t="str">
        <f>IF(Расчёты!$E22=1,Расчёты!$Q22,"")</f>
        <v/>
      </c>
      <c r="T44" s="33" t="str">
        <f>IF(Расчёты!$E22=1,Расчёты!$S22,"")</f>
        <v/>
      </c>
      <c r="U44" s="33" t="str">
        <f>IF(Расчёты!$E22=1,Расчёты!$U22,"")</f>
        <v/>
      </c>
      <c r="V44" s="33" t="str">
        <f>IF(Расчёты!$E22=1,Расчёты!$W22,"")</f>
        <v/>
      </c>
      <c r="W44" s="33" t="str">
        <f>IF(Расчёты!$E22=1,Расчёты!$X22,"")</f>
        <v/>
      </c>
      <c r="X44" s="33" t="str">
        <f>IF(Расчёты!$E22=1,Расчёты!$Y22,"")</f>
        <v/>
      </c>
      <c r="Y44" s="33" t="str">
        <f>IF(Расчёты!$E22=1,Расчёты!$AL22,"")</f>
        <v/>
      </c>
      <c r="Z44" s="33" t="str">
        <f>IF(Расчёты!$E22=1,Расчёты!$AP22,"")</f>
        <v/>
      </c>
      <c r="AA44" s="33" t="str">
        <f>IF(Расчёты!$E22=1,Расчёты!$AS22,"")</f>
        <v/>
      </c>
      <c r="AB44" s="33" t="str">
        <f>IF(Расчёты!$E22=1,Расчёты!$AV22,"")</f>
        <v/>
      </c>
      <c r="AC44" s="33" t="str">
        <f>IF(Расчёты!$E22=1,Расчёты!$AW22,"")</f>
        <v/>
      </c>
      <c r="AD44" s="33" t="str">
        <f>IF(Расчёты!$E22=1,Расчёты!$AX22,"")</f>
        <v/>
      </c>
      <c r="AE44" s="33" t="str">
        <f>IF(Расчёты!$E22=1,Расчёты!$AY22,"")</f>
        <v/>
      </c>
      <c r="AF44" s="33" t="str">
        <f>IF(Расчёты!$E22=1,Расчёты!$BA22,"")</f>
        <v/>
      </c>
      <c r="AG44" s="33" t="str">
        <f>IF(Расчёты!$E22=1,Расчёты!$BB22,"")</f>
        <v/>
      </c>
      <c r="AH44" s="33" t="str">
        <f>IF(Расчёты!$E22=1,Расчёты!$BC22,"")</f>
        <v/>
      </c>
      <c r="AI44" s="33" t="str">
        <f>IF(Расчёты!$E22=1,Расчёты!$AU22,"")</f>
        <v/>
      </c>
      <c r="AJ44" s="33" t="str">
        <f>IF(Расчёты!$E22=1,Расчёты!$BF22,"")</f>
        <v/>
      </c>
      <c r="AK44" s="33" t="str">
        <f>IF(Расчёты!$E22=1,Расчёты!$BG22,"")</f>
        <v/>
      </c>
      <c r="AM44" s="17" t="str">
        <f t="shared" si="0"/>
        <v/>
      </c>
      <c r="AN44" s="35" t="str">
        <f t="shared" si="1"/>
        <v/>
      </c>
      <c r="AP44" s="17" t="str">
        <f t="shared" si="2"/>
        <v/>
      </c>
      <c r="AQ44" s="35" t="str">
        <f t="shared" si="3"/>
        <v/>
      </c>
      <c r="AV44" s="17" t="str">
        <f t="shared" si="4"/>
        <v/>
      </c>
      <c r="AW44" s="35" t="str">
        <f t="shared" si="5"/>
        <v/>
      </c>
      <c r="AX44" s="35" t="str">
        <f t="shared" si="6"/>
        <v/>
      </c>
    </row>
    <row r="45" spans="1:50" x14ac:dyDescent="0.2">
      <c r="A45" s="18" t="str">
        <f>IF(Расчёты!$E23=1,Расчёты!$B23,"")</f>
        <v/>
      </c>
      <c r="B45" s="34" t="str">
        <f>IF(Расчёты!$E23=1,Расчёты!$D23,"")</f>
        <v/>
      </c>
      <c r="C45" s="33" t="str">
        <f>IF(Расчёты!$E23=1,Расчёты!$Z23,"")</f>
        <v/>
      </c>
      <c r="D45" s="33" t="str">
        <f>IF(Расчёты!$E23=1,Расчёты!$AA23,"")</f>
        <v/>
      </c>
      <c r="E45" s="33" t="str">
        <f>IF(Расчёты!$E23=1,Расчёты!$AB23,"")</f>
        <v/>
      </c>
      <c r="F45" s="33" t="str">
        <f>IF(Расчёты!$E23=1,Расчёты!$AC23,"")</f>
        <v/>
      </c>
      <c r="G45" s="33" t="str">
        <f>IF(Расчёты!$E23=1,Расчёты!$AD23,"")</f>
        <v/>
      </c>
      <c r="H45" s="33" t="str">
        <f>IF(Расчёты!$E23=1,Расчёты!$AI23,"")</f>
        <v/>
      </c>
      <c r="I45" s="33" t="str">
        <f>IF(Расчёты!$E23=1,Расчёты!$AG23,"")</f>
        <v/>
      </c>
      <c r="J45" s="33" t="str">
        <f>IF(Расчёты!$E23=1,Расчёты!$AJ23,"")</f>
        <v/>
      </c>
      <c r="K45" s="33" t="str">
        <f>IF(Расчёты!$E23=1,Расчёты!$AK23,"")</f>
        <v/>
      </c>
      <c r="L45" s="33" t="str">
        <f>IF(Расчёты!$E23=1,Расчёты!$I23,"")</f>
        <v/>
      </c>
      <c r="M45" s="33" t="str">
        <f>IF(Расчёты!$E23=1,Расчёты!$J23,"")</f>
        <v/>
      </c>
      <c r="N45" s="33" t="str">
        <f>IF(Расчёты!$E23=1,Расчёты!$K23,"")</f>
        <v/>
      </c>
      <c r="O45" s="33" t="str">
        <f>IF(Расчёты!$E23=1,Расчёты!$L23,"")</f>
        <v/>
      </c>
      <c r="P45" s="33" t="str">
        <f>IF(Расчёты!$E23=1,Расчёты!$M23,"")</f>
        <v/>
      </c>
      <c r="Q45" s="33" t="str">
        <f>IF(Расчёты!$E23=1,Расчёты!$N23,"")</f>
        <v/>
      </c>
      <c r="R45" s="33" t="str">
        <f>IF(Расчёты!$E23=1,Расчёты!$O23,"")</f>
        <v/>
      </c>
      <c r="S45" s="33" t="str">
        <f>IF(Расчёты!$E23=1,Расчёты!$Q23,"")</f>
        <v/>
      </c>
      <c r="T45" s="33" t="str">
        <f>IF(Расчёты!$E23=1,Расчёты!$S23,"")</f>
        <v/>
      </c>
      <c r="U45" s="33" t="str">
        <f>IF(Расчёты!$E23=1,Расчёты!$U23,"")</f>
        <v/>
      </c>
      <c r="V45" s="33" t="str">
        <f>IF(Расчёты!$E23=1,Расчёты!$W23,"")</f>
        <v/>
      </c>
      <c r="W45" s="33" t="str">
        <f>IF(Расчёты!$E23=1,Расчёты!$X23,"")</f>
        <v/>
      </c>
      <c r="X45" s="33" t="str">
        <f>IF(Расчёты!$E23=1,Расчёты!$Y23,"")</f>
        <v/>
      </c>
      <c r="Y45" s="33" t="str">
        <f>IF(Расчёты!$E23=1,Расчёты!$AL23,"")</f>
        <v/>
      </c>
      <c r="Z45" s="33" t="str">
        <f>IF(Расчёты!$E23=1,Расчёты!$AP23,"")</f>
        <v/>
      </c>
      <c r="AA45" s="33" t="str">
        <f>IF(Расчёты!$E23=1,Расчёты!$AS23,"")</f>
        <v/>
      </c>
      <c r="AB45" s="33" t="str">
        <f>IF(Расчёты!$E23=1,Расчёты!$AV23,"")</f>
        <v/>
      </c>
      <c r="AC45" s="33" t="str">
        <f>IF(Расчёты!$E23=1,Расчёты!$AW23,"")</f>
        <v/>
      </c>
      <c r="AD45" s="33" t="str">
        <f>IF(Расчёты!$E23=1,Расчёты!$AX23,"")</f>
        <v/>
      </c>
      <c r="AE45" s="33" t="str">
        <f>IF(Расчёты!$E23=1,Расчёты!$AY23,"")</f>
        <v/>
      </c>
      <c r="AF45" s="33" t="str">
        <f>IF(Расчёты!$E23=1,Расчёты!$BA23,"")</f>
        <v/>
      </c>
      <c r="AG45" s="33" t="str">
        <f>IF(Расчёты!$E23=1,Расчёты!$BB23,"")</f>
        <v/>
      </c>
      <c r="AH45" s="33" t="str">
        <f>IF(Расчёты!$E23=1,Расчёты!$BC23,"")</f>
        <v/>
      </c>
      <c r="AI45" s="33" t="str">
        <f>IF(Расчёты!$E23=1,Расчёты!$AU23,"")</f>
        <v/>
      </c>
      <c r="AJ45" s="33" t="str">
        <f>IF(Расчёты!$E23=1,Расчёты!$BF23,"")</f>
        <v/>
      </c>
      <c r="AK45" s="33" t="str">
        <f>IF(Расчёты!$E23=1,Расчёты!$BG23,"")</f>
        <v/>
      </c>
      <c r="AM45" s="17" t="str">
        <f t="shared" si="0"/>
        <v/>
      </c>
      <c r="AN45" s="35" t="str">
        <f t="shared" si="1"/>
        <v/>
      </c>
      <c r="AP45" s="17" t="str">
        <f t="shared" si="2"/>
        <v/>
      </c>
      <c r="AQ45" s="35" t="str">
        <f t="shared" si="3"/>
        <v/>
      </c>
      <c r="AV45" s="17" t="str">
        <f t="shared" si="4"/>
        <v/>
      </c>
      <c r="AW45" s="35" t="str">
        <f t="shared" si="5"/>
        <v/>
      </c>
      <c r="AX45" s="35" t="str">
        <f t="shared" si="6"/>
        <v/>
      </c>
    </row>
    <row r="46" spans="1:50" x14ac:dyDescent="0.2">
      <c r="A46" s="18" t="str">
        <f>IF(Расчёты!$E24=1,Расчёты!$B24,"")</f>
        <v/>
      </c>
      <c r="B46" s="34" t="str">
        <f>IF(Расчёты!$E24=1,Расчёты!$D24,"")</f>
        <v/>
      </c>
      <c r="C46" s="33" t="str">
        <f>IF(Расчёты!$E24=1,Расчёты!$Z24,"")</f>
        <v/>
      </c>
      <c r="D46" s="33" t="str">
        <f>IF(Расчёты!$E24=1,Расчёты!$AA24,"")</f>
        <v/>
      </c>
      <c r="E46" s="33" t="str">
        <f>IF(Расчёты!$E24=1,Расчёты!$AB24,"")</f>
        <v/>
      </c>
      <c r="F46" s="33" t="str">
        <f>IF(Расчёты!$E24=1,Расчёты!$AC24,"")</f>
        <v/>
      </c>
      <c r="G46" s="33" t="str">
        <f>IF(Расчёты!$E24=1,Расчёты!$AD24,"")</f>
        <v/>
      </c>
      <c r="H46" s="33" t="str">
        <f>IF(Расчёты!$E24=1,Расчёты!$AI24,"")</f>
        <v/>
      </c>
      <c r="I46" s="33" t="str">
        <f>IF(Расчёты!$E24=1,Расчёты!$AG24,"")</f>
        <v/>
      </c>
      <c r="J46" s="33" t="str">
        <f>IF(Расчёты!$E24=1,Расчёты!$AJ24,"")</f>
        <v/>
      </c>
      <c r="K46" s="33" t="str">
        <f>IF(Расчёты!$E24=1,Расчёты!$AK24,"")</f>
        <v/>
      </c>
      <c r="L46" s="33" t="str">
        <f>IF(Расчёты!$E24=1,Расчёты!$I24,"")</f>
        <v/>
      </c>
      <c r="M46" s="33" t="str">
        <f>IF(Расчёты!$E24=1,Расчёты!$J24,"")</f>
        <v/>
      </c>
      <c r="N46" s="33" t="str">
        <f>IF(Расчёты!$E24=1,Расчёты!$K24,"")</f>
        <v/>
      </c>
      <c r="O46" s="33" t="str">
        <f>IF(Расчёты!$E24=1,Расчёты!$L24,"")</f>
        <v/>
      </c>
      <c r="P46" s="33" t="str">
        <f>IF(Расчёты!$E24=1,Расчёты!$M24,"")</f>
        <v/>
      </c>
      <c r="Q46" s="33" t="str">
        <f>IF(Расчёты!$E24=1,Расчёты!$N24,"")</f>
        <v/>
      </c>
      <c r="R46" s="33" t="str">
        <f>IF(Расчёты!$E24=1,Расчёты!$O24,"")</f>
        <v/>
      </c>
      <c r="S46" s="33" t="str">
        <f>IF(Расчёты!$E24=1,Расчёты!$Q24,"")</f>
        <v/>
      </c>
      <c r="T46" s="33" t="str">
        <f>IF(Расчёты!$E24=1,Расчёты!$S24,"")</f>
        <v/>
      </c>
      <c r="U46" s="33" t="str">
        <f>IF(Расчёты!$E24=1,Расчёты!$U24,"")</f>
        <v/>
      </c>
      <c r="V46" s="33" t="str">
        <f>IF(Расчёты!$E24=1,Расчёты!$W24,"")</f>
        <v/>
      </c>
      <c r="W46" s="33" t="str">
        <f>IF(Расчёты!$E24=1,Расчёты!$X24,"")</f>
        <v/>
      </c>
      <c r="X46" s="33" t="str">
        <f>IF(Расчёты!$E24=1,Расчёты!$Y24,"")</f>
        <v/>
      </c>
      <c r="Y46" s="33" t="str">
        <f>IF(Расчёты!$E24=1,Расчёты!$AL24,"")</f>
        <v/>
      </c>
      <c r="Z46" s="33" t="str">
        <f>IF(Расчёты!$E24=1,Расчёты!$AP24,"")</f>
        <v/>
      </c>
      <c r="AA46" s="33" t="str">
        <f>IF(Расчёты!$E24=1,Расчёты!$AS24,"")</f>
        <v/>
      </c>
      <c r="AB46" s="33" t="str">
        <f>IF(Расчёты!$E24=1,Расчёты!$AV24,"")</f>
        <v/>
      </c>
      <c r="AC46" s="33" t="str">
        <f>IF(Расчёты!$E24=1,Расчёты!$AW24,"")</f>
        <v/>
      </c>
      <c r="AD46" s="33" t="str">
        <f>IF(Расчёты!$E24=1,Расчёты!$AX24,"")</f>
        <v/>
      </c>
      <c r="AE46" s="33" t="str">
        <f>IF(Расчёты!$E24=1,Расчёты!$AY24,"")</f>
        <v/>
      </c>
      <c r="AF46" s="33" t="str">
        <f>IF(Расчёты!$E24=1,Расчёты!$BA24,"")</f>
        <v/>
      </c>
      <c r="AG46" s="33" t="str">
        <f>IF(Расчёты!$E24=1,Расчёты!$BB24,"")</f>
        <v/>
      </c>
      <c r="AH46" s="33" t="str">
        <f>IF(Расчёты!$E24=1,Расчёты!$BC24,"")</f>
        <v/>
      </c>
      <c r="AI46" s="33" t="str">
        <f>IF(Расчёты!$E24=1,Расчёты!$AU24,"")</f>
        <v/>
      </c>
      <c r="AJ46" s="33" t="str">
        <f>IF(Расчёты!$E24=1,Расчёты!$BF24,"")</f>
        <v/>
      </c>
      <c r="AK46" s="33" t="str">
        <f>IF(Расчёты!$E24=1,Расчёты!$BG24,"")</f>
        <v/>
      </c>
      <c r="AM46" s="17" t="str">
        <f t="shared" si="0"/>
        <v/>
      </c>
      <c r="AN46" s="35" t="str">
        <f t="shared" si="1"/>
        <v/>
      </c>
      <c r="AP46" s="17" t="str">
        <f t="shared" si="2"/>
        <v/>
      </c>
      <c r="AQ46" s="35" t="str">
        <f t="shared" si="3"/>
        <v/>
      </c>
      <c r="AV46" s="17" t="str">
        <f t="shared" si="4"/>
        <v/>
      </c>
      <c r="AW46" s="35" t="str">
        <f t="shared" si="5"/>
        <v/>
      </c>
      <c r="AX46" s="35" t="str">
        <f t="shared" si="6"/>
        <v/>
      </c>
    </row>
    <row r="47" spans="1:50" x14ac:dyDescent="0.2">
      <c r="A47" s="18" t="str">
        <f>IF(Расчёты!$E25=1,Расчёты!$B25,"")</f>
        <v/>
      </c>
      <c r="B47" s="34" t="str">
        <f>IF(Расчёты!$E25=1,Расчёты!$D25,"")</f>
        <v/>
      </c>
      <c r="C47" s="33" t="str">
        <f>IF(Расчёты!$E25=1,Расчёты!$Z25,"")</f>
        <v/>
      </c>
      <c r="D47" s="33" t="str">
        <f>IF(Расчёты!$E25=1,Расчёты!$AA25,"")</f>
        <v/>
      </c>
      <c r="E47" s="33" t="str">
        <f>IF(Расчёты!$E25=1,Расчёты!$AB25,"")</f>
        <v/>
      </c>
      <c r="F47" s="33" t="str">
        <f>IF(Расчёты!$E25=1,Расчёты!$AC25,"")</f>
        <v/>
      </c>
      <c r="G47" s="33" t="str">
        <f>IF(Расчёты!$E25=1,Расчёты!$AD25,"")</f>
        <v/>
      </c>
      <c r="H47" s="33" t="str">
        <f>IF(Расчёты!$E25=1,Расчёты!$AI25,"")</f>
        <v/>
      </c>
      <c r="I47" s="33" t="str">
        <f>IF(Расчёты!$E25=1,Расчёты!$AG25,"")</f>
        <v/>
      </c>
      <c r="J47" s="33" t="str">
        <f>IF(Расчёты!$E25=1,Расчёты!$AJ25,"")</f>
        <v/>
      </c>
      <c r="K47" s="33" t="str">
        <f>IF(Расчёты!$E25=1,Расчёты!$AK25,"")</f>
        <v/>
      </c>
      <c r="L47" s="33" t="str">
        <f>IF(Расчёты!$E25=1,Расчёты!$I25,"")</f>
        <v/>
      </c>
      <c r="M47" s="33" t="str">
        <f>IF(Расчёты!$E25=1,Расчёты!$J25,"")</f>
        <v/>
      </c>
      <c r="N47" s="33" t="str">
        <f>IF(Расчёты!$E25=1,Расчёты!$K25,"")</f>
        <v/>
      </c>
      <c r="O47" s="33" t="str">
        <f>IF(Расчёты!$E25=1,Расчёты!$L25,"")</f>
        <v/>
      </c>
      <c r="P47" s="33" t="str">
        <f>IF(Расчёты!$E25=1,Расчёты!$M25,"")</f>
        <v/>
      </c>
      <c r="Q47" s="33" t="str">
        <f>IF(Расчёты!$E25=1,Расчёты!$N25,"")</f>
        <v/>
      </c>
      <c r="R47" s="33" t="str">
        <f>IF(Расчёты!$E25=1,Расчёты!$O25,"")</f>
        <v/>
      </c>
      <c r="S47" s="33" t="str">
        <f>IF(Расчёты!$E25=1,Расчёты!$Q25,"")</f>
        <v/>
      </c>
      <c r="T47" s="33" t="str">
        <f>IF(Расчёты!$E25=1,Расчёты!$S25,"")</f>
        <v/>
      </c>
      <c r="U47" s="33" t="str">
        <f>IF(Расчёты!$E25=1,Расчёты!$U25,"")</f>
        <v/>
      </c>
      <c r="V47" s="33" t="str">
        <f>IF(Расчёты!$E25=1,Расчёты!$W25,"")</f>
        <v/>
      </c>
      <c r="W47" s="33" t="str">
        <f>IF(Расчёты!$E25=1,Расчёты!$X25,"")</f>
        <v/>
      </c>
      <c r="X47" s="33" t="str">
        <f>IF(Расчёты!$E25=1,Расчёты!$Y25,"")</f>
        <v/>
      </c>
      <c r="Y47" s="33" t="str">
        <f>IF(Расчёты!$E25=1,Расчёты!$AL25,"")</f>
        <v/>
      </c>
      <c r="Z47" s="33" t="str">
        <f>IF(Расчёты!$E25=1,Расчёты!$AP25,"")</f>
        <v/>
      </c>
      <c r="AA47" s="33" t="str">
        <f>IF(Расчёты!$E25=1,Расчёты!$AS25,"")</f>
        <v/>
      </c>
      <c r="AB47" s="33" t="str">
        <f>IF(Расчёты!$E25=1,Расчёты!$AV25,"")</f>
        <v/>
      </c>
      <c r="AC47" s="33" t="str">
        <f>IF(Расчёты!$E25=1,Расчёты!$AW25,"")</f>
        <v/>
      </c>
      <c r="AD47" s="33" t="str">
        <f>IF(Расчёты!$E25=1,Расчёты!$AX25,"")</f>
        <v/>
      </c>
      <c r="AE47" s="33" t="str">
        <f>IF(Расчёты!$E25=1,Расчёты!$AY25,"")</f>
        <v/>
      </c>
      <c r="AF47" s="33" t="str">
        <f>IF(Расчёты!$E25=1,Расчёты!$BA25,"")</f>
        <v/>
      </c>
      <c r="AG47" s="33" t="str">
        <f>IF(Расчёты!$E25=1,Расчёты!$BB25,"")</f>
        <v/>
      </c>
      <c r="AH47" s="33" t="str">
        <f>IF(Расчёты!$E25=1,Расчёты!$BC25,"")</f>
        <v/>
      </c>
      <c r="AI47" s="33" t="str">
        <f>IF(Расчёты!$E25=1,Расчёты!$AU25,"")</f>
        <v/>
      </c>
      <c r="AJ47" s="33" t="str">
        <f>IF(Расчёты!$E25=1,Расчёты!$BF25,"")</f>
        <v/>
      </c>
      <c r="AK47" s="33" t="str">
        <f>IF(Расчёты!$E25=1,Расчёты!$BG25,"")</f>
        <v/>
      </c>
      <c r="AM47" s="17" t="str">
        <f t="shared" si="0"/>
        <v/>
      </c>
      <c r="AN47" s="35" t="str">
        <f t="shared" si="1"/>
        <v/>
      </c>
      <c r="AP47" s="17" t="str">
        <f t="shared" si="2"/>
        <v/>
      </c>
      <c r="AQ47" s="35" t="str">
        <f t="shared" si="3"/>
        <v/>
      </c>
      <c r="AV47" s="17" t="str">
        <f t="shared" si="4"/>
        <v/>
      </c>
      <c r="AW47" s="35" t="str">
        <f t="shared" si="5"/>
        <v/>
      </c>
      <c r="AX47" s="35" t="str">
        <f t="shared" si="6"/>
        <v/>
      </c>
    </row>
    <row r="48" spans="1:50" x14ac:dyDescent="0.2">
      <c r="A48" s="18" t="str">
        <f>IF(Расчёты!$E26=1,Расчёты!$B26,"")</f>
        <v/>
      </c>
      <c r="B48" s="34" t="str">
        <f>IF(Расчёты!$E26=1,Расчёты!$D26,"")</f>
        <v/>
      </c>
      <c r="C48" s="33" t="str">
        <f>IF(Расчёты!$E26=1,Расчёты!$Z26,"")</f>
        <v/>
      </c>
      <c r="D48" s="33" t="str">
        <f>IF(Расчёты!$E26=1,Расчёты!$AA26,"")</f>
        <v/>
      </c>
      <c r="E48" s="33" t="str">
        <f>IF(Расчёты!$E26=1,Расчёты!$AB26,"")</f>
        <v/>
      </c>
      <c r="F48" s="33" t="str">
        <f>IF(Расчёты!$E26=1,Расчёты!$AC26,"")</f>
        <v/>
      </c>
      <c r="G48" s="33" t="str">
        <f>IF(Расчёты!$E26=1,Расчёты!$AD26,"")</f>
        <v/>
      </c>
      <c r="H48" s="33" t="str">
        <f>IF(Расчёты!$E26=1,Расчёты!$AI26,"")</f>
        <v/>
      </c>
      <c r="I48" s="33" t="str">
        <f>IF(Расчёты!$E26=1,Расчёты!$AG26,"")</f>
        <v/>
      </c>
      <c r="J48" s="33" t="str">
        <f>IF(Расчёты!$E26=1,Расчёты!$AJ26,"")</f>
        <v/>
      </c>
      <c r="K48" s="33" t="str">
        <f>IF(Расчёты!$E26=1,Расчёты!$AK26,"")</f>
        <v/>
      </c>
      <c r="L48" s="33" t="str">
        <f>IF(Расчёты!$E26=1,Расчёты!$I26,"")</f>
        <v/>
      </c>
      <c r="M48" s="33" t="str">
        <f>IF(Расчёты!$E26=1,Расчёты!$J26,"")</f>
        <v/>
      </c>
      <c r="N48" s="33" t="str">
        <f>IF(Расчёты!$E26=1,Расчёты!$K26,"")</f>
        <v/>
      </c>
      <c r="O48" s="33" t="str">
        <f>IF(Расчёты!$E26=1,Расчёты!$L26,"")</f>
        <v/>
      </c>
      <c r="P48" s="33" t="str">
        <f>IF(Расчёты!$E26=1,Расчёты!$M26,"")</f>
        <v/>
      </c>
      <c r="Q48" s="33" t="str">
        <f>IF(Расчёты!$E26=1,Расчёты!$N26,"")</f>
        <v/>
      </c>
      <c r="R48" s="33" t="str">
        <f>IF(Расчёты!$E26=1,Расчёты!$O26,"")</f>
        <v/>
      </c>
      <c r="S48" s="33" t="str">
        <f>IF(Расчёты!$E26=1,Расчёты!$Q26,"")</f>
        <v/>
      </c>
      <c r="T48" s="33" t="str">
        <f>IF(Расчёты!$E26=1,Расчёты!$S26,"")</f>
        <v/>
      </c>
      <c r="U48" s="33" t="str">
        <f>IF(Расчёты!$E26=1,Расчёты!$U26,"")</f>
        <v/>
      </c>
      <c r="V48" s="33" t="str">
        <f>IF(Расчёты!$E26=1,Расчёты!$W26,"")</f>
        <v/>
      </c>
      <c r="W48" s="33" t="str">
        <f>IF(Расчёты!$E26=1,Расчёты!$X26,"")</f>
        <v/>
      </c>
      <c r="X48" s="33" t="str">
        <f>IF(Расчёты!$E26=1,Расчёты!$Y26,"")</f>
        <v/>
      </c>
      <c r="Y48" s="33" t="str">
        <f>IF(Расчёты!$E26=1,Расчёты!$AL26,"")</f>
        <v/>
      </c>
      <c r="Z48" s="33" t="str">
        <f>IF(Расчёты!$E26=1,Расчёты!$AP26,"")</f>
        <v/>
      </c>
      <c r="AA48" s="33" t="str">
        <f>IF(Расчёты!$E26=1,Расчёты!$AS26,"")</f>
        <v/>
      </c>
      <c r="AB48" s="33" t="str">
        <f>IF(Расчёты!$E26=1,Расчёты!$AV26,"")</f>
        <v/>
      </c>
      <c r="AC48" s="33" t="str">
        <f>IF(Расчёты!$E26=1,Расчёты!$AW26,"")</f>
        <v/>
      </c>
      <c r="AD48" s="33" t="str">
        <f>IF(Расчёты!$E26=1,Расчёты!$AX26,"")</f>
        <v/>
      </c>
      <c r="AE48" s="33" t="str">
        <f>IF(Расчёты!$E26=1,Расчёты!$AY26,"")</f>
        <v/>
      </c>
      <c r="AF48" s="33" t="str">
        <f>IF(Расчёты!$E26=1,Расчёты!$BA26,"")</f>
        <v/>
      </c>
      <c r="AG48" s="33" t="str">
        <f>IF(Расчёты!$E26=1,Расчёты!$BB26,"")</f>
        <v/>
      </c>
      <c r="AH48" s="33" t="str">
        <f>IF(Расчёты!$E26=1,Расчёты!$BC26,"")</f>
        <v/>
      </c>
      <c r="AI48" s="33" t="str">
        <f>IF(Расчёты!$E26=1,Расчёты!$AU26,"")</f>
        <v/>
      </c>
      <c r="AJ48" s="33" t="str">
        <f>IF(Расчёты!$E26=1,Расчёты!$BF26,"")</f>
        <v/>
      </c>
      <c r="AK48" s="33" t="str">
        <f>IF(Расчёты!$E26=1,Расчёты!$BG26,"")</f>
        <v/>
      </c>
      <c r="AM48" s="17" t="str">
        <f t="shared" si="0"/>
        <v/>
      </c>
      <c r="AN48" s="35" t="str">
        <f t="shared" si="1"/>
        <v/>
      </c>
      <c r="AP48" s="17" t="str">
        <f t="shared" si="2"/>
        <v/>
      </c>
      <c r="AQ48" s="35" t="str">
        <f t="shared" si="3"/>
        <v/>
      </c>
      <c r="AV48" s="17" t="str">
        <f t="shared" si="4"/>
        <v/>
      </c>
      <c r="AW48" s="35" t="str">
        <f t="shared" si="5"/>
        <v/>
      </c>
      <c r="AX48" s="35" t="str">
        <f t="shared" si="6"/>
        <v/>
      </c>
    </row>
    <row r="49" spans="1:50" x14ac:dyDescent="0.2">
      <c r="A49" s="18" t="str">
        <f>IF(Расчёты!$E27=1,Расчёты!$B27,"")</f>
        <v/>
      </c>
      <c r="B49" s="34" t="str">
        <f>IF(Расчёты!$E27=1,Расчёты!$D27,"")</f>
        <v/>
      </c>
      <c r="C49" s="33" t="str">
        <f>IF(Расчёты!$E27=1,Расчёты!$Z27,"")</f>
        <v/>
      </c>
      <c r="D49" s="33" t="str">
        <f>IF(Расчёты!$E27=1,Расчёты!$AA27,"")</f>
        <v/>
      </c>
      <c r="E49" s="33" t="str">
        <f>IF(Расчёты!$E27=1,Расчёты!$AB27,"")</f>
        <v/>
      </c>
      <c r="F49" s="33" t="str">
        <f>IF(Расчёты!$E27=1,Расчёты!$AC27,"")</f>
        <v/>
      </c>
      <c r="G49" s="33" t="str">
        <f>IF(Расчёты!$E27=1,Расчёты!$AD27,"")</f>
        <v/>
      </c>
      <c r="H49" s="33" t="str">
        <f>IF(Расчёты!$E27=1,Расчёты!$AI27,"")</f>
        <v/>
      </c>
      <c r="I49" s="33" t="str">
        <f>IF(Расчёты!$E27=1,Расчёты!$AG27,"")</f>
        <v/>
      </c>
      <c r="J49" s="33" t="str">
        <f>IF(Расчёты!$E27=1,Расчёты!$AJ27,"")</f>
        <v/>
      </c>
      <c r="K49" s="33" t="str">
        <f>IF(Расчёты!$E27=1,Расчёты!$AK27,"")</f>
        <v/>
      </c>
      <c r="L49" s="33" t="str">
        <f>IF(Расчёты!$E27=1,Расчёты!$I27,"")</f>
        <v/>
      </c>
      <c r="M49" s="33" t="str">
        <f>IF(Расчёты!$E27=1,Расчёты!$J27,"")</f>
        <v/>
      </c>
      <c r="N49" s="33" t="str">
        <f>IF(Расчёты!$E27=1,Расчёты!$K27,"")</f>
        <v/>
      </c>
      <c r="O49" s="33" t="str">
        <f>IF(Расчёты!$E27=1,Расчёты!$L27,"")</f>
        <v/>
      </c>
      <c r="P49" s="33" t="str">
        <f>IF(Расчёты!$E27=1,Расчёты!$M27,"")</f>
        <v/>
      </c>
      <c r="Q49" s="33" t="str">
        <f>IF(Расчёты!$E27=1,Расчёты!$N27,"")</f>
        <v/>
      </c>
      <c r="R49" s="33" t="str">
        <f>IF(Расчёты!$E27=1,Расчёты!$O27,"")</f>
        <v/>
      </c>
      <c r="S49" s="33" t="str">
        <f>IF(Расчёты!$E27=1,Расчёты!$Q27,"")</f>
        <v/>
      </c>
      <c r="T49" s="33" t="str">
        <f>IF(Расчёты!$E27=1,Расчёты!$S27,"")</f>
        <v/>
      </c>
      <c r="U49" s="33" t="str">
        <f>IF(Расчёты!$E27=1,Расчёты!$U27,"")</f>
        <v/>
      </c>
      <c r="V49" s="33" t="str">
        <f>IF(Расчёты!$E27=1,Расчёты!$W27,"")</f>
        <v/>
      </c>
      <c r="W49" s="33" t="str">
        <f>IF(Расчёты!$E27=1,Расчёты!$X27,"")</f>
        <v/>
      </c>
      <c r="X49" s="33" t="str">
        <f>IF(Расчёты!$E27=1,Расчёты!$Y27,"")</f>
        <v/>
      </c>
      <c r="Y49" s="33" t="str">
        <f>IF(Расчёты!$E27=1,Расчёты!$AL27,"")</f>
        <v/>
      </c>
      <c r="Z49" s="33" t="str">
        <f>IF(Расчёты!$E27=1,Расчёты!$AP27,"")</f>
        <v/>
      </c>
      <c r="AA49" s="33" t="str">
        <f>IF(Расчёты!$E27=1,Расчёты!$AS27,"")</f>
        <v/>
      </c>
      <c r="AB49" s="33" t="str">
        <f>IF(Расчёты!$E27=1,Расчёты!$AV27,"")</f>
        <v/>
      </c>
      <c r="AC49" s="33" t="str">
        <f>IF(Расчёты!$E27=1,Расчёты!$AW27,"")</f>
        <v/>
      </c>
      <c r="AD49" s="33" t="str">
        <f>IF(Расчёты!$E27=1,Расчёты!$AX27,"")</f>
        <v/>
      </c>
      <c r="AE49" s="33" t="str">
        <f>IF(Расчёты!$E27=1,Расчёты!$AY27,"")</f>
        <v/>
      </c>
      <c r="AF49" s="33" t="str">
        <f>IF(Расчёты!$E27=1,Расчёты!$BA27,"")</f>
        <v/>
      </c>
      <c r="AG49" s="33" t="str">
        <f>IF(Расчёты!$E27=1,Расчёты!$BB27,"")</f>
        <v/>
      </c>
      <c r="AH49" s="33" t="str">
        <f>IF(Расчёты!$E27=1,Расчёты!$BC27,"")</f>
        <v/>
      </c>
      <c r="AI49" s="33" t="str">
        <f>IF(Расчёты!$E27=1,Расчёты!$AU27,"")</f>
        <v/>
      </c>
      <c r="AJ49" s="33" t="str">
        <f>IF(Расчёты!$E27=1,Расчёты!$BF27,"")</f>
        <v/>
      </c>
      <c r="AK49" s="33" t="str">
        <f>IF(Расчёты!$E27=1,Расчёты!$BG27,"")</f>
        <v/>
      </c>
      <c r="AM49" s="17" t="str">
        <f t="shared" si="0"/>
        <v/>
      </c>
      <c r="AN49" s="35" t="str">
        <f t="shared" si="1"/>
        <v/>
      </c>
      <c r="AP49" s="17" t="str">
        <f t="shared" si="2"/>
        <v/>
      </c>
      <c r="AQ49" s="35" t="str">
        <f t="shared" si="3"/>
        <v/>
      </c>
      <c r="AV49" s="17" t="str">
        <f t="shared" si="4"/>
        <v/>
      </c>
      <c r="AW49" s="35" t="str">
        <f t="shared" si="5"/>
        <v/>
      </c>
      <c r="AX49" s="35" t="str">
        <f t="shared" si="6"/>
        <v/>
      </c>
    </row>
    <row r="50" spans="1:50" x14ac:dyDescent="0.2">
      <c r="A50" s="18" t="str">
        <f>IF(Расчёты!$E28=1,Расчёты!$B28,"")</f>
        <v/>
      </c>
      <c r="B50" s="34" t="str">
        <f>IF(Расчёты!$E28=1,Расчёты!$D28,"")</f>
        <v/>
      </c>
      <c r="C50" s="33" t="str">
        <f>IF(Расчёты!$E28=1,Расчёты!$Z28,"")</f>
        <v/>
      </c>
      <c r="D50" s="33" t="str">
        <f>IF(Расчёты!$E28=1,Расчёты!$AA28,"")</f>
        <v/>
      </c>
      <c r="E50" s="33" t="str">
        <f>IF(Расчёты!$E28=1,Расчёты!$AB28,"")</f>
        <v/>
      </c>
      <c r="F50" s="33" t="str">
        <f>IF(Расчёты!$E28=1,Расчёты!$AC28,"")</f>
        <v/>
      </c>
      <c r="G50" s="33" t="str">
        <f>IF(Расчёты!$E28=1,Расчёты!$AD28,"")</f>
        <v/>
      </c>
      <c r="H50" s="33" t="str">
        <f>IF(Расчёты!$E28=1,Расчёты!$AI28,"")</f>
        <v/>
      </c>
      <c r="I50" s="33" t="str">
        <f>IF(Расчёты!$E28=1,Расчёты!$AG28,"")</f>
        <v/>
      </c>
      <c r="J50" s="33" t="str">
        <f>IF(Расчёты!$E28=1,Расчёты!$AJ28,"")</f>
        <v/>
      </c>
      <c r="K50" s="33" t="str">
        <f>IF(Расчёты!$E28=1,Расчёты!$AK28,"")</f>
        <v/>
      </c>
      <c r="L50" s="33" t="str">
        <f>IF(Расчёты!$E28=1,Расчёты!$I28,"")</f>
        <v/>
      </c>
      <c r="M50" s="33" t="str">
        <f>IF(Расчёты!$E28=1,Расчёты!$J28,"")</f>
        <v/>
      </c>
      <c r="N50" s="33" t="str">
        <f>IF(Расчёты!$E28=1,Расчёты!$K28,"")</f>
        <v/>
      </c>
      <c r="O50" s="33" t="str">
        <f>IF(Расчёты!$E28=1,Расчёты!$L28,"")</f>
        <v/>
      </c>
      <c r="P50" s="33" t="str">
        <f>IF(Расчёты!$E28=1,Расчёты!$M28,"")</f>
        <v/>
      </c>
      <c r="Q50" s="33" t="str">
        <f>IF(Расчёты!$E28=1,Расчёты!$N28,"")</f>
        <v/>
      </c>
      <c r="R50" s="33" t="str">
        <f>IF(Расчёты!$E28=1,Расчёты!$O28,"")</f>
        <v/>
      </c>
      <c r="S50" s="33" t="str">
        <f>IF(Расчёты!$E28=1,Расчёты!$Q28,"")</f>
        <v/>
      </c>
      <c r="T50" s="33" t="str">
        <f>IF(Расчёты!$E28=1,Расчёты!$S28,"")</f>
        <v/>
      </c>
      <c r="U50" s="33" t="str">
        <f>IF(Расчёты!$E28=1,Расчёты!$U28,"")</f>
        <v/>
      </c>
      <c r="V50" s="33" t="str">
        <f>IF(Расчёты!$E28=1,Расчёты!$W28,"")</f>
        <v/>
      </c>
      <c r="W50" s="33" t="str">
        <f>IF(Расчёты!$E28=1,Расчёты!$X28,"")</f>
        <v/>
      </c>
      <c r="X50" s="33" t="str">
        <f>IF(Расчёты!$E28=1,Расчёты!$Y28,"")</f>
        <v/>
      </c>
      <c r="Y50" s="33" t="str">
        <f>IF(Расчёты!$E28=1,Расчёты!$AL28,"")</f>
        <v/>
      </c>
      <c r="Z50" s="33" t="str">
        <f>IF(Расчёты!$E28=1,Расчёты!$AP28,"")</f>
        <v/>
      </c>
      <c r="AA50" s="33" t="str">
        <f>IF(Расчёты!$E28=1,Расчёты!$AS28,"")</f>
        <v/>
      </c>
      <c r="AB50" s="33" t="str">
        <f>IF(Расчёты!$E28=1,Расчёты!$AV28,"")</f>
        <v/>
      </c>
      <c r="AC50" s="33" t="str">
        <f>IF(Расчёты!$E28=1,Расчёты!$AW28,"")</f>
        <v/>
      </c>
      <c r="AD50" s="33" t="str">
        <f>IF(Расчёты!$E28=1,Расчёты!$AX28,"")</f>
        <v/>
      </c>
      <c r="AE50" s="33" t="str">
        <f>IF(Расчёты!$E28=1,Расчёты!$AY28,"")</f>
        <v/>
      </c>
      <c r="AF50" s="33" t="str">
        <f>IF(Расчёты!$E28=1,Расчёты!$BA28,"")</f>
        <v/>
      </c>
      <c r="AG50" s="33" t="str">
        <f>IF(Расчёты!$E28=1,Расчёты!$BB28,"")</f>
        <v/>
      </c>
      <c r="AH50" s="33" t="str">
        <f>IF(Расчёты!$E28=1,Расчёты!$BC28,"")</f>
        <v/>
      </c>
      <c r="AI50" s="33" t="str">
        <f>IF(Расчёты!$E28=1,Расчёты!$AU28,"")</f>
        <v/>
      </c>
      <c r="AJ50" s="33" t="str">
        <f>IF(Расчёты!$E28=1,Расчёты!$BF28,"")</f>
        <v/>
      </c>
      <c r="AK50" s="33" t="str">
        <f>IF(Расчёты!$E28=1,Расчёты!$BG28,"")</f>
        <v/>
      </c>
      <c r="AM50" s="17" t="str">
        <f t="shared" si="0"/>
        <v/>
      </c>
      <c r="AN50" s="35" t="str">
        <f t="shared" si="1"/>
        <v/>
      </c>
      <c r="AP50" s="17" t="str">
        <f t="shared" si="2"/>
        <v/>
      </c>
      <c r="AQ50" s="35" t="str">
        <f t="shared" si="3"/>
        <v/>
      </c>
      <c r="AV50" s="17" t="str">
        <f t="shared" si="4"/>
        <v/>
      </c>
      <c r="AW50" s="35" t="str">
        <f t="shared" si="5"/>
        <v/>
      </c>
      <c r="AX50" s="35" t="str">
        <f t="shared" si="6"/>
        <v/>
      </c>
    </row>
    <row r="51" spans="1:50" x14ac:dyDescent="0.2">
      <c r="A51" s="18" t="str">
        <f>IF(Расчёты!$E29=1,Расчёты!$B29,"")</f>
        <v/>
      </c>
      <c r="B51" s="34" t="str">
        <f>IF(Расчёты!$E29=1,Расчёты!$D29,"")</f>
        <v/>
      </c>
      <c r="C51" s="33" t="str">
        <f>IF(Расчёты!$E29=1,Расчёты!$Z29,"")</f>
        <v/>
      </c>
      <c r="D51" s="33" t="str">
        <f>IF(Расчёты!$E29=1,Расчёты!$AA29,"")</f>
        <v/>
      </c>
      <c r="E51" s="33" t="str">
        <f>IF(Расчёты!$E29=1,Расчёты!$AB29,"")</f>
        <v/>
      </c>
      <c r="F51" s="33" t="str">
        <f>IF(Расчёты!$E29=1,Расчёты!$AC29,"")</f>
        <v/>
      </c>
      <c r="G51" s="33" t="str">
        <f>IF(Расчёты!$E29=1,Расчёты!$AD29,"")</f>
        <v/>
      </c>
      <c r="H51" s="33" t="str">
        <f>IF(Расчёты!$E29=1,Расчёты!$AI29,"")</f>
        <v/>
      </c>
      <c r="I51" s="33" t="str">
        <f>IF(Расчёты!$E29=1,Расчёты!$AG29,"")</f>
        <v/>
      </c>
      <c r="J51" s="33" t="str">
        <f>IF(Расчёты!$E29=1,Расчёты!$AJ29,"")</f>
        <v/>
      </c>
      <c r="K51" s="33" t="str">
        <f>IF(Расчёты!$E29=1,Расчёты!$AK29,"")</f>
        <v/>
      </c>
      <c r="L51" s="33" t="str">
        <f>IF(Расчёты!$E29=1,Расчёты!$I29,"")</f>
        <v/>
      </c>
      <c r="M51" s="33" t="str">
        <f>IF(Расчёты!$E29=1,Расчёты!$J29,"")</f>
        <v/>
      </c>
      <c r="N51" s="33" t="str">
        <f>IF(Расчёты!$E29=1,Расчёты!$K29,"")</f>
        <v/>
      </c>
      <c r="O51" s="33" t="str">
        <f>IF(Расчёты!$E29=1,Расчёты!$L29,"")</f>
        <v/>
      </c>
      <c r="P51" s="33" t="str">
        <f>IF(Расчёты!$E29=1,Расчёты!$M29,"")</f>
        <v/>
      </c>
      <c r="Q51" s="33" t="str">
        <f>IF(Расчёты!$E29=1,Расчёты!$N29,"")</f>
        <v/>
      </c>
      <c r="R51" s="33" t="str">
        <f>IF(Расчёты!$E29=1,Расчёты!$O29,"")</f>
        <v/>
      </c>
      <c r="S51" s="33" t="str">
        <f>IF(Расчёты!$E29=1,Расчёты!$Q29,"")</f>
        <v/>
      </c>
      <c r="T51" s="33" t="str">
        <f>IF(Расчёты!$E29=1,Расчёты!$S29,"")</f>
        <v/>
      </c>
      <c r="U51" s="33" t="str">
        <f>IF(Расчёты!$E29=1,Расчёты!$U29,"")</f>
        <v/>
      </c>
      <c r="V51" s="33" t="str">
        <f>IF(Расчёты!$E29=1,Расчёты!$W29,"")</f>
        <v/>
      </c>
      <c r="W51" s="33" t="str">
        <f>IF(Расчёты!$E29=1,Расчёты!$X29,"")</f>
        <v/>
      </c>
      <c r="X51" s="33" t="str">
        <f>IF(Расчёты!$E29=1,Расчёты!$Y29,"")</f>
        <v/>
      </c>
      <c r="Y51" s="33" t="str">
        <f>IF(Расчёты!$E29=1,Расчёты!$AL29,"")</f>
        <v/>
      </c>
      <c r="Z51" s="33" t="str">
        <f>IF(Расчёты!$E29=1,Расчёты!$AP29,"")</f>
        <v/>
      </c>
      <c r="AA51" s="33" t="str">
        <f>IF(Расчёты!$E29=1,Расчёты!$AS29,"")</f>
        <v/>
      </c>
      <c r="AB51" s="33" t="str">
        <f>IF(Расчёты!$E29=1,Расчёты!$AV29,"")</f>
        <v/>
      </c>
      <c r="AC51" s="33" t="str">
        <f>IF(Расчёты!$E29=1,Расчёты!$AW29,"")</f>
        <v/>
      </c>
      <c r="AD51" s="33" t="str">
        <f>IF(Расчёты!$E29=1,Расчёты!$AX29,"")</f>
        <v/>
      </c>
      <c r="AE51" s="33" t="str">
        <f>IF(Расчёты!$E29=1,Расчёты!$AY29,"")</f>
        <v/>
      </c>
      <c r="AF51" s="33" t="str">
        <f>IF(Расчёты!$E29=1,Расчёты!$BA29,"")</f>
        <v/>
      </c>
      <c r="AG51" s="33" t="str">
        <f>IF(Расчёты!$E29=1,Расчёты!$BB29,"")</f>
        <v/>
      </c>
      <c r="AH51" s="33" t="str">
        <f>IF(Расчёты!$E29=1,Расчёты!$BC29,"")</f>
        <v/>
      </c>
      <c r="AI51" s="33" t="str">
        <f>IF(Расчёты!$E29=1,Расчёты!$AU29,"")</f>
        <v/>
      </c>
      <c r="AJ51" s="33" t="str">
        <f>IF(Расчёты!$E29=1,Расчёты!$BF29,"")</f>
        <v/>
      </c>
      <c r="AK51" s="33" t="str">
        <f>IF(Расчёты!$E29=1,Расчёты!$BG29,"")</f>
        <v/>
      </c>
      <c r="AM51" s="17" t="str">
        <f t="shared" si="0"/>
        <v/>
      </c>
      <c r="AN51" s="35" t="str">
        <f t="shared" si="1"/>
        <v/>
      </c>
      <c r="AP51" s="17" t="str">
        <f t="shared" si="2"/>
        <v/>
      </c>
      <c r="AQ51" s="35" t="str">
        <f t="shared" si="3"/>
        <v/>
      </c>
      <c r="AV51" s="17" t="str">
        <f t="shared" si="4"/>
        <v/>
      </c>
      <c r="AW51" s="35" t="str">
        <f t="shared" si="5"/>
        <v/>
      </c>
      <c r="AX51" s="35" t="str">
        <f t="shared" si="6"/>
        <v/>
      </c>
    </row>
    <row r="52" spans="1:50" x14ac:dyDescent="0.2">
      <c r="A52" s="18" t="str">
        <f>IF(Расчёты!$E30=1,Расчёты!$B30,"")</f>
        <v/>
      </c>
      <c r="B52" s="34" t="str">
        <f>IF(Расчёты!$E30=1,Расчёты!$D30,"")</f>
        <v/>
      </c>
      <c r="C52" s="33" t="str">
        <f>IF(Расчёты!$E30=1,Расчёты!$Z30,"")</f>
        <v/>
      </c>
      <c r="D52" s="33" t="str">
        <f>IF(Расчёты!$E30=1,Расчёты!$AA30,"")</f>
        <v/>
      </c>
      <c r="E52" s="33" t="str">
        <f>IF(Расчёты!$E30=1,Расчёты!$AB30,"")</f>
        <v/>
      </c>
      <c r="F52" s="33" t="str">
        <f>IF(Расчёты!$E30=1,Расчёты!$AC30,"")</f>
        <v/>
      </c>
      <c r="G52" s="33" t="str">
        <f>IF(Расчёты!$E30=1,Расчёты!$AD30,"")</f>
        <v/>
      </c>
      <c r="H52" s="33" t="str">
        <f>IF(Расчёты!$E30=1,Расчёты!$AI30,"")</f>
        <v/>
      </c>
      <c r="I52" s="33" t="str">
        <f>IF(Расчёты!$E30=1,Расчёты!$AG30,"")</f>
        <v/>
      </c>
      <c r="J52" s="33" t="str">
        <f>IF(Расчёты!$E30=1,Расчёты!$AJ30,"")</f>
        <v/>
      </c>
      <c r="K52" s="33" t="str">
        <f>IF(Расчёты!$E30=1,Расчёты!$AK30,"")</f>
        <v/>
      </c>
      <c r="L52" s="33" t="str">
        <f>IF(Расчёты!$E30=1,Расчёты!$I30,"")</f>
        <v/>
      </c>
      <c r="M52" s="33" t="str">
        <f>IF(Расчёты!$E30=1,Расчёты!$J30,"")</f>
        <v/>
      </c>
      <c r="N52" s="33" t="str">
        <f>IF(Расчёты!$E30=1,Расчёты!$K30,"")</f>
        <v/>
      </c>
      <c r="O52" s="33" t="str">
        <f>IF(Расчёты!$E30=1,Расчёты!$L30,"")</f>
        <v/>
      </c>
      <c r="P52" s="33" t="str">
        <f>IF(Расчёты!$E30=1,Расчёты!$M30,"")</f>
        <v/>
      </c>
      <c r="Q52" s="33" t="str">
        <f>IF(Расчёты!$E30=1,Расчёты!$N30,"")</f>
        <v/>
      </c>
      <c r="R52" s="33" t="str">
        <f>IF(Расчёты!$E30=1,Расчёты!$O30,"")</f>
        <v/>
      </c>
      <c r="S52" s="33" t="str">
        <f>IF(Расчёты!$E30=1,Расчёты!$Q30,"")</f>
        <v/>
      </c>
      <c r="T52" s="33" t="str">
        <f>IF(Расчёты!$E30=1,Расчёты!$S30,"")</f>
        <v/>
      </c>
      <c r="U52" s="33" t="str">
        <f>IF(Расчёты!$E30=1,Расчёты!$U30,"")</f>
        <v/>
      </c>
      <c r="V52" s="33" t="str">
        <f>IF(Расчёты!$E30=1,Расчёты!$W30,"")</f>
        <v/>
      </c>
      <c r="W52" s="33" t="str">
        <f>IF(Расчёты!$E30=1,Расчёты!$X30,"")</f>
        <v/>
      </c>
      <c r="X52" s="33" t="str">
        <f>IF(Расчёты!$E30=1,Расчёты!$Y30,"")</f>
        <v/>
      </c>
      <c r="Y52" s="33" t="str">
        <f>IF(Расчёты!$E30=1,Расчёты!$AL30,"")</f>
        <v/>
      </c>
      <c r="Z52" s="33" t="str">
        <f>IF(Расчёты!$E30=1,Расчёты!$AP30,"")</f>
        <v/>
      </c>
      <c r="AA52" s="33" t="str">
        <f>IF(Расчёты!$E30=1,Расчёты!$AS30,"")</f>
        <v/>
      </c>
      <c r="AB52" s="33" t="str">
        <f>IF(Расчёты!$E30=1,Расчёты!$AV30,"")</f>
        <v/>
      </c>
      <c r="AC52" s="33" t="str">
        <f>IF(Расчёты!$E30=1,Расчёты!$AW30,"")</f>
        <v/>
      </c>
      <c r="AD52" s="33" t="str">
        <f>IF(Расчёты!$E30=1,Расчёты!$AX30,"")</f>
        <v/>
      </c>
      <c r="AE52" s="33" t="str">
        <f>IF(Расчёты!$E30=1,Расчёты!$AY30,"")</f>
        <v/>
      </c>
      <c r="AF52" s="33" t="str">
        <f>IF(Расчёты!$E30=1,Расчёты!$BA30,"")</f>
        <v/>
      </c>
      <c r="AG52" s="33" t="str">
        <f>IF(Расчёты!$E30=1,Расчёты!$BB30,"")</f>
        <v/>
      </c>
      <c r="AH52" s="33" t="str">
        <f>IF(Расчёты!$E30=1,Расчёты!$BC30,"")</f>
        <v/>
      </c>
      <c r="AI52" s="33" t="str">
        <f>IF(Расчёты!$E30=1,Расчёты!$AU30,"")</f>
        <v/>
      </c>
      <c r="AJ52" s="33" t="str">
        <f>IF(Расчёты!$E30=1,Расчёты!$BF30,"")</f>
        <v/>
      </c>
      <c r="AK52" s="33" t="str">
        <f>IF(Расчёты!$E30=1,Расчёты!$BG30,"")</f>
        <v/>
      </c>
      <c r="AM52" s="17" t="str">
        <f t="shared" si="0"/>
        <v/>
      </c>
      <c r="AN52" s="35" t="str">
        <f t="shared" si="1"/>
        <v/>
      </c>
      <c r="AP52" s="17" t="str">
        <f t="shared" si="2"/>
        <v/>
      </c>
      <c r="AQ52" s="35" t="str">
        <f t="shared" si="3"/>
        <v/>
      </c>
      <c r="AV52" s="17" t="str">
        <f t="shared" si="4"/>
        <v/>
      </c>
      <c r="AW52" s="35" t="str">
        <f t="shared" si="5"/>
        <v/>
      </c>
      <c r="AX52" s="35" t="str">
        <f t="shared" si="6"/>
        <v/>
      </c>
    </row>
    <row r="53" spans="1:50" x14ac:dyDescent="0.2">
      <c r="A53" s="18" t="str">
        <f>IF(Расчёты!$E31=1,Расчёты!$B31,"")</f>
        <v/>
      </c>
      <c r="B53" s="34" t="str">
        <f>IF(Расчёты!$E31=1,Расчёты!$D31,"")</f>
        <v/>
      </c>
      <c r="C53" s="33" t="str">
        <f>IF(Расчёты!$E31=1,Расчёты!$Z31,"")</f>
        <v/>
      </c>
      <c r="D53" s="33" t="str">
        <f>IF(Расчёты!$E31=1,Расчёты!$AA31,"")</f>
        <v/>
      </c>
      <c r="E53" s="33" t="str">
        <f>IF(Расчёты!$E31=1,Расчёты!$AB31,"")</f>
        <v/>
      </c>
      <c r="F53" s="33" t="str">
        <f>IF(Расчёты!$E31=1,Расчёты!$AC31,"")</f>
        <v/>
      </c>
      <c r="G53" s="33" t="str">
        <f>IF(Расчёты!$E31=1,Расчёты!$AD31,"")</f>
        <v/>
      </c>
      <c r="H53" s="33" t="str">
        <f>IF(Расчёты!$E31=1,Расчёты!$AI31,"")</f>
        <v/>
      </c>
      <c r="I53" s="33" t="str">
        <f>IF(Расчёты!$E31=1,Расчёты!$AG31,"")</f>
        <v/>
      </c>
      <c r="J53" s="33" t="str">
        <f>IF(Расчёты!$E31=1,Расчёты!$AJ31,"")</f>
        <v/>
      </c>
      <c r="K53" s="33" t="str">
        <f>IF(Расчёты!$E31=1,Расчёты!$AK31,"")</f>
        <v/>
      </c>
      <c r="L53" s="33" t="str">
        <f>IF(Расчёты!$E31=1,Расчёты!$I31,"")</f>
        <v/>
      </c>
      <c r="M53" s="33" t="str">
        <f>IF(Расчёты!$E31=1,Расчёты!$J31,"")</f>
        <v/>
      </c>
      <c r="N53" s="33" t="str">
        <f>IF(Расчёты!$E31=1,Расчёты!$K31,"")</f>
        <v/>
      </c>
      <c r="O53" s="33" t="str">
        <f>IF(Расчёты!$E31=1,Расчёты!$L31,"")</f>
        <v/>
      </c>
      <c r="P53" s="33" t="str">
        <f>IF(Расчёты!$E31=1,Расчёты!$M31,"")</f>
        <v/>
      </c>
      <c r="Q53" s="33" t="str">
        <f>IF(Расчёты!$E31=1,Расчёты!$N31,"")</f>
        <v/>
      </c>
      <c r="R53" s="33" t="str">
        <f>IF(Расчёты!$E31=1,Расчёты!$O31,"")</f>
        <v/>
      </c>
      <c r="S53" s="33" t="str">
        <f>IF(Расчёты!$E31=1,Расчёты!$Q31,"")</f>
        <v/>
      </c>
      <c r="T53" s="33" t="str">
        <f>IF(Расчёты!$E31=1,Расчёты!$S31,"")</f>
        <v/>
      </c>
      <c r="U53" s="33" t="str">
        <f>IF(Расчёты!$E31=1,Расчёты!$U31,"")</f>
        <v/>
      </c>
      <c r="V53" s="33" t="str">
        <f>IF(Расчёты!$E31=1,Расчёты!$W31,"")</f>
        <v/>
      </c>
      <c r="W53" s="33" t="str">
        <f>IF(Расчёты!$E31=1,Расчёты!$X31,"")</f>
        <v/>
      </c>
      <c r="X53" s="33" t="str">
        <f>IF(Расчёты!$E31=1,Расчёты!$Y31,"")</f>
        <v/>
      </c>
      <c r="Y53" s="33" t="str">
        <f>IF(Расчёты!$E31=1,Расчёты!$AL31,"")</f>
        <v/>
      </c>
      <c r="Z53" s="33" t="str">
        <f>IF(Расчёты!$E31=1,Расчёты!$AP31,"")</f>
        <v/>
      </c>
      <c r="AA53" s="33" t="str">
        <f>IF(Расчёты!$E31=1,Расчёты!$AS31,"")</f>
        <v/>
      </c>
      <c r="AB53" s="33" t="str">
        <f>IF(Расчёты!$E31=1,Расчёты!$AV31,"")</f>
        <v/>
      </c>
      <c r="AC53" s="33" t="str">
        <f>IF(Расчёты!$E31=1,Расчёты!$AW31,"")</f>
        <v/>
      </c>
      <c r="AD53" s="33" t="str">
        <f>IF(Расчёты!$E31=1,Расчёты!$AX31,"")</f>
        <v/>
      </c>
      <c r="AE53" s="33" t="str">
        <f>IF(Расчёты!$E31=1,Расчёты!$AY31,"")</f>
        <v/>
      </c>
      <c r="AF53" s="33" t="str">
        <f>IF(Расчёты!$E31=1,Расчёты!$BA31,"")</f>
        <v/>
      </c>
      <c r="AG53" s="33" t="str">
        <f>IF(Расчёты!$E31=1,Расчёты!$BB31,"")</f>
        <v/>
      </c>
      <c r="AH53" s="33" t="str">
        <f>IF(Расчёты!$E31=1,Расчёты!$BC31,"")</f>
        <v/>
      </c>
      <c r="AI53" s="33" t="str">
        <f>IF(Расчёты!$E31=1,Расчёты!$AU31,"")</f>
        <v/>
      </c>
      <c r="AJ53" s="33" t="str">
        <f>IF(Расчёты!$E31=1,Расчёты!$BF31,"")</f>
        <v/>
      </c>
      <c r="AK53" s="33" t="str">
        <f>IF(Расчёты!$E31=1,Расчёты!$BG31,"")</f>
        <v/>
      </c>
      <c r="AM53" s="17" t="str">
        <f t="shared" si="0"/>
        <v/>
      </c>
      <c r="AN53" s="35" t="str">
        <f t="shared" si="1"/>
        <v/>
      </c>
      <c r="AP53" s="17" t="str">
        <f t="shared" si="2"/>
        <v/>
      </c>
      <c r="AQ53" s="35" t="str">
        <f t="shared" si="3"/>
        <v/>
      </c>
      <c r="AV53" s="17" t="str">
        <f t="shared" si="4"/>
        <v/>
      </c>
      <c r="AW53" s="35" t="str">
        <f t="shared" si="5"/>
        <v/>
      </c>
      <c r="AX53" s="35" t="str">
        <f t="shared" si="6"/>
        <v/>
      </c>
    </row>
    <row r="54" spans="1:50" x14ac:dyDescent="0.2">
      <c r="A54" s="18" t="str">
        <f>IF(Расчёты!$E32=1,Расчёты!$B32,"")</f>
        <v/>
      </c>
      <c r="B54" s="34" t="str">
        <f>IF(Расчёты!$E32=1,Расчёты!$D32,"")</f>
        <v/>
      </c>
      <c r="C54" s="33" t="str">
        <f>IF(Расчёты!$E32=1,Расчёты!$Z32,"")</f>
        <v/>
      </c>
      <c r="D54" s="33" t="str">
        <f>IF(Расчёты!$E32=1,Расчёты!$AA32,"")</f>
        <v/>
      </c>
      <c r="E54" s="33" t="str">
        <f>IF(Расчёты!$E32=1,Расчёты!$AB32,"")</f>
        <v/>
      </c>
      <c r="F54" s="33" t="str">
        <f>IF(Расчёты!$E32=1,Расчёты!$AC32,"")</f>
        <v/>
      </c>
      <c r="G54" s="33" t="str">
        <f>IF(Расчёты!$E32=1,Расчёты!$AD32,"")</f>
        <v/>
      </c>
      <c r="H54" s="33" t="str">
        <f>IF(Расчёты!$E32=1,Расчёты!$AI32,"")</f>
        <v/>
      </c>
      <c r="I54" s="33" t="str">
        <f>IF(Расчёты!$E32=1,Расчёты!$AG32,"")</f>
        <v/>
      </c>
      <c r="J54" s="33" t="str">
        <f>IF(Расчёты!$E32=1,Расчёты!$AJ32,"")</f>
        <v/>
      </c>
      <c r="K54" s="33" t="str">
        <f>IF(Расчёты!$E32=1,Расчёты!$AK32,"")</f>
        <v/>
      </c>
      <c r="L54" s="33" t="str">
        <f>IF(Расчёты!$E32=1,Расчёты!$I32,"")</f>
        <v/>
      </c>
      <c r="M54" s="33" t="str">
        <f>IF(Расчёты!$E32=1,Расчёты!$J32,"")</f>
        <v/>
      </c>
      <c r="N54" s="33" t="str">
        <f>IF(Расчёты!$E32=1,Расчёты!$K32,"")</f>
        <v/>
      </c>
      <c r="O54" s="33" t="str">
        <f>IF(Расчёты!$E32=1,Расчёты!$L32,"")</f>
        <v/>
      </c>
      <c r="P54" s="33" t="str">
        <f>IF(Расчёты!$E32=1,Расчёты!$M32,"")</f>
        <v/>
      </c>
      <c r="Q54" s="33" t="str">
        <f>IF(Расчёты!$E32=1,Расчёты!$N32,"")</f>
        <v/>
      </c>
      <c r="R54" s="33" t="str">
        <f>IF(Расчёты!$E32=1,Расчёты!$O32,"")</f>
        <v/>
      </c>
      <c r="S54" s="33" t="str">
        <f>IF(Расчёты!$E32=1,Расчёты!$Q32,"")</f>
        <v/>
      </c>
      <c r="T54" s="33" t="str">
        <f>IF(Расчёты!$E32=1,Расчёты!$S32,"")</f>
        <v/>
      </c>
      <c r="U54" s="33" t="str">
        <f>IF(Расчёты!$E32=1,Расчёты!$U32,"")</f>
        <v/>
      </c>
      <c r="V54" s="33" t="str">
        <f>IF(Расчёты!$E32=1,Расчёты!$W32,"")</f>
        <v/>
      </c>
      <c r="W54" s="33" t="str">
        <f>IF(Расчёты!$E32=1,Расчёты!$X32,"")</f>
        <v/>
      </c>
      <c r="X54" s="33" t="str">
        <f>IF(Расчёты!$E32=1,Расчёты!$Y32,"")</f>
        <v/>
      </c>
      <c r="Y54" s="33" t="str">
        <f>IF(Расчёты!$E32=1,Расчёты!$AL32,"")</f>
        <v/>
      </c>
      <c r="Z54" s="33" t="str">
        <f>IF(Расчёты!$E32=1,Расчёты!$AP32,"")</f>
        <v/>
      </c>
      <c r="AA54" s="33" t="str">
        <f>IF(Расчёты!$E32=1,Расчёты!$AS32,"")</f>
        <v/>
      </c>
      <c r="AB54" s="33" t="str">
        <f>IF(Расчёты!$E32=1,Расчёты!$AV32,"")</f>
        <v/>
      </c>
      <c r="AC54" s="33" t="str">
        <f>IF(Расчёты!$E32=1,Расчёты!$AW32,"")</f>
        <v/>
      </c>
      <c r="AD54" s="33" t="str">
        <f>IF(Расчёты!$E32=1,Расчёты!$AX32,"")</f>
        <v/>
      </c>
      <c r="AE54" s="33" t="str">
        <f>IF(Расчёты!$E32=1,Расчёты!$AY32,"")</f>
        <v/>
      </c>
      <c r="AF54" s="33" t="str">
        <f>IF(Расчёты!$E32=1,Расчёты!$BA32,"")</f>
        <v/>
      </c>
      <c r="AG54" s="33" t="str">
        <f>IF(Расчёты!$E32=1,Расчёты!$BB32,"")</f>
        <v/>
      </c>
      <c r="AH54" s="33" t="str">
        <f>IF(Расчёты!$E32=1,Расчёты!$BC32,"")</f>
        <v/>
      </c>
      <c r="AI54" s="33" t="str">
        <f>IF(Расчёты!$E32=1,Расчёты!$AU32,"")</f>
        <v/>
      </c>
      <c r="AJ54" s="33" t="str">
        <f>IF(Расчёты!$E32=1,Расчёты!$BF32,"")</f>
        <v/>
      </c>
      <c r="AK54" s="33" t="str">
        <f>IF(Расчёты!$E32=1,Расчёты!$BG32,"")</f>
        <v/>
      </c>
      <c r="AM54" s="17" t="str">
        <f t="shared" si="0"/>
        <v/>
      </c>
      <c r="AN54" s="35" t="str">
        <f t="shared" si="1"/>
        <v/>
      </c>
      <c r="AP54" s="17" t="str">
        <f t="shared" si="2"/>
        <v/>
      </c>
      <c r="AQ54" s="35" t="str">
        <f t="shared" si="3"/>
        <v/>
      </c>
      <c r="AV54" s="17" t="str">
        <f t="shared" si="4"/>
        <v/>
      </c>
      <c r="AW54" s="35" t="str">
        <f t="shared" si="5"/>
        <v/>
      </c>
      <c r="AX54" s="35" t="str">
        <f t="shared" si="6"/>
        <v/>
      </c>
    </row>
    <row r="55" spans="1:50" x14ac:dyDescent="0.2">
      <c r="A55" s="18" t="str">
        <f>IF(Расчёты!$E33=1,Расчёты!$B33,"")</f>
        <v/>
      </c>
      <c r="B55" s="34" t="str">
        <f>IF(Расчёты!$E33=1,Расчёты!$D33,"")</f>
        <v/>
      </c>
      <c r="C55" s="33" t="str">
        <f>IF(Расчёты!$E33=1,Расчёты!$Z33,"")</f>
        <v/>
      </c>
      <c r="D55" s="33" t="str">
        <f>IF(Расчёты!$E33=1,Расчёты!$AA33,"")</f>
        <v/>
      </c>
      <c r="E55" s="33" t="str">
        <f>IF(Расчёты!$E33=1,Расчёты!$AB33,"")</f>
        <v/>
      </c>
      <c r="F55" s="33" t="str">
        <f>IF(Расчёты!$E33=1,Расчёты!$AC33,"")</f>
        <v/>
      </c>
      <c r="G55" s="33" t="str">
        <f>IF(Расчёты!$E33=1,Расчёты!$AD33,"")</f>
        <v/>
      </c>
      <c r="H55" s="33" t="str">
        <f>IF(Расчёты!$E33=1,Расчёты!$AI33,"")</f>
        <v/>
      </c>
      <c r="I55" s="33" t="str">
        <f>IF(Расчёты!$E33=1,Расчёты!$AG33,"")</f>
        <v/>
      </c>
      <c r="J55" s="33" t="str">
        <f>IF(Расчёты!$E33=1,Расчёты!$AJ33,"")</f>
        <v/>
      </c>
      <c r="K55" s="33" t="str">
        <f>IF(Расчёты!$E33=1,Расчёты!$AK33,"")</f>
        <v/>
      </c>
      <c r="L55" s="33" t="str">
        <f>IF(Расчёты!$E33=1,Расчёты!$I33,"")</f>
        <v/>
      </c>
      <c r="M55" s="33" t="str">
        <f>IF(Расчёты!$E33=1,Расчёты!$J33,"")</f>
        <v/>
      </c>
      <c r="N55" s="33" t="str">
        <f>IF(Расчёты!$E33=1,Расчёты!$K33,"")</f>
        <v/>
      </c>
      <c r="O55" s="33" t="str">
        <f>IF(Расчёты!$E33=1,Расчёты!$L33,"")</f>
        <v/>
      </c>
      <c r="P55" s="33" t="str">
        <f>IF(Расчёты!$E33=1,Расчёты!$M33,"")</f>
        <v/>
      </c>
      <c r="Q55" s="33" t="str">
        <f>IF(Расчёты!$E33=1,Расчёты!$N33,"")</f>
        <v/>
      </c>
      <c r="R55" s="33" t="str">
        <f>IF(Расчёты!$E33=1,Расчёты!$O33,"")</f>
        <v/>
      </c>
      <c r="S55" s="33" t="str">
        <f>IF(Расчёты!$E33=1,Расчёты!$Q33,"")</f>
        <v/>
      </c>
      <c r="T55" s="33" t="str">
        <f>IF(Расчёты!$E33=1,Расчёты!$S33,"")</f>
        <v/>
      </c>
      <c r="U55" s="33" t="str">
        <f>IF(Расчёты!$E33=1,Расчёты!$U33,"")</f>
        <v/>
      </c>
      <c r="V55" s="33" t="str">
        <f>IF(Расчёты!$E33=1,Расчёты!$W33,"")</f>
        <v/>
      </c>
      <c r="W55" s="33" t="str">
        <f>IF(Расчёты!$E33=1,Расчёты!$X33,"")</f>
        <v/>
      </c>
      <c r="X55" s="33" t="str">
        <f>IF(Расчёты!$E33=1,Расчёты!$Y33,"")</f>
        <v/>
      </c>
      <c r="Y55" s="33" t="str">
        <f>IF(Расчёты!$E33=1,Расчёты!$AL33,"")</f>
        <v/>
      </c>
      <c r="Z55" s="33" t="str">
        <f>IF(Расчёты!$E33=1,Расчёты!$AP33,"")</f>
        <v/>
      </c>
      <c r="AA55" s="33" t="str">
        <f>IF(Расчёты!$E33=1,Расчёты!$AS33,"")</f>
        <v/>
      </c>
      <c r="AB55" s="33" t="str">
        <f>IF(Расчёты!$E33=1,Расчёты!$AV33,"")</f>
        <v/>
      </c>
      <c r="AC55" s="33" t="str">
        <f>IF(Расчёты!$E33=1,Расчёты!$AW33,"")</f>
        <v/>
      </c>
      <c r="AD55" s="33" t="str">
        <f>IF(Расчёты!$E33=1,Расчёты!$AX33,"")</f>
        <v/>
      </c>
      <c r="AE55" s="33" t="str">
        <f>IF(Расчёты!$E33=1,Расчёты!$AY33,"")</f>
        <v/>
      </c>
      <c r="AF55" s="33" t="str">
        <f>IF(Расчёты!$E33=1,Расчёты!$BA33,"")</f>
        <v/>
      </c>
      <c r="AG55" s="33" t="str">
        <f>IF(Расчёты!$E33=1,Расчёты!$BB33,"")</f>
        <v/>
      </c>
      <c r="AH55" s="33" t="str">
        <f>IF(Расчёты!$E33=1,Расчёты!$BC33,"")</f>
        <v/>
      </c>
      <c r="AI55" s="33" t="str">
        <f>IF(Расчёты!$E33=1,Расчёты!$AU33,"")</f>
        <v/>
      </c>
      <c r="AJ55" s="33" t="str">
        <f>IF(Расчёты!$E33=1,Расчёты!$BF33,"")</f>
        <v/>
      </c>
      <c r="AK55" s="33" t="str">
        <f>IF(Расчёты!$E33=1,Расчёты!$BG33,"")</f>
        <v/>
      </c>
      <c r="AM55" s="17" t="str">
        <f t="shared" si="0"/>
        <v/>
      </c>
      <c r="AN55" s="35" t="str">
        <f t="shared" si="1"/>
        <v/>
      </c>
      <c r="AP55" s="17" t="str">
        <f t="shared" si="2"/>
        <v/>
      </c>
      <c r="AQ55" s="35" t="str">
        <f t="shared" si="3"/>
        <v/>
      </c>
      <c r="AV55" s="17" t="str">
        <f t="shared" si="4"/>
        <v/>
      </c>
      <c r="AW55" s="35" t="str">
        <f t="shared" si="5"/>
        <v/>
      </c>
      <c r="AX55" s="35" t="str">
        <f t="shared" si="6"/>
        <v/>
      </c>
    </row>
    <row r="56" spans="1:50" x14ac:dyDescent="0.2">
      <c r="A56" s="18" t="str">
        <f>IF(Расчёты!$E34=1,Расчёты!$B34,"")</f>
        <v/>
      </c>
      <c r="B56" s="34" t="str">
        <f>IF(Расчёты!$E34=1,Расчёты!$D34,"")</f>
        <v/>
      </c>
      <c r="C56" s="33" t="str">
        <f>IF(Расчёты!$E34=1,Расчёты!$Z34,"")</f>
        <v/>
      </c>
      <c r="D56" s="33" t="str">
        <f>IF(Расчёты!$E34=1,Расчёты!$AA34,"")</f>
        <v/>
      </c>
      <c r="E56" s="33" t="str">
        <f>IF(Расчёты!$E34=1,Расчёты!$AB34,"")</f>
        <v/>
      </c>
      <c r="F56" s="33" t="str">
        <f>IF(Расчёты!$E34=1,Расчёты!$AC34,"")</f>
        <v/>
      </c>
      <c r="G56" s="33" t="str">
        <f>IF(Расчёты!$E34=1,Расчёты!$AD34,"")</f>
        <v/>
      </c>
      <c r="H56" s="33" t="str">
        <f>IF(Расчёты!$E34=1,Расчёты!$AI34,"")</f>
        <v/>
      </c>
      <c r="I56" s="33" t="str">
        <f>IF(Расчёты!$E34=1,Расчёты!$AG34,"")</f>
        <v/>
      </c>
      <c r="J56" s="33" t="str">
        <f>IF(Расчёты!$E34=1,Расчёты!$AJ34,"")</f>
        <v/>
      </c>
      <c r="K56" s="33" t="str">
        <f>IF(Расчёты!$E34=1,Расчёты!$AK34,"")</f>
        <v/>
      </c>
      <c r="L56" s="33" t="str">
        <f>IF(Расчёты!$E34=1,Расчёты!$I34,"")</f>
        <v/>
      </c>
      <c r="M56" s="33" t="str">
        <f>IF(Расчёты!$E34=1,Расчёты!$J34,"")</f>
        <v/>
      </c>
      <c r="N56" s="33" t="str">
        <f>IF(Расчёты!$E34=1,Расчёты!$K34,"")</f>
        <v/>
      </c>
      <c r="O56" s="33" t="str">
        <f>IF(Расчёты!$E34=1,Расчёты!$L34,"")</f>
        <v/>
      </c>
      <c r="P56" s="33" t="str">
        <f>IF(Расчёты!$E34=1,Расчёты!$M34,"")</f>
        <v/>
      </c>
      <c r="Q56" s="33" t="str">
        <f>IF(Расчёты!$E34=1,Расчёты!$N34,"")</f>
        <v/>
      </c>
      <c r="R56" s="33" t="str">
        <f>IF(Расчёты!$E34=1,Расчёты!$O34,"")</f>
        <v/>
      </c>
      <c r="S56" s="33" t="str">
        <f>IF(Расчёты!$E34=1,Расчёты!$Q34,"")</f>
        <v/>
      </c>
      <c r="T56" s="33" t="str">
        <f>IF(Расчёты!$E34=1,Расчёты!$S34,"")</f>
        <v/>
      </c>
      <c r="U56" s="33" t="str">
        <f>IF(Расчёты!$E34=1,Расчёты!$U34,"")</f>
        <v/>
      </c>
      <c r="V56" s="33" t="str">
        <f>IF(Расчёты!$E34=1,Расчёты!$W34,"")</f>
        <v/>
      </c>
      <c r="W56" s="33" t="str">
        <f>IF(Расчёты!$E34=1,Расчёты!$X34,"")</f>
        <v/>
      </c>
      <c r="X56" s="33" t="str">
        <f>IF(Расчёты!$E34=1,Расчёты!$Y34,"")</f>
        <v/>
      </c>
      <c r="Y56" s="33" t="str">
        <f>IF(Расчёты!$E34=1,Расчёты!$AL34,"")</f>
        <v/>
      </c>
      <c r="Z56" s="33" t="str">
        <f>IF(Расчёты!$E34=1,Расчёты!$AP34,"")</f>
        <v/>
      </c>
      <c r="AA56" s="33" t="str">
        <f>IF(Расчёты!$E34=1,Расчёты!$AS34,"")</f>
        <v/>
      </c>
      <c r="AB56" s="33" t="str">
        <f>IF(Расчёты!$E34=1,Расчёты!$AV34,"")</f>
        <v/>
      </c>
      <c r="AC56" s="33" t="str">
        <f>IF(Расчёты!$E34=1,Расчёты!$AW34,"")</f>
        <v/>
      </c>
      <c r="AD56" s="33" t="str">
        <f>IF(Расчёты!$E34=1,Расчёты!$AX34,"")</f>
        <v/>
      </c>
      <c r="AE56" s="33" t="str">
        <f>IF(Расчёты!$E34=1,Расчёты!$AY34,"")</f>
        <v/>
      </c>
      <c r="AF56" s="33" t="str">
        <f>IF(Расчёты!$E34=1,Расчёты!$BA34,"")</f>
        <v/>
      </c>
      <c r="AG56" s="33" t="str">
        <f>IF(Расчёты!$E34=1,Расчёты!$BB34,"")</f>
        <v/>
      </c>
      <c r="AH56" s="33" t="str">
        <f>IF(Расчёты!$E34=1,Расчёты!$BC34,"")</f>
        <v/>
      </c>
      <c r="AI56" s="33" t="str">
        <f>IF(Расчёты!$E34=1,Расчёты!$AU34,"")</f>
        <v/>
      </c>
      <c r="AJ56" s="33" t="str">
        <f>IF(Расчёты!$E34=1,Расчёты!$BF34,"")</f>
        <v/>
      </c>
      <c r="AK56" s="33" t="str">
        <f>IF(Расчёты!$E34=1,Расчёты!$BG34,"")</f>
        <v/>
      </c>
      <c r="AM56" s="17" t="str">
        <f t="shared" ref="AM56:AM87" si="7">A56</f>
        <v/>
      </c>
      <c r="AN56" s="35" t="str">
        <f t="shared" ref="AN56:AN87" si="8">AF56</f>
        <v/>
      </c>
      <c r="AP56" s="17" t="str">
        <f t="shared" ref="AP56:AP87" si="9">A56</f>
        <v/>
      </c>
      <c r="AQ56" s="35" t="str">
        <f t="shared" ref="AQ56:AQ87" si="10">AG56</f>
        <v/>
      </c>
      <c r="AV56" s="17" t="str">
        <f t="shared" ref="AV56:AV87" si="11">A56</f>
        <v/>
      </c>
      <c r="AW56" s="35" t="str">
        <f t="shared" ref="AW56:AW87" si="12">AI56</f>
        <v/>
      </c>
      <c r="AX56" s="35" t="str">
        <f t="shared" ref="AX56:AX87" si="13">K56</f>
        <v/>
      </c>
    </row>
    <row r="57" spans="1:50" x14ac:dyDescent="0.2">
      <c r="A57" s="18" t="str">
        <f>IF(Расчёты!$E35=1,Расчёты!$B35,"")</f>
        <v/>
      </c>
      <c r="B57" s="34" t="str">
        <f>IF(Расчёты!$E35=1,Расчёты!$D35,"")</f>
        <v/>
      </c>
      <c r="C57" s="33" t="str">
        <f>IF(Расчёты!$E35=1,Расчёты!$Z35,"")</f>
        <v/>
      </c>
      <c r="D57" s="33" t="str">
        <f>IF(Расчёты!$E35=1,Расчёты!$AA35,"")</f>
        <v/>
      </c>
      <c r="E57" s="33" t="str">
        <f>IF(Расчёты!$E35=1,Расчёты!$AB35,"")</f>
        <v/>
      </c>
      <c r="F57" s="33" t="str">
        <f>IF(Расчёты!$E35=1,Расчёты!$AC35,"")</f>
        <v/>
      </c>
      <c r="G57" s="33" t="str">
        <f>IF(Расчёты!$E35=1,Расчёты!$AD35,"")</f>
        <v/>
      </c>
      <c r="H57" s="33" t="str">
        <f>IF(Расчёты!$E35=1,Расчёты!$AI35,"")</f>
        <v/>
      </c>
      <c r="I57" s="33" t="str">
        <f>IF(Расчёты!$E35=1,Расчёты!$AG35,"")</f>
        <v/>
      </c>
      <c r="J57" s="33" t="str">
        <f>IF(Расчёты!$E35=1,Расчёты!$AJ35,"")</f>
        <v/>
      </c>
      <c r="K57" s="33" t="str">
        <f>IF(Расчёты!$E35=1,Расчёты!$AK35,"")</f>
        <v/>
      </c>
      <c r="L57" s="33" t="str">
        <f>IF(Расчёты!$E35=1,Расчёты!$I35,"")</f>
        <v/>
      </c>
      <c r="M57" s="33" t="str">
        <f>IF(Расчёты!$E35=1,Расчёты!$J35,"")</f>
        <v/>
      </c>
      <c r="N57" s="33" t="str">
        <f>IF(Расчёты!$E35=1,Расчёты!$K35,"")</f>
        <v/>
      </c>
      <c r="O57" s="33" t="str">
        <f>IF(Расчёты!$E35=1,Расчёты!$L35,"")</f>
        <v/>
      </c>
      <c r="P57" s="33" t="str">
        <f>IF(Расчёты!$E35=1,Расчёты!$M35,"")</f>
        <v/>
      </c>
      <c r="Q57" s="33" t="str">
        <f>IF(Расчёты!$E35=1,Расчёты!$N35,"")</f>
        <v/>
      </c>
      <c r="R57" s="33" t="str">
        <f>IF(Расчёты!$E35=1,Расчёты!$O35,"")</f>
        <v/>
      </c>
      <c r="S57" s="33" t="str">
        <f>IF(Расчёты!$E35=1,Расчёты!$Q35,"")</f>
        <v/>
      </c>
      <c r="T57" s="33" t="str">
        <f>IF(Расчёты!$E35=1,Расчёты!$S35,"")</f>
        <v/>
      </c>
      <c r="U57" s="33" t="str">
        <f>IF(Расчёты!$E35=1,Расчёты!$U35,"")</f>
        <v/>
      </c>
      <c r="V57" s="33" t="str">
        <f>IF(Расчёты!$E35=1,Расчёты!$W35,"")</f>
        <v/>
      </c>
      <c r="W57" s="33" t="str">
        <f>IF(Расчёты!$E35=1,Расчёты!$X35,"")</f>
        <v/>
      </c>
      <c r="X57" s="33" t="str">
        <f>IF(Расчёты!$E35=1,Расчёты!$Y35,"")</f>
        <v/>
      </c>
      <c r="Y57" s="33" t="str">
        <f>IF(Расчёты!$E35=1,Расчёты!$AL35,"")</f>
        <v/>
      </c>
      <c r="Z57" s="33" t="str">
        <f>IF(Расчёты!$E35=1,Расчёты!$AP35,"")</f>
        <v/>
      </c>
      <c r="AA57" s="33" t="str">
        <f>IF(Расчёты!$E35=1,Расчёты!$AS35,"")</f>
        <v/>
      </c>
      <c r="AB57" s="33" t="str">
        <f>IF(Расчёты!$E35=1,Расчёты!$AV35,"")</f>
        <v/>
      </c>
      <c r="AC57" s="33" t="str">
        <f>IF(Расчёты!$E35=1,Расчёты!$AW35,"")</f>
        <v/>
      </c>
      <c r="AD57" s="33" t="str">
        <f>IF(Расчёты!$E35=1,Расчёты!$AX35,"")</f>
        <v/>
      </c>
      <c r="AE57" s="33" t="str">
        <f>IF(Расчёты!$E35=1,Расчёты!$AY35,"")</f>
        <v/>
      </c>
      <c r="AF57" s="33" t="str">
        <f>IF(Расчёты!$E35=1,Расчёты!$BA35,"")</f>
        <v/>
      </c>
      <c r="AG57" s="33" t="str">
        <f>IF(Расчёты!$E35=1,Расчёты!$BB35,"")</f>
        <v/>
      </c>
      <c r="AH57" s="33" t="str">
        <f>IF(Расчёты!$E35=1,Расчёты!$BC35,"")</f>
        <v/>
      </c>
      <c r="AI57" s="33" t="str">
        <f>IF(Расчёты!$E35=1,Расчёты!$AU35,"")</f>
        <v/>
      </c>
      <c r="AJ57" s="33" t="str">
        <f>IF(Расчёты!$E35=1,Расчёты!$BF35,"")</f>
        <v/>
      </c>
      <c r="AK57" s="33" t="str">
        <f>IF(Расчёты!$E35=1,Расчёты!$BG35,"")</f>
        <v/>
      </c>
      <c r="AM57" s="17" t="str">
        <f t="shared" si="7"/>
        <v/>
      </c>
      <c r="AN57" s="35" t="str">
        <f t="shared" si="8"/>
        <v/>
      </c>
      <c r="AP57" s="17" t="str">
        <f t="shared" si="9"/>
        <v/>
      </c>
      <c r="AQ57" s="35" t="str">
        <f t="shared" si="10"/>
        <v/>
      </c>
      <c r="AV57" s="17" t="str">
        <f t="shared" si="11"/>
        <v/>
      </c>
      <c r="AW57" s="35" t="str">
        <f t="shared" si="12"/>
        <v/>
      </c>
      <c r="AX57" s="35" t="str">
        <f t="shared" si="13"/>
        <v/>
      </c>
    </row>
    <row r="58" spans="1:50" x14ac:dyDescent="0.2">
      <c r="A58" s="18" t="str">
        <f>IF(Расчёты!$E36=1,Расчёты!$B36,"")</f>
        <v/>
      </c>
      <c r="B58" s="34" t="str">
        <f>IF(Расчёты!$E36=1,Расчёты!$D36,"")</f>
        <v/>
      </c>
      <c r="C58" s="33" t="str">
        <f>IF(Расчёты!$E36=1,Расчёты!$Z36,"")</f>
        <v/>
      </c>
      <c r="D58" s="33" t="str">
        <f>IF(Расчёты!$E36=1,Расчёты!$AA36,"")</f>
        <v/>
      </c>
      <c r="E58" s="33" t="str">
        <f>IF(Расчёты!$E36=1,Расчёты!$AB36,"")</f>
        <v/>
      </c>
      <c r="F58" s="33" t="str">
        <f>IF(Расчёты!$E36=1,Расчёты!$AC36,"")</f>
        <v/>
      </c>
      <c r="G58" s="33" t="str">
        <f>IF(Расчёты!$E36=1,Расчёты!$AD36,"")</f>
        <v/>
      </c>
      <c r="H58" s="33" t="str">
        <f>IF(Расчёты!$E36=1,Расчёты!$AI36,"")</f>
        <v/>
      </c>
      <c r="I58" s="33" t="str">
        <f>IF(Расчёты!$E36=1,Расчёты!$AG36,"")</f>
        <v/>
      </c>
      <c r="J58" s="33" t="str">
        <f>IF(Расчёты!$E36=1,Расчёты!$AJ36,"")</f>
        <v/>
      </c>
      <c r="K58" s="33" t="str">
        <f>IF(Расчёты!$E36=1,Расчёты!$AK36,"")</f>
        <v/>
      </c>
      <c r="L58" s="33" t="str">
        <f>IF(Расчёты!$E36=1,Расчёты!$I36,"")</f>
        <v/>
      </c>
      <c r="M58" s="33" t="str">
        <f>IF(Расчёты!$E36=1,Расчёты!$J36,"")</f>
        <v/>
      </c>
      <c r="N58" s="33" t="str">
        <f>IF(Расчёты!$E36=1,Расчёты!$K36,"")</f>
        <v/>
      </c>
      <c r="O58" s="33" t="str">
        <f>IF(Расчёты!$E36=1,Расчёты!$L36,"")</f>
        <v/>
      </c>
      <c r="P58" s="33" t="str">
        <f>IF(Расчёты!$E36=1,Расчёты!$M36,"")</f>
        <v/>
      </c>
      <c r="Q58" s="33" t="str">
        <f>IF(Расчёты!$E36=1,Расчёты!$N36,"")</f>
        <v/>
      </c>
      <c r="R58" s="33" t="str">
        <f>IF(Расчёты!$E36=1,Расчёты!$O36,"")</f>
        <v/>
      </c>
      <c r="S58" s="33" t="str">
        <f>IF(Расчёты!$E36=1,Расчёты!$Q36,"")</f>
        <v/>
      </c>
      <c r="T58" s="33" t="str">
        <f>IF(Расчёты!$E36=1,Расчёты!$S36,"")</f>
        <v/>
      </c>
      <c r="U58" s="33" t="str">
        <f>IF(Расчёты!$E36=1,Расчёты!$U36,"")</f>
        <v/>
      </c>
      <c r="V58" s="33" t="str">
        <f>IF(Расчёты!$E36=1,Расчёты!$W36,"")</f>
        <v/>
      </c>
      <c r="W58" s="33" t="str">
        <f>IF(Расчёты!$E36=1,Расчёты!$X36,"")</f>
        <v/>
      </c>
      <c r="X58" s="33" t="str">
        <f>IF(Расчёты!$E36=1,Расчёты!$Y36,"")</f>
        <v/>
      </c>
      <c r="Y58" s="33" t="str">
        <f>IF(Расчёты!$E36=1,Расчёты!$AL36,"")</f>
        <v/>
      </c>
      <c r="Z58" s="33" t="str">
        <f>IF(Расчёты!$E36=1,Расчёты!$AP36,"")</f>
        <v/>
      </c>
      <c r="AA58" s="33" t="str">
        <f>IF(Расчёты!$E36=1,Расчёты!$AS36,"")</f>
        <v/>
      </c>
      <c r="AB58" s="33" t="str">
        <f>IF(Расчёты!$E36=1,Расчёты!$AV36,"")</f>
        <v/>
      </c>
      <c r="AC58" s="33" t="str">
        <f>IF(Расчёты!$E36=1,Расчёты!$AW36,"")</f>
        <v/>
      </c>
      <c r="AD58" s="33" t="str">
        <f>IF(Расчёты!$E36=1,Расчёты!$AX36,"")</f>
        <v/>
      </c>
      <c r="AE58" s="33" t="str">
        <f>IF(Расчёты!$E36=1,Расчёты!$AY36,"")</f>
        <v/>
      </c>
      <c r="AF58" s="33" t="str">
        <f>IF(Расчёты!$E36=1,Расчёты!$BA36,"")</f>
        <v/>
      </c>
      <c r="AG58" s="33" t="str">
        <f>IF(Расчёты!$E36=1,Расчёты!$BB36,"")</f>
        <v/>
      </c>
      <c r="AH58" s="33" t="str">
        <f>IF(Расчёты!$E36=1,Расчёты!$BC36,"")</f>
        <v/>
      </c>
      <c r="AI58" s="33" t="str">
        <f>IF(Расчёты!$E36=1,Расчёты!$AU36,"")</f>
        <v/>
      </c>
      <c r="AJ58" s="33" t="str">
        <f>IF(Расчёты!$E36=1,Расчёты!$BF36,"")</f>
        <v/>
      </c>
      <c r="AK58" s="33" t="str">
        <f>IF(Расчёты!$E36=1,Расчёты!$BG36,"")</f>
        <v/>
      </c>
      <c r="AM58" s="17" t="str">
        <f t="shared" si="7"/>
        <v/>
      </c>
      <c r="AN58" s="35" t="str">
        <f t="shared" si="8"/>
        <v/>
      </c>
      <c r="AP58" s="17" t="str">
        <f t="shared" si="9"/>
        <v/>
      </c>
      <c r="AQ58" s="35" t="str">
        <f t="shared" si="10"/>
        <v/>
      </c>
      <c r="AV58" s="17" t="str">
        <f t="shared" si="11"/>
        <v/>
      </c>
      <c r="AW58" s="35" t="str">
        <f t="shared" si="12"/>
        <v/>
      </c>
      <c r="AX58" s="35" t="str">
        <f t="shared" si="13"/>
        <v/>
      </c>
    </row>
    <row r="59" spans="1:50" x14ac:dyDescent="0.2">
      <c r="A59" s="18" t="str">
        <f>IF(Расчёты!$E37=1,Расчёты!$B37,"")</f>
        <v/>
      </c>
      <c r="B59" s="34" t="str">
        <f>IF(Расчёты!$E37=1,Расчёты!$D37,"")</f>
        <v/>
      </c>
      <c r="C59" s="33" t="str">
        <f>IF(Расчёты!$E37=1,Расчёты!$Z37,"")</f>
        <v/>
      </c>
      <c r="D59" s="33" t="str">
        <f>IF(Расчёты!$E37=1,Расчёты!$AA37,"")</f>
        <v/>
      </c>
      <c r="E59" s="33" t="str">
        <f>IF(Расчёты!$E37=1,Расчёты!$AB37,"")</f>
        <v/>
      </c>
      <c r="F59" s="33" t="str">
        <f>IF(Расчёты!$E37=1,Расчёты!$AC37,"")</f>
        <v/>
      </c>
      <c r="G59" s="33" t="str">
        <f>IF(Расчёты!$E37=1,Расчёты!$AD37,"")</f>
        <v/>
      </c>
      <c r="H59" s="33" t="str">
        <f>IF(Расчёты!$E37=1,Расчёты!$AI37,"")</f>
        <v/>
      </c>
      <c r="I59" s="33" t="str">
        <f>IF(Расчёты!$E37=1,Расчёты!$AG37,"")</f>
        <v/>
      </c>
      <c r="J59" s="33" t="str">
        <f>IF(Расчёты!$E37=1,Расчёты!$AJ37,"")</f>
        <v/>
      </c>
      <c r="K59" s="33" t="str">
        <f>IF(Расчёты!$E37=1,Расчёты!$AK37,"")</f>
        <v/>
      </c>
      <c r="L59" s="33" t="str">
        <f>IF(Расчёты!$E37=1,Расчёты!$I37,"")</f>
        <v/>
      </c>
      <c r="M59" s="33" t="str">
        <f>IF(Расчёты!$E37=1,Расчёты!$J37,"")</f>
        <v/>
      </c>
      <c r="N59" s="33" t="str">
        <f>IF(Расчёты!$E37=1,Расчёты!$K37,"")</f>
        <v/>
      </c>
      <c r="O59" s="33" t="str">
        <f>IF(Расчёты!$E37=1,Расчёты!$L37,"")</f>
        <v/>
      </c>
      <c r="P59" s="33" t="str">
        <f>IF(Расчёты!$E37=1,Расчёты!$M37,"")</f>
        <v/>
      </c>
      <c r="Q59" s="33" t="str">
        <f>IF(Расчёты!$E37=1,Расчёты!$N37,"")</f>
        <v/>
      </c>
      <c r="R59" s="33" t="str">
        <f>IF(Расчёты!$E37=1,Расчёты!$O37,"")</f>
        <v/>
      </c>
      <c r="S59" s="33" t="str">
        <f>IF(Расчёты!$E37=1,Расчёты!$Q37,"")</f>
        <v/>
      </c>
      <c r="T59" s="33" t="str">
        <f>IF(Расчёты!$E37=1,Расчёты!$S37,"")</f>
        <v/>
      </c>
      <c r="U59" s="33" t="str">
        <f>IF(Расчёты!$E37=1,Расчёты!$U37,"")</f>
        <v/>
      </c>
      <c r="V59" s="33" t="str">
        <f>IF(Расчёты!$E37=1,Расчёты!$W37,"")</f>
        <v/>
      </c>
      <c r="W59" s="33" t="str">
        <f>IF(Расчёты!$E37=1,Расчёты!$X37,"")</f>
        <v/>
      </c>
      <c r="X59" s="33" t="str">
        <f>IF(Расчёты!$E37=1,Расчёты!$Y37,"")</f>
        <v/>
      </c>
      <c r="Y59" s="33" t="str">
        <f>IF(Расчёты!$E37=1,Расчёты!$AL37,"")</f>
        <v/>
      </c>
      <c r="Z59" s="33" t="str">
        <f>IF(Расчёты!$E37=1,Расчёты!$AP37,"")</f>
        <v/>
      </c>
      <c r="AA59" s="33" t="str">
        <f>IF(Расчёты!$E37=1,Расчёты!$AS37,"")</f>
        <v/>
      </c>
      <c r="AB59" s="33" t="str">
        <f>IF(Расчёты!$E37=1,Расчёты!$AV37,"")</f>
        <v/>
      </c>
      <c r="AC59" s="33" t="str">
        <f>IF(Расчёты!$E37=1,Расчёты!$AW37,"")</f>
        <v/>
      </c>
      <c r="AD59" s="33" t="str">
        <f>IF(Расчёты!$E37=1,Расчёты!$AX37,"")</f>
        <v/>
      </c>
      <c r="AE59" s="33" t="str">
        <f>IF(Расчёты!$E37=1,Расчёты!$AY37,"")</f>
        <v/>
      </c>
      <c r="AF59" s="33" t="str">
        <f>IF(Расчёты!$E37=1,Расчёты!$BA37,"")</f>
        <v/>
      </c>
      <c r="AG59" s="33" t="str">
        <f>IF(Расчёты!$E37=1,Расчёты!$BB37,"")</f>
        <v/>
      </c>
      <c r="AH59" s="33" t="str">
        <f>IF(Расчёты!$E37=1,Расчёты!$BC37,"")</f>
        <v/>
      </c>
      <c r="AI59" s="33" t="str">
        <f>IF(Расчёты!$E37=1,Расчёты!$AU37,"")</f>
        <v/>
      </c>
      <c r="AJ59" s="33" t="str">
        <f>IF(Расчёты!$E37=1,Расчёты!$BF37,"")</f>
        <v/>
      </c>
      <c r="AK59" s="33" t="str">
        <f>IF(Расчёты!$E37=1,Расчёты!$BG37,"")</f>
        <v/>
      </c>
      <c r="AM59" s="17" t="str">
        <f t="shared" si="7"/>
        <v/>
      </c>
      <c r="AN59" s="35" t="str">
        <f t="shared" si="8"/>
        <v/>
      </c>
      <c r="AP59" s="17" t="str">
        <f t="shared" si="9"/>
        <v/>
      </c>
      <c r="AQ59" s="35" t="str">
        <f t="shared" si="10"/>
        <v/>
      </c>
      <c r="AV59" s="17" t="str">
        <f t="shared" si="11"/>
        <v/>
      </c>
      <c r="AW59" s="35" t="str">
        <f t="shared" si="12"/>
        <v/>
      </c>
      <c r="AX59" s="35" t="str">
        <f t="shared" si="13"/>
        <v/>
      </c>
    </row>
    <row r="60" spans="1:50" x14ac:dyDescent="0.2">
      <c r="A60" s="18" t="str">
        <f>IF(Расчёты!$E38=1,Расчёты!$B38,"")</f>
        <v/>
      </c>
      <c r="B60" s="34" t="str">
        <f>IF(Расчёты!$E38=1,Расчёты!$D38,"")</f>
        <v/>
      </c>
      <c r="C60" s="33" t="str">
        <f>IF(Расчёты!$E38=1,Расчёты!$Z38,"")</f>
        <v/>
      </c>
      <c r="D60" s="33" t="str">
        <f>IF(Расчёты!$E38=1,Расчёты!$AA38,"")</f>
        <v/>
      </c>
      <c r="E60" s="33" t="str">
        <f>IF(Расчёты!$E38=1,Расчёты!$AB38,"")</f>
        <v/>
      </c>
      <c r="F60" s="33" t="str">
        <f>IF(Расчёты!$E38=1,Расчёты!$AC38,"")</f>
        <v/>
      </c>
      <c r="G60" s="33" t="str">
        <f>IF(Расчёты!$E38=1,Расчёты!$AD38,"")</f>
        <v/>
      </c>
      <c r="H60" s="33" t="str">
        <f>IF(Расчёты!$E38=1,Расчёты!$AI38,"")</f>
        <v/>
      </c>
      <c r="I60" s="33" t="str">
        <f>IF(Расчёты!$E38=1,Расчёты!$AG38,"")</f>
        <v/>
      </c>
      <c r="J60" s="33" t="str">
        <f>IF(Расчёты!$E38=1,Расчёты!$AJ38,"")</f>
        <v/>
      </c>
      <c r="K60" s="33" t="str">
        <f>IF(Расчёты!$E38=1,Расчёты!$AK38,"")</f>
        <v/>
      </c>
      <c r="L60" s="33" t="str">
        <f>IF(Расчёты!$E38=1,Расчёты!$I38,"")</f>
        <v/>
      </c>
      <c r="M60" s="33" t="str">
        <f>IF(Расчёты!$E38=1,Расчёты!$J38,"")</f>
        <v/>
      </c>
      <c r="N60" s="33" t="str">
        <f>IF(Расчёты!$E38=1,Расчёты!$K38,"")</f>
        <v/>
      </c>
      <c r="O60" s="33" t="str">
        <f>IF(Расчёты!$E38=1,Расчёты!$L38,"")</f>
        <v/>
      </c>
      <c r="P60" s="33" t="str">
        <f>IF(Расчёты!$E38=1,Расчёты!$M38,"")</f>
        <v/>
      </c>
      <c r="Q60" s="33" t="str">
        <f>IF(Расчёты!$E38=1,Расчёты!$N38,"")</f>
        <v/>
      </c>
      <c r="R60" s="33" t="str">
        <f>IF(Расчёты!$E38=1,Расчёты!$O38,"")</f>
        <v/>
      </c>
      <c r="S60" s="33" t="str">
        <f>IF(Расчёты!$E38=1,Расчёты!$Q38,"")</f>
        <v/>
      </c>
      <c r="T60" s="33" t="str">
        <f>IF(Расчёты!$E38=1,Расчёты!$S38,"")</f>
        <v/>
      </c>
      <c r="U60" s="33" t="str">
        <f>IF(Расчёты!$E38=1,Расчёты!$U38,"")</f>
        <v/>
      </c>
      <c r="V60" s="33" t="str">
        <f>IF(Расчёты!$E38=1,Расчёты!$W38,"")</f>
        <v/>
      </c>
      <c r="W60" s="33" t="str">
        <f>IF(Расчёты!$E38=1,Расчёты!$X38,"")</f>
        <v/>
      </c>
      <c r="X60" s="33" t="str">
        <f>IF(Расчёты!$E38=1,Расчёты!$Y38,"")</f>
        <v/>
      </c>
      <c r="Y60" s="33" t="str">
        <f>IF(Расчёты!$E38=1,Расчёты!$AL38,"")</f>
        <v/>
      </c>
      <c r="Z60" s="33" t="str">
        <f>IF(Расчёты!$E38=1,Расчёты!$AP38,"")</f>
        <v/>
      </c>
      <c r="AA60" s="33" t="str">
        <f>IF(Расчёты!$E38=1,Расчёты!$AS38,"")</f>
        <v/>
      </c>
      <c r="AB60" s="33" t="str">
        <f>IF(Расчёты!$E38=1,Расчёты!$AV38,"")</f>
        <v/>
      </c>
      <c r="AC60" s="33" t="str">
        <f>IF(Расчёты!$E38=1,Расчёты!$AW38,"")</f>
        <v/>
      </c>
      <c r="AD60" s="33" t="str">
        <f>IF(Расчёты!$E38=1,Расчёты!$AX38,"")</f>
        <v/>
      </c>
      <c r="AE60" s="33" t="str">
        <f>IF(Расчёты!$E38=1,Расчёты!$AY38,"")</f>
        <v/>
      </c>
      <c r="AF60" s="33" t="str">
        <f>IF(Расчёты!$E38=1,Расчёты!$BA38,"")</f>
        <v/>
      </c>
      <c r="AG60" s="33" t="str">
        <f>IF(Расчёты!$E38=1,Расчёты!$BB38,"")</f>
        <v/>
      </c>
      <c r="AH60" s="33" t="str">
        <f>IF(Расчёты!$E38=1,Расчёты!$BC38,"")</f>
        <v/>
      </c>
      <c r="AI60" s="33" t="str">
        <f>IF(Расчёты!$E38=1,Расчёты!$AU38,"")</f>
        <v/>
      </c>
      <c r="AJ60" s="33" t="str">
        <f>IF(Расчёты!$E38=1,Расчёты!$BF38,"")</f>
        <v/>
      </c>
      <c r="AK60" s="33" t="str">
        <f>IF(Расчёты!$E38=1,Расчёты!$BG38,"")</f>
        <v/>
      </c>
      <c r="AM60" s="17" t="str">
        <f t="shared" si="7"/>
        <v/>
      </c>
      <c r="AN60" s="35" t="str">
        <f t="shared" si="8"/>
        <v/>
      </c>
      <c r="AP60" s="17" t="str">
        <f t="shared" si="9"/>
        <v/>
      </c>
      <c r="AQ60" s="35" t="str">
        <f t="shared" si="10"/>
        <v/>
      </c>
      <c r="AV60" s="17" t="str">
        <f t="shared" si="11"/>
        <v/>
      </c>
      <c r="AW60" s="35" t="str">
        <f t="shared" si="12"/>
        <v/>
      </c>
      <c r="AX60" s="35" t="str">
        <f t="shared" si="13"/>
        <v/>
      </c>
    </row>
    <row r="61" spans="1:50" x14ac:dyDescent="0.2">
      <c r="A61" s="18" t="str">
        <f>IF(Расчёты!$E39=1,Расчёты!$B39,"")</f>
        <v/>
      </c>
      <c r="B61" s="34" t="str">
        <f>IF(Расчёты!$E39=1,Расчёты!$D39,"")</f>
        <v/>
      </c>
      <c r="C61" s="33" t="str">
        <f>IF(Расчёты!$E39=1,Расчёты!$Z39,"")</f>
        <v/>
      </c>
      <c r="D61" s="33" t="str">
        <f>IF(Расчёты!$E39=1,Расчёты!$AA39,"")</f>
        <v/>
      </c>
      <c r="E61" s="33" t="str">
        <f>IF(Расчёты!$E39=1,Расчёты!$AB39,"")</f>
        <v/>
      </c>
      <c r="F61" s="33" t="str">
        <f>IF(Расчёты!$E39=1,Расчёты!$AC39,"")</f>
        <v/>
      </c>
      <c r="G61" s="33" t="str">
        <f>IF(Расчёты!$E39=1,Расчёты!$AD39,"")</f>
        <v/>
      </c>
      <c r="H61" s="33" t="str">
        <f>IF(Расчёты!$E39=1,Расчёты!$AI39,"")</f>
        <v/>
      </c>
      <c r="I61" s="33" t="str">
        <f>IF(Расчёты!$E39=1,Расчёты!$AG39,"")</f>
        <v/>
      </c>
      <c r="J61" s="33" t="str">
        <f>IF(Расчёты!$E39=1,Расчёты!$AJ39,"")</f>
        <v/>
      </c>
      <c r="K61" s="33" t="str">
        <f>IF(Расчёты!$E39=1,Расчёты!$AK39,"")</f>
        <v/>
      </c>
      <c r="L61" s="33" t="str">
        <f>IF(Расчёты!$E39=1,Расчёты!$I39,"")</f>
        <v/>
      </c>
      <c r="M61" s="33" t="str">
        <f>IF(Расчёты!$E39=1,Расчёты!$J39,"")</f>
        <v/>
      </c>
      <c r="N61" s="33" t="str">
        <f>IF(Расчёты!$E39=1,Расчёты!$K39,"")</f>
        <v/>
      </c>
      <c r="O61" s="33" t="str">
        <f>IF(Расчёты!$E39=1,Расчёты!$L39,"")</f>
        <v/>
      </c>
      <c r="P61" s="33" t="str">
        <f>IF(Расчёты!$E39=1,Расчёты!$M39,"")</f>
        <v/>
      </c>
      <c r="Q61" s="33" t="str">
        <f>IF(Расчёты!$E39=1,Расчёты!$N39,"")</f>
        <v/>
      </c>
      <c r="R61" s="33" t="str">
        <f>IF(Расчёты!$E39=1,Расчёты!$O39,"")</f>
        <v/>
      </c>
      <c r="S61" s="33" t="str">
        <f>IF(Расчёты!$E39=1,Расчёты!$Q39,"")</f>
        <v/>
      </c>
      <c r="T61" s="33" t="str">
        <f>IF(Расчёты!$E39=1,Расчёты!$S39,"")</f>
        <v/>
      </c>
      <c r="U61" s="33" t="str">
        <f>IF(Расчёты!$E39=1,Расчёты!$U39,"")</f>
        <v/>
      </c>
      <c r="V61" s="33" t="str">
        <f>IF(Расчёты!$E39=1,Расчёты!$W39,"")</f>
        <v/>
      </c>
      <c r="W61" s="33" t="str">
        <f>IF(Расчёты!$E39=1,Расчёты!$X39,"")</f>
        <v/>
      </c>
      <c r="X61" s="33" t="str">
        <f>IF(Расчёты!$E39=1,Расчёты!$Y39,"")</f>
        <v/>
      </c>
      <c r="Y61" s="33" t="str">
        <f>IF(Расчёты!$E39=1,Расчёты!$AL39,"")</f>
        <v/>
      </c>
      <c r="Z61" s="33" t="str">
        <f>IF(Расчёты!$E39=1,Расчёты!$AP39,"")</f>
        <v/>
      </c>
      <c r="AA61" s="33" t="str">
        <f>IF(Расчёты!$E39=1,Расчёты!$AS39,"")</f>
        <v/>
      </c>
      <c r="AB61" s="33" t="str">
        <f>IF(Расчёты!$E39=1,Расчёты!$AV39,"")</f>
        <v/>
      </c>
      <c r="AC61" s="33" t="str">
        <f>IF(Расчёты!$E39=1,Расчёты!$AW39,"")</f>
        <v/>
      </c>
      <c r="AD61" s="33" t="str">
        <f>IF(Расчёты!$E39=1,Расчёты!$AX39,"")</f>
        <v/>
      </c>
      <c r="AE61" s="33" t="str">
        <f>IF(Расчёты!$E39=1,Расчёты!$AY39,"")</f>
        <v/>
      </c>
      <c r="AF61" s="33" t="str">
        <f>IF(Расчёты!$E39=1,Расчёты!$BA39,"")</f>
        <v/>
      </c>
      <c r="AG61" s="33" t="str">
        <f>IF(Расчёты!$E39=1,Расчёты!$BB39,"")</f>
        <v/>
      </c>
      <c r="AH61" s="33" t="str">
        <f>IF(Расчёты!$E39=1,Расчёты!$BC39,"")</f>
        <v/>
      </c>
      <c r="AI61" s="33" t="str">
        <f>IF(Расчёты!$E39=1,Расчёты!$AU39,"")</f>
        <v/>
      </c>
      <c r="AJ61" s="33" t="str">
        <f>IF(Расчёты!$E39=1,Расчёты!$BF39,"")</f>
        <v/>
      </c>
      <c r="AK61" s="33" t="str">
        <f>IF(Расчёты!$E39=1,Расчёты!$BG39,"")</f>
        <v/>
      </c>
      <c r="AM61" s="17" t="str">
        <f t="shared" si="7"/>
        <v/>
      </c>
      <c r="AN61" s="35" t="str">
        <f t="shared" si="8"/>
        <v/>
      </c>
      <c r="AP61" s="17" t="str">
        <f t="shared" si="9"/>
        <v/>
      </c>
      <c r="AQ61" s="35" t="str">
        <f t="shared" si="10"/>
        <v/>
      </c>
      <c r="AV61" s="17" t="str">
        <f t="shared" si="11"/>
        <v/>
      </c>
      <c r="AW61" s="35" t="str">
        <f t="shared" si="12"/>
        <v/>
      </c>
      <c r="AX61" s="35" t="str">
        <f t="shared" si="13"/>
        <v/>
      </c>
    </row>
    <row r="62" spans="1:50" x14ac:dyDescent="0.2">
      <c r="A62" s="18" t="str">
        <f>IF(Расчёты!$E40=1,Расчёты!$B40,"")</f>
        <v/>
      </c>
      <c r="B62" s="34" t="str">
        <f>IF(Расчёты!$E40=1,Расчёты!$D40,"")</f>
        <v/>
      </c>
      <c r="C62" s="33" t="str">
        <f>IF(Расчёты!$E40=1,Расчёты!$Z40,"")</f>
        <v/>
      </c>
      <c r="D62" s="33" t="str">
        <f>IF(Расчёты!$E40=1,Расчёты!$AA40,"")</f>
        <v/>
      </c>
      <c r="E62" s="33" t="str">
        <f>IF(Расчёты!$E40=1,Расчёты!$AB40,"")</f>
        <v/>
      </c>
      <c r="F62" s="33" t="str">
        <f>IF(Расчёты!$E40=1,Расчёты!$AC40,"")</f>
        <v/>
      </c>
      <c r="G62" s="33" t="str">
        <f>IF(Расчёты!$E40=1,Расчёты!$AD40,"")</f>
        <v/>
      </c>
      <c r="H62" s="33" t="str">
        <f>IF(Расчёты!$E40=1,Расчёты!$AI40,"")</f>
        <v/>
      </c>
      <c r="I62" s="33" t="str">
        <f>IF(Расчёты!$E40=1,Расчёты!$AG40,"")</f>
        <v/>
      </c>
      <c r="J62" s="33" t="str">
        <f>IF(Расчёты!$E40=1,Расчёты!$AJ40,"")</f>
        <v/>
      </c>
      <c r="K62" s="33" t="str">
        <f>IF(Расчёты!$E40=1,Расчёты!$AK40,"")</f>
        <v/>
      </c>
      <c r="L62" s="33" t="str">
        <f>IF(Расчёты!$E40=1,Расчёты!$I40,"")</f>
        <v/>
      </c>
      <c r="M62" s="33" t="str">
        <f>IF(Расчёты!$E40=1,Расчёты!$J40,"")</f>
        <v/>
      </c>
      <c r="N62" s="33" t="str">
        <f>IF(Расчёты!$E40=1,Расчёты!$K40,"")</f>
        <v/>
      </c>
      <c r="O62" s="33" t="str">
        <f>IF(Расчёты!$E40=1,Расчёты!$L40,"")</f>
        <v/>
      </c>
      <c r="P62" s="33" t="str">
        <f>IF(Расчёты!$E40=1,Расчёты!$M40,"")</f>
        <v/>
      </c>
      <c r="Q62" s="33" t="str">
        <f>IF(Расчёты!$E40=1,Расчёты!$N40,"")</f>
        <v/>
      </c>
      <c r="R62" s="33" t="str">
        <f>IF(Расчёты!$E40=1,Расчёты!$O40,"")</f>
        <v/>
      </c>
      <c r="S62" s="33" t="str">
        <f>IF(Расчёты!$E40=1,Расчёты!$Q40,"")</f>
        <v/>
      </c>
      <c r="T62" s="33" t="str">
        <f>IF(Расчёты!$E40=1,Расчёты!$S40,"")</f>
        <v/>
      </c>
      <c r="U62" s="33" t="str">
        <f>IF(Расчёты!$E40=1,Расчёты!$U40,"")</f>
        <v/>
      </c>
      <c r="V62" s="33" t="str">
        <f>IF(Расчёты!$E40=1,Расчёты!$W40,"")</f>
        <v/>
      </c>
      <c r="W62" s="33" t="str">
        <f>IF(Расчёты!$E40=1,Расчёты!$X40,"")</f>
        <v/>
      </c>
      <c r="X62" s="33" t="str">
        <f>IF(Расчёты!$E40=1,Расчёты!$Y40,"")</f>
        <v/>
      </c>
      <c r="Y62" s="33" t="str">
        <f>IF(Расчёты!$E40=1,Расчёты!$AL40,"")</f>
        <v/>
      </c>
      <c r="Z62" s="33" t="str">
        <f>IF(Расчёты!$E40=1,Расчёты!$AP40,"")</f>
        <v/>
      </c>
      <c r="AA62" s="33" t="str">
        <f>IF(Расчёты!$E40=1,Расчёты!$AS40,"")</f>
        <v/>
      </c>
      <c r="AB62" s="33" t="str">
        <f>IF(Расчёты!$E40=1,Расчёты!$AV40,"")</f>
        <v/>
      </c>
      <c r="AC62" s="33" t="str">
        <f>IF(Расчёты!$E40=1,Расчёты!$AW40,"")</f>
        <v/>
      </c>
      <c r="AD62" s="33" t="str">
        <f>IF(Расчёты!$E40=1,Расчёты!$AX40,"")</f>
        <v/>
      </c>
      <c r="AE62" s="33" t="str">
        <f>IF(Расчёты!$E40=1,Расчёты!$AY40,"")</f>
        <v/>
      </c>
      <c r="AF62" s="33" t="str">
        <f>IF(Расчёты!$E40=1,Расчёты!$BA40,"")</f>
        <v/>
      </c>
      <c r="AG62" s="33" t="str">
        <f>IF(Расчёты!$E40=1,Расчёты!$BB40,"")</f>
        <v/>
      </c>
      <c r="AH62" s="33" t="str">
        <f>IF(Расчёты!$E40=1,Расчёты!$BC40,"")</f>
        <v/>
      </c>
      <c r="AI62" s="33" t="str">
        <f>IF(Расчёты!$E40=1,Расчёты!$AU40,"")</f>
        <v/>
      </c>
      <c r="AJ62" s="33" t="str">
        <f>IF(Расчёты!$E40=1,Расчёты!$BF40,"")</f>
        <v/>
      </c>
      <c r="AK62" s="33" t="str">
        <f>IF(Расчёты!$E40=1,Расчёты!$BG40,"")</f>
        <v/>
      </c>
      <c r="AM62" s="17" t="str">
        <f t="shared" si="7"/>
        <v/>
      </c>
      <c r="AN62" s="35" t="str">
        <f t="shared" si="8"/>
        <v/>
      </c>
      <c r="AP62" s="17" t="str">
        <f t="shared" si="9"/>
        <v/>
      </c>
      <c r="AQ62" s="35" t="str">
        <f t="shared" si="10"/>
        <v/>
      </c>
      <c r="AV62" s="17" t="str">
        <f t="shared" si="11"/>
        <v/>
      </c>
      <c r="AW62" s="35" t="str">
        <f t="shared" si="12"/>
        <v/>
      </c>
      <c r="AX62" s="35" t="str">
        <f t="shared" si="13"/>
        <v/>
      </c>
    </row>
    <row r="63" spans="1:50" x14ac:dyDescent="0.2">
      <c r="A63" s="18" t="str">
        <f>IF(Расчёты!$E41=1,Расчёты!$B41,"")</f>
        <v/>
      </c>
      <c r="B63" s="34" t="str">
        <f>IF(Расчёты!$E41=1,Расчёты!$D41,"")</f>
        <v/>
      </c>
      <c r="C63" s="33" t="str">
        <f>IF(Расчёты!$E41=1,Расчёты!$Z41,"")</f>
        <v/>
      </c>
      <c r="D63" s="33" t="str">
        <f>IF(Расчёты!$E41=1,Расчёты!$AA41,"")</f>
        <v/>
      </c>
      <c r="E63" s="33" t="str">
        <f>IF(Расчёты!$E41=1,Расчёты!$AB41,"")</f>
        <v/>
      </c>
      <c r="F63" s="33" t="str">
        <f>IF(Расчёты!$E41=1,Расчёты!$AC41,"")</f>
        <v/>
      </c>
      <c r="G63" s="33" t="str">
        <f>IF(Расчёты!$E41=1,Расчёты!$AD41,"")</f>
        <v/>
      </c>
      <c r="H63" s="33" t="str">
        <f>IF(Расчёты!$E41=1,Расчёты!$AI41,"")</f>
        <v/>
      </c>
      <c r="I63" s="33" t="str">
        <f>IF(Расчёты!$E41=1,Расчёты!$AG41,"")</f>
        <v/>
      </c>
      <c r="J63" s="33" t="str">
        <f>IF(Расчёты!$E41=1,Расчёты!$AJ41,"")</f>
        <v/>
      </c>
      <c r="K63" s="33" t="str">
        <f>IF(Расчёты!$E41=1,Расчёты!$AK41,"")</f>
        <v/>
      </c>
      <c r="L63" s="33" t="str">
        <f>IF(Расчёты!$E41=1,Расчёты!$I41,"")</f>
        <v/>
      </c>
      <c r="M63" s="33" t="str">
        <f>IF(Расчёты!$E41=1,Расчёты!$J41,"")</f>
        <v/>
      </c>
      <c r="N63" s="33" t="str">
        <f>IF(Расчёты!$E41=1,Расчёты!$K41,"")</f>
        <v/>
      </c>
      <c r="O63" s="33" t="str">
        <f>IF(Расчёты!$E41=1,Расчёты!$L41,"")</f>
        <v/>
      </c>
      <c r="P63" s="33" t="str">
        <f>IF(Расчёты!$E41=1,Расчёты!$M41,"")</f>
        <v/>
      </c>
      <c r="Q63" s="33" t="str">
        <f>IF(Расчёты!$E41=1,Расчёты!$N41,"")</f>
        <v/>
      </c>
      <c r="R63" s="33" t="str">
        <f>IF(Расчёты!$E41=1,Расчёты!$O41,"")</f>
        <v/>
      </c>
      <c r="S63" s="33" t="str">
        <f>IF(Расчёты!$E41=1,Расчёты!$Q41,"")</f>
        <v/>
      </c>
      <c r="T63" s="33" t="str">
        <f>IF(Расчёты!$E41=1,Расчёты!$S41,"")</f>
        <v/>
      </c>
      <c r="U63" s="33" t="str">
        <f>IF(Расчёты!$E41=1,Расчёты!$U41,"")</f>
        <v/>
      </c>
      <c r="V63" s="33" t="str">
        <f>IF(Расчёты!$E41=1,Расчёты!$W41,"")</f>
        <v/>
      </c>
      <c r="W63" s="33" t="str">
        <f>IF(Расчёты!$E41=1,Расчёты!$X41,"")</f>
        <v/>
      </c>
      <c r="X63" s="33" t="str">
        <f>IF(Расчёты!$E41=1,Расчёты!$Y41,"")</f>
        <v/>
      </c>
      <c r="Y63" s="33" t="str">
        <f>IF(Расчёты!$E41=1,Расчёты!$AL41,"")</f>
        <v/>
      </c>
      <c r="Z63" s="33" t="str">
        <f>IF(Расчёты!$E41=1,Расчёты!$AP41,"")</f>
        <v/>
      </c>
      <c r="AA63" s="33" t="str">
        <f>IF(Расчёты!$E41=1,Расчёты!$AS41,"")</f>
        <v/>
      </c>
      <c r="AB63" s="33" t="str">
        <f>IF(Расчёты!$E41=1,Расчёты!$AV41,"")</f>
        <v/>
      </c>
      <c r="AC63" s="33" t="str">
        <f>IF(Расчёты!$E41=1,Расчёты!$AW41,"")</f>
        <v/>
      </c>
      <c r="AD63" s="33" t="str">
        <f>IF(Расчёты!$E41=1,Расчёты!$AX41,"")</f>
        <v/>
      </c>
      <c r="AE63" s="33" t="str">
        <f>IF(Расчёты!$E41=1,Расчёты!$AY41,"")</f>
        <v/>
      </c>
      <c r="AF63" s="33" t="str">
        <f>IF(Расчёты!$E41=1,Расчёты!$BA41,"")</f>
        <v/>
      </c>
      <c r="AG63" s="33" t="str">
        <f>IF(Расчёты!$E41=1,Расчёты!$BB41,"")</f>
        <v/>
      </c>
      <c r="AH63" s="33" t="str">
        <f>IF(Расчёты!$E41=1,Расчёты!$BC41,"")</f>
        <v/>
      </c>
      <c r="AI63" s="33" t="str">
        <f>IF(Расчёты!$E41=1,Расчёты!$AU41,"")</f>
        <v/>
      </c>
      <c r="AJ63" s="33" t="str">
        <f>IF(Расчёты!$E41=1,Расчёты!$BF41,"")</f>
        <v/>
      </c>
      <c r="AK63" s="33" t="str">
        <f>IF(Расчёты!$E41=1,Расчёты!$BG41,"")</f>
        <v/>
      </c>
      <c r="AM63" s="17" t="str">
        <f t="shared" si="7"/>
        <v/>
      </c>
      <c r="AN63" s="35" t="str">
        <f t="shared" si="8"/>
        <v/>
      </c>
      <c r="AP63" s="17" t="str">
        <f t="shared" si="9"/>
        <v/>
      </c>
      <c r="AQ63" s="35" t="str">
        <f t="shared" si="10"/>
        <v/>
      </c>
      <c r="AV63" s="17" t="str">
        <f t="shared" si="11"/>
        <v/>
      </c>
      <c r="AW63" s="35" t="str">
        <f t="shared" si="12"/>
        <v/>
      </c>
      <c r="AX63" s="35" t="str">
        <f t="shared" si="13"/>
        <v/>
      </c>
    </row>
    <row r="64" spans="1:50" x14ac:dyDescent="0.2">
      <c r="A64" s="18" t="str">
        <f>IF(Расчёты!$E42=1,Расчёты!$B42,"")</f>
        <v/>
      </c>
      <c r="B64" s="34" t="str">
        <f>IF(Расчёты!$E42=1,Расчёты!$D42,"")</f>
        <v/>
      </c>
      <c r="C64" s="33" t="str">
        <f>IF(Расчёты!$E42=1,Расчёты!$Z42,"")</f>
        <v/>
      </c>
      <c r="D64" s="33" t="str">
        <f>IF(Расчёты!$E42=1,Расчёты!$AA42,"")</f>
        <v/>
      </c>
      <c r="E64" s="33" t="str">
        <f>IF(Расчёты!$E42=1,Расчёты!$AB42,"")</f>
        <v/>
      </c>
      <c r="F64" s="33" t="str">
        <f>IF(Расчёты!$E42=1,Расчёты!$AC42,"")</f>
        <v/>
      </c>
      <c r="G64" s="33" t="str">
        <f>IF(Расчёты!$E42=1,Расчёты!$AD42,"")</f>
        <v/>
      </c>
      <c r="H64" s="33" t="str">
        <f>IF(Расчёты!$E42=1,Расчёты!$AI42,"")</f>
        <v/>
      </c>
      <c r="I64" s="33" t="str">
        <f>IF(Расчёты!$E42=1,Расчёты!$AG42,"")</f>
        <v/>
      </c>
      <c r="J64" s="33" t="str">
        <f>IF(Расчёты!$E42=1,Расчёты!$AJ42,"")</f>
        <v/>
      </c>
      <c r="K64" s="33" t="str">
        <f>IF(Расчёты!$E42=1,Расчёты!$AK42,"")</f>
        <v/>
      </c>
      <c r="L64" s="33" t="str">
        <f>IF(Расчёты!$E42=1,Расчёты!$I42,"")</f>
        <v/>
      </c>
      <c r="M64" s="33" t="str">
        <f>IF(Расчёты!$E42=1,Расчёты!$J42,"")</f>
        <v/>
      </c>
      <c r="N64" s="33" t="str">
        <f>IF(Расчёты!$E42=1,Расчёты!$K42,"")</f>
        <v/>
      </c>
      <c r="O64" s="33" t="str">
        <f>IF(Расчёты!$E42=1,Расчёты!$L42,"")</f>
        <v/>
      </c>
      <c r="P64" s="33" t="str">
        <f>IF(Расчёты!$E42=1,Расчёты!$M42,"")</f>
        <v/>
      </c>
      <c r="Q64" s="33" t="str">
        <f>IF(Расчёты!$E42=1,Расчёты!$N42,"")</f>
        <v/>
      </c>
      <c r="R64" s="33" t="str">
        <f>IF(Расчёты!$E42=1,Расчёты!$O42,"")</f>
        <v/>
      </c>
      <c r="S64" s="33" t="str">
        <f>IF(Расчёты!$E42=1,Расчёты!$Q42,"")</f>
        <v/>
      </c>
      <c r="T64" s="33" t="str">
        <f>IF(Расчёты!$E42=1,Расчёты!$S42,"")</f>
        <v/>
      </c>
      <c r="U64" s="33" t="str">
        <f>IF(Расчёты!$E42=1,Расчёты!$U42,"")</f>
        <v/>
      </c>
      <c r="V64" s="33" t="str">
        <f>IF(Расчёты!$E42=1,Расчёты!$W42,"")</f>
        <v/>
      </c>
      <c r="W64" s="33" t="str">
        <f>IF(Расчёты!$E42=1,Расчёты!$X42,"")</f>
        <v/>
      </c>
      <c r="X64" s="33" t="str">
        <f>IF(Расчёты!$E42=1,Расчёты!$Y42,"")</f>
        <v/>
      </c>
      <c r="Y64" s="33" t="str">
        <f>IF(Расчёты!$E42=1,Расчёты!$AL42,"")</f>
        <v/>
      </c>
      <c r="Z64" s="33" t="str">
        <f>IF(Расчёты!$E42=1,Расчёты!$AP42,"")</f>
        <v/>
      </c>
      <c r="AA64" s="33" t="str">
        <f>IF(Расчёты!$E42=1,Расчёты!$AS42,"")</f>
        <v/>
      </c>
      <c r="AB64" s="33" t="str">
        <f>IF(Расчёты!$E42=1,Расчёты!$AV42,"")</f>
        <v/>
      </c>
      <c r="AC64" s="33" t="str">
        <f>IF(Расчёты!$E42=1,Расчёты!$AW42,"")</f>
        <v/>
      </c>
      <c r="AD64" s="33" t="str">
        <f>IF(Расчёты!$E42=1,Расчёты!$AX42,"")</f>
        <v/>
      </c>
      <c r="AE64" s="33" t="str">
        <f>IF(Расчёты!$E42=1,Расчёты!$AY42,"")</f>
        <v/>
      </c>
      <c r="AF64" s="33" t="str">
        <f>IF(Расчёты!$E42=1,Расчёты!$BA42,"")</f>
        <v/>
      </c>
      <c r="AG64" s="33" t="str">
        <f>IF(Расчёты!$E42=1,Расчёты!$BB42,"")</f>
        <v/>
      </c>
      <c r="AH64" s="33" t="str">
        <f>IF(Расчёты!$E42=1,Расчёты!$BC42,"")</f>
        <v/>
      </c>
      <c r="AI64" s="33" t="str">
        <f>IF(Расчёты!$E42=1,Расчёты!$AU42,"")</f>
        <v/>
      </c>
      <c r="AJ64" s="33" t="str">
        <f>IF(Расчёты!$E42=1,Расчёты!$BF42,"")</f>
        <v/>
      </c>
      <c r="AK64" s="33" t="str">
        <f>IF(Расчёты!$E42=1,Расчёты!$BG42,"")</f>
        <v/>
      </c>
      <c r="AM64" s="17" t="str">
        <f t="shared" si="7"/>
        <v/>
      </c>
      <c r="AN64" s="35" t="str">
        <f t="shared" si="8"/>
        <v/>
      </c>
      <c r="AP64" s="17" t="str">
        <f t="shared" si="9"/>
        <v/>
      </c>
      <c r="AQ64" s="35" t="str">
        <f t="shared" si="10"/>
        <v/>
      </c>
      <c r="AV64" s="17" t="str">
        <f t="shared" si="11"/>
        <v/>
      </c>
      <c r="AW64" s="35" t="str">
        <f t="shared" si="12"/>
        <v/>
      </c>
      <c r="AX64" s="35" t="str">
        <f t="shared" si="13"/>
        <v/>
      </c>
    </row>
    <row r="65" spans="1:50" x14ac:dyDescent="0.2">
      <c r="A65" s="18" t="str">
        <f>IF(Расчёты!$E43=1,Расчёты!$B43,"")</f>
        <v/>
      </c>
      <c r="B65" s="34" t="str">
        <f>IF(Расчёты!$E43=1,Расчёты!$D43,"")</f>
        <v/>
      </c>
      <c r="C65" s="33" t="str">
        <f>IF(Расчёты!$E43=1,Расчёты!$Z43,"")</f>
        <v/>
      </c>
      <c r="D65" s="33" t="str">
        <f>IF(Расчёты!$E43=1,Расчёты!$AA43,"")</f>
        <v/>
      </c>
      <c r="E65" s="33" t="str">
        <f>IF(Расчёты!$E43=1,Расчёты!$AB43,"")</f>
        <v/>
      </c>
      <c r="F65" s="33" t="str">
        <f>IF(Расчёты!$E43=1,Расчёты!$AC43,"")</f>
        <v/>
      </c>
      <c r="G65" s="33" t="str">
        <f>IF(Расчёты!$E43=1,Расчёты!$AD43,"")</f>
        <v/>
      </c>
      <c r="H65" s="33" t="str">
        <f>IF(Расчёты!$E43=1,Расчёты!$AI43,"")</f>
        <v/>
      </c>
      <c r="I65" s="33" t="str">
        <f>IF(Расчёты!$E43=1,Расчёты!$AG43,"")</f>
        <v/>
      </c>
      <c r="J65" s="33" t="str">
        <f>IF(Расчёты!$E43=1,Расчёты!$AJ43,"")</f>
        <v/>
      </c>
      <c r="K65" s="33" t="str">
        <f>IF(Расчёты!$E43=1,Расчёты!$AK43,"")</f>
        <v/>
      </c>
      <c r="L65" s="33" t="str">
        <f>IF(Расчёты!$E43=1,Расчёты!$I43,"")</f>
        <v/>
      </c>
      <c r="M65" s="33" t="str">
        <f>IF(Расчёты!$E43=1,Расчёты!$J43,"")</f>
        <v/>
      </c>
      <c r="N65" s="33" t="str">
        <f>IF(Расчёты!$E43=1,Расчёты!$K43,"")</f>
        <v/>
      </c>
      <c r="O65" s="33" t="str">
        <f>IF(Расчёты!$E43=1,Расчёты!$L43,"")</f>
        <v/>
      </c>
      <c r="P65" s="33" t="str">
        <f>IF(Расчёты!$E43=1,Расчёты!$M43,"")</f>
        <v/>
      </c>
      <c r="Q65" s="33" t="str">
        <f>IF(Расчёты!$E43=1,Расчёты!$N43,"")</f>
        <v/>
      </c>
      <c r="R65" s="33" t="str">
        <f>IF(Расчёты!$E43=1,Расчёты!$O43,"")</f>
        <v/>
      </c>
      <c r="S65" s="33" t="str">
        <f>IF(Расчёты!$E43=1,Расчёты!$Q43,"")</f>
        <v/>
      </c>
      <c r="T65" s="33" t="str">
        <f>IF(Расчёты!$E43=1,Расчёты!$S43,"")</f>
        <v/>
      </c>
      <c r="U65" s="33" t="str">
        <f>IF(Расчёты!$E43=1,Расчёты!$U43,"")</f>
        <v/>
      </c>
      <c r="V65" s="33" t="str">
        <f>IF(Расчёты!$E43=1,Расчёты!$W43,"")</f>
        <v/>
      </c>
      <c r="W65" s="33" t="str">
        <f>IF(Расчёты!$E43=1,Расчёты!$X43,"")</f>
        <v/>
      </c>
      <c r="X65" s="33" t="str">
        <f>IF(Расчёты!$E43=1,Расчёты!$Y43,"")</f>
        <v/>
      </c>
      <c r="Y65" s="33" t="str">
        <f>IF(Расчёты!$E43=1,Расчёты!$AL43,"")</f>
        <v/>
      </c>
      <c r="Z65" s="33" t="str">
        <f>IF(Расчёты!$E43=1,Расчёты!$AP43,"")</f>
        <v/>
      </c>
      <c r="AA65" s="33" t="str">
        <f>IF(Расчёты!$E43=1,Расчёты!$AS43,"")</f>
        <v/>
      </c>
      <c r="AB65" s="33" t="str">
        <f>IF(Расчёты!$E43=1,Расчёты!$AV43,"")</f>
        <v/>
      </c>
      <c r="AC65" s="33" t="str">
        <f>IF(Расчёты!$E43=1,Расчёты!$AW43,"")</f>
        <v/>
      </c>
      <c r="AD65" s="33" t="str">
        <f>IF(Расчёты!$E43=1,Расчёты!$AX43,"")</f>
        <v/>
      </c>
      <c r="AE65" s="33" t="str">
        <f>IF(Расчёты!$E43=1,Расчёты!$AY43,"")</f>
        <v/>
      </c>
      <c r="AF65" s="33" t="str">
        <f>IF(Расчёты!$E43=1,Расчёты!$BA43,"")</f>
        <v/>
      </c>
      <c r="AG65" s="33" t="str">
        <f>IF(Расчёты!$E43=1,Расчёты!$BB43,"")</f>
        <v/>
      </c>
      <c r="AH65" s="33" t="str">
        <f>IF(Расчёты!$E43=1,Расчёты!$BC43,"")</f>
        <v/>
      </c>
      <c r="AI65" s="33" t="str">
        <f>IF(Расчёты!$E43=1,Расчёты!$AU43,"")</f>
        <v/>
      </c>
      <c r="AJ65" s="33" t="str">
        <f>IF(Расчёты!$E43=1,Расчёты!$BF43,"")</f>
        <v/>
      </c>
      <c r="AK65" s="33" t="str">
        <f>IF(Расчёты!$E43=1,Расчёты!$BG43,"")</f>
        <v/>
      </c>
      <c r="AM65" s="17" t="str">
        <f t="shared" si="7"/>
        <v/>
      </c>
      <c r="AN65" s="35" t="str">
        <f t="shared" si="8"/>
        <v/>
      </c>
      <c r="AP65" s="17" t="str">
        <f t="shared" si="9"/>
        <v/>
      </c>
      <c r="AQ65" s="35" t="str">
        <f t="shared" si="10"/>
        <v/>
      </c>
      <c r="AV65" s="17" t="str">
        <f t="shared" si="11"/>
        <v/>
      </c>
      <c r="AW65" s="35" t="str">
        <f t="shared" si="12"/>
        <v/>
      </c>
      <c r="AX65" s="35" t="str">
        <f t="shared" si="13"/>
        <v/>
      </c>
    </row>
    <row r="66" spans="1:50" x14ac:dyDescent="0.2">
      <c r="A66" s="18" t="str">
        <f>IF(Расчёты!$E44=1,Расчёты!$B44,"")</f>
        <v/>
      </c>
      <c r="B66" s="34" t="str">
        <f>IF(Расчёты!$E44=1,Расчёты!$D44,"")</f>
        <v/>
      </c>
      <c r="C66" s="33" t="str">
        <f>IF(Расчёты!$E44=1,Расчёты!$Z44,"")</f>
        <v/>
      </c>
      <c r="D66" s="33" t="str">
        <f>IF(Расчёты!$E44=1,Расчёты!$AA44,"")</f>
        <v/>
      </c>
      <c r="E66" s="33" t="str">
        <f>IF(Расчёты!$E44=1,Расчёты!$AB44,"")</f>
        <v/>
      </c>
      <c r="F66" s="33" t="str">
        <f>IF(Расчёты!$E44=1,Расчёты!$AC44,"")</f>
        <v/>
      </c>
      <c r="G66" s="33" t="str">
        <f>IF(Расчёты!$E44=1,Расчёты!$AD44,"")</f>
        <v/>
      </c>
      <c r="H66" s="33" t="str">
        <f>IF(Расчёты!$E44=1,Расчёты!$AI44,"")</f>
        <v/>
      </c>
      <c r="I66" s="33" t="str">
        <f>IF(Расчёты!$E44=1,Расчёты!$AG44,"")</f>
        <v/>
      </c>
      <c r="J66" s="33" t="str">
        <f>IF(Расчёты!$E44=1,Расчёты!$AJ44,"")</f>
        <v/>
      </c>
      <c r="K66" s="33" t="str">
        <f>IF(Расчёты!$E44=1,Расчёты!$AK44,"")</f>
        <v/>
      </c>
      <c r="L66" s="33" t="str">
        <f>IF(Расчёты!$E44=1,Расчёты!$I44,"")</f>
        <v/>
      </c>
      <c r="M66" s="33" t="str">
        <f>IF(Расчёты!$E44=1,Расчёты!$J44,"")</f>
        <v/>
      </c>
      <c r="N66" s="33" t="str">
        <f>IF(Расчёты!$E44=1,Расчёты!$K44,"")</f>
        <v/>
      </c>
      <c r="O66" s="33" t="str">
        <f>IF(Расчёты!$E44=1,Расчёты!$L44,"")</f>
        <v/>
      </c>
      <c r="P66" s="33" t="str">
        <f>IF(Расчёты!$E44=1,Расчёты!$M44,"")</f>
        <v/>
      </c>
      <c r="Q66" s="33" t="str">
        <f>IF(Расчёты!$E44=1,Расчёты!$N44,"")</f>
        <v/>
      </c>
      <c r="R66" s="33" t="str">
        <f>IF(Расчёты!$E44=1,Расчёты!$O44,"")</f>
        <v/>
      </c>
      <c r="S66" s="33" t="str">
        <f>IF(Расчёты!$E44=1,Расчёты!$Q44,"")</f>
        <v/>
      </c>
      <c r="T66" s="33" t="str">
        <f>IF(Расчёты!$E44=1,Расчёты!$S44,"")</f>
        <v/>
      </c>
      <c r="U66" s="33" t="str">
        <f>IF(Расчёты!$E44=1,Расчёты!$U44,"")</f>
        <v/>
      </c>
      <c r="V66" s="33" t="str">
        <f>IF(Расчёты!$E44=1,Расчёты!$W44,"")</f>
        <v/>
      </c>
      <c r="W66" s="33" t="str">
        <f>IF(Расчёты!$E44=1,Расчёты!$X44,"")</f>
        <v/>
      </c>
      <c r="X66" s="33" t="str">
        <f>IF(Расчёты!$E44=1,Расчёты!$Y44,"")</f>
        <v/>
      </c>
      <c r="Y66" s="33" t="str">
        <f>IF(Расчёты!$E44=1,Расчёты!$AL44,"")</f>
        <v/>
      </c>
      <c r="Z66" s="33" t="str">
        <f>IF(Расчёты!$E44=1,Расчёты!$AP44,"")</f>
        <v/>
      </c>
      <c r="AA66" s="33" t="str">
        <f>IF(Расчёты!$E44=1,Расчёты!$AS44,"")</f>
        <v/>
      </c>
      <c r="AB66" s="33" t="str">
        <f>IF(Расчёты!$E44=1,Расчёты!$AV44,"")</f>
        <v/>
      </c>
      <c r="AC66" s="33" t="str">
        <f>IF(Расчёты!$E44=1,Расчёты!$AW44,"")</f>
        <v/>
      </c>
      <c r="AD66" s="33" t="str">
        <f>IF(Расчёты!$E44=1,Расчёты!$AX44,"")</f>
        <v/>
      </c>
      <c r="AE66" s="33" t="str">
        <f>IF(Расчёты!$E44=1,Расчёты!$AY44,"")</f>
        <v/>
      </c>
      <c r="AF66" s="33" t="str">
        <f>IF(Расчёты!$E44=1,Расчёты!$BA44,"")</f>
        <v/>
      </c>
      <c r="AG66" s="33" t="str">
        <f>IF(Расчёты!$E44=1,Расчёты!$BB44,"")</f>
        <v/>
      </c>
      <c r="AH66" s="33" t="str">
        <f>IF(Расчёты!$E44=1,Расчёты!$BC44,"")</f>
        <v/>
      </c>
      <c r="AI66" s="33" t="str">
        <f>IF(Расчёты!$E44=1,Расчёты!$AU44,"")</f>
        <v/>
      </c>
      <c r="AJ66" s="33" t="str">
        <f>IF(Расчёты!$E44=1,Расчёты!$BF44,"")</f>
        <v/>
      </c>
      <c r="AK66" s="33" t="str">
        <f>IF(Расчёты!$E44=1,Расчёты!$BG44,"")</f>
        <v/>
      </c>
      <c r="AM66" s="17" t="str">
        <f t="shared" si="7"/>
        <v/>
      </c>
      <c r="AN66" s="35" t="str">
        <f t="shared" si="8"/>
        <v/>
      </c>
      <c r="AP66" s="17" t="str">
        <f t="shared" si="9"/>
        <v/>
      </c>
      <c r="AQ66" s="35" t="str">
        <f t="shared" si="10"/>
        <v/>
      </c>
      <c r="AV66" s="17" t="str">
        <f t="shared" si="11"/>
        <v/>
      </c>
      <c r="AW66" s="35" t="str">
        <f t="shared" si="12"/>
        <v/>
      </c>
      <c r="AX66" s="35" t="str">
        <f t="shared" si="13"/>
        <v/>
      </c>
    </row>
    <row r="67" spans="1:50" x14ac:dyDescent="0.2">
      <c r="A67" s="18" t="str">
        <f>IF(Расчёты!$E45=1,Расчёты!$B45,"")</f>
        <v/>
      </c>
      <c r="B67" s="34" t="str">
        <f>IF(Расчёты!$E45=1,Расчёты!$D45,"")</f>
        <v/>
      </c>
      <c r="C67" s="33" t="str">
        <f>IF(Расчёты!$E45=1,Расчёты!$Z45,"")</f>
        <v/>
      </c>
      <c r="D67" s="33" t="str">
        <f>IF(Расчёты!$E45=1,Расчёты!$AA45,"")</f>
        <v/>
      </c>
      <c r="E67" s="33" t="str">
        <f>IF(Расчёты!$E45=1,Расчёты!$AB45,"")</f>
        <v/>
      </c>
      <c r="F67" s="33" t="str">
        <f>IF(Расчёты!$E45=1,Расчёты!$AC45,"")</f>
        <v/>
      </c>
      <c r="G67" s="33" t="str">
        <f>IF(Расчёты!$E45=1,Расчёты!$AD45,"")</f>
        <v/>
      </c>
      <c r="H67" s="33" t="str">
        <f>IF(Расчёты!$E45=1,Расчёты!$AI45,"")</f>
        <v/>
      </c>
      <c r="I67" s="33" t="str">
        <f>IF(Расчёты!$E45=1,Расчёты!$AG45,"")</f>
        <v/>
      </c>
      <c r="J67" s="33" t="str">
        <f>IF(Расчёты!$E45=1,Расчёты!$AJ45,"")</f>
        <v/>
      </c>
      <c r="K67" s="33" t="str">
        <f>IF(Расчёты!$E45=1,Расчёты!$AK45,"")</f>
        <v/>
      </c>
      <c r="L67" s="33" t="str">
        <f>IF(Расчёты!$E45=1,Расчёты!$I45,"")</f>
        <v/>
      </c>
      <c r="M67" s="33" t="str">
        <f>IF(Расчёты!$E45=1,Расчёты!$J45,"")</f>
        <v/>
      </c>
      <c r="N67" s="33" t="str">
        <f>IF(Расчёты!$E45=1,Расчёты!$K45,"")</f>
        <v/>
      </c>
      <c r="O67" s="33" t="str">
        <f>IF(Расчёты!$E45=1,Расчёты!$L45,"")</f>
        <v/>
      </c>
      <c r="P67" s="33" t="str">
        <f>IF(Расчёты!$E45=1,Расчёты!$M45,"")</f>
        <v/>
      </c>
      <c r="Q67" s="33" t="str">
        <f>IF(Расчёты!$E45=1,Расчёты!$N45,"")</f>
        <v/>
      </c>
      <c r="R67" s="33" t="str">
        <f>IF(Расчёты!$E45=1,Расчёты!$O45,"")</f>
        <v/>
      </c>
      <c r="S67" s="33" t="str">
        <f>IF(Расчёты!$E45=1,Расчёты!$Q45,"")</f>
        <v/>
      </c>
      <c r="T67" s="33" t="str">
        <f>IF(Расчёты!$E45=1,Расчёты!$S45,"")</f>
        <v/>
      </c>
      <c r="U67" s="33" t="str">
        <f>IF(Расчёты!$E45=1,Расчёты!$U45,"")</f>
        <v/>
      </c>
      <c r="V67" s="33" t="str">
        <f>IF(Расчёты!$E45=1,Расчёты!$W45,"")</f>
        <v/>
      </c>
      <c r="W67" s="33" t="str">
        <f>IF(Расчёты!$E45=1,Расчёты!$X45,"")</f>
        <v/>
      </c>
      <c r="X67" s="33" t="str">
        <f>IF(Расчёты!$E45=1,Расчёты!$Y45,"")</f>
        <v/>
      </c>
      <c r="Y67" s="33" t="str">
        <f>IF(Расчёты!$E45=1,Расчёты!$AL45,"")</f>
        <v/>
      </c>
      <c r="Z67" s="33" t="str">
        <f>IF(Расчёты!$E45=1,Расчёты!$AP45,"")</f>
        <v/>
      </c>
      <c r="AA67" s="33" t="str">
        <f>IF(Расчёты!$E45=1,Расчёты!$AS45,"")</f>
        <v/>
      </c>
      <c r="AB67" s="33" t="str">
        <f>IF(Расчёты!$E45=1,Расчёты!$AV45,"")</f>
        <v/>
      </c>
      <c r="AC67" s="33" t="str">
        <f>IF(Расчёты!$E45=1,Расчёты!$AW45,"")</f>
        <v/>
      </c>
      <c r="AD67" s="33" t="str">
        <f>IF(Расчёты!$E45=1,Расчёты!$AX45,"")</f>
        <v/>
      </c>
      <c r="AE67" s="33" t="str">
        <f>IF(Расчёты!$E45=1,Расчёты!$AY45,"")</f>
        <v/>
      </c>
      <c r="AF67" s="33" t="str">
        <f>IF(Расчёты!$E45=1,Расчёты!$BA45,"")</f>
        <v/>
      </c>
      <c r="AG67" s="33" t="str">
        <f>IF(Расчёты!$E45=1,Расчёты!$BB45,"")</f>
        <v/>
      </c>
      <c r="AH67" s="33" t="str">
        <f>IF(Расчёты!$E45=1,Расчёты!$BC45,"")</f>
        <v/>
      </c>
      <c r="AI67" s="33" t="str">
        <f>IF(Расчёты!$E45=1,Расчёты!$AU45,"")</f>
        <v/>
      </c>
      <c r="AJ67" s="33" t="str">
        <f>IF(Расчёты!$E45=1,Расчёты!$BF45,"")</f>
        <v/>
      </c>
      <c r="AK67" s="33" t="str">
        <f>IF(Расчёты!$E45=1,Расчёты!$BG45,"")</f>
        <v/>
      </c>
      <c r="AM67" s="17" t="str">
        <f t="shared" si="7"/>
        <v/>
      </c>
      <c r="AN67" s="35" t="str">
        <f t="shared" si="8"/>
        <v/>
      </c>
      <c r="AP67" s="17" t="str">
        <f t="shared" si="9"/>
        <v/>
      </c>
      <c r="AQ67" s="35" t="str">
        <f t="shared" si="10"/>
        <v/>
      </c>
      <c r="AV67" s="17" t="str">
        <f t="shared" si="11"/>
        <v/>
      </c>
      <c r="AW67" s="35" t="str">
        <f t="shared" si="12"/>
        <v/>
      </c>
      <c r="AX67" s="35" t="str">
        <f t="shared" si="13"/>
        <v/>
      </c>
    </row>
    <row r="68" spans="1:50" x14ac:dyDescent="0.2">
      <c r="A68" s="18" t="str">
        <f>IF(Расчёты!$E46=1,Расчёты!$B46,"")</f>
        <v/>
      </c>
      <c r="B68" s="34" t="str">
        <f>IF(Расчёты!$E46=1,Расчёты!$D46,"")</f>
        <v/>
      </c>
      <c r="C68" s="33" t="str">
        <f>IF(Расчёты!$E46=1,Расчёты!$Z46,"")</f>
        <v/>
      </c>
      <c r="D68" s="33" t="str">
        <f>IF(Расчёты!$E46=1,Расчёты!$AA46,"")</f>
        <v/>
      </c>
      <c r="E68" s="33" t="str">
        <f>IF(Расчёты!$E46=1,Расчёты!$AB46,"")</f>
        <v/>
      </c>
      <c r="F68" s="33" t="str">
        <f>IF(Расчёты!$E46=1,Расчёты!$AC46,"")</f>
        <v/>
      </c>
      <c r="G68" s="33" t="str">
        <f>IF(Расчёты!$E46=1,Расчёты!$AD46,"")</f>
        <v/>
      </c>
      <c r="H68" s="33" t="str">
        <f>IF(Расчёты!$E46=1,Расчёты!$AI46,"")</f>
        <v/>
      </c>
      <c r="I68" s="33" t="str">
        <f>IF(Расчёты!$E46=1,Расчёты!$AG46,"")</f>
        <v/>
      </c>
      <c r="J68" s="33" t="str">
        <f>IF(Расчёты!$E46=1,Расчёты!$AJ46,"")</f>
        <v/>
      </c>
      <c r="K68" s="33" t="str">
        <f>IF(Расчёты!$E46=1,Расчёты!$AK46,"")</f>
        <v/>
      </c>
      <c r="L68" s="33" t="str">
        <f>IF(Расчёты!$E46=1,Расчёты!$I46,"")</f>
        <v/>
      </c>
      <c r="M68" s="33" t="str">
        <f>IF(Расчёты!$E46=1,Расчёты!$J46,"")</f>
        <v/>
      </c>
      <c r="N68" s="33" t="str">
        <f>IF(Расчёты!$E46=1,Расчёты!$K46,"")</f>
        <v/>
      </c>
      <c r="O68" s="33" t="str">
        <f>IF(Расчёты!$E46=1,Расчёты!$L46,"")</f>
        <v/>
      </c>
      <c r="P68" s="33" t="str">
        <f>IF(Расчёты!$E46=1,Расчёты!$M46,"")</f>
        <v/>
      </c>
      <c r="Q68" s="33" t="str">
        <f>IF(Расчёты!$E46=1,Расчёты!$N46,"")</f>
        <v/>
      </c>
      <c r="R68" s="33" t="str">
        <f>IF(Расчёты!$E46=1,Расчёты!$O46,"")</f>
        <v/>
      </c>
      <c r="S68" s="33" t="str">
        <f>IF(Расчёты!$E46=1,Расчёты!$Q46,"")</f>
        <v/>
      </c>
      <c r="T68" s="33" t="str">
        <f>IF(Расчёты!$E46=1,Расчёты!$S46,"")</f>
        <v/>
      </c>
      <c r="U68" s="33" t="str">
        <f>IF(Расчёты!$E46=1,Расчёты!$U46,"")</f>
        <v/>
      </c>
      <c r="V68" s="33" t="str">
        <f>IF(Расчёты!$E46=1,Расчёты!$W46,"")</f>
        <v/>
      </c>
      <c r="W68" s="33" t="str">
        <f>IF(Расчёты!$E46=1,Расчёты!$X46,"")</f>
        <v/>
      </c>
      <c r="X68" s="33" t="str">
        <f>IF(Расчёты!$E46=1,Расчёты!$Y46,"")</f>
        <v/>
      </c>
      <c r="Y68" s="33" t="str">
        <f>IF(Расчёты!$E46=1,Расчёты!$AL46,"")</f>
        <v/>
      </c>
      <c r="Z68" s="33" t="str">
        <f>IF(Расчёты!$E46=1,Расчёты!$AP46,"")</f>
        <v/>
      </c>
      <c r="AA68" s="33" t="str">
        <f>IF(Расчёты!$E46=1,Расчёты!$AS46,"")</f>
        <v/>
      </c>
      <c r="AB68" s="33" t="str">
        <f>IF(Расчёты!$E46=1,Расчёты!$AV46,"")</f>
        <v/>
      </c>
      <c r="AC68" s="33" t="str">
        <f>IF(Расчёты!$E46=1,Расчёты!$AW46,"")</f>
        <v/>
      </c>
      <c r="AD68" s="33" t="str">
        <f>IF(Расчёты!$E46=1,Расчёты!$AX46,"")</f>
        <v/>
      </c>
      <c r="AE68" s="33" t="str">
        <f>IF(Расчёты!$E46=1,Расчёты!$AY46,"")</f>
        <v/>
      </c>
      <c r="AF68" s="33" t="str">
        <f>IF(Расчёты!$E46=1,Расчёты!$BA46,"")</f>
        <v/>
      </c>
      <c r="AG68" s="33" t="str">
        <f>IF(Расчёты!$E46=1,Расчёты!$BB46,"")</f>
        <v/>
      </c>
      <c r="AH68" s="33" t="str">
        <f>IF(Расчёты!$E46=1,Расчёты!$BC46,"")</f>
        <v/>
      </c>
      <c r="AI68" s="33" t="str">
        <f>IF(Расчёты!$E46=1,Расчёты!$AU46,"")</f>
        <v/>
      </c>
      <c r="AJ68" s="33" t="str">
        <f>IF(Расчёты!$E46=1,Расчёты!$BF46,"")</f>
        <v/>
      </c>
      <c r="AK68" s="33" t="str">
        <f>IF(Расчёты!$E46=1,Расчёты!$BG46,"")</f>
        <v/>
      </c>
      <c r="AM68" s="17" t="str">
        <f t="shared" si="7"/>
        <v/>
      </c>
      <c r="AN68" s="35" t="str">
        <f t="shared" si="8"/>
        <v/>
      </c>
      <c r="AP68" s="17" t="str">
        <f t="shared" si="9"/>
        <v/>
      </c>
      <c r="AQ68" s="35" t="str">
        <f t="shared" si="10"/>
        <v/>
      </c>
      <c r="AV68" s="17" t="str">
        <f t="shared" si="11"/>
        <v/>
      </c>
      <c r="AW68" s="35" t="str">
        <f t="shared" si="12"/>
        <v/>
      </c>
      <c r="AX68" s="35" t="str">
        <f t="shared" si="13"/>
        <v/>
      </c>
    </row>
    <row r="69" spans="1:50" x14ac:dyDescent="0.2">
      <c r="A69" s="18" t="str">
        <f>IF(Расчёты!$E47=1,Расчёты!$B47,"")</f>
        <v/>
      </c>
      <c r="B69" s="34" t="str">
        <f>IF(Расчёты!$E47=1,Расчёты!$D47,"")</f>
        <v/>
      </c>
      <c r="C69" s="33" t="str">
        <f>IF(Расчёты!$E47=1,Расчёты!$Z47,"")</f>
        <v/>
      </c>
      <c r="D69" s="33" t="str">
        <f>IF(Расчёты!$E47=1,Расчёты!$AA47,"")</f>
        <v/>
      </c>
      <c r="E69" s="33" t="str">
        <f>IF(Расчёты!$E47=1,Расчёты!$AB47,"")</f>
        <v/>
      </c>
      <c r="F69" s="33" t="str">
        <f>IF(Расчёты!$E47=1,Расчёты!$AC47,"")</f>
        <v/>
      </c>
      <c r="G69" s="33" t="str">
        <f>IF(Расчёты!$E47=1,Расчёты!$AD47,"")</f>
        <v/>
      </c>
      <c r="H69" s="33" t="str">
        <f>IF(Расчёты!$E47=1,Расчёты!$AI47,"")</f>
        <v/>
      </c>
      <c r="I69" s="33" t="str">
        <f>IF(Расчёты!$E47=1,Расчёты!$AG47,"")</f>
        <v/>
      </c>
      <c r="J69" s="33" t="str">
        <f>IF(Расчёты!$E47=1,Расчёты!$AJ47,"")</f>
        <v/>
      </c>
      <c r="K69" s="33" t="str">
        <f>IF(Расчёты!$E47=1,Расчёты!$AK47,"")</f>
        <v/>
      </c>
      <c r="L69" s="33" t="str">
        <f>IF(Расчёты!$E47=1,Расчёты!$I47,"")</f>
        <v/>
      </c>
      <c r="M69" s="33" t="str">
        <f>IF(Расчёты!$E47=1,Расчёты!$J47,"")</f>
        <v/>
      </c>
      <c r="N69" s="33" t="str">
        <f>IF(Расчёты!$E47=1,Расчёты!$K47,"")</f>
        <v/>
      </c>
      <c r="O69" s="33" t="str">
        <f>IF(Расчёты!$E47=1,Расчёты!$L47,"")</f>
        <v/>
      </c>
      <c r="P69" s="33" t="str">
        <f>IF(Расчёты!$E47=1,Расчёты!$M47,"")</f>
        <v/>
      </c>
      <c r="Q69" s="33" t="str">
        <f>IF(Расчёты!$E47=1,Расчёты!$N47,"")</f>
        <v/>
      </c>
      <c r="R69" s="33" t="str">
        <f>IF(Расчёты!$E47=1,Расчёты!$O47,"")</f>
        <v/>
      </c>
      <c r="S69" s="33" t="str">
        <f>IF(Расчёты!$E47=1,Расчёты!$Q47,"")</f>
        <v/>
      </c>
      <c r="T69" s="33" t="str">
        <f>IF(Расчёты!$E47=1,Расчёты!$S47,"")</f>
        <v/>
      </c>
      <c r="U69" s="33" t="str">
        <f>IF(Расчёты!$E47=1,Расчёты!$U47,"")</f>
        <v/>
      </c>
      <c r="V69" s="33" t="str">
        <f>IF(Расчёты!$E47=1,Расчёты!$W47,"")</f>
        <v/>
      </c>
      <c r="W69" s="33" t="str">
        <f>IF(Расчёты!$E47=1,Расчёты!$X47,"")</f>
        <v/>
      </c>
      <c r="X69" s="33" t="str">
        <f>IF(Расчёты!$E47=1,Расчёты!$Y47,"")</f>
        <v/>
      </c>
      <c r="Y69" s="33" t="str">
        <f>IF(Расчёты!$E47=1,Расчёты!$AL47,"")</f>
        <v/>
      </c>
      <c r="Z69" s="33" t="str">
        <f>IF(Расчёты!$E47=1,Расчёты!$AP47,"")</f>
        <v/>
      </c>
      <c r="AA69" s="33" t="str">
        <f>IF(Расчёты!$E47=1,Расчёты!$AS47,"")</f>
        <v/>
      </c>
      <c r="AB69" s="33" t="str">
        <f>IF(Расчёты!$E47=1,Расчёты!$AV47,"")</f>
        <v/>
      </c>
      <c r="AC69" s="33" t="str">
        <f>IF(Расчёты!$E47=1,Расчёты!$AW47,"")</f>
        <v/>
      </c>
      <c r="AD69" s="33" t="str">
        <f>IF(Расчёты!$E47=1,Расчёты!$AX47,"")</f>
        <v/>
      </c>
      <c r="AE69" s="33" t="str">
        <f>IF(Расчёты!$E47=1,Расчёты!$AY47,"")</f>
        <v/>
      </c>
      <c r="AF69" s="33" t="str">
        <f>IF(Расчёты!$E47=1,Расчёты!$BA47,"")</f>
        <v/>
      </c>
      <c r="AG69" s="33" t="str">
        <f>IF(Расчёты!$E47=1,Расчёты!$BB47,"")</f>
        <v/>
      </c>
      <c r="AH69" s="33" t="str">
        <f>IF(Расчёты!$E47=1,Расчёты!$BC47,"")</f>
        <v/>
      </c>
      <c r="AI69" s="33" t="str">
        <f>IF(Расчёты!$E47=1,Расчёты!$AU47,"")</f>
        <v/>
      </c>
      <c r="AJ69" s="33" t="str">
        <f>IF(Расчёты!$E47=1,Расчёты!$BF47,"")</f>
        <v/>
      </c>
      <c r="AK69" s="33" t="str">
        <f>IF(Расчёты!$E47=1,Расчёты!$BG47,"")</f>
        <v/>
      </c>
      <c r="AM69" s="17" t="str">
        <f t="shared" si="7"/>
        <v/>
      </c>
      <c r="AN69" s="35" t="str">
        <f t="shared" si="8"/>
        <v/>
      </c>
      <c r="AP69" s="17" t="str">
        <f t="shared" si="9"/>
        <v/>
      </c>
      <c r="AQ69" s="35" t="str">
        <f t="shared" si="10"/>
        <v/>
      </c>
      <c r="AV69" s="17" t="str">
        <f t="shared" si="11"/>
        <v/>
      </c>
      <c r="AW69" s="35" t="str">
        <f t="shared" si="12"/>
        <v/>
      </c>
      <c r="AX69" s="35" t="str">
        <f t="shared" si="13"/>
        <v/>
      </c>
    </row>
    <row r="70" spans="1:50" x14ac:dyDescent="0.2">
      <c r="A70" s="18" t="str">
        <f>IF(Расчёты!$E48=1,Расчёты!$B48,"")</f>
        <v/>
      </c>
      <c r="B70" s="34" t="str">
        <f>IF(Расчёты!$E48=1,Расчёты!$D48,"")</f>
        <v/>
      </c>
      <c r="C70" s="33" t="str">
        <f>IF(Расчёты!$E48=1,Расчёты!$Z48,"")</f>
        <v/>
      </c>
      <c r="D70" s="33" t="str">
        <f>IF(Расчёты!$E48=1,Расчёты!$AA48,"")</f>
        <v/>
      </c>
      <c r="E70" s="33" t="str">
        <f>IF(Расчёты!$E48=1,Расчёты!$AB48,"")</f>
        <v/>
      </c>
      <c r="F70" s="33" t="str">
        <f>IF(Расчёты!$E48=1,Расчёты!$AC48,"")</f>
        <v/>
      </c>
      <c r="G70" s="33" t="str">
        <f>IF(Расчёты!$E48=1,Расчёты!$AD48,"")</f>
        <v/>
      </c>
      <c r="H70" s="33" t="str">
        <f>IF(Расчёты!$E48=1,Расчёты!$AI48,"")</f>
        <v/>
      </c>
      <c r="I70" s="33" t="str">
        <f>IF(Расчёты!$E48=1,Расчёты!$AG48,"")</f>
        <v/>
      </c>
      <c r="J70" s="33" t="str">
        <f>IF(Расчёты!$E48=1,Расчёты!$AJ48,"")</f>
        <v/>
      </c>
      <c r="K70" s="33" t="str">
        <f>IF(Расчёты!$E48=1,Расчёты!$AK48,"")</f>
        <v/>
      </c>
      <c r="L70" s="33" t="str">
        <f>IF(Расчёты!$E48=1,Расчёты!$I48,"")</f>
        <v/>
      </c>
      <c r="M70" s="33" t="str">
        <f>IF(Расчёты!$E48=1,Расчёты!$J48,"")</f>
        <v/>
      </c>
      <c r="N70" s="33" t="str">
        <f>IF(Расчёты!$E48=1,Расчёты!$K48,"")</f>
        <v/>
      </c>
      <c r="O70" s="33" t="str">
        <f>IF(Расчёты!$E48=1,Расчёты!$L48,"")</f>
        <v/>
      </c>
      <c r="P70" s="33" t="str">
        <f>IF(Расчёты!$E48=1,Расчёты!$M48,"")</f>
        <v/>
      </c>
      <c r="Q70" s="33" t="str">
        <f>IF(Расчёты!$E48=1,Расчёты!$N48,"")</f>
        <v/>
      </c>
      <c r="R70" s="33" t="str">
        <f>IF(Расчёты!$E48=1,Расчёты!$O48,"")</f>
        <v/>
      </c>
      <c r="S70" s="33" t="str">
        <f>IF(Расчёты!$E48=1,Расчёты!$Q48,"")</f>
        <v/>
      </c>
      <c r="T70" s="33" t="str">
        <f>IF(Расчёты!$E48=1,Расчёты!$S48,"")</f>
        <v/>
      </c>
      <c r="U70" s="33" t="str">
        <f>IF(Расчёты!$E48=1,Расчёты!$U48,"")</f>
        <v/>
      </c>
      <c r="V70" s="33" t="str">
        <f>IF(Расчёты!$E48=1,Расчёты!$W48,"")</f>
        <v/>
      </c>
      <c r="W70" s="33" t="str">
        <f>IF(Расчёты!$E48=1,Расчёты!$X48,"")</f>
        <v/>
      </c>
      <c r="X70" s="33" t="str">
        <f>IF(Расчёты!$E48=1,Расчёты!$Y48,"")</f>
        <v/>
      </c>
      <c r="Y70" s="33" t="str">
        <f>IF(Расчёты!$E48=1,Расчёты!$AL48,"")</f>
        <v/>
      </c>
      <c r="Z70" s="33" t="str">
        <f>IF(Расчёты!$E48=1,Расчёты!$AP48,"")</f>
        <v/>
      </c>
      <c r="AA70" s="33" t="str">
        <f>IF(Расчёты!$E48=1,Расчёты!$AS48,"")</f>
        <v/>
      </c>
      <c r="AB70" s="33" t="str">
        <f>IF(Расчёты!$E48=1,Расчёты!$AV48,"")</f>
        <v/>
      </c>
      <c r="AC70" s="33" t="str">
        <f>IF(Расчёты!$E48=1,Расчёты!$AW48,"")</f>
        <v/>
      </c>
      <c r="AD70" s="33" t="str">
        <f>IF(Расчёты!$E48=1,Расчёты!$AX48,"")</f>
        <v/>
      </c>
      <c r="AE70" s="33" t="str">
        <f>IF(Расчёты!$E48=1,Расчёты!$AY48,"")</f>
        <v/>
      </c>
      <c r="AF70" s="33" t="str">
        <f>IF(Расчёты!$E48=1,Расчёты!$BA48,"")</f>
        <v/>
      </c>
      <c r="AG70" s="33" t="str">
        <f>IF(Расчёты!$E48=1,Расчёты!$BB48,"")</f>
        <v/>
      </c>
      <c r="AH70" s="33" t="str">
        <f>IF(Расчёты!$E48=1,Расчёты!$BC48,"")</f>
        <v/>
      </c>
      <c r="AI70" s="33" t="str">
        <f>IF(Расчёты!$E48=1,Расчёты!$AU48,"")</f>
        <v/>
      </c>
      <c r="AJ70" s="33" t="str">
        <f>IF(Расчёты!$E48=1,Расчёты!$BF48,"")</f>
        <v/>
      </c>
      <c r="AK70" s="33" t="str">
        <f>IF(Расчёты!$E48=1,Расчёты!$BG48,"")</f>
        <v/>
      </c>
      <c r="AM70" s="17" t="str">
        <f t="shared" si="7"/>
        <v/>
      </c>
      <c r="AN70" s="35" t="str">
        <f t="shared" si="8"/>
        <v/>
      </c>
      <c r="AP70" s="17" t="str">
        <f t="shared" si="9"/>
        <v/>
      </c>
      <c r="AQ70" s="35" t="str">
        <f t="shared" si="10"/>
        <v/>
      </c>
      <c r="AV70" s="17" t="str">
        <f t="shared" si="11"/>
        <v/>
      </c>
      <c r="AW70" s="35" t="str">
        <f t="shared" si="12"/>
        <v/>
      </c>
      <c r="AX70" s="35" t="str">
        <f t="shared" si="13"/>
        <v/>
      </c>
    </row>
    <row r="71" spans="1:50" x14ac:dyDescent="0.2">
      <c r="A71" s="18" t="str">
        <f>IF(Расчёты!$E49=1,Расчёты!$B49,"")</f>
        <v/>
      </c>
      <c r="B71" s="34" t="str">
        <f>IF(Расчёты!$E49=1,Расчёты!$D49,"")</f>
        <v/>
      </c>
      <c r="C71" s="33" t="str">
        <f>IF(Расчёты!$E49=1,Расчёты!$Z49,"")</f>
        <v/>
      </c>
      <c r="D71" s="33" t="str">
        <f>IF(Расчёты!$E49=1,Расчёты!$AA49,"")</f>
        <v/>
      </c>
      <c r="E71" s="33" t="str">
        <f>IF(Расчёты!$E49=1,Расчёты!$AB49,"")</f>
        <v/>
      </c>
      <c r="F71" s="33" t="str">
        <f>IF(Расчёты!$E49=1,Расчёты!$AC49,"")</f>
        <v/>
      </c>
      <c r="G71" s="33" t="str">
        <f>IF(Расчёты!$E49=1,Расчёты!$AD49,"")</f>
        <v/>
      </c>
      <c r="H71" s="33" t="str">
        <f>IF(Расчёты!$E49=1,Расчёты!$AI49,"")</f>
        <v/>
      </c>
      <c r="I71" s="33" t="str">
        <f>IF(Расчёты!$E49=1,Расчёты!$AG49,"")</f>
        <v/>
      </c>
      <c r="J71" s="33" t="str">
        <f>IF(Расчёты!$E49=1,Расчёты!$AJ49,"")</f>
        <v/>
      </c>
      <c r="K71" s="33" t="str">
        <f>IF(Расчёты!$E49=1,Расчёты!$AK49,"")</f>
        <v/>
      </c>
      <c r="L71" s="33" t="str">
        <f>IF(Расчёты!$E49=1,Расчёты!$I49,"")</f>
        <v/>
      </c>
      <c r="M71" s="33" t="str">
        <f>IF(Расчёты!$E49=1,Расчёты!$J49,"")</f>
        <v/>
      </c>
      <c r="N71" s="33" t="str">
        <f>IF(Расчёты!$E49=1,Расчёты!$K49,"")</f>
        <v/>
      </c>
      <c r="O71" s="33" t="str">
        <f>IF(Расчёты!$E49=1,Расчёты!$L49,"")</f>
        <v/>
      </c>
      <c r="P71" s="33" t="str">
        <f>IF(Расчёты!$E49=1,Расчёты!$M49,"")</f>
        <v/>
      </c>
      <c r="Q71" s="33" t="str">
        <f>IF(Расчёты!$E49=1,Расчёты!$N49,"")</f>
        <v/>
      </c>
      <c r="R71" s="33" t="str">
        <f>IF(Расчёты!$E49=1,Расчёты!$O49,"")</f>
        <v/>
      </c>
      <c r="S71" s="33" t="str">
        <f>IF(Расчёты!$E49=1,Расчёты!$Q49,"")</f>
        <v/>
      </c>
      <c r="T71" s="33" t="str">
        <f>IF(Расчёты!$E49=1,Расчёты!$S49,"")</f>
        <v/>
      </c>
      <c r="U71" s="33" t="str">
        <f>IF(Расчёты!$E49=1,Расчёты!$U49,"")</f>
        <v/>
      </c>
      <c r="V71" s="33" t="str">
        <f>IF(Расчёты!$E49=1,Расчёты!$W49,"")</f>
        <v/>
      </c>
      <c r="W71" s="33" t="str">
        <f>IF(Расчёты!$E49=1,Расчёты!$X49,"")</f>
        <v/>
      </c>
      <c r="X71" s="33" t="str">
        <f>IF(Расчёты!$E49=1,Расчёты!$Y49,"")</f>
        <v/>
      </c>
      <c r="Y71" s="33" t="str">
        <f>IF(Расчёты!$E49=1,Расчёты!$AL49,"")</f>
        <v/>
      </c>
      <c r="Z71" s="33" t="str">
        <f>IF(Расчёты!$E49=1,Расчёты!$AP49,"")</f>
        <v/>
      </c>
      <c r="AA71" s="33" t="str">
        <f>IF(Расчёты!$E49=1,Расчёты!$AS49,"")</f>
        <v/>
      </c>
      <c r="AB71" s="33" t="str">
        <f>IF(Расчёты!$E49=1,Расчёты!$AV49,"")</f>
        <v/>
      </c>
      <c r="AC71" s="33" t="str">
        <f>IF(Расчёты!$E49=1,Расчёты!$AW49,"")</f>
        <v/>
      </c>
      <c r="AD71" s="33" t="str">
        <f>IF(Расчёты!$E49=1,Расчёты!$AX49,"")</f>
        <v/>
      </c>
      <c r="AE71" s="33" t="str">
        <f>IF(Расчёты!$E49=1,Расчёты!$AY49,"")</f>
        <v/>
      </c>
      <c r="AF71" s="33" t="str">
        <f>IF(Расчёты!$E49=1,Расчёты!$BA49,"")</f>
        <v/>
      </c>
      <c r="AG71" s="33" t="str">
        <f>IF(Расчёты!$E49=1,Расчёты!$BB49,"")</f>
        <v/>
      </c>
      <c r="AH71" s="33" t="str">
        <f>IF(Расчёты!$E49=1,Расчёты!$BC49,"")</f>
        <v/>
      </c>
      <c r="AI71" s="33" t="str">
        <f>IF(Расчёты!$E49=1,Расчёты!$AU49,"")</f>
        <v/>
      </c>
      <c r="AJ71" s="33" t="str">
        <f>IF(Расчёты!$E49=1,Расчёты!$BF49,"")</f>
        <v/>
      </c>
      <c r="AK71" s="33" t="str">
        <f>IF(Расчёты!$E49=1,Расчёты!$BG49,"")</f>
        <v/>
      </c>
      <c r="AM71" s="17" t="str">
        <f t="shared" si="7"/>
        <v/>
      </c>
      <c r="AN71" s="35" t="str">
        <f t="shared" si="8"/>
        <v/>
      </c>
      <c r="AP71" s="17" t="str">
        <f t="shared" si="9"/>
        <v/>
      </c>
      <c r="AQ71" s="35" t="str">
        <f t="shared" si="10"/>
        <v/>
      </c>
      <c r="AV71" s="17" t="str">
        <f t="shared" si="11"/>
        <v/>
      </c>
      <c r="AW71" s="35" t="str">
        <f t="shared" si="12"/>
        <v/>
      </c>
      <c r="AX71" s="35" t="str">
        <f t="shared" si="13"/>
        <v/>
      </c>
    </row>
    <row r="72" spans="1:50" x14ac:dyDescent="0.2">
      <c r="A72" s="18" t="str">
        <f>IF(Расчёты!$E50=1,Расчёты!$B50,"")</f>
        <v/>
      </c>
      <c r="B72" s="34" t="str">
        <f>IF(Расчёты!$E50=1,Расчёты!$D50,"")</f>
        <v/>
      </c>
      <c r="C72" s="33" t="str">
        <f>IF(Расчёты!$E50=1,Расчёты!$Z50,"")</f>
        <v/>
      </c>
      <c r="D72" s="33" t="str">
        <f>IF(Расчёты!$E50=1,Расчёты!$AA50,"")</f>
        <v/>
      </c>
      <c r="E72" s="33" t="str">
        <f>IF(Расчёты!$E50=1,Расчёты!$AB50,"")</f>
        <v/>
      </c>
      <c r="F72" s="33" t="str">
        <f>IF(Расчёты!$E50=1,Расчёты!$AC50,"")</f>
        <v/>
      </c>
      <c r="G72" s="33" t="str">
        <f>IF(Расчёты!$E50=1,Расчёты!$AD50,"")</f>
        <v/>
      </c>
      <c r="H72" s="33" t="str">
        <f>IF(Расчёты!$E50=1,Расчёты!$AI50,"")</f>
        <v/>
      </c>
      <c r="I72" s="33" t="str">
        <f>IF(Расчёты!$E50=1,Расчёты!$AG50,"")</f>
        <v/>
      </c>
      <c r="J72" s="33" t="str">
        <f>IF(Расчёты!$E50=1,Расчёты!$AJ50,"")</f>
        <v/>
      </c>
      <c r="K72" s="33" t="str">
        <f>IF(Расчёты!$E50=1,Расчёты!$AK50,"")</f>
        <v/>
      </c>
      <c r="L72" s="33" t="str">
        <f>IF(Расчёты!$E50=1,Расчёты!$I50,"")</f>
        <v/>
      </c>
      <c r="M72" s="33" t="str">
        <f>IF(Расчёты!$E50=1,Расчёты!$J50,"")</f>
        <v/>
      </c>
      <c r="N72" s="33" t="str">
        <f>IF(Расчёты!$E50=1,Расчёты!$K50,"")</f>
        <v/>
      </c>
      <c r="O72" s="33" t="str">
        <f>IF(Расчёты!$E50=1,Расчёты!$L50,"")</f>
        <v/>
      </c>
      <c r="P72" s="33" t="str">
        <f>IF(Расчёты!$E50=1,Расчёты!$M50,"")</f>
        <v/>
      </c>
      <c r="Q72" s="33" t="str">
        <f>IF(Расчёты!$E50=1,Расчёты!$N50,"")</f>
        <v/>
      </c>
      <c r="R72" s="33" t="str">
        <f>IF(Расчёты!$E50=1,Расчёты!$O50,"")</f>
        <v/>
      </c>
      <c r="S72" s="33" t="str">
        <f>IF(Расчёты!$E50=1,Расчёты!$Q50,"")</f>
        <v/>
      </c>
      <c r="T72" s="33" t="str">
        <f>IF(Расчёты!$E50=1,Расчёты!$S50,"")</f>
        <v/>
      </c>
      <c r="U72" s="33" t="str">
        <f>IF(Расчёты!$E50=1,Расчёты!$U50,"")</f>
        <v/>
      </c>
      <c r="V72" s="33" t="str">
        <f>IF(Расчёты!$E50=1,Расчёты!$W50,"")</f>
        <v/>
      </c>
      <c r="W72" s="33" t="str">
        <f>IF(Расчёты!$E50=1,Расчёты!$X50,"")</f>
        <v/>
      </c>
      <c r="X72" s="33" t="str">
        <f>IF(Расчёты!$E50=1,Расчёты!$Y50,"")</f>
        <v/>
      </c>
      <c r="Y72" s="33" t="str">
        <f>IF(Расчёты!$E50=1,Расчёты!$AL50,"")</f>
        <v/>
      </c>
      <c r="Z72" s="33" t="str">
        <f>IF(Расчёты!$E50=1,Расчёты!$AP50,"")</f>
        <v/>
      </c>
      <c r="AA72" s="33" t="str">
        <f>IF(Расчёты!$E50=1,Расчёты!$AS50,"")</f>
        <v/>
      </c>
      <c r="AB72" s="33" t="str">
        <f>IF(Расчёты!$E50=1,Расчёты!$AV50,"")</f>
        <v/>
      </c>
      <c r="AC72" s="33" t="str">
        <f>IF(Расчёты!$E50=1,Расчёты!$AW50,"")</f>
        <v/>
      </c>
      <c r="AD72" s="33" t="str">
        <f>IF(Расчёты!$E50=1,Расчёты!$AX50,"")</f>
        <v/>
      </c>
      <c r="AE72" s="33" t="str">
        <f>IF(Расчёты!$E50=1,Расчёты!$AY50,"")</f>
        <v/>
      </c>
      <c r="AF72" s="33" t="str">
        <f>IF(Расчёты!$E50=1,Расчёты!$BA50,"")</f>
        <v/>
      </c>
      <c r="AG72" s="33" t="str">
        <f>IF(Расчёты!$E50=1,Расчёты!$BB50,"")</f>
        <v/>
      </c>
      <c r="AH72" s="33" t="str">
        <f>IF(Расчёты!$E50=1,Расчёты!$BC50,"")</f>
        <v/>
      </c>
      <c r="AI72" s="33" t="str">
        <f>IF(Расчёты!$E50=1,Расчёты!$AU50,"")</f>
        <v/>
      </c>
      <c r="AJ72" s="33" t="str">
        <f>IF(Расчёты!$E50=1,Расчёты!$BF50,"")</f>
        <v/>
      </c>
      <c r="AK72" s="33" t="str">
        <f>IF(Расчёты!$E50=1,Расчёты!$BG50,"")</f>
        <v/>
      </c>
      <c r="AM72" s="17" t="str">
        <f t="shared" si="7"/>
        <v/>
      </c>
      <c r="AN72" s="35" t="str">
        <f t="shared" si="8"/>
        <v/>
      </c>
      <c r="AP72" s="17" t="str">
        <f t="shared" si="9"/>
        <v/>
      </c>
      <c r="AQ72" s="35" t="str">
        <f t="shared" si="10"/>
        <v/>
      </c>
      <c r="AV72" s="17" t="str">
        <f t="shared" si="11"/>
        <v/>
      </c>
      <c r="AW72" s="35" t="str">
        <f t="shared" si="12"/>
        <v/>
      </c>
      <c r="AX72" s="35" t="str">
        <f t="shared" si="13"/>
        <v/>
      </c>
    </row>
    <row r="73" spans="1:50" x14ac:dyDescent="0.2">
      <c r="A73" s="18" t="str">
        <f>IF(Расчёты!$E51=1,Расчёты!$B51,"")</f>
        <v/>
      </c>
      <c r="B73" s="34" t="str">
        <f>IF(Расчёты!$E51=1,Расчёты!$D51,"")</f>
        <v/>
      </c>
      <c r="C73" s="33" t="str">
        <f>IF(Расчёты!$E51=1,Расчёты!$Z51,"")</f>
        <v/>
      </c>
      <c r="D73" s="33" t="str">
        <f>IF(Расчёты!$E51=1,Расчёты!$AA51,"")</f>
        <v/>
      </c>
      <c r="E73" s="33" t="str">
        <f>IF(Расчёты!$E51=1,Расчёты!$AB51,"")</f>
        <v/>
      </c>
      <c r="F73" s="33" t="str">
        <f>IF(Расчёты!$E51=1,Расчёты!$AC51,"")</f>
        <v/>
      </c>
      <c r="G73" s="33" t="str">
        <f>IF(Расчёты!$E51=1,Расчёты!$AD51,"")</f>
        <v/>
      </c>
      <c r="H73" s="33" t="str">
        <f>IF(Расчёты!$E51=1,Расчёты!$AI51,"")</f>
        <v/>
      </c>
      <c r="I73" s="33" t="str">
        <f>IF(Расчёты!$E51=1,Расчёты!$AG51,"")</f>
        <v/>
      </c>
      <c r="J73" s="33" t="str">
        <f>IF(Расчёты!$E51=1,Расчёты!$AJ51,"")</f>
        <v/>
      </c>
      <c r="K73" s="33" t="str">
        <f>IF(Расчёты!$E51=1,Расчёты!$AK51,"")</f>
        <v/>
      </c>
      <c r="L73" s="33" t="str">
        <f>IF(Расчёты!$E51=1,Расчёты!$I51,"")</f>
        <v/>
      </c>
      <c r="M73" s="33" t="str">
        <f>IF(Расчёты!$E51=1,Расчёты!$J51,"")</f>
        <v/>
      </c>
      <c r="N73" s="33" t="str">
        <f>IF(Расчёты!$E51=1,Расчёты!$K51,"")</f>
        <v/>
      </c>
      <c r="O73" s="33" t="str">
        <f>IF(Расчёты!$E51=1,Расчёты!$L51,"")</f>
        <v/>
      </c>
      <c r="P73" s="33" t="str">
        <f>IF(Расчёты!$E51=1,Расчёты!$M51,"")</f>
        <v/>
      </c>
      <c r="Q73" s="33" t="str">
        <f>IF(Расчёты!$E51=1,Расчёты!$N51,"")</f>
        <v/>
      </c>
      <c r="R73" s="33" t="str">
        <f>IF(Расчёты!$E51=1,Расчёты!$O51,"")</f>
        <v/>
      </c>
      <c r="S73" s="33" t="str">
        <f>IF(Расчёты!$E51=1,Расчёты!$Q51,"")</f>
        <v/>
      </c>
      <c r="T73" s="33" t="str">
        <f>IF(Расчёты!$E51=1,Расчёты!$S51,"")</f>
        <v/>
      </c>
      <c r="U73" s="33" t="str">
        <f>IF(Расчёты!$E51=1,Расчёты!$U51,"")</f>
        <v/>
      </c>
      <c r="V73" s="33" t="str">
        <f>IF(Расчёты!$E51=1,Расчёты!$W51,"")</f>
        <v/>
      </c>
      <c r="W73" s="33" t="str">
        <f>IF(Расчёты!$E51=1,Расчёты!$X51,"")</f>
        <v/>
      </c>
      <c r="X73" s="33" t="str">
        <f>IF(Расчёты!$E51=1,Расчёты!$Y51,"")</f>
        <v/>
      </c>
      <c r="Y73" s="33" t="str">
        <f>IF(Расчёты!$E51=1,Расчёты!$AL51,"")</f>
        <v/>
      </c>
      <c r="Z73" s="33" t="str">
        <f>IF(Расчёты!$E51=1,Расчёты!$AP51,"")</f>
        <v/>
      </c>
      <c r="AA73" s="33" t="str">
        <f>IF(Расчёты!$E51=1,Расчёты!$AS51,"")</f>
        <v/>
      </c>
      <c r="AB73" s="33" t="str">
        <f>IF(Расчёты!$E51=1,Расчёты!$AV51,"")</f>
        <v/>
      </c>
      <c r="AC73" s="33" t="str">
        <f>IF(Расчёты!$E51=1,Расчёты!$AW51,"")</f>
        <v/>
      </c>
      <c r="AD73" s="33" t="str">
        <f>IF(Расчёты!$E51=1,Расчёты!$AX51,"")</f>
        <v/>
      </c>
      <c r="AE73" s="33" t="str">
        <f>IF(Расчёты!$E51=1,Расчёты!$AY51,"")</f>
        <v/>
      </c>
      <c r="AF73" s="33" t="str">
        <f>IF(Расчёты!$E51=1,Расчёты!$BA51,"")</f>
        <v/>
      </c>
      <c r="AG73" s="33" t="str">
        <f>IF(Расчёты!$E51=1,Расчёты!$BB51,"")</f>
        <v/>
      </c>
      <c r="AH73" s="33" t="str">
        <f>IF(Расчёты!$E51=1,Расчёты!$BC51,"")</f>
        <v/>
      </c>
      <c r="AI73" s="33" t="str">
        <f>IF(Расчёты!$E51=1,Расчёты!$AU51,"")</f>
        <v/>
      </c>
      <c r="AJ73" s="33" t="str">
        <f>IF(Расчёты!$E51=1,Расчёты!$BF51,"")</f>
        <v/>
      </c>
      <c r="AK73" s="33" t="str">
        <f>IF(Расчёты!$E51=1,Расчёты!$BG51,"")</f>
        <v/>
      </c>
      <c r="AM73" s="17" t="str">
        <f t="shared" si="7"/>
        <v/>
      </c>
      <c r="AN73" s="35" t="str">
        <f t="shared" si="8"/>
        <v/>
      </c>
      <c r="AP73" s="17" t="str">
        <f t="shared" si="9"/>
        <v/>
      </c>
      <c r="AQ73" s="35" t="str">
        <f t="shared" si="10"/>
        <v/>
      </c>
      <c r="AV73" s="17" t="str">
        <f t="shared" si="11"/>
        <v/>
      </c>
      <c r="AW73" s="35" t="str">
        <f t="shared" si="12"/>
        <v/>
      </c>
      <c r="AX73" s="35" t="str">
        <f t="shared" si="13"/>
        <v/>
      </c>
    </row>
    <row r="74" spans="1:50" x14ac:dyDescent="0.2">
      <c r="A74" s="18" t="str">
        <f>IF(Расчёты!$E52=1,Расчёты!$B52,"")</f>
        <v/>
      </c>
      <c r="B74" s="34" t="str">
        <f>IF(Расчёты!$E52=1,Расчёты!$D52,"")</f>
        <v/>
      </c>
      <c r="C74" s="33" t="str">
        <f>IF(Расчёты!$E52=1,Расчёты!$Z52,"")</f>
        <v/>
      </c>
      <c r="D74" s="33" t="str">
        <f>IF(Расчёты!$E52=1,Расчёты!$AA52,"")</f>
        <v/>
      </c>
      <c r="E74" s="33" t="str">
        <f>IF(Расчёты!$E52=1,Расчёты!$AB52,"")</f>
        <v/>
      </c>
      <c r="F74" s="33" t="str">
        <f>IF(Расчёты!$E52=1,Расчёты!$AC52,"")</f>
        <v/>
      </c>
      <c r="G74" s="33" t="str">
        <f>IF(Расчёты!$E52=1,Расчёты!$AD52,"")</f>
        <v/>
      </c>
      <c r="H74" s="33" t="str">
        <f>IF(Расчёты!$E52=1,Расчёты!$AI52,"")</f>
        <v/>
      </c>
      <c r="I74" s="33" t="str">
        <f>IF(Расчёты!$E52=1,Расчёты!$AG52,"")</f>
        <v/>
      </c>
      <c r="J74" s="33" t="str">
        <f>IF(Расчёты!$E52=1,Расчёты!$AJ52,"")</f>
        <v/>
      </c>
      <c r="K74" s="33" t="str">
        <f>IF(Расчёты!$E52=1,Расчёты!$AK52,"")</f>
        <v/>
      </c>
      <c r="L74" s="33" t="str">
        <f>IF(Расчёты!$E52=1,Расчёты!$I52,"")</f>
        <v/>
      </c>
      <c r="M74" s="33" t="str">
        <f>IF(Расчёты!$E52=1,Расчёты!$J52,"")</f>
        <v/>
      </c>
      <c r="N74" s="33" t="str">
        <f>IF(Расчёты!$E52=1,Расчёты!$K52,"")</f>
        <v/>
      </c>
      <c r="O74" s="33" t="str">
        <f>IF(Расчёты!$E52=1,Расчёты!$L52,"")</f>
        <v/>
      </c>
      <c r="P74" s="33" t="str">
        <f>IF(Расчёты!$E52=1,Расчёты!$M52,"")</f>
        <v/>
      </c>
      <c r="Q74" s="33" t="str">
        <f>IF(Расчёты!$E52=1,Расчёты!$N52,"")</f>
        <v/>
      </c>
      <c r="R74" s="33" t="str">
        <f>IF(Расчёты!$E52=1,Расчёты!$O52,"")</f>
        <v/>
      </c>
      <c r="S74" s="33" t="str">
        <f>IF(Расчёты!$E52=1,Расчёты!$Q52,"")</f>
        <v/>
      </c>
      <c r="T74" s="33" t="str">
        <f>IF(Расчёты!$E52=1,Расчёты!$S52,"")</f>
        <v/>
      </c>
      <c r="U74" s="33" t="str">
        <f>IF(Расчёты!$E52=1,Расчёты!$U52,"")</f>
        <v/>
      </c>
      <c r="V74" s="33" t="str">
        <f>IF(Расчёты!$E52=1,Расчёты!$W52,"")</f>
        <v/>
      </c>
      <c r="W74" s="33" t="str">
        <f>IF(Расчёты!$E52=1,Расчёты!$X52,"")</f>
        <v/>
      </c>
      <c r="X74" s="33" t="str">
        <f>IF(Расчёты!$E52=1,Расчёты!$Y52,"")</f>
        <v/>
      </c>
      <c r="Y74" s="33" t="str">
        <f>IF(Расчёты!$E52=1,Расчёты!$AL52,"")</f>
        <v/>
      </c>
      <c r="Z74" s="33" t="str">
        <f>IF(Расчёты!$E52=1,Расчёты!$AP52,"")</f>
        <v/>
      </c>
      <c r="AA74" s="33" t="str">
        <f>IF(Расчёты!$E52=1,Расчёты!$AS52,"")</f>
        <v/>
      </c>
      <c r="AB74" s="33" t="str">
        <f>IF(Расчёты!$E52=1,Расчёты!$AV52,"")</f>
        <v/>
      </c>
      <c r="AC74" s="33" t="str">
        <f>IF(Расчёты!$E52=1,Расчёты!$AW52,"")</f>
        <v/>
      </c>
      <c r="AD74" s="33" t="str">
        <f>IF(Расчёты!$E52=1,Расчёты!$AX52,"")</f>
        <v/>
      </c>
      <c r="AE74" s="33" t="str">
        <f>IF(Расчёты!$E52=1,Расчёты!$AY52,"")</f>
        <v/>
      </c>
      <c r="AF74" s="33" t="str">
        <f>IF(Расчёты!$E52=1,Расчёты!$BA52,"")</f>
        <v/>
      </c>
      <c r="AG74" s="33" t="str">
        <f>IF(Расчёты!$E52=1,Расчёты!$BB52,"")</f>
        <v/>
      </c>
      <c r="AH74" s="33" t="str">
        <f>IF(Расчёты!$E52=1,Расчёты!$BC52,"")</f>
        <v/>
      </c>
      <c r="AI74" s="33" t="str">
        <f>IF(Расчёты!$E52=1,Расчёты!$AU52,"")</f>
        <v/>
      </c>
      <c r="AJ74" s="33" t="str">
        <f>IF(Расчёты!$E52=1,Расчёты!$BF52,"")</f>
        <v/>
      </c>
      <c r="AK74" s="33" t="str">
        <f>IF(Расчёты!$E52=1,Расчёты!$BG52,"")</f>
        <v/>
      </c>
      <c r="AM74" s="17" t="str">
        <f t="shared" si="7"/>
        <v/>
      </c>
      <c r="AN74" s="35" t="str">
        <f t="shared" si="8"/>
        <v/>
      </c>
      <c r="AP74" s="17" t="str">
        <f t="shared" si="9"/>
        <v/>
      </c>
      <c r="AQ74" s="35" t="str">
        <f t="shared" si="10"/>
        <v/>
      </c>
      <c r="AV74" s="17" t="str">
        <f t="shared" si="11"/>
        <v/>
      </c>
      <c r="AW74" s="35" t="str">
        <f t="shared" si="12"/>
        <v/>
      </c>
      <c r="AX74" s="35" t="str">
        <f t="shared" si="13"/>
        <v/>
      </c>
    </row>
    <row r="75" spans="1:50" x14ac:dyDescent="0.2">
      <c r="A75" s="18" t="str">
        <f>IF(Расчёты!$E53=1,Расчёты!$B53,"")</f>
        <v/>
      </c>
      <c r="B75" s="34" t="str">
        <f>IF(Расчёты!$E53=1,Расчёты!$D53,"")</f>
        <v/>
      </c>
      <c r="C75" s="33" t="str">
        <f>IF(Расчёты!$E53=1,Расчёты!$Z53,"")</f>
        <v/>
      </c>
      <c r="D75" s="33" t="str">
        <f>IF(Расчёты!$E53=1,Расчёты!$AA53,"")</f>
        <v/>
      </c>
      <c r="E75" s="33" t="str">
        <f>IF(Расчёты!$E53=1,Расчёты!$AB53,"")</f>
        <v/>
      </c>
      <c r="F75" s="33" t="str">
        <f>IF(Расчёты!$E53=1,Расчёты!$AC53,"")</f>
        <v/>
      </c>
      <c r="G75" s="33" t="str">
        <f>IF(Расчёты!$E53=1,Расчёты!$AD53,"")</f>
        <v/>
      </c>
      <c r="H75" s="33" t="str">
        <f>IF(Расчёты!$E53=1,Расчёты!$AI53,"")</f>
        <v/>
      </c>
      <c r="I75" s="33" t="str">
        <f>IF(Расчёты!$E53=1,Расчёты!$AG53,"")</f>
        <v/>
      </c>
      <c r="J75" s="33" t="str">
        <f>IF(Расчёты!$E53=1,Расчёты!$AJ53,"")</f>
        <v/>
      </c>
      <c r="K75" s="33" t="str">
        <f>IF(Расчёты!$E53=1,Расчёты!$AK53,"")</f>
        <v/>
      </c>
      <c r="L75" s="33" t="str">
        <f>IF(Расчёты!$E53=1,Расчёты!$I53,"")</f>
        <v/>
      </c>
      <c r="M75" s="33" t="str">
        <f>IF(Расчёты!$E53=1,Расчёты!$J53,"")</f>
        <v/>
      </c>
      <c r="N75" s="33" t="str">
        <f>IF(Расчёты!$E53=1,Расчёты!$K53,"")</f>
        <v/>
      </c>
      <c r="O75" s="33" t="str">
        <f>IF(Расчёты!$E53=1,Расчёты!$L53,"")</f>
        <v/>
      </c>
      <c r="P75" s="33" t="str">
        <f>IF(Расчёты!$E53=1,Расчёты!$M53,"")</f>
        <v/>
      </c>
      <c r="Q75" s="33" t="str">
        <f>IF(Расчёты!$E53=1,Расчёты!$N53,"")</f>
        <v/>
      </c>
      <c r="R75" s="33" t="str">
        <f>IF(Расчёты!$E53=1,Расчёты!$O53,"")</f>
        <v/>
      </c>
      <c r="S75" s="33" t="str">
        <f>IF(Расчёты!$E53=1,Расчёты!$Q53,"")</f>
        <v/>
      </c>
      <c r="T75" s="33" t="str">
        <f>IF(Расчёты!$E53=1,Расчёты!$S53,"")</f>
        <v/>
      </c>
      <c r="U75" s="33" t="str">
        <f>IF(Расчёты!$E53=1,Расчёты!$U53,"")</f>
        <v/>
      </c>
      <c r="V75" s="33" t="str">
        <f>IF(Расчёты!$E53=1,Расчёты!$W53,"")</f>
        <v/>
      </c>
      <c r="W75" s="33" t="str">
        <f>IF(Расчёты!$E53=1,Расчёты!$X53,"")</f>
        <v/>
      </c>
      <c r="X75" s="33" t="str">
        <f>IF(Расчёты!$E53=1,Расчёты!$Y53,"")</f>
        <v/>
      </c>
      <c r="Y75" s="33" t="str">
        <f>IF(Расчёты!$E53=1,Расчёты!$AL53,"")</f>
        <v/>
      </c>
      <c r="Z75" s="33" t="str">
        <f>IF(Расчёты!$E53=1,Расчёты!$AP53,"")</f>
        <v/>
      </c>
      <c r="AA75" s="33" t="str">
        <f>IF(Расчёты!$E53=1,Расчёты!$AS53,"")</f>
        <v/>
      </c>
      <c r="AB75" s="33" t="str">
        <f>IF(Расчёты!$E53=1,Расчёты!$AV53,"")</f>
        <v/>
      </c>
      <c r="AC75" s="33" t="str">
        <f>IF(Расчёты!$E53=1,Расчёты!$AW53,"")</f>
        <v/>
      </c>
      <c r="AD75" s="33" t="str">
        <f>IF(Расчёты!$E53=1,Расчёты!$AX53,"")</f>
        <v/>
      </c>
      <c r="AE75" s="33" t="str">
        <f>IF(Расчёты!$E53=1,Расчёты!$AY53,"")</f>
        <v/>
      </c>
      <c r="AF75" s="33" t="str">
        <f>IF(Расчёты!$E53=1,Расчёты!$BA53,"")</f>
        <v/>
      </c>
      <c r="AG75" s="33" t="str">
        <f>IF(Расчёты!$E53=1,Расчёты!$BB53,"")</f>
        <v/>
      </c>
      <c r="AH75" s="33" t="str">
        <f>IF(Расчёты!$E53=1,Расчёты!$BC53,"")</f>
        <v/>
      </c>
      <c r="AI75" s="33" t="str">
        <f>IF(Расчёты!$E53=1,Расчёты!$AU53,"")</f>
        <v/>
      </c>
      <c r="AJ75" s="33" t="str">
        <f>IF(Расчёты!$E53=1,Расчёты!$BF53,"")</f>
        <v/>
      </c>
      <c r="AK75" s="33" t="str">
        <f>IF(Расчёты!$E53=1,Расчёты!$BG53,"")</f>
        <v/>
      </c>
      <c r="AM75" s="17" t="str">
        <f t="shared" si="7"/>
        <v/>
      </c>
      <c r="AN75" s="35" t="str">
        <f t="shared" si="8"/>
        <v/>
      </c>
      <c r="AP75" s="17" t="str">
        <f t="shared" si="9"/>
        <v/>
      </c>
      <c r="AQ75" s="35" t="str">
        <f t="shared" si="10"/>
        <v/>
      </c>
      <c r="AV75" s="17" t="str">
        <f t="shared" si="11"/>
        <v/>
      </c>
      <c r="AW75" s="35" t="str">
        <f t="shared" si="12"/>
        <v/>
      </c>
      <c r="AX75" s="35" t="str">
        <f t="shared" si="13"/>
        <v/>
      </c>
    </row>
    <row r="76" spans="1:50" x14ac:dyDescent="0.2">
      <c r="A76" s="18" t="str">
        <f>IF(Расчёты!$E54=1,Расчёты!$B54,"")</f>
        <v/>
      </c>
      <c r="B76" s="34" t="str">
        <f>IF(Расчёты!$E54=1,Расчёты!$D54,"")</f>
        <v/>
      </c>
      <c r="C76" s="33" t="str">
        <f>IF(Расчёты!$E54=1,Расчёты!$Z54,"")</f>
        <v/>
      </c>
      <c r="D76" s="33" t="str">
        <f>IF(Расчёты!$E54=1,Расчёты!$AA54,"")</f>
        <v/>
      </c>
      <c r="E76" s="33" t="str">
        <f>IF(Расчёты!$E54=1,Расчёты!$AB54,"")</f>
        <v/>
      </c>
      <c r="F76" s="33" t="str">
        <f>IF(Расчёты!$E54=1,Расчёты!$AC54,"")</f>
        <v/>
      </c>
      <c r="G76" s="33" t="str">
        <f>IF(Расчёты!$E54=1,Расчёты!$AD54,"")</f>
        <v/>
      </c>
      <c r="H76" s="33" t="str">
        <f>IF(Расчёты!$E54=1,Расчёты!$AI54,"")</f>
        <v/>
      </c>
      <c r="I76" s="33" t="str">
        <f>IF(Расчёты!$E54=1,Расчёты!$AG54,"")</f>
        <v/>
      </c>
      <c r="J76" s="33" t="str">
        <f>IF(Расчёты!$E54=1,Расчёты!$AJ54,"")</f>
        <v/>
      </c>
      <c r="K76" s="33" t="str">
        <f>IF(Расчёты!$E54=1,Расчёты!$AK54,"")</f>
        <v/>
      </c>
      <c r="L76" s="33" t="str">
        <f>IF(Расчёты!$E54=1,Расчёты!$I54,"")</f>
        <v/>
      </c>
      <c r="M76" s="33" t="str">
        <f>IF(Расчёты!$E54=1,Расчёты!$J54,"")</f>
        <v/>
      </c>
      <c r="N76" s="33" t="str">
        <f>IF(Расчёты!$E54=1,Расчёты!$K54,"")</f>
        <v/>
      </c>
      <c r="O76" s="33" t="str">
        <f>IF(Расчёты!$E54=1,Расчёты!$L54,"")</f>
        <v/>
      </c>
      <c r="P76" s="33" t="str">
        <f>IF(Расчёты!$E54=1,Расчёты!$M54,"")</f>
        <v/>
      </c>
      <c r="Q76" s="33" t="str">
        <f>IF(Расчёты!$E54=1,Расчёты!$N54,"")</f>
        <v/>
      </c>
      <c r="R76" s="33" t="str">
        <f>IF(Расчёты!$E54=1,Расчёты!$O54,"")</f>
        <v/>
      </c>
      <c r="S76" s="33" t="str">
        <f>IF(Расчёты!$E54=1,Расчёты!$Q54,"")</f>
        <v/>
      </c>
      <c r="T76" s="33" t="str">
        <f>IF(Расчёты!$E54=1,Расчёты!$S54,"")</f>
        <v/>
      </c>
      <c r="U76" s="33" t="str">
        <f>IF(Расчёты!$E54=1,Расчёты!$U54,"")</f>
        <v/>
      </c>
      <c r="V76" s="33" t="str">
        <f>IF(Расчёты!$E54=1,Расчёты!$W54,"")</f>
        <v/>
      </c>
      <c r="W76" s="33" t="str">
        <f>IF(Расчёты!$E54=1,Расчёты!$X54,"")</f>
        <v/>
      </c>
      <c r="X76" s="33" t="str">
        <f>IF(Расчёты!$E54=1,Расчёты!$Y54,"")</f>
        <v/>
      </c>
      <c r="Y76" s="33" t="str">
        <f>IF(Расчёты!$E54=1,Расчёты!$AL54,"")</f>
        <v/>
      </c>
      <c r="Z76" s="33" t="str">
        <f>IF(Расчёты!$E54=1,Расчёты!$AP54,"")</f>
        <v/>
      </c>
      <c r="AA76" s="33" t="str">
        <f>IF(Расчёты!$E54=1,Расчёты!$AS54,"")</f>
        <v/>
      </c>
      <c r="AB76" s="33" t="str">
        <f>IF(Расчёты!$E54=1,Расчёты!$AV54,"")</f>
        <v/>
      </c>
      <c r="AC76" s="33" t="str">
        <f>IF(Расчёты!$E54=1,Расчёты!$AW54,"")</f>
        <v/>
      </c>
      <c r="AD76" s="33" t="str">
        <f>IF(Расчёты!$E54=1,Расчёты!$AX54,"")</f>
        <v/>
      </c>
      <c r="AE76" s="33" t="str">
        <f>IF(Расчёты!$E54=1,Расчёты!$AY54,"")</f>
        <v/>
      </c>
      <c r="AF76" s="33" t="str">
        <f>IF(Расчёты!$E54=1,Расчёты!$BA54,"")</f>
        <v/>
      </c>
      <c r="AG76" s="33" t="str">
        <f>IF(Расчёты!$E54=1,Расчёты!$BB54,"")</f>
        <v/>
      </c>
      <c r="AH76" s="33" t="str">
        <f>IF(Расчёты!$E54=1,Расчёты!$BC54,"")</f>
        <v/>
      </c>
      <c r="AI76" s="33" t="str">
        <f>IF(Расчёты!$E54=1,Расчёты!$AU54,"")</f>
        <v/>
      </c>
      <c r="AJ76" s="33" t="str">
        <f>IF(Расчёты!$E54=1,Расчёты!$BF54,"")</f>
        <v/>
      </c>
      <c r="AK76" s="33" t="str">
        <f>IF(Расчёты!$E54=1,Расчёты!$BG54,"")</f>
        <v/>
      </c>
      <c r="AM76" s="17" t="str">
        <f t="shared" si="7"/>
        <v/>
      </c>
      <c r="AN76" s="35" t="str">
        <f t="shared" si="8"/>
        <v/>
      </c>
      <c r="AP76" s="17" t="str">
        <f t="shared" si="9"/>
        <v/>
      </c>
      <c r="AQ76" s="35" t="str">
        <f t="shared" si="10"/>
        <v/>
      </c>
      <c r="AV76" s="17" t="str">
        <f t="shared" si="11"/>
        <v/>
      </c>
      <c r="AW76" s="35" t="str">
        <f t="shared" si="12"/>
        <v/>
      </c>
      <c r="AX76" s="35" t="str">
        <f t="shared" si="13"/>
        <v/>
      </c>
    </row>
    <row r="77" spans="1:50" x14ac:dyDescent="0.2">
      <c r="A77" s="18" t="str">
        <f>IF(Расчёты!$E55=1,Расчёты!$B55,"")</f>
        <v/>
      </c>
      <c r="B77" s="34" t="str">
        <f>IF(Расчёты!$E55=1,Расчёты!$D55,"")</f>
        <v/>
      </c>
      <c r="C77" s="33" t="str">
        <f>IF(Расчёты!$E55=1,Расчёты!$Z55,"")</f>
        <v/>
      </c>
      <c r="D77" s="33" t="str">
        <f>IF(Расчёты!$E55=1,Расчёты!$AA55,"")</f>
        <v/>
      </c>
      <c r="E77" s="33" t="str">
        <f>IF(Расчёты!$E55=1,Расчёты!$AB55,"")</f>
        <v/>
      </c>
      <c r="F77" s="33" t="str">
        <f>IF(Расчёты!$E55=1,Расчёты!$AC55,"")</f>
        <v/>
      </c>
      <c r="G77" s="33" t="str">
        <f>IF(Расчёты!$E55=1,Расчёты!$AD55,"")</f>
        <v/>
      </c>
      <c r="H77" s="33" t="str">
        <f>IF(Расчёты!$E55=1,Расчёты!$AI55,"")</f>
        <v/>
      </c>
      <c r="I77" s="33" t="str">
        <f>IF(Расчёты!$E55=1,Расчёты!$AG55,"")</f>
        <v/>
      </c>
      <c r="J77" s="33" t="str">
        <f>IF(Расчёты!$E55=1,Расчёты!$AJ55,"")</f>
        <v/>
      </c>
      <c r="K77" s="33" t="str">
        <f>IF(Расчёты!$E55=1,Расчёты!$AK55,"")</f>
        <v/>
      </c>
      <c r="L77" s="33" t="str">
        <f>IF(Расчёты!$E55=1,Расчёты!$I55,"")</f>
        <v/>
      </c>
      <c r="M77" s="33" t="str">
        <f>IF(Расчёты!$E55=1,Расчёты!$J55,"")</f>
        <v/>
      </c>
      <c r="N77" s="33" t="str">
        <f>IF(Расчёты!$E55=1,Расчёты!$K55,"")</f>
        <v/>
      </c>
      <c r="O77" s="33" t="str">
        <f>IF(Расчёты!$E55=1,Расчёты!$L55,"")</f>
        <v/>
      </c>
      <c r="P77" s="33" t="str">
        <f>IF(Расчёты!$E55=1,Расчёты!$M55,"")</f>
        <v/>
      </c>
      <c r="Q77" s="33" t="str">
        <f>IF(Расчёты!$E55=1,Расчёты!$N55,"")</f>
        <v/>
      </c>
      <c r="R77" s="33" t="str">
        <f>IF(Расчёты!$E55=1,Расчёты!$O55,"")</f>
        <v/>
      </c>
      <c r="S77" s="33" t="str">
        <f>IF(Расчёты!$E55=1,Расчёты!$Q55,"")</f>
        <v/>
      </c>
      <c r="T77" s="33" t="str">
        <f>IF(Расчёты!$E55=1,Расчёты!$S55,"")</f>
        <v/>
      </c>
      <c r="U77" s="33" t="str">
        <f>IF(Расчёты!$E55=1,Расчёты!$U55,"")</f>
        <v/>
      </c>
      <c r="V77" s="33" t="str">
        <f>IF(Расчёты!$E55=1,Расчёты!$W55,"")</f>
        <v/>
      </c>
      <c r="W77" s="33" t="str">
        <f>IF(Расчёты!$E55=1,Расчёты!$X55,"")</f>
        <v/>
      </c>
      <c r="X77" s="33" t="str">
        <f>IF(Расчёты!$E55=1,Расчёты!$Y55,"")</f>
        <v/>
      </c>
      <c r="Y77" s="33" t="str">
        <f>IF(Расчёты!$E55=1,Расчёты!$AL55,"")</f>
        <v/>
      </c>
      <c r="Z77" s="33" t="str">
        <f>IF(Расчёты!$E55=1,Расчёты!$AP55,"")</f>
        <v/>
      </c>
      <c r="AA77" s="33" t="str">
        <f>IF(Расчёты!$E55=1,Расчёты!$AS55,"")</f>
        <v/>
      </c>
      <c r="AB77" s="33" t="str">
        <f>IF(Расчёты!$E55=1,Расчёты!$AV55,"")</f>
        <v/>
      </c>
      <c r="AC77" s="33" t="str">
        <f>IF(Расчёты!$E55=1,Расчёты!$AW55,"")</f>
        <v/>
      </c>
      <c r="AD77" s="33" t="str">
        <f>IF(Расчёты!$E55=1,Расчёты!$AX55,"")</f>
        <v/>
      </c>
      <c r="AE77" s="33" t="str">
        <f>IF(Расчёты!$E55=1,Расчёты!$AY55,"")</f>
        <v/>
      </c>
      <c r="AF77" s="33" t="str">
        <f>IF(Расчёты!$E55=1,Расчёты!$BA55,"")</f>
        <v/>
      </c>
      <c r="AG77" s="33" t="str">
        <f>IF(Расчёты!$E55=1,Расчёты!$BB55,"")</f>
        <v/>
      </c>
      <c r="AH77" s="33" t="str">
        <f>IF(Расчёты!$E55=1,Расчёты!$BC55,"")</f>
        <v/>
      </c>
      <c r="AI77" s="33" t="str">
        <f>IF(Расчёты!$E55=1,Расчёты!$AU55,"")</f>
        <v/>
      </c>
      <c r="AJ77" s="33" t="str">
        <f>IF(Расчёты!$E55=1,Расчёты!$BF55,"")</f>
        <v/>
      </c>
      <c r="AK77" s="33" t="str">
        <f>IF(Расчёты!$E55=1,Расчёты!$BG55,"")</f>
        <v/>
      </c>
      <c r="AM77" s="17" t="str">
        <f t="shared" si="7"/>
        <v/>
      </c>
      <c r="AN77" s="35" t="str">
        <f t="shared" si="8"/>
        <v/>
      </c>
      <c r="AP77" s="17" t="str">
        <f t="shared" si="9"/>
        <v/>
      </c>
      <c r="AQ77" s="35" t="str">
        <f t="shared" si="10"/>
        <v/>
      </c>
      <c r="AV77" s="17" t="str">
        <f t="shared" si="11"/>
        <v/>
      </c>
      <c r="AW77" s="35" t="str">
        <f t="shared" si="12"/>
        <v/>
      </c>
      <c r="AX77" s="35" t="str">
        <f t="shared" si="13"/>
        <v/>
      </c>
    </row>
    <row r="78" spans="1:50" x14ac:dyDescent="0.2">
      <c r="A78" s="18" t="str">
        <f>IF(Расчёты!$E56=1,Расчёты!$B56,"")</f>
        <v/>
      </c>
      <c r="B78" s="34" t="str">
        <f>IF(Расчёты!$E56=1,Расчёты!$D56,"")</f>
        <v/>
      </c>
      <c r="C78" s="33" t="str">
        <f>IF(Расчёты!$E56=1,Расчёты!$Z56,"")</f>
        <v/>
      </c>
      <c r="D78" s="33" t="str">
        <f>IF(Расчёты!$E56=1,Расчёты!$AA56,"")</f>
        <v/>
      </c>
      <c r="E78" s="33" t="str">
        <f>IF(Расчёты!$E56=1,Расчёты!$AB56,"")</f>
        <v/>
      </c>
      <c r="F78" s="33" t="str">
        <f>IF(Расчёты!$E56=1,Расчёты!$AC56,"")</f>
        <v/>
      </c>
      <c r="G78" s="33" t="str">
        <f>IF(Расчёты!$E56=1,Расчёты!$AD56,"")</f>
        <v/>
      </c>
      <c r="H78" s="33" t="str">
        <f>IF(Расчёты!$E56=1,Расчёты!$AI56,"")</f>
        <v/>
      </c>
      <c r="I78" s="33" t="str">
        <f>IF(Расчёты!$E56=1,Расчёты!$AG56,"")</f>
        <v/>
      </c>
      <c r="J78" s="33" t="str">
        <f>IF(Расчёты!$E56=1,Расчёты!$AJ56,"")</f>
        <v/>
      </c>
      <c r="K78" s="33" t="str">
        <f>IF(Расчёты!$E56=1,Расчёты!$AK56,"")</f>
        <v/>
      </c>
      <c r="L78" s="33" t="str">
        <f>IF(Расчёты!$E56=1,Расчёты!$I56,"")</f>
        <v/>
      </c>
      <c r="M78" s="33" t="str">
        <f>IF(Расчёты!$E56=1,Расчёты!$J56,"")</f>
        <v/>
      </c>
      <c r="N78" s="33" t="str">
        <f>IF(Расчёты!$E56=1,Расчёты!$K56,"")</f>
        <v/>
      </c>
      <c r="O78" s="33" t="str">
        <f>IF(Расчёты!$E56=1,Расчёты!$L56,"")</f>
        <v/>
      </c>
      <c r="P78" s="33" t="str">
        <f>IF(Расчёты!$E56=1,Расчёты!$M56,"")</f>
        <v/>
      </c>
      <c r="Q78" s="33" t="str">
        <f>IF(Расчёты!$E56=1,Расчёты!$N56,"")</f>
        <v/>
      </c>
      <c r="R78" s="33" t="str">
        <f>IF(Расчёты!$E56=1,Расчёты!$O56,"")</f>
        <v/>
      </c>
      <c r="S78" s="33" t="str">
        <f>IF(Расчёты!$E56=1,Расчёты!$Q56,"")</f>
        <v/>
      </c>
      <c r="T78" s="33" t="str">
        <f>IF(Расчёты!$E56=1,Расчёты!$S56,"")</f>
        <v/>
      </c>
      <c r="U78" s="33" t="str">
        <f>IF(Расчёты!$E56=1,Расчёты!$U56,"")</f>
        <v/>
      </c>
      <c r="V78" s="33" t="str">
        <f>IF(Расчёты!$E56=1,Расчёты!$W56,"")</f>
        <v/>
      </c>
      <c r="W78" s="33" t="str">
        <f>IF(Расчёты!$E56=1,Расчёты!$X56,"")</f>
        <v/>
      </c>
      <c r="X78" s="33" t="str">
        <f>IF(Расчёты!$E56=1,Расчёты!$Y56,"")</f>
        <v/>
      </c>
      <c r="Y78" s="33" t="str">
        <f>IF(Расчёты!$E56=1,Расчёты!$AL56,"")</f>
        <v/>
      </c>
      <c r="Z78" s="33" t="str">
        <f>IF(Расчёты!$E56=1,Расчёты!$AP56,"")</f>
        <v/>
      </c>
      <c r="AA78" s="33" t="str">
        <f>IF(Расчёты!$E56=1,Расчёты!$AS56,"")</f>
        <v/>
      </c>
      <c r="AB78" s="33" t="str">
        <f>IF(Расчёты!$E56=1,Расчёты!$AV56,"")</f>
        <v/>
      </c>
      <c r="AC78" s="33" t="str">
        <f>IF(Расчёты!$E56=1,Расчёты!$AW56,"")</f>
        <v/>
      </c>
      <c r="AD78" s="33" t="str">
        <f>IF(Расчёты!$E56=1,Расчёты!$AX56,"")</f>
        <v/>
      </c>
      <c r="AE78" s="33" t="str">
        <f>IF(Расчёты!$E56=1,Расчёты!$AY56,"")</f>
        <v/>
      </c>
      <c r="AF78" s="33" t="str">
        <f>IF(Расчёты!$E56=1,Расчёты!$BA56,"")</f>
        <v/>
      </c>
      <c r="AG78" s="33" t="str">
        <f>IF(Расчёты!$E56=1,Расчёты!$BB56,"")</f>
        <v/>
      </c>
      <c r="AH78" s="33" t="str">
        <f>IF(Расчёты!$E56=1,Расчёты!$BC56,"")</f>
        <v/>
      </c>
      <c r="AI78" s="33" t="str">
        <f>IF(Расчёты!$E56=1,Расчёты!$AU56,"")</f>
        <v/>
      </c>
      <c r="AJ78" s="33" t="str">
        <f>IF(Расчёты!$E56=1,Расчёты!$BF56,"")</f>
        <v/>
      </c>
      <c r="AK78" s="33" t="str">
        <f>IF(Расчёты!$E56=1,Расчёты!$BG56,"")</f>
        <v/>
      </c>
      <c r="AM78" s="17" t="str">
        <f t="shared" si="7"/>
        <v/>
      </c>
      <c r="AN78" s="35" t="str">
        <f t="shared" si="8"/>
        <v/>
      </c>
      <c r="AP78" s="17" t="str">
        <f t="shared" si="9"/>
        <v/>
      </c>
      <c r="AQ78" s="35" t="str">
        <f t="shared" si="10"/>
        <v/>
      </c>
      <c r="AV78" s="17" t="str">
        <f t="shared" si="11"/>
        <v/>
      </c>
      <c r="AW78" s="35" t="str">
        <f t="shared" si="12"/>
        <v/>
      </c>
      <c r="AX78" s="35" t="str">
        <f t="shared" si="13"/>
        <v/>
      </c>
    </row>
    <row r="79" spans="1:50" x14ac:dyDescent="0.2">
      <c r="A79" s="18" t="str">
        <f>IF(Расчёты!$E57=1,Расчёты!$B57,"")</f>
        <v/>
      </c>
      <c r="B79" s="34" t="str">
        <f>IF(Расчёты!$E57=1,Расчёты!$D57,"")</f>
        <v/>
      </c>
      <c r="C79" s="33" t="str">
        <f>IF(Расчёты!$E57=1,Расчёты!$Z57,"")</f>
        <v/>
      </c>
      <c r="D79" s="33" t="str">
        <f>IF(Расчёты!$E57=1,Расчёты!$AA57,"")</f>
        <v/>
      </c>
      <c r="E79" s="33" t="str">
        <f>IF(Расчёты!$E57=1,Расчёты!$AB57,"")</f>
        <v/>
      </c>
      <c r="F79" s="33" t="str">
        <f>IF(Расчёты!$E57=1,Расчёты!$AC57,"")</f>
        <v/>
      </c>
      <c r="G79" s="33" t="str">
        <f>IF(Расчёты!$E57=1,Расчёты!$AD57,"")</f>
        <v/>
      </c>
      <c r="H79" s="33" t="str">
        <f>IF(Расчёты!$E57=1,Расчёты!$AI57,"")</f>
        <v/>
      </c>
      <c r="I79" s="33" t="str">
        <f>IF(Расчёты!$E57=1,Расчёты!$AG57,"")</f>
        <v/>
      </c>
      <c r="J79" s="33" t="str">
        <f>IF(Расчёты!$E57=1,Расчёты!$AJ57,"")</f>
        <v/>
      </c>
      <c r="K79" s="33" t="str">
        <f>IF(Расчёты!$E57=1,Расчёты!$AK57,"")</f>
        <v/>
      </c>
      <c r="L79" s="33" t="str">
        <f>IF(Расчёты!$E57=1,Расчёты!$I57,"")</f>
        <v/>
      </c>
      <c r="M79" s="33" t="str">
        <f>IF(Расчёты!$E57=1,Расчёты!$J57,"")</f>
        <v/>
      </c>
      <c r="N79" s="33" t="str">
        <f>IF(Расчёты!$E57=1,Расчёты!$K57,"")</f>
        <v/>
      </c>
      <c r="O79" s="33" t="str">
        <f>IF(Расчёты!$E57=1,Расчёты!$L57,"")</f>
        <v/>
      </c>
      <c r="P79" s="33" t="str">
        <f>IF(Расчёты!$E57=1,Расчёты!$M57,"")</f>
        <v/>
      </c>
      <c r="Q79" s="33" t="str">
        <f>IF(Расчёты!$E57=1,Расчёты!$N57,"")</f>
        <v/>
      </c>
      <c r="R79" s="33" t="str">
        <f>IF(Расчёты!$E57=1,Расчёты!$O57,"")</f>
        <v/>
      </c>
      <c r="S79" s="33" t="str">
        <f>IF(Расчёты!$E57=1,Расчёты!$Q57,"")</f>
        <v/>
      </c>
      <c r="T79" s="33" t="str">
        <f>IF(Расчёты!$E57=1,Расчёты!$S57,"")</f>
        <v/>
      </c>
      <c r="U79" s="33" t="str">
        <f>IF(Расчёты!$E57=1,Расчёты!$U57,"")</f>
        <v/>
      </c>
      <c r="V79" s="33" t="str">
        <f>IF(Расчёты!$E57=1,Расчёты!$W57,"")</f>
        <v/>
      </c>
      <c r="W79" s="33" t="str">
        <f>IF(Расчёты!$E57=1,Расчёты!$X57,"")</f>
        <v/>
      </c>
      <c r="X79" s="33" t="str">
        <f>IF(Расчёты!$E57=1,Расчёты!$Y57,"")</f>
        <v/>
      </c>
      <c r="Y79" s="33" t="str">
        <f>IF(Расчёты!$E57=1,Расчёты!$AL57,"")</f>
        <v/>
      </c>
      <c r="Z79" s="33" t="str">
        <f>IF(Расчёты!$E57=1,Расчёты!$AP57,"")</f>
        <v/>
      </c>
      <c r="AA79" s="33" t="str">
        <f>IF(Расчёты!$E57=1,Расчёты!$AS57,"")</f>
        <v/>
      </c>
      <c r="AB79" s="33" t="str">
        <f>IF(Расчёты!$E57=1,Расчёты!$AV57,"")</f>
        <v/>
      </c>
      <c r="AC79" s="33" t="str">
        <f>IF(Расчёты!$E57=1,Расчёты!$AW57,"")</f>
        <v/>
      </c>
      <c r="AD79" s="33" t="str">
        <f>IF(Расчёты!$E57=1,Расчёты!$AX57,"")</f>
        <v/>
      </c>
      <c r="AE79" s="33" t="str">
        <f>IF(Расчёты!$E57=1,Расчёты!$AY57,"")</f>
        <v/>
      </c>
      <c r="AF79" s="33" t="str">
        <f>IF(Расчёты!$E57=1,Расчёты!$BA57,"")</f>
        <v/>
      </c>
      <c r="AG79" s="33" t="str">
        <f>IF(Расчёты!$E57=1,Расчёты!$BB57,"")</f>
        <v/>
      </c>
      <c r="AH79" s="33" t="str">
        <f>IF(Расчёты!$E57=1,Расчёты!$BC57,"")</f>
        <v/>
      </c>
      <c r="AI79" s="33" t="str">
        <f>IF(Расчёты!$E57=1,Расчёты!$AU57,"")</f>
        <v/>
      </c>
      <c r="AJ79" s="33" t="str">
        <f>IF(Расчёты!$E57=1,Расчёты!$BF57,"")</f>
        <v/>
      </c>
      <c r="AK79" s="33" t="str">
        <f>IF(Расчёты!$E57=1,Расчёты!$BG57,"")</f>
        <v/>
      </c>
      <c r="AM79" s="17" t="str">
        <f t="shared" si="7"/>
        <v/>
      </c>
      <c r="AN79" s="35" t="str">
        <f t="shared" si="8"/>
        <v/>
      </c>
      <c r="AP79" s="17" t="str">
        <f t="shared" si="9"/>
        <v/>
      </c>
      <c r="AQ79" s="35" t="str">
        <f t="shared" si="10"/>
        <v/>
      </c>
      <c r="AV79" s="17" t="str">
        <f t="shared" si="11"/>
        <v/>
      </c>
      <c r="AW79" s="35" t="str">
        <f t="shared" si="12"/>
        <v/>
      </c>
      <c r="AX79" s="35" t="str">
        <f t="shared" si="13"/>
        <v/>
      </c>
    </row>
    <row r="80" spans="1:50" x14ac:dyDescent="0.2">
      <c r="A80" s="18" t="str">
        <f>IF(Расчёты!$E58=1,Расчёты!$B58,"")</f>
        <v/>
      </c>
      <c r="B80" s="34" t="str">
        <f>IF(Расчёты!$E58=1,Расчёты!$D58,"")</f>
        <v/>
      </c>
      <c r="C80" s="33" t="str">
        <f>IF(Расчёты!$E58=1,Расчёты!$Z58,"")</f>
        <v/>
      </c>
      <c r="D80" s="33" t="str">
        <f>IF(Расчёты!$E58=1,Расчёты!$AA58,"")</f>
        <v/>
      </c>
      <c r="E80" s="33" t="str">
        <f>IF(Расчёты!$E58=1,Расчёты!$AB58,"")</f>
        <v/>
      </c>
      <c r="F80" s="33" t="str">
        <f>IF(Расчёты!$E58=1,Расчёты!$AC58,"")</f>
        <v/>
      </c>
      <c r="G80" s="33" t="str">
        <f>IF(Расчёты!$E58=1,Расчёты!$AD58,"")</f>
        <v/>
      </c>
      <c r="H80" s="33" t="str">
        <f>IF(Расчёты!$E58=1,Расчёты!$AI58,"")</f>
        <v/>
      </c>
      <c r="I80" s="33" t="str">
        <f>IF(Расчёты!$E58=1,Расчёты!$AG58,"")</f>
        <v/>
      </c>
      <c r="J80" s="33" t="str">
        <f>IF(Расчёты!$E58=1,Расчёты!$AJ58,"")</f>
        <v/>
      </c>
      <c r="K80" s="33" t="str">
        <f>IF(Расчёты!$E58=1,Расчёты!$AK58,"")</f>
        <v/>
      </c>
      <c r="L80" s="33" t="str">
        <f>IF(Расчёты!$E58=1,Расчёты!$I58,"")</f>
        <v/>
      </c>
      <c r="M80" s="33" t="str">
        <f>IF(Расчёты!$E58=1,Расчёты!$J58,"")</f>
        <v/>
      </c>
      <c r="N80" s="33" t="str">
        <f>IF(Расчёты!$E58=1,Расчёты!$K58,"")</f>
        <v/>
      </c>
      <c r="O80" s="33" t="str">
        <f>IF(Расчёты!$E58=1,Расчёты!$L58,"")</f>
        <v/>
      </c>
      <c r="P80" s="33" t="str">
        <f>IF(Расчёты!$E58=1,Расчёты!$M58,"")</f>
        <v/>
      </c>
      <c r="Q80" s="33" t="str">
        <f>IF(Расчёты!$E58=1,Расчёты!$N58,"")</f>
        <v/>
      </c>
      <c r="R80" s="33" t="str">
        <f>IF(Расчёты!$E58=1,Расчёты!$O58,"")</f>
        <v/>
      </c>
      <c r="S80" s="33" t="str">
        <f>IF(Расчёты!$E58=1,Расчёты!$Q58,"")</f>
        <v/>
      </c>
      <c r="T80" s="33" t="str">
        <f>IF(Расчёты!$E58=1,Расчёты!$S58,"")</f>
        <v/>
      </c>
      <c r="U80" s="33" t="str">
        <f>IF(Расчёты!$E58=1,Расчёты!$U58,"")</f>
        <v/>
      </c>
      <c r="V80" s="33" t="str">
        <f>IF(Расчёты!$E58=1,Расчёты!$W58,"")</f>
        <v/>
      </c>
      <c r="W80" s="33" t="str">
        <f>IF(Расчёты!$E58=1,Расчёты!$X58,"")</f>
        <v/>
      </c>
      <c r="X80" s="33" t="str">
        <f>IF(Расчёты!$E58=1,Расчёты!$Y58,"")</f>
        <v/>
      </c>
      <c r="Y80" s="33" t="str">
        <f>IF(Расчёты!$E58=1,Расчёты!$AL58,"")</f>
        <v/>
      </c>
      <c r="Z80" s="33" t="str">
        <f>IF(Расчёты!$E58=1,Расчёты!$AP58,"")</f>
        <v/>
      </c>
      <c r="AA80" s="33" t="str">
        <f>IF(Расчёты!$E58=1,Расчёты!$AS58,"")</f>
        <v/>
      </c>
      <c r="AB80" s="33" t="str">
        <f>IF(Расчёты!$E58=1,Расчёты!$AV58,"")</f>
        <v/>
      </c>
      <c r="AC80" s="33" t="str">
        <f>IF(Расчёты!$E58=1,Расчёты!$AW58,"")</f>
        <v/>
      </c>
      <c r="AD80" s="33" t="str">
        <f>IF(Расчёты!$E58=1,Расчёты!$AX58,"")</f>
        <v/>
      </c>
      <c r="AE80" s="33" t="str">
        <f>IF(Расчёты!$E58=1,Расчёты!$AY58,"")</f>
        <v/>
      </c>
      <c r="AF80" s="33" t="str">
        <f>IF(Расчёты!$E58=1,Расчёты!$BA58,"")</f>
        <v/>
      </c>
      <c r="AG80" s="33" t="str">
        <f>IF(Расчёты!$E58=1,Расчёты!$BB58,"")</f>
        <v/>
      </c>
      <c r="AH80" s="33" t="str">
        <f>IF(Расчёты!$E58=1,Расчёты!$BC58,"")</f>
        <v/>
      </c>
      <c r="AI80" s="33" t="str">
        <f>IF(Расчёты!$E58=1,Расчёты!$AU58,"")</f>
        <v/>
      </c>
      <c r="AJ80" s="33" t="str">
        <f>IF(Расчёты!$E58=1,Расчёты!$BF58,"")</f>
        <v/>
      </c>
      <c r="AK80" s="33" t="str">
        <f>IF(Расчёты!$E58=1,Расчёты!$BG58,"")</f>
        <v/>
      </c>
      <c r="AM80" s="17" t="str">
        <f t="shared" si="7"/>
        <v/>
      </c>
      <c r="AN80" s="35" t="str">
        <f t="shared" si="8"/>
        <v/>
      </c>
      <c r="AP80" s="17" t="str">
        <f t="shared" si="9"/>
        <v/>
      </c>
      <c r="AQ80" s="35" t="str">
        <f t="shared" si="10"/>
        <v/>
      </c>
      <c r="AV80" s="17" t="str">
        <f t="shared" si="11"/>
        <v/>
      </c>
      <c r="AW80" s="35" t="str">
        <f t="shared" si="12"/>
        <v/>
      </c>
      <c r="AX80" s="35" t="str">
        <f t="shared" si="13"/>
        <v/>
      </c>
    </row>
    <row r="81" spans="1:50" x14ac:dyDescent="0.2">
      <c r="A81" s="18" t="str">
        <f>IF(Расчёты!$E59=1,Расчёты!$B59,"")</f>
        <v/>
      </c>
      <c r="B81" s="34" t="str">
        <f>IF(Расчёты!$E59=1,Расчёты!$D59,"")</f>
        <v/>
      </c>
      <c r="C81" s="33" t="str">
        <f>IF(Расчёты!$E59=1,Расчёты!$Z59,"")</f>
        <v/>
      </c>
      <c r="D81" s="33" t="str">
        <f>IF(Расчёты!$E59=1,Расчёты!$AA59,"")</f>
        <v/>
      </c>
      <c r="E81" s="33" t="str">
        <f>IF(Расчёты!$E59=1,Расчёты!$AB59,"")</f>
        <v/>
      </c>
      <c r="F81" s="33" t="str">
        <f>IF(Расчёты!$E59=1,Расчёты!$AC59,"")</f>
        <v/>
      </c>
      <c r="G81" s="33" t="str">
        <f>IF(Расчёты!$E59=1,Расчёты!$AD59,"")</f>
        <v/>
      </c>
      <c r="H81" s="33" t="str">
        <f>IF(Расчёты!$E59=1,Расчёты!$AI59,"")</f>
        <v/>
      </c>
      <c r="I81" s="33" t="str">
        <f>IF(Расчёты!$E59=1,Расчёты!$AG59,"")</f>
        <v/>
      </c>
      <c r="J81" s="33" t="str">
        <f>IF(Расчёты!$E59=1,Расчёты!$AJ59,"")</f>
        <v/>
      </c>
      <c r="K81" s="33" t="str">
        <f>IF(Расчёты!$E59=1,Расчёты!$AK59,"")</f>
        <v/>
      </c>
      <c r="L81" s="33" t="str">
        <f>IF(Расчёты!$E59=1,Расчёты!$I59,"")</f>
        <v/>
      </c>
      <c r="M81" s="33" t="str">
        <f>IF(Расчёты!$E59=1,Расчёты!$J59,"")</f>
        <v/>
      </c>
      <c r="N81" s="33" t="str">
        <f>IF(Расчёты!$E59=1,Расчёты!$K59,"")</f>
        <v/>
      </c>
      <c r="O81" s="33" t="str">
        <f>IF(Расчёты!$E59=1,Расчёты!$L59,"")</f>
        <v/>
      </c>
      <c r="P81" s="33" t="str">
        <f>IF(Расчёты!$E59=1,Расчёты!$M59,"")</f>
        <v/>
      </c>
      <c r="Q81" s="33" t="str">
        <f>IF(Расчёты!$E59=1,Расчёты!$N59,"")</f>
        <v/>
      </c>
      <c r="R81" s="33" t="str">
        <f>IF(Расчёты!$E59=1,Расчёты!$O59,"")</f>
        <v/>
      </c>
      <c r="S81" s="33" t="str">
        <f>IF(Расчёты!$E59=1,Расчёты!$Q59,"")</f>
        <v/>
      </c>
      <c r="T81" s="33" t="str">
        <f>IF(Расчёты!$E59=1,Расчёты!$S59,"")</f>
        <v/>
      </c>
      <c r="U81" s="33" t="str">
        <f>IF(Расчёты!$E59=1,Расчёты!$U59,"")</f>
        <v/>
      </c>
      <c r="V81" s="33" t="str">
        <f>IF(Расчёты!$E59=1,Расчёты!$W59,"")</f>
        <v/>
      </c>
      <c r="W81" s="33" t="str">
        <f>IF(Расчёты!$E59=1,Расчёты!$X59,"")</f>
        <v/>
      </c>
      <c r="X81" s="33" t="str">
        <f>IF(Расчёты!$E59=1,Расчёты!$Y59,"")</f>
        <v/>
      </c>
      <c r="Y81" s="33" t="str">
        <f>IF(Расчёты!$E59=1,Расчёты!$AL59,"")</f>
        <v/>
      </c>
      <c r="Z81" s="33" t="str">
        <f>IF(Расчёты!$E59=1,Расчёты!$AP59,"")</f>
        <v/>
      </c>
      <c r="AA81" s="33" t="str">
        <f>IF(Расчёты!$E59=1,Расчёты!$AS59,"")</f>
        <v/>
      </c>
      <c r="AB81" s="33" t="str">
        <f>IF(Расчёты!$E59=1,Расчёты!$AV59,"")</f>
        <v/>
      </c>
      <c r="AC81" s="33" t="str">
        <f>IF(Расчёты!$E59=1,Расчёты!$AW59,"")</f>
        <v/>
      </c>
      <c r="AD81" s="33" t="str">
        <f>IF(Расчёты!$E59=1,Расчёты!$AX59,"")</f>
        <v/>
      </c>
      <c r="AE81" s="33" t="str">
        <f>IF(Расчёты!$E59=1,Расчёты!$AY59,"")</f>
        <v/>
      </c>
      <c r="AF81" s="33" t="str">
        <f>IF(Расчёты!$E59=1,Расчёты!$BA59,"")</f>
        <v/>
      </c>
      <c r="AG81" s="33" t="str">
        <f>IF(Расчёты!$E59=1,Расчёты!$BB59,"")</f>
        <v/>
      </c>
      <c r="AH81" s="33" t="str">
        <f>IF(Расчёты!$E59=1,Расчёты!$BC59,"")</f>
        <v/>
      </c>
      <c r="AI81" s="33" t="str">
        <f>IF(Расчёты!$E59=1,Расчёты!$AU59,"")</f>
        <v/>
      </c>
      <c r="AJ81" s="33" t="str">
        <f>IF(Расчёты!$E59=1,Расчёты!$BF59,"")</f>
        <v/>
      </c>
      <c r="AK81" s="33" t="str">
        <f>IF(Расчёты!$E59=1,Расчёты!$BG59,"")</f>
        <v/>
      </c>
      <c r="AM81" s="17" t="str">
        <f t="shared" si="7"/>
        <v/>
      </c>
      <c r="AN81" s="35" t="str">
        <f t="shared" si="8"/>
        <v/>
      </c>
      <c r="AP81" s="17" t="str">
        <f t="shared" si="9"/>
        <v/>
      </c>
      <c r="AQ81" s="35" t="str">
        <f t="shared" si="10"/>
        <v/>
      </c>
      <c r="AV81" s="17" t="str">
        <f t="shared" si="11"/>
        <v/>
      </c>
      <c r="AW81" s="35" t="str">
        <f t="shared" si="12"/>
        <v/>
      </c>
      <c r="AX81" s="35" t="str">
        <f t="shared" si="13"/>
        <v/>
      </c>
    </row>
    <row r="82" spans="1:50" x14ac:dyDescent="0.2">
      <c r="A82" s="18" t="str">
        <f>IF(Расчёты!$E60=1,Расчёты!$B60,"")</f>
        <v/>
      </c>
      <c r="B82" s="34" t="str">
        <f>IF(Расчёты!$E60=1,Расчёты!$D60,"")</f>
        <v/>
      </c>
      <c r="C82" s="33" t="str">
        <f>IF(Расчёты!$E60=1,Расчёты!$Z60,"")</f>
        <v/>
      </c>
      <c r="D82" s="33" t="str">
        <f>IF(Расчёты!$E60=1,Расчёты!$AA60,"")</f>
        <v/>
      </c>
      <c r="E82" s="33" t="str">
        <f>IF(Расчёты!$E60=1,Расчёты!$AB60,"")</f>
        <v/>
      </c>
      <c r="F82" s="33" t="str">
        <f>IF(Расчёты!$E60=1,Расчёты!$AC60,"")</f>
        <v/>
      </c>
      <c r="G82" s="33" t="str">
        <f>IF(Расчёты!$E60=1,Расчёты!$AD60,"")</f>
        <v/>
      </c>
      <c r="H82" s="33" t="str">
        <f>IF(Расчёты!$E60=1,Расчёты!$AI60,"")</f>
        <v/>
      </c>
      <c r="I82" s="33" t="str">
        <f>IF(Расчёты!$E60=1,Расчёты!$AG60,"")</f>
        <v/>
      </c>
      <c r="J82" s="33" t="str">
        <f>IF(Расчёты!$E60=1,Расчёты!$AJ60,"")</f>
        <v/>
      </c>
      <c r="K82" s="33" t="str">
        <f>IF(Расчёты!$E60=1,Расчёты!$AK60,"")</f>
        <v/>
      </c>
      <c r="L82" s="33" t="str">
        <f>IF(Расчёты!$E60=1,Расчёты!$I60,"")</f>
        <v/>
      </c>
      <c r="M82" s="33" t="str">
        <f>IF(Расчёты!$E60=1,Расчёты!$J60,"")</f>
        <v/>
      </c>
      <c r="N82" s="33" t="str">
        <f>IF(Расчёты!$E60=1,Расчёты!$K60,"")</f>
        <v/>
      </c>
      <c r="O82" s="33" t="str">
        <f>IF(Расчёты!$E60=1,Расчёты!$L60,"")</f>
        <v/>
      </c>
      <c r="P82" s="33" t="str">
        <f>IF(Расчёты!$E60=1,Расчёты!$M60,"")</f>
        <v/>
      </c>
      <c r="Q82" s="33" t="str">
        <f>IF(Расчёты!$E60=1,Расчёты!$N60,"")</f>
        <v/>
      </c>
      <c r="R82" s="33" t="str">
        <f>IF(Расчёты!$E60=1,Расчёты!$O60,"")</f>
        <v/>
      </c>
      <c r="S82" s="33" t="str">
        <f>IF(Расчёты!$E60=1,Расчёты!$Q60,"")</f>
        <v/>
      </c>
      <c r="T82" s="33" t="str">
        <f>IF(Расчёты!$E60=1,Расчёты!$S60,"")</f>
        <v/>
      </c>
      <c r="U82" s="33" t="str">
        <f>IF(Расчёты!$E60=1,Расчёты!$U60,"")</f>
        <v/>
      </c>
      <c r="V82" s="33" t="str">
        <f>IF(Расчёты!$E60=1,Расчёты!$W60,"")</f>
        <v/>
      </c>
      <c r="W82" s="33" t="str">
        <f>IF(Расчёты!$E60=1,Расчёты!$X60,"")</f>
        <v/>
      </c>
      <c r="X82" s="33" t="str">
        <f>IF(Расчёты!$E60=1,Расчёты!$Y60,"")</f>
        <v/>
      </c>
      <c r="Y82" s="33" t="str">
        <f>IF(Расчёты!$E60=1,Расчёты!$AL60,"")</f>
        <v/>
      </c>
      <c r="Z82" s="33" t="str">
        <f>IF(Расчёты!$E60=1,Расчёты!$AP60,"")</f>
        <v/>
      </c>
      <c r="AA82" s="33" t="str">
        <f>IF(Расчёты!$E60=1,Расчёты!$AS60,"")</f>
        <v/>
      </c>
      <c r="AB82" s="33" t="str">
        <f>IF(Расчёты!$E60=1,Расчёты!$AV60,"")</f>
        <v/>
      </c>
      <c r="AC82" s="33" t="str">
        <f>IF(Расчёты!$E60=1,Расчёты!$AW60,"")</f>
        <v/>
      </c>
      <c r="AD82" s="33" t="str">
        <f>IF(Расчёты!$E60=1,Расчёты!$AX60,"")</f>
        <v/>
      </c>
      <c r="AE82" s="33" t="str">
        <f>IF(Расчёты!$E60=1,Расчёты!$AY60,"")</f>
        <v/>
      </c>
      <c r="AF82" s="33" t="str">
        <f>IF(Расчёты!$E60=1,Расчёты!$BA60,"")</f>
        <v/>
      </c>
      <c r="AG82" s="33" t="str">
        <f>IF(Расчёты!$E60=1,Расчёты!$BB60,"")</f>
        <v/>
      </c>
      <c r="AH82" s="33" t="str">
        <f>IF(Расчёты!$E60=1,Расчёты!$BC60,"")</f>
        <v/>
      </c>
      <c r="AI82" s="33" t="str">
        <f>IF(Расчёты!$E60=1,Расчёты!$AU60,"")</f>
        <v/>
      </c>
      <c r="AJ82" s="33" t="str">
        <f>IF(Расчёты!$E60=1,Расчёты!$BF60,"")</f>
        <v/>
      </c>
      <c r="AK82" s="33" t="str">
        <f>IF(Расчёты!$E60=1,Расчёты!$BG60,"")</f>
        <v/>
      </c>
      <c r="AM82" s="17" t="str">
        <f t="shared" si="7"/>
        <v/>
      </c>
      <c r="AN82" s="35" t="str">
        <f t="shared" si="8"/>
        <v/>
      </c>
      <c r="AP82" s="17" t="str">
        <f t="shared" si="9"/>
        <v/>
      </c>
      <c r="AQ82" s="35" t="str">
        <f t="shared" si="10"/>
        <v/>
      </c>
      <c r="AV82" s="17" t="str">
        <f t="shared" si="11"/>
        <v/>
      </c>
      <c r="AW82" s="35" t="str">
        <f t="shared" si="12"/>
        <v/>
      </c>
      <c r="AX82" s="35" t="str">
        <f t="shared" si="13"/>
        <v/>
      </c>
    </row>
    <row r="83" spans="1:50" x14ac:dyDescent="0.2">
      <c r="A83" s="18" t="str">
        <f>IF(Расчёты!$E61=1,Расчёты!$B61,"")</f>
        <v/>
      </c>
      <c r="B83" s="34" t="str">
        <f>IF(Расчёты!$E61=1,Расчёты!$D61,"")</f>
        <v/>
      </c>
      <c r="C83" s="33" t="str">
        <f>IF(Расчёты!$E61=1,Расчёты!$Z61,"")</f>
        <v/>
      </c>
      <c r="D83" s="33" t="str">
        <f>IF(Расчёты!$E61=1,Расчёты!$AA61,"")</f>
        <v/>
      </c>
      <c r="E83" s="33" t="str">
        <f>IF(Расчёты!$E61=1,Расчёты!$AB61,"")</f>
        <v/>
      </c>
      <c r="F83" s="33" t="str">
        <f>IF(Расчёты!$E61=1,Расчёты!$AC61,"")</f>
        <v/>
      </c>
      <c r="G83" s="33" t="str">
        <f>IF(Расчёты!$E61=1,Расчёты!$AD61,"")</f>
        <v/>
      </c>
      <c r="H83" s="33" t="str">
        <f>IF(Расчёты!$E61=1,Расчёты!$AI61,"")</f>
        <v/>
      </c>
      <c r="I83" s="33" t="str">
        <f>IF(Расчёты!$E61=1,Расчёты!$AG61,"")</f>
        <v/>
      </c>
      <c r="J83" s="33" t="str">
        <f>IF(Расчёты!$E61=1,Расчёты!$AJ61,"")</f>
        <v/>
      </c>
      <c r="K83" s="33" t="str">
        <f>IF(Расчёты!$E61=1,Расчёты!$AK61,"")</f>
        <v/>
      </c>
      <c r="L83" s="33" t="str">
        <f>IF(Расчёты!$E61=1,Расчёты!$I61,"")</f>
        <v/>
      </c>
      <c r="M83" s="33" t="str">
        <f>IF(Расчёты!$E61=1,Расчёты!$J61,"")</f>
        <v/>
      </c>
      <c r="N83" s="33" t="str">
        <f>IF(Расчёты!$E61=1,Расчёты!$K61,"")</f>
        <v/>
      </c>
      <c r="O83" s="33" t="str">
        <f>IF(Расчёты!$E61=1,Расчёты!$L61,"")</f>
        <v/>
      </c>
      <c r="P83" s="33" t="str">
        <f>IF(Расчёты!$E61=1,Расчёты!$M61,"")</f>
        <v/>
      </c>
      <c r="Q83" s="33" t="str">
        <f>IF(Расчёты!$E61=1,Расчёты!$N61,"")</f>
        <v/>
      </c>
      <c r="R83" s="33" t="str">
        <f>IF(Расчёты!$E61=1,Расчёты!$O61,"")</f>
        <v/>
      </c>
      <c r="S83" s="33" t="str">
        <f>IF(Расчёты!$E61=1,Расчёты!$Q61,"")</f>
        <v/>
      </c>
      <c r="T83" s="33" t="str">
        <f>IF(Расчёты!$E61=1,Расчёты!$S61,"")</f>
        <v/>
      </c>
      <c r="U83" s="33" t="str">
        <f>IF(Расчёты!$E61=1,Расчёты!$U61,"")</f>
        <v/>
      </c>
      <c r="V83" s="33" t="str">
        <f>IF(Расчёты!$E61=1,Расчёты!$W61,"")</f>
        <v/>
      </c>
      <c r="W83" s="33" t="str">
        <f>IF(Расчёты!$E61=1,Расчёты!$X61,"")</f>
        <v/>
      </c>
      <c r="X83" s="33" t="str">
        <f>IF(Расчёты!$E61=1,Расчёты!$Y61,"")</f>
        <v/>
      </c>
      <c r="Y83" s="33" t="str">
        <f>IF(Расчёты!$E61=1,Расчёты!$AL61,"")</f>
        <v/>
      </c>
      <c r="Z83" s="33" t="str">
        <f>IF(Расчёты!$E61=1,Расчёты!$AP61,"")</f>
        <v/>
      </c>
      <c r="AA83" s="33" t="str">
        <f>IF(Расчёты!$E61=1,Расчёты!$AS61,"")</f>
        <v/>
      </c>
      <c r="AB83" s="33" t="str">
        <f>IF(Расчёты!$E61=1,Расчёты!$AV61,"")</f>
        <v/>
      </c>
      <c r="AC83" s="33" t="str">
        <f>IF(Расчёты!$E61=1,Расчёты!$AW61,"")</f>
        <v/>
      </c>
      <c r="AD83" s="33" t="str">
        <f>IF(Расчёты!$E61=1,Расчёты!$AX61,"")</f>
        <v/>
      </c>
      <c r="AE83" s="33" t="str">
        <f>IF(Расчёты!$E61=1,Расчёты!$AY61,"")</f>
        <v/>
      </c>
      <c r="AF83" s="33" t="str">
        <f>IF(Расчёты!$E61=1,Расчёты!$BA61,"")</f>
        <v/>
      </c>
      <c r="AG83" s="33" t="str">
        <f>IF(Расчёты!$E61=1,Расчёты!$BB61,"")</f>
        <v/>
      </c>
      <c r="AH83" s="33" t="str">
        <f>IF(Расчёты!$E61=1,Расчёты!$BC61,"")</f>
        <v/>
      </c>
      <c r="AI83" s="33" t="str">
        <f>IF(Расчёты!$E61=1,Расчёты!$AU61,"")</f>
        <v/>
      </c>
      <c r="AJ83" s="33" t="str">
        <f>IF(Расчёты!$E61=1,Расчёты!$BF61,"")</f>
        <v/>
      </c>
      <c r="AK83" s="33" t="str">
        <f>IF(Расчёты!$E61=1,Расчёты!$BG61,"")</f>
        <v/>
      </c>
      <c r="AM83" s="17" t="str">
        <f t="shared" si="7"/>
        <v/>
      </c>
      <c r="AN83" s="35" t="str">
        <f t="shared" si="8"/>
        <v/>
      </c>
      <c r="AP83" s="17" t="str">
        <f t="shared" si="9"/>
        <v/>
      </c>
      <c r="AQ83" s="35" t="str">
        <f t="shared" si="10"/>
        <v/>
      </c>
      <c r="AV83" s="17" t="str">
        <f t="shared" si="11"/>
        <v/>
      </c>
      <c r="AW83" s="35" t="str">
        <f t="shared" si="12"/>
        <v/>
      </c>
      <c r="AX83" s="35" t="str">
        <f t="shared" si="13"/>
        <v/>
      </c>
    </row>
    <row r="84" spans="1:50" x14ac:dyDescent="0.2">
      <c r="A84" s="18" t="str">
        <f>IF(Расчёты!$E62=1,Расчёты!$B62,"")</f>
        <v/>
      </c>
      <c r="B84" s="34" t="str">
        <f>IF(Расчёты!$E62=1,Расчёты!$D62,"")</f>
        <v/>
      </c>
      <c r="C84" s="33" t="str">
        <f>IF(Расчёты!$E62=1,Расчёты!$Z62,"")</f>
        <v/>
      </c>
      <c r="D84" s="33" t="str">
        <f>IF(Расчёты!$E62=1,Расчёты!$AA62,"")</f>
        <v/>
      </c>
      <c r="E84" s="33" t="str">
        <f>IF(Расчёты!$E62=1,Расчёты!$AB62,"")</f>
        <v/>
      </c>
      <c r="F84" s="33" t="str">
        <f>IF(Расчёты!$E62=1,Расчёты!$AC62,"")</f>
        <v/>
      </c>
      <c r="G84" s="33" t="str">
        <f>IF(Расчёты!$E62=1,Расчёты!$AD62,"")</f>
        <v/>
      </c>
      <c r="H84" s="33" t="str">
        <f>IF(Расчёты!$E62=1,Расчёты!$AI62,"")</f>
        <v/>
      </c>
      <c r="I84" s="33" t="str">
        <f>IF(Расчёты!$E62=1,Расчёты!$AG62,"")</f>
        <v/>
      </c>
      <c r="J84" s="33" t="str">
        <f>IF(Расчёты!$E62=1,Расчёты!$AJ62,"")</f>
        <v/>
      </c>
      <c r="K84" s="33" t="str">
        <f>IF(Расчёты!$E62=1,Расчёты!$AK62,"")</f>
        <v/>
      </c>
      <c r="L84" s="33" t="str">
        <f>IF(Расчёты!$E62=1,Расчёты!$I62,"")</f>
        <v/>
      </c>
      <c r="M84" s="33" t="str">
        <f>IF(Расчёты!$E62=1,Расчёты!$J62,"")</f>
        <v/>
      </c>
      <c r="N84" s="33" t="str">
        <f>IF(Расчёты!$E62=1,Расчёты!$K62,"")</f>
        <v/>
      </c>
      <c r="O84" s="33" t="str">
        <f>IF(Расчёты!$E62=1,Расчёты!$L62,"")</f>
        <v/>
      </c>
      <c r="P84" s="33" t="str">
        <f>IF(Расчёты!$E62=1,Расчёты!$M62,"")</f>
        <v/>
      </c>
      <c r="Q84" s="33" t="str">
        <f>IF(Расчёты!$E62=1,Расчёты!$N62,"")</f>
        <v/>
      </c>
      <c r="R84" s="33" t="str">
        <f>IF(Расчёты!$E62=1,Расчёты!$O62,"")</f>
        <v/>
      </c>
      <c r="S84" s="33" t="str">
        <f>IF(Расчёты!$E62=1,Расчёты!$Q62,"")</f>
        <v/>
      </c>
      <c r="T84" s="33" t="str">
        <f>IF(Расчёты!$E62=1,Расчёты!$S62,"")</f>
        <v/>
      </c>
      <c r="U84" s="33" t="str">
        <f>IF(Расчёты!$E62=1,Расчёты!$U62,"")</f>
        <v/>
      </c>
      <c r="V84" s="33" t="str">
        <f>IF(Расчёты!$E62=1,Расчёты!$W62,"")</f>
        <v/>
      </c>
      <c r="W84" s="33" t="str">
        <f>IF(Расчёты!$E62=1,Расчёты!$X62,"")</f>
        <v/>
      </c>
      <c r="X84" s="33" t="str">
        <f>IF(Расчёты!$E62=1,Расчёты!$Y62,"")</f>
        <v/>
      </c>
      <c r="Y84" s="33" t="str">
        <f>IF(Расчёты!$E62=1,Расчёты!$AL62,"")</f>
        <v/>
      </c>
      <c r="Z84" s="33" t="str">
        <f>IF(Расчёты!$E62=1,Расчёты!$AP62,"")</f>
        <v/>
      </c>
      <c r="AA84" s="33" t="str">
        <f>IF(Расчёты!$E62=1,Расчёты!$AS62,"")</f>
        <v/>
      </c>
      <c r="AB84" s="33" t="str">
        <f>IF(Расчёты!$E62=1,Расчёты!$AV62,"")</f>
        <v/>
      </c>
      <c r="AC84" s="33" t="str">
        <f>IF(Расчёты!$E62=1,Расчёты!$AW62,"")</f>
        <v/>
      </c>
      <c r="AD84" s="33" t="str">
        <f>IF(Расчёты!$E62=1,Расчёты!$AX62,"")</f>
        <v/>
      </c>
      <c r="AE84" s="33" t="str">
        <f>IF(Расчёты!$E62=1,Расчёты!$AY62,"")</f>
        <v/>
      </c>
      <c r="AF84" s="33" t="str">
        <f>IF(Расчёты!$E62=1,Расчёты!$BA62,"")</f>
        <v/>
      </c>
      <c r="AG84" s="33" t="str">
        <f>IF(Расчёты!$E62=1,Расчёты!$BB62,"")</f>
        <v/>
      </c>
      <c r="AH84" s="33" t="str">
        <f>IF(Расчёты!$E62=1,Расчёты!$BC62,"")</f>
        <v/>
      </c>
      <c r="AI84" s="33" t="str">
        <f>IF(Расчёты!$E62=1,Расчёты!$AU62,"")</f>
        <v/>
      </c>
      <c r="AJ84" s="33" t="str">
        <f>IF(Расчёты!$E62=1,Расчёты!$BF62,"")</f>
        <v/>
      </c>
      <c r="AK84" s="33" t="str">
        <f>IF(Расчёты!$E62=1,Расчёты!$BG62,"")</f>
        <v/>
      </c>
      <c r="AM84" s="17" t="str">
        <f t="shared" si="7"/>
        <v/>
      </c>
      <c r="AN84" s="35" t="str">
        <f t="shared" si="8"/>
        <v/>
      </c>
      <c r="AP84" s="17" t="str">
        <f t="shared" si="9"/>
        <v/>
      </c>
      <c r="AQ84" s="35" t="str">
        <f t="shared" si="10"/>
        <v/>
      </c>
      <c r="AV84" s="17" t="str">
        <f t="shared" si="11"/>
        <v/>
      </c>
      <c r="AW84" s="35" t="str">
        <f t="shared" si="12"/>
        <v/>
      </c>
      <c r="AX84" s="35" t="str">
        <f t="shared" si="13"/>
        <v/>
      </c>
    </row>
    <row r="85" spans="1:50" x14ac:dyDescent="0.2">
      <c r="A85" s="18" t="str">
        <f>IF(Расчёты!$E63=1,Расчёты!$B63,"")</f>
        <v/>
      </c>
      <c r="B85" s="34" t="str">
        <f>IF(Расчёты!$E63=1,Расчёты!$D63,"")</f>
        <v/>
      </c>
      <c r="C85" s="33" t="str">
        <f>IF(Расчёты!$E63=1,Расчёты!$Z63,"")</f>
        <v/>
      </c>
      <c r="D85" s="33" t="str">
        <f>IF(Расчёты!$E63=1,Расчёты!$AA63,"")</f>
        <v/>
      </c>
      <c r="E85" s="33" t="str">
        <f>IF(Расчёты!$E63=1,Расчёты!$AB63,"")</f>
        <v/>
      </c>
      <c r="F85" s="33" t="str">
        <f>IF(Расчёты!$E63=1,Расчёты!$AC63,"")</f>
        <v/>
      </c>
      <c r="G85" s="33" t="str">
        <f>IF(Расчёты!$E63=1,Расчёты!$AD63,"")</f>
        <v/>
      </c>
      <c r="H85" s="33" t="str">
        <f>IF(Расчёты!$E63=1,Расчёты!$AI63,"")</f>
        <v/>
      </c>
      <c r="I85" s="33" t="str">
        <f>IF(Расчёты!$E63=1,Расчёты!$AG63,"")</f>
        <v/>
      </c>
      <c r="J85" s="33" t="str">
        <f>IF(Расчёты!$E63=1,Расчёты!$AJ63,"")</f>
        <v/>
      </c>
      <c r="K85" s="33" t="str">
        <f>IF(Расчёты!$E63=1,Расчёты!$AK63,"")</f>
        <v/>
      </c>
      <c r="L85" s="33" t="str">
        <f>IF(Расчёты!$E63=1,Расчёты!$I63,"")</f>
        <v/>
      </c>
      <c r="M85" s="33" t="str">
        <f>IF(Расчёты!$E63=1,Расчёты!$J63,"")</f>
        <v/>
      </c>
      <c r="N85" s="33" t="str">
        <f>IF(Расчёты!$E63=1,Расчёты!$K63,"")</f>
        <v/>
      </c>
      <c r="O85" s="33" t="str">
        <f>IF(Расчёты!$E63=1,Расчёты!$L63,"")</f>
        <v/>
      </c>
      <c r="P85" s="33" t="str">
        <f>IF(Расчёты!$E63=1,Расчёты!$M63,"")</f>
        <v/>
      </c>
      <c r="Q85" s="33" t="str">
        <f>IF(Расчёты!$E63=1,Расчёты!$N63,"")</f>
        <v/>
      </c>
      <c r="R85" s="33" t="str">
        <f>IF(Расчёты!$E63=1,Расчёты!$O63,"")</f>
        <v/>
      </c>
      <c r="S85" s="33" t="str">
        <f>IF(Расчёты!$E63=1,Расчёты!$Q63,"")</f>
        <v/>
      </c>
      <c r="T85" s="33" t="str">
        <f>IF(Расчёты!$E63=1,Расчёты!$S63,"")</f>
        <v/>
      </c>
      <c r="U85" s="33" t="str">
        <f>IF(Расчёты!$E63=1,Расчёты!$U63,"")</f>
        <v/>
      </c>
      <c r="V85" s="33" t="str">
        <f>IF(Расчёты!$E63=1,Расчёты!$W63,"")</f>
        <v/>
      </c>
      <c r="W85" s="33" t="str">
        <f>IF(Расчёты!$E63=1,Расчёты!$X63,"")</f>
        <v/>
      </c>
      <c r="X85" s="33" t="str">
        <f>IF(Расчёты!$E63=1,Расчёты!$Y63,"")</f>
        <v/>
      </c>
      <c r="Y85" s="33" t="str">
        <f>IF(Расчёты!$E63=1,Расчёты!$AL63,"")</f>
        <v/>
      </c>
      <c r="Z85" s="33" t="str">
        <f>IF(Расчёты!$E63=1,Расчёты!$AP63,"")</f>
        <v/>
      </c>
      <c r="AA85" s="33" t="str">
        <f>IF(Расчёты!$E63=1,Расчёты!$AS63,"")</f>
        <v/>
      </c>
      <c r="AB85" s="33" t="str">
        <f>IF(Расчёты!$E63=1,Расчёты!$AV63,"")</f>
        <v/>
      </c>
      <c r="AC85" s="33" t="str">
        <f>IF(Расчёты!$E63=1,Расчёты!$AW63,"")</f>
        <v/>
      </c>
      <c r="AD85" s="33" t="str">
        <f>IF(Расчёты!$E63=1,Расчёты!$AX63,"")</f>
        <v/>
      </c>
      <c r="AE85" s="33" t="str">
        <f>IF(Расчёты!$E63=1,Расчёты!$AY63,"")</f>
        <v/>
      </c>
      <c r="AF85" s="33" t="str">
        <f>IF(Расчёты!$E63=1,Расчёты!$BA63,"")</f>
        <v/>
      </c>
      <c r="AG85" s="33" t="str">
        <f>IF(Расчёты!$E63=1,Расчёты!$BB63,"")</f>
        <v/>
      </c>
      <c r="AH85" s="33" t="str">
        <f>IF(Расчёты!$E63=1,Расчёты!$BC63,"")</f>
        <v/>
      </c>
      <c r="AI85" s="33" t="str">
        <f>IF(Расчёты!$E63=1,Расчёты!$AU63,"")</f>
        <v/>
      </c>
      <c r="AJ85" s="33" t="str">
        <f>IF(Расчёты!$E63=1,Расчёты!$BF63,"")</f>
        <v/>
      </c>
      <c r="AK85" s="33" t="str">
        <f>IF(Расчёты!$E63=1,Расчёты!$BG63,"")</f>
        <v/>
      </c>
      <c r="AM85" s="17" t="str">
        <f t="shared" si="7"/>
        <v/>
      </c>
      <c r="AN85" s="35" t="str">
        <f t="shared" si="8"/>
        <v/>
      </c>
      <c r="AP85" s="17" t="str">
        <f t="shared" si="9"/>
        <v/>
      </c>
      <c r="AQ85" s="35" t="str">
        <f t="shared" si="10"/>
        <v/>
      </c>
      <c r="AV85" s="17" t="str">
        <f t="shared" si="11"/>
        <v/>
      </c>
      <c r="AW85" s="35" t="str">
        <f t="shared" si="12"/>
        <v/>
      </c>
      <c r="AX85" s="35" t="str">
        <f t="shared" si="13"/>
        <v/>
      </c>
    </row>
    <row r="86" spans="1:50" x14ac:dyDescent="0.2">
      <c r="A86" s="18" t="str">
        <f>IF(Расчёты!$E64=1,Расчёты!$B64,"")</f>
        <v/>
      </c>
      <c r="B86" s="34" t="str">
        <f>IF(Расчёты!$E64=1,Расчёты!$D64,"")</f>
        <v/>
      </c>
      <c r="C86" s="33" t="str">
        <f>IF(Расчёты!$E64=1,Расчёты!$Z64,"")</f>
        <v/>
      </c>
      <c r="D86" s="33" t="str">
        <f>IF(Расчёты!$E64=1,Расчёты!$AA64,"")</f>
        <v/>
      </c>
      <c r="E86" s="33" t="str">
        <f>IF(Расчёты!$E64=1,Расчёты!$AB64,"")</f>
        <v/>
      </c>
      <c r="F86" s="33" t="str">
        <f>IF(Расчёты!$E64=1,Расчёты!$AC64,"")</f>
        <v/>
      </c>
      <c r="G86" s="33" t="str">
        <f>IF(Расчёты!$E64=1,Расчёты!$AD64,"")</f>
        <v/>
      </c>
      <c r="H86" s="33" t="str">
        <f>IF(Расчёты!$E64=1,Расчёты!$AI64,"")</f>
        <v/>
      </c>
      <c r="I86" s="33" t="str">
        <f>IF(Расчёты!$E64=1,Расчёты!$AG64,"")</f>
        <v/>
      </c>
      <c r="J86" s="33" t="str">
        <f>IF(Расчёты!$E64=1,Расчёты!$AJ64,"")</f>
        <v/>
      </c>
      <c r="K86" s="33" t="str">
        <f>IF(Расчёты!$E64=1,Расчёты!$AK64,"")</f>
        <v/>
      </c>
      <c r="L86" s="33" t="str">
        <f>IF(Расчёты!$E64=1,Расчёты!$I64,"")</f>
        <v/>
      </c>
      <c r="M86" s="33" t="str">
        <f>IF(Расчёты!$E64=1,Расчёты!$J64,"")</f>
        <v/>
      </c>
      <c r="N86" s="33" t="str">
        <f>IF(Расчёты!$E64=1,Расчёты!$K64,"")</f>
        <v/>
      </c>
      <c r="O86" s="33" t="str">
        <f>IF(Расчёты!$E64=1,Расчёты!$L64,"")</f>
        <v/>
      </c>
      <c r="P86" s="33" t="str">
        <f>IF(Расчёты!$E64=1,Расчёты!$M64,"")</f>
        <v/>
      </c>
      <c r="Q86" s="33" t="str">
        <f>IF(Расчёты!$E64=1,Расчёты!$N64,"")</f>
        <v/>
      </c>
      <c r="R86" s="33" t="str">
        <f>IF(Расчёты!$E64=1,Расчёты!$O64,"")</f>
        <v/>
      </c>
      <c r="S86" s="33" t="str">
        <f>IF(Расчёты!$E64=1,Расчёты!$Q64,"")</f>
        <v/>
      </c>
      <c r="T86" s="33" t="str">
        <f>IF(Расчёты!$E64=1,Расчёты!$S64,"")</f>
        <v/>
      </c>
      <c r="U86" s="33" t="str">
        <f>IF(Расчёты!$E64=1,Расчёты!$U64,"")</f>
        <v/>
      </c>
      <c r="V86" s="33" t="str">
        <f>IF(Расчёты!$E64=1,Расчёты!$W64,"")</f>
        <v/>
      </c>
      <c r="W86" s="33" t="str">
        <f>IF(Расчёты!$E64=1,Расчёты!$X64,"")</f>
        <v/>
      </c>
      <c r="X86" s="33" t="str">
        <f>IF(Расчёты!$E64=1,Расчёты!$Y64,"")</f>
        <v/>
      </c>
      <c r="Y86" s="33" t="str">
        <f>IF(Расчёты!$E64=1,Расчёты!$AL64,"")</f>
        <v/>
      </c>
      <c r="Z86" s="33" t="str">
        <f>IF(Расчёты!$E64=1,Расчёты!$AP64,"")</f>
        <v/>
      </c>
      <c r="AA86" s="33" t="str">
        <f>IF(Расчёты!$E64=1,Расчёты!$AS64,"")</f>
        <v/>
      </c>
      <c r="AB86" s="33" t="str">
        <f>IF(Расчёты!$E64=1,Расчёты!$AV64,"")</f>
        <v/>
      </c>
      <c r="AC86" s="33" t="str">
        <f>IF(Расчёты!$E64=1,Расчёты!$AW64,"")</f>
        <v/>
      </c>
      <c r="AD86" s="33" t="str">
        <f>IF(Расчёты!$E64=1,Расчёты!$AX64,"")</f>
        <v/>
      </c>
      <c r="AE86" s="33" t="str">
        <f>IF(Расчёты!$E64=1,Расчёты!$AY64,"")</f>
        <v/>
      </c>
      <c r="AF86" s="33" t="str">
        <f>IF(Расчёты!$E64=1,Расчёты!$BA64,"")</f>
        <v/>
      </c>
      <c r="AG86" s="33" t="str">
        <f>IF(Расчёты!$E64=1,Расчёты!$BB64,"")</f>
        <v/>
      </c>
      <c r="AH86" s="33" t="str">
        <f>IF(Расчёты!$E64=1,Расчёты!$BC64,"")</f>
        <v/>
      </c>
      <c r="AI86" s="33" t="str">
        <f>IF(Расчёты!$E64=1,Расчёты!$AU64,"")</f>
        <v/>
      </c>
      <c r="AJ86" s="33" t="str">
        <f>IF(Расчёты!$E64=1,Расчёты!$BF64,"")</f>
        <v/>
      </c>
      <c r="AK86" s="33" t="str">
        <f>IF(Расчёты!$E64=1,Расчёты!$BG64,"")</f>
        <v/>
      </c>
      <c r="AM86" s="17" t="str">
        <f t="shared" si="7"/>
        <v/>
      </c>
      <c r="AN86" s="35" t="str">
        <f t="shared" si="8"/>
        <v/>
      </c>
      <c r="AP86" s="17" t="str">
        <f t="shared" si="9"/>
        <v/>
      </c>
      <c r="AQ86" s="35" t="str">
        <f t="shared" si="10"/>
        <v/>
      </c>
      <c r="AV86" s="17" t="str">
        <f t="shared" si="11"/>
        <v/>
      </c>
      <c r="AW86" s="35" t="str">
        <f t="shared" si="12"/>
        <v/>
      </c>
      <c r="AX86" s="35" t="str">
        <f t="shared" si="13"/>
        <v/>
      </c>
    </row>
    <row r="87" spans="1:50" x14ac:dyDescent="0.2">
      <c r="A87" s="18" t="str">
        <f>IF(Расчёты!$E65=1,Расчёты!$B65,"")</f>
        <v/>
      </c>
      <c r="B87" s="34" t="str">
        <f>IF(Расчёты!$E65=1,Расчёты!$D65,"")</f>
        <v/>
      </c>
      <c r="C87" s="33" t="str">
        <f>IF(Расчёты!$E65=1,Расчёты!$Z65,"")</f>
        <v/>
      </c>
      <c r="D87" s="33" t="str">
        <f>IF(Расчёты!$E65=1,Расчёты!$AA65,"")</f>
        <v/>
      </c>
      <c r="E87" s="33" t="str">
        <f>IF(Расчёты!$E65=1,Расчёты!$AB65,"")</f>
        <v/>
      </c>
      <c r="F87" s="33" t="str">
        <f>IF(Расчёты!$E65=1,Расчёты!$AC65,"")</f>
        <v/>
      </c>
      <c r="G87" s="33" t="str">
        <f>IF(Расчёты!$E65=1,Расчёты!$AD65,"")</f>
        <v/>
      </c>
      <c r="H87" s="33" t="str">
        <f>IF(Расчёты!$E65=1,Расчёты!$AI65,"")</f>
        <v/>
      </c>
      <c r="I87" s="33" t="str">
        <f>IF(Расчёты!$E65=1,Расчёты!$AG65,"")</f>
        <v/>
      </c>
      <c r="J87" s="33" t="str">
        <f>IF(Расчёты!$E65=1,Расчёты!$AJ65,"")</f>
        <v/>
      </c>
      <c r="K87" s="33" t="str">
        <f>IF(Расчёты!$E65=1,Расчёты!$AK65,"")</f>
        <v/>
      </c>
      <c r="L87" s="33" t="str">
        <f>IF(Расчёты!$E65=1,Расчёты!$I65,"")</f>
        <v/>
      </c>
      <c r="M87" s="33" t="str">
        <f>IF(Расчёты!$E65=1,Расчёты!$J65,"")</f>
        <v/>
      </c>
      <c r="N87" s="33" t="str">
        <f>IF(Расчёты!$E65=1,Расчёты!$K65,"")</f>
        <v/>
      </c>
      <c r="O87" s="33" t="str">
        <f>IF(Расчёты!$E65=1,Расчёты!$L65,"")</f>
        <v/>
      </c>
      <c r="P87" s="33" t="str">
        <f>IF(Расчёты!$E65=1,Расчёты!$M65,"")</f>
        <v/>
      </c>
      <c r="Q87" s="33" t="str">
        <f>IF(Расчёты!$E65=1,Расчёты!$N65,"")</f>
        <v/>
      </c>
      <c r="R87" s="33" t="str">
        <f>IF(Расчёты!$E65=1,Расчёты!$O65,"")</f>
        <v/>
      </c>
      <c r="S87" s="33" t="str">
        <f>IF(Расчёты!$E65=1,Расчёты!$Q65,"")</f>
        <v/>
      </c>
      <c r="T87" s="33" t="str">
        <f>IF(Расчёты!$E65=1,Расчёты!$S65,"")</f>
        <v/>
      </c>
      <c r="U87" s="33" t="str">
        <f>IF(Расчёты!$E65=1,Расчёты!$U65,"")</f>
        <v/>
      </c>
      <c r="V87" s="33" t="str">
        <f>IF(Расчёты!$E65=1,Расчёты!$W65,"")</f>
        <v/>
      </c>
      <c r="W87" s="33" t="str">
        <f>IF(Расчёты!$E65=1,Расчёты!$X65,"")</f>
        <v/>
      </c>
      <c r="X87" s="33" t="str">
        <f>IF(Расчёты!$E65=1,Расчёты!$Y65,"")</f>
        <v/>
      </c>
      <c r="Y87" s="33" t="str">
        <f>IF(Расчёты!$E65=1,Расчёты!$AL65,"")</f>
        <v/>
      </c>
      <c r="Z87" s="33" t="str">
        <f>IF(Расчёты!$E65=1,Расчёты!$AP65,"")</f>
        <v/>
      </c>
      <c r="AA87" s="33" t="str">
        <f>IF(Расчёты!$E65=1,Расчёты!$AS65,"")</f>
        <v/>
      </c>
      <c r="AB87" s="33" t="str">
        <f>IF(Расчёты!$E65=1,Расчёты!$AV65,"")</f>
        <v/>
      </c>
      <c r="AC87" s="33" t="str">
        <f>IF(Расчёты!$E65=1,Расчёты!$AW65,"")</f>
        <v/>
      </c>
      <c r="AD87" s="33" t="str">
        <f>IF(Расчёты!$E65=1,Расчёты!$AX65,"")</f>
        <v/>
      </c>
      <c r="AE87" s="33" t="str">
        <f>IF(Расчёты!$E65=1,Расчёты!$AY65,"")</f>
        <v/>
      </c>
      <c r="AF87" s="33" t="str">
        <f>IF(Расчёты!$E65=1,Расчёты!$BA65,"")</f>
        <v/>
      </c>
      <c r="AG87" s="33" t="str">
        <f>IF(Расчёты!$E65=1,Расчёты!$BB65,"")</f>
        <v/>
      </c>
      <c r="AH87" s="33" t="str">
        <f>IF(Расчёты!$E65=1,Расчёты!$BC65,"")</f>
        <v/>
      </c>
      <c r="AI87" s="33" t="str">
        <f>IF(Расчёты!$E65=1,Расчёты!$AU65,"")</f>
        <v/>
      </c>
      <c r="AJ87" s="33" t="str">
        <f>IF(Расчёты!$E65=1,Расчёты!$BF65,"")</f>
        <v/>
      </c>
      <c r="AK87" s="33" t="str">
        <f>IF(Расчёты!$E65=1,Расчёты!$BG65,"")</f>
        <v/>
      </c>
      <c r="AM87" s="17" t="str">
        <f t="shared" si="7"/>
        <v/>
      </c>
      <c r="AN87" s="35" t="str">
        <f t="shared" si="8"/>
        <v/>
      </c>
      <c r="AP87" s="17" t="str">
        <f t="shared" si="9"/>
        <v/>
      </c>
      <c r="AQ87" s="35" t="str">
        <f t="shared" si="10"/>
        <v/>
      </c>
      <c r="AV87" s="17" t="str">
        <f t="shared" si="11"/>
        <v/>
      </c>
      <c r="AW87" s="35" t="str">
        <f t="shared" si="12"/>
        <v/>
      </c>
      <c r="AX87" s="35" t="str">
        <f t="shared" si="13"/>
        <v/>
      </c>
    </row>
    <row r="88" spans="1:50" x14ac:dyDescent="0.2">
      <c r="A88" s="18" t="str">
        <f>IF(Расчёты!$E66=1,Расчёты!$B66,"")</f>
        <v/>
      </c>
      <c r="B88" s="34" t="str">
        <f>IF(Расчёты!$E66=1,Расчёты!$D66,"")</f>
        <v/>
      </c>
      <c r="C88" s="33" t="str">
        <f>IF(Расчёты!$E66=1,Расчёты!$Z66,"")</f>
        <v/>
      </c>
      <c r="D88" s="33" t="str">
        <f>IF(Расчёты!$E66=1,Расчёты!$AA66,"")</f>
        <v/>
      </c>
      <c r="E88" s="33" t="str">
        <f>IF(Расчёты!$E66=1,Расчёты!$AB66,"")</f>
        <v/>
      </c>
      <c r="F88" s="33" t="str">
        <f>IF(Расчёты!$E66=1,Расчёты!$AC66,"")</f>
        <v/>
      </c>
      <c r="G88" s="33" t="str">
        <f>IF(Расчёты!$E66=1,Расчёты!$AD66,"")</f>
        <v/>
      </c>
      <c r="H88" s="33" t="str">
        <f>IF(Расчёты!$E66=1,Расчёты!$AI66,"")</f>
        <v/>
      </c>
      <c r="I88" s="33" t="str">
        <f>IF(Расчёты!$E66=1,Расчёты!$AG66,"")</f>
        <v/>
      </c>
      <c r="J88" s="33" t="str">
        <f>IF(Расчёты!$E66=1,Расчёты!$AJ66,"")</f>
        <v/>
      </c>
      <c r="K88" s="33" t="str">
        <f>IF(Расчёты!$E66=1,Расчёты!$AK66,"")</f>
        <v/>
      </c>
      <c r="L88" s="33" t="str">
        <f>IF(Расчёты!$E66=1,Расчёты!$I66,"")</f>
        <v/>
      </c>
      <c r="M88" s="33" t="str">
        <f>IF(Расчёты!$E66=1,Расчёты!$J66,"")</f>
        <v/>
      </c>
      <c r="N88" s="33" t="str">
        <f>IF(Расчёты!$E66=1,Расчёты!$K66,"")</f>
        <v/>
      </c>
      <c r="O88" s="33" t="str">
        <f>IF(Расчёты!$E66=1,Расчёты!$L66,"")</f>
        <v/>
      </c>
      <c r="P88" s="33" t="str">
        <f>IF(Расчёты!$E66=1,Расчёты!$M66,"")</f>
        <v/>
      </c>
      <c r="Q88" s="33" t="str">
        <f>IF(Расчёты!$E66=1,Расчёты!$N66,"")</f>
        <v/>
      </c>
      <c r="R88" s="33" t="str">
        <f>IF(Расчёты!$E66=1,Расчёты!$O66,"")</f>
        <v/>
      </c>
      <c r="S88" s="33" t="str">
        <f>IF(Расчёты!$E66=1,Расчёты!$Q66,"")</f>
        <v/>
      </c>
      <c r="T88" s="33" t="str">
        <f>IF(Расчёты!$E66=1,Расчёты!$S66,"")</f>
        <v/>
      </c>
      <c r="U88" s="33" t="str">
        <f>IF(Расчёты!$E66=1,Расчёты!$U66,"")</f>
        <v/>
      </c>
      <c r="V88" s="33" t="str">
        <f>IF(Расчёты!$E66=1,Расчёты!$W66,"")</f>
        <v/>
      </c>
      <c r="W88" s="33" t="str">
        <f>IF(Расчёты!$E66=1,Расчёты!$X66,"")</f>
        <v/>
      </c>
      <c r="X88" s="33" t="str">
        <f>IF(Расчёты!$E66=1,Расчёты!$Y66,"")</f>
        <v/>
      </c>
      <c r="Y88" s="33" t="str">
        <f>IF(Расчёты!$E66=1,Расчёты!$AL66,"")</f>
        <v/>
      </c>
      <c r="Z88" s="33" t="str">
        <f>IF(Расчёты!$E66=1,Расчёты!$AP66,"")</f>
        <v/>
      </c>
      <c r="AA88" s="33" t="str">
        <f>IF(Расчёты!$E66=1,Расчёты!$AS66,"")</f>
        <v/>
      </c>
      <c r="AB88" s="33" t="str">
        <f>IF(Расчёты!$E66=1,Расчёты!$AV66,"")</f>
        <v/>
      </c>
      <c r="AC88" s="33" t="str">
        <f>IF(Расчёты!$E66=1,Расчёты!$AW66,"")</f>
        <v/>
      </c>
      <c r="AD88" s="33" t="str">
        <f>IF(Расчёты!$E66=1,Расчёты!$AX66,"")</f>
        <v/>
      </c>
      <c r="AE88" s="33" t="str">
        <f>IF(Расчёты!$E66=1,Расчёты!$AY66,"")</f>
        <v/>
      </c>
      <c r="AF88" s="33" t="str">
        <f>IF(Расчёты!$E66=1,Расчёты!$BA66,"")</f>
        <v/>
      </c>
      <c r="AG88" s="33" t="str">
        <f>IF(Расчёты!$E66=1,Расчёты!$BB66,"")</f>
        <v/>
      </c>
      <c r="AH88" s="33" t="str">
        <f>IF(Расчёты!$E66=1,Расчёты!$BC66,"")</f>
        <v/>
      </c>
      <c r="AI88" s="33" t="str">
        <f>IF(Расчёты!$E66=1,Расчёты!$AU66,"")</f>
        <v/>
      </c>
      <c r="AJ88" s="33" t="str">
        <f>IF(Расчёты!$E66=1,Расчёты!$BF66,"")</f>
        <v/>
      </c>
      <c r="AK88" s="33" t="str">
        <f>IF(Расчёты!$E66=1,Расчёты!$BG66,"")</f>
        <v/>
      </c>
      <c r="AM88" s="17" t="str">
        <f t="shared" ref="AM88:AM119" si="14">A88</f>
        <v/>
      </c>
      <c r="AN88" s="35" t="str">
        <f t="shared" ref="AN88:AN119" si="15">AF88</f>
        <v/>
      </c>
      <c r="AP88" s="17" t="str">
        <f t="shared" ref="AP88:AP119" si="16">A88</f>
        <v/>
      </c>
      <c r="AQ88" s="35" t="str">
        <f t="shared" ref="AQ88:AQ119" si="17">AG88</f>
        <v/>
      </c>
      <c r="AV88" s="17" t="str">
        <f t="shared" ref="AV88:AV119" si="18">A88</f>
        <v/>
      </c>
      <c r="AW88" s="35" t="str">
        <f t="shared" ref="AW88:AW119" si="19">AI88</f>
        <v/>
      </c>
      <c r="AX88" s="35" t="str">
        <f t="shared" ref="AX88:AX119" si="20">K88</f>
        <v/>
      </c>
    </row>
    <row r="89" spans="1:50" x14ac:dyDescent="0.2">
      <c r="A89" s="18" t="str">
        <f>IF(Расчёты!$E67=1,Расчёты!$B67,"")</f>
        <v/>
      </c>
      <c r="B89" s="34" t="str">
        <f>IF(Расчёты!$E67=1,Расчёты!$D67,"")</f>
        <v/>
      </c>
      <c r="C89" s="33" t="str">
        <f>IF(Расчёты!$E67=1,Расчёты!$Z67,"")</f>
        <v/>
      </c>
      <c r="D89" s="33" t="str">
        <f>IF(Расчёты!$E67=1,Расчёты!$AA67,"")</f>
        <v/>
      </c>
      <c r="E89" s="33" t="str">
        <f>IF(Расчёты!$E67=1,Расчёты!$AB67,"")</f>
        <v/>
      </c>
      <c r="F89" s="33" t="str">
        <f>IF(Расчёты!$E67=1,Расчёты!$AC67,"")</f>
        <v/>
      </c>
      <c r="G89" s="33" t="str">
        <f>IF(Расчёты!$E67=1,Расчёты!$AD67,"")</f>
        <v/>
      </c>
      <c r="H89" s="33" t="str">
        <f>IF(Расчёты!$E67=1,Расчёты!$AI67,"")</f>
        <v/>
      </c>
      <c r="I89" s="33" t="str">
        <f>IF(Расчёты!$E67=1,Расчёты!$AG67,"")</f>
        <v/>
      </c>
      <c r="J89" s="33" t="str">
        <f>IF(Расчёты!$E67=1,Расчёты!$AJ67,"")</f>
        <v/>
      </c>
      <c r="K89" s="33" t="str">
        <f>IF(Расчёты!$E67=1,Расчёты!$AK67,"")</f>
        <v/>
      </c>
      <c r="L89" s="33" t="str">
        <f>IF(Расчёты!$E67=1,Расчёты!$I67,"")</f>
        <v/>
      </c>
      <c r="M89" s="33" t="str">
        <f>IF(Расчёты!$E67=1,Расчёты!$J67,"")</f>
        <v/>
      </c>
      <c r="N89" s="33" t="str">
        <f>IF(Расчёты!$E67=1,Расчёты!$K67,"")</f>
        <v/>
      </c>
      <c r="O89" s="33" t="str">
        <f>IF(Расчёты!$E67=1,Расчёты!$L67,"")</f>
        <v/>
      </c>
      <c r="P89" s="33" t="str">
        <f>IF(Расчёты!$E67=1,Расчёты!$M67,"")</f>
        <v/>
      </c>
      <c r="Q89" s="33" t="str">
        <f>IF(Расчёты!$E67=1,Расчёты!$N67,"")</f>
        <v/>
      </c>
      <c r="R89" s="33" t="str">
        <f>IF(Расчёты!$E67=1,Расчёты!$O67,"")</f>
        <v/>
      </c>
      <c r="S89" s="33" t="str">
        <f>IF(Расчёты!$E67=1,Расчёты!$Q67,"")</f>
        <v/>
      </c>
      <c r="T89" s="33" t="str">
        <f>IF(Расчёты!$E67=1,Расчёты!$S67,"")</f>
        <v/>
      </c>
      <c r="U89" s="33" t="str">
        <f>IF(Расчёты!$E67=1,Расчёты!$U67,"")</f>
        <v/>
      </c>
      <c r="V89" s="33" t="str">
        <f>IF(Расчёты!$E67=1,Расчёты!$W67,"")</f>
        <v/>
      </c>
      <c r="W89" s="33" t="str">
        <f>IF(Расчёты!$E67=1,Расчёты!$X67,"")</f>
        <v/>
      </c>
      <c r="X89" s="33" t="str">
        <f>IF(Расчёты!$E67=1,Расчёты!$Y67,"")</f>
        <v/>
      </c>
      <c r="Y89" s="33" t="str">
        <f>IF(Расчёты!$E67=1,Расчёты!$AL67,"")</f>
        <v/>
      </c>
      <c r="Z89" s="33" t="str">
        <f>IF(Расчёты!$E67=1,Расчёты!$AP67,"")</f>
        <v/>
      </c>
      <c r="AA89" s="33" t="str">
        <f>IF(Расчёты!$E67=1,Расчёты!$AS67,"")</f>
        <v/>
      </c>
      <c r="AB89" s="33" t="str">
        <f>IF(Расчёты!$E67=1,Расчёты!$AV67,"")</f>
        <v/>
      </c>
      <c r="AC89" s="33" t="str">
        <f>IF(Расчёты!$E67=1,Расчёты!$AW67,"")</f>
        <v/>
      </c>
      <c r="AD89" s="33" t="str">
        <f>IF(Расчёты!$E67=1,Расчёты!$AX67,"")</f>
        <v/>
      </c>
      <c r="AE89" s="33" t="str">
        <f>IF(Расчёты!$E67=1,Расчёты!$AY67,"")</f>
        <v/>
      </c>
      <c r="AF89" s="33" t="str">
        <f>IF(Расчёты!$E67=1,Расчёты!$BA67,"")</f>
        <v/>
      </c>
      <c r="AG89" s="33" t="str">
        <f>IF(Расчёты!$E67=1,Расчёты!$BB67,"")</f>
        <v/>
      </c>
      <c r="AH89" s="33" t="str">
        <f>IF(Расчёты!$E67=1,Расчёты!$BC67,"")</f>
        <v/>
      </c>
      <c r="AI89" s="33" t="str">
        <f>IF(Расчёты!$E67=1,Расчёты!$AU67,"")</f>
        <v/>
      </c>
      <c r="AJ89" s="33" t="str">
        <f>IF(Расчёты!$E67=1,Расчёты!$BF67,"")</f>
        <v/>
      </c>
      <c r="AK89" s="33" t="str">
        <f>IF(Расчёты!$E67=1,Расчёты!$BG67,"")</f>
        <v/>
      </c>
      <c r="AM89" s="17" t="str">
        <f t="shared" si="14"/>
        <v/>
      </c>
      <c r="AN89" s="35" t="str">
        <f t="shared" si="15"/>
        <v/>
      </c>
      <c r="AP89" s="17" t="str">
        <f t="shared" si="16"/>
        <v/>
      </c>
      <c r="AQ89" s="35" t="str">
        <f t="shared" si="17"/>
        <v/>
      </c>
      <c r="AV89" s="17" t="str">
        <f t="shared" si="18"/>
        <v/>
      </c>
      <c r="AW89" s="35" t="str">
        <f t="shared" si="19"/>
        <v/>
      </c>
      <c r="AX89" s="35" t="str">
        <f t="shared" si="20"/>
        <v/>
      </c>
    </row>
    <row r="90" spans="1:50" x14ac:dyDescent="0.2">
      <c r="A90" s="18" t="str">
        <f>IF(Расчёты!$E68=1,Расчёты!$B68,"")</f>
        <v/>
      </c>
      <c r="B90" s="34" t="str">
        <f>IF(Расчёты!$E68=1,Расчёты!$D68,"")</f>
        <v/>
      </c>
      <c r="C90" s="33" t="str">
        <f>IF(Расчёты!$E68=1,Расчёты!$Z68,"")</f>
        <v/>
      </c>
      <c r="D90" s="33" t="str">
        <f>IF(Расчёты!$E68=1,Расчёты!$AA68,"")</f>
        <v/>
      </c>
      <c r="E90" s="33" t="str">
        <f>IF(Расчёты!$E68=1,Расчёты!$AB68,"")</f>
        <v/>
      </c>
      <c r="F90" s="33" t="str">
        <f>IF(Расчёты!$E68=1,Расчёты!$AC68,"")</f>
        <v/>
      </c>
      <c r="G90" s="33" t="str">
        <f>IF(Расчёты!$E68=1,Расчёты!$AD68,"")</f>
        <v/>
      </c>
      <c r="H90" s="33" t="str">
        <f>IF(Расчёты!$E68=1,Расчёты!$AI68,"")</f>
        <v/>
      </c>
      <c r="I90" s="33" t="str">
        <f>IF(Расчёты!$E68=1,Расчёты!$AG68,"")</f>
        <v/>
      </c>
      <c r="J90" s="33" t="str">
        <f>IF(Расчёты!$E68=1,Расчёты!$AJ68,"")</f>
        <v/>
      </c>
      <c r="K90" s="33" t="str">
        <f>IF(Расчёты!$E68=1,Расчёты!$AK68,"")</f>
        <v/>
      </c>
      <c r="L90" s="33" t="str">
        <f>IF(Расчёты!$E68=1,Расчёты!$I68,"")</f>
        <v/>
      </c>
      <c r="M90" s="33" t="str">
        <f>IF(Расчёты!$E68=1,Расчёты!$J68,"")</f>
        <v/>
      </c>
      <c r="N90" s="33" t="str">
        <f>IF(Расчёты!$E68=1,Расчёты!$K68,"")</f>
        <v/>
      </c>
      <c r="O90" s="33" t="str">
        <f>IF(Расчёты!$E68=1,Расчёты!$L68,"")</f>
        <v/>
      </c>
      <c r="P90" s="33" t="str">
        <f>IF(Расчёты!$E68=1,Расчёты!$M68,"")</f>
        <v/>
      </c>
      <c r="Q90" s="33" t="str">
        <f>IF(Расчёты!$E68=1,Расчёты!$N68,"")</f>
        <v/>
      </c>
      <c r="R90" s="33" t="str">
        <f>IF(Расчёты!$E68=1,Расчёты!$O68,"")</f>
        <v/>
      </c>
      <c r="S90" s="33" t="str">
        <f>IF(Расчёты!$E68=1,Расчёты!$Q68,"")</f>
        <v/>
      </c>
      <c r="T90" s="33" t="str">
        <f>IF(Расчёты!$E68=1,Расчёты!$S68,"")</f>
        <v/>
      </c>
      <c r="U90" s="33" t="str">
        <f>IF(Расчёты!$E68=1,Расчёты!$U68,"")</f>
        <v/>
      </c>
      <c r="V90" s="33" t="str">
        <f>IF(Расчёты!$E68=1,Расчёты!$W68,"")</f>
        <v/>
      </c>
      <c r="W90" s="33" t="str">
        <f>IF(Расчёты!$E68=1,Расчёты!$X68,"")</f>
        <v/>
      </c>
      <c r="X90" s="33" t="str">
        <f>IF(Расчёты!$E68=1,Расчёты!$Y68,"")</f>
        <v/>
      </c>
      <c r="Y90" s="33" t="str">
        <f>IF(Расчёты!$E68=1,Расчёты!$AL68,"")</f>
        <v/>
      </c>
      <c r="Z90" s="33" t="str">
        <f>IF(Расчёты!$E68=1,Расчёты!$AP68,"")</f>
        <v/>
      </c>
      <c r="AA90" s="33" t="str">
        <f>IF(Расчёты!$E68=1,Расчёты!$AS68,"")</f>
        <v/>
      </c>
      <c r="AB90" s="33" t="str">
        <f>IF(Расчёты!$E68=1,Расчёты!$AV68,"")</f>
        <v/>
      </c>
      <c r="AC90" s="33" t="str">
        <f>IF(Расчёты!$E68=1,Расчёты!$AW68,"")</f>
        <v/>
      </c>
      <c r="AD90" s="33" t="str">
        <f>IF(Расчёты!$E68=1,Расчёты!$AX68,"")</f>
        <v/>
      </c>
      <c r="AE90" s="33" t="str">
        <f>IF(Расчёты!$E68=1,Расчёты!$AY68,"")</f>
        <v/>
      </c>
      <c r="AF90" s="33" t="str">
        <f>IF(Расчёты!$E68=1,Расчёты!$BA68,"")</f>
        <v/>
      </c>
      <c r="AG90" s="33" t="str">
        <f>IF(Расчёты!$E68=1,Расчёты!$BB68,"")</f>
        <v/>
      </c>
      <c r="AH90" s="33" t="str">
        <f>IF(Расчёты!$E68=1,Расчёты!$BC68,"")</f>
        <v/>
      </c>
      <c r="AI90" s="33" t="str">
        <f>IF(Расчёты!$E68=1,Расчёты!$AU68,"")</f>
        <v/>
      </c>
      <c r="AJ90" s="33" t="str">
        <f>IF(Расчёты!$E68=1,Расчёты!$BF68,"")</f>
        <v/>
      </c>
      <c r="AK90" s="33" t="str">
        <f>IF(Расчёты!$E68=1,Расчёты!$BG68,"")</f>
        <v/>
      </c>
      <c r="AM90" s="17" t="str">
        <f t="shared" si="14"/>
        <v/>
      </c>
      <c r="AN90" s="35" t="str">
        <f t="shared" si="15"/>
        <v/>
      </c>
      <c r="AP90" s="17" t="str">
        <f t="shared" si="16"/>
        <v/>
      </c>
      <c r="AQ90" s="35" t="str">
        <f t="shared" si="17"/>
        <v/>
      </c>
      <c r="AV90" s="17" t="str">
        <f t="shared" si="18"/>
        <v/>
      </c>
      <c r="AW90" s="35" t="str">
        <f t="shared" si="19"/>
        <v/>
      </c>
      <c r="AX90" s="35" t="str">
        <f t="shared" si="20"/>
        <v/>
      </c>
    </row>
    <row r="91" spans="1:50" x14ac:dyDescent="0.2">
      <c r="A91" s="18" t="str">
        <f>IF(Расчёты!$E69=1,Расчёты!$B69,"")</f>
        <v/>
      </c>
      <c r="B91" s="34" t="str">
        <f>IF(Расчёты!$E69=1,Расчёты!$D69,"")</f>
        <v/>
      </c>
      <c r="C91" s="33" t="str">
        <f>IF(Расчёты!$E69=1,Расчёты!$Z69,"")</f>
        <v/>
      </c>
      <c r="D91" s="33" t="str">
        <f>IF(Расчёты!$E69=1,Расчёты!$AA69,"")</f>
        <v/>
      </c>
      <c r="E91" s="33" t="str">
        <f>IF(Расчёты!$E69=1,Расчёты!$AB69,"")</f>
        <v/>
      </c>
      <c r="F91" s="33" t="str">
        <f>IF(Расчёты!$E69=1,Расчёты!$AC69,"")</f>
        <v/>
      </c>
      <c r="G91" s="33" t="str">
        <f>IF(Расчёты!$E69=1,Расчёты!$AD69,"")</f>
        <v/>
      </c>
      <c r="H91" s="33" t="str">
        <f>IF(Расчёты!$E69=1,Расчёты!$AI69,"")</f>
        <v/>
      </c>
      <c r="I91" s="33" t="str">
        <f>IF(Расчёты!$E69=1,Расчёты!$AG69,"")</f>
        <v/>
      </c>
      <c r="J91" s="33" t="str">
        <f>IF(Расчёты!$E69=1,Расчёты!$AJ69,"")</f>
        <v/>
      </c>
      <c r="K91" s="33" t="str">
        <f>IF(Расчёты!$E69=1,Расчёты!$AK69,"")</f>
        <v/>
      </c>
      <c r="L91" s="33" t="str">
        <f>IF(Расчёты!$E69=1,Расчёты!$I69,"")</f>
        <v/>
      </c>
      <c r="M91" s="33" t="str">
        <f>IF(Расчёты!$E69=1,Расчёты!$J69,"")</f>
        <v/>
      </c>
      <c r="N91" s="33" t="str">
        <f>IF(Расчёты!$E69=1,Расчёты!$K69,"")</f>
        <v/>
      </c>
      <c r="O91" s="33" t="str">
        <f>IF(Расчёты!$E69=1,Расчёты!$L69,"")</f>
        <v/>
      </c>
      <c r="P91" s="33" t="str">
        <f>IF(Расчёты!$E69=1,Расчёты!$M69,"")</f>
        <v/>
      </c>
      <c r="Q91" s="33" t="str">
        <f>IF(Расчёты!$E69=1,Расчёты!$N69,"")</f>
        <v/>
      </c>
      <c r="R91" s="33" t="str">
        <f>IF(Расчёты!$E69=1,Расчёты!$O69,"")</f>
        <v/>
      </c>
      <c r="S91" s="33" t="str">
        <f>IF(Расчёты!$E69=1,Расчёты!$Q69,"")</f>
        <v/>
      </c>
      <c r="T91" s="33" t="str">
        <f>IF(Расчёты!$E69=1,Расчёты!$S69,"")</f>
        <v/>
      </c>
      <c r="U91" s="33" t="str">
        <f>IF(Расчёты!$E69=1,Расчёты!$U69,"")</f>
        <v/>
      </c>
      <c r="V91" s="33" t="str">
        <f>IF(Расчёты!$E69=1,Расчёты!$W69,"")</f>
        <v/>
      </c>
      <c r="W91" s="33" t="str">
        <f>IF(Расчёты!$E69=1,Расчёты!$X69,"")</f>
        <v/>
      </c>
      <c r="X91" s="33" t="str">
        <f>IF(Расчёты!$E69=1,Расчёты!$Y69,"")</f>
        <v/>
      </c>
      <c r="Y91" s="33" t="str">
        <f>IF(Расчёты!$E69=1,Расчёты!$AL69,"")</f>
        <v/>
      </c>
      <c r="Z91" s="33" t="str">
        <f>IF(Расчёты!$E69=1,Расчёты!$AP69,"")</f>
        <v/>
      </c>
      <c r="AA91" s="33" t="str">
        <f>IF(Расчёты!$E69=1,Расчёты!$AS69,"")</f>
        <v/>
      </c>
      <c r="AB91" s="33" t="str">
        <f>IF(Расчёты!$E69=1,Расчёты!$AV69,"")</f>
        <v/>
      </c>
      <c r="AC91" s="33" t="str">
        <f>IF(Расчёты!$E69=1,Расчёты!$AW69,"")</f>
        <v/>
      </c>
      <c r="AD91" s="33" t="str">
        <f>IF(Расчёты!$E69=1,Расчёты!$AX69,"")</f>
        <v/>
      </c>
      <c r="AE91" s="33" t="str">
        <f>IF(Расчёты!$E69=1,Расчёты!$AY69,"")</f>
        <v/>
      </c>
      <c r="AF91" s="33" t="str">
        <f>IF(Расчёты!$E69=1,Расчёты!$BA69,"")</f>
        <v/>
      </c>
      <c r="AG91" s="33" t="str">
        <f>IF(Расчёты!$E69=1,Расчёты!$BB69,"")</f>
        <v/>
      </c>
      <c r="AH91" s="33" t="str">
        <f>IF(Расчёты!$E69=1,Расчёты!$BC69,"")</f>
        <v/>
      </c>
      <c r="AI91" s="33" t="str">
        <f>IF(Расчёты!$E69=1,Расчёты!$AU69,"")</f>
        <v/>
      </c>
      <c r="AJ91" s="33" t="str">
        <f>IF(Расчёты!$E69=1,Расчёты!$BF69,"")</f>
        <v/>
      </c>
      <c r="AK91" s="33" t="str">
        <f>IF(Расчёты!$E69=1,Расчёты!$BG69,"")</f>
        <v/>
      </c>
      <c r="AM91" s="17" t="str">
        <f t="shared" si="14"/>
        <v/>
      </c>
      <c r="AN91" s="35" t="str">
        <f t="shared" si="15"/>
        <v/>
      </c>
      <c r="AP91" s="17" t="str">
        <f t="shared" si="16"/>
        <v/>
      </c>
      <c r="AQ91" s="35" t="str">
        <f t="shared" si="17"/>
        <v/>
      </c>
      <c r="AV91" s="17" t="str">
        <f t="shared" si="18"/>
        <v/>
      </c>
      <c r="AW91" s="35" t="str">
        <f t="shared" si="19"/>
        <v/>
      </c>
      <c r="AX91" s="35" t="str">
        <f t="shared" si="20"/>
        <v/>
      </c>
    </row>
    <row r="92" spans="1:50" x14ac:dyDescent="0.2">
      <c r="A92" s="18" t="str">
        <f>IF(Расчёты!$E70=1,Расчёты!$B70,"")</f>
        <v/>
      </c>
      <c r="B92" s="34" t="str">
        <f>IF(Расчёты!$E70=1,Расчёты!$D70,"")</f>
        <v/>
      </c>
      <c r="C92" s="33" t="str">
        <f>IF(Расчёты!$E70=1,Расчёты!$Z70,"")</f>
        <v/>
      </c>
      <c r="D92" s="33" t="str">
        <f>IF(Расчёты!$E70=1,Расчёты!$AA70,"")</f>
        <v/>
      </c>
      <c r="E92" s="33" t="str">
        <f>IF(Расчёты!$E70=1,Расчёты!$AB70,"")</f>
        <v/>
      </c>
      <c r="F92" s="33" t="str">
        <f>IF(Расчёты!$E70=1,Расчёты!$AC70,"")</f>
        <v/>
      </c>
      <c r="G92" s="33" t="str">
        <f>IF(Расчёты!$E70=1,Расчёты!$AD70,"")</f>
        <v/>
      </c>
      <c r="H92" s="33" t="str">
        <f>IF(Расчёты!$E70=1,Расчёты!$AI70,"")</f>
        <v/>
      </c>
      <c r="I92" s="33" t="str">
        <f>IF(Расчёты!$E70=1,Расчёты!$AG70,"")</f>
        <v/>
      </c>
      <c r="J92" s="33" t="str">
        <f>IF(Расчёты!$E70=1,Расчёты!$AJ70,"")</f>
        <v/>
      </c>
      <c r="K92" s="33" t="str">
        <f>IF(Расчёты!$E70=1,Расчёты!$AK70,"")</f>
        <v/>
      </c>
      <c r="L92" s="33" t="str">
        <f>IF(Расчёты!$E70=1,Расчёты!$I70,"")</f>
        <v/>
      </c>
      <c r="M92" s="33" t="str">
        <f>IF(Расчёты!$E70=1,Расчёты!$J70,"")</f>
        <v/>
      </c>
      <c r="N92" s="33" t="str">
        <f>IF(Расчёты!$E70=1,Расчёты!$K70,"")</f>
        <v/>
      </c>
      <c r="O92" s="33" t="str">
        <f>IF(Расчёты!$E70=1,Расчёты!$L70,"")</f>
        <v/>
      </c>
      <c r="P92" s="33" t="str">
        <f>IF(Расчёты!$E70=1,Расчёты!$M70,"")</f>
        <v/>
      </c>
      <c r="Q92" s="33" t="str">
        <f>IF(Расчёты!$E70=1,Расчёты!$N70,"")</f>
        <v/>
      </c>
      <c r="R92" s="33" t="str">
        <f>IF(Расчёты!$E70=1,Расчёты!$O70,"")</f>
        <v/>
      </c>
      <c r="S92" s="33" t="str">
        <f>IF(Расчёты!$E70=1,Расчёты!$Q70,"")</f>
        <v/>
      </c>
      <c r="T92" s="33" t="str">
        <f>IF(Расчёты!$E70=1,Расчёты!$S70,"")</f>
        <v/>
      </c>
      <c r="U92" s="33" t="str">
        <f>IF(Расчёты!$E70=1,Расчёты!$U70,"")</f>
        <v/>
      </c>
      <c r="V92" s="33" t="str">
        <f>IF(Расчёты!$E70=1,Расчёты!$W70,"")</f>
        <v/>
      </c>
      <c r="W92" s="33" t="str">
        <f>IF(Расчёты!$E70=1,Расчёты!$X70,"")</f>
        <v/>
      </c>
      <c r="X92" s="33" t="str">
        <f>IF(Расчёты!$E70=1,Расчёты!$Y70,"")</f>
        <v/>
      </c>
      <c r="Y92" s="33" t="str">
        <f>IF(Расчёты!$E70=1,Расчёты!$AL70,"")</f>
        <v/>
      </c>
      <c r="Z92" s="33" t="str">
        <f>IF(Расчёты!$E70=1,Расчёты!$AP70,"")</f>
        <v/>
      </c>
      <c r="AA92" s="33" t="str">
        <f>IF(Расчёты!$E70=1,Расчёты!$AS70,"")</f>
        <v/>
      </c>
      <c r="AB92" s="33" t="str">
        <f>IF(Расчёты!$E70=1,Расчёты!$AV70,"")</f>
        <v/>
      </c>
      <c r="AC92" s="33" t="str">
        <f>IF(Расчёты!$E70=1,Расчёты!$AW70,"")</f>
        <v/>
      </c>
      <c r="AD92" s="33" t="str">
        <f>IF(Расчёты!$E70=1,Расчёты!$AX70,"")</f>
        <v/>
      </c>
      <c r="AE92" s="33" t="str">
        <f>IF(Расчёты!$E70=1,Расчёты!$AY70,"")</f>
        <v/>
      </c>
      <c r="AF92" s="33" t="str">
        <f>IF(Расчёты!$E70=1,Расчёты!$BA70,"")</f>
        <v/>
      </c>
      <c r="AG92" s="33" t="str">
        <f>IF(Расчёты!$E70=1,Расчёты!$BB70,"")</f>
        <v/>
      </c>
      <c r="AH92" s="33" t="str">
        <f>IF(Расчёты!$E70=1,Расчёты!$BC70,"")</f>
        <v/>
      </c>
      <c r="AI92" s="33" t="str">
        <f>IF(Расчёты!$E70=1,Расчёты!$AU70,"")</f>
        <v/>
      </c>
      <c r="AJ92" s="33" t="str">
        <f>IF(Расчёты!$E70=1,Расчёты!$BF70,"")</f>
        <v/>
      </c>
      <c r="AK92" s="33" t="str">
        <f>IF(Расчёты!$E70=1,Расчёты!$BG70,"")</f>
        <v/>
      </c>
      <c r="AM92" s="17" t="str">
        <f t="shared" si="14"/>
        <v/>
      </c>
      <c r="AN92" s="35" t="str">
        <f t="shared" si="15"/>
        <v/>
      </c>
      <c r="AP92" s="17" t="str">
        <f t="shared" si="16"/>
        <v/>
      </c>
      <c r="AQ92" s="35" t="str">
        <f t="shared" si="17"/>
        <v/>
      </c>
      <c r="AV92" s="17" t="str">
        <f t="shared" si="18"/>
        <v/>
      </c>
      <c r="AW92" s="35" t="str">
        <f t="shared" si="19"/>
        <v/>
      </c>
      <c r="AX92" s="35" t="str">
        <f t="shared" si="20"/>
        <v/>
      </c>
    </row>
    <row r="93" spans="1:50" x14ac:dyDescent="0.2">
      <c r="A93" s="18" t="str">
        <f>IF(Расчёты!$E71=1,Расчёты!$B71,"")</f>
        <v/>
      </c>
      <c r="B93" s="34" t="str">
        <f>IF(Расчёты!$E71=1,Расчёты!$D71,"")</f>
        <v/>
      </c>
      <c r="C93" s="33" t="str">
        <f>IF(Расчёты!$E71=1,Расчёты!$Z71,"")</f>
        <v/>
      </c>
      <c r="D93" s="33" t="str">
        <f>IF(Расчёты!$E71=1,Расчёты!$AA71,"")</f>
        <v/>
      </c>
      <c r="E93" s="33" t="str">
        <f>IF(Расчёты!$E71=1,Расчёты!$AB71,"")</f>
        <v/>
      </c>
      <c r="F93" s="33" t="str">
        <f>IF(Расчёты!$E71=1,Расчёты!$AC71,"")</f>
        <v/>
      </c>
      <c r="G93" s="33" t="str">
        <f>IF(Расчёты!$E71=1,Расчёты!$AD71,"")</f>
        <v/>
      </c>
      <c r="H93" s="33" t="str">
        <f>IF(Расчёты!$E71=1,Расчёты!$AI71,"")</f>
        <v/>
      </c>
      <c r="I93" s="33" t="str">
        <f>IF(Расчёты!$E71=1,Расчёты!$AG71,"")</f>
        <v/>
      </c>
      <c r="J93" s="33" t="str">
        <f>IF(Расчёты!$E71=1,Расчёты!$AJ71,"")</f>
        <v/>
      </c>
      <c r="K93" s="33" t="str">
        <f>IF(Расчёты!$E71=1,Расчёты!$AK71,"")</f>
        <v/>
      </c>
      <c r="L93" s="33" t="str">
        <f>IF(Расчёты!$E71=1,Расчёты!$I71,"")</f>
        <v/>
      </c>
      <c r="M93" s="33" t="str">
        <f>IF(Расчёты!$E71=1,Расчёты!$J71,"")</f>
        <v/>
      </c>
      <c r="N93" s="33" t="str">
        <f>IF(Расчёты!$E71=1,Расчёты!$K71,"")</f>
        <v/>
      </c>
      <c r="O93" s="33" t="str">
        <f>IF(Расчёты!$E71=1,Расчёты!$L71,"")</f>
        <v/>
      </c>
      <c r="P93" s="33" t="str">
        <f>IF(Расчёты!$E71=1,Расчёты!$M71,"")</f>
        <v/>
      </c>
      <c r="Q93" s="33" t="str">
        <f>IF(Расчёты!$E71=1,Расчёты!$N71,"")</f>
        <v/>
      </c>
      <c r="R93" s="33" t="str">
        <f>IF(Расчёты!$E71=1,Расчёты!$O71,"")</f>
        <v/>
      </c>
      <c r="S93" s="33" t="str">
        <f>IF(Расчёты!$E71=1,Расчёты!$Q71,"")</f>
        <v/>
      </c>
      <c r="T93" s="33" t="str">
        <f>IF(Расчёты!$E71=1,Расчёты!$S71,"")</f>
        <v/>
      </c>
      <c r="U93" s="33" t="str">
        <f>IF(Расчёты!$E71=1,Расчёты!$U71,"")</f>
        <v/>
      </c>
      <c r="V93" s="33" t="str">
        <f>IF(Расчёты!$E71=1,Расчёты!$W71,"")</f>
        <v/>
      </c>
      <c r="W93" s="33" t="str">
        <f>IF(Расчёты!$E71=1,Расчёты!$X71,"")</f>
        <v/>
      </c>
      <c r="X93" s="33" t="str">
        <f>IF(Расчёты!$E71=1,Расчёты!$Y71,"")</f>
        <v/>
      </c>
      <c r="Y93" s="33" t="str">
        <f>IF(Расчёты!$E71=1,Расчёты!$AL71,"")</f>
        <v/>
      </c>
      <c r="Z93" s="33" t="str">
        <f>IF(Расчёты!$E71=1,Расчёты!$AP71,"")</f>
        <v/>
      </c>
      <c r="AA93" s="33" t="str">
        <f>IF(Расчёты!$E71=1,Расчёты!$AS71,"")</f>
        <v/>
      </c>
      <c r="AB93" s="33" t="str">
        <f>IF(Расчёты!$E71=1,Расчёты!$AV71,"")</f>
        <v/>
      </c>
      <c r="AC93" s="33" t="str">
        <f>IF(Расчёты!$E71=1,Расчёты!$AW71,"")</f>
        <v/>
      </c>
      <c r="AD93" s="33" t="str">
        <f>IF(Расчёты!$E71=1,Расчёты!$AX71,"")</f>
        <v/>
      </c>
      <c r="AE93" s="33" t="str">
        <f>IF(Расчёты!$E71=1,Расчёты!$AY71,"")</f>
        <v/>
      </c>
      <c r="AF93" s="33" t="str">
        <f>IF(Расчёты!$E71=1,Расчёты!$BA71,"")</f>
        <v/>
      </c>
      <c r="AG93" s="33" t="str">
        <f>IF(Расчёты!$E71=1,Расчёты!$BB71,"")</f>
        <v/>
      </c>
      <c r="AH93" s="33" t="str">
        <f>IF(Расчёты!$E71=1,Расчёты!$BC71,"")</f>
        <v/>
      </c>
      <c r="AI93" s="33" t="str">
        <f>IF(Расчёты!$E71=1,Расчёты!$AU71,"")</f>
        <v/>
      </c>
      <c r="AJ93" s="33" t="str">
        <f>IF(Расчёты!$E71=1,Расчёты!$BF71,"")</f>
        <v/>
      </c>
      <c r="AK93" s="33" t="str">
        <f>IF(Расчёты!$E71=1,Расчёты!$BG71,"")</f>
        <v/>
      </c>
      <c r="AM93" s="17" t="str">
        <f t="shared" si="14"/>
        <v/>
      </c>
      <c r="AN93" s="35" t="str">
        <f t="shared" si="15"/>
        <v/>
      </c>
      <c r="AP93" s="17" t="str">
        <f t="shared" si="16"/>
        <v/>
      </c>
      <c r="AQ93" s="35" t="str">
        <f t="shared" si="17"/>
        <v/>
      </c>
      <c r="AV93" s="17" t="str">
        <f t="shared" si="18"/>
        <v/>
      </c>
      <c r="AW93" s="35" t="str">
        <f t="shared" si="19"/>
        <v/>
      </c>
      <c r="AX93" s="35" t="str">
        <f t="shared" si="20"/>
        <v/>
      </c>
    </row>
    <row r="94" spans="1:50" x14ac:dyDescent="0.2">
      <c r="A94" s="18" t="str">
        <f>IF(Расчёты!$E72=1,Расчёты!$B72,"")</f>
        <v/>
      </c>
      <c r="B94" s="34" t="str">
        <f>IF(Расчёты!$E72=1,Расчёты!$D72,"")</f>
        <v/>
      </c>
      <c r="C94" s="33" t="str">
        <f>IF(Расчёты!$E72=1,Расчёты!$Z72,"")</f>
        <v/>
      </c>
      <c r="D94" s="33" t="str">
        <f>IF(Расчёты!$E72=1,Расчёты!$AA72,"")</f>
        <v/>
      </c>
      <c r="E94" s="33" t="str">
        <f>IF(Расчёты!$E72=1,Расчёты!$AB72,"")</f>
        <v/>
      </c>
      <c r="F94" s="33" t="str">
        <f>IF(Расчёты!$E72=1,Расчёты!$AC72,"")</f>
        <v/>
      </c>
      <c r="G94" s="33" t="str">
        <f>IF(Расчёты!$E72=1,Расчёты!$AD72,"")</f>
        <v/>
      </c>
      <c r="H94" s="33" t="str">
        <f>IF(Расчёты!$E72=1,Расчёты!$AI72,"")</f>
        <v/>
      </c>
      <c r="I94" s="33" t="str">
        <f>IF(Расчёты!$E72=1,Расчёты!$AG72,"")</f>
        <v/>
      </c>
      <c r="J94" s="33" t="str">
        <f>IF(Расчёты!$E72=1,Расчёты!$AJ72,"")</f>
        <v/>
      </c>
      <c r="K94" s="33" t="str">
        <f>IF(Расчёты!$E72=1,Расчёты!$AK72,"")</f>
        <v/>
      </c>
      <c r="L94" s="33" t="str">
        <f>IF(Расчёты!$E72=1,Расчёты!$I72,"")</f>
        <v/>
      </c>
      <c r="M94" s="33" t="str">
        <f>IF(Расчёты!$E72=1,Расчёты!$J72,"")</f>
        <v/>
      </c>
      <c r="N94" s="33" t="str">
        <f>IF(Расчёты!$E72=1,Расчёты!$K72,"")</f>
        <v/>
      </c>
      <c r="O94" s="33" t="str">
        <f>IF(Расчёты!$E72=1,Расчёты!$L72,"")</f>
        <v/>
      </c>
      <c r="P94" s="33" t="str">
        <f>IF(Расчёты!$E72=1,Расчёты!$M72,"")</f>
        <v/>
      </c>
      <c r="Q94" s="33" t="str">
        <f>IF(Расчёты!$E72=1,Расчёты!$N72,"")</f>
        <v/>
      </c>
      <c r="R94" s="33" t="str">
        <f>IF(Расчёты!$E72=1,Расчёты!$O72,"")</f>
        <v/>
      </c>
      <c r="S94" s="33" t="str">
        <f>IF(Расчёты!$E72=1,Расчёты!$Q72,"")</f>
        <v/>
      </c>
      <c r="T94" s="33" t="str">
        <f>IF(Расчёты!$E72=1,Расчёты!$S72,"")</f>
        <v/>
      </c>
      <c r="U94" s="33" t="str">
        <f>IF(Расчёты!$E72=1,Расчёты!$U72,"")</f>
        <v/>
      </c>
      <c r="V94" s="33" t="str">
        <f>IF(Расчёты!$E72=1,Расчёты!$W72,"")</f>
        <v/>
      </c>
      <c r="W94" s="33" t="str">
        <f>IF(Расчёты!$E72=1,Расчёты!$X72,"")</f>
        <v/>
      </c>
      <c r="X94" s="33" t="str">
        <f>IF(Расчёты!$E72=1,Расчёты!$Y72,"")</f>
        <v/>
      </c>
      <c r="Y94" s="33" t="str">
        <f>IF(Расчёты!$E72=1,Расчёты!$AL72,"")</f>
        <v/>
      </c>
      <c r="Z94" s="33" t="str">
        <f>IF(Расчёты!$E72=1,Расчёты!$AP72,"")</f>
        <v/>
      </c>
      <c r="AA94" s="33" t="str">
        <f>IF(Расчёты!$E72=1,Расчёты!$AS72,"")</f>
        <v/>
      </c>
      <c r="AB94" s="33" t="str">
        <f>IF(Расчёты!$E72=1,Расчёты!$AV72,"")</f>
        <v/>
      </c>
      <c r="AC94" s="33" t="str">
        <f>IF(Расчёты!$E72=1,Расчёты!$AW72,"")</f>
        <v/>
      </c>
      <c r="AD94" s="33" t="str">
        <f>IF(Расчёты!$E72=1,Расчёты!$AX72,"")</f>
        <v/>
      </c>
      <c r="AE94" s="33" t="str">
        <f>IF(Расчёты!$E72=1,Расчёты!$AY72,"")</f>
        <v/>
      </c>
      <c r="AF94" s="33" t="str">
        <f>IF(Расчёты!$E72=1,Расчёты!$BA72,"")</f>
        <v/>
      </c>
      <c r="AG94" s="33" t="str">
        <f>IF(Расчёты!$E72=1,Расчёты!$BB72,"")</f>
        <v/>
      </c>
      <c r="AH94" s="33" t="str">
        <f>IF(Расчёты!$E72=1,Расчёты!$BC72,"")</f>
        <v/>
      </c>
      <c r="AI94" s="33" t="str">
        <f>IF(Расчёты!$E72=1,Расчёты!$AU72,"")</f>
        <v/>
      </c>
      <c r="AJ94" s="33" t="str">
        <f>IF(Расчёты!$E72=1,Расчёты!$BF72,"")</f>
        <v/>
      </c>
      <c r="AK94" s="33" t="str">
        <f>IF(Расчёты!$E72=1,Расчёты!$BG72,"")</f>
        <v/>
      </c>
      <c r="AM94" s="17" t="str">
        <f t="shared" si="14"/>
        <v/>
      </c>
      <c r="AN94" s="35" t="str">
        <f t="shared" si="15"/>
        <v/>
      </c>
      <c r="AP94" s="17" t="str">
        <f t="shared" si="16"/>
        <v/>
      </c>
      <c r="AQ94" s="35" t="str">
        <f t="shared" si="17"/>
        <v/>
      </c>
      <c r="AV94" s="17" t="str">
        <f t="shared" si="18"/>
        <v/>
      </c>
      <c r="AW94" s="35" t="str">
        <f t="shared" si="19"/>
        <v/>
      </c>
      <c r="AX94" s="35" t="str">
        <f t="shared" si="20"/>
        <v/>
      </c>
    </row>
    <row r="95" spans="1:50" x14ac:dyDescent="0.2">
      <c r="A95" s="18" t="str">
        <f>IF(Расчёты!$E73=1,Расчёты!$B73,"")</f>
        <v/>
      </c>
      <c r="B95" s="34" t="str">
        <f>IF(Расчёты!$E73=1,Расчёты!$D73,"")</f>
        <v/>
      </c>
      <c r="C95" s="33" t="str">
        <f>IF(Расчёты!$E73=1,Расчёты!$Z73,"")</f>
        <v/>
      </c>
      <c r="D95" s="33" t="str">
        <f>IF(Расчёты!$E73=1,Расчёты!$AA73,"")</f>
        <v/>
      </c>
      <c r="E95" s="33" t="str">
        <f>IF(Расчёты!$E73=1,Расчёты!$AB73,"")</f>
        <v/>
      </c>
      <c r="F95" s="33" t="str">
        <f>IF(Расчёты!$E73=1,Расчёты!$AC73,"")</f>
        <v/>
      </c>
      <c r="G95" s="33" t="str">
        <f>IF(Расчёты!$E73=1,Расчёты!$AD73,"")</f>
        <v/>
      </c>
      <c r="H95" s="33" t="str">
        <f>IF(Расчёты!$E73=1,Расчёты!$AI73,"")</f>
        <v/>
      </c>
      <c r="I95" s="33" t="str">
        <f>IF(Расчёты!$E73=1,Расчёты!$AG73,"")</f>
        <v/>
      </c>
      <c r="J95" s="33" t="str">
        <f>IF(Расчёты!$E73=1,Расчёты!$AJ73,"")</f>
        <v/>
      </c>
      <c r="K95" s="33" t="str">
        <f>IF(Расчёты!$E73=1,Расчёты!$AK73,"")</f>
        <v/>
      </c>
      <c r="L95" s="33" t="str">
        <f>IF(Расчёты!$E73=1,Расчёты!$I73,"")</f>
        <v/>
      </c>
      <c r="M95" s="33" t="str">
        <f>IF(Расчёты!$E73=1,Расчёты!$J73,"")</f>
        <v/>
      </c>
      <c r="N95" s="33" t="str">
        <f>IF(Расчёты!$E73=1,Расчёты!$K73,"")</f>
        <v/>
      </c>
      <c r="O95" s="33" t="str">
        <f>IF(Расчёты!$E73=1,Расчёты!$L73,"")</f>
        <v/>
      </c>
      <c r="P95" s="33" t="str">
        <f>IF(Расчёты!$E73=1,Расчёты!$M73,"")</f>
        <v/>
      </c>
      <c r="Q95" s="33" t="str">
        <f>IF(Расчёты!$E73=1,Расчёты!$N73,"")</f>
        <v/>
      </c>
      <c r="R95" s="33" t="str">
        <f>IF(Расчёты!$E73=1,Расчёты!$O73,"")</f>
        <v/>
      </c>
      <c r="S95" s="33" t="str">
        <f>IF(Расчёты!$E73=1,Расчёты!$Q73,"")</f>
        <v/>
      </c>
      <c r="T95" s="33" t="str">
        <f>IF(Расчёты!$E73=1,Расчёты!$S73,"")</f>
        <v/>
      </c>
      <c r="U95" s="33" t="str">
        <f>IF(Расчёты!$E73=1,Расчёты!$U73,"")</f>
        <v/>
      </c>
      <c r="V95" s="33" t="str">
        <f>IF(Расчёты!$E73=1,Расчёты!$W73,"")</f>
        <v/>
      </c>
      <c r="W95" s="33" t="str">
        <f>IF(Расчёты!$E73=1,Расчёты!$X73,"")</f>
        <v/>
      </c>
      <c r="X95" s="33" t="str">
        <f>IF(Расчёты!$E73=1,Расчёты!$Y73,"")</f>
        <v/>
      </c>
      <c r="Y95" s="33" t="str">
        <f>IF(Расчёты!$E73=1,Расчёты!$AL73,"")</f>
        <v/>
      </c>
      <c r="Z95" s="33" t="str">
        <f>IF(Расчёты!$E73=1,Расчёты!$AP73,"")</f>
        <v/>
      </c>
      <c r="AA95" s="33" t="str">
        <f>IF(Расчёты!$E73=1,Расчёты!$AS73,"")</f>
        <v/>
      </c>
      <c r="AB95" s="33" t="str">
        <f>IF(Расчёты!$E73=1,Расчёты!$AV73,"")</f>
        <v/>
      </c>
      <c r="AC95" s="33" t="str">
        <f>IF(Расчёты!$E73=1,Расчёты!$AW73,"")</f>
        <v/>
      </c>
      <c r="AD95" s="33" t="str">
        <f>IF(Расчёты!$E73=1,Расчёты!$AX73,"")</f>
        <v/>
      </c>
      <c r="AE95" s="33" t="str">
        <f>IF(Расчёты!$E73=1,Расчёты!$AY73,"")</f>
        <v/>
      </c>
      <c r="AF95" s="33" t="str">
        <f>IF(Расчёты!$E73=1,Расчёты!$BA73,"")</f>
        <v/>
      </c>
      <c r="AG95" s="33" t="str">
        <f>IF(Расчёты!$E73=1,Расчёты!$BB73,"")</f>
        <v/>
      </c>
      <c r="AH95" s="33" t="str">
        <f>IF(Расчёты!$E73=1,Расчёты!$BC73,"")</f>
        <v/>
      </c>
      <c r="AI95" s="33" t="str">
        <f>IF(Расчёты!$E73=1,Расчёты!$AU73,"")</f>
        <v/>
      </c>
      <c r="AJ95" s="33" t="str">
        <f>IF(Расчёты!$E73=1,Расчёты!$BF73,"")</f>
        <v/>
      </c>
      <c r="AK95" s="33" t="str">
        <f>IF(Расчёты!$E73=1,Расчёты!$BG73,"")</f>
        <v/>
      </c>
      <c r="AM95" s="17" t="str">
        <f t="shared" si="14"/>
        <v/>
      </c>
      <c r="AN95" s="35" t="str">
        <f t="shared" si="15"/>
        <v/>
      </c>
      <c r="AP95" s="17" t="str">
        <f t="shared" si="16"/>
        <v/>
      </c>
      <c r="AQ95" s="35" t="str">
        <f t="shared" si="17"/>
        <v/>
      </c>
      <c r="AV95" s="17" t="str">
        <f t="shared" si="18"/>
        <v/>
      </c>
      <c r="AW95" s="35" t="str">
        <f t="shared" si="19"/>
        <v/>
      </c>
      <c r="AX95" s="35" t="str">
        <f t="shared" si="20"/>
        <v/>
      </c>
    </row>
    <row r="96" spans="1:50" x14ac:dyDescent="0.2">
      <c r="A96" s="18" t="str">
        <f>IF(Расчёты!$E74=1,Расчёты!$B74,"")</f>
        <v/>
      </c>
      <c r="B96" s="34" t="str">
        <f>IF(Расчёты!$E74=1,Расчёты!$D74,"")</f>
        <v/>
      </c>
      <c r="C96" s="33" t="str">
        <f>IF(Расчёты!$E74=1,Расчёты!$Z74,"")</f>
        <v/>
      </c>
      <c r="D96" s="33" t="str">
        <f>IF(Расчёты!$E74=1,Расчёты!$AA74,"")</f>
        <v/>
      </c>
      <c r="E96" s="33" t="str">
        <f>IF(Расчёты!$E74=1,Расчёты!$AB74,"")</f>
        <v/>
      </c>
      <c r="F96" s="33" t="str">
        <f>IF(Расчёты!$E74=1,Расчёты!$AC74,"")</f>
        <v/>
      </c>
      <c r="G96" s="33" t="str">
        <f>IF(Расчёты!$E74=1,Расчёты!$AD74,"")</f>
        <v/>
      </c>
      <c r="H96" s="33" t="str">
        <f>IF(Расчёты!$E74=1,Расчёты!$AI74,"")</f>
        <v/>
      </c>
      <c r="I96" s="33" t="str">
        <f>IF(Расчёты!$E74=1,Расчёты!$AG74,"")</f>
        <v/>
      </c>
      <c r="J96" s="33" t="str">
        <f>IF(Расчёты!$E74=1,Расчёты!$AJ74,"")</f>
        <v/>
      </c>
      <c r="K96" s="33" t="str">
        <f>IF(Расчёты!$E74=1,Расчёты!$AK74,"")</f>
        <v/>
      </c>
      <c r="L96" s="33" t="str">
        <f>IF(Расчёты!$E74=1,Расчёты!$I74,"")</f>
        <v/>
      </c>
      <c r="M96" s="33" t="str">
        <f>IF(Расчёты!$E74=1,Расчёты!$J74,"")</f>
        <v/>
      </c>
      <c r="N96" s="33" t="str">
        <f>IF(Расчёты!$E74=1,Расчёты!$K74,"")</f>
        <v/>
      </c>
      <c r="O96" s="33" t="str">
        <f>IF(Расчёты!$E74=1,Расчёты!$L74,"")</f>
        <v/>
      </c>
      <c r="P96" s="33" t="str">
        <f>IF(Расчёты!$E74=1,Расчёты!$M74,"")</f>
        <v/>
      </c>
      <c r="Q96" s="33" t="str">
        <f>IF(Расчёты!$E74=1,Расчёты!$N74,"")</f>
        <v/>
      </c>
      <c r="R96" s="33" t="str">
        <f>IF(Расчёты!$E74=1,Расчёты!$O74,"")</f>
        <v/>
      </c>
      <c r="S96" s="33" t="str">
        <f>IF(Расчёты!$E74=1,Расчёты!$Q74,"")</f>
        <v/>
      </c>
      <c r="T96" s="33" t="str">
        <f>IF(Расчёты!$E74=1,Расчёты!$S74,"")</f>
        <v/>
      </c>
      <c r="U96" s="33" t="str">
        <f>IF(Расчёты!$E74=1,Расчёты!$U74,"")</f>
        <v/>
      </c>
      <c r="V96" s="33" t="str">
        <f>IF(Расчёты!$E74=1,Расчёты!$W74,"")</f>
        <v/>
      </c>
      <c r="W96" s="33" t="str">
        <f>IF(Расчёты!$E74=1,Расчёты!$X74,"")</f>
        <v/>
      </c>
      <c r="X96" s="33" t="str">
        <f>IF(Расчёты!$E74=1,Расчёты!$Y74,"")</f>
        <v/>
      </c>
      <c r="Y96" s="33" t="str">
        <f>IF(Расчёты!$E74=1,Расчёты!$AL74,"")</f>
        <v/>
      </c>
      <c r="Z96" s="33" t="str">
        <f>IF(Расчёты!$E74=1,Расчёты!$AP74,"")</f>
        <v/>
      </c>
      <c r="AA96" s="33" t="str">
        <f>IF(Расчёты!$E74=1,Расчёты!$AS74,"")</f>
        <v/>
      </c>
      <c r="AB96" s="33" t="str">
        <f>IF(Расчёты!$E74=1,Расчёты!$AV74,"")</f>
        <v/>
      </c>
      <c r="AC96" s="33" t="str">
        <f>IF(Расчёты!$E74=1,Расчёты!$AW74,"")</f>
        <v/>
      </c>
      <c r="AD96" s="33" t="str">
        <f>IF(Расчёты!$E74=1,Расчёты!$AX74,"")</f>
        <v/>
      </c>
      <c r="AE96" s="33" t="str">
        <f>IF(Расчёты!$E74=1,Расчёты!$AY74,"")</f>
        <v/>
      </c>
      <c r="AF96" s="33" t="str">
        <f>IF(Расчёты!$E74=1,Расчёты!$BA74,"")</f>
        <v/>
      </c>
      <c r="AG96" s="33" t="str">
        <f>IF(Расчёты!$E74=1,Расчёты!$BB74,"")</f>
        <v/>
      </c>
      <c r="AH96" s="33" t="str">
        <f>IF(Расчёты!$E74=1,Расчёты!$BC74,"")</f>
        <v/>
      </c>
      <c r="AI96" s="33" t="str">
        <f>IF(Расчёты!$E74=1,Расчёты!$AU74,"")</f>
        <v/>
      </c>
      <c r="AJ96" s="33" t="str">
        <f>IF(Расчёты!$E74=1,Расчёты!$BF74,"")</f>
        <v/>
      </c>
      <c r="AK96" s="33" t="str">
        <f>IF(Расчёты!$E74=1,Расчёты!$BG74,"")</f>
        <v/>
      </c>
      <c r="AM96" s="17" t="str">
        <f t="shared" si="14"/>
        <v/>
      </c>
      <c r="AN96" s="35" t="str">
        <f t="shared" si="15"/>
        <v/>
      </c>
      <c r="AP96" s="17" t="str">
        <f t="shared" si="16"/>
        <v/>
      </c>
      <c r="AQ96" s="35" t="str">
        <f t="shared" si="17"/>
        <v/>
      </c>
      <c r="AV96" s="17" t="str">
        <f t="shared" si="18"/>
        <v/>
      </c>
      <c r="AW96" s="35" t="str">
        <f t="shared" si="19"/>
        <v/>
      </c>
      <c r="AX96" s="35" t="str">
        <f t="shared" si="20"/>
        <v/>
      </c>
    </row>
    <row r="97" spans="1:50" x14ac:dyDescent="0.2">
      <c r="A97" s="18" t="str">
        <f>IF(Расчёты!$E75=1,Расчёты!$B75,"")</f>
        <v/>
      </c>
      <c r="B97" s="34" t="str">
        <f>IF(Расчёты!$E75=1,Расчёты!$D75,"")</f>
        <v/>
      </c>
      <c r="C97" s="33" t="str">
        <f>IF(Расчёты!$E75=1,Расчёты!$Z75,"")</f>
        <v/>
      </c>
      <c r="D97" s="33" t="str">
        <f>IF(Расчёты!$E75=1,Расчёты!$AA75,"")</f>
        <v/>
      </c>
      <c r="E97" s="33" t="str">
        <f>IF(Расчёты!$E75=1,Расчёты!$AB75,"")</f>
        <v/>
      </c>
      <c r="F97" s="33" t="str">
        <f>IF(Расчёты!$E75=1,Расчёты!$AC75,"")</f>
        <v/>
      </c>
      <c r="G97" s="33" t="str">
        <f>IF(Расчёты!$E75=1,Расчёты!$AD75,"")</f>
        <v/>
      </c>
      <c r="H97" s="33" t="str">
        <f>IF(Расчёты!$E75=1,Расчёты!$AI75,"")</f>
        <v/>
      </c>
      <c r="I97" s="33" t="str">
        <f>IF(Расчёты!$E75=1,Расчёты!$AG75,"")</f>
        <v/>
      </c>
      <c r="J97" s="33" t="str">
        <f>IF(Расчёты!$E75=1,Расчёты!$AJ75,"")</f>
        <v/>
      </c>
      <c r="K97" s="33" t="str">
        <f>IF(Расчёты!$E75=1,Расчёты!$AK75,"")</f>
        <v/>
      </c>
      <c r="L97" s="33" t="str">
        <f>IF(Расчёты!$E75=1,Расчёты!$I75,"")</f>
        <v/>
      </c>
      <c r="M97" s="33" t="str">
        <f>IF(Расчёты!$E75=1,Расчёты!$J75,"")</f>
        <v/>
      </c>
      <c r="N97" s="33" t="str">
        <f>IF(Расчёты!$E75=1,Расчёты!$K75,"")</f>
        <v/>
      </c>
      <c r="O97" s="33" t="str">
        <f>IF(Расчёты!$E75=1,Расчёты!$L75,"")</f>
        <v/>
      </c>
      <c r="P97" s="33" t="str">
        <f>IF(Расчёты!$E75=1,Расчёты!$M75,"")</f>
        <v/>
      </c>
      <c r="Q97" s="33" t="str">
        <f>IF(Расчёты!$E75=1,Расчёты!$N75,"")</f>
        <v/>
      </c>
      <c r="R97" s="33" t="str">
        <f>IF(Расчёты!$E75=1,Расчёты!$O75,"")</f>
        <v/>
      </c>
      <c r="S97" s="33" t="str">
        <f>IF(Расчёты!$E75=1,Расчёты!$Q75,"")</f>
        <v/>
      </c>
      <c r="T97" s="33" t="str">
        <f>IF(Расчёты!$E75=1,Расчёты!$S75,"")</f>
        <v/>
      </c>
      <c r="U97" s="33" t="str">
        <f>IF(Расчёты!$E75=1,Расчёты!$U75,"")</f>
        <v/>
      </c>
      <c r="V97" s="33" t="str">
        <f>IF(Расчёты!$E75=1,Расчёты!$W75,"")</f>
        <v/>
      </c>
      <c r="W97" s="33" t="str">
        <f>IF(Расчёты!$E75=1,Расчёты!$X75,"")</f>
        <v/>
      </c>
      <c r="X97" s="33" t="str">
        <f>IF(Расчёты!$E75=1,Расчёты!$Y75,"")</f>
        <v/>
      </c>
      <c r="Y97" s="33" t="str">
        <f>IF(Расчёты!$E75=1,Расчёты!$AL75,"")</f>
        <v/>
      </c>
      <c r="Z97" s="33" t="str">
        <f>IF(Расчёты!$E75=1,Расчёты!$AP75,"")</f>
        <v/>
      </c>
      <c r="AA97" s="33" t="str">
        <f>IF(Расчёты!$E75=1,Расчёты!$AS75,"")</f>
        <v/>
      </c>
      <c r="AB97" s="33" t="str">
        <f>IF(Расчёты!$E75=1,Расчёты!$AV75,"")</f>
        <v/>
      </c>
      <c r="AC97" s="33" t="str">
        <f>IF(Расчёты!$E75=1,Расчёты!$AW75,"")</f>
        <v/>
      </c>
      <c r="AD97" s="33" t="str">
        <f>IF(Расчёты!$E75=1,Расчёты!$AX75,"")</f>
        <v/>
      </c>
      <c r="AE97" s="33" t="str">
        <f>IF(Расчёты!$E75=1,Расчёты!$AY75,"")</f>
        <v/>
      </c>
      <c r="AF97" s="33" t="str">
        <f>IF(Расчёты!$E75=1,Расчёты!$BA75,"")</f>
        <v/>
      </c>
      <c r="AG97" s="33" t="str">
        <f>IF(Расчёты!$E75=1,Расчёты!$BB75,"")</f>
        <v/>
      </c>
      <c r="AH97" s="33" t="str">
        <f>IF(Расчёты!$E75=1,Расчёты!$BC75,"")</f>
        <v/>
      </c>
      <c r="AI97" s="33" t="str">
        <f>IF(Расчёты!$E75=1,Расчёты!$AU75,"")</f>
        <v/>
      </c>
      <c r="AJ97" s="33" t="str">
        <f>IF(Расчёты!$E75=1,Расчёты!$BF75,"")</f>
        <v/>
      </c>
      <c r="AK97" s="33" t="str">
        <f>IF(Расчёты!$E75=1,Расчёты!$BG75,"")</f>
        <v/>
      </c>
      <c r="AM97" s="17" t="str">
        <f t="shared" si="14"/>
        <v/>
      </c>
      <c r="AN97" s="35" t="str">
        <f t="shared" si="15"/>
        <v/>
      </c>
      <c r="AP97" s="17" t="str">
        <f t="shared" si="16"/>
        <v/>
      </c>
      <c r="AQ97" s="35" t="str">
        <f t="shared" si="17"/>
        <v/>
      </c>
      <c r="AV97" s="17" t="str">
        <f t="shared" si="18"/>
        <v/>
      </c>
      <c r="AW97" s="35" t="str">
        <f t="shared" si="19"/>
        <v/>
      </c>
      <c r="AX97" s="35" t="str">
        <f t="shared" si="20"/>
        <v/>
      </c>
    </row>
    <row r="98" spans="1:50" x14ac:dyDescent="0.2">
      <c r="A98" s="18" t="str">
        <f>IF(Расчёты!$E76=1,Расчёты!$B76,"")</f>
        <v/>
      </c>
      <c r="B98" s="34" t="str">
        <f>IF(Расчёты!$E76=1,Расчёты!$D76,"")</f>
        <v/>
      </c>
      <c r="C98" s="33" t="str">
        <f>IF(Расчёты!$E76=1,Расчёты!$Z76,"")</f>
        <v/>
      </c>
      <c r="D98" s="33" t="str">
        <f>IF(Расчёты!$E76=1,Расчёты!$AA76,"")</f>
        <v/>
      </c>
      <c r="E98" s="33" t="str">
        <f>IF(Расчёты!$E76=1,Расчёты!$AB76,"")</f>
        <v/>
      </c>
      <c r="F98" s="33" t="str">
        <f>IF(Расчёты!$E76=1,Расчёты!$AC76,"")</f>
        <v/>
      </c>
      <c r="G98" s="33" t="str">
        <f>IF(Расчёты!$E76=1,Расчёты!$AD76,"")</f>
        <v/>
      </c>
      <c r="H98" s="33" t="str">
        <f>IF(Расчёты!$E76=1,Расчёты!$AI76,"")</f>
        <v/>
      </c>
      <c r="I98" s="33" t="str">
        <f>IF(Расчёты!$E76=1,Расчёты!$AG76,"")</f>
        <v/>
      </c>
      <c r="J98" s="33" t="str">
        <f>IF(Расчёты!$E76=1,Расчёты!$AJ76,"")</f>
        <v/>
      </c>
      <c r="K98" s="33" t="str">
        <f>IF(Расчёты!$E76=1,Расчёты!$AK76,"")</f>
        <v/>
      </c>
      <c r="L98" s="33" t="str">
        <f>IF(Расчёты!$E76=1,Расчёты!$I76,"")</f>
        <v/>
      </c>
      <c r="M98" s="33" t="str">
        <f>IF(Расчёты!$E76=1,Расчёты!$J76,"")</f>
        <v/>
      </c>
      <c r="N98" s="33" t="str">
        <f>IF(Расчёты!$E76=1,Расчёты!$K76,"")</f>
        <v/>
      </c>
      <c r="O98" s="33" t="str">
        <f>IF(Расчёты!$E76=1,Расчёты!$L76,"")</f>
        <v/>
      </c>
      <c r="P98" s="33" t="str">
        <f>IF(Расчёты!$E76=1,Расчёты!$M76,"")</f>
        <v/>
      </c>
      <c r="Q98" s="33" t="str">
        <f>IF(Расчёты!$E76=1,Расчёты!$N76,"")</f>
        <v/>
      </c>
      <c r="R98" s="33" t="str">
        <f>IF(Расчёты!$E76=1,Расчёты!$O76,"")</f>
        <v/>
      </c>
      <c r="S98" s="33" t="str">
        <f>IF(Расчёты!$E76=1,Расчёты!$Q76,"")</f>
        <v/>
      </c>
      <c r="T98" s="33" t="str">
        <f>IF(Расчёты!$E76=1,Расчёты!$S76,"")</f>
        <v/>
      </c>
      <c r="U98" s="33" t="str">
        <f>IF(Расчёты!$E76=1,Расчёты!$U76,"")</f>
        <v/>
      </c>
      <c r="V98" s="33" t="str">
        <f>IF(Расчёты!$E76=1,Расчёты!$W76,"")</f>
        <v/>
      </c>
      <c r="W98" s="33" t="str">
        <f>IF(Расчёты!$E76=1,Расчёты!$X76,"")</f>
        <v/>
      </c>
      <c r="X98" s="33" t="str">
        <f>IF(Расчёты!$E76=1,Расчёты!$Y76,"")</f>
        <v/>
      </c>
      <c r="Y98" s="33" t="str">
        <f>IF(Расчёты!$E76=1,Расчёты!$AL76,"")</f>
        <v/>
      </c>
      <c r="Z98" s="33" t="str">
        <f>IF(Расчёты!$E76=1,Расчёты!$AP76,"")</f>
        <v/>
      </c>
      <c r="AA98" s="33" t="str">
        <f>IF(Расчёты!$E76=1,Расчёты!$AS76,"")</f>
        <v/>
      </c>
      <c r="AB98" s="33" t="str">
        <f>IF(Расчёты!$E76=1,Расчёты!$AV76,"")</f>
        <v/>
      </c>
      <c r="AC98" s="33" t="str">
        <f>IF(Расчёты!$E76=1,Расчёты!$AW76,"")</f>
        <v/>
      </c>
      <c r="AD98" s="33" t="str">
        <f>IF(Расчёты!$E76=1,Расчёты!$AX76,"")</f>
        <v/>
      </c>
      <c r="AE98" s="33" t="str">
        <f>IF(Расчёты!$E76=1,Расчёты!$AY76,"")</f>
        <v/>
      </c>
      <c r="AF98" s="33" t="str">
        <f>IF(Расчёты!$E76=1,Расчёты!$BA76,"")</f>
        <v/>
      </c>
      <c r="AG98" s="33" t="str">
        <f>IF(Расчёты!$E76=1,Расчёты!$BB76,"")</f>
        <v/>
      </c>
      <c r="AH98" s="33" t="str">
        <f>IF(Расчёты!$E76=1,Расчёты!$BC76,"")</f>
        <v/>
      </c>
      <c r="AI98" s="33" t="str">
        <f>IF(Расчёты!$E76=1,Расчёты!$AU76,"")</f>
        <v/>
      </c>
      <c r="AJ98" s="33" t="str">
        <f>IF(Расчёты!$E76=1,Расчёты!$BF76,"")</f>
        <v/>
      </c>
      <c r="AK98" s="33" t="str">
        <f>IF(Расчёты!$E76=1,Расчёты!$BG76,"")</f>
        <v/>
      </c>
      <c r="AM98" s="17" t="str">
        <f t="shared" si="14"/>
        <v/>
      </c>
      <c r="AN98" s="35" t="str">
        <f t="shared" si="15"/>
        <v/>
      </c>
      <c r="AP98" s="17" t="str">
        <f t="shared" si="16"/>
        <v/>
      </c>
      <c r="AQ98" s="35" t="str">
        <f t="shared" si="17"/>
        <v/>
      </c>
      <c r="AV98" s="17" t="str">
        <f t="shared" si="18"/>
        <v/>
      </c>
      <c r="AW98" s="35" t="str">
        <f t="shared" si="19"/>
        <v/>
      </c>
      <c r="AX98" s="35" t="str">
        <f t="shared" si="20"/>
        <v/>
      </c>
    </row>
    <row r="99" spans="1:50" x14ac:dyDescent="0.2">
      <c r="A99" s="18" t="str">
        <f>IF(Расчёты!$E77=1,Расчёты!$B77,"")</f>
        <v/>
      </c>
      <c r="B99" s="34" t="str">
        <f>IF(Расчёты!$E77=1,Расчёты!$D77,"")</f>
        <v/>
      </c>
      <c r="C99" s="33" t="str">
        <f>IF(Расчёты!$E77=1,Расчёты!$Z77,"")</f>
        <v/>
      </c>
      <c r="D99" s="33" t="str">
        <f>IF(Расчёты!$E77=1,Расчёты!$AA77,"")</f>
        <v/>
      </c>
      <c r="E99" s="33" t="str">
        <f>IF(Расчёты!$E77=1,Расчёты!$AB77,"")</f>
        <v/>
      </c>
      <c r="F99" s="33" t="str">
        <f>IF(Расчёты!$E77=1,Расчёты!$AC77,"")</f>
        <v/>
      </c>
      <c r="G99" s="33" t="str">
        <f>IF(Расчёты!$E77=1,Расчёты!$AD77,"")</f>
        <v/>
      </c>
      <c r="H99" s="33" t="str">
        <f>IF(Расчёты!$E77=1,Расчёты!$AI77,"")</f>
        <v/>
      </c>
      <c r="I99" s="33" t="str">
        <f>IF(Расчёты!$E77=1,Расчёты!$AG77,"")</f>
        <v/>
      </c>
      <c r="J99" s="33" t="str">
        <f>IF(Расчёты!$E77=1,Расчёты!$AJ77,"")</f>
        <v/>
      </c>
      <c r="K99" s="33" t="str">
        <f>IF(Расчёты!$E77=1,Расчёты!$AK77,"")</f>
        <v/>
      </c>
      <c r="L99" s="33" t="str">
        <f>IF(Расчёты!$E77=1,Расчёты!$I77,"")</f>
        <v/>
      </c>
      <c r="M99" s="33" t="str">
        <f>IF(Расчёты!$E77=1,Расчёты!$J77,"")</f>
        <v/>
      </c>
      <c r="N99" s="33" t="str">
        <f>IF(Расчёты!$E77=1,Расчёты!$K77,"")</f>
        <v/>
      </c>
      <c r="O99" s="33" t="str">
        <f>IF(Расчёты!$E77=1,Расчёты!$L77,"")</f>
        <v/>
      </c>
      <c r="P99" s="33" t="str">
        <f>IF(Расчёты!$E77=1,Расчёты!$M77,"")</f>
        <v/>
      </c>
      <c r="Q99" s="33" t="str">
        <f>IF(Расчёты!$E77=1,Расчёты!$N77,"")</f>
        <v/>
      </c>
      <c r="R99" s="33" t="str">
        <f>IF(Расчёты!$E77=1,Расчёты!$O77,"")</f>
        <v/>
      </c>
      <c r="S99" s="33" t="str">
        <f>IF(Расчёты!$E77=1,Расчёты!$Q77,"")</f>
        <v/>
      </c>
      <c r="T99" s="33" t="str">
        <f>IF(Расчёты!$E77=1,Расчёты!$S77,"")</f>
        <v/>
      </c>
      <c r="U99" s="33" t="str">
        <f>IF(Расчёты!$E77=1,Расчёты!$U77,"")</f>
        <v/>
      </c>
      <c r="V99" s="33" t="str">
        <f>IF(Расчёты!$E77=1,Расчёты!$W77,"")</f>
        <v/>
      </c>
      <c r="W99" s="33" t="str">
        <f>IF(Расчёты!$E77=1,Расчёты!$X77,"")</f>
        <v/>
      </c>
      <c r="X99" s="33" t="str">
        <f>IF(Расчёты!$E77=1,Расчёты!$Y77,"")</f>
        <v/>
      </c>
      <c r="Y99" s="33" t="str">
        <f>IF(Расчёты!$E77=1,Расчёты!$AL77,"")</f>
        <v/>
      </c>
      <c r="Z99" s="33" t="str">
        <f>IF(Расчёты!$E77=1,Расчёты!$AP77,"")</f>
        <v/>
      </c>
      <c r="AA99" s="33" t="str">
        <f>IF(Расчёты!$E77=1,Расчёты!$AS77,"")</f>
        <v/>
      </c>
      <c r="AB99" s="33" t="str">
        <f>IF(Расчёты!$E77=1,Расчёты!$AV77,"")</f>
        <v/>
      </c>
      <c r="AC99" s="33" t="str">
        <f>IF(Расчёты!$E77=1,Расчёты!$AW77,"")</f>
        <v/>
      </c>
      <c r="AD99" s="33" t="str">
        <f>IF(Расчёты!$E77=1,Расчёты!$AX77,"")</f>
        <v/>
      </c>
      <c r="AE99" s="33" t="str">
        <f>IF(Расчёты!$E77=1,Расчёты!$AY77,"")</f>
        <v/>
      </c>
      <c r="AF99" s="33" t="str">
        <f>IF(Расчёты!$E77=1,Расчёты!$BA77,"")</f>
        <v/>
      </c>
      <c r="AG99" s="33" t="str">
        <f>IF(Расчёты!$E77=1,Расчёты!$BB77,"")</f>
        <v/>
      </c>
      <c r="AH99" s="33" t="str">
        <f>IF(Расчёты!$E77=1,Расчёты!$BC77,"")</f>
        <v/>
      </c>
      <c r="AI99" s="33" t="str">
        <f>IF(Расчёты!$E77=1,Расчёты!$AU77,"")</f>
        <v/>
      </c>
      <c r="AJ99" s="33" t="str">
        <f>IF(Расчёты!$E77=1,Расчёты!$BF77,"")</f>
        <v/>
      </c>
      <c r="AK99" s="33" t="str">
        <f>IF(Расчёты!$E77=1,Расчёты!$BG77,"")</f>
        <v/>
      </c>
      <c r="AM99" s="17" t="str">
        <f t="shared" si="14"/>
        <v/>
      </c>
      <c r="AN99" s="35" t="str">
        <f t="shared" si="15"/>
        <v/>
      </c>
      <c r="AP99" s="17" t="str">
        <f t="shared" si="16"/>
        <v/>
      </c>
      <c r="AQ99" s="35" t="str">
        <f t="shared" si="17"/>
        <v/>
      </c>
      <c r="AV99" s="17" t="str">
        <f t="shared" si="18"/>
        <v/>
      </c>
      <c r="AW99" s="35" t="str">
        <f t="shared" si="19"/>
        <v/>
      </c>
      <c r="AX99" s="35" t="str">
        <f t="shared" si="20"/>
        <v/>
      </c>
    </row>
    <row r="100" spans="1:50" x14ac:dyDescent="0.2">
      <c r="A100" s="18" t="str">
        <f>IF(Расчёты!$E78=1,Расчёты!$B78,"")</f>
        <v/>
      </c>
      <c r="B100" s="34" t="str">
        <f>IF(Расчёты!$E78=1,Расчёты!$D78,"")</f>
        <v/>
      </c>
      <c r="C100" s="33" t="str">
        <f>IF(Расчёты!$E78=1,Расчёты!$Z78,"")</f>
        <v/>
      </c>
      <c r="D100" s="33" t="str">
        <f>IF(Расчёты!$E78=1,Расчёты!$AA78,"")</f>
        <v/>
      </c>
      <c r="E100" s="33" t="str">
        <f>IF(Расчёты!$E78=1,Расчёты!$AB78,"")</f>
        <v/>
      </c>
      <c r="F100" s="33" t="str">
        <f>IF(Расчёты!$E78=1,Расчёты!$AC78,"")</f>
        <v/>
      </c>
      <c r="G100" s="33" t="str">
        <f>IF(Расчёты!$E78=1,Расчёты!$AD78,"")</f>
        <v/>
      </c>
      <c r="H100" s="33" t="str">
        <f>IF(Расчёты!$E78=1,Расчёты!$AI78,"")</f>
        <v/>
      </c>
      <c r="I100" s="33" t="str">
        <f>IF(Расчёты!$E78=1,Расчёты!$AG78,"")</f>
        <v/>
      </c>
      <c r="J100" s="33" t="str">
        <f>IF(Расчёты!$E78=1,Расчёты!$AJ78,"")</f>
        <v/>
      </c>
      <c r="K100" s="33" t="str">
        <f>IF(Расчёты!$E78=1,Расчёты!$AK78,"")</f>
        <v/>
      </c>
      <c r="L100" s="33" t="str">
        <f>IF(Расчёты!$E78=1,Расчёты!$I78,"")</f>
        <v/>
      </c>
      <c r="M100" s="33" t="str">
        <f>IF(Расчёты!$E78=1,Расчёты!$J78,"")</f>
        <v/>
      </c>
      <c r="N100" s="33" t="str">
        <f>IF(Расчёты!$E78=1,Расчёты!$K78,"")</f>
        <v/>
      </c>
      <c r="O100" s="33" t="str">
        <f>IF(Расчёты!$E78=1,Расчёты!$L78,"")</f>
        <v/>
      </c>
      <c r="P100" s="33" t="str">
        <f>IF(Расчёты!$E78=1,Расчёты!$M78,"")</f>
        <v/>
      </c>
      <c r="Q100" s="33" t="str">
        <f>IF(Расчёты!$E78=1,Расчёты!$N78,"")</f>
        <v/>
      </c>
      <c r="R100" s="33" t="str">
        <f>IF(Расчёты!$E78=1,Расчёты!$O78,"")</f>
        <v/>
      </c>
      <c r="S100" s="33" t="str">
        <f>IF(Расчёты!$E78=1,Расчёты!$Q78,"")</f>
        <v/>
      </c>
      <c r="T100" s="33" t="str">
        <f>IF(Расчёты!$E78=1,Расчёты!$S78,"")</f>
        <v/>
      </c>
      <c r="U100" s="33" t="str">
        <f>IF(Расчёты!$E78=1,Расчёты!$U78,"")</f>
        <v/>
      </c>
      <c r="V100" s="33" t="str">
        <f>IF(Расчёты!$E78=1,Расчёты!$W78,"")</f>
        <v/>
      </c>
      <c r="W100" s="33" t="str">
        <f>IF(Расчёты!$E78=1,Расчёты!$X78,"")</f>
        <v/>
      </c>
      <c r="X100" s="33" t="str">
        <f>IF(Расчёты!$E78=1,Расчёты!$Y78,"")</f>
        <v/>
      </c>
      <c r="Y100" s="33" t="str">
        <f>IF(Расчёты!$E78=1,Расчёты!$AL78,"")</f>
        <v/>
      </c>
      <c r="Z100" s="33" t="str">
        <f>IF(Расчёты!$E78=1,Расчёты!$AP78,"")</f>
        <v/>
      </c>
      <c r="AA100" s="33" t="str">
        <f>IF(Расчёты!$E78=1,Расчёты!$AS78,"")</f>
        <v/>
      </c>
      <c r="AB100" s="33" t="str">
        <f>IF(Расчёты!$E78=1,Расчёты!$AV78,"")</f>
        <v/>
      </c>
      <c r="AC100" s="33" t="str">
        <f>IF(Расчёты!$E78=1,Расчёты!$AW78,"")</f>
        <v/>
      </c>
      <c r="AD100" s="33" t="str">
        <f>IF(Расчёты!$E78=1,Расчёты!$AX78,"")</f>
        <v/>
      </c>
      <c r="AE100" s="33" t="str">
        <f>IF(Расчёты!$E78=1,Расчёты!$AY78,"")</f>
        <v/>
      </c>
      <c r="AF100" s="33" t="str">
        <f>IF(Расчёты!$E78=1,Расчёты!$BA78,"")</f>
        <v/>
      </c>
      <c r="AG100" s="33" t="str">
        <f>IF(Расчёты!$E78=1,Расчёты!$BB78,"")</f>
        <v/>
      </c>
      <c r="AH100" s="33" t="str">
        <f>IF(Расчёты!$E78=1,Расчёты!$BC78,"")</f>
        <v/>
      </c>
      <c r="AI100" s="33" t="str">
        <f>IF(Расчёты!$E78=1,Расчёты!$AU78,"")</f>
        <v/>
      </c>
      <c r="AJ100" s="33" t="str">
        <f>IF(Расчёты!$E78=1,Расчёты!$BF78,"")</f>
        <v/>
      </c>
      <c r="AK100" s="33" t="str">
        <f>IF(Расчёты!$E78=1,Расчёты!$BG78,"")</f>
        <v/>
      </c>
      <c r="AM100" s="17" t="str">
        <f t="shared" si="14"/>
        <v/>
      </c>
      <c r="AN100" s="35" t="str">
        <f t="shared" si="15"/>
        <v/>
      </c>
      <c r="AP100" s="17" t="str">
        <f t="shared" si="16"/>
        <v/>
      </c>
      <c r="AQ100" s="35" t="str">
        <f t="shared" si="17"/>
        <v/>
      </c>
      <c r="AV100" s="17" t="str">
        <f t="shared" si="18"/>
        <v/>
      </c>
      <c r="AW100" s="35" t="str">
        <f t="shared" si="19"/>
        <v/>
      </c>
      <c r="AX100" s="35" t="str">
        <f t="shared" si="20"/>
        <v/>
      </c>
    </row>
    <row r="101" spans="1:50" x14ac:dyDescent="0.2">
      <c r="A101" s="18" t="str">
        <f>IF(Расчёты!$E79=1,Расчёты!$B79,"")</f>
        <v/>
      </c>
      <c r="B101" s="34" t="str">
        <f>IF(Расчёты!$E79=1,Расчёты!$D79,"")</f>
        <v/>
      </c>
      <c r="C101" s="33" t="str">
        <f>IF(Расчёты!$E79=1,Расчёты!$Z79,"")</f>
        <v/>
      </c>
      <c r="D101" s="33" t="str">
        <f>IF(Расчёты!$E79=1,Расчёты!$AA79,"")</f>
        <v/>
      </c>
      <c r="E101" s="33" t="str">
        <f>IF(Расчёты!$E79=1,Расчёты!$AB79,"")</f>
        <v/>
      </c>
      <c r="F101" s="33" t="str">
        <f>IF(Расчёты!$E79=1,Расчёты!$AC79,"")</f>
        <v/>
      </c>
      <c r="G101" s="33" t="str">
        <f>IF(Расчёты!$E79=1,Расчёты!$AD79,"")</f>
        <v/>
      </c>
      <c r="H101" s="33" t="str">
        <f>IF(Расчёты!$E79=1,Расчёты!$AI79,"")</f>
        <v/>
      </c>
      <c r="I101" s="33" t="str">
        <f>IF(Расчёты!$E79=1,Расчёты!$AG79,"")</f>
        <v/>
      </c>
      <c r="J101" s="33" t="str">
        <f>IF(Расчёты!$E79=1,Расчёты!$AJ79,"")</f>
        <v/>
      </c>
      <c r="K101" s="33" t="str">
        <f>IF(Расчёты!$E79=1,Расчёты!$AK79,"")</f>
        <v/>
      </c>
      <c r="L101" s="33" t="str">
        <f>IF(Расчёты!$E79=1,Расчёты!$I79,"")</f>
        <v/>
      </c>
      <c r="M101" s="33" t="str">
        <f>IF(Расчёты!$E79=1,Расчёты!$J79,"")</f>
        <v/>
      </c>
      <c r="N101" s="33" t="str">
        <f>IF(Расчёты!$E79=1,Расчёты!$K79,"")</f>
        <v/>
      </c>
      <c r="O101" s="33" t="str">
        <f>IF(Расчёты!$E79=1,Расчёты!$L79,"")</f>
        <v/>
      </c>
      <c r="P101" s="33" t="str">
        <f>IF(Расчёты!$E79=1,Расчёты!$M79,"")</f>
        <v/>
      </c>
      <c r="Q101" s="33" t="str">
        <f>IF(Расчёты!$E79=1,Расчёты!$N79,"")</f>
        <v/>
      </c>
      <c r="R101" s="33" t="str">
        <f>IF(Расчёты!$E79=1,Расчёты!$O79,"")</f>
        <v/>
      </c>
      <c r="S101" s="33" t="str">
        <f>IF(Расчёты!$E79=1,Расчёты!$Q79,"")</f>
        <v/>
      </c>
      <c r="T101" s="33" t="str">
        <f>IF(Расчёты!$E79=1,Расчёты!$S79,"")</f>
        <v/>
      </c>
      <c r="U101" s="33" t="str">
        <f>IF(Расчёты!$E79=1,Расчёты!$U79,"")</f>
        <v/>
      </c>
      <c r="V101" s="33" t="str">
        <f>IF(Расчёты!$E79=1,Расчёты!$W79,"")</f>
        <v/>
      </c>
      <c r="W101" s="33" t="str">
        <f>IF(Расчёты!$E79=1,Расчёты!$X79,"")</f>
        <v/>
      </c>
      <c r="X101" s="33" t="str">
        <f>IF(Расчёты!$E79=1,Расчёты!$Y79,"")</f>
        <v/>
      </c>
      <c r="Y101" s="33" t="str">
        <f>IF(Расчёты!$E79=1,Расчёты!$AL79,"")</f>
        <v/>
      </c>
      <c r="Z101" s="33" t="str">
        <f>IF(Расчёты!$E79=1,Расчёты!$AP79,"")</f>
        <v/>
      </c>
      <c r="AA101" s="33" t="str">
        <f>IF(Расчёты!$E79=1,Расчёты!$AS79,"")</f>
        <v/>
      </c>
      <c r="AB101" s="33" t="str">
        <f>IF(Расчёты!$E79=1,Расчёты!$AV79,"")</f>
        <v/>
      </c>
      <c r="AC101" s="33" t="str">
        <f>IF(Расчёты!$E79=1,Расчёты!$AW79,"")</f>
        <v/>
      </c>
      <c r="AD101" s="33" t="str">
        <f>IF(Расчёты!$E79=1,Расчёты!$AX79,"")</f>
        <v/>
      </c>
      <c r="AE101" s="33" t="str">
        <f>IF(Расчёты!$E79=1,Расчёты!$AY79,"")</f>
        <v/>
      </c>
      <c r="AF101" s="33" t="str">
        <f>IF(Расчёты!$E79=1,Расчёты!$BA79,"")</f>
        <v/>
      </c>
      <c r="AG101" s="33" t="str">
        <f>IF(Расчёты!$E79=1,Расчёты!$BB79,"")</f>
        <v/>
      </c>
      <c r="AH101" s="33" t="str">
        <f>IF(Расчёты!$E79=1,Расчёты!$BC79,"")</f>
        <v/>
      </c>
      <c r="AI101" s="33" t="str">
        <f>IF(Расчёты!$E79=1,Расчёты!$AU79,"")</f>
        <v/>
      </c>
      <c r="AJ101" s="33" t="str">
        <f>IF(Расчёты!$E79=1,Расчёты!$BF79,"")</f>
        <v/>
      </c>
      <c r="AK101" s="33" t="str">
        <f>IF(Расчёты!$E79=1,Расчёты!$BG79,"")</f>
        <v/>
      </c>
      <c r="AM101" s="17" t="str">
        <f t="shared" si="14"/>
        <v/>
      </c>
      <c r="AN101" s="35" t="str">
        <f t="shared" si="15"/>
        <v/>
      </c>
      <c r="AP101" s="17" t="str">
        <f t="shared" si="16"/>
        <v/>
      </c>
      <c r="AQ101" s="35" t="str">
        <f t="shared" si="17"/>
        <v/>
      </c>
      <c r="AV101" s="17" t="str">
        <f t="shared" si="18"/>
        <v/>
      </c>
      <c r="AW101" s="35" t="str">
        <f t="shared" si="19"/>
        <v/>
      </c>
      <c r="AX101" s="35" t="str">
        <f t="shared" si="20"/>
        <v/>
      </c>
    </row>
    <row r="102" spans="1:50" x14ac:dyDescent="0.2">
      <c r="A102" s="18" t="str">
        <f>IF(Расчёты!$E80=1,Расчёты!$B80,"")</f>
        <v/>
      </c>
      <c r="B102" s="34" t="str">
        <f>IF(Расчёты!$E80=1,Расчёты!$D80,"")</f>
        <v/>
      </c>
      <c r="C102" s="33" t="str">
        <f>IF(Расчёты!$E80=1,Расчёты!$Z80,"")</f>
        <v/>
      </c>
      <c r="D102" s="33" t="str">
        <f>IF(Расчёты!$E80=1,Расчёты!$AA80,"")</f>
        <v/>
      </c>
      <c r="E102" s="33" t="str">
        <f>IF(Расчёты!$E80=1,Расчёты!$AB80,"")</f>
        <v/>
      </c>
      <c r="F102" s="33" t="str">
        <f>IF(Расчёты!$E80=1,Расчёты!$AC80,"")</f>
        <v/>
      </c>
      <c r="G102" s="33" t="str">
        <f>IF(Расчёты!$E80=1,Расчёты!$AD80,"")</f>
        <v/>
      </c>
      <c r="H102" s="33" t="str">
        <f>IF(Расчёты!$E80=1,Расчёты!$AI80,"")</f>
        <v/>
      </c>
      <c r="I102" s="33" t="str">
        <f>IF(Расчёты!$E80=1,Расчёты!$AG80,"")</f>
        <v/>
      </c>
      <c r="J102" s="33" t="str">
        <f>IF(Расчёты!$E80=1,Расчёты!$AJ80,"")</f>
        <v/>
      </c>
      <c r="K102" s="33" t="str">
        <f>IF(Расчёты!$E80=1,Расчёты!$AK80,"")</f>
        <v/>
      </c>
      <c r="L102" s="33" t="str">
        <f>IF(Расчёты!$E80=1,Расчёты!$I80,"")</f>
        <v/>
      </c>
      <c r="M102" s="33" t="str">
        <f>IF(Расчёты!$E80=1,Расчёты!$J80,"")</f>
        <v/>
      </c>
      <c r="N102" s="33" t="str">
        <f>IF(Расчёты!$E80=1,Расчёты!$K80,"")</f>
        <v/>
      </c>
      <c r="O102" s="33" t="str">
        <f>IF(Расчёты!$E80=1,Расчёты!$L80,"")</f>
        <v/>
      </c>
      <c r="P102" s="33" t="str">
        <f>IF(Расчёты!$E80=1,Расчёты!$M80,"")</f>
        <v/>
      </c>
      <c r="Q102" s="33" t="str">
        <f>IF(Расчёты!$E80=1,Расчёты!$N80,"")</f>
        <v/>
      </c>
      <c r="R102" s="33" t="str">
        <f>IF(Расчёты!$E80=1,Расчёты!$O80,"")</f>
        <v/>
      </c>
      <c r="S102" s="33" t="str">
        <f>IF(Расчёты!$E80=1,Расчёты!$Q80,"")</f>
        <v/>
      </c>
      <c r="T102" s="33" t="str">
        <f>IF(Расчёты!$E80=1,Расчёты!$S80,"")</f>
        <v/>
      </c>
      <c r="U102" s="33" t="str">
        <f>IF(Расчёты!$E80=1,Расчёты!$U80,"")</f>
        <v/>
      </c>
      <c r="V102" s="33" t="str">
        <f>IF(Расчёты!$E80=1,Расчёты!$W80,"")</f>
        <v/>
      </c>
      <c r="W102" s="33" t="str">
        <f>IF(Расчёты!$E80=1,Расчёты!$X80,"")</f>
        <v/>
      </c>
      <c r="X102" s="33" t="str">
        <f>IF(Расчёты!$E80=1,Расчёты!$Y80,"")</f>
        <v/>
      </c>
      <c r="Y102" s="33" t="str">
        <f>IF(Расчёты!$E80=1,Расчёты!$AL80,"")</f>
        <v/>
      </c>
      <c r="Z102" s="33" t="str">
        <f>IF(Расчёты!$E80=1,Расчёты!$AP80,"")</f>
        <v/>
      </c>
      <c r="AA102" s="33" t="str">
        <f>IF(Расчёты!$E80=1,Расчёты!$AS80,"")</f>
        <v/>
      </c>
      <c r="AB102" s="33" t="str">
        <f>IF(Расчёты!$E80=1,Расчёты!$AV80,"")</f>
        <v/>
      </c>
      <c r="AC102" s="33" t="str">
        <f>IF(Расчёты!$E80=1,Расчёты!$AW80,"")</f>
        <v/>
      </c>
      <c r="AD102" s="33" t="str">
        <f>IF(Расчёты!$E80=1,Расчёты!$AX80,"")</f>
        <v/>
      </c>
      <c r="AE102" s="33" t="str">
        <f>IF(Расчёты!$E80=1,Расчёты!$AY80,"")</f>
        <v/>
      </c>
      <c r="AF102" s="33" t="str">
        <f>IF(Расчёты!$E80=1,Расчёты!$BA80,"")</f>
        <v/>
      </c>
      <c r="AG102" s="33" t="str">
        <f>IF(Расчёты!$E80=1,Расчёты!$BB80,"")</f>
        <v/>
      </c>
      <c r="AH102" s="33" t="str">
        <f>IF(Расчёты!$E80=1,Расчёты!$BC80,"")</f>
        <v/>
      </c>
      <c r="AI102" s="33" t="str">
        <f>IF(Расчёты!$E80=1,Расчёты!$AU80,"")</f>
        <v/>
      </c>
      <c r="AJ102" s="33" t="str">
        <f>IF(Расчёты!$E80=1,Расчёты!$BF80,"")</f>
        <v/>
      </c>
      <c r="AK102" s="33" t="str">
        <f>IF(Расчёты!$E80=1,Расчёты!$BG80,"")</f>
        <v/>
      </c>
      <c r="AM102" s="17" t="str">
        <f t="shared" si="14"/>
        <v/>
      </c>
      <c r="AN102" s="35" t="str">
        <f t="shared" si="15"/>
        <v/>
      </c>
      <c r="AP102" s="17" t="str">
        <f t="shared" si="16"/>
        <v/>
      </c>
      <c r="AQ102" s="35" t="str">
        <f t="shared" si="17"/>
        <v/>
      </c>
      <c r="AV102" s="17" t="str">
        <f t="shared" si="18"/>
        <v/>
      </c>
      <c r="AW102" s="35" t="str">
        <f t="shared" si="19"/>
        <v/>
      </c>
      <c r="AX102" s="35" t="str">
        <f t="shared" si="20"/>
        <v/>
      </c>
    </row>
    <row r="103" spans="1:50" x14ac:dyDescent="0.2">
      <c r="A103" s="18" t="str">
        <f>IF(Расчёты!$E81=1,Расчёты!$B81,"")</f>
        <v/>
      </c>
      <c r="B103" s="34" t="str">
        <f>IF(Расчёты!$E81=1,Расчёты!$D81,"")</f>
        <v/>
      </c>
      <c r="C103" s="33" t="str">
        <f>IF(Расчёты!$E81=1,Расчёты!$Z81,"")</f>
        <v/>
      </c>
      <c r="D103" s="33" t="str">
        <f>IF(Расчёты!$E81=1,Расчёты!$AA81,"")</f>
        <v/>
      </c>
      <c r="E103" s="33" t="str">
        <f>IF(Расчёты!$E81=1,Расчёты!$AB81,"")</f>
        <v/>
      </c>
      <c r="F103" s="33" t="str">
        <f>IF(Расчёты!$E81=1,Расчёты!$AC81,"")</f>
        <v/>
      </c>
      <c r="G103" s="33" t="str">
        <f>IF(Расчёты!$E81=1,Расчёты!$AD81,"")</f>
        <v/>
      </c>
      <c r="H103" s="33" t="str">
        <f>IF(Расчёты!$E81=1,Расчёты!$AI81,"")</f>
        <v/>
      </c>
      <c r="I103" s="33" t="str">
        <f>IF(Расчёты!$E81=1,Расчёты!$AG81,"")</f>
        <v/>
      </c>
      <c r="J103" s="33" t="str">
        <f>IF(Расчёты!$E81=1,Расчёты!$AJ81,"")</f>
        <v/>
      </c>
      <c r="K103" s="33" t="str">
        <f>IF(Расчёты!$E81=1,Расчёты!$AK81,"")</f>
        <v/>
      </c>
      <c r="L103" s="33" t="str">
        <f>IF(Расчёты!$E81=1,Расчёты!$I81,"")</f>
        <v/>
      </c>
      <c r="M103" s="33" t="str">
        <f>IF(Расчёты!$E81=1,Расчёты!$J81,"")</f>
        <v/>
      </c>
      <c r="N103" s="33" t="str">
        <f>IF(Расчёты!$E81=1,Расчёты!$K81,"")</f>
        <v/>
      </c>
      <c r="O103" s="33" t="str">
        <f>IF(Расчёты!$E81=1,Расчёты!$L81,"")</f>
        <v/>
      </c>
      <c r="P103" s="33" t="str">
        <f>IF(Расчёты!$E81=1,Расчёты!$M81,"")</f>
        <v/>
      </c>
      <c r="Q103" s="33" t="str">
        <f>IF(Расчёты!$E81=1,Расчёты!$N81,"")</f>
        <v/>
      </c>
      <c r="R103" s="33" t="str">
        <f>IF(Расчёты!$E81=1,Расчёты!$O81,"")</f>
        <v/>
      </c>
      <c r="S103" s="33" t="str">
        <f>IF(Расчёты!$E81=1,Расчёты!$Q81,"")</f>
        <v/>
      </c>
      <c r="T103" s="33" t="str">
        <f>IF(Расчёты!$E81=1,Расчёты!$S81,"")</f>
        <v/>
      </c>
      <c r="U103" s="33" t="str">
        <f>IF(Расчёты!$E81=1,Расчёты!$U81,"")</f>
        <v/>
      </c>
      <c r="V103" s="33" t="str">
        <f>IF(Расчёты!$E81=1,Расчёты!$W81,"")</f>
        <v/>
      </c>
      <c r="W103" s="33" t="str">
        <f>IF(Расчёты!$E81=1,Расчёты!$X81,"")</f>
        <v/>
      </c>
      <c r="X103" s="33" t="str">
        <f>IF(Расчёты!$E81=1,Расчёты!$Y81,"")</f>
        <v/>
      </c>
      <c r="Y103" s="33" t="str">
        <f>IF(Расчёты!$E81=1,Расчёты!$AL81,"")</f>
        <v/>
      </c>
      <c r="Z103" s="33" t="str">
        <f>IF(Расчёты!$E81=1,Расчёты!$AP81,"")</f>
        <v/>
      </c>
      <c r="AA103" s="33" t="str">
        <f>IF(Расчёты!$E81=1,Расчёты!$AS81,"")</f>
        <v/>
      </c>
      <c r="AB103" s="33" t="str">
        <f>IF(Расчёты!$E81=1,Расчёты!$AV81,"")</f>
        <v/>
      </c>
      <c r="AC103" s="33" t="str">
        <f>IF(Расчёты!$E81=1,Расчёты!$AW81,"")</f>
        <v/>
      </c>
      <c r="AD103" s="33" t="str">
        <f>IF(Расчёты!$E81=1,Расчёты!$AX81,"")</f>
        <v/>
      </c>
      <c r="AE103" s="33" t="str">
        <f>IF(Расчёты!$E81=1,Расчёты!$AY81,"")</f>
        <v/>
      </c>
      <c r="AF103" s="33" t="str">
        <f>IF(Расчёты!$E81=1,Расчёты!$BA81,"")</f>
        <v/>
      </c>
      <c r="AG103" s="33" t="str">
        <f>IF(Расчёты!$E81=1,Расчёты!$BB81,"")</f>
        <v/>
      </c>
      <c r="AH103" s="33" t="str">
        <f>IF(Расчёты!$E81=1,Расчёты!$BC81,"")</f>
        <v/>
      </c>
      <c r="AI103" s="33" t="str">
        <f>IF(Расчёты!$E81=1,Расчёты!$AU81,"")</f>
        <v/>
      </c>
      <c r="AJ103" s="33" t="str">
        <f>IF(Расчёты!$E81=1,Расчёты!$BF81,"")</f>
        <v/>
      </c>
      <c r="AK103" s="33" t="str">
        <f>IF(Расчёты!$E81=1,Расчёты!$BG81,"")</f>
        <v/>
      </c>
      <c r="AM103" s="17" t="str">
        <f t="shared" si="14"/>
        <v/>
      </c>
      <c r="AN103" s="35" t="str">
        <f t="shared" si="15"/>
        <v/>
      </c>
      <c r="AP103" s="17" t="str">
        <f t="shared" si="16"/>
        <v/>
      </c>
      <c r="AQ103" s="35" t="str">
        <f t="shared" si="17"/>
        <v/>
      </c>
      <c r="AV103" s="17" t="str">
        <f t="shared" si="18"/>
        <v/>
      </c>
      <c r="AW103" s="35" t="str">
        <f t="shared" si="19"/>
        <v/>
      </c>
      <c r="AX103" s="35" t="str">
        <f t="shared" si="20"/>
        <v/>
      </c>
    </row>
    <row r="104" spans="1:50" x14ac:dyDescent="0.2">
      <c r="A104" s="18" t="str">
        <f>IF(Расчёты!$E82=1,Расчёты!$B82,"")</f>
        <v/>
      </c>
      <c r="B104" s="34" t="str">
        <f>IF(Расчёты!$E82=1,Расчёты!$D82,"")</f>
        <v/>
      </c>
      <c r="C104" s="33" t="str">
        <f>IF(Расчёты!$E82=1,Расчёты!$Z82,"")</f>
        <v/>
      </c>
      <c r="D104" s="33" t="str">
        <f>IF(Расчёты!$E82=1,Расчёты!$AA82,"")</f>
        <v/>
      </c>
      <c r="E104" s="33" t="str">
        <f>IF(Расчёты!$E82=1,Расчёты!$AB82,"")</f>
        <v/>
      </c>
      <c r="F104" s="33" t="str">
        <f>IF(Расчёты!$E82=1,Расчёты!$AC82,"")</f>
        <v/>
      </c>
      <c r="G104" s="33" t="str">
        <f>IF(Расчёты!$E82=1,Расчёты!$AD82,"")</f>
        <v/>
      </c>
      <c r="H104" s="33" t="str">
        <f>IF(Расчёты!$E82=1,Расчёты!$AI82,"")</f>
        <v/>
      </c>
      <c r="I104" s="33" t="str">
        <f>IF(Расчёты!$E82=1,Расчёты!$AG82,"")</f>
        <v/>
      </c>
      <c r="J104" s="33" t="str">
        <f>IF(Расчёты!$E82=1,Расчёты!$AJ82,"")</f>
        <v/>
      </c>
      <c r="K104" s="33" t="str">
        <f>IF(Расчёты!$E82=1,Расчёты!$AK82,"")</f>
        <v/>
      </c>
      <c r="L104" s="33" t="str">
        <f>IF(Расчёты!$E82=1,Расчёты!$I82,"")</f>
        <v/>
      </c>
      <c r="M104" s="33" t="str">
        <f>IF(Расчёты!$E82=1,Расчёты!$J82,"")</f>
        <v/>
      </c>
      <c r="N104" s="33" t="str">
        <f>IF(Расчёты!$E82=1,Расчёты!$K82,"")</f>
        <v/>
      </c>
      <c r="O104" s="33" t="str">
        <f>IF(Расчёты!$E82=1,Расчёты!$L82,"")</f>
        <v/>
      </c>
      <c r="P104" s="33" t="str">
        <f>IF(Расчёты!$E82=1,Расчёты!$M82,"")</f>
        <v/>
      </c>
      <c r="Q104" s="33" t="str">
        <f>IF(Расчёты!$E82=1,Расчёты!$N82,"")</f>
        <v/>
      </c>
      <c r="R104" s="33" t="str">
        <f>IF(Расчёты!$E82=1,Расчёты!$O82,"")</f>
        <v/>
      </c>
      <c r="S104" s="33" t="str">
        <f>IF(Расчёты!$E82=1,Расчёты!$Q82,"")</f>
        <v/>
      </c>
      <c r="T104" s="33" t="str">
        <f>IF(Расчёты!$E82=1,Расчёты!$S82,"")</f>
        <v/>
      </c>
      <c r="U104" s="33" t="str">
        <f>IF(Расчёты!$E82=1,Расчёты!$U82,"")</f>
        <v/>
      </c>
      <c r="V104" s="33" t="str">
        <f>IF(Расчёты!$E82=1,Расчёты!$W82,"")</f>
        <v/>
      </c>
      <c r="W104" s="33" t="str">
        <f>IF(Расчёты!$E82=1,Расчёты!$X82,"")</f>
        <v/>
      </c>
      <c r="X104" s="33" t="str">
        <f>IF(Расчёты!$E82=1,Расчёты!$Y82,"")</f>
        <v/>
      </c>
      <c r="Y104" s="33" t="str">
        <f>IF(Расчёты!$E82=1,Расчёты!$AL82,"")</f>
        <v/>
      </c>
      <c r="Z104" s="33" t="str">
        <f>IF(Расчёты!$E82=1,Расчёты!$AP82,"")</f>
        <v/>
      </c>
      <c r="AA104" s="33" t="str">
        <f>IF(Расчёты!$E82=1,Расчёты!$AS82,"")</f>
        <v/>
      </c>
      <c r="AB104" s="33" t="str">
        <f>IF(Расчёты!$E82=1,Расчёты!$AV82,"")</f>
        <v/>
      </c>
      <c r="AC104" s="33" t="str">
        <f>IF(Расчёты!$E82=1,Расчёты!$AW82,"")</f>
        <v/>
      </c>
      <c r="AD104" s="33" t="str">
        <f>IF(Расчёты!$E82=1,Расчёты!$AX82,"")</f>
        <v/>
      </c>
      <c r="AE104" s="33" t="str">
        <f>IF(Расчёты!$E82=1,Расчёты!$AY82,"")</f>
        <v/>
      </c>
      <c r="AF104" s="33" t="str">
        <f>IF(Расчёты!$E82=1,Расчёты!$BA82,"")</f>
        <v/>
      </c>
      <c r="AG104" s="33" t="str">
        <f>IF(Расчёты!$E82=1,Расчёты!$BB82,"")</f>
        <v/>
      </c>
      <c r="AH104" s="33" t="str">
        <f>IF(Расчёты!$E82=1,Расчёты!$BC82,"")</f>
        <v/>
      </c>
      <c r="AI104" s="33" t="str">
        <f>IF(Расчёты!$E82=1,Расчёты!$AU82,"")</f>
        <v/>
      </c>
      <c r="AJ104" s="33" t="str">
        <f>IF(Расчёты!$E82=1,Расчёты!$BF82,"")</f>
        <v/>
      </c>
      <c r="AK104" s="33" t="str">
        <f>IF(Расчёты!$E82=1,Расчёты!$BG82,"")</f>
        <v/>
      </c>
      <c r="AM104" s="17" t="str">
        <f t="shared" si="14"/>
        <v/>
      </c>
      <c r="AN104" s="35" t="str">
        <f t="shared" si="15"/>
        <v/>
      </c>
      <c r="AP104" s="17" t="str">
        <f t="shared" si="16"/>
        <v/>
      </c>
      <c r="AQ104" s="35" t="str">
        <f t="shared" si="17"/>
        <v/>
      </c>
      <c r="AV104" s="17" t="str">
        <f t="shared" si="18"/>
        <v/>
      </c>
      <c r="AW104" s="35" t="str">
        <f t="shared" si="19"/>
        <v/>
      </c>
      <c r="AX104" s="35" t="str">
        <f t="shared" si="20"/>
        <v/>
      </c>
    </row>
    <row r="105" spans="1:50" x14ac:dyDescent="0.2">
      <c r="A105" s="18" t="str">
        <f>IF(Расчёты!$E83=1,Расчёты!$B83,"")</f>
        <v/>
      </c>
      <c r="B105" s="34" t="str">
        <f>IF(Расчёты!$E83=1,Расчёты!$D83,"")</f>
        <v/>
      </c>
      <c r="C105" s="33" t="str">
        <f>IF(Расчёты!$E83=1,Расчёты!$Z83,"")</f>
        <v/>
      </c>
      <c r="D105" s="33" t="str">
        <f>IF(Расчёты!$E83=1,Расчёты!$AA83,"")</f>
        <v/>
      </c>
      <c r="E105" s="33" t="str">
        <f>IF(Расчёты!$E83=1,Расчёты!$AB83,"")</f>
        <v/>
      </c>
      <c r="F105" s="33" t="str">
        <f>IF(Расчёты!$E83=1,Расчёты!$AC83,"")</f>
        <v/>
      </c>
      <c r="G105" s="33" t="str">
        <f>IF(Расчёты!$E83=1,Расчёты!$AD83,"")</f>
        <v/>
      </c>
      <c r="H105" s="33" t="str">
        <f>IF(Расчёты!$E83=1,Расчёты!$AI83,"")</f>
        <v/>
      </c>
      <c r="I105" s="33" t="str">
        <f>IF(Расчёты!$E83=1,Расчёты!$AG83,"")</f>
        <v/>
      </c>
      <c r="J105" s="33" t="str">
        <f>IF(Расчёты!$E83=1,Расчёты!$AJ83,"")</f>
        <v/>
      </c>
      <c r="K105" s="33" t="str">
        <f>IF(Расчёты!$E83=1,Расчёты!$AK83,"")</f>
        <v/>
      </c>
      <c r="L105" s="33" t="str">
        <f>IF(Расчёты!$E83=1,Расчёты!$I83,"")</f>
        <v/>
      </c>
      <c r="M105" s="33" t="str">
        <f>IF(Расчёты!$E83=1,Расчёты!$J83,"")</f>
        <v/>
      </c>
      <c r="N105" s="33" t="str">
        <f>IF(Расчёты!$E83=1,Расчёты!$K83,"")</f>
        <v/>
      </c>
      <c r="O105" s="33" t="str">
        <f>IF(Расчёты!$E83=1,Расчёты!$L83,"")</f>
        <v/>
      </c>
      <c r="P105" s="33" t="str">
        <f>IF(Расчёты!$E83=1,Расчёты!$M83,"")</f>
        <v/>
      </c>
      <c r="Q105" s="33" t="str">
        <f>IF(Расчёты!$E83=1,Расчёты!$N83,"")</f>
        <v/>
      </c>
      <c r="R105" s="33" t="str">
        <f>IF(Расчёты!$E83=1,Расчёты!$O83,"")</f>
        <v/>
      </c>
      <c r="S105" s="33" t="str">
        <f>IF(Расчёты!$E83=1,Расчёты!$Q83,"")</f>
        <v/>
      </c>
      <c r="T105" s="33" t="str">
        <f>IF(Расчёты!$E83=1,Расчёты!$S83,"")</f>
        <v/>
      </c>
      <c r="U105" s="33" t="str">
        <f>IF(Расчёты!$E83=1,Расчёты!$U83,"")</f>
        <v/>
      </c>
      <c r="V105" s="33" t="str">
        <f>IF(Расчёты!$E83=1,Расчёты!$W83,"")</f>
        <v/>
      </c>
      <c r="W105" s="33" t="str">
        <f>IF(Расчёты!$E83=1,Расчёты!$X83,"")</f>
        <v/>
      </c>
      <c r="X105" s="33" t="str">
        <f>IF(Расчёты!$E83=1,Расчёты!$Y83,"")</f>
        <v/>
      </c>
      <c r="Y105" s="33" t="str">
        <f>IF(Расчёты!$E83=1,Расчёты!$AL83,"")</f>
        <v/>
      </c>
      <c r="Z105" s="33" t="str">
        <f>IF(Расчёты!$E83=1,Расчёты!$AP83,"")</f>
        <v/>
      </c>
      <c r="AA105" s="33" t="str">
        <f>IF(Расчёты!$E83=1,Расчёты!$AS83,"")</f>
        <v/>
      </c>
      <c r="AB105" s="33" t="str">
        <f>IF(Расчёты!$E83=1,Расчёты!$AV83,"")</f>
        <v/>
      </c>
      <c r="AC105" s="33" t="str">
        <f>IF(Расчёты!$E83=1,Расчёты!$AW83,"")</f>
        <v/>
      </c>
      <c r="AD105" s="33" t="str">
        <f>IF(Расчёты!$E83=1,Расчёты!$AX83,"")</f>
        <v/>
      </c>
      <c r="AE105" s="33" t="str">
        <f>IF(Расчёты!$E83=1,Расчёты!$AY83,"")</f>
        <v/>
      </c>
      <c r="AF105" s="33" t="str">
        <f>IF(Расчёты!$E83=1,Расчёты!$BA83,"")</f>
        <v/>
      </c>
      <c r="AG105" s="33" t="str">
        <f>IF(Расчёты!$E83=1,Расчёты!$BB83,"")</f>
        <v/>
      </c>
      <c r="AH105" s="33" t="str">
        <f>IF(Расчёты!$E83=1,Расчёты!$BC83,"")</f>
        <v/>
      </c>
      <c r="AI105" s="33" t="str">
        <f>IF(Расчёты!$E83=1,Расчёты!$AU83,"")</f>
        <v/>
      </c>
      <c r="AJ105" s="33" t="str">
        <f>IF(Расчёты!$E83=1,Расчёты!$BF83,"")</f>
        <v/>
      </c>
      <c r="AK105" s="33" t="str">
        <f>IF(Расчёты!$E83=1,Расчёты!$BG83,"")</f>
        <v/>
      </c>
      <c r="AM105" s="17" t="str">
        <f t="shared" si="14"/>
        <v/>
      </c>
      <c r="AN105" s="35" t="str">
        <f t="shared" si="15"/>
        <v/>
      </c>
      <c r="AP105" s="17" t="str">
        <f t="shared" si="16"/>
        <v/>
      </c>
      <c r="AQ105" s="35" t="str">
        <f t="shared" si="17"/>
        <v/>
      </c>
      <c r="AV105" s="17" t="str">
        <f t="shared" si="18"/>
        <v/>
      </c>
      <c r="AW105" s="35" t="str">
        <f t="shared" si="19"/>
        <v/>
      </c>
      <c r="AX105" s="35" t="str">
        <f t="shared" si="20"/>
        <v/>
      </c>
    </row>
    <row r="106" spans="1:50" x14ac:dyDescent="0.2">
      <c r="A106" s="18" t="str">
        <f>IF(Расчёты!$E84=1,Расчёты!$B84,"")</f>
        <v/>
      </c>
      <c r="B106" s="34" t="str">
        <f>IF(Расчёты!$E84=1,Расчёты!$D84,"")</f>
        <v/>
      </c>
      <c r="C106" s="33" t="str">
        <f>IF(Расчёты!$E84=1,Расчёты!$Z84,"")</f>
        <v/>
      </c>
      <c r="D106" s="33" t="str">
        <f>IF(Расчёты!$E84=1,Расчёты!$AA84,"")</f>
        <v/>
      </c>
      <c r="E106" s="33" t="str">
        <f>IF(Расчёты!$E84=1,Расчёты!$AB84,"")</f>
        <v/>
      </c>
      <c r="F106" s="33" t="str">
        <f>IF(Расчёты!$E84=1,Расчёты!$AC84,"")</f>
        <v/>
      </c>
      <c r="G106" s="33" t="str">
        <f>IF(Расчёты!$E84=1,Расчёты!$AD84,"")</f>
        <v/>
      </c>
      <c r="H106" s="33" t="str">
        <f>IF(Расчёты!$E84=1,Расчёты!$AI84,"")</f>
        <v/>
      </c>
      <c r="I106" s="33" t="str">
        <f>IF(Расчёты!$E84=1,Расчёты!$AG84,"")</f>
        <v/>
      </c>
      <c r="J106" s="33" t="str">
        <f>IF(Расчёты!$E84=1,Расчёты!$AJ84,"")</f>
        <v/>
      </c>
      <c r="K106" s="33" t="str">
        <f>IF(Расчёты!$E84=1,Расчёты!$AK84,"")</f>
        <v/>
      </c>
      <c r="L106" s="33" t="str">
        <f>IF(Расчёты!$E84=1,Расчёты!$I84,"")</f>
        <v/>
      </c>
      <c r="M106" s="33" t="str">
        <f>IF(Расчёты!$E84=1,Расчёты!$J84,"")</f>
        <v/>
      </c>
      <c r="N106" s="33" t="str">
        <f>IF(Расчёты!$E84=1,Расчёты!$K84,"")</f>
        <v/>
      </c>
      <c r="O106" s="33" t="str">
        <f>IF(Расчёты!$E84=1,Расчёты!$L84,"")</f>
        <v/>
      </c>
      <c r="P106" s="33" t="str">
        <f>IF(Расчёты!$E84=1,Расчёты!$M84,"")</f>
        <v/>
      </c>
      <c r="Q106" s="33" t="str">
        <f>IF(Расчёты!$E84=1,Расчёты!$N84,"")</f>
        <v/>
      </c>
      <c r="R106" s="33" t="str">
        <f>IF(Расчёты!$E84=1,Расчёты!$O84,"")</f>
        <v/>
      </c>
      <c r="S106" s="33" t="str">
        <f>IF(Расчёты!$E84=1,Расчёты!$Q84,"")</f>
        <v/>
      </c>
      <c r="T106" s="33" t="str">
        <f>IF(Расчёты!$E84=1,Расчёты!$S84,"")</f>
        <v/>
      </c>
      <c r="U106" s="33" t="str">
        <f>IF(Расчёты!$E84=1,Расчёты!$U84,"")</f>
        <v/>
      </c>
      <c r="V106" s="33" t="str">
        <f>IF(Расчёты!$E84=1,Расчёты!$W84,"")</f>
        <v/>
      </c>
      <c r="W106" s="33" t="str">
        <f>IF(Расчёты!$E84=1,Расчёты!$X84,"")</f>
        <v/>
      </c>
      <c r="X106" s="33" t="str">
        <f>IF(Расчёты!$E84=1,Расчёты!$Y84,"")</f>
        <v/>
      </c>
      <c r="Y106" s="33" t="str">
        <f>IF(Расчёты!$E84=1,Расчёты!$AL84,"")</f>
        <v/>
      </c>
      <c r="Z106" s="33" t="str">
        <f>IF(Расчёты!$E84=1,Расчёты!$AP84,"")</f>
        <v/>
      </c>
      <c r="AA106" s="33" t="str">
        <f>IF(Расчёты!$E84=1,Расчёты!$AS84,"")</f>
        <v/>
      </c>
      <c r="AB106" s="33" t="str">
        <f>IF(Расчёты!$E84=1,Расчёты!$AV84,"")</f>
        <v/>
      </c>
      <c r="AC106" s="33" t="str">
        <f>IF(Расчёты!$E84=1,Расчёты!$AW84,"")</f>
        <v/>
      </c>
      <c r="AD106" s="33" t="str">
        <f>IF(Расчёты!$E84=1,Расчёты!$AX84,"")</f>
        <v/>
      </c>
      <c r="AE106" s="33" t="str">
        <f>IF(Расчёты!$E84=1,Расчёты!$AY84,"")</f>
        <v/>
      </c>
      <c r="AF106" s="33" t="str">
        <f>IF(Расчёты!$E84=1,Расчёты!$BA84,"")</f>
        <v/>
      </c>
      <c r="AG106" s="33" t="str">
        <f>IF(Расчёты!$E84=1,Расчёты!$BB84,"")</f>
        <v/>
      </c>
      <c r="AH106" s="33" t="str">
        <f>IF(Расчёты!$E84=1,Расчёты!$BC84,"")</f>
        <v/>
      </c>
      <c r="AI106" s="33" t="str">
        <f>IF(Расчёты!$E84=1,Расчёты!$AU84,"")</f>
        <v/>
      </c>
      <c r="AJ106" s="33" t="str">
        <f>IF(Расчёты!$E84=1,Расчёты!$BF84,"")</f>
        <v/>
      </c>
      <c r="AK106" s="33" t="str">
        <f>IF(Расчёты!$E84=1,Расчёты!$BG84,"")</f>
        <v/>
      </c>
      <c r="AM106" s="17" t="str">
        <f t="shared" si="14"/>
        <v/>
      </c>
      <c r="AN106" s="35" t="str">
        <f t="shared" si="15"/>
        <v/>
      </c>
      <c r="AP106" s="17" t="str">
        <f t="shared" si="16"/>
        <v/>
      </c>
      <c r="AQ106" s="35" t="str">
        <f t="shared" si="17"/>
        <v/>
      </c>
      <c r="AV106" s="17" t="str">
        <f t="shared" si="18"/>
        <v/>
      </c>
      <c r="AW106" s="35" t="str">
        <f t="shared" si="19"/>
        <v/>
      </c>
      <c r="AX106" s="35" t="str">
        <f t="shared" si="20"/>
        <v/>
      </c>
    </row>
    <row r="107" spans="1:50" x14ac:dyDescent="0.2">
      <c r="A107" s="18" t="str">
        <f>IF(Расчёты!$E85=1,Расчёты!$B85,"")</f>
        <v/>
      </c>
      <c r="B107" s="34" t="str">
        <f>IF(Расчёты!$E85=1,Расчёты!$D85,"")</f>
        <v/>
      </c>
      <c r="C107" s="33" t="str">
        <f>IF(Расчёты!$E85=1,Расчёты!$Z85,"")</f>
        <v/>
      </c>
      <c r="D107" s="33" t="str">
        <f>IF(Расчёты!$E85=1,Расчёты!$AA85,"")</f>
        <v/>
      </c>
      <c r="E107" s="33" t="str">
        <f>IF(Расчёты!$E85=1,Расчёты!$AB85,"")</f>
        <v/>
      </c>
      <c r="F107" s="33" t="str">
        <f>IF(Расчёты!$E85=1,Расчёты!$AC85,"")</f>
        <v/>
      </c>
      <c r="G107" s="33" t="str">
        <f>IF(Расчёты!$E85=1,Расчёты!$AD85,"")</f>
        <v/>
      </c>
      <c r="H107" s="33" t="str">
        <f>IF(Расчёты!$E85=1,Расчёты!$AI85,"")</f>
        <v/>
      </c>
      <c r="I107" s="33" t="str">
        <f>IF(Расчёты!$E85=1,Расчёты!$AG85,"")</f>
        <v/>
      </c>
      <c r="J107" s="33" t="str">
        <f>IF(Расчёты!$E85=1,Расчёты!$AJ85,"")</f>
        <v/>
      </c>
      <c r="K107" s="33" t="str">
        <f>IF(Расчёты!$E85=1,Расчёты!$AK85,"")</f>
        <v/>
      </c>
      <c r="L107" s="33" t="str">
        <f>IF(Расчёты!$E85=1,Расчёты!$I85,"")</f>
        <v/>
      </c>
      <c r="M107" s="33" t="str">
        <f>IF(Расчёты!$E85=1,Расчёты!$J85,"")</f>
        <v/>
      </c>
      <c r="N107" s="33" t="str">
        <f>IF(Расчёты!$E85=1,Расчёты!$K85,"")</f>
        <v/>
      </c>
      <c r="O107" s="33" t="str">
        <f>IF(Расчёты!$E85=1,Расчёты!$L85,"")</f>
        <v/>
      </c>
      <c r="P107" s="33" t="str">
        <f>IF(Расчёты!$E85=1,Расчёты!$M85,"")</f>
        <v/>
      </c>
      <c r="Q107" s="33" t="str">
        <f>IF(Расчёты!$E85=1,Расчёты!$N85,"")</f>
        <v/>
      </c>
      <c r="R107" s="33" t="str">
        <f>IF(Расчёты!$E85=1,Расчёты!$O85,"")</f>
        <v/>
      </c>
      <c r="S107" s="33" t="str">
        <f>IF(Расчёты!$E85=1,Расчёты!$Q85,"")</f>
        <v/>
      </c>
      <c r="T107" s="33" t="str">
        <f>IF(Расчёты!$E85=1,Расчёты!$S85,"")</f>
        <v/>
      </c>
      <c r="U107" s="33" t="str">
        <f>IF(Расчёты!$E85=1,Расчёты!$U85,"")</f>
        <v/>
      </c>
      <c r="V107" s="33" t="str">
        <f>IF(Расчёты!$E85=1,Расчёты!$W85,"")</f>
        <v/>
      </c>
      <c r="W107" s="33" t="str">
        <f>IF(Расчёты!$E85=1,Расчёты!$X85,"")</f>
        <v/>
      </c>
      <c r="X107" s="33" t="str">
        <f>IF(Расчёты!$E85=1,Расчёты!$Y85,"")</f>
        <v/>
      </c>
      <c r="Y107" s="33" t="str">
        <f>IF(Расчёты!$E85=1,Расчёты!$AL85,"")</f>
        <v/>
      </c>
      <c r="Z107" s="33" t="str">
        <f>IF(Расчёты!$E85=1,Расчёты!$AP85,"")</f>
        <v/>
      </c>
      <c r="AA107" s="33" t="str">
        <f>IF(Расчёты!$E85=1,Расчёты!$AS85,"")</f>
        <v/>
      </c>
      <c r="AB107" s="33" t="str">
        <f>IF(Расчёты!$E85=1,Расчёты!$AV85,"")</f>
        <v/>
      </c>
      <c r="AC107" s="33" t="str">
        <f>IF(Расчёты!$E85=1,Расчёты!$AW85,"")</f>
        <v/>
      </c>
      <c r="AD107" s="33" t="str">
        <f>IF(Расчёты!$E85=1,Расчёты!$AX85,"")</f>
        <v/>
      </c>
      <c r="AE107" s="33" t="str">
        <f>IF(Расчёты!$E85=1,Расчёты!$AY85,"")</f>
        <v/>
      </c>
      <c r="AF107" s="33" t="str">
        <f>IF(Расчёты!$E85=1,Расчёты!$BA85,"")</f>
        <v/>
      </c>
      <c r="AG107" s="33" t="str">
        <f>IF(Расчёты!$E85=1,Расчёты!$BB85,"")</f>
        <v/>
      </c>
      <c r="AH107" s="33" t="str">
        <f>IF(Расчёты!$E85=1,Расчёты!$BC85,"")</f>
        <v/>
      </c>
      <c r="AI107" s="33" t="str">
        <f>IF(Расчёты!$E85=1,Расчёты!$AU85,"")</f>
        <v/>
      </c>
      <c r="AJ107" s="33" t="str">
        <f>IF(Расчёты!$E85=1,Расчёты!$BF85,"")</f>
        <v/>
      </c>
      <c r="AK107" s="33" t="str">
        <f>IF(Расчёты!$E85=1,Расчёты!$BG85,"")</f>
        <v/>
      </c>
      <c r="AM107" s="17" t="str">
        <f t="shared" si="14"/>
        <v/>
      </c>
      <c r="AN107" s="35" t="str">
        <f t="shared" si="15"/>
        <v/>
      </c>
      <c r="AP107" s="17" t="str">
        <f t="shared" si="16"/>
        <v/>
      </c>
      <c r="AQ107" s="35" t="str">
        <f t="shared" si="17"/>
        <v/>
      </c>
      <c r="AV107" s="17" t="str">
        <f t="shared" si="18"/>
        <v/>
      </c>
      <c r="AW107" s="35" t="str">
        <f t="shared" si="19"/>
        <v/>
      </c>
      <c r="AX107" s="35" t="str">
        <f t="shared" si="20"/>
        <v/>
      </c>
    </row>
    <row r="108" spans="1:50" x14ac:dyDescent="0.2">
      <c r="A108" s="18" t="str">
        <f>IF(Расчёты!$E86=1,Расчёты!$B86,"")</f>
        <v/>
      </c>
      <c r="B108" s="34" t="str">
        <f>IF(Расчёты!$E86=1,Расчёты!$D86,"")</f>
        <v/>
      </c>
      <c r="C108" s="33" t="str">
        <f>IF(Расчёты!$E86=1,Расчёты!$Z86,"")</f>
        <v/>
      </c>
      <c r="D108" s="33" t="str">
        <f>IF(Расчёты!$E86=1,Расчёты!$AA86,"")</f>
        <v/>
      </c>
      <c r="E108" s="33" t="str">
        <f>IF(Расчёты!$E86=1,Расчёты!$AB86,"")</f>
        <v/>
      </c>
      <c r="F108" s="33" t="str">
        <f>IF(Расчёты!$E86=1,Расчёты!$AC86,"")</f>
        <v/>
      </c>
      <c r="G108" s="33" t="str">
        <f>IF(Расчёты!$E86=1,Расчёты!$AD86,"")</f>
        <v/>
      </c>
      <c r="H108" s="33" t="str">
        <f>IF(Расчёты!$E86=1,Расчёты!$AI86,"")</f>
        <v/>
      </c>
      <c r="I108" s="33" t="str">
        <f>IF(Расчёты!$E86=1,Расчёты!$AG86,"")</f>
        <v/>
      </c>
      <c r="J108" s="33" t="str">
        <f>IF(Расчёты!$E86=1,Расчёты!$AJ86,"")</f>
        <v/>
      </c>
      <c r="K108" s="33" t="str">
        <f>IF(Расчёты!$E86=1,Расчёты!$AK86,"")</f>
        <v/>
      </c>
      <c r="L108" s="33" t="str">
        <f>IF(Расчёты!$E86=1,Расчёты!$I86,"")</f>
        <v/>
      </c>
      <c r="M108" s="33" t="str">
        <f>IF(Расчёты!$E86=1,Расчёты!$J86,"")</f>
        <v/>
      </c>
      <c r="N108" s="33" t="str">
        <f>IF(Расчёты!$E86=1,Расчёты!$K86,"")</f>
        <v/>
      </c>
      <c r="O108" s="33" t="str">
        <f>IF(Расчёты!$E86=1,Расчёты!$L86,"")</f>
        <v/>
      </c>
      <c r="P108" s="33" t="str">
        <f>IF(Расчёты!$E86=1,Расчёты!$M86,"")</f>
        <v/>
      </c>
      <c r="Q108" s="33" t="str">
        <f>IF(Расчёты!$E86=1,Расчёты!$N86,"")</f>
        <v/>
      </c>
      <c r="R108" s="33" t="str">
        <f>IF(Расчёты!$E86=1,Расчёты!$O86,"")</f>
        <v/>
      </c>
      <c r="S108" s="33" t="str">
        <f>IF(Расчёты!$E86=1,Расчёты!$Q86,"")</f>
        <v/>
      </c>
      <c r="T108" s="33" t="str">
        <f>IF(Расчёты!$E86=1,Расчёты!$S86,"")</f>
        <v/>
      </c>
      <c r="U108" s="33" t="str">
        <f>IF(Расчёты!$E86=1,Расчёты!$U86,"")</f>
        <v/>
      </c>
      <c r="V108" s="33" t="str">
        <f>IF(Расчёты!$E86=1,Расчёты!$W86,"")</f>
        <v/>
      </c>
      <c r="W108" s="33" t="str">
        <f>IF(Расчёты!$E86=1,Расчёты!$X86,"")</f>
        <v/>
      </c>
      <c r="X108" s="33" t="str">
        <f>IF(Расчёты!$E86=1,Расчёты!$Y86,"")</f>
        <v/>
      </c>
      <c r="Y108" s="33" t="str">
        <f>IF(Расчёты!$E86=1,Расчёты!$AL86,"")</f>
        <v/>
      </c>
      <c r="Z108" s="33" t="str">
        <f>IF(Расчёты!$E86=1,Расчёты!$AP86,"")</f>
        <v/>
      </c>
      <c r="AA108" s="33" t="str">
        <f>IF(Расчёты!$E86=1,Расчёты!$AS86,"")</f>
        <v/>
      </c>
      <c r="AB108" s="33" t="str">
        <f>IF(Расчёты!$E86=1,Расчёты!$AV86,"")</f>
        <v/>
      </c>
      <c r="AC108" s="33" t="str">
        <f>IF(Расчёты!$E86=1,Расчёты!$AW86,"")</f>
        <v/>
      </c>
      <c r="AD108" s="33" t="str">
        <f>IF(Расчёты!$E86=1,Расчёты!$AX86,"")</f>
        <v/>
      </c>
      <c r="AE108" s="33" t="str">
        <f>IF(Расчёты!$E86=1,Расчёты!$AY86,"")</f>
        <v/>
      </c>
      <c r="AF108" s="33" t="str">
        <f>IF(Расчёты!$E86=1,Расчёты!$BA86,"")</f>
        <v/>
      </c>
      <c r="AG108" s="33" t="str">
        <f>IF(Расчёты!$E86=1,Расчёты!$BB86,"")</f>
        <v/>
      </c>
      <c r="AH108" s="33" t="str">
        <f>IF(Расчёты!$E86=1,Расчёты!$BC86,"")</f>
        <v/>
      </c>
      <c r="AI108" s="33" t="str">
        <f>IF(Расчёты!$E86=1,Расчёты!$AU86,"")</f>
        <v/>
      </c>
      <c r="AJ108" s="33" t="str">
        <f>IF(Расчёты!$E86=1,Расчёты!$BF86,"")</f>
        <v/>
      </c>
      <c r="AK108" s="33" t="str">
        <f>IF(Расчёты!$E86=1,Расчёты!$BG86,"")</f>
        <v/>
      </c>
      <c r="AM108" s="17" t="str">
        <f t="shared" si="14"/>
        <v/>
      </c>
      <c r="AN108" s="35" t="str">
        <f t="shared" si="15"/>
        <v/>
      </c>
      <c r="AP108" s="17" t="str">
        <f t="shared" si="16"/>
        <v/>
      </c>
      <c r="AQ108" s="35" t="str">
        <f t="shared" si="17"/>
        <v/>
      </c>
      <c r="AV108" s="17" t="str">
        <f t="shared" si="18"/>
        <v/>
      </c>
      <c r="AW108" s="35" t="str">
        <f t="shared" si="19"/>
        <v/>
      </c>
      <c r="AX108" s="35" t="str">
        <f t="shared" si="20"/>
        <v/>
      </c>
    </row>
    <row r="109" spans="1:50" x14ac:dyDescent="0.2">
      <c r="A109" s="18" t="str">
        <f>IF(Расчёты!$E87=1,Расчёты!$B87,"")</f>
        <v/>
      </c>
      <c r="B109" s="34" t="str">
        <f>IF(Расчёты!$E87=1,Расчёты!$D87,"")</f>
        <v/>
      </c>
      <c r="C109" s="33" t="str">
        <f>IF(Расчёты!$E87=1,Расчёты!$Z87,"")</f>
        <v/>
      </c>
      <c r="D109" s="33" t="str">
        <f>IF(Расчёты!$E87=1,Расчёты!$AA87,"")</f>
        <v/>
      </c>
      <c r="E109" s="33" t="str">
        <f>IF(Расчёты!$E87=1,Расчёты!$AB87,"")</f>
        <v/>
      </c>
      <c r="F109" s="33" t="str">
        <f>IF(Расчёты!$E87=1,Расчёты!$AC87,"")</f>
        <v/>
      </c>
      <c r="G109" s="33" t="str">
        <f>IF(Расчёты!$E87=1,Расчёты!$AD87,"")</f>
        <v/>
      </c>
      <c r="H109" s="33" t="str">
        <f>IF(Расчёты!$E87=1,Расчёты!$AI87,"")</f>
        <v/>
      </c>
      <c r="I109" s="33" t="str">
        <f>IF(Расчёты!$E87=1,Расчёты!$AG87,"")</f>
        <v/>
      </c>
      <c r="J109" s="33" t="str">
        <f>IF(Расчёты!$E87=1,Расчёты!$AJ87,"")</f>
        <v/>
      </c>
      <c r="K109" s="33" t="str">
        <f>IF(Расчёты!$E87=1,Расчёты!$AK87,"")</f>
        <v/>
      </c>
      <c r="L109" s="33" t="str">
        <f>IF(Расчёты!$E87=1,Расчёты!$I87,"")</f>
        <v/>
      </c>
      <c r="M109" s="33" t="str">
        <f>IF(Расчёты!$E87=1,Расчёты!$J87,"")</f>
        <v/>
      </c>
      <c r="N109" s="33" t="str">
        <f>IF(Расчёты!$E87=1,Расчёты!$K87,"")</f>
        <v/>
      </c>
      <c r="O109" s="33" t="str">
        <f>IF(Расчёты!$E87=1,Расчёты!$L87,"")</f>
        <v/>
      </c>
      <c r="P109" s="33" t="str">
        <f>IF(Расчёты!$E87=1,Расчёты!$M87,"")</f>
        <v/>
      </c>
      <c r="Q109" s="33" t="str">
        <f>IF(Расчёты!$E87=1,Расчёты!$N87,"")</f>
        <v/>
      </c>
      <c r="R109" s="33" t="str">
        <f>IF(Расчёты!$E87=1,Расчёты!$O87,"")</f>
        <v/>
      </c>
      <c r="S109" s="33" t="str">
        <f>IF(Расчёты!$E87=1,Расчёты!$Q87,"")</f>
        <v/>
      </c>
      <c r="T109" s="33" t="str">
        <f>IF(Расчёты!$E87=1,Расчёты!$S87,"")</f>
        <v/>
      </c>
      <c r="U109" s="33" t="str">
        <f>IF(Расчёты!$E87=1,Расчёты!$U87,"")</f>
        <v/>
      </c>
      <c r="V109" s="33" t="str">
        <f>IF(Расчёты!$E87=1,Расчёты!$W87,"")</f>
        <v/>
      </c>
      <c r="W109" s="33" t="str">
        <f>IF(Расчёты!$E87=1,Расчёты!$X87,"")</f>
        <v/>
      </c>
      <c r="X109" s="33" t="str">
        <f>IF(Расчёты!$E87=1,Расчёты!$Y87,"")</f>
        <v/>
      </c>
      <c r="Y109" s="33" t="str">
        <f>IF(Расчёты!$E87=1,Расчёты!$AL87,"")</f>
        <v/>
      </c>
      <c r="Z109" s="33" t="str">
        <f>IF(Расчёты!$E87=1,Расчёты!$AP87,"")</f>
        <v/>
      </c>
      <c r="AA109" s="33" t="str">
        <f>IF(Расчёты!$E87=1,Расчёты!$AS87,"")</f>
        <v/>
      </c>
      <c r="AB109" s="33" t="str">
        <f>IF(Расчёты!$E87=1,Расчёты!$AV87,"")</f>
        <v/>
      </c>
      <c r="AC109" s="33" t="str">
        <f>IF(Расчёты!$E87=1,Расчёты!$AW87,"")</f>
        <v/>
      </c>
      <c r="AD109" s="33" t="str">
        <f>IF(Расчёты!$E87=1,Расчёты!$AX87,"")</f>
        <v/>
      </c>
      <c r="AE109" s="33" t="str">
        <f>IF(Расчёты!$E87=1,Расчёты!$AY87,"")</f>
        <v/>
      </c>
      <c r="AF109" s="33" t="str">
        <f>IF(Расчёты!$E87=1,Расчёты!$BA87,"")</f>
        <v/>
      </c>
      <c r="AG109" s="33" t="str">
        <f>IF(Расчёты!$E87=1,Расчёты!$BB87,"")</f>
        <v/>
      </c>
      <c r="AH109" s="33" t="str">
        <f>IF(Расчёты!$E87=1,Расчёты!$BC87,"")</f>
        <v/>
      </c>
      <c r="AI109" s="33" t="str">
        <f>IF(Расчёты!$E87=1,Расчёты!$AU87,"")</f>
        <v/>
      </c>
      <c r="AJ109" s="33" t="str">
        <f>IF(Расчёты!$E87=1,Расчёты!$BF87,"")</f>
        <v/>
      </c>
      <c r="AK109" s="33" t="str">
        <f>IF(Расчёты!$E87=1,Расчёты!$BG87,"")</f>
        <v/>
      </c>
      <c r="AM109" s="17" t="str">
        <f t="shared" si="14"/>
        <v/>
      </c>
      <c r="AN109" s="35" t="str">
        <f t="shared" si="15"/>
        <v/>
      </c>
      <c r="AP109" s="17" t="str">
        <f t="shared" si="16"/>
        <v/>
      </c>
      <c r="AQ109" s="35" t="str">
        <f t="shared" si="17"/>
        <v/>
      </c>
      <c r="AV109" s="17" t="str">
        <f t="shared" si="18"/>
        <v/>
      </c>
      <c r="AW109" s="35" t="str">
        <f t="shared" si="19"/>
        <v/>
      </c>
      <c r="AX109" s="35" t="str">
        <f t="shared" si="20"/>
        <v/>
      </c>
    </row>
    <row r="110" spans="1:50" x14ac:dyDescent="0.2">
      <c r="A110" s="18" t="str">
        <f>IF(Расчёты!$E88=1,Расчёты!$B88,"")</f>
        <v/>
      </c>
      <c r="B110" s="34" t="str">
        <f>IF(Расчёты!$E88=1,Расчёты!$D88,"")</f>
        <v/>
      </c>
      <c r="C110" s="33" t="str">
        <f>IF(Расчёты!$E88=1,Расчёты!$Z88,"")</f>
        <v/>
      </c>
      <c r="D110" s="33" t="str">
        <f>IF(Расчёты!$E88=1,Расчёты!$AA88,"")</f>
        <v/>
      </c>
      <c r="E110" s="33" t="str">
        <f>IF(Расчёты!$E88=1,Расчёты!$AB88,"")</f>
        <v/>
      </c>
      <c r="F110" s="33" t="str">
        <f>IF(Расчёты!$E88=1,Расчёты!$AC88,"")</f>
        <v/>
      </c>
      <c r="G110" s="33" t="str">
        <f>IF(Расчёты!$E88=1,Расчёты!$AD88,"")</f>
        <v/>
      </c>
      <c r="H110" s="33" t="str">
        <f>IF(Расчёты!$E88=1,Расчёты!$AI88,"")</f>
        <v/>
      </c>
      <c r="I110" s="33" t="str">
        <f>IF(Расчёты!$E88=1,Расчёты!$AG88,"")</f>
        <v/>
      </c>
      <c r="J110" s="33" t="str">
        <f>IF(Расчёты!$E88=1,Расчёты!$AJ88,"")</f>
        <v/>
      </c>
      <c r="K110" s="33" t="str">
        <f>IF(Расчёты!$E88=1,Расчёты!$AK88,"")</f>
        <v/>
      </c>
      <c r="L110" s="33" t="str">
        <f>IF(Расчёты!$E88=1,Расчёты!$I88,"")</f>
        <v/>
      </c>
      <c r="M110" s="33" t="str">
        <f>IF(Расчёты!$E88=1,Расчёты!$J88,"")</f>
        <v/>
      </c>
      <c r="N110" s="33" t="str">
        <f>IF(Расчёты!$E88=1,Расчёты!$K88,"")</f>
        <v/>
      </c>
      <c r="O110" s="33" t="str">
        <f>IF(Расчёты!$E88=1,Расчёты!$L88,"")</f>
        <v/>
      </c>
      <c r="P110" s="33" t="str">
        <f>IF(Расчёты!$E88=1,Расчёты!$M88,"")</f>
        <v/>
      </c>
      <c r="Q110" s="33" t="str">
        <f>IF(Расчёты!$E88=1,Расчёты!$N88,"")</f>
        <v/>
      </c>
      <c r="R110" s="33" t="str">
        <f>IF(Расчёты!$E88=1,Расчёты!$O88,"")</f>
        <v/>
      </c>
      <c r="S110" s="33" t="str">
        <f>IF(Расчёты!$E88=1,Расчёты!$Q88,"")</f>
        <v/>
      </c>
      <c r="T110" s="33" t="str">
        <f>IF(Расчёты!$E88=1,Расчёты!$S88,"")</f>
        <v/>
      </c>
      <c r="U110" s="33" t="str">
        <f>IF(Расчёты!$E88=1,Расчёты!$U88,"")</f>
        <v/>
      </c>
      <c r="V110" s="33" t="str">
        <f>IF(Расчёты!$E88=1,Расчёты!$W88,"")</f>
        <v/>
      </c>
      <c r="W110" s="33" t="str">
        <f>IF(Расчёты!$E88=1,Расчёты!$X88,"")</f>
        <v/>
      </c>
      <c r="X110" s="33" t="str">
        <f>IF(Расчёты!$E88=1,Расчёты!$Y88,"")</f>
        <v/>
      </c>
      <c r="Y110" s="33" t="str">
        <f>IF(Расчёты!$E88=1,Расчёты!$AL88,"")</f>
        <v/>
      </c>
      <c r="Z110" s="33" t="str">
        <f>IF(Расчёты!$E88=1,Расчёты!$AP88,"")</f>
        <v/>
      </c>
      <c r="AA110" s="33" t="str">
        <f>IF(Расчёты!$E88=1,Расчёты!$AS88,"")</f>
        <v/>
      </c>
      <c r="AB110" s="33" t="str">
        <f>IF(Расчёты!$E88=1,Расчёты!$AV88,"")</f>
        <v/>
      </c>
      <c r="AC110" s="33" t="str">
        <f>IF(Расчёты!$E88=1,Расчёты!$AW88,"")</f>
        <v/>
      </c>
      <c r="AD110" s="33" t="str">
        <f>IF(Расчёты!$E88=1,Расчёты!$AX88,"")</f>
        <v/>
      </c>
      <c r="AE110" s="33" t="str">
        <f>IF(Расчёты!$E88=1,Расчёты!$AY88,"")</f>
        <v/>
      </c>
      <c r="AF110" s="33" t="str">
        <f>IF(Расчёты!$E88=1,Расчёты!$BA88,"")</f>
        <v/>
      </c>
      <c r="AG110" s="33" t="str">
        <f>IF(Расчёты!$E88=1,Расчёты!$BB88,"")</f>
        <v/>
      </c>
      <c r="AH110" s="33" t="str">
        <f>IF(Расчёты!$E88=1,Расчёты!$BC88,"")</f>
        <v/>
      </c>
      <c r="AI110" s="33" t="str">
        <f>IF(Расчёты!$E88=1,Расчёты!$AU88,"")</f>
        <v/>
      </c>
      <c r="AJ110" s="33" t="str">
        <f>IF(Расчёты!$E88=1,Расчёты!$BF88,"")</f>
        <v/>
      </c>
      <c r="AK110" s="33" t="str">
        <f>IF(Расчёты!$E88=1,Расчёты!$BG88,"")</f>
        <v/>
      </c>
      <c r="AM110" s="17" t="str">
        <f t="shared" si="14"/>
        <v/>
      </c>
      <c r="AN110" s="35" t="str">
        <f t="shared" si="15"/>
        <v/>
      </c>
      <c r="AP110" s="17" t="str">
        <f t="shared" si="16"/>
        <v/>
      </c>
      <c r="AQ110" s="35" t="str">
        <f t="shared" si="17"/>
        <v/>
      </c>
      <c r="AV110" s="17" t="str">
        <f t="shared" si="18"/>
        <v/>
      </c>
      <c r="AW110" s="35" t="str">
        <f t="shared" si="19"/>
        <v/>
      </c>
      <c r="AX110" s="35" t="str">
        <f t="shared" si="20"/>
        <v/>
      </c>
    </row>
    <row r="111" spans="1:50" x14ac:dyDescent="0.2">
      <c r="A111" s="18" t="str">
        <f>IF(Расчёты!$E89=1,Расчёты!$B89,"")</f>
        <v/>
      </c>
      <c r="B111" s="34" t="str">
        <f>IF(Расчёты!$E89=1,Расчёты!$D89,"")</f>
        <v/>
      </c>
      <c r="C111" s="33" t="str">
        <f>IF(Расчёты!$E89=1,Расчёты!$Z89,"")</f>
        <v/>
      </c>
      <c r="D111" s="33" t="str">
        <f>IF(Расчёты!$E89=1,Расчёты!$AA89,"")</f>
        <v/>
      </c>
      <c r="E111" s="33" t="str">
        <f>IF(Расчёты!$E89=1,Расчёты!$AB89,"")</f>
        <v/>
      </c>
      <c r="F111" s="33" t="str">
        <f>IF(Расчёты!$E89=1,Расчёты!$AC89,"")</f>
        <v/>
      </c>
      <c r="G111" s="33" t="str">
        <f>IF(Расчёты!$E89=1,Расчёты!$AD89,"")</f>
        <v/>
      </c>
      <c r="H111" s="33" t="str">
        <f>IF(Расчёты!$E89=1,Расчёты!$AI89,"")</f>
        <v/>
      </c>
      <c r="I111" s="33" t="str">
        <f>IF(Расчёты!$E89=1,Расчёты!$AG89,"")</f>
        <v/>
      </c>
      <c r="J111" s="33" t="str">
        <f>IF(Расчёты!$E89=1,Расчёты!$AJ89,"")</f>
        <v/>
      </c>
      <c r="K111" s="33" t="str">
        <f>IF(Расчёты!$E89=1,Расчёты!$AK89,"")</f>
        <v/>
      </c>
      <c r="L111" s="33" t="str">
        <f>IF(Расчёты!$E89=1,Расчёты!$I89,"")</f>
        <v/>
      </c>
      <c r="M111" s="33" t="str">
        <f>IF(Расчёты!$E89=1,Расчёты!$J89,"")</f>
        <v/>
      </c>
      <c r="N111" s="33" t="str">
        <f>IF(Расчёты!$E89=1,Расчёты!$K89,"")</f>
        <v/>
      </c>
      <c r="O111" s="33" t="str">
        <f>IF(Расчёты!$E89=1,Расчёты!$L89,"")</f>
        <v/>
      </c>
      <c r="P111" s="33" t="str">
        <f>IF(Расчёты!$E89=1,Расчёты!$M89,"")</f>
        <v/>
      </c>
      <c r="Q111" s="33" t="str">
        <f>IF(Расчёты!$E89=1,Расчёты!$N89,"")</f>
        <v/>
      </c>
      <c r="R111" s="33" t="str">
        <f>IF(Расчёты!$E89=1,Расчёты!$O89,"")</f>
        <v/>
      </c>
      <c r="S111" s="33" t="str">
        <f>IF(Расчёты!$E89=1,Расчёты!$Q89,"")</f>
        <v/>
      </c>
      <c r="T111" s="33" t="str">
        <f>IF(Расчёты!$E89=1,Расчёты!$S89,"")</f>
        <v/>
      </c>
      <c r="U111" s="33" t="str">
        <f>IF(Расчёты!$E89=1,Расчёты!$U89,"")</f>
        <v/>
      </c>
      <c r="V111" s="33" t="str">
        <f>IF(Расчёты!$E89=1,Расчёты!$W89,"")</f>
        <v/>
      </c>
      <c r="W111" s="33" t="str">
        <f>IF(Расчёты!$E89=1,Расчёты!$X89,"")</f>
        <v/>
      </c>
      <c r="X111" s="33" t="str">
        <f>IF(Расчёты!$E89=1,Расчёты!$Y89,"")</f>
        <v/>
      </c>
      <c r="Y111" s="33" t="str">
        <f>IF(Расчёты!$E89=1,Расчёты!$AL89,"")</f>
        <v/>
      </c>
      <c r="Z111" s="33" t="str">
        <f>IF(Расчёты!$E89=1,Расчёты!$AP89,"")</f>
        <v/>
      </c>
      <c r="AA111" s="33" t="str">
        <f>IF(Расчёты!$E89=1,Расчёты!$AS89,"")</f>
        <v/>
      </c>
      <c r="AB111" s="33" t="str">
        <f>IF(Расчёты!$E89=1,Расчёты!$AV89,"")</f>
        <v/>
      </c>
      <c r="AC111" s="33" t="str">
        <f>IF(Расчёты!$E89=1,Расчёты!$AW89,"")</f>
        <v/>
      </c>
      <c r="AD111" s="33" t="str">
        <f>IF(Расчёты!$E89=1,Расчёты!$AX89,"")</f>
        <v/>
      </c>
      <c r="AE111" s="33" t="str">
        <f>IF(Расчёты!$E89=1,Расчёты!$AY89,"")</f>
        <v/>
      </c>
      <c r="AF111" s="33" t="str">
        <f>IF(Расчёты!$E89=1,Расчёты!$BA89,"")</f>
        <v/>
      </c>
      <c r="AG111" s="33" t="str">
        <f>IF(Расчёты!$E89=1,Расчёты!$BB89,"")</f>
        <v/>
      </c>
      <c r="AH111" s="33" t="str">
        <f>IF(Расчёты!$E89=1,Расчёты!$BC89,"")</f>
        <v/>
      </c>
      <c r="AI111" s="33" t="str">
        <f>IF(Расчёты!$E89=1,Расчёты!$AU89,"")</f>
        <v/>
      </c>
      <c r="AJ111" s="33" t="str">
        <f>IF(Расчёты!$E89=1,Расчёты!$BF89,"")</f>
        <v/>
      </c>
      <c r="AK111" s="33" t="str">
        <f>IF(Расчёты!$E89=1,Расчёты!$BG89,"")</f>
        <v/>
      </c>
      <c r="AM111" s="17" t="str">
        <f t="shared" si="14"/>
        <v/>
      </c>
      <c r="AN111" s="35" t="str">
        <f t="shared" si="15"/>
        <v/>
      </c>
      <c r="AP111" s="17" t="str">
        <f t="shared" si="16"/>
        <v/>
      </c>
      <c r="AQ111" s="35" t="str">
        <f t="shared" si="17"/>
        <v/>
      </c>
      <c r="AV111" s="17" t="str">
        <f t="shared" si="18"/>
        <v/>
      </c>
      <c r="AW111" s="35" t="str">
        <f t="shared" si="19"/>
        <v/>
      </c>
      <c r="AX111" s="35" t="str">
        <f t="shared" si="20"/>
        <v/>
      </c>
    </row>
    <row r="112" spans="1:50" x14ac:dyDescent="0.2">
      <c r="A112" s="18" t="str">
        <f>IF(Расчёты!$E90=1,Расчёты!$B90,"")</f>
        <v/>
      </c>
      <c r="B112" s="34" t="str">
        <f>IF(Расчёты!$E90=1,Расчёты!$D90,"")</f>
        <v/>
      </c>
      <c r="C112" s="33" t="str">
        <f>IF(Расчёты!$E90=1,Расчёты!$Z90,"")</f>
        <v/>
      </c>
      <c r="D112" s="33" t="str">
        <f>IF(Расчёты!$E90=1,Расчёты!$AA90,"")</f>
        <v/>
      </c>
      <c r="E112" s="33" t="str">
        <f>IF(Расчёты!$E90=1,Расчёты!$AB90,"")</f>
        <v/>
      </c>
      <c r="F112" s="33" t="str">
        <f>IF(Расчёты!$E90=1,Расчёты!$AC90,"")</f>
        <v/>
      </c>
      <c r="G112" s="33" t="str">
        <f>IF(Расчёты!$E90=1,Расчёты!$AD90,"")</f>
        <v/>
      </c>
      <c r="H112" s="33" t="str">
        <f>IF(Расчёты!$E90=1,Расчёты!$AI90,"")</f>
        <v/>
      </c>
      <c r="I112" s="33" t="str">
        <f>IF(Расчёты!$E90=1,Расчёты!$AG90,"")</f>
        <v/>
      </c>
      <c r="J112" s="33" t="str">
        <f>IF(Расчёты!$E90=1,Расчёты!$AJ90,"")</f>
        <v/>
      </c>
      <c r="K112" s="33" t="str">
        <f>IF(Расчёты!$E90=1,Расчёты!$AK90,"")</f>
        <v/>
      </c>
      <c r="L112" s="33" t="str">
        <f>IF(Расчёты!$E90=1,Расчёты!$I90,"")</f>
        <v/>
      </c>
      <c r="M112" s="33" t="str">
        <f>IF(Расчёты!$E90=1,Расчёты!$J90,"")</f>
        <v/>
      </c>
      <c r="N112" s="33" t="str">
        <f>IF(Расчёты!$E90=1,Расчёты!$K90,"")</f>
        <v/>
      </c>
      <c r="O112" s="33" t="str">
        <f>IF(Расчёты!$E90=1,Расчёты!$L90,"")</f>
        <v/>
      </c>
      <c r="P112" s="33" t="str">
        <f>IF(Расчёты!$E90=1,Расчёты!$M90,"")</f>
        <v/>
      </c>
      <c r="Q112" s="33" t="str">
        <f>IF(Расчёты!$E90=1,Расчёты!$N90,"")</f>
        <v/>
      </c>
      <c r="R112" s="33" t="str">
        <f>IF(Расчёты!$E90=1,Расчёты!$O90,"")</f>
        <v/>
      </c>
      <c r="S112" s="33" t="str">
        <f>IF(Расчёты!$E90=1,Расчёты!$Q90,"")</f>
        <v/>
      </c>
      <c r="T112" s="33" t="str">
        <f>IF(Расчёты!$E90=1,Расчёты!$S90,"")</f>
        <v/>
      </c>
      <c r="U112" s="33" t="str">
        <f>IF(Расчёты!$E90=1,Расчёты!$U90,"")</f>
        <v/>
      </c>
      <c r="V112" s="33" t="str">
        <f>IF(Расчёты!$E90=1,Расчёты!$W90,"")</f>
        <v/>
      </c>
      <c r="W112" s="33" t="str">
        <f>IF(Расчёты!$E90=1,Расчёты!$X90,"")</f>
        <v/>
      </c>
      <c r="X112" s="33" t="str">
        <f>IF(Расчёты!$E90=1,Расчёты!$Y90,"")</f>
        <v/>
      </c>
      <c r="Y112" s="33" t="str">
        <f>IF(Расчёты!$E90=1,Расчёты!$AL90,"")</f>
        <v/>
      </c>
      <c r="Z112" s="33" t="str">
        <f>IF(Расчёты!$E90=1,Расчёты!$AP90,"")</f>
        <v/>
      </c>
      <c r="AA112" s="33" t="str">
        <f>IF(Расчёты!$E90=1,Расчёты!$AS90,"")</f>
        <v/>
      </c>
      <c r="AB112" s="33" t="str">
        <f>IF(Расчёты!$E90=1,Расчёты!$AV90,"")</f>
        <v/>
      </c>
      <c r="AC112" s="33" t="str">
        <f>IF(Расчёты!$E90=1,Расчёты!$AW90,"")</f>
        <v/>
      </c>
      <c r="AD112" s="33" t="str">
        <f>IF(Расчёты!$E90=1,Расчёты!$AX90,"")</f>
        <v/>
      </c>
      <c r="AE112" s="33" t="str">
        <f>IF(Расчёты!$E90=1,Расчёты!$AY90,"")</f>
        <v/>
      </c>
      <c r="AF112" s="33" t="str">
        <f>IF(Расчёты!$E90=1,Расчёты!$BA90,"")</f>
        <v/>
      </c>
      <c r="AG112" s="33" t="str">
        <f>IF(Расчёты!$E90=1,Расчёты!$BB90,"")</f>
        <v/>
      </c>
      <c r="AH112" s="33" t="str">
        <f>IF(Расчёты!$E90=1,Расчёты!$BC90,"")</f>
        <v/>
      </c>
      <c r="AI112" s="33" t="str">
        <f>IF(Расчёты!$E90=1,Расчёты!$AU90,"")</f>
        <v/>
      </c>
      <c r="AJ112" s="33" t="str">
        <f>IF(Расчёты!$E90=1,Расчёты!$BF90,"")</f>
        <v/>
      </c>
      <c r="AK112" s="33" t="str">
        <f>IF(Расчёты!$E90=1,Расчёты!$BG90,"")</f>
        <v/>
      </c>
      <c r="AM112" s="17" t="str">
        <f t="shared" si="14"/>
        <v/>
      </c>
      <c r="AN112" s="35" t="str">
        <f t="shared" si="15"/>
        <v/>
      </c>
      <c r="AP112" s="17" t="str">
        <f t="shared" si="16"/>
        <v/>
      </c>
      <c r="AQ112" s="35" t="str">
        <f t="shared" si="17"/>
        <v/>
      </c>
      <c r="AV112" s="17" t="str">
        <f t="shared" si="18"/>
        <v/>
      </c>
      <c r="AW112" s="35" t="str">
        <f t="shared" si="19"/>
        <v/>
      </c>
      <c r="AX112" s="35" t="str">
        <f t="shared" si="20"/>
        <v/>
      </c>
    </row>
    <row r="113" spans="1:50" x14ac:dyDescent="0.2">
      <c r="A113" s="18" t="str">
        <f>IF(Расчёты!$E91=1,Расчёты!$B91,"")</f>
        <v/>
      </c>
      <c r="B113" s="34" t="str">
        <f>IF(Расчёты!$E91=1,Расчёты!$D91,"")</f>
        <v/>
      </c>
      <c r="C113" s="33" t="str">
        <f>IF(Расчёты!$E91=1,Расчёты!$Z91,"")</f>
        <v/>
      </c>
      <c r="D113" s="33" t="str">
        <f>IF(Расчёты!$E91=1,Расчёты!$AA91,"")</f>
        <v/>
      </c>
      <c r="E113" s="33" t="str">
        <f>IF(Расчёты!$E91=1,Расчёты!$AB91,"")</f>
        <v/>
      </c>
      <c r="F113" s="33" t="str">
        <f>IF(Расчёты!$E91=1,Расчёты!$AC91,"")</f>
        <v/>
      </c>
      <c r="G113" s="33" t="str">
        <f>IF(Расчёты!$E91=1,Расчёты!$AD91,"")</f>
        <v/>
      </c>
      <c r="H113" s="33" t="str">
        <f>IF(Расчёты!$E91=1,Расчёты!$AI91,"")</f>
        <v/>
      </c>
      <c r="I113" s="33" t="str">
        <f>IF(Расчёты!$E91=1,Расчёты!$AG91,"")</f>
        <v/>
      </c>
      <c r="J113" s="33" t="str">
        <f>IF(Расчёты!$E91=1,Расчёты!$AJ91,"")</f>
        <v/>
      </c>
      <c r="K113" s="33" t="str">
        <f>IF(Расчёты!$E91=1,Расчёты!$AK91,"")</f>
        <v/>
      </c>
      <c r="L113" s="33" t="str">
        <f>IF(Расчёты!$E91=1,Расчёты!$I91,"")</f>
        <v/>
      </c>
      <c r="M113" s="33" t="str">
        <f>IF(Расчёты!$E91=1,Расчёты!$J91,"")</f>
        <v/>
      </c>
      <c r="N113" s="33" t="str">
        <f>IF(Расчёты!$E91=1,Расчёты!$K91,"")</f>
        <v/>
      </c>
      <c r="O113" s="33" t="str">
        <f>IF(Расчёты!$E91=1,Расчёты!$L91,"")</f>
        <v/>
      </c>
      <c r="P113" s="33" t="str">
        <f>IF(Расчёты!$E91=1,Расчёты!$M91,"")</f>
        <v/>
      </c>
      <c r="Q113" s="33" t="str">
        <f>IF(Расчёты!$E91=1,Расчёты!$N91,"")</f>
        <v/>
      </c>
      <c r="R113" s="33" t="str">
        <f>IF(Расчёты!$E91=1,Расчёты!$O91,"")</f>
        <v/>
      </c>
      <c r="S113" s="33" t="str">
        <f>IF(Расчёты!$E91=1,Расчёты!$Q91,"")</f>
        <v/>
      </c>
      <c r="T113" s="33" t="str">
        <f>IF(Расчёты!$E91=1,Расчёты!$S91,"")</f>
        <v/>
      </c>
      <c r="U113" s="33" t="str">
        <f>IF(Расчёты!$E91=1,Расчёты!$U91,"")</f>
        <v/>
      </c>
      <c r="V113" s="33" t="str">
        <f>IF(Расчёты!$E91=1,Расчёты!$W91,"")</f>
        <v/>
      </c>
      <c r="W113" s="33" t="str">
        <f>IF(Расчёты!$E91=1,Расчёты!$X91,"")</f>
        <v/>
      </c>
      <c r="X113" s="33" t="str">
        <f>IF(Расчёты!$E91=1,Расчёты!$Y91,"")</f>
        <v/>
      </c>
      <c r="Y113" s="33" t="str">
        <f>IF(Расчёты!$E91=1,Расчёты!$AL91,"")</f>
        <v/>
      </c>
      <c r="Z113" s="33" t="str">
        <f>IF(Расчёты!$E91=1,Расчёты!$AP91,"")</f>
        <v/>
      </c>
      <c r="AA113" s="33" t="str">
        <f>IF(Расчёты!$E91=1,Расчёты!$AS91,"")</f>
        <v/>
      </c>
      <c r="AB113" s="33" t="str">
        <f>IF(Расчёты!$E91=1,Расчёты!$AV91,"")</f>
        <v/>
      </c>
      <c r="AC113" s="33" t="str">
        <f>IF(Расчёты!$E91=1,Расчёты!$AW91,"")</f>
        <v/>
      </c>
      <c r="AD113" s="33" t="str">
        <f>IF(Расчёты!$E91=1,Расчёты!$AX91,"")</f>
        <v/>
      </c>
      <c r="AE113" s="33" t="str">
        <f>IF(Расчёты!$E91=1,Расчёты!$AY91,"")</f>
        <v/>
      </c>
      <c r="AF113" s="33" t="str">
        <f>IF(Расчёты!$E91=1,Расчёты!$BA91,"")</f>
        <v/>
      </c>
      <c r="AG113" s="33" t="str">
        <f>IF(Расчёты!$E91=1,Расчёты!$BB91,"")</f>
        <v/>
      </c>
      <c r="AH113" s="33" t="str">
        <f>IF(Расчёты!$E91=1,Расчёты!$BC91,"")</f>
        <v/>
      </c>
      <c r="AI113" s="33" t="str">
        <f>IF(Расчёты!$E91=1,Расчёты!$AU91,"")</f>
        <v/>
      </c>
      <c r="AJ113" s="33" t="str">
        <f>IF(Расчёты!$E91=1,Расчёты!$BF91,"")</f>
        <v/>
      </c>
      <c r="AK113" s="33" t="str">
        <f>IF(Расчёты!$E91=1,Расчёты!$BG91,"")</f>
        <v/>
      </c>
      <c r="AM113" s="17" t="str">
        <f t="shared" si="14"/>
        <v/>
      </c>
      <c r="AN113" s="35" t="str">
        <f t="shared" si="15"/>
        <v/>
      </c>
      <c r="AP113" s="17" t="str">
        <f t="shared" si="16"/>
        <v/>
      </c>
      <c r="AQ113" s="35" t="str">
        <f t="shared" si="17"/>
        <v/>
      </c>
      <c r="AV113" s="17" t="str">
        <f t="shared" si="18"/>
        <v/>
      </c>
      <c r="AW113" s="35" t="str">
        <f t="shared" si="19"/>
        <v/>
      </c>
      <c r="AX113" s="35" t="str">
        <f t="shared" si="20"/>
        <v/>
      </c>
    </row>
    <row r="114" spans="1:50" x14ac:dyDescent="0.2">
      <c r="A114" s="18" t="str">
        <f>IF(Расчёты!$E92=1,Расчёты!$B92,"")</f>
        <v/>
      </c>
      <c r="B114" s="34" t="str">
        <f>IF(Расчёты!$E92=1,Расчёты!$D92,"")</f>
        <v/>
      </c>
      <c r="C114" s="33" t="str">
        <f>IF(Расчёты!$E92=1,Расчёты!$Z92,"")</f>
        <v/>
      </c>
      <c r="D114" s="33" t="str">
        <f>IF(Расчёты!$E92=1,Расчёты!$AA92,"")</f>
        <v/>
      </c>
      <c r="E114" s="33" t="str">
        <f>IF(Расчёты!$E92=1,Расчёты!$AB92,"")</f>
        <v/>
      </c>
      <c r="F114" s="33" t="str">
        <f>IF(Расчёты!$E92=1,Расчёты!$AC92,"")</f>
        <v/>
      </c>
      <c r="G114" s="33" t="str">
        <f>IF(Расчёты!$E92=1,Расчёты!$AD92,"")</f>
        <v/>
      </c>
      <c r="H114" s="33" t="str">
        <f>IF(Расчёты!$E92=1,Расчёты!$AI92,"")</f>
        <v/>
      </c>
      <c r="I114" s="33" t="str">
        <f>IF(Расчёты!$E92=1,Расчёты!$AG92,"")</f>
        <v/>
      </c>
      <c r="J114" s="33" t="str">
        <f>IF(Расчёты!$E92=1,Расчёты!$AJ92,"")</f>
        <v/>
      </c>
      <c r="K114" s="33" t="str">
        <f>IF(Расчёты!$E92=1,Расчёты!$AK92,"")</f>
        <v/>
      </c>
      <c r="L114" s="33" t="str">
        <f>IF(Расчёты!$E92=1,Расчёты!$I92,"")</f>
        <v/>
      </c>
      <c r="M114" s="33" t="str">
        <f>IF(Расчёты!$E92=1,Расчёты!$J92,"")</f>
        <v/>
      </c>
      <c r="N114" s="33" t="str">
        <f>IF(Расчёты!$E92=1,Расчёты!$K92,"")</f>
        <v/>
      </c>
      <c r="O114" s="33" t="str">
        <f>IF(Расчёты!$E92=1,Расчёты!$L92,"")</f>
        <v/>
      </c>
      <c r="P114" s="33" t="str">
        <f>IF(Расчёты!$E92=1,Расчёты!$M92,"")</f>
        <v/>
      </c>
      <c r="Q114" s="33" t="str">
        <f>IF(Расчёты!$E92=1,Расчёты!$N92,"")</f>
        <v/>
      </c>
      <c r="R114" s="33" t="str">
        <f>IF(Расчёты!$E92=1,Расчёты!$O92,"")</f>
        <v/>
      </c>
      <c r="S114" s="33" t="str">
        <f>IF(Расчёты!$E92=1,Расчёты!$Q92,"")</f>
        <v/>
      </c>
      <c r="T114" s="33" t="str">
        <f>IF(Расчёты!$E92=1,Расчёты!$S92,"")</f>
        <v/>
      </c>
      <c r="U114" s="33" t="str">
        <f>IF(Расчёты!$E92=1,Расчёты!$U92,"")</f>
        <v/>
      </c>
      <c r="V114" s="33" t="str">
        <f>IF(Расчёты!$E92=1,Расчёты!$W92,"")</f>
        <v/>
      </c>
      <c r="W114" s="33" t="str">
        <f>IF(Расчёты!$E92=1,Расчёты!$X92,"")</f>
        <v/>
      </c>
      <c r="X114" s="33" t="str">
        <f>IF(Расчёты!$E92=1,Расчёты!$Y92,"")</f>
        <v/>
      </c>
      <c r="Y114" s="33" t="str">
        <f>IF(Расчёты!$E92=1,Расчёты!$AL92,"")</f>
        <v/>
      </c>
      <c r="Z114" s="33" t="str">
        <f>IF(Расчёты!$E92=1,Расчёты!$AP92,"")</f>
        <v/>
      </c>
      <c r="AA114" s="33" t="str">
        <f>IF(Расчёты!$E92=1,Расчёты!$AS92,"")</f>
        <v/>
      </c>
      <c r="AB114" s="33" t="str">
        <f>IF(Расчёты!$E92=1,Расчёты!$AV92,"")</f>
        <v/>
      </c>
      <c r="AC114" s="33" t="str">
        <f>IF(Расчёты!$E92=1,Расчёты!$AW92,"")</f>
        <v/>
      </c>
      <c r="AD114" s="33" t="str">
        <f>IF(Расчёты!$E92=1,Расчёты!$AX92,"")</f>
        <v/>
      </c>
      <c r="AE114" s="33" t="str">
        <f>IF(Расчёты!$E92=1,Расчёты!$AY92,"")</f>
        <v/>
      </c>
      <c r="AF114" s="33" t="str">
        <f>IF(Расчёты!$E92=1,Расчёты!$BA92,"")</f>
        <v/>
      </c>
      <c r="AG114" s="33" t="str">
        <f>IF(Расчёты!$E92=1,Расчёты!$BB92,"")</f>
        <v/>
      </c>
      <c r="AH114" s="33" t="str">
        <f>IF(Расчёты!$E92=1,Расчёты!$BC92,"")</f>
        <v/>
      </c>
      <c r="AI114" s="33" t="str">
        <f>IF(Расчёты!$E92=1,Расчёты!$AU92,"")</f>
        <v/>
      </c>
      <c r="AJ114" s="33" t="str">
        <f>IF(Расчёты!$E92=1,Расчёты!$BF92,"")</f>
        <v/>
      </c>
      <c r="AK114" s="33" t="str">
        <f>IF(Расчёты!$E92=1,Расчёты!$BG92,"")</f>
        <v/>
      </c>
      <c r="AM114" s="17" t="str">
        <f t="shared" si="14"/>
        <v/>
      </c>
      <c r="AN114" s="35" t="str">
        <f t="shared" si="15"/>
        <v/>
      </c>
      <c r="AP114" s="17" t="str">
        <f t="shared" si="16"/>
        <v/>
      </c>
      <c r="AQ114" s="35" t="str">
        <f t="shared" si="17"/>
        <v/>
      </c>
      <c r="AV114" s="17" t="str">
        <f t="shared" si="18"/>
        <v/>
      </c>
      <c r="AW114" s="35" t="str">
        <f t="shared" si="19"/>
        <v/>
      </c>
      <c r="AX114" s="35" t="str">
        <f t="shared" si="20"/>
        <v/>
      </c>
    </row>
    <row r="115" spans="1:50" x14ac:dyDescent="0.2">
      <c r="A115" s="18" t="str">
        <f>IF(Расчёты!$E93=1,Расчёты!$B93,"")</f>
        <v/>
      </c>
      <c r="B115" s="34" t="str">
        <f>IF(Расчёты!$E93=1,Расчёты!$D93,"")</f>
        <v/>
      </c>
      <c r="C115" s="33" t="str">
        <f>IF(Расчёты!$E93=1,Расчёты!$Z93,"")</f>
        <v/>
      </c>
      <c r="D115" s="33" t="str">
        <f>IF(Расчёты!$E93=1,Расчёты!$AA93,"")</f>
        <v/>
      </c>
      <c r="E115" s="33" t="str">
        <f>IF(Расчёты!$E93=1,Расчёты!$AB93,"")</f>
        <v/>
      </c>
      <c r="F115" s="33" t="str">
        <f>IF(Расчёты!$E93=1,Расчёты!$AC93,"")</f>
        <v/>
      </c>
      <c r="G115" s="33" t="str">
        <f>IF(Расчёты!$E93=1,Расчёты!$AD93,"")</f>
        <v/>
      </c>
      <c r="H115" s="33" t="str">
        <f>IF(Расчёты!$E93=1,Расчёты!$AI93,"")</f>
        <v/>
      </c>
      <c r="I115" s="33" t="str">
        <f>IF(Расчёты!$E93=1,Расчёты!$AG93,"")</f>
        <v/>
      </c>
      <c r="J115" s="33" t="str">
        <f>IF(Расчёты!$E93=1,Расчёты!$AJ93,"")</f>
        <v/>
      </c>
      <c r="K115" s="33" t="str">
        <f>IF(Расчёты!$E93=1,Расчёты!$AK93,"")</f>
        <v/>
      </c>
      <c r="L115" s="33" t="str">
        <f>IF(Расчёты!$E93=1,Расчёты!$I93,"")</f>
        <v/>
      </c>
      <c r="M115" s="33" t="str">
        <f>IF(Расчёты!$E93=1,Расчёты!$J93,"")</f>
        <v/>
      </c>
      <c r="N115" s="33" t="str">
        <f>IF(Расчёты!$E93=1,Расчёты!$K93,"")</f>
        <v/>
      </c>
      <c r="O115" s="33" t="str">
        <f>IF(Расчёты!$E93=1,Расчёты!$L93,"")</f>
        <v/>
      </c>
      <c r="P115" s="33" t="str">
        <f>IF(Расчёты!$E93=1,Расчёты!$M93,"")</f>
        <v/>
      </c>
      <c r="Q115" s="33" t="str">
        <f>IF(Расчёты!$E93=1,Расчёты!$N93,"")</f>
        <v/>
      </c>
      <c r="R115" s="33" t="str">
        <f>IF(Расчёты!$E93=1,Расчёты!$O93,"")</f>
        <v/>
      </c>
      <c r="S115" s="33" t="str">
        <f>IF(Расчёты!$E93=1,Расчёты!$Q93,"")</f>
        <v/>
      </c>
      <c r="T115" s="33" t="str">
        <f>IF(Расчёты!$E93=1,Расчёты!$S93,"")</f>
        <v/>
      </c>
      <c r="U115" s="33" t="str">
        <f>IF(Расчёты!$E93=1,Расчёты!$U93,"")</f>
        <v/>
      </c>
      <c r="V115" s="33" t="str">
        <f>IF(Расчёты!$E93=1,Расчёты!$W93,"")</f>
        <v/>
      </c>
      <c r="W115" s="33" t="str">
        <f>IF(Расчёты!$E93=1,Расчёты!$X93,"")</f>
        <v/>
      </c>
      <c r="X115" s="33" t="str">
        <f>IF(Расчёты!$E93=1,Расчёты!$Y93,"")</f>
        <v/>
      </c>
      <c r="Y115" s="33" t="str">
        <f>IF(Расчёты!$E93=1,Расчёты!$AL93,"")</f>
        <v/>
      </c>
      <c r="Z115" s="33" t="str">
        <f>IF(Расчёты!$E93=1,Расчёты!$AP93,"")</f>
        <v/>
      </c>
      <c r="AA115" s="33" t="str">
        <f>IF(Расчёты!$E93=1,Расчёты!$AS93,"")</f>
        <v/>
      </c>
      <c r="AB115" s="33" t="str">
        <f>IF(Расчёты!$E93=1,Расчёты!$AV93,"")</f>
        <v/>
      </c>
      <c r="AC115" s="33" t="str">
        <f>IF(Расчёты!$E93=1,Расчёты!$AW93,"")</f>
        <v/>
      </c>
      <c r="AD115" s="33" t="str">
        <f>IF(Расчёты!$E93=1,Расчёты!$AX93,"")</f>
        <v/>
      </c>
      <c r="AE115" s="33" t="str">
        <f>IF(Расчёты!$E93=1,Расчёты!$AY93,"")</f>
        <v/>
      </c>
      <c r="AF115" s="33" t="str">
        <f>IF(Расчёты!$E93=1,Расчёты!$BA93,"")</f>
        <v/>
      </c>
      <c r="AG115" s="33" t="str">
        <f>IF(Расчёты!$E93=1,Расчёты!$BB93,"")</f>
        <v/>
      </c>
      <c r="AH115" s="33" t="str">
        <f>IF(Расчёты!$E93=1,Расчёты!$BC93,"")</f>
        <v/>
      </c>
      <c r="AI115" s="33" t="str">
        <f>IF(Расчёты!$E93=1,Расчёты!$AU93,"")</f>
        <v/>
      </c>
      <c r="AJ115" s="33" t="str">
        <f>IF(Расчёты!$E93=1,Расчёты!$BF93,"")</f>
        <v/>
      </c>
      <c r="AK115" s="33" t="str">
        <f>IF(Расчёты!$E93=1,Расчёты!$BG93,"")</f>
        <v/>
      </c>
      <c r="AM115" s="17" t="str">
        <f t="shared" si="14"/>
        <v/>
      </c>
      <c r="AN115" s="35" t="str">
        <f t="shared" si="15"/>
        <v/>
      </c>
      <c r="AP115" s="17" t="str">
        <f t="shared" si="16"/>
        <v/>
      </c>
      <c r="AQ115" s="35" t="str">
        <f t="shared" si="17"/>
        <v/>
      </c>
      <c r="AV115" s="17" t="str">
        <f t="shared" si="18"/>
        <v/>
      </c>
      <c r="AW115" s="35" t="str">
        <f t="shared" si="19"/>
        <v/>
      </c>
      <c r="AX115" s="35" t="str">
        <f t="shared" si="20"/>
        <v/>
      </c>
    </row>
    <row r="116" spans="1:50" x14ac:dyDescent="0.2">
      <c r="A116" s="18" t="str">
        <f>IF(Расчёты!$E94=1,Расчёты!$B94,"")</f>
        <v/>
      </c>
      <c r="B116" s="34" t="str">
        <f>IF(Расчёты!$E94=1,Расчёты!$D94,"")</f>
        <v/>
      </c>
      <c r="C116" s="33" t="str">
        <f>IF(Расчёты!$E94=1,Расчёты!$Z94,"")</f>
        <v/>
      </c>
      <c r="D116" s="33" t="str">
        <f>IF(Расчёты!$E94=1,Расчёты!$AA94,"")</f>
        <v/>
      </c>
      <c r="E116" s="33" t="str">
        <f>IF(Расчёты!$E94=1,Расчёты!$AB94,"")</f>
        <v/>
      </c>
      <c r="F116" s="33" t="str">
        <f>IF(Расчёты!$E94=1,Расчёты!$AC94,"")</f>
        <v/>
      </c>
      <c r="G116" s="33" t="str">
        <f>IF(Расчёты!$E94=1,Расчёты!$AD94,"")</f>
        <v/>
      </c>
      <c r="H116" s="33" t="str">
        <f>IF(Расчёты!$E94=1,Расчёты!$AI94,"")</f>
        <v/>
      </c>
      <c r="I116" s="33" t="str">
        <f>IF(Расчёты!$E94=1,Расчёты!$AG94,"")</f>
        <v/>
      </c>
      <c r="J116" s="33" t="str">
        <f>IF(Расчёты!$E94=1,Расчёты!$AJ94,"")</f>
        <v/>
      </c>
      <c r="K116" s="33" t="str">
        <f>IF(Расчёты!$E94=1,Расчёты!$AK94,"")</f>
        <v/>
      </c>
      <c r="L116" s="33" t="str">
        <f>IF(Расчёты!$E94=1,Расчёты!$I94,"")</f>
        <v/>
      </c>
      <c r="M116" s="33" t="str">
        <f>IF(Расчёты!$E94=1,Расчёты!$J94,"")</f>
        <v/>
      </c>
      <c r="N116" s="33" t="str">
        <f>IF(Расчёты!$E94=1,Расчёты!$K94,"")</f>
        <v/>
      </c>
      <c r="O116" s="33" t="str">
        <f>IF(Расчёты!$E94=1,Расчёты!$L94,"")</f>
        <v/>
      </c>
      <c r="P116" s="33" t="str">
        <f>IF(Расчёты!$E94=1,Расчёты!$M94,"")</f>
        <v/>
      </c>
      <c r="Q116" s="33" t="str">
        <f>IF(Расчёты!$E94=1,Расчёты!$N94,"")</f>
        <v/>
      </c>
      <c r="R116" s="33" t="str">
        <f>IF(Расчёты!$E94=1,Расчёты!$O94,"")</f>
        <v/>
      </c>
      <c r="S116" s="33" t="str">
        <f>IF(Расчёты!$E94=1,Расчёты!$Q94,"")</f>
        <v/>
      </c>
      <c r="T116" s="33" t="str">
        <f>IF(Расчёты!$E94=1,Расчёты!$S94,"")</f>
        <v/>
      </c>
      <c r="U116" s="33" t="str">
        <f>IF(Расчёты!$E94=1,Расчёты!$U94,"")</f>
        <v/>
      </c>
      <c r="V116" s="33" t="str">
        <f>IF(Расчёты!$E94=1,Расчёты!$W94,"")</f>
        <v/>
      </c>
      <c r="W116" s="33" t="str">
        <f>IF(Расчёты!$E94=1,Расчёты!$X94,"")</f>
        <v/>
      </c>
      <c r="X116" s="33" t="str">
        <f>IF(Расчёты!$E94=1,Расчёты!$Y94,"")</f>
        <v/>
      </c>
      <c r="Y116" s="33" t="str">
        <f>IF(Расчёты!$E94=1,Расчёты!$AL94,"")</f>
        <v/>
      </c>
      <c r="Z116" s="33" t="str">
        <f>IF(Расчёты!$E94=1,Расчёты!$AP94,"")</f>
        <v/>
      </c>
      <c r="AA116" s="33" t="str">
        <f>IF(Расчёты!$E94=1,Расчёты!$AS94,"")</f>
        <v/>
      </c>
      <c r="AB116" s="33" t="str">
        <f>IF(Расчёты!$E94=1,Расчёты!$AV94,"")</f>
        <v/>
      </c>
      <c r="AC116" s="33" t="str">
        <f>IF(Расчёты!$E94=1,Расчёты!$AW94,"")</f>
        <v/>
      </c>
      <c r="AD116" s="33" t="str">
        <f>IF(Расчёты!$E94=1,Расчёты!$AX94,"")</f>
        <v/>
      </c>
      <c r="AE116" s="33" t="str">
        <f>IF(Расчёты!$E94=1,Расчёты!$AY94,"")</f>
        <v/>
      </c>
      <c r="AF116" s="33" t="str">
        <f>IF(Расчёты!$E94=1,Расчёты!$BA94,"")</f>
        <v/>
      </c>
      <c r="AG116" s="33" t="str">
        <f>IF(Расчёты!$E94=1,Расчёты!$BB94,"")</f>
        <v/>
      </c>
      <c r="AH116" s="33" t="str">
        <f>IF(Расчёты!$E94=1,Расчёты!$BC94,"")</f>
        <v/>
      </c>
      <c r="AI116" s="33" t="str">
        <f>IF(Расчёты!$E94=1,Расчёты!$AU94,"")</f>
        <v/>
      </c>
      <c r="AJ116" s="33" t="str">
        <f>IF(Расчёты!$E94=1,Расчёты!$BF94,"")</f>
        <v/>
      </c>
      <c r="AK116" s="33" t="str">
        <f>IF(Расчёты!$E94=1,Расчёты!$BG94,"")</f>
        <v/>
      </c>
      <c r="AM116" s="17" t="str">
        <f t="shared" si="14"/>
        <v/>
      </c>
      <c r="AN116" s="35" t="str">
        <f t="shared" si="15"/>
        <v/>
      </c>
      <c r="AP116" s="17" t="str">
        <f t="shared" si="16"/>
        <v/>
      </c>
      <c r="AQ116" s="35" t="str">
        <f t="shared" si="17"/>
        <v/>
      </c>
      <c r="AV116" s="17" t="str">
        <f t="shared" si="18"/>
        <v/>
      </c>
      <c r="AW116" s="35" t="str">
        <f t="shared" si="19"/>
        <v/>
      </c>
      <c r="AX116" s="35" t="str">
        <f t="shared" si="20"/>
        <v/>
      </c>
    </row>
    <row r="117" spans="1:50" x14ac:dyDescent="0.2">
      <c r="A117" s="18" t="str">
        <f>IF(Расчёты!$E95=1,Расчёты!$B95,"")</f>
        <v/>
      </c>
      <c r="B117" s="34" t="str">
        <f>IF(Расчёты!$E95=1,Расчёты!$D95,"")</f>
        <v/>
      </c>
      <c r="C117" s="33" t="str">
        <f>IF(Расчёты!$E95=1,Расчёты!$Z95,"")</f>
        <v/>
      </c>
      <c r="D117" s="33" t="str">
        <f>IF(Расчёты!$E95=1,Расчёты!$AA95,"")</f>
        <v/>
      </c>
      <c r="E117" s="33" t="str">
        <f>IF(Расчёты!$E95=1,Расчёты!$AB95,"")</f>
        <v/>
      </c>
      <c r="F117" s="33" t="str">
        <f>IF(Расчёты!$E95=1,Расчёты!$AC95,"")</f>
        <v/>
      </c>
      <c r="G117" s="33" t="str">
        <f>IF(Расчёты!$E95=1,Расчёты!$AD95,"")</f>
        <v/>
      </c>
      <c r="H117" s="33" t="str">
        <f>IF(Расчёты!$E95=1,Расчёты!$AI95,"")</f>
        <v/>
      </c>
      <c r="I117" s="33" t="str">
        <f>IF(Расчёты!$E95=1,Расчёты!$AG95,"")</f>
        <v/>
      </c>
      <c r="J117" s="33" t="str">
        <f>IF(Расчёты!$E95=1,Расчёты!$AJ95,"")</f>
        <v/>
      </c>
      <c r="K117" s="33" t="str">
        <f>IF(Расчёты!$E95=1,Расчёты!$AK95,"")</f>
        <v/>
      </c>
      <c r="L117" s="33" t="str">
        <f>IF(Расчёты!$E95=1,Расчёты!$I95,"")</f>
        <v/>
      </c>
      <c r="M117" s="33" t="str">
        <f>IF(Расчёты!$E95=1,Расчёты!$J95,"")</f>
        <v/>
      </c>
      <c r="N117" s="33" t="str">
        <f>IF(Расчёты!$E95=1,Расчёты!$K95,"")</f>
        <v/>
      </c>
      <c r="O117" s="33" t="str">
        <f>IF(Расчёты!$E95=1,Расчёты!$L95,"")</f>
        <v/>
      </c>
      <c r="P117" s="33" t="str">
        <f>IF(Расчёты!$E95=1,Расчёты!$M95,"")</f>
        <v/>
      </c>
      <c r="Q117" s="33" t="str">
        <f>IF(Расчёты!$E95=1,Расчёты!$N95,"")</f>
        <v/>
      </c>
      <c r="R117" s="33" t="str">
        <f>IF(Расчёты!$E95=1,Расчёты!$O95,"")</f>
        <v/>
      </c>
      <c r="S117" s="33" t="str">
        <f>IF(Расчёты!$E95=1,Расчёты!$Q95,"")</f>
        <v/>
      </c>
      <c r="T117" s="33" t="str">
        <f>IF(Расчёты!$E95=1,Расчёты!$S95,"")</f>
        <v/>
      </c>
      <c r="U117" s="33" t="str">
        <f>IF(Расчёты!$E95=1,Расчёты!$U95,"")</f>
        <v/>
      </c>
      <c r="V117" s="33" t="str">
        <f>IF(Расчёты!$E95=1,Расчёты!$W95,"")</f>
        <v/>
      </c>
      <c r="W117" s="33" t="str">
        <f>IF(Расчёты!$E95=1,Расчёты!$X95,"")</f>
        <v/>
      </c>
      <c r="X117" s="33" t="str">
        <f>IF(Расчёты!$E95=1,Расчёты!$Y95,"")</f>
        <v/>
      </c>
      <c r="Y117" s="33" t="str">
        <f>IF(Расчёты!$E95=1,Расчёты!$AL95,"")</f>
        <v/>
      </c>
      <c r="Z117" s="33" t="str">
        <f>IF(Расчёты!$E95=1,Расчёты!$AP95,"")</f>
        <v/>
      </c>
      <c r="AA117" s="33" t="str">
        <f>IF(Расчёты!$E95=1,Расчёты!$AS95,"")</f>
        <v/>
      </c>
      <c r="AB117" s="33" t="str">
        <f>IF(Расчёты!$E95=1,Расчёты!$AV95,"")</f>
        <v/>
      </c>
      <c r="AC117" s="33" t="str">
        <f>IF(Расчёты!$E95=1,Расчёты!$AW95,"")</f>
        <v/>
      </c>
      <c r="AD117" s="33" t="str">
        <f>IF(Расчёты!$E95=1,Расчёты!$AX95,"")</f>
        <v/>
      </c>
      <c r="AE117" s="33" t="str">
        <f>IF(Расчёты!$E95=1,Расчёты!$AY95,"")</f>
        <v/>
      </c>
      <c r="AF117" s="33" t="str">
        <f>IF(Расчёты!$E95=1,Расчёты!$BA95,"")</f>
        <v/>
      </c>
      <c r="AG117" s="33" t="str">
        <f>IF(Расчёты!$E95=1,Расчёты!$BB95,"")</f>
        <v/>
      </c>
      <c r="AH117" s="33" t="str">
        <f>IF(Расчёты!$E95=1,Расчёты!$BC95,"")</f>
        <v/>
      </c>
      <c r="AI117" s="33" t="str">
        <f>IF(Расчёты!$E95=1,Расчёты!$AU95,"")</f>
        <v/>
      </c>
      <c r="AJ117" s="33" t="str">
        <f>IF(Расчёты!$E95=1,Расчёты!$BF95,"")</f>
        <v/>
      </c>
      <c r="AK117" s="33" t="str">
        <f>IF(Расчёты!$E95=1,Расчёты!$BG95,"")</f>
        <v/>
      </c>
      <c r="AM117" s="17" t="str">
        <f t="shared" si="14"/>
        <v/>
      </c>
      <c r="AN117" s="35" t="str">
        <f t="shared" si="15"/>
        <v/>
      </c>
      <c r="AP117" s="17" t="str">
        <f t="shared" si="16"/>
        <v/>
      </c>
      <c r="AQ117" s="35" t="str">
        <f t="shared" si="17"/>
        <v/>
      </c>
      <c r="AV117" s="17" t="str">
        <f t="shared" si="18"/>
        <v/>
      </c>
      <c r="AW117" s="35" t="str">
        <f t="shared" si="19"/>
        <v/>
      </c>
      <c r="AX117" s="35" t="str">
        <f t="shared" si="20"/>
        <v/>
      </c>
    </row>
    <row r="118" spans="1:50" x14ac:dyDescent="0.2">
      <c r="A118" s="18" t="str">
        <f>IF(Расчёты!$E96=1,Расчёты!$B96,"")</f>
        <v/>
      </c>
      <c r="B118" s="34" t="str">
        <f>IF(Расчёты!$E96=1,Расчёты!$D96,"")</f>
        <v/>
      </c>
      <c r="C118" s="33" t="str">
        <f>IF(Расчёты!$E96=1,Расчёты!$Z96,"")</f>
        <v/>
      </c>
      <c r="D118" s="33" t="str">
        <f>IF(Расчёты!$E96=1,Расчёты!$AA96,"")</f>
        <v/>
      </c>
      <c r="E118" s="33" t="str">
        <f>IF(Расчёты!$E96=1,Расчёты!$AB96,"")</f>
        <v/>
      </c>
      <c r="F118" s="33" t="str">
        <f>IF(Расчёты!$E96=1,Расчёты!$AC96,"")</f>
        <v/>
      </c>
      <c r="G118" s="33" t="str">
        <f>IF(Расчёты!$E96=1,Расчёты!$AD96,"")</f>
        <v/>
      </c>
      <c r="H118" s="33" t="str">
        <f>IF(Расчёты!$E96=1,Расчёты!$AI96,"")</f>
        <v/>
      </c>
      <c r="I118" s="33" t="str">
        <f>IF(Расчёты!$E96=1,Расчёты!$AG96,"")</f>
        <v/>
      </c>
      <c r="J118" s="33" t="str">
        <f>IF(Расчёты!$E96=1,Расчёты!$AJ96,"")</f>
        <v/>
      </c>
      <c r="K118" s="33" t="str">
        <f>IF(Расчёты!$E96=1,Расчёты!$AK96,"")</f>
        <v/>
      </c>
      <c r="L118" s="33" t="str">
        <f>IF(Расчёты!$E96=1,Расчёты!$I96,"")</f>
        <v/>
      </c>
      <c r="M118" s="33" t="str">
        <f>IF(Расчёты!$E96=1,Расчёты!$J96,"")</f>
        <v/>
      </c>
      <c r="N118" s="33" t="str">
        <f>IF(Расчёты!$E96=1,Расчёты!$K96,"")</f>
        <v/>
      </c>
      <c r="O118" s="33" t="str">
        <f>IF(Расчёты!$E96=1,Расчёты!$L96,"")</f>
        <v/>
      </c>
      <c r="P118" s="33" t="str">
        <f>IF(Расчёты!$E96=1,Расчёты!$M96,"")</f>
        <v/>
      </c>
      <c r="Q118" s="33" t="str">
        <f>IF(Расчёты!$E96=1,Расчёты!$N96,"")</f>
        <v/>
      </c>
      <c r="R118" s="33" t="str">
        <f>IF(Расчёты!$E96=1,Расчёты!$O96,"")</f>
        <v/>
      </c>
      <c r="S118" s="33" t="str">
        <f>IF(Расчёты!$E96=1,Расчёты!$Q96,"")</f>
        <v/>
      </c>
      <c r="T118" s="33" t="str">
        <f>IF(Расчёты!$E96=1,Расчёты!$S96,"")</f>
        <v/>
      </c>
      <c r="U118" s="33" t="str">
        <f>IF(Расчёты!$E96=1,Расчёты!$U96,"")</f>
        <v/>
      </c>
      <c r="V118" s="33" t="str">
        <f>IF(Расчёты!$E96=1,Расчёты!$W96,"")</f>
        <v/>
      </c>
      <c r="W118" s="33" t="str">
        <f>IF(Расчёты!$E96=1,Расчёты!$X96,"")</f>
        <v/>
      </c>
      <c r="X118" s="33" t="str">
        <f>IF(Расчёты!$E96=1,Расчёты!$Y96,"")</f>
        <v/>
      </c>
      <c r="Y118" s="33" t="str">
        <f>IF(Расчёты!$E96=1,Расчёты!$AL96,"")</f>
        <v/>
      </c>
      <c r="Z118" s="33" t="str">
        <f>IF(Расчёты!$E96=1,Расчёты!$AP96,"")</f>
        <v/>
      </c>
      <c r="AA118" s="33" t="str">
        <f>IF(Расчёты!$E96=1,Расчёты!$AS96,"")</f>
        <v/>
      </c>
      <c r="AB118" s="33" t="str">
        <f>IF(Расчёты!$E96=1,Расчёты!$AV96,"")</f>
        <v/>
      </c>
      <c r="AC118" s="33" t="str">
        <f>IF(Расчёты!$E96=1,Расчёты!$AW96,"")</f>
        <v/>
      </c>
      <c r="AD118" s="33" t="str">
        <f>IF(Расчёты!$E96=1,Расчёты!$AX96,"")</f>
        <v/>
      </c>
      <c r="AE118" s="33" t="str">
        <f>IF(Расчёты!$E96=1,Расчёты!$AY96,"")</f>
        <v/>
      </c>
      <c r="AF118" s="33" t="str">
        <f>IF(Расчёты!$E96=1,Расчёты!$BA96,"")</f>
        <v/>
      </c>
      <c r="AG118" s="33" t="str">
        <f>IF(Расчёты!$E96=1,Расчёты!$BB96,"")</f>
        <v/>
      </c>
      <c r="AH118" s="33" t="str">
        <f>IF(Расчёты!$E96=1,Расчёты!$BC96,"")</f>
        <v/>
      </c>
      <c r="AI118" s="33" t="str">
        <f>IF(Расчёты!$E96=1,Расчёты!$AU96,"")</f>
        <v/>
      </c>
      <c r="AJ118" s="33" t="str">
        <f>IF(Расчёты!$E96=1,Расчёты!$BF96,"")</f>
        <v/>
      </c>
      <c r="AK118" s="33" t="str">
        <f>IF(Расчёты!$E96=1,Расчёты!$BG96,"")</f>
        <v/>
      </c>
      <c r="AM118" s="17" t="str">
        <f t="shared" si="14"/>
        <v/>
      </c>
      <c r="AN118" s="35" t="str">
        <f t="shared" si="15"/>
        <v/>
      </c>
      <c r="AP118" s="17" t="str">
        <f t="shared" si="16"/>
        <v/>
      </c>
      <c r="AQ118" s="35" t="str">
        <f t="shared" si="17"/>
        <v/>
      </c>
      <c r="AV118" s="17" t="str">
        <f t="shared" si="18"/>
        <v/>
      </c>
      <c r="AW118" s="35" t="str">
        <f t="shared" si="19"/>
        <v/>
      </c>
      <c r="AX118" s="35" t="str">
        <f t="shared" si="20"/>
        <v/>
      </c>
    </row>
    <row r="119" spans="1:50" x14ac:dyDescent="0.2">
      <c r="A119" s="18" t="str">
        <f>IF(Расчёты!$E97=1,Расчёты!$B97,"")</f>
        <v/>
      </c>
      <c r="B119" s="34" t="str">
        <f>IF(Расчёты!$E97=1,Расчёты!$D97,"")</f>
        <v/>
      </c>
      <c r="C119" s="33" t="str">
        <f>IF(Расчёты!$E97=1,Расчёты!$Z97,"")</f>
        <v/>
      </c>
      <c r="D119" s="33" t="str">
        <f>IF(Расчёты!$E97=1,Расчёты!$AA97,"")</f>
        <v/>
      </c>
      <c r="E119" s="33" t="str">
        <f>IF(Расчёты!$E97=1,Расчёты!$AB97,"")</f>
        <v/>
      </c>
      <c r="F119" s="33" t="str">
        <f>IF(Расчёты!$E97=1,Расчёты!$AC97,"")</f>
        <v/>
      </c>
      <c r="G119" s="33" t="str">
        <f>IF(Расчёты!$E97=1,Расчёты!$AD97,"")</f>
        <v/>
      </c>
      <c r="H119" s="33" t="str">
        <f>IF(Расчёты!$E97=1,Расчёты!$AI97,"")</f>
        <v/>
      </c>
      <c r="I119" s="33" t="str">
        <f>IF(Расчёты!$E97=1,Расчёты!$AG97,"")</f>
        <v/>
      </c>
      <c r="J119" s="33" t="str">
        <f>IF(Расчёты!$E97=1,Расчёты!$AJ97,"")</f>
        <v/>
      </c>
      <c r="K119" s="33" t="str">
        <f>IF(Расчёты!$E97=1,Расчёты!$AK97,"")</f>
        <v/>
      </c>
      <c r="L119" s="33" t="str">
        <f>IF(Расчёты!$E97=1,Расчёты!$I97,"")</f>
        <v/>
      </c>
      <c r="M119" s="33" t="str">
        <f>IF(Расчёты!$E97=1,Расчёты!$J97,"")</f>
        <v/>
      </c>
      <c r="N119" s="33" t="str">
        <f>IF(Расчёты!$E97=1,Расчёты!$K97,"")</f>
        <v/>
      </c>
      <c r="O119" s="33" t="str">
        <f>IF(Расчёты!$E97=1,Расчёты!$L97,"")</f>
        <v/>
      </c>
      <c r="P119" s="33" t="str">
        <f>IF(Расчёты!$E97=1,Расчёты!$M97,"")</f>
        <v/>
      </c>
      <c r="Q119" s="33" t="str">
        <f>IF(Расчёты!$E97=1,Расчёты!$N97,"")</f>
        <v/>
      </c>
      <c r="R119" s="33" t="str">
        <f>IF(Расчёты!$E97=1,Расчёты!$O97,"")</f>
        <v/>
      </c>
      <c r="S119" s="33" t="str">
        <f>IF(Расчёты!$E97=1,Расчёты!$Q97,"")</f>
        <v/>
      </c>
      <c r="T119" s="33" t="str">
        <f>IF(Расчёты!$E97=1,Расчёты!$S97,"")</f>
        <v/>
      </c>
      <c r="U119" s="33" t="str">
        <f>IF(Расчёты!$E97=1,Расчёты!$U97,"")</f>
        <v/>
      </c>
      <c r="V119" s="33" t="str">
        <f>IF(Расчёты!$E97=1,Расчёты!$W97,"")</f>
        <v/>
      </c>
      <c r="W119" s="33" t="str">
        <f>IF(Расчёты!$E97=1,Расчёты!$X97,"")</f>
        <v/>
      </c>
      <c r="X119" s="33" t="str">
        <f>IF(Расчёты!$E97=1,Расчёты!$Y97,"")</f>
        <v/>
      </c>
      <c r="Y119" s="33" t="str">
        <f>IF(Расчёты!$E97=1,Расчёты!$AL97,"")</f>
        <v/>
      </c>
      <c r="Z119" s="33" t="str">
        <f>IF(Расчёты!$E97=1,Расчёты!$AP97,"")</f>
        <v/>
      </c>
      <c r="AA119" s="33" t="str">
        <f>IF(Расчёты!$E97=1,Расчёты!$AS97,"")</f>
        <v/>
      </c>
      <c r="AB119" s="33" t="str">
        <f>IF(Расчёты!$E97=1,Расчёты!$AV97,"")</f>
        <v/>
      </c>
      <c r="AC119" s="33" t="str">
        <f>IF(Расчёты!$E97=1,Расчёты!$AW97,"")</f>
        <v/>
      </c>
      <c r="AD119" s="33" t="str">
        <f>IF(Расчёты!$E97=1,Расчёты!$AX97,"")</f>
        <v/>
      </c>
      <c r="AE119" s="33" t="str">
        <f>IF(Расчёты!$E97=1,Расчёты!$AY97,"")</f>
        <v/>
      </c>
      <c r="AF119" s="33" t="str">
        <f>IF(Расчёты!$E97=1,Расчёты!$BA97,"")</f>
        <v/>
      </c>
      <c r="AG119" s="33" t="str">
        <f>IF(Расчёты!$E97=1,Расчёты!$BB97,"")</f>
        <v/>
      </c>
      <c r="AH119" s="33" t="str">
        <f>IF(Расчёты!$E97=1,Расчёты!$BC97,"")</f>
        <v/>
      </c>
      <c r="AI119" s="33" t="str">
        <f>IF(Расчёты!$E97=1,Расчёты!$AU97,"")</f>
        <v/>
      </c>
      <c r="AJ119" s="33" t="str">
        <f>IF(Расчёты!$E97=1,Расчёты!$BF97,"")</f>
        <v/>
      </c>
      <c r="AK119" s="33" t="str">
        <f>IF(Расчёты!$E97=1,Расчёты!$BG97,"")</f>
        <v/>
      </c>
      <c r="AM119" s="17" t="str">
        <f t="shared" si="14"/>
        <v/>
      </c>
      <c r="AN119" s="35" t="str">
        <f t="shared" si="15"/>
        <v/>
      </c>
      <c r="AP119" s="17" t="str">
        <f t="shared" si="16"/>
        <v/>
      </c>
      <c r="AQ119" s="35" t="str">
        <f t="shared" si="17"/>
        <v/>
      </c>
      <c r="AV119" s="17" t="str">
        <f t="shared" si="18"/>
        <v/>
      </c>
      <c r="AW119" s="35" t="str">
        <f t="shared" si="19"/>
        <v/>
      </c>
      <c r="AX119" s="35" t="str">
        <f t="shared" si="20"/>
        <v/>
      </c>
    </row>
    <row r="120" spans="1:50" x14ac:dyDescent="0.2">
      <c r="A120" s="18" t="str">
        <f>IF(Расчёты!$E98=1,Расчёты!$B98,"")</f>
        <v/>
      </c>
      <c r="B120" s="34" t="str">
        <f>IF(Расчёты!$E98=1,Расчёты!$D98,"")</f>
        <v/>
      </c>
      <c r="C120" s="33" t="str">
        <f>IF(Расчёты!$E98=1,Расчёты!$Z98,"")</f>
        <v/>
      </c>
      <c r="D120" s="33" t="str">
        <f>IF(Расчёты!$E98=1,Расчёты!$AA98,"")</f>
        <v/>
      </c>
      <c r="E120" s="33" t="str">
        <f>IF(Расчёты!$E98=1,Расчёты!$AB98,"")</f>
        <v/>
      </c>
      <c r="F120" s="33" t="str">
        <f>IF(Расчёты!$E98=1,Расчёты!$AC98,"")</f>
        <v/>
      </c>
      <c r="G120" s="33" t="str">
        <f>IF(Расчёты!$E98=1,Расчёты!$AD98,"")</f>
        <v/>
      </c>
      <c r="H120" s="33" t="str">
        <f>IF(Расчёты!$E98=1,Расчёты!$AI98,"")</f>
        <v/>
      </c>
      <c r="I120" s="33" t="str">
        <f>IF(Расчёты!$E98=1,Расчёты!$AG98,"")</f>
        <v/>
      </c>
      <c r="J120" s="33" t="str">
        <f>IF(Расчёты!$E98=1,Расчёты!$AJ98,"")</f>
        <v/>
      </c>
      <c r="K120" s="33" t="str">
        <f>IF(Расчёты!$E98=1,Расчёты!$AK98,"")</f>
        <v/>
      </c>
      <c r="L120" s="33" t="str">
        <f>IF(Расчёты!$E98=1,Расчёты!$I98,"")</f>
        <v/>
      </c>
      <c r="M120" s="33" t="str">
        <f>IF(Расчёты!$E98=1,Расчёты!$J98,"")</f>
        <v/>
      </c>
      <c r="N120" s="33" t="str">
        <f>IF(Расчёты!$E98=1,Расчёты!$K98,"")</f>
        <v/>
      </c>
      <c r="O120" s="33" t="str">
        <f>IF(Расчёты!$E98=1,Расчёты!$L98,"")</f>
        <v/>
      </c>
      <c r="P120" s="33" t="str">
        <f>IF(Расчёты!$E98=1,Расчёты!$M98,"")</f>
        <v/>
      </c>
      <c r="Q120" s="33" t="str">
        <f>IF(Расчёты!$E98=1,Расчёты!$N98,"")</f>
        <v/>
      </c>
      <c r="R120" s="33" t="str">
        <f>IF(Расчёты!$E98=1,Расчёты!$O98,"")</f>
        <v/>
      </c>
      <c r="S120" s="33" t="str">
        <f>IF(Расчёты!$E98=1,Расчёты!$Q98,"")</f>
        <v/>
      </c>
      <c r="T120" s="33" t="str">
        <f>IF(Расчёты!$E98=1,Расчёты!$S98,"")</f>
        <v/>
      </c>
      <c r="U120" s="33" t="str">
        <f>IF(Расчёты!$E98=1,Расчёты!$U98,"")</f>
        <v/>
      </c>
      <c r="V120" s="33" t="str">
        <f>IF(Расчёты!$E98=1,Расчёты!$W98,"")</f>
        <v/>
      </c>
      <c r="W120" s="33" t="str">
        <f>IF(Расчёты!$E98=1,Расчёты!$X98,"")</f>
        <v/>
      </c>
      <c r="X120" s="33" t="str">
        <f>IF(Расчёты!$E98=1,Расчёты!$Y98,"")</f>
        <v/>
      </c>
      <c r="Y120" s="33" t="str">
        <f>IF(Расчёты!$E98=1,Расчёты!$AL98,"")</f>
        <v/>
      </c>
      <c r="Z120" s="33" t="str">
        <f>IF(Расчёты!$E98=1,Расчёты!$AP98,"")</f>
        <v/>
      </c>
      <c r="AA120" s="33" t="str">
        <f>IF(Расчёты!$E98=1,Расчёты!$AS98,"")</f>
        <v/>
      </c>
      <c r="AB120" s="33" t="str">
        <f>IF(Расчёты!$E98=1,Расчёты!$AV98,"")</f>
        <v/>
      </c>
      <c r="AC120" s="33" t="str">
        <f>IF(Расчёты!$E98=1,Расчёты!$AW98,"")</f>
        <v/>
      </c>
      <c r="AD120" s="33" t="str">
        <f>IF(Расчёты!$E98=1,Расчёты!$AX98,"")</f>
        <v/>
      </c>
      <c r="AE120" s="33" t="str">
        <f>IF(Расчёты!$E98=1,Расчёты!$AY98,"")</f>
        <v/>
      </c>
      <c r="AF120" s="33" t="str">
        <f>IF(Расчёты!$E98=1,Расчёты!$BA98,"")</f>
        <v/>
      </c>
      <c r="AG120" s="33" t="str">
        <f>IF(Расчёты!$E98=1,Расчёты!$BB98,"")</f>
        <v/>
      </c>
      <c r="AH120" s="33" t="str">
        <f>IF(Расчёты!$E98=1,Расчёты!$BC98,"")</f>
        <v/>
      </c>
      <c r="AI120" s="33" t="str">
        <f>IF(Расчёты!$E98=1,Расчёты!$AU98,"")</f>
        <v/>
      </c>
      <c r="AJ120" s="33" t="str">
        <f>IF(Расчёты!$E98=1,Расчёты!$BF98,"")</f>
        <v/>
      </c>
      <c r="AK120" s="33" t="str">
        <f>IF(Расчёты!$E98=1,Расчёты!$BG98,"")</f>
        <v/>
      </c>
      <c r="AM120" s="17" t="str">
        <f t="shared" ref="AM120:AM151" si="21">A120</f>
        <v/>
      </c>
      <c r="AN120" s="35" t="str">
        <f t="shared" ref="AN120:AN151" si="22">AF120</f>
        <v/>
      </c>
      <c r="AP120" s="17" t="str">
        <f t="shared" ref="AP120:AP151" si="23">A120</f>
        <v/>
      </c>
      <c r="AQ120" s="35" t="str">
        <f t="shared" ref="AQ120:AQ151" si="24">AG120</f>
        <v/>
      </c>
      <c r="AV120" s="17" t="str">
        <f t="shared" ref="AV120:AV151" si="25">A120</f>
        <v/>
      </c>
      <c r="AW120" s="35" t="str">
        <f t="shared" ref="AW120:AW151" si="26">AI120</f>
        <v/>
      </c>
      <c r="AX120" s="35" t="str">
        <f t="shared" ref="AX120:AX151" si="27">K120</f>
        <v/>
      </c>
    </row>
    <row r="121" spans="1:50" x14ac:dyDescent="0.2">
      <c r="A121" s="18" t="str">
        <f>IF(Расчёты!$E99=1,Расчёты!$B99,"")</f>
        <v/>
      </c>
      <c r="B121" s="34" t="str">
        <f>IF(Расчёты!$E99=1,Расчёты!$D99,"")</f>
        <v/>
      </c>
      <c r="C121" s="33" t="str">
        <f>IF(Расчёты!$E99=1,Расчёты!$Z99,"")</f>
        <v/>
      </c>
      <c r="D121" s="33" t="str">
        <f>IF(Расчёты!$E99=1,Расчёты!$AA99,"")</f>
        <v/>
      </c>
      <c r="E121" s="33" t="str">
        <f>IF(Расчёты!$E99=1,Расчёты!$AB99,"")</f>
        <v/>
      </c>
      <c r="F121" s="33" t="str">
        <f>IF(Расчёты!$E99=1,Расчёты!$AC99,"")</f>
        <v/>
      </c>
      <c r="G121" s="33" t="str">
        <f>IF(Расчёты!$E99=1,Расчёты!$AD99,"")</f>
        <v/>
      </c>
      <c r="H121" s="33" t="str">
        <f>IF(Расчёты!$E99=1,Расчёты!$AI99,"")</f>
        <v/>
      </c>
      <c r="I121" s="33" t="str">
        <f>IF(Расчёты!$E99=1,Расчёты!$AG99,"")</f>
        <v/>
      </c>
      <c r="J121" s="33" t="str">
        <f>IF(Расчёты!$E99=1,Расчёты!$AJ99,"")</f>
        <v/>
      </c>
      <c r="K121" s="33" t="str">
        <f>IF(Расчёты!$E99=1,Расчёты!$AK99,"")</f>
        <v/>
      </c>
      <c r="L121" s="33" t="str">
        <f>IF(Расчёты!$E99=1,Расчёты!$I99,"")</f>
        <v/>
      </c>
      <c r="M121" s="33" t="str">
        <f>IF(Расчёты!$E99=1,Расчёты!$J99,"")</f>
        <v/>
      </c>
      <c r="N121" s="33" t="str">
        <f>IF(Расчёты!$E99=1,Расчёты!$K99,"")</f>
        <v/>
      </c>
      <c r="O121" s="33" t="str">
        <f>IF(Расчёты!$E99=1,Расчёты!$L99,"")</f>
        <v/>
      </c>
      <c r="P121" s="33" t="str">
        <f>IF(Расчёты!$E99=1,Расчёты!$M99,"")</f>
        <v/>
      </c>
      <c r="Q121" s="33" t="str">
        <f>IF(Расчёты!$E99=1,Расчёты!$N99,"")</f>
        <v/>
      </c>
      <c r="R121" s="33" t="str">
        <f>IF(Расчёты!$E99=1,Расчёты!$O99,"")</f>
        <v/>
      </c>
      <c r="S121" s="33" t="str">
        <f>IF(Расчёты!$E99=1,Расчёты!$Q99,"")</f>
        <v/>
      </c>
      <c r="T121" s="33" t="str">
        <f>IF(Расчёты!$E99=1,Расчёты!$S99,"")</f>
        <v/>
      </c>
      <c r="U121" s="33" t="str">
        <f>IF(Расчёты!$E99=1,Расчёты!$U99,"")</f>
        <v/>
      </c>
      <c r="V121" s="33" t="str">
        <f>IF(Расчёты!$E99=1,Расчёты!$W99,"")</f>
        <v/>
      </c>
      <c r="W121" s="33" t="str">
        <f>IF(Расчёты!$E99=1,Расчёты!$X99,"")</f>
        <v/>
      </c>
      <c r="X121" s="33" t="str">
        <f>IF(Расчёты!$E99=1,Расчёты!$Y99,"")</f>
        <v/>
      </c>
      <c r="Y121" s="33" t="str">
        <f>IF(Расчёты!$E99=1,Расчёты!$AL99,"")</f>
        <v/>
      </c>
      <c r="Z121" s="33" t="str">
        <f>IF(Расчёты!$E99=1,Расчёты!$AP99,"")</f>
        <v/>
      </c>
      <c r="AA121" s="33" t="str">
        <f>IF(Расчёты!$E99=1,Расчёты!$AS99,"")</f>
        <v/>
      </c>
      <c r="AB121" s="33" t="str">
        <f>IF(Расчёты!$E99=1,Расчёты!$AV99,"")</f>
        <v/>
      </c>
      <c r="AC121" s="33" t="str">
        <f>IF(Расчёты!$E99=1,Расчёты!$AW99,"")</f>
        <v/>
      </c>
      <c r="AD121" s="33" t="str">
        <f>IF(Расчёты!$E99=1,Расчёты!$AX99,"")</f>
        <v/>
      </c>
      <c r="AE121" s="33" t="str">
        <f>IF(Расчёты!$E99=1,Расчёты!$AY99,"")</f>
        <v/>
      </c>
      <c r="AF121" s="33" t="str">
        <f>IF(Расчёты!$E99=1,Расчёты!$BA99,"")</f>
        <v/>
      </c>
      <c r="AG121" s="33" t="str">
        <f>IF(Расчёты!$E99=1,Расчёты!$BB99,"")</f>
        <v/>
      </c>
      <c r="AH121" s="33" t="str">
        <f>IF(Расчёты!$E99=1,Расчёты!$BC99,"")</f>
        <v/>
      </c>
      <c r="AI121" s="33" t="str">
        <f>IF(Расчёты!$E99=1,Расчёты!$AU99,"")</f>
        <v/>
      </c>
      <c r="AJ121" s="33" t="str">
        <f>IF(Расчёты!$E99=1,Расчёты!$BF99,"")</f>
        <v/>
      </c>
      <c r="AK121" s="33" t="str">
        <f>IF(Расчёты!$E99=1,Расчёты!$BG99,"")</f>
        <v/>
      </c>
      <c r="AM121" s="17" t="str">
        <f t="shared" si="21"/>
        <v/>
      </c>
      <c r="AN121" s="35" t="str">
        <f t="shared" si="22"/>
        <v/>
      </c>
      <c r="AP121" s="17" t="str">
        <f t="shared" si="23"/>
        <v/>
      </c>
      <c r="AQ121" s="35" t="str">
        <f t="shared" si="24"/>
        <v/>
      </c>
      <c r="AV121" s="17" t="str">
        <f t="shared" si="25"/>
        <v/>
      </c>
      <c r="AW121" s="35" t="str">
        <f t="shared" si="26"/>
        <v/>
      </c>
      <c r="AX121" s="35" t="str">
        <f t="shared" si="27"/>
        <v/>
      </c>
    </row>
    <row r="122" spans="1:50" x14ac:dyDescent="0.2">
      <c r="A122" s="18" t="str">
        <f>IF(Расчёты!$E100=1,Расчёты!$B100,"")</f>
        <v/>
      </c>
      <c r="B122" s="34" t="str">
        <f>IF(Расчёты!$E100=1,Расчёты!$D100,"")</f>
        <v/>
      </c>
      <c r="C122" s="33" t="str">
        <f>IF(Расчёты!$E100=1,Расчёты!$Z100,"")</f>
        <v/>
      </c>
      <c r="D122" s="33" t="str">
        <f>IF(Расчёты!$E100=1,Расчёты!$AA100,"")</f>
        <v/>
      </c>
      <c r="E122" s="33" t="str">
        <f>IF(Расчёты!$E100=1,Расчёты!$AB100,"")</f>
        <v/>
      </c>
      <c r="F122" s="33" t="str">
        <f>IF(Расчёты!$E100=1,Расчёты!$AC100,"")</f>
        <v/>
      </c>
      <c r="G122" s="33" t="str">
        <f>IF(Расчёты!$E100=1,Расчёты!$AD100,"")</f>
        <v/>
      </c>
      <c r="H122" s="33" t="str">
        <f>IF(Расчёты!$E100=1,Расчёты!$AI100,"")</f>
        <v/>
      </c>
      <c r="I122" s="33" t="str">
        <f>IF(Расчёты!$E100=1,Расчёты!$AG100,"")</f>
        <v/>
      </c>
      <c r="J122" s="33" t="str">
        <f>IF(Расчёты!$E100=1,Расчёты!$AJ100,"")</f>
        <v/>
      </c>
      <c r="K122" s="33" t="str">
        <f>IF(Расчёты!$E100=1,Расчёты!$AK100,"")</f>
        <v/>
      </c>
      <c r="L122" s="33" t="str">
        <f>IF(Расчёты!$E100=1,Расчёты!$I100,"")</f>
        <v/>
      </c>
      <c r="M122" s="33" t="str">
        <f>IF(Расчёты!$E100=1,Расчёты!$J100,"")</f>
        <v/>
      </c>
      <c r="N122" s="33" t="str">
        <f>IF(Расчёты!$E100=1,Расчёты!$K100,"")</f>
        <v/>
      </c>
      <c r="O122" s="33" t="str">
        <f>IF(Расчёты!$E100=1,Расчёты!$L100,"")</f>
        <v/>
      </c>
      <c r="P122" s="33" t="str">
        <f>IF(Расчёты!$E100=1,Расчёты!$M100,"")</f>
        <v/>
      </c>
      <c r="Q122" s="33" t="str">
        <f>IF(Расчёты!$E100=1,Расчёты!$N100,"")</f>
        <v/>
      </c>
      <c r="R122" s="33" t="str">
        <f>IF(Расчёты!$E100=1,Расчёты!$O100,"")</f>
        <v/>
      </c>
      <c r="S122" s="33" t="str">
        <f>IF(Расчёты!$E100=1,Расчёты!$Q100,"")</f>
        <v/>
      </c>
      <c r="T122" s="33" t="str">
        <f>IF(Расчёты!$E100=1,Расчёты!$S100,"")</f>
        <v/>
      </c>
      <c r="U122" s="33" t="str">
        <f>IF(Расчёты!$E100=1,Расчёты!$U100,"")</f>
        <v/>
      </c>
      <c r="V122" s="33" t="str">
        <f>IF(Расчёты!$E100=1,Расчёты!$W100,"")</f>
        <v/>
      </c>
      <c r="W122" s="33" t="str">
        <f>IF(Расчёты!$E100=1,Расчёты!$X100,"")</f>
        <v/>
      </c>
      <c r="X122" s="33" t="str">
        <f>IF(Расчёты!$E100=1,Расчёты!$Y100,"")</f>
        <v/>
      </c>
      <c r="Y122" s="33" t="str">
        <f>IF(Расчёты!$E100=1,Расчёты!$AL100,"")</f>
        <v/>
      </c>
      <c r="Z122" s="33" t="str">
        <f>IF(Расчёты!$E100=1,Расчёты!$AP100,"")</f>
        <v/>
      </c>
      <c r="AA122" s="33" t="str">
        <f>IF(Расчёты!$E100=1,Расчёты!$AS100,"")</f>
        <v/>
      </c>
      <c r="AB122" s="33" t="str">
        <f>IF(Расчёты!$E100=1,Расчёты!$AV100,"")</f>
        <v/>
      </c>
      <c r="AC122" s="33" t="str">
        <f>IF(Расчёты!$E100=1,Расчёты!$AW100,"")</f>
        <v/>
      </c>
      <c r="AD122" s="33" t="str">
        <f>IF(Расчёты!$E100=1,Расчёты!$AX100,"")</f>
        <v/>
      </c>
      <c r="AE122" s="33" t="str">
        <f>IF(Расчёты!$E100=1,Расчёты!$AY100,"")</f>
        <v/>
      </c>
      <c r="AF122" s="33" t="str">
        <f>IF(Расчёты!$E100=1,Расчёты!$BA100,"")</f>
        <v/>
      </c>
      <c r="AG122" s="33" t="str">
        <f>IF(Расчёты!$E100=1,Расчёты!$BB100,"")</f>
        <v/>
      </c>
      <c r="AH122" s="33" t="str">
        <f>IF(Расчёты!$E100=1,Расчёты!$BC100,"")</f>
        <v/>
      </c>
      <c r="AI122" s="33" t="str">
        <f>IF(Расчёты!$E100=1,Расчёты!$AU100,"")</f>
        <v/>
      </c>
      <c r="AJ122" s="33" t="str">
        <f>IF(Расчёты!$E100=1,Расчёты!$BF100,"")</f>
        <v/>
      </c>
      <c r="AK122" s="33" t="str">
        <f>IF(Расчёты!$E100=1,Расчёты!$BG100,"")</f>
        <v/>
      </c>
      <c r="AM122" s="17" t="str">
        <f t="shared" si="21"/>
        <v/>
      </c>
      <c r="AN122" s="35" t="str">
        <f t="shared" si="22"/>
        <v/>
      </c>
      <c r="AP122" s="17" t="str">
        <f t="shared" si="23"/>
        <v/>
      </c>
      <c r="AQ122" s="35" t="str">
        <f t="shared" si="24"/>
        <v/>
      </c>
      <c r="AV122" s="17" t="str">
        <f t="shared" si="25"/>
        <v/>
      </c>
      <c r="AW122" s="35" t="str">
        <f t="shared" si="26"/>
        <v/>
      </c>
      <c r="AX122" s="35" t="str">
        <f t="shared" si="27"/>
        <v/>
      </c>
    </row>
    <row r="123" spans="1:50" x14ac:dyDescent="0.2">
      <c r="A123" s="18" t="str">
        <f>IF(Расчёты!$E101=1,Расчёты!$B101,"")</f>
        <v/>
      </c>
      <c r="B123" s="34" t="str">
        <f>IF(Расчёты!$E101=1,Расчёты!$D101,"")</f>
        <v/>
      </c>
      <c r="C123" s="33" t="str">
        <f>IF(Расчёты!$E101=1,Расчёты!$Z101,"")</f>
        <v/>
      </c>
      <c r="D123" s="33" t="str">
        <f>IF(Расчёты!$E101=1,Расчёты!$AA101,"")</f>
        <v/>
      </c>
      <c r="E123" s="33" t="str">
        <f>IF(Расчёты!$E101=1,Расчёты!$AB101,"")</f>
        <v/>
      </c>
      <c r="F123" s="33" t="str">
        <f>IF(Расчёты!$E101=1,Расчёты!$AC101,"")</f>
        <v/>
      </c>
      <c r="G123" s="33" t="str">
        <f>IF(Расчёты!$E101=1,Расчёты!$AD101,"")</f>
        <v/>
      </c>
      <c r="H123" s="33" t="str">
        <f>IF(Расчёты!$E101=1,Расчёты!$AI101,"")</f>
        <v/>
      </c>
      <c r="I123" s="33" t="str">
        <f>IF(Расчёты!$E101=1,Расчёты!$AG101,"")</f>
        <v/>
      </c>
      <c r="J123" s="33" t="str">
        <f>IF(Расчёты!$E101=1,Расчёты!$AJ101,"")</f>
        <v/>
      </c>
      <c r="K123" s="33" t="str">
        <f>IF(Расчёты!$E101=1,Расчёты!$AK101,"")</f>
        <v/>
      </c>
      <c r="L123" s="33" t="str">
        <f>IF(Расчёты!$E101=1,Расчёты!$I101,"")</f>
        <v/>
      </c>
      <c r="M123" s="33" t="str">
        <f>IF(Расчёты!$E101=1,Расчёты!$J101,"")</f>
        <v/>
      </c>
      <c r="N123" s="33" t="str">
        <f>IF(Расчёты!$E101=1,Расчёты!$K101,"")</f>
        <v/>
      </c>
      <c r="O123" s="33" t="str">
        <f>IF(Расчёты!$E101=1,Расчёты!$L101,"")</f>
        <v/>
      </c>
      <c r="P123" s="33" t="str">
        <f>IF(Расчёты!$E101=1,Расчёты!$M101,"")</f>
        <v/>
      </c>
      <c r="Q123" s="33" t="str">
        <f>IF(Расчёты!$E101=1,Расчёты!$N101,"")</f>
        <v/>
      </c>
      <c r="R123" s="33" t="str">
        <f>IF(Расчёты!$E101=1,Расчёты!$O101,"")</f>
        <v/>
      </c>
      <c r="S123" s="33" t="str">
        <f>IF(Расчёты!$E101=1,Расчёты!$Q101,"")</f>
        <v/>
      </c>
      <c r="T123" s="33" t="str">
        <f>IF(Расчёты!$E101=1,Расчёты!$S101,"")</f>
        <v/>
      </c>
      <c r="U123" s="33" t="str">
        <f>IF(Расчёты!$E101=1,Расчёты!$U101,"")</f>
        <v/>
      </c>
      <c r="V123" s="33" t="str">
        <f>IF(Расчёты!$E101=1,Расчёты!$W101,"")</f>
        <v/>
      </c>
      <c r="W123" s="33" t="str">
        <f>IF(Расчёты!$E101=1,Расчёты!$X101,"")</f>
        <v/>
      </c>
      <c r="X123" s="33" t="str">
        <f>IF(Расчёты!$E101=1,Расчёты!$Y101,"")</f>
        <v/>
      </c>
      <c r="Y123" s="33" t="str">
        <f>IF(Расчёты!$E101=1,Расчёты!$AL101,"")</f>
        <v/>
      </c>
      <c r="Z123" s="33" t="str">
        <f>IF(Расчёты!$E101=1,Расчёты!$AP101,"")</f>
        <v/>
      </c>
      <c r="AA123" s="33" t="str">
        <f>IF(Расчёты!$E101=1,Расчёты!$AS101,"")</f>
        <v/>
      </c>
      <c r="AB123" s="33" t="str">
        <f>IF(Расчёты!$E101=1,Расчёты!$AV101,"")</f>
        <v/>
      </c>
      <c r="AC123" s="33" t="str">
        <f>IF(Расчёты!$E101=1,Расчёты!$AW101,"")</f>
        <v/>
      </c>
      <c r="AD123" s="33" t="str">
        <f>IF(Расчёты!$E101=1,Расчёты!$AX101,"")</f>
        <v/>
      </c>
      <c r="AE123" s="33" t="str">
        <f>IF(Расчёты!$E101=1,Расчёты!$AY101,"")</f>
        <v/>
      </c>
      <c r="AF123" s="33" t="str">
        <f>IF(Расчёты!$E101=1,Расчёты!$BA101,"")</f>
        <v/>
      </c>
      <c r="AG123" s="33" t="str">
        <f>IF(Расчёты!$E101=1,Расчёты!$BB101,"")</f>
        <v/>
      </c>
      <c r="AH123" s="33" t="str">
        <f>IF(Расчёты!$E101=1,Расчёты!$BC101,"")</f>
        <v/>
      </c>
      <c r="AI123" s="33" t="str">
        <f>IF(Расчёты!$E101=1,Расчёты!$AU101,"")</f>
        <v/>
      </c>
      <c r="AJ123" s="33" t="str">
        <f>IF(Расчёты!$E101=1,Расчёты!$BF101,"")</f>
        <v/>
      </c>
      <c r="AK123" s="33" t="str">
        <f>IF(Расчёты!$E101=1,Расчёты!$BG101,"")</f>
        <v/>
      </c>
      <c r="AM123" s="17" t="str">
        <f t="shared" si="21"/>
        <v/>
      </c>
      <c r="AN123" s="35" t="str">
        <f t="shared" si="22"/>
        <v/>
      </c>
      <c r="AP123" s="17" t="str">
        <f t="shared" si="23"/>
        <v/>
      </c>
      <c r="AQ123" s="35" t="str">
        <f t="shared" si="24"/>
        <v/>
      </c>
      <c r="AV123" s="17" t="str">
        <f t="shared" si="25"/>
        <v/>
      </c>
      <c r="AW123" s="35" t="str">
        <f t="shared" si="26"/>
        <v/>
      </c>
      <c r="AX123" s="35" t="str">
        <f t="shared" si="27"/>
        <v/>
      </c>
    </row>
    <row r="124" spans="1:50" x14ac:dyDescent="0.2">
      <c r="A124" s="18" t="str">
        <f>IF(Расчёты!$E102=1,Расчёты!$B102,"")</f>
        <v/>
      </c>
      <c r="B124" s="34" t="str">
        <f>IF(Расчёты!$E102=1,Расчёты!$D102,"")</f>
        <v/>
      </c>
      <c r="C124" s="33" t="str">
        <f>IF(Расчёты!$E102=1,Расчёты!$Z102,"")</f>
        <v/>
      </c>
      <c r="D124" s="33" t="str">
        <f>IF(Расчёты!$E102=1,Расчёты!$AA102,"")</f>
        <v/>
      </c>
      <c r="E124" s="33" t="str">
        <f>IF(Расчёты!$E102=1,Расчёты!$AB102,"")</f>
        <v/>
      </c>
      <c r="F124" s="33" t="str">
        <f>IF(Расчёты!$E102=1,Расчёты!$AC102,"")</f>
        <v/>
      </c>
      <c r="G124" s="33" t="str">
        <f>IF(Расчёты!$E102=1,Расчёты!$AD102,"")</f>
        <v/>
      </c>
      <c r="H124" s="33" t="str">
        <f>IF(Расчёты!$E102=1,Расчёты!$AI102,"")</f>
        <v/>
      </c>
      <c r="I124" s="33" t="str">
        <f>IF(Расчёты!$E102=1,Расчёты!$AG102,"")</f>
        <v/>
      </c>
      <c r="J124" s="33" t="str">
        <f>IF(Расчёты!$E102=1,Расчёты!$AJ102,"")</f>
        <v/>
      </c>
      <c r="K124" s="33" t="str">
        <f>IF(Расчёты!$E102=1,Расчёты!$AK102,"")</f>
        <v/>
      </c>
      <c r="L124" s="33" t="str">
        <f>IF(Расчёты!$E102=1,Расчёты!$I102,"")</f>
        <v/>
      </c>
      <c r="M124" s="33" t="str">
        <f>IF(Расчёты!$E102=1,Расчёты!$J102,"")</f>
        <v/>
      </c>
      <c r="N124" s="33" t="str">
        <f>IF(Расчёты!$E102=1,Расчёты!$K102,"")</f>
        <v/>
      </c>
      <c r="O124" s="33" t="str">
        <f>IF(Расчёты!$E102=1,Расчёты!$L102,"")</f>
        <v/>
      </c>
      <c r="P124" s="33" t="str">
        <f>IF(Расчёты!$E102=1,Расчёты!$M102,"")</f>
        <v/>
      </c>
      <c r="Q124" s="33" t="str">
        <f>IF(Расчёты!$E102=1,Расчёты!$N102,"")</f>
        <v/>
      </c>
      <c r="R124" s="33" t="str">
        <f>IF(Расчёты!$E102=1,Расчёты!$O102,"")</f>
        <v/>
      </c>
      <c r="S124" s="33" t="str">
        <f>IF(Расчёты!$E102=1,Расчёты!$Q102,"")</f>
        <v/>
      </c>
      <c r="T124" s="33" t="str">
        <f>IF(Расчёты!$E102=1,Расчёты!$S102,"")</f>
        <v/>
      </c>
      <c r="U124" s="33" t="str">
        <f>IF(Расчёты!$E102=1,Расчёты!$U102,"")</f>
        <v/>
      </c>
      <c r="V124" s="33" t="str">
        <f>IF(Расчёты!$E102=1,Расчёты!$W102,"")</f>
        <v/>
      </c>
      <c r="W124" s="33" t="str">
        <f>IF(Расчёты!$E102=1,Расчёты!$X102,"")</f>
        <v/>
      </c>
      <c r="X124" s="33" t="str">
        <f>IF(Расчёты!$E102=1,Расчёты!$Y102,"")</f>
        <v/>
      </c>
      <c r="Y124" s="33" t="str">
        <f>IF(Расчёты!$E102=1,Расчёты!$AL102,"")</f>
        <v/>
      </c>
      <c r="Z124" s="33" t="str">
        <f>IF(Расчёты!$E102=1,Расчёты!$AP102,"")</f>
        <v/>
      </c>
      <c r="AA124" s="33" t="str">
        <f>IF(Расчёты!$E102=1,Расчёты!$AS102,"")</f>
        <v/>
      </c>
      <c r="AB124" s="33" t="str">
        <f>IF(Расчёты!$E102=1,Расчёты!$AV102,"")</f>
        <v/>
      </c>
      <c r="AC124" s="33" t="str">
        <f>IF(Расчёты!$E102=1,Расчёты!$AW102,"")</f>
        <v/>
      </c>
      <c r="AD124" s="33" t="str">
        <f>IF(Расчёты!$E102=1,Расчёты!$AX102,"")</f>
        <v/>
      </c>
      <c r="AE124" s="33" t="str">
        <f>IF(Расчёты!$E102=1,Расчёты!$AY102,"")</f>
        <v/>
      </c>
      <c r="AF124" s="33" t="str">
        <f>IF(Расчёты!$E102=1,Расчёты!$BA102,"")</f>
        <v/>
      </c>
      <c r="AG124" s="33" t="str">
        <f>IF(Расчёты!$E102=1,Расчёты!$BB102,"")</f>
        <v/>
      </c>
      <c r="AH124" s="33" t="str">
        <f>IF(Расчёты!$E102=1,Расчёты!$BC102,"")</f>
        <v/>
      </c>
      <c r="AI124" s="33" t="str">
        <f>IF(Расчёты!$E102=1,Расчёты!$AU102,"")</f>
        <v/>
      </c>
      <c r="AJ124" s="33" t="str">
        <f>IF(Расчёты!$E102=1,Расчёты!$BF102,"")</f>
        <v/>
      </c>
      <c r="AK124" s="33" t="str">
        <f>IF(Расчёты!$E102=1,Расчёты!$BG102,"")</f>
        <v/>
      </c>
      <c r="AM124" s="17" t="str">
        <f t="shared" si="21"/>
        <v/>
      </c>
      <c r="AN124" s="35" t="str">
        <f t="shared" si="22"/>
        <v/>
      </c>
      <c r="AP124" s="17" t="str">
        <f t="shared" si="23"/>
        <v/>
      </c>
      <c r="AQ124" s="35" t="str">
        <f t="shared" si="24"/>
        <v/>
      </c>
      <c r="AV124" s="17" t="str">
        <f t="shared" si="25"/>
        <v/>
      </c>
      <c r="AW124" s="35" t="str">
        <f t="shared" si="26"/>
        <v/>
      </c>
      <c r="AX124" s="35" t="str">
        <f t="shared" si="27"/>
        <v/>
      </c>
    </row>
    <row r="125" spans="1:50" x14ac:dyDescent="0.2">
      <c r="A125" s="18" t="str">
        <f>IF(Расчёты!$E103=1,Расчёты!$B103,"")</f>
        <v/>
      </c>
      <c r="B125" s="34" t="str">
        <f>IF(Расчёты!$E103=1,Расчёты!$D103,"")</f>
        <v/>
      </c>
      <c r="C125" s="33" t="str">
        <f>IF(Расчёты!$E103=1,Расчёты!$Z103,"")</f>
        <v/>
      </c>
      <c r="D125" s="33" t="str">
        <f>IF(Расчёты!$E103=1,Расчёты!$AA103,"")</f>
        <v/>
      </c>
      <c r="E125" s="33" t="str">
        <f>IF(Расчёты!$E103=1,Расчёты!$AB103,"")</f>
        <v/>
      </c>
      <c r="F125" s="33" t="str">
        <f>IF(Расчёты!$E103=1,Расчёты!$AC103,"")</f>
        <v/>
      </c>
      <c r="G125" s="33" t="str">
        <f>IF(Расчёты!$E103=1,Расчёты!$AD103,"")</f>
        <v/>
      </c>
      <c r="H125" s="33" t="str">
        <f>IF(Расчёты!$E103=1,Расчёты!$AI103,"")</f>
        <v/>
      </c>
      <c r="I125" s="33" t="str">
        <f>IF(Расчёты!$E103=1,Расчёты!$AG103,"")</f>
        <v/>
      </c>
      <c r="J125" s="33" t="str">
        <f>IF(Расчёты!$E103=1,Расчёты!$AJ103,"")</f>
        <v/>
      </c>
      <c r="K125" s="33" t="str">
        <f>IF(Расчёты!$E103=1,Расчёты!$AK103,"")</f>
        <v/>
      </c>
      <c r="L125" s="33" t="str">
        <f>IF(Расчёты!$E103=1,Расчёты!$I103,"")</f>
        <v/>
      </c>
      <c r="M125" s="33" t="str">
        <f>IF(Расчёты!$E103=1,Расчёты!$J103,"")</f>
        <v/>
      </c>
      <c r="N125" s="33" t="str">
        <f>IF(Расчёты!$E103=1,Расчёты!$K103,"")</f>
        <v/>
      </c>
      <c r="O125" s="33" t="str">
        <f>IF(Расчёты!$E103=1,Расчёты!$L103,"")</f>
        <v/>
      </c>
      <c r="P125" s="33" t="str">
        <f>IF(Расчёты!$E103=1,Расчёты!$M103,"")</f>
        <v/>
      </c>
      <c r="Q125" s="33" t="str">
        <f>IF(Расчёты!$E103=1,Расчёты!$N103,"")</f>
        <v/>
      </c>
      <c r="R125" s="33" t="str">
        <f>IF(Расчёты!$E103=1,Расчёты!$O103,"")</f>
        <v/>
      </c>
      <c r="S125" s="33" t="str">
        <f>IF(Расчёты!$E103=1,Расчёты!$Q103,"")</f>
        <v/>
      </c>
      <c r="T125" s="33" t="str">
        <f>IF(Расчёты!$E103=1,Расчёты!$S103,"")</f>
        <v/>
      </c>
      <c r="U125" s="33" t="str">
        <f>IF(Расчёты!$E103=1,Расчёты!$U103,"")</f>
        <v/>
      </c>
      <c r="V125" s="33" t="str">
        <f>IF(Расчёты!$E103=1,Расчёты!$W103,"")</f>
        <v/>
      </c>
      <c r="W125" s="33" t="str">
        <f>IF(Расчёты!$E103=1,Расчёты!$X103,"")</f>
        <v/>
      </c>
      <c r="X125" s="33" t="str">
        <f>IF(Расчёты!$E103=1,Расчёты!$Y103,"")</f>
        <v/>
      </c>
      <c r="Y125" s="33" t="str">
        <f>IF(Расчёты!$E103=1,Расчёты!$AL103,"")</f>
        <v/>
      </c>
      <c r="Z125" s="33" t="str">
        <f>IF(Расчёты!$E103=1,Расчёты!$AP103,"")</f>
        <v/>
      </c>
      <c r="AA125" s="33" t="str">
        <f>IF(Расчёты!$E103=1,Расчёты!$AS103,"")</f>
        <v/>
      </c>
      <c r="AB125" s="33" t="str">
        <f>IF(Расчёты!$E103=1,Расчёты!$AV103,"")</f>
        <v/>
      </c>
      <c r="AC125" s="33" t="str">
        <f>IF(Расчёты!$E103=1,Расчёты!$AW103,"")</f>
        <v/>
      </c>
      <c r="AD125" s="33" t="str">
        <f>IF(Расчёты!$E103=1,Расчёты!$AX103,"")</f>
        <v/>
      </c>
      <c r="AE125" s="33" t="str">
        <f>IF(Расчёты!$E103=1,Расчёты!$AY103,"")</f>
        <v/>
      </c>
      <c r="AF125" s="33" t="str">
        <f>IF(Расчёты!$E103=1,Расчёты!$BA103,"")</f>
        <v/>
      </c>
      <c r="AG125" s="33" t="str">
        <f>IF(Расчёты!$E103=1,Расчёты!$BB103,"")</f>
        <v/>
      </c>
      <c r="AH125" s="33" t="str">
        <f>IF(Расчёты!$E103=1,Расчёты!$BC103,"")</f>
        <v/>
      </c>
      <c r="AI125" s="33" t="str">
        <f>IF(Расчёты!$E103=1,Расчёты!$AU103,"")</f>
        <v/>
      </c>
      <c r="AJ125" s="33" t="str">
        <f>IF(Расчёты!$E103=1,Расчёты!$BF103,"")</f>
        <v/>
      </c>
      <c r="AK125" s="33" t="str">
        <f>IF(Расчёты!$E103=1,Расчёты!$BG103,"")</f>
        <v/>
      </c>
      <c r="AM125" s="17" t="str">
        <f t="shared" si="21"/>
        <v/>
      </c>
      <c r="AN125" s="35" t="str">
        <f t="shared" si="22"/>
        <v/>
      </c>
      <c r="AP125" s="17" t="str">
        <f t="shared" si="23"/>
        <v/>
      </c>
      <c r="AQ125" s="35" t="str">
        <f t="shared" si="24"/>
        <v/>
      </c>
      <c r="AV125" s="17" t="str">
        <f t="shared" si="25"/>
        <v/>
      </c>
      <c r="AW125" s="35" t="str">
        <f t="shared" si="26"/>
        <v/>
      </c>
      <c r="AX125" s="35" t="str">
        <f t="shared" si="27"/>
        <v/>
      </c>
    </row>
    <row r="126" spans="1:50" x14ac:dyDescent="0.2">
      <c r="A126" s="18" t="str">
        <f>IF(Расчёты!$E104=1,Расчёты!$B104,"")</f>
        <v/>
      </c>
      <c r="B126" s="34" t="str">
        <f>IF(Расчёты!$E104=1,Расчёты!$D104,"")</f>
        <v/>
      </c>
      <c r="C126" s="33" t="str">
        <f>IF(Расчёты!$E104=1,Расчёты!$Z104,"")</f>
        <v/>
      </c>
      <c r="D126" s="33" t="str">
        <f>IF(Расчёты!$E104=1,Расчёты!$AA104,"")</f>
        <v/>
      </c>
      <c r="E126" s="33" t="str">
        <f>IF(Расчёты!$E104=1,Расчёты!$AB104,"")</f>
        <v/>
      </c>
      <c r="F126" s="33" t="str">
        <f>IF(Расчёты!$E104=1,Расчёты!$AC104,"")</f>
        <v/>
      </c>
      <c r="G126" s="33" t="str">
        <f>IF(Расчёты!$E104=1,Расчёты!$AD104,"")</f>
        <v/>
      </c>
      <c r="H126" s="33" t="str">
        <f>IF(Расчёты!$E104=1,Расчёты!$AI104,"")</f>
        <v/>
      </c>
      <c r="I126" s="33" t="str">
        <f>IF(Расчёты!$E104=1,Расчёты!$AG104,"")</f>
        <v/>
      </c>
      <c r="J126" s="33" t="str">
        <f>IF(Расчёты!$E104=1,Расчёты!$AJ104,"")</f>
        <v/>
      </c>
      <c r="K126" s="33" t="str">
        <f>IF(Расчёты!$E104=1,Расчёты!$AK104,"")</f>
        <v/>
      </c>
      <c r="L126" s="33" t="str">
        <f>IF(Расчёты!$E104=1,Расчёты!$I104,"")</f>
        <v/>
      </c>
      <c r="M126" s="33" t="str">
        <f>IF(Расчёты!$E104=1,Расчёты!$J104,"")</f>
        <v/>
      </c>
      <c r="N126" s="33" t="str">
        <f>IF(Расчёты!$E104=1,Расчёты!$K104,"")</f>
        <v/>
      </c>
      <c r="O126" s="33" t="str">
        <f>IF(Расчёты!$E104=1,Расчёты!$L104,"")</f>
        <v/>
      </c>
      <c r="P126" s="33" t="str">
        <f>IF(Расчёты!$E104=1,Расчёты!$M104,"")</f>
        <v/>
      </c>
      <c r="Q126" s="33" t="str">
        <f>IF(Расчёты!$E104=1,Расчёты!$N104,"")</f>
        <v/>
      </c>
      <c r="R126" s="33" t="str">
        <f>IF(Расчёты!$E104=1,Расчёты!$O104,"")</f>
        <v/>
      </c>
      <c r="S126" s="33" t="str">
        <f>IF(Расчёты!$E104=1,Расчёты!$Q104,"")</f>
        <v/>
      </c>
      <c r="T126" s="33" t="str">
        <f>IF(Расчёты!$E104=1,Расчёты!$S104,"")</f>
        <v/>
      </c>
      <c r="U126" s="33" t="str">
        <f>IF(Расчёты!$E104=1,Расчёты!$U104,"")</f>
        <v/>
      </c>
      <c r="V126" s="33" t="str">
        <f>IF(Расчёты!$E104=1,Расчёты!$W104,"")</f>
        <v/>
      </c>
      <c r="W126" s="33" t="str">
        <f>IF(Расчёты!$E104=1,Расчёты!$X104,"")</f>
        <v/>
      </c>
      <c r="X126" s="33" t="str">
        <f>IF(Расчёты!$E104=1,Расчёты!$Y104,"")</f>
        <v/>
      </c>
      <c r="Y126" s="33" t="str">
        <f>IF(Расчёты!$E104=1,Расчёты!$AL104,"")</f>
        <v/>
      </c>
      <c r="Z126" s="33" t="str">
        <f>IF(Расчёты!$E104=1,Расчёты!$AP104,"")</f>
        <v/>
      </c>
      <c r="AA126" s="33" t="str">
        <f>IF(Расчёты!$E104=1,Расчёты!$AS104,"")</f>
        <v/>
      </c>
      <c r="AB126" s="33" t="str">
        <f>IF(Расчёты!$E104=1,Расчёты!$AV104,"")</f>
        <v/>
      </c>
      <c r="AC126" s="33" t="str">
        <f>IF(Расчёты!$E104=1,Расчёты!$AW104,"")</f>
        <v/>
      </c>
      <c r="AD126" s="33" t="str">
        <f>IF(Расчёты!$E104=1,Расчёты!$AX104,"")</f>
        <v/>
      </c>
      <c r="AE126" s="33" t="str">
        <f>IF(Расчёты!$E104=1,Расчёты!$AY104,"")</f>
        <v/>
      </c>
      <c r="AF126" s="33" t="str">
        <f>IF(Расчёты!$E104=1,Расчёты!$BA104,"")</f>
        <v/>
      </c>
      <c r="AG126" s="33" t="str">
        <f>IF(Расчёты!$E104=1,Расчёты!$BB104,"")</f>
        <v/>
      </c>
      <c r="AH126" s="33" t="str">
        <f>IF(Расчёты!$E104=1,Расчёты!$BC104,"")</f>
        <v/>
      </c>
      <c r="AI126" s="33" t="str">
        <f>IF(Расчёты!$E104=1,Расчёты!$AU104,"")</f>
        <v/>
      </c>
      <c r="AJ126" s="33" t="str">
        <f>IF(Расчёты!$E104=1,Расчёты!$BF104,"")</f>
        <v/>
      </c>
      <c r="AK126" s="33" t="str">
        <f>IF(Расчёты!$E104=1,Расчёты!$BG104,"")</f>
        <v/>
      </c>
      <c r="AM126" s="17" t="str">
        <f t="shared" si="21"/>
        <v/>
      </c>
      <c r="AN126" s="35" t="str">
        <f t="shared" si="22"/>
        <v/>
      </c>
      <c r="AP126" s="17" t="str">
        <f t="shared" si="23"/>
        <v/>
      </c>
      <c r="AQ126" s="35" t="str">
        <f t="shared" si="24"/>
        <v/>
      </c>
      <c r="AV126" s="17" t="str">
        <f t="shared" si="25"/>
        <v/>
      </c>
      <c r="AW126" s="35" t="str">
        <f t="shared" si="26"/>
        <v/>
      </c>
      <c r="AX126" s="35" t="str">
        <f t="shared" si="27"/>
        <v/>
      </c>
    </row>
    <row r="127" spans="1:50" x14ac:dyDescent="0.2">
      <c r="A127" s="18" t="str">
        <f>IF(Расчёты!$E105=1,Расчёты!$B105,"")</f>
        <v/>
      </c>
      <c r="B127" s="34" t="str">
        <f>IF(Расчёты!$E105=1,Расчёты!$D105,"")</f>
        <v/>
      </c>
      <c r="C127" s="33" t="str">
        <f>IF(Расчёты!$E105=1,Расчёты!$Z105,"")</f>
        <v/>
      </c>
      <c r="D127" s="33" t="str">
        <f>IF(Расчёты!$E105=1,Расчёты!$AA105,"")</f>
        <v/>
      </c>
      <c r="E127" s="33" t="str">
        <f>IF(Расчёты!$E105=1,Расчёты!$AB105,"")</f>
        <v/>
      </c>
      <c r="F127" s="33" t="str">
        <f>IF(Расчёты!$E105=1,Расчёты!$AC105,"")</f>
        <v/>
      </c>
      <c r="G127" s="33" t="str">
        <f>IF(Расчёты!$E105=1,Расчёты!$AD105,"")</f>
        <v/>
      </c>
      <c r="H127" s="33" t="str">
        <f>IF(Расчёты!$E105=1,Расчёты!$AI105,"")</f>
        <v/>
      </c>
      <c r="I127" s="33" t="str">
        <f>IF(Расчёты!$E105=1,Расчёты!$AG105,"")</f>
        <v/>
      </c>
      <c r="J127" s="33" t="str">
        <f>IF(Расчёты!$E105=1,Расчёты!$AJ105,"")</f>
        <v/>
      </c>
      <c r="K127" s="33" t="str">
        <f>IF(Расчёты!$E105=1,Расчёты!$AK105,"")</f>
        <v/>
      </c>
      <c r="L127" s="33" t="str">
        <f>IF(Расчёты!$E105=1,Расчёты!$I105,"")</f>
        <v/>
      </c>
      <c r="M127" s="33" t="str">
        <f>IF(Расчёты!$E105=1,Расчёты!$J105,"")</f>
        <v/>
      </c>
      <c r="N127" s="33" t="str">
        <f>IF(Расчёты!$E105=1,Расчёты!$K105,"")</f>
        <v/>
      </c>
      <c r="O127" s="33" t="str">
        <f>IF(Расчёты!$E105=1,Расчёты!$L105,"")</f>
        <v/>
      </c>
      <c r="P127" s="33" t="str">
        <f>IF(Расчёты!$E105=1,Расчёты!$M105,"")</f>
        <v/>
      </c>
      <c r="Q127" s="33" t="str">
        <f>IF(Расчёты!$E105=1,Расчёты!$N105,"")</f>
        <v/>
      </c>
      <c r="R127" s="33" t="str">
        <f>IF(Расчёты!$E105=1,Расчёты!$O105,"")</f>
        <v/>
      </c>
      <c r="S127" s="33" t="str">
        <f>IF(Расчёты!$E105=1,Расчёты!$Q105,"")</f>
        <v/>
      </c>
      <c r="T127" s="33" t="str">
        <f>IF(Расчёты!$E105=1,Расчёты!$S105,"")</f>
        <v/>
      </c>
      <c r="U127" s="33" t="str">
        <f>IF(Расчёты!$E105=1,Расчёты!$U105,"")</f>
        <v/>
      </c>
      <c r="V127" s="33" t="str">
        <f>IF(Расчёты!$E105=1,Расчёты!$W105,"")</f>
        <v/>
      </c>
      <c r="W127" s="33" t="str">
        <f>IF(Расчёты!$E105=1,Расчёты!$X105,"")</f>
        <v/>
      </c>
      <c r="X127" s="33" t="str">
        <f>IF(Расчёты!$E105=1,Расчёты!$Y105,"")</f>
        <v/>
      </c>
      <c r="Y127" s="33" t="str">
        <f>IF(Расчёты!$E105=1,Расчёты!$AL105,"")</f>
        <v/>
      </c>
      <c r="Z127" s="33" t="str">
        <f>IF(Расчёты!$E105=1,Расчёты!$AP105,"")</f>
        <v/>
      </c>
      <c r="AA127" s="33" t="str">
        <f>IF(Расчёты!$E105=1,Расчёты!$AS105,"")</f>
        <v/>
      </c>
      <c r="AB127" s="33" t="str">
        <f>IF(Расчёты!$E105=1,Расчёты!$AV105,"")</f>
        <v/>
      </c>
      <c r="AC127" s="33" t="str">
        <f>IF(Расчёты!$E105=1,Расчёты!$AW105,"")</f>
        <v/>
      </c>
      <c r="AD127" s="33" t="str">
        <f>IF(Расчёты!$E105=1,Расчёты!$AX105,"")</f>
        <v/>
      </c>
      <c r="AE127" s="33" t="str">
        <f>IF(Расчёты!$E105=1,Расчёты!$AY105,"")</f>
        <v/>
      </c>
      <c r="AF127" s="33" t="str">
        <f>IF(Расчёты!$E105=1,Расчёты!$BA105,"")</f>
        <v/>
      </c>
      <c r="AG127" s="33" t="str">
        <f>IF(Расчёты!$E105=1,Расчёты!$BB105,"")</f>
        <v/>
      </c>
      <c r="AH127" s="33" t="str">
        <f>IF(Расчёты!$E105=1,Расчёты!$BC105,"")</f>
        <v/>
      </c>
      <c r="AI127" s="33" t="str">
        <f>IF(Расчёты!$E105=1,Расчёты!$AU105,"")</f>
        <v/>
      </c>
      <c r="AJ127" s="33" t="str">
        <f>IF(Расчёты!$E105=1,Расчёты!$BF105,"")</f>
        <v/>
      </c>
      <c r="AK127" s="33" t="str">
        <f>IF(Расчёты!$E105=1,Расчёты!$BG105,"")</f>
        <v/>
      </c>
      <c r="AM127" s="17" t="str">
        <f t="shared" si="21"/>
        <v/>
      </c>
      <c r="AN127" s="35" t="str">
        <f t="shared" si="22"/>
        <v/>
      </c>
      <c r="AP127" s="17" t="str">
        <f t="shared" si="23"/>
        <v/>
      </c>
      <c r="AQ127" s="35" t="str">
        <f t="shared" si="24"/>
        <v/>
      </c>
      <c r="AV127" s="17" t="str">
        <f t="shared" si="25"/>
        <v/>
      </c>
      <c r="AW127" s="35" t="str">
        <f t="shared" si="26"/>
        <v/>
      </c>
      <c r="AX127" s="35" t="str">
        <f t="shared" si="27"/>
        <v/>
      </c>
    </row>
    <row r="128" spans="1:50" x14ac:dyDescent="0.2">
      <c r="A128" s="18" t="str">
        <f>IF(Расчёты!$E106=1,Расчёты!$B106,"")</f>
        <v/>
      </c>
      <c r="B128" s="34" t="str">
        <f>IF(Расчёты!$E106=1,Расчёты!$D106,"")</f>
        <v/>
      </c>
      <c r="C128" s="33" t="str">
        <f>IF(Расчёты!$E106=1,Расчёты!$Z106,"")</f>
        <v/>
      </c>
      <c r="D128" s="33" t="str">
        <f>IF(Расчёты!$E106=1,Расчёты!$AA106,"")</f>
        <v/>
      </c>
      <c r="E128" s="33" t="str">
        <f>IF(Расчёты!$E106=1,Расчёты!$AB106,"")</f>
        <v/>
      </c>
      <c r="F128" s="33" t="str">
        <f>IF(Расчёты!$E106=1,Расчёты!$AC106,"")</f>
        <v/>
      </c>
      <c r="G128" s="33" t="str">
        <f>IF(Расчёты!$E106=1,Расчёты!$AD106,"")</f>
        <v/>
      </c>
      <c r="H128" s="33" t="str">
        <f>IF(Расчёты!$E106=1,Расчёты!$AI106,"")</f>
        <v/>
      </c>
      <c r="I128" s="33" t="str">
        <f>IF(Расчёты!$E106=1,Расчёты!$AG106,"")</f>
        <v/>
      </c>
      <c r="J128" s="33" t="str">
        <f>IF(Расчёты!$E106=1,Расчёты!$AJ106,"")</f>
        <v/>
      </c>
      <c r="K128" s="33" t="str">
        <f>IF(Расчёты!$E106=1,Расчёты!$AK106,"")</f>
        <v/>
      </c>
      <c r="L128" s="33" t="str">
        <f>IF(Расчёты!$E106=1,Расчёты!$I106,"")</f>
        <v/>
      </c>
      <c r="M128" s="33" t="str">
        <f>IF(Расчёты!$E106=1,Расчёты!$J106,"")</f>
        <v/>
      </c>
      <c r="N128" s="33" t="str">
        <f>IF(Расчёты!$E106=1,Расчёты!$K106,"")</f>
        <v/>
      </c>
      <c r="O128" s="33" t="str">
        <f>IF(Расчёты!$E106=1,Расчёты!$L106,"")</f>
        <v/>
      </c>
      <c r="P128" s="33" t="str">
        <f>IF(Расчёты!$E106=1,Расчёты!$M106,"")</f>
        <v/>
      </c>
      <c r="Q128" s="33" t="str">
        <f>IF(Расчёты!$E106=1,Расчёты!$N106,"")</f>
        <v/>
      </c>
      <c r="R128" s="33" t="str">
        <f>IF(Расчёты!$E106=1,Расчёты!$O106,"")</f>
        <v/>
      </c>
      <c r="S128" s="33" t="str">
        <f>IF(Расчёты!$E106=1,Расчёты!$Q106,"")</f>
        <v/>
      </c>
      <c r="T128" s="33" t="str">
        <f>IF(Расчёты!$E106=1,Расчёты!$S106,"")</f>
        <v/>
      </c>
      <c r="U128" s="33" t="str">
        <f>IF(Расчёты!$E106=1,Расчёты!$U106,"")</f>
        <v/>
      </c>
      <c r="V128" s="33" t="str">
        <f>IF(Расчёты!$E106=1,Расчёты!$W106,"")</f>
        <v/>
      </c>
      <c r="W128" s="33" t="str">
        <f>IF(Расчёты!$E106=1,Расчёты!$X106,"")</f>
        <v/>
      </c>
      <c r="X128" s="33" t="str">
        <f>IF(Расчёты!$E106=1,Расчёты!$Y106,"")</f>
        <v/>
      </c>
      <c r="Y128" s="33" t="str">
        <f>IF(Расчёты!$E106=1,Расчёты!$AL106,"")</f>
        <v/>
      </c>
      <c r="Z128" s="33" t="str">
        <f>IF(Расчёты!$E106=1,Расчёты!$AP106,"")</f>
        <v/>
      </c>
      <c r="AA128" s="33" t="str">
        <f>IF(Расчёты!$E106=1,Расчёты!$AS106,"")</f>
        <v/>
      </c>
      <c r="AB128" s="33" t="str">
        <f>IF(Расчёты!$E106=1,Расчёты!$AV106,"")</f>
        <v/>
      </c>
      <c r="AC128" s="33" t="str">
        <f>IF(Расчёты!$E106=1,Расчёты!$AW106,"")</f>
        <v/>
      </c>
      <c r="AD128" s="33" t="str">
        <f>IF(Расчёты!$E106=1,Расчёты!$AX106,"")</f>
        <v/>
      </c>
      <c r="AE128" s="33" t="str">
        <f>IF(Расчёты!$E106=1,Расчёты!$AY106,"")</f>
        <v/>
      </c>
      <c r="AF128" s="33" t="str">
        <f>IF(Расчёты!$E106=1,Расчёты!$BA106,"")</f>
        <v/>
      </c>
      <c r="AG128" s="33" t="str">
        <f>IF(Расчёты!$E106=1,Расчёты!$BB106,"")</f>
        <v/>
      </c>
      <c r="AH128" s="33" t="str">
        <f>IF(Расчёты!$E106=1,Расчёты!$BC106,"")</f>
        <v/>
      </c>
      <c r="AI128" s="33" t="str">
        <f>IF(Расчёты!$E106=1,Расчёты!$AU106,"")</f>
        <v/>
      </c>
      <c r="AJ128" s="33" t="str">
        <f>IF(Расчёты!$E106=1,Расчёты!$BF106,"")</f>
        <v/>
      </c>
      <c r="AK128" s="33" t="str">
        <f>IF(Расчёты!$E106=1,Расчёты!$BG106,"")</f>
        <v/>
      </c>
      <c r="AM128" s="17" t="str">
        <f t="shared" si="21"/>
        <v/>
      </c>
      <c r="AN128" s="35" t="str">
        <f t="shared" si="22"/>
        <v/>
      </c>
      <c r="AP128" s="17" t="str">
        <f t="shared" si="23"/>
        <v/>
      </c>
      <c r="AQ128" s="35" t="str">
        <f t="shared" si="24"/>
        <v/>
      </c>
      <c r="AV128" s="17" t="str">
        <f t="shared" si="25"/>
        <v/>
      </c>
      <c r="AW128" s="35" t="str">
        <f t="shared" si="26"/>
        <v/>
      </c>
      <c r="AX128" s="35" t="str">
        <f t="shared" si="27"/>
        <v/>
      </c>
    </row>
    <row r="129" spans="1:50" x14ac:dyDescent="0.2">
      <c r="A129" s="18" t="str">
        <f>IF(Расчёты!$E107=1,Расчёты!$B107,"")</f>
        <v/>
      </c>
      <c r="B129" s="34" t="str">
        <f>IF(Расчёты!$E107=1,Расчёты!$D107,"")</f>
        <v/>
      </c>
      <c r="C129" s="33" t="str">
        <f>IF(Расчёты!$E107=1,Расчёты!$Z107,"")</f>
        <v/>
      </c>
      <c r="D129" s="33" t="str">
        <f>IF(Расчёты!$E107=1,Расчёты!$AA107,"")</f>
        <v/>
      </c>
      <c r="E129" s="33" t="str">
        <f>IF(Расчёты!$E107=1,Расчёты!$AB107,"")</f>
        <v/>
      </c>
      <c r="F129" s="33" t="str">
        <f>IF(Расчёты!$E107=1,Расчёты!$AC107,"")</f>
        <v/>
      </c>
      <c r="G129" s="33" t="str">
        <f>IF(Расчёты!$E107=1,Расчёты!$AD107,"")</f>
        <v/>
      </c>
      <c r="H129" s="33" t="str">
        <f>IF(Расчёты!$E107=1,Расчёты!$AI107,"")</f>
        <v/>
      </c>
      <c r="I129" s="33" t="str">
        <f>IF(Расчёты!$E107=1,Расчёты!$AG107,"")</f>
        <v/>
      </c>
      <c r="J129" s="33" t="str">
        <f>IF(Расчёты!$E107=1,Расчёты!$AJ107,"")</f>
        <v/>
      </c>
      <c r="K129" s="33" t="str">
        <f>IF(Расчёты!$E107=1,Расчёты!$AK107,"")</f>
        <v/>
      </c>
      <c r="L129" s="33" t="str">
        <f>IF(Расчёты!$E107=1,Расчёты!$I107,"")</f>
        <v/>
      </c>
      <c r="M129" s="33" t="str">
        <f>IF(Расчёты!$E107=1,Расчёты!$J107,"")</f>
        <v/>
      </c>
      <c r="N129" s="33" t="str">
        <f>IF(Расчёты!$E107=1,Расчёты!$K107,"")</f>
        <v/>
      </c>
      <c r="O129" s="33" t="str">
        <f>IF(Расчёты!$E107=1,Расчёты!$L107,"")</f>
        <v/>
      </c>
      <c r="P129" s="33" t="str">
        <f>IF(Расчёты!$E107=1,Расчёты!$M107,"")</f>
        <v/>
      </c>
      <c r="Q129" s="33" t="str">
        <f>IF(Расчёты!$E107=1,Расчёты!$N107,"")</f>
        <v/>
      </c>
      <c r="R129" s="33" t="str">
        <f>IF(Расчёты!$E107=1,Расчёты!$O107,"")</f>
        <v/>
      </c>
      <c r="S129" s="33" t="str">
        <f>IF(Расчёты!$E107=1,Расчёты!$Q107,"")</f>
        <v/>
      </c>
      <c r="T129" s="33" t="str">
        <f>IF(Расчёты!$E107=1,Расчёты!$S107,"")</f>
        <v/>
      </c>
      <c r="U129" s="33" t="str">
        <f>IF(Расчёты!$E107=1,Расчёты!$U107,"")</f>
        <v/>
      </c>
      <c r="V129" s="33" t="str">
        <f>IF(Расчёты!$E107=1,Расчёты!$W107,"")</f>
        <v/>
      </c>
      <c r="W129" s="33" t="str">
        <f>IF(Расчёты!$E107=1,Расчёты!$X107,"")</f>
        <v/>
      </c>
      <c r="X129" s="33" t="str">
        <f>IF(Расчёты!$E107=1,Расчёты!$Y107,"")</f>
        <v/>
      </c>
      <c r="Y129" s="33" t="str">
        <f>IF(Расчёты!$E107=1,Расчёты!$AL107,"")</f>
        <v/>
      </c>
      <c r="Z129" s="33" t="str">
        <f>IF(Расчёты!$E107=1,Расчёты!$AP107,"")</f>
        <v/>
      </c>
      <c r="AA129" s="33" t="str">
        <f>IF(Расчёты!$E107=1,Расчёты!$AS107,"")</f>
        <v/>
      </c>
      <c r="AB129" s="33" t="str">
        <f>IF(Расчёты!$E107=1,Расчёты!$AV107,"")</f>
        <v/>
      </c>
      <c r="AC129" s="33" t="str">
        <f>IF(Расчёты!$E107=1,Расчёты!$AW107,"")</f>
        <v/>
      </c>
      <c r="AD129" s="33" t="str">
        <f>IF(Расчёты!$E107=1,Расчёты!$AX107,"")</f>
        <v/>
      </c>
      <c r="AE129" s="33" t="str">
        <f>IF(Расчёты!$E107=1,Расчёты!$AY107,"")</f>
        <v/>
      </c>
      <c r="AF129" s="33" t="str">
        <f>IF(Расчёты!$E107=1,Расчёты!$BA107,"")</f>
        <v/>
      </c>
      <c r="AG129" s="33" t="str">
        <f>IF(Расчёты!$E107=1,Расчёты!$BB107,"")</f>
        <v/>
      </c>
      <c r="AH129" s="33" t="str">
        <f>IF(Расчёты!$E107=1,Расчёты!$BC107,"")</f>
        <v/>
      </c>
      <c r="AI129" s="33" t="str">
        <f>IF(Расчёты!$E107=1,Расчёты!$AU107,"")</f>
        <v/>
      </c>
      <c r="AJ129" s="33" t="str">
        <f>IF(Расчёты!$E107=1,Расчёты!$BF107,"")</f>
        <v/>
      </c>
      <c r="AK129" s="33" t="str">
        <f>IF(Расчёты!$E107=1,Расчёты!$BG107,"")</f>
        <v/>
      </c>
      <c r="AM129" s="17" t="str">
        <f t="shared" si="21"/>
        <v/>
      </c>
      <c r="AN129" s="35" t="str">
        <f t="shared" si="22"/>
        <v/>
      </c>
      <c r="AP129" s="17" t="str">
        <f t="shared" si="23"/>
        <v/>
      </c>
      <c r="AQ129" s="35" t="str">
        <f t="shared" si="24"/>
        <v/>
      </c>
      <c r="AV129" s="17" t="str">
        <f t="shared" si="25"/>
        <v/>
      </c>
      <c r="AW129" s="35" t="str">
        <f t="shared" si="26"/>
        <v/>
      </c>
      <c r="AX129" s="35" t="str">
        <f t="shared" si="27"/>
        <v/>
      </c>
    </row>
    <row r="130" spans="1:50" x14ac:dyDescent="0.2">
      <c r="A130" s="18" t="str">
        <f>IF(Расчёты!$E108=1,Расчёты!$B108,"")</f>
        <v/>
      </c>
      <c r="B130" s="34" t="str">
        <f>IF(Расчёты!$E108=1,Расчёты!$D108,"")</f>
        <v/>
      </c>
      <c r="C130" s="33" t="str">
        <f>IF(Расчёты!$E108=1,Расчёты!$Z108,"")</f>
        <v/>
      </c>
      <c r="D130" s="33" t="str">
        <f>IF(Расчёты!$E108=1,Расчёты!$AA108,"")</f>
        <v/>
      </c>
      <c r="E130" s="33" t="str">
        <f>IF(Расчёты!$E108=1,Расчёты!$AB108,"")</f>
        <v/>
      </c>
      <c r="F130" s="33" t="str">
        <f>IF(Расчёты!$E108=1,Расчёты!$AC108,"")</f>
        <v/>
      </c>
      <c r="G130" s="33" t="str">
        <f>IF(Расчёты!$E108=1,Расчёты!$AD108,"")</f>
        <v/>
      </c>
      <c r="H130" s="33" t="str">
        <f>IF(Расчёты!$E108=1,Расчёты!$AI108,"")</f>
        <v/>
      </c>
      <c r="I130" s="33" t="str">
        <f>IF(Расчёты!$E108=1,Расчёты!$AG108,"")</f>
        <v/>
      </c>
      <c r="J130" s="33" t="str">
        <f>IF(Расчёты!$E108=1,Расчёты!$AJ108,"")</f>
        <v/>
      </c>
      <c r="K130" s="33" t="str">
        <f>IF(Расчёты!$E108=1,Расчёты!$AK108,"")</f>
        <v/>
      </c>
      <c r="L130" s="33" t="str">
        <f>IF(Расчёты!$E108=1,Расчёты!$I108,"")</f>
        <v/>
      </c>
      <c r="M130" s="33" t="str">
        <f>IF(Расчёты!$E108=1,Расчёты!$J108,"")</f>
        <v/>
      </c>
      <c r="N130" s="33" t="str">
        <f>IF(Расчёты!$E108=1,Расчёты!$K108,"")</f>
        <v/>
      </c>
      <c r="O130" s="33" t="str">
        <f>IF(Расчёты!$E108=1,Расчёты!$L108,"")</f>
        <v/>
      </c>
      <c r="P130" s="33" t="str">
        <f>IF(Расчёты!$E108=1,Расчёты!$M108,"")</f>
        <v/>
      </c>
      <c r="Q130" s="33" t="str">
        <f>IF(Расчёты!$E108=1,Расчёты!$N108,"")</f>
        <v/>
      </c>
      <c r="R130" s="33" t="str">
        <f>IF(Расчёты!$E108=1,Расчёты!$O108,"")</f>
        <v/>
      </c>
      <c r="S130" s="33" t="str">
        <f>IF(Расчёты!$E108=1,Расчёты!$Q108,"")</f>
        <v/>
      </c>
      <c r="T130" s="33" t="str">
        <f>IF(Расчёты!$E108=1,Расчёты!$S108,"")</f>
        <v/>
      </c>
      <c r="U130" s="33" t="str">
        <f>IF(Расчёты!$E108=1,Расчёты!$U108,"")</f>
        <v/>
      </c>
      <c r="V130" s="33" t="str">
        <f>IF(Расчёты!$E108=1,Расчёты!$W108,"")</f>
        <v/>
      </c>
      <c r="W130" s="33" t="str">
        <f>IF(Расчёты!$E108=1,Расчёты!$X108,"")</f>
        <v/>
      </c>
      <c r="X130" s="33" t="str">
        <f>IF(Расчёты!$E108=1,Расчёты!$Y108,"")</f>
        <v/>
      </c>
      <c r="Y130" s="33" t="str">
        <f>IF(Расчёты!$E108=1,Расчёты!$AL108,"")</f>
        <v/>
      </c>
      <c r="Z130" s="33" t="str">
        <f>IF(Расчёты!$E108=1,Расчёты!$AP108,"")</f>
        <v/>
      </c>
      <c r="AA130" s="33" t="str">
        <f>IF(Расчёты!$E108=1,Расчёты!$AS108,"")</f>
        <v/>
      </c>
      <c r="AB130" s="33" t="str">
        <f>IF(Расчёты!$E108=1,Расчёты!$AV108,"")</f>
        <v/>
      </c>
      <c r="AC130" s="33" t="str">
        <f>IF(Расчёты!$E108=1,Расчёты!$AW108,"")</f>
        <v/>
      </c>
      <c r="AD130" s="33" t="str">
        <f>IF(Расчёты!$E108=1,Расчёты!$AX108,"")</f>
        <v/>
      </c>
      <c r="AE130" s="33" t="str">
        <f>IF(Расчёты!$E108=1,Расчёты!$AY108,"")</f>
        <v/>
      </c>
      <c r="AF130" s="33" t="str">
        <f>IF(Расчёты!$E108=1,Расчёты!$BA108,"")</f>
        <v/>
      </c>
      <c r="AG130" s="33" t="str">
        <f>IF(Расчёты!$E108=1,Расчёты!$BB108,"")</f>
        <v/>
      </c>
      <c r="AH130" s="33" t="str">
        <f>IF(Расчёты!$E108=1,Расчёты!$BC108,"")</f>
        <v/>
      </c>
      <c r="AI130" s="33" t="str">
        <f>IF(Расчёты!$E108=1,Расчёты!$AU108,"")</f>
        <v/>
      </c>
      <c r="AJ130" s="33" t="str">
        <f>IF(Расчёты!$E108=1,Расчёты!$BF108,"")</f>
        <v/>
      </c>
      <c r="AK130" s="33" t="str">
        <f>IF(Расчёты!$E108=1,Расчёты!$BG108,"")</f>
        <v/>
      </c>
      <c r="AM130" s="17" t="str">
        <f t="shared" si="21"/>
        <v/>
      </c>
      <c r="AN130" s="35" t="str">
        <f t="shared" si="22"/>
        <v/>
      </c>
      <c r="AP130" s="17" t="str">
        <f t="shared" si="23"/>
        <v/>
      </c>
      <c r="AQ130" s="35" t="str">
        <f t="shared" si="24"/>
        <v/>
      </c>
      <c r="AV130" s="17" t="str">
        <f t="shared" si="25"/>
        <v/>
      </c>
      <c r="AW130" s="35" t="str">
        <f t="shared" si="26"/>
        <v/>
      </c>
      <c r="AX130" s="35" t="str">
        <f t="shared" si="27"/>
        <v/>
      </c>
    </row>
    <row r="131" spans="1:50" x14ac:dyDescent="0.2">
      <c r="A131" s="18" t="str">
        <f>IF(Расчёты!$E109=1,Расчёты!$B109,"")</f>
        <v/>
      </c>
      <c r="B131" s="34" t="str">
        <f>IF(Расчёты!$E109=1,Расчёты!$D109,"")</f>
        <v/>
      </c>
      <c r="C131" s="33" t="str">
        <f>IF(Расчёты!$E109=1,Расчёты!$Z109,"")</f>
        <v/>
      </c>
      <c r="D131" s="33" t="str">
        <f>IF(Расчёты!$E109=1,Расчёты!$AA109,"")</f>
        <v/>
      </c>
      <c r="E131" s="33" t="str">
        <f>IF(Расчёты!$E109=1,Расчёты!$AB109,"")</f>
        <v/>
      </c>
      <c r="F131" s="33" t="str">
        <f>IF(Расчёты!$E109=1,Расчёты!$AC109,"")</f>
        <v/>
      </c>
      <c r="G131" s="33" t="str">
        <f>IF(Расчёты!$E109=1,Расчёты!$AD109,"")</f>
        <v/>
      </c>
      <c r="H131" s="33" t="str">
        <f>IF(Расчёты!$E109=1,Расчёты!$AI109,"")</f>
        <v/>
      </c>
      <c r="I131" s="33" t="str">
        <f>IF(Расчёты!$E109=1,Расчёты!$AG109,"")</f>
        <v/>
      </c>
      <c r="J131" s="33" t="str">
        <f>IF(Расчёты!$E109=1,Расчёты!$AJ109,"")</f>
        <v/>
      </c>
      <c r="K131" s="33" t="str">
        <f>IF(Расчёты!$E109=1,Расчёты!$AK109,"")</f>
        <v/>
      </c>
      <c r="L131" s="33" t="str">
        <f>IF(Расчёты!$E109=1,Расчёты!$I109,"")</f>
        <v/>
      </c>
      <c r="M131" s="33" t="str">
        <f>IF(Расчёты!$E109=1,Расчёты!$J109,"")</f>
        <v/>
      </c>
      <c r="N131" s="33" t="str">
        <f>IF(Расчёты!$E109=1,Расчёты!$K109,"")</f>
        <v/>
      </c>
      <c r="O131" s="33" t="str">
        <f>IF(Расчёты!$E109=1,Расчёты!$L109,"")</f>
        <v/>
      </c>
      <c r="P131" s="33" t="str">
        <f>IF(Расчёты!$E109=1,Расчёты!$M109,"")</f>
        <v/>
      </c>
      <c r="Q131" s="33" t="str">
        <f>IF(Расчёты!$E109=1,Расчёты!$N109,"")</f>
        <v/>
      </c>
      <c r="R131" s="33" t="str">
        <f>IF(Расчёты!$E109=1,Расчёты!$O109,"")</f>
        <v/>
      </c>
      <c r="S131" s="33" t="str">
        <f>IF(Расчёты!$E109=1,Расчёты!$Q109,"")</f>
        <v/>
      </c>
      <c r="T131" s="33" t="str">
        <f>IF(Расчёты!$E109=1,Расчёты!$S109,"")</f>
        <v/>
      </c>
      <c r="U131" s="33" t="str">
        <f>IF(Расчёты!$E109=1,Расчёты!$U109,"")</f>
        <v/>
      </c>
      <c r="V131" s="33" t="str">
        <f>IF(Расчёты!$E109=1,Расчёты!$W109,"")</f>
        <v/>
      </c>
      <c r="W131" s="33" t="str">
        <f>IF(Расчёты!$E109=1,Расчёты!$X109,"")</f>
        <v/>
      </c>
      <c r="X131" s="33" t="str">
        <f>IF(Расчёты!$E109=1,Расчёты!$Y109,"")</f>
        <v/>
      </c>
      <c r="Y131" s="33" t="str">
        <f>IF(Расчёты!$E109=1,Расчёты!$AL109,"")</f>
        <v/>
      </c>
      <c r="Z131" s="33" t="str">
        <f>IF(Расчёты!$E109=1,Расчёты!$AP109,"")</f>
        <v/>
      </c>
      <c r="AA131" s="33" t="str">
        <f>IF(Расчёты!$E109=1,Расчёты!$AS109,"")</f>
        <v/>
      </c>
      <c r="AB131" s="33" t="str">
        <f>IF(Расчёты!$E109=1,Расчёты!$AV109,"")</f>
        <v/>
      </c>
      <c r="AC131" s="33" t="str">
        <f>IF(Расчёты!$E109=1,Расчёты!$AW109,"")</f>
        <v/>
      </c>
      <c r="AD131" s="33" t="str">
        <f>IF(Расчёты!$E109=1,Расчёты!$AX109,"")</f>
        <v/>
      </c>
      <c r="AE131" s="33" t="str">
        <f>IF(Расчёты!$E109=1,Расчёты!$AY109,"")</f>
        <v/>
      </c>
      <c r="AF131" s="33" t="str">
        <f>IF(Расчёты!$E109=1,Расчёты!$BA109,"")</f>
        <v/>
      </c>
      <c r="AG131" s="33" t="str">
        <f>IF(Расчёты!$E109=1,Расчёты!$BB109,"")</f>
        <v/>
      </c>
      <c r="AH131" s="33" t="str">
        <f>IF(Расчёты!$E109=1,Расчёты!$BC109,"")</f>
        <v/>
      </c>
      <c r="AI131" s="33" t="str">
        <f>IF(Расчёты!$E109=1,Расчёты!$AU109,"")</f>
        <v/>
      </c>
      <c r="AJ131" s="33" t="str">
        <f>IF(Расчёты!$E109=1,Расчёты!$BF109,"")</f>
        <v/>
      </c>
      <c r="AK131" s="33" t="str">
        <f>IF(Расчёты!$E109=1,Расчёты!$BG109,"")</f>
        <v/>
      </c>
      <c r="AM131" s="17" t="str">
        <f t="shared" si="21"/>
        <v/>
      </c>
      <c r="AN131" s="35" t="str">
        <f t="shared" si="22"/>
        <v/>
      </c>
      <c r="AP131" s="17" t="str">
        <f t="shared" si="23"/>
        <v/>
      </c>
      <c r="AQ131" s="35" t="str">
        <f t="shared" si="24"/>
        <v/>
      </c>
      <c r="AV131" s="17" t="str">
        <f t="shared" si="25"/>
        <v/>
      </c>
      <c r="AW131" s="35" t="str">
        <f t="shared" si="26"/>
        <v/>
      </c>
      <c r="AX131" s="35" t="str">
        <f t="shared" si="27"/>
        <v/>
      </c>
    </row>
    <row r="132" spans="1:50" x14ac:dyDescent="0.2">
      <c r="A132" s="18" t="str">
        <f>IF(Расчёты!$E110=1,Расчёты!$B110,"")</f>
        <v/>
      </c>
      <c r="B132" s="34" t="str">
        <f>IF(Расчёты!$E110=1,Расчёты!$D110,"")</f>
        <v/>
      </c>
      <c r="C132" s="33" t="str">
        <f>IF(Расчёты!$E110=1,Расчёты!$Z110,"")</f>
        <v/>
      </c>
      <c r="D132" s="33" t="str">
        <f>IF(Расчёты!$E110=1,Расчёты!$AA110,"")</f>
        <v/>
      </c>
      <c r="E132" s="33" t="str">
        <f>IF(Расчёты!$E110=1,Расчёты!$AB110,"")</f>
        <v/>
      </c>
      <c r="F132" s="33" t="str">
        <f>IF(Расчёты!$E110=1,Расчёты!$AC110,"")</f>
        <v/>
      </c>
      <c r="G132" s="33" t="str">
        <f>IF(Расчёты!$E110=1,Расчёты!$AD110,"")</f>
        <v/>
      </c>
      <c r="H132" s="33" t="str">
        <f>IF(Расчёты!$E110=1,Расчёты!$AI110,"")</f>
        <v/>
      </c>
      <c r="I132" s="33" t="str">
        <f>IF(Расчёты!$E110=1,Расчёты!$AG110,"")</f>
        <v/>
      </c>
      <c r="J132" s="33" t="str">
        <f>IF(Расчёты!$E110=1,Расчёты!$AJ110,"")</f>
        <v/>
      </c>
      <c r="K132" s="33" t="str">
        <f>IF(Расчёты!$E110=1,Расчёты!$AK110,"")</f>
        <v/>
      </c>
      <c r="L132" s="33" t="str">
        <f>IF(Расчёты!$E110=1,Расчёты!$I110,"")</f>
        <v/>
      </c>
      <c r="M132" s="33" t="str">
        <f>IF(Расчёты!$E110=1,Расчёты!$J110,"")</f>
        <v/>
      </c>
      <c r="N132" s="33" t="str">
        <f>IF(Расчёты!$E110=1,Расчёты!$K110,"")</f>
        <v/>
      </c>
      <c r="O132" s="33" t="str">
        <f>IF(Расчёты!$E110=1,Расчёты!$L110,"")</f>
        <v/>
      </c>
      <c r="P132" s="33" t="str">
        <f>IF(Расчёты!$E110=1,Расчёты!$M110,"")</f>
        <v/>
      </c>
      <c r="Q132" s="33" t="str">
        <f>IF(Расчёты!$E110=1,Расчёты!$N110,"")</f>
        <v/>
      </c>
      <c r="R132" s="33" t="str">
        <f>IF(Расчёты!$E110=1,Расчёты!$O110,"")</f>
        <v/>
      </c>
      <c r="S132" s="33" t="str">
        <f>IF(Расчёты!$E110=1,Расчёты!$Q110,"")</f>
        <v/>
      </c>
      <c r="T132" s="33" t="str">
        <f>IF(Расчёты!$E110=1,Расчёты!$S110,"")</f>
        <v/>
      </c>
      <c r="U132" s="33" t="str">
        <f>IF(Расчёты!$E110=1,Расчёты!$U110,"")</f>
        <v/>
      </c>
      <c r="V132" s="33" t="str">
        <f>IF(Расчёты!$E110=1,Расчёты!$W110,"")</f>
        <v/>
      </c>
      <c r="W132" s="33" t="str">
        <f>IF(Расчёты!$E110=1,Расчёты!$X110,"")</f>
        <v/>
      </c>
      <c r="X132" s="33" t="str">
        <f>IF(Расчёты!$E110=1,Расчёты!$Y110,"")</f>
        <v/>
      </c>
      <c r="Y132" s="33" t="str">
        <f>IF(Расчёты!$E110=1,Расчёты!$AL110,"")</f>
        <v/>
      </c>
      <c r="Z132" s="33" t="str">
        <f>IF(Расчёты!$E110=1,Расчёты!$AP110,"")</f>
        <v/>
      </c>
      <c r="AA132" s="33" t="str">
        <f>IF(Расчёты!$E110=1,Расчёты!$AS110,"")</f>
        <v/>
      </c>
      <c r="AB132" s="33" t="str">
        <f>IF(Расчёты!$E110=1,Расчёты!$AV110,"")</f>
        <v/>
      </c>
      <c r="AC132" s="33" t="str">
        <f>IF(Расчёты!$E110=1,Расчёты!$AW110,"")</f>
        <v/>
      </c>
      <c r="AD132" s="33" t="str">
        <f>IF(Расчёты!$E110=1,Расчёты!$AX110,"")</f>
        <v/>
      </c>
      <c r="AE132" s="33" t="str">
        <f>IF(Расчёты!$E110=1,Расчёты!$AY110,"")</f>
        <v/>
      </c>
      <c r="AF132" s="33" t="str">
        <f>IF(Расчёты!$E110=1,Расчёты!$BA110,"")</f>
        <v/>
      </c>
      <c r="AG132" s="33" t="str">
        <f>IF(Расчёты!$E110=1,Расчёты!$BB110,"")</f>
        <v/>
      </c>
      <c r="AH132" s="33" t="str">
        <f>IF(Расчёты!$E110=1,Расчёты!$BC110,"")</f>
        <v/>
      </c>
      <c r="AI132" s="33" t="str">
        <f>IF(Расчёты!$E110=1,Расчёты!$AU110,"")</f>
        <v/>
      </c>
      <c r="AJ132" s="33" t="str">
        <f>IF(Расчёты!$E110=1,Расчёты!$BF110,"")</f>
        <v/>
      </c>
      <c r="AK132" s="33" t="str">
        <f>IF(Расчёты!$E110=1,Расчёты!$BG110,"")</f>
        <v/>
      </c>
      <c r="AM132" s="17" t="str">
        <f t="shared" si="21"/>
        <v/>
      </c>
      <c r="AN132" s="35" t="str">
        <f t="shared" si="22"/>
        <v/>
      </c>
      <c r="AP132" s="17" t="str">
        <f t="shared" si="23"/>
        <v/>
      </c>
      <c r="AQ132" s="35" t="str">
        <f t="shared" si="24"/>
        <v/>
      </c>
      <c r="AV132" s="17" t="str">
        <f t="shared" si="25"/>
        <v/>
      </c>
      <c r="AW132" s="35" t="str">
        <f t="shared" si="26"/>
        <v/>
      </c>
      <c r="AX132" s="35" t="str">
        <f t="shared" si="27"/>
        <v/>
      </c>
    </row>
    <row r="133" spans="1:50" x14ac:dyDescent="0.2">
      <c r="A133" s="18" t="str">
        <f>IF(Расчёты!$E111=1,Расчёты!$B111,"")</f>
        <v/>
      </c>
      <c r="B133" s="34" t="str">
        <f>IF(Расчёты!$E111=1,Расчёты!$D111,"")</f>
        <v/>
      </c>
      <c r="C133" s="33" t="str">
        <f>IF(Расчёты!$E111=1,Расчёты!$Z111,"")</f>
        <v/>
      </c>
      <c r="D133" s="33" t="str">
        <f>IF(Расчёты!$E111=1,Расчёты!$AA111,"")</f>
        <v/>
      </c>
      <c r="E133" s="33" t="str">
        <f>IF(Расчёты!$E111=1,Расчёты!$AB111,"")</f>
        <v/>
      </c>
      <c r="F133" s="33" t="str">
        <f>IF(Расчёты!$E111=1,Расчёты!$AC111,"")</f>
        <v/>
      </c>
      <c r="G133" s="33" t="str">
        <f>IF(Расчёты!$E111=1,Расчёты!$AD111,"")</f>
        <v/>
      </c>
      <c r="H133" s="33" t="str">
        <f>IF(Расчёты!$E111=1,Расчёты!$AI111,"")</f>
        <v/>
      </c>
      <c r="I133" s="33" t="str">
        <f>IF(Расчёты!$E111=1,Расчёты!$AG111,"")</f>
        <v/>
      </c>
      <c r="J133" s="33" t="str">
        <f>IF(Расчёты!$E111=1,Расчёты!$AJ111,"")</f>
        <v/>
      </c>
      <c r="K133" s="33" t="str">
        <f>IF(Расчёты!$E111=1,Расчёты!$AK111,"")</f>
        <v/>
      </c>
      <c r="L133" s="33" t="str">
        <f>IF(Расчёты!$E111=1,Расчёты!$I111,"")</f>
        <v/>
      </c>
      <c r="M133" s="33" t="str">
        <f>IF(Расчёты!$E111=1,Расчёты!$J111,"")</f>
        <v/>
      </c>
      <c r="N133" s="33" t="str">
        <f>IF(Расчёты!$E111=1,Расчёты!$K111,"")</f>
        <v/>
      </c>
      <c r="O133" s="33" t="str">
        <f>IF(Расчёты!$E111=1,Расчёты!$L111,"")</f>
        <v/>
      </c>
      <c r="P133" s="33" t="str">
        <f>IF(Расчёты!$E111=1,Расчёты!$M111,"")</f>
        <v/>
      </c>
      <c r="Q133" s="33" t="str">
        <f>IF(Расчёты!$E111=1,Расчёты!$N111,"")</f>
        <v/>
      </c>
      <c r="R133" s="33" t="str">
        <f>IF(Расчёты!$E111=1,Расчёты!$O111,"")</f>
        <v/>
      </c>
      <c r="S133" s="33" t="str">
        <f>IF(Расчёты!$E111=1,Расчёты!$Q111,"")</f>
        <v/>
      </c>
      <c r="T133" s="33" t="str">
        <f>IF(Расчёты!$E111=1,Расчёты!$S111,"")</f>
        <v/>
      </c>
      <c r="U133" s="33" t="str">
        <f>IF(Расчёты!$E111=1,Расчёты!$U111,"")</f>
        <v/>
      </c>
      <c r="V133" s="33" t="str">
        <f>IF(Расчёты!$E111=1,Расчёты!$W111,"")</f>
        <v/>
      </c>
      <c r="W133" s="33" t="str">
        <f>IF(Расчёты!$E111=1,Расчёты!$X111,"")</f>
        <v/>
      </c>
      <c r="X133" s="33" t="str">
        <f>IF(Расчёты!$E111=1,Расчёты!$Y111,"")</f>
        <v/>
      </c>
      <c r="Y133" s="33" t="str">
        <f>IF(Расчёты!$E111=1,Расчёты!$AL111,"")</f>
        <v/>
      </c>
      <c r="Z133" s="33" t="str">
        <f>IF(Расчёты!$E111=1,Расчёты!$AP111,"")</f>
        <v/>
      </c>
      <c r="AA133" s="33" t="str">
        <f>IF(Расчёты!$E111=1,Расчёты!$AS111,"")</f>
        <v/>
      </c>
      <c r="AB133" s="33" t="str">
        <f>IF(Расчёты!$E111=1,Расчёты!$AV111,"")</f>
        <v/>
      </c>
      <c r="AC133" s="33" t="str">
        <f>IF(Расчёты!$E111=1,Расчёты!$AW111,"")</f>
        <v/>
      </c>
      <c r="AD133" s="33" t="str">
        <f>IF(Расчёты!$E111=1,Расчёты!$AX111,"")</f>
        <v/>
      </c>
      <c r="AE133" s="33" t="str">
        <f>IF(Расчёты!$E111=1,Расчёты!$AY111,"")</f>
        <v/>
      </c>
      <c r="AF133" s="33" t="str">
        <f>IF(Расчёты!$E111=1,Расчёты!$BA111,"")</f>
        <v/>
      </c>
      <c r="AG133" s="33" t="str">
        <f>IF(Расчёты!$E111=1,Расчёты!$BB111,"")</f>
        <v/>
      </c>
      <c r="AH133" s="33" t="str">
        <f>IF(Расчёты!$E111=1,Расчёты!$BC111,"")</f>
        <v/>
      </c>
      <c r="AI133" s="33" t="str">
        <f>IF(Расчёты!$E111=1,Расчёты!$AU111,"")</f>
        <v/>
      </c>
      <c r="AJ133" s="33" t="str">
        <f>IF(Расчёты!$E111=1,Расчёты!$BF111,"")</f>
        <v/>
      </c>
      <c r="AK133" s="33" t="str">
        <f>IF(Расчёты!$E111=1,Расчёты!$BG111,"")</f>
        <v/>
      </c>
      <c r="AM133" s="17" t="str">
        <f t="shared" si="21"/>
        <v/>
      </c>
      <c r="AN133" s="35" t="str">
        <f t="shared" si="22"/>
        <v/>
      </c>
      <c r="AP133" s="17" t="str">
        <f t="shared" si="23"/>
        <v/>
      </c>
      <c r="AQ133" s="35" t="str">
        <f t="shared" si="24"/>
        <v/>
      </c>
      <c r="AV133" s="17" t="str">
        <f t="shared" si="25"/>
        <v/>
      </c>
      <c r="AW133" s="35" t="str">
        <f t="shared" si="26"/>
        <v/>
      </c>
      <c r="AX133" s="35" t="str">
        <f t="shared" si="27"/>
        <v/>
      </c>
    </row>
    <row r="134" spans="1:50" x14ac:dyDescent="0.2">
      <c r="A134" s="18" t="str">
        <f>IF(Расчёты!$E112=1,Расчёты!$B112,"")</f>
        <v/>
      </c>
      <c r="B134" s="34" t="str">
        <f>IF(Расчёты!$E112=1,Расчёты!$D112,"")</f>
        <v/>
      </c>
      <c r="C134" s="33" t="str">
        <f>IF(Расчёты!$E112=1,Расчёты!$Z112,"")</f>
        <v/>
      </c>
      <c r="D134" s="33" t="str">
        <f>IF(Расчёты!$E112=1,Расчёты!$AA112,"")</f>
        <v/>
      </c>
      <c r="E134" s="33" t="str">
        <f>IF(Расчёты!$E112=1,Расчёты!$AB112,"")</f>
        <v/>
      </c>
      <c r="F134" s="33" t="str">
        <f>IF(Расчёты!$E112=1,Расчёты!$AC112,"")</f>
        <v/>
      </c>
      <c r="G134" s="33" t="str">
        <f>IF(Расчёты!$E112=1,Расчёты!$AD112,"")</f>
        <v/>
      </c>
      <c r="H134" s="33" t="str">
        <f>IF(Расчёты!$E112=1,Расчёты!$AI112,"")</f>
        <v/>
      </c>
      <c r="I134" s="33" t="str">
        <f>IF(Расчёты!$E112=1,Расчёты!$AG112,"")</f>
        <v/>
      </c>
      <c r="J134" s="33" t="str">
        <f>IF(Расчёты!$E112=1,Расчёты!$AJ112,"")</f>
        <v/>
      </c>
      <c r="K134" s="33" t="str">
        <f>IF(Расчёты!$E112=1,Расчёты!$AK112,"")</f>
        <v/>
      </c>
      <c r="L134" s="33" t="str">
        <f>IF(Расчёты!$E112=1,Расчёты!$I112,"")</f>
        <v/>
      </c>
      <c r="M134" s="33" t="str">
        <f>IF(Расчёты!$E112=1,Расчёты!$J112,"")</f>
        <v/>
      </c>
      <c r="N134" s="33" t="str">
        <f>IF(Расчёты!$E112=1,Расчёты!$K112,"")</f>
        <v/>
      </c>
      <c r="O134" s="33" t="str">
        <f>IF(Расчёты!$E112=1,Расчёты!$L112,"")</f>
        <v/>
      </c>
      <c r="P134" s="33" t="str">
        <f>IF(Расчёты!$E112=1,Расчёты!$M112,"")</f>
        <v/>
      </c>
      <c r="Q134" s="33" t="str">
        <f>IF(Расчёты!$E112=1,Расчёты!$N112,"")</f>
        <v/>
      </c>
      <c r="R134" s="33" t="str">
        <f>IF(Расчёты!$E112=1,Расчёты!$O112,"")</f>
        <v/>
      </c>
      <c r="S134" s="33" t="str">
        <f>IF(Расчёты!$E112=1,Расчёты!$Q112,"")</f>
        <v/>
      </c>
      <c r="T134" s="33" t="str">
        <f>IF(Расчёты!$E112=1,Расчёты!$S112,"")</f>
        <v/>
      </c>
      <c r="U134" s="33" t="str">
        <f>IF(Расчёты!$E112=1,Расчёты!$U112,"")</f>
        <v/>
      </c>
      <c r="V134" s="33" t="str">
        <f>IF(Расчёты!$E112=1,Расчёты!$W112,"")</f>
        <v/>
      </c>
      <c r="W134" s="33" t="str">
        <f>IF(Расчёты!$E112=1,Расчёты!$X112,"")</f>
        <v/>
      </c>
      <c r="X134" s="33" t="str">
        <f>IF(Расчёты!$E112=1,Расчёты!$Y112,"")</f>
        <v/>
      </c>
      <c r="Y134" s="33" t="str">
        <f>IF(Расчёты!$E112=1,Расчёты!$AL112,"")</f>
        <v/>
      </c>
      <c r="Z134" s="33" t="str">
        <f>IF(Расчёты!$E112=1,Расчёты!$AP112,"")</f>
        <v/>
      </c>
      <c r="AA134" s="33" t="str">
        <f>IF(Расчёты!$E112=1,Расчёты!$AS112,"")</f>
        <v/>
      </c>
      <c r="AB134" s="33" t="str">
        <f>IF(Расчёты!$E112=1,Расчёты!$AV112,"")</f>
        <v/>
      </c>
      <c r="AC134" s="33" t="str">
        <f>IF(Расчёты!$E112=1,Расчёты!$AW112,"")</f>
        <v/>
      </c>
      <c r="AD134" s="33" t="str">
        <f>IF(Расчёты!$E112=1,Расчёты!$AX112,"")</f>
        <v/>
      </c>
      <c r="AE134" s="33" t="str">
        <f>IF(Расчёты!$E112=1,Расчёты!$AY112,"")</f>
        <v/>
      </c>
      <c r="AF134" s="33" t="str">
        <f>IF(Расчёты!$E112=1,Расчёты!$BA112,"")</f>
        <v/>
      </c>
      <c r="AG134" s="33" t="str">
        <f>IF(Расчёты!$E112=1,Расчёты!$BB112,"")</f>
        <v/>
      </c>
      <c r="AH134" s="33" t="str">
        <f>IF(Расчёты!$E112=1,Расчёты!$BC112,"")</f>
        <v/>
      </c>
      <c r="AI134" s="33" t="str">
        <f>IF(Расчёты!$E112=1,Расчёты!$AU112,"")</f>
        <v/>
      </c>
      <c r="AJ134" s="33" t="str">
        <f>IF(Расчёты!$E112=1,Расчёты!$BF112,"")</f>
        <v/>
      </c>
      <c r="AK134" s="33" t="str">
        <f>IF(Расчёты!$E112=1,Расчёты!$BG112,"")</f>
        <v/>
      </c>
      <c r="AM134" s="17" t="str">
        <f t="shared" si="21"/>
        <v/>
      </c>
      <c r="AN134" s="35" t="str">
        <f t="shared" si="22"/>
        <v/>
      </c>
      <c r="AP134" s="17" t="str">
        <f t="shared" si="23"/>
        <v/>
      </c>
      <c r="AQ134" s="35" t="str">
        <f t="shared" si="24"/>
        <v/>
      </c>
      <c r="AV134" s="17" t="str">
        <f t="shared" si="25"/>
        <v/>
      </c>
      <c r="AW134" s="35" t="str">
        <f t="shared" si="26"/>
        <v/>
      </c>
      <c r="AX134" s="35" t="str">
        <f t="shared" si="27"/>
        <v/>
      </c>
    </row>
    <row r="135" spans="1:50" x14ac:dyDescent="0.2">
      <c r="A135" s="18" t="str">
        <f>IF(Расчёты!$E113=1,Расчёты!$B113,"")</f>
        <v/>
      </c>
      <c r="B135" s="34" t="str">
        <f>IF(Расчёты!$E113=1,Расчёты!$D113,"")</f>
        <v/>
      </c>
      <c r="C135" s="33" t="str">
        <f>IF(Расчёты!$E113=1,Расчёты!$Z113,"")</f>
        <v/>
      </c>
      <c r="D135" s="33" t="str">
        <f>IF(Расчёты!$E113=1,Расчёты!$AA113,"")</f>
        <v/>
      </c>
      <c r="E135" s="33" t="str">
        <f>IF(Расчёты!$E113=1,Расчёты!$AB113,"")</f>
        <v/>
      </c>
      <c r="F135" s="33" t="str">
        <f>IF(Расчёты!$E113=1,Расчёты!$AC113,"")</f>
        <v/>
      </c>
      <c r="G135" s="33" t="str">
        <f>IF(Расчёты!$E113=1,Расчёты!$AD113,"")</f>
        <v/>
      </c>
      <c r="H135" s="33" t="str">
        <f>IF(Расчёты!$E113=1,Расчёты!$AI113,"")</f>
        <v/>
      </c>
      <c r="I135" s="33" t="str">
        <f>IF(Расчёты!$E113=1,Расчёты!$AG113,"")</f>
        <v/>
      </c>
      <c r="J135" s="33" t="str">
        <f>IF(Расчёты!$E113=1,Расчёты!$AJ113,"")</f>
        <v/>
      </c>
      <c r="K135" s="33" t="str">
        <f>IF(Расчёты!$E113=1,Расчёты!$AK113,"")</f>
        <v/>
      </c>
      <c r="L135" s="33" t="str">
        <f>IF(Расчёты!$E113=1,Расчёты!$I113,"")</f>
        <v/>
      </c>
      <c r="M135" s="33" t="str">
        <f>IF(Расчёты!$E113=1,Расчёты!$J113,"")</f>
        <v/>
      </c>
      <c r="N135" s="33" t="str">
        <f>IF(Расчёты!$E113=1,Расчёты!$K113,"")</f>
        <v/>
      </c>
      <c r="O135" s="33" t="str">
        <f>IF(Расчёты!$E113=1,Расчёты!$L113,"")</f>
        <v/>
      </c>
      <c r="P135" s="33" t="str">
        <f>IF(Расчёты!$E113=1,Расчёты!$M113,"")</f>
        <v/>
      </c>
      <c r="Q135" s="33" t="str">
        <f>IF(Расчёты!$E113=1,Расчёты!$N113,"")</f>
        <v/>
      </c>
      <c r="R135" s="33" t="str">
        <f>IF(Расчёты!$E113=1,Расчёты!$O113,"")</f>
        <v/>
      </c>
      <c r="S135" s="33" t="str">
        <f>IF(Расчёты!$E113=1,Расчёты!$Q113,"")</f>
        <v/>
      </c>
      <c r="T135" s="33" t="str">
        <f>IF(Расчёты!$E113=1,Расчёты!$S113,"")</f>
        <v/>
      </c>
      <c r="U135" s="33" t="str">
        <f>IF(Расчёты!$E113=1,Расчёты!$U113,"")</f>
        <v/>
      </c>
      <c r="V135" s="33" t="str">
        <f>IF(Расчёты!$E113=1,Расчёты!$W113,"")</f>
        <v/>
      </c>
      <c r="W135" s="33" t="str">
        <f>IF(Расчёты!$E113=1,Расчёты!$X113,"")</f>
        <v/>
      </c>
      <c r="X135" s="33" t="str">
        <f>IF(Расчёты!$E113=1,Расчёты!$Y113,"")</f>
        <v/>
      </c>
      <c r="Y135" s="33" t="str">
        <f>IF(Расчёты!$E113=1,Расчёты!$AL113,"")</f>
        <v/>
      </c>
      <c r="Z135" s="33" t="str">
        <f>IF(Расчёты!$E113=1,Расчёты!$AP113,"")</f>
        <v/>
      </c>
      <c r="AA135" s="33" t="str">
        <f>IF(Расчёты!$E113=1,Расчёты!$AS113,"")</f>
        <v/>
      </c>
      <c r="AB135" s="33" t="str">
        <f>IF(Расчёты!$E113=1,Расчёты!$AV113,"")</f>
        <v/>
      </c>
      <c r="AC135" s="33" t="str">
        <f>IF(Расчёты!$E113=1,Расчёты!$AW113,"")</f>
        <v/>
      </c>
      <c r="AD135" s="33" t="str">
        <f>IF(Расчёты!$E113=1,Расчёты!$AX113,"")</f>
        <v/>
      </c>
      <c r="AE135" s="33" t="str">
        <f>IF(Расчёты!$E113=1,Расчёты!$AY113,"")</f>
        <v/>
      </c>
      <c r="AF135" s="33" t="str">
        <f>IF(Расчёты!$E113=1,Расчёты!$BA113,"")</f>
        <v/>
      </c>
      <c r="AG135" s="33" t="str">
        <f>IF(Расчёты!$E113=1,Расчёты!$BB113,"")</f>
        <v/>
      </c>
      <c r="AH135" s="33" t="str">
        <f>IF(Расчёты!$E113=1,Расчёты!$BC113,"")</f>
        <v/>
      </c>
      <c r="AI135" s="33" t="str">
        <f>IF(Расчёты!$E113=1,Расчёты!$AU113,"")</f>
        <v/>
      </c>
      <c r="AJ135" s="33" t="str">
        <f>IF(Расчёты!$E113=1,Расчёты!$BF113,"")</f>
        <v/>
      </c>
      <c r="AK135" s="33" t="str">
        <f>IF(Расчёты!$E113=1,Расчёты!$BG113,"")</f>
        <v/>
      </c>
      <c r="AM135" s="17" t="str">
        <f t="shared" si="21"/>
        <v/>
      </c>
      <c r="AN135" s="35" t="str">
        <f t="shared" si="22"/>
        <v/>
      </c>
      <c r="AP135" s="17" t="str">
        <f t="shared" si="23"/>
        <v/>
      </c>
      <c r="AQ135" s="35" t="str">
        <f t="shared" si="24"/>
        <v/>
      </c>
      <c r="AV135" s="17" t="str">
        <f t="shared" si="25"/>
        <v/>
      </c>
      <c r="AW135" s="35" t="str">
        <f t="shared" si="26"/>
        <v/>
      </c>
      <c r="AX135" s="35" t="str">
        <f t="shared" si="27"/>
        <v/>
      </c>
    </row>
    <row r="136" spans="1:50" x14ac:dyDescent="0.2">
      <c r="A136" s="18" t="str">
        <f>IF(Расчёты!$E114=1,Расчёты!$B114,"")</f>
        <v/>
      </c>
      <c r="B136" s="34" t="str">
        <f>IF(Расчёты!$E114=1,Расчёты!$D114,"")</f>
        <v/>
      </c>
      <c r="C136" s="33" t="str">
        <f>IF(Расчёты!$E114=1,Расчёты!$Z114,"")</f>
        <v/>
      </c>
      <c r="D136" s="33" t="str">
        <f>IF(Расчёты!$E114=1,Расчёты!$AA114,"")</f>
        <v/>
      </c>
      <c r="E136" s="33" t="str">
        <f>IF(Расчёты!$E114=1,Расчёты!$AB114,"")</f>
        <v/>
      </c>
      <c r="F136" s="33" t="str">
        <f>IF(Расчёты!$E114=1,Расчёты!$AC114,"")</f>
        <v/>
      </c>
      <c r="G136" s="33" t="str">
        <f>IF(Расчёты!$E114=1,Расчёты!$AD114,"")</f>
        <v/>
      </c>
      <c r="H136" s="33" t="str">
        <f>IF(Расчёты!$E114=1,Расчёты!$AI114,"")</f>
        <v/>
      </c>
      <c r="I136" s="33" t="str">
        <f>IF(Расчёты!$E114=1,Расчёты!$AG114,"")</f>
        <v/>
      </c>
      <c r="J136" s="33" t="str">
        <f>IF(Расчёты!$E114=1,Расчёты!$AJ114,"")</f>
        <v/>
      </c>
      <c r="K136" s="33" t="str">
        <f>IF(Расчёты!$E114=1,Расчёты!$AK114,"")</f>
        <v/>
      </c>
      <c r="L136" s="33" t="str">
        <f>IF(Расчёты!$E114=1,Расчёты!$I114,"")</f>
        <v/>
      </c>
      <c r="M136" s="33" t="str">
        <f>IF(Расчёты!$E114=1,Расчёты!$J114,"")</f>
        <v/>
      </c>
      <c r="N136" s="33" t="str">
        <f>IF(Расчёты!$E114=1,Расчёты!$K114,"")</f>
        <v/>
      </c>
      <c r="O136" s="33" t="str">
        <f>IF(Расчёты!$E114=1,Расчёты!$L114,"")</f>
        <v/>
      </c>
      <c r="P136" s="33" t="str">
        <f>IF(Расчёты!$E114=1,Расчёты!$M114,"")</f>
        <v/>
      </c>
      <c r="Q136" s="33" t="str">
        <f>IF(Расчёты!$E114=1,Расчёты!$N114,"")</f>
        <v/>
      </c>
      <c r="R136" s="33" t="str">
        <f>IF(Расчёты!$E114=1,Расчёты!$O114,"")</f>
        <v/>
      </c>
      <c r="S136" s="33" t="str">
        <f>IF(Расчёты!$E114=1,Расчёты!$Q114,"")</f>
        <v/>
      </c>
      <c r="T136" s="33" t="str">
        <f>IF(Расчёты!$E114=1,Расчёты!$S114,"")</f>
        <v/>
      </c>
      <c r="U136" s="33" t="str">
        <f>IF(Расчёты!$E114=1,Расчёты!$U114,"")</f>
        <v/>
      </c>
      <c r="V136" s="33" t="str">
        <f>IF(Расчёты!$E114=1,Расчёты!$W114,"")</f>
        <v/>
      </c>
      <c r="W136" s="33" t="str">
        <f>IF(Расчёты!$E114=1,Расчёты!$X114,"")</f>
        <v/>
      </c>
      <c r="X136" s="33" t="str">
        <f>IF(Расчёты!$E114=1,Расчёты!$Y114,"")</f>
        <v/>
      </c>
      <c r="Y136" s="33" t="str">
        <f>IF(Расчёты!$E114=1,Расчёты!$AL114,"")</f>
        <v/>
      </c>
      <c r="Z136" s="33" t="str">
        <f>IF(Расчёты!$E114=1,Расчёты!$AP114,"")</f>
        <v/>
      </c>
      <c r="AA136" s="33" t="str">
        <f>IF(Расчёты!$E114=1,Расчёты!$AS114,"")</f>
        <v/>
      </c>
      <c r="AB136" s="33" t="str">
        <f>IF(Расчёты!$E114=1,Расчёты!$AV114,"")</f>
        <v/>
      </c>
      <c r="AC136" s="33" t="str">
        <f>IF(Расчёты!$E114=1,Расчёты!$AW114,"")</f>
        <v/>
      </c>
      <c r="AD136" s="33" t="str">
        <f>IF(Расчёты!$E114=1,Расчёты!$AX114,"")</f>
        <v/>
      </c>
      <c r="AE136" s="33" t="str">
        <f>IF(Расчёты!$E114=1,Расчёты!$AY114,"")</f>
        <v/>
      </c>
      <c r="AF136" s="33" t="str">
        <f>IF(Расчёты!$E114=1,Расчёты!$BA114,"")</f>
        <v/>
      </c>
      <c r="AG136" s="33" t="str">
        <f>IF(Расчёты!$E114=1,Расчёты!$BB114,"")</f>
        <v/>
      </c>
      <c r="AH136" s="33" t="str">
        <f>IF(Расчёты!$E114=1,Расчёты!$BC114,"")</f>
        <v/>
      </c>
      <c r="AI136" s="33" t="str">
        <f>IF(Расчёты!$E114=1,Расчёты!$AU114,"")</f>
        <v/>
      </c>
      <c r="AJ136" s="33" t="str">
        <f>IF(Расчёты!$E114=1,Расчёты!$BF114,"")</f>
        <v/>
      </c>
      <c r="AK136" s="33" t="str">
        <f>IF(Расчёты!$E114=1,Расчёты!$BG114,"")</f>
        <v/>
      </c>
      <c r="AM136" s="17" t="str">
        <f t="shared" si="21"/>
        <v/>
      </c>
      <c r="AN136" s="35" t="str">
        <f t="shared" si="22"/>
        <v/>
      </c>
      <c r="AP136" s="17" t="str">
        <f t="shared" si="23"/>
        <v/>
      </c>
      <c r="AQ136" s="35" t="str">
        <f t="shared" si="24"/>
        <v/>
      </c>
      <c r="AV136" s="17" t="str">
        <f t="shared" si="25"/>
        <v/>
      </c>
      <c r="AW136" s="35" t="str">
        <f t="shared" si="26"/>
        <v/>
      </c>
      <c r="AX136" s="35" t="str">
        <f t="shared" si="27"/>
        <v/>
      </c>
    </row>
    <row r="137" spans="1:50" x14ac:dyDescent="0.2">
      <c r="A137" s="18" t="str">
        <f>IF(Расчёты!$E115=1,Расчёты!$B115,"")</f>
        <v/>
      </c>
      <c r="B137" s="34" t="str">
        <f>IF(Расчёты!$E115=1,Расчёты!$D115,"")</f>
        <v/>
      </c>
      <c r="C137" s="33" t="str">
        <f>IF(Расчёты!$E115=1,Расчёты!$Z115,"")</f>
        <v/>
      </c>
      <c r="D137" s="33" t="str">
        <f>IF(Расчёты!$E115=1,Расчёты!$AA115,"")</f>
        <v/>
      </c>
      <c r="E137" s="33" t="str">
        <f>IF(Расчёты!$E115=1,Расчёты!$AB115,"")</f>
        <v/>
      </c>
      <c r="F137" s="33" t="str">
        <f>IF(Расчёты!$E115=1,Расчёты!$AC115,"")</f>
        <v/>
      </c>
      <c r="G137" s="33" t="str">
        <f>IF(Расчёты!$E115=1,Расчёты!$AD115,"")</f>
        <v/>
      </c>
      <c r="H137" s="33" t="str">
        <f>IF(Расчёты!$E115=1,Расчёты!$AI115,"")</f>
        <v/>
      </c>
      <c r="I137" s="33" t="str">
        <f>IF(Расчёты!$E115=1,Расчёты!$AG115,"")</f>
        <v/>
      </c>
      <c r="J137" s="33" t="str">
        <f>IF(Расчёты!$E115=1,Расчёты!$AJ115,"")</f>
        <v/>
      </c>
      <c r="K137" s="33" t="str">
        <f>IF(Расчёты!$E115=1,Расчёты!$AK115,"")</f>
        <v/>
      </c>
      <c r="L137" s="33" t="str">
        <f>IF(Расчёты!$E115=1,Расчёты!$I115,"")</f>
        <v/>
      </c>
      <c r="M137" s="33" t="str">
        <f>IF(Расчёты!$E115=1,Расчёты!$J115,"")</f>
        <v/>
      </c>
      <c r="N137" s="33" t="str">
        <f>IF(Расчёты!$E115=1,Расчёты!$K115,"")</f>
        <v/>
      </c>
      <c r="O137" s="33" t="str">
        <f>IF(Расчёты!$E115=1,Расчёты!$L115,"")</f>
        <v/>
      </c>
      <c r="P137" s="33" t="str">
        <f>IF(Расчёты!$E115=1,Расчёты!$M115,"")</f>
        <v/>
      </c>
      <c r="Q137" s="33" t="str">
        <f>IF(Расчёты!$E115=1,Расчёты!$N115,"")</f>
        <v/>
      </c>
      <c r="R137" s="33" t="str">
        <f>IF(Расчёты!$E115=1,Расчёты!$O115,"")</f>
        <v/>
      </c>
      <c r="S137" s="33" t="str">
        <f>IF(Расчёты!$E115=1,Расчёты!$Q115,"")</f>
        <v/>
      </c>
      <c r="T137" s="33" t="str">
        <f>IF(Расчёты!$E115=1,Расчёты!$S115,"")</f>
        <v/>
      </c>
      <c r="U137" s="33" t="str">
        <f>IF(Расчёты!$E115=1,Расчёты!$U115,"")</f>
        <v/>
      </c>
      <c r="V137" s="33" t="str">
        <f>IF(Расчёты!$E115=1,Расчёты!$W115,"")</f>
        <v/>
      </c>
      <c r="W137" s="33" t="str">
        <f>IF(Расчёты!$E115=1,Расчёты!$X115,"")</f>
        <v/>
      </c>
      <c r="X137" s="33" t="str">
        <f>IF(Расчёты!$E115=1,Расчёты!$Y115,"")</f>
        <v/>
      </c>
      <c r="Y137" s="33" t="str">
        <f>IF(Расчёты!$E115=1,Расчёты!$AL115,"")</f>
        <v/>
      </c>
      <c r="Z137" s="33" t="str">
        <f>IF(Расчёты!$E115=1,Расчёты!$AP115,"")</f>
        <v/>
      </c>
      <c r="AA137" s="33" t="str">
        <f>IF(Расчёты!$E115=1,Расчёты!$AS115,"")</f>
        <v/>
      </c>
      <c r="AB137" s="33" t="str">
        <f>IF(Расчёты!$E115=1,Расчёты!$AV115,"")</f>
        <v/>
      </c>
      <c r="AC137" s="33" t="str">
        <f>IF(Расчёты!$E115=1,Расчёты!$AW115,"")</f>
        <v/>
      </c>
      <c r="AD137" s="33" t="str">
        <f>IF(Расчёты!$E115=1,Расчёты!$AX115,"")</f>
        <v/>
      </c>
      <c r="AE137" s="33" t="str">
        <f>IF(Расчёты!$E115=1,Расчёты!$AY115,"")</f>
        <v/>
      </c>
      <c r="AF137" s="33" t="str">
        <f>IF(Расчёты!$E115=1,Расчёты!$BA115,"")</f>
        <v/>
      </c>
      <c r="AG137" s="33" t="str">
        <f>IF(Расчёты!$E115=1,Расчёты!$BB115,"")</f>
        <v/>
      </c>
      <c r="AH137" s="33" t="str">
        <f>IF(Расчёты!$E115=1,Расчёты!$BC115,"")</f>
        <v/>
      </c>
      <c r="AI137" s="33" t="str">
        <f>IF(Расчёты!$E115=1,Расчёты!$AU115,"")</f>
        <v/>
      </c>
      <c r="AJ137" s="33" t="str">
        <f>IF(Расчёты!$E115=1,Расчёты!$BF115,"")</f>
        <v/>
      </c>
      <c r="AK137" s="33" t="str">
        <f>IF(Расчёты!$E115=1,Расчёты!$BG115,"")</f>
        <v/>
      </c>
      <c r="AM137" s="17" t="str">
        <f t="shared" si="21"/>
        <v/>
      </c>
      <c r="AN137" s="35" t="str">
        <f t="shared" si="22"/>
        <v/>
      </c>
      <c r="AP137" s="17" t="str">
        <f t="shared" si="23"/>
        <v/>
      </c>
      <c r="AQ137" s="35" t="str">
        <f t="shared" si="24"/>
        <v/>
      </c>
      <c r="AV137" s="17" t="str">
        <f t="shared" si="25"/>
        <v/>
      </c>
      <c r="AW137" s="35" t="str">
        <f t="shared" si="26"/>
        <v/>
      </c>
      <c r="AX137" s="35" t="str">
        <f t="shared" si="27"/>
        <v/>
      </c>
    </row>
    <row r="138" spans="1:50" x14ac:dyDescent="0.2">
      <c r="A138" s="18" t="str">
        <f>IF(Расчёты!$E116=1,Расчёты!$B116,"")</f>
        <v/>
      </c>
      <c r="B138" s="34" t="str">
        <f>IF(Расчёты!$E116=1,Расчёты!$D116,"")</f>
        <v/>
      </c>
      <c r="C138" s="33" t="str">
        <f>IF(Расчёты!$E116=1,Расчёты!$Z116,"")</f>
        <v/>
      </c>
      <c r="D138" s="33" t="str">
        <f>IF(Расчёты!$E116=1,Расчёты!$AA116,"")</f>
        <v/>
      </c>
      <c r="E138" s="33" t="str">
        <f>IF(Расчёты!$E116=1,Расчёты!$AB116,"")</f>
        <v/>
      </c>
      <c r="F138" s="33" t="str">
        <f>IF(Расчёты!$E116=1,Расчёты!$AC116,"")</f>
        <v/>
      </c>
      <c r="G138" s="33" t="str">
        <f>IF(Расчёты!$E116=1,Расчёты!$AD116,"")</f>
        <v/>
      </c>
      <c r="H138" s="33" t="str">
        <f>IF(Расчёты!$E116=1,Расчёты!$AI116,"")</f>
        <v/>
      </c>
      <c r="I138" s="33" t="str">
        <f>IF(Расчёты!$E116=1,Расчёты!$AG116,"")</f>
        <v/>
      </c>
      <c r="J138" s="33" t="str">
        <f>IF(Расчёты!$E116=1,Расчёты!$AJ116,"")</f>
        <v/>
      </c>
      <c r="K138" s="33" t="str">
        <f>IF(Расчёты!$E116=1,Расчёты!$AK116,"")</f>
        <v/>
      </c>
      <c r="L138" s="33" t="str">
        <f>IF(Расчёты!$E116=1,Расчёты!$I116,"")</f>
        <v/>
      </c>
      <c r="M138" s="33" t="str">
        <f>IF(Расчёты!$E116=1,Расчёты!$J116,"")</f>
        <v/>
      </c>
      <c r="N138" s="33" t="str">
        <f>IF(Расчёты!$E116=1,Расчёты!$K116,"")</f>
        <v/>
      </c>
      <c r="O138" s="33" t="str">
        <f>IF(Расчёты!$E116=1,Расчёты!$L116,"")</f>
        <v/>
      </c>
      <c r="P138" s="33" t="str">
        <f>IF(Расчёты!$E116=1,Расчёты!$M116,"")</f>
        <v/>
      </c>
      <c r="Q138" s="33" t="str">
        <f>IF(Расчёты!$E116=1,Расчёты!$N116,"")</f>
        <v/>
      </c>
      <c r="R138" s="33" t="str">
        <f>IF(Расчёты!$E116=1,Расчёты!$O116,"")</f>
        <v/>
      </c>
      <c r="S138" s="33" t="str">
        <f>IF(Расчёты!$E116=1,Расчёты!$Q116,"")</f>
        <v/>
      </c>
      <c r="T138" s="33" t="str">
        <f>IF(Расчёты!$E116=1,Расчёты!$S116,"")</f>
        <v/>
      </c>
      <c r="U138" s="33" t="str">
        <f>IF(Расчёты!$E116=1,Расчёты!$U116,"")</f>
        <v/>
      </c>
      <c r="V138" s="33" t="str">
        <f>IF(Расчёты!$E116=1,Расчёты!$W116,"")</f>
        <v/>
      </c>
      <c r="W138" s="33" t="str">
        <f>IF(Расчёты!$E116=1,Расчёты!$X116,"")</f>
        <v/>
      </c>
      <c r="X138" s="33" t="str">
        <f>IF(Расчёты!$E116=1,Расчёты!$Y116,"")</f>
        <v/>
      </c>
      <c r="Y138" s="33" t="str">
        <f>IF(Расчёты!$E116=1,Расчёты!$AL116,"")</f>
        <v/>
      </c>
      <c r="Z138" s="33" t="str">
        <f>IF(Расчёты!$E116=1,Расчёты!$AP116,"")</f>
        <v/>
      </c>
      <c r="AA138" s="33" t="str">
        <f>IF(Расчёты!$E116=1,Расчёты!$AS116,"")</f>
        <v/>
      </c>
      <c r="AB138" s="33" t="str">
        <f>IF(Расчёты!$E116=1,Расчёты!$AV116,"")</f>
        <v/>
      </c>
      <c r="AC138" s="33" t="str">
        <f>IF(Расчёты!$E116=1,Расчёты!$AW116,"")</f>
        <v/>
      </c>
      <c r="AD138" s="33" t="str">
        <f>IF(Расчёты!$E116=1,Расчёты!$AX116,"")</f>
        <v/>
      </c>
      <c r="AE138" s="33" t="str">
        <f>IF(Расчёты!$E116=1,Расчёты!$AY116,"")</f>
        <v/>
      </c>
      <c r="AF138" s="33" t="str">
        <f>IF(Расчёты!$E116=1,Расчёты!$BA116,"")</f>
        <v/>
      </c>
      <c r="AG138" s="33" t="str">
        <f>IF(Расчёты!$E116=1,Расчёты!$BB116,"")</f>
        <v/>
      </c>
      <c r="AH138" s="33" t="str">
        <f>IF(Расчёты!$E116=1,Расчёты!$BC116,"")</f>
        <v/>
      </c>
      <c r="AI138" s="33" t="str">
        <f>IF(Расчёты!$E116=1,Расчёты!$AU116,"")</f>
        <v/>
      </c>
      <c r="AJ138" s="33" t="str">
        <f>IF(Расчёты!$E116=1,Расчёты!$BF116,"")</f>
        <v/>
      </c>
      <c r="AK138" s="33" t="str">
        <f>IF(Расчёты!$E116=1,Расчёты!$BG116,"")</f>
        <v/>
      </c>
      <c r="AM138" s="17" t="str">
        <f t="shared" si="21"/>
        <v/>
      </c>
      <c r="AN138" s="35" t="str">
        <f t="shared" si="22"/>
        <v/>
      </c>
      <c r="AP138" s="17" t="str">
        <f t="shared" si="23"/>
        <v/>
      </c>
      <c r="AQ138" s="35" t="str">
        <f t="shared" si="24"/>
        <v/>
      </c>
      <c r="AV138" s="17" t="str">
        <f t="shared" si="25"/>
        <v/>
      </c>
      <c r="AW138" s="35" t="str">
        <f t="shared" si="26"/>
        <v/>
      </c>
      <c r="AX138" s="35" t="str">
        <f t="shared" si="27"/>
        <v/>
      </c>
    </row>
    <row r="139" spans="1:50" x14ac:dyDescent="0.2">
      <c r="A139" s="18" t="str">
        <f>IF(Расчёты!$E117=1,Расчёты!$B117,"")</f>
        <v/>
      </c>
      <c r="B139" s="34" t="str">
        <f>IF(Расчёты!$E117=1,Расчёты!$D117,"")</f>
        <v/>
      </c>
      <c r="C139" s="33" t="str">
        <f>IF(Расчёты!$E117=1,Расчёты!$Z117,"")</f>
        <v/>
      </c>
      <c r="D139" s="33" t="str">
        <f>IF(Расчёты!$E117=1,Расчёты!$AA117,"")</f>
        <v/>
      </c>
      <c r="E139" s="33" t="str">
        <f>IF(Расчёты!$E117=1,Расчёты!$AB117,"")</f>
        <v/>
      </c>
      <c r="F139" s="33" t="str">
        <f>IF(Расчёты!$E117=1,Расчёты!$AC117,"")</f>
        <v/>
      </c>
      <c r="G139" s="33" t="str">
        <f>IF(Расчёты!$E117=1,Расчёты!$AD117,"")</f>
        <v/>
      </c>
      <c r="H139" s="33" t="str">
        <f>IF(Расчёты!$E117=1,Расчёты!$AI117,"")</f>
        <v/>
      </c>
      <c r="I139" s="33" t="str">
        <f>IF(Расчёты!$E117=1,Расчёты!$AG117,"")</f>
        <v/>
      </c>
      <c r="J139" s="33" t="str">
        <f>IF(Расчёты!$E117=1,Расчёты!$AJ117,"")</f>
        <v/>
      </c>
      <c r="K139" s="33" t="str">
        <f>IF(Расчёты!$E117=1,Расчёты!$AK117,"")</f>
        <v/>
      </c>
      <c r="L139" s="33" t="str">
        <f>IF(Расчёты!$E117=1,Расчёты!$I117,"")</f>
        <v/>
      </c>
      <c r="M139" s="33" t="str">
        <f>IF(Расчёты!$E117=1,Расчёты!$J117,"")</f>
        <v/>
      </c>
      <c r="N139" s="33" t="str">
        <f>IF(Расчёты!$E117=1,Расчёты!$K117,"")</f>
        <v/>
      </c>
      <c r="O139" s="33" t="str">
        <f>IF(Расчёты!$E117=1,Расчёты!$L117,"")</f>
        <v/>
      </c>
      <c r="P139" s="33" t="str">
        <f>IF(Расчёты!$E117=1,Расчёты!$M117,"")</f>
        <v/>
      </c>
      <c r="Q139" s="33" t="str">
        <f>IF(Расчёты!$E117=1,Расчёты!$N117,"")</f>
        <v/>
      </c>
      <c r="R139" s="33" t="str">
        <f>IF(Расчёты!$E117=1,Расчёты!$O117,"")</f>
        <v/>
      </c>
      <c r="S139" s="33" t="str">
        <f>IF(Расчёты!$E117=1,Расчёты!$Q117,"")</f>
        <v/>
      </c>
      <c r="T139" s="33" t="str">
        <f>IF(Расчёты!$E117=1,Расчёты!$S117,"")</f>
        <v/>
      </c>
      <c r="U139" s="33" t="str">
        <f>IF(Расчёты!$E117=1,Расчёты!$U117,"")</f>
        <v/>
      </c>
      <c r="V139" s="33" t="str">
        <f>IF(Расчёты!$E117=1,Расчёты!$W117,"")</f>
        <v/>
      </c>
      <c r="W139" s="33" t="str">
        <f>IF(Расчёты!$E117=1,Расчёты!$X117,"")</f>
        <v/>
      </c>
      <c r="X139" s="33" t="str">
        <f>IF(Расчёты!$E117=1,Расчёты!$Y117,"")</f>
        <v/>
      </c>
      <c r="Y139" s="33" t="str">
        <f>IF(Расчёты!$E117=1,Расчёты!$AL117,"")</f>
        <v/>
      </c>
      <c r="Z139" s="33" t="str">
        <f>IF(Расчёты!$E117=1,Расчёты!$AP117,"")</f>
        <v/>
      </c>
      <c r="AA139" s="33" t="str">
        <f>IF(Расчёты!$E117=1,Расчёты!$AS117,"")</f>
        <v/>
      </c>
      <c r="AB139" s="33" t="str">
        <f>IF(Расчёты!$E117=1,Расчёты!$AV117,"")</f>
        <v/>
      </c>
      <c r="AC139" s="33" t="str">
        <f>IF(Расчёты!$E117=1,Расчёты!$AW117,"")</f>
        <v/>
      </c>
      <c r="AD139" s="33" t="str">
        <f>IF(Расчёты!$E117=1,Расчёты!$AX117,"")</f>
        <v/>
      </c>
      <c r="AE139" s="33" t="str">
        <f>IF(Расчёты!$E117=1,Расчёты!$AY117,"")</f>
        <v/>
      </c>
      <c r="AF139" s="33" t="str">
        <f>IF(Расчёты!$E117=1,Расчёты!$BA117,"")</f>
        <v/>
      </c>
      <c r="AG139" s="33" t="str">
        <f>IF(Расчёты!$E117=1,Расчёты!$BB117,"")</f>
        <v/>
      </c>
      <c r="AH139" s="33" t="str">
        <f>IF(Расчёты!$E117=1,Расчёты!$BC117,"")</f>
        <v/>
      </c>
      <c r="AI139" s="33" t="str">
        <f>IF(Расчёты!$E117=1,Расчёты!$AU117,"")</f>
        <v/>
      </c>
      <c r="AJ139" s="33" t="str">
        <f>IF(Расчёты!$E117=1,Расчёты!$BF117,"")</f>
        <v/>
      </c>
      <c r="AK139" s="33" t="str">
        <f>IF(Расчёты!$E117=1,Расчёты!$BG117,"")</f>
        <v/>
      </c>
      <c r="AM139" s="17" t="str">
        <f t="shared" si="21"/>
        <v/>
      </c>
      <c r="AN139" s="35" t="str">
        <f t="shared" si="22"/>
        <v/>
      </c>
      <c r="AP139" s="17" t="str">
        <f t="shared" si="23"/>
        <v/>
      </c>
      <c r="AQ139" s="35" t="str">
        <f t="shared" si="24"/>
        <v/>
      </c>
      <c r="AV139" s="17" t="str">
        <f t="shared" si="25"/>
        <v/>
      </c>
      <c r="AW139" s="35" t="str">
        <f t="shared" si="26"/>
        <v/>
      </c>
      <c r="AX139" s="35" t="str">
        <f t="shared" si="27"/>
        <v/>
      </c>
    </row>
    <row r="140" spans="1:50" x14ac:dyDescent="0.2">
      <c r="A140" s="18" t="str">
        <f>IF(Расчёты!$E118=1,Расчёты!$B118,"")</f>
        <v/>
      </c>
      <c r="B140" s="34" t="str">
        <f>IF(Расчёты!$E118=1,Расчёты!$D118,"")</f>
        <v/>
      </c>
      <c r="C140" s="33" t="str">
        <f>IF(Расчёты!$E118=1,Расчёты!$Z118,"")</f>
        <v/>
      </c>
      <c r="D140" s="33" t="str">
        <f>IF(Расчёты!$E118=1,Расчёты!$AA118,"")</f>
        <v/>
      </c>
      <c r="E140" s="33" t="str">
        <f>IF(Расчёты!$E118=1,Расчёты!$AB118,"")</f>
        <v/>
      </c>
      <c r="F140" s="33" t="str">
        <f>IF(Расчёты!$E118=1,Расчёты!$AC118,"")</f>
        <v/>
      </c>
      <c r="G140" s="33" t="str">
        <f>IF(Расчёты!$E118=1,Расчёты!$AD118,"")</f>
        <v/>
      </c>
      <c r="H140" s="33" t="str">
        <f>IF(Расчёты!$E118=1,Расчёты!$AI118,"")</f>
        <v/>
      </c>
      <c r="I140" s="33" t="str">
        <f>IF(Расчёты!$E118=1,Расчёты!$AG118,"")</f>
        <v/>
      </c>
      <c r="J140" s="33" t="str">
        <f>IF(Расчёты!$E118=1,Расчёты!$AJ118,"")</f>
        <v/>
      </c>
      <c r="K140" s="33" t="str">
        <f>IF(Расчёты!$E118=1,Расчёты!$AK118,"")</f>
        <v/>
      </c>
      <c r="L140" s="33" t="str">
        <f>IF(Расчёты!$E118=1,Расчёты!$I118,"")</f>
        <v/>
      </c>
      <c r="M140" s="33" t="str">
        <f>IF(Расчёты!$E118=1,Расчёты!$J118,"")</f>
        <v/>
      </c>
      <c r="N140" s="33" t="str">
        <f>IF(Расчёты!$E118=1,Расчёты!$K118,"")</f>
        <v/>
      </c>
      <c r="O140" s="33" t="str">
        <f>IF(Расчёты!$E118=1,Расчёты!$L118,"")</f>
        <v/>
      </c>
      <c r="P140" s="33" t="str">
        <f>IF(Расчёты!$E118=1,Расчёты!$M118,"")</f>
        <v/>
      </c>
      <c r="Q140" s="33" t="str">
        <f>IF(Расчёты!$E118=1,Расчёты!$N118,"")</f>
        <v/>
      </c>
      <c r="R140" s="33" t="str">
        <f>IF(Расчёты!$E118=1,Расчёты!$O118,"")</f>
        <v/>
      </c>
      <c r="S140" s="33" t="str">
        <f>IF(Расчёты!$E118=1,Расчёты!$Q118,"")</f>
        <v/>
      </c>
      <c r="T140" s="33" t="str">
        <f>IF(Расчёты!$E118=1,Расчёты!$S118,"")</f>
        <v/>
      </c>
      <c r="U140" s="33" t="str">
        <f>IF(Расчёты!$E118=1,Расчёты!$U118,"")</f>
        <v/>
      </c>
      <c r="V140" s="33" t="str">
        <f>IF(Расчёты!$E118=1,Расчёты!$W118,"")</f>
        <v/>
      </c>
      <c r="W140" s="33" t="str">
        <f>IF(Расчёты!$E118=1,Расчёты!$X118,"")</f>
        <v/>
      </c>
      <c r="X140" s="33" t="str">
        <f>IF(Расчёты!$E118=1,Расчёты!$Y118,"")</f>
        <v/>
      </c>
      <c r="Y140" s="33" t="str">
        <f>IF(Расчёты!$E118=1,Расчёты!$AL118,"")</f>
        <v/>
      </c>
      <c r="Z140" s="33" t="str">
        <f>IF(Расчёты!$E118=1,Расчёты!$AP118,"")</f>
        <v/>
      </c>
      <c r="AA140" s="33" t="str">
        <f>IF(Расчёты!$E118=1,Расчёты!$AS118,"")</f>
        <v/>
      </c>
      <c r="AB140" s="33" t="str">
        <f>IF(Расчёты!$E118=1,Расчёты!$AV118,"")</f>
        <v/>
      </c>
      <c r="AC140" s="33" t="str">
        <f>IF(Расчёты!$E118=1,Расчёты!$AW118,"")</f>
        <v/>
      </c>
      <c r="AD140" s="33" t="str">
        <f>IF(Расчёты!$E118=1,Расчёты!$AX118,"")</f>
        <v/>
      </c>
      <c r="AE140" s="33" t="str">
        <f>IF(Расчёты!$E118=1,Расчёты!$AY118,"")</f>
        <v/>
      </c>
      <c r="AF140" s="33" t="str">
        <f>IF(Расчёты!$E118=1,Расчёты!$BA118,"")</f>
        <v/>
      </c>
      <c r="AG140" s="33" t="str">
        <f>IF(Расчёты!$E118=1,Расчёты!$BB118,"")</f>
        <v/>
      </c>
      <c r="AH140" s="33" t="str">
        <f>IF(Расчёты!$E118=1,Расчёты!$BC118,"")</f>
        <v/>
      </c>
      <c r="AI140" s="33" t="str">
        <f>IF(Расчёты!$E118=1,Расчёты!$AU118,"")</f>
        <v/>
      </c>
      <c r="AJ140" s="33" t="str">
        <f>IF(Расчёты!$E118=1,Расчёты!$BF118,"")</f>
        <v/>
      </c>
      <c r="AK140" s="33" t="str">
        <f>IF(Расчёты!$E118=1,Расчёты!$BG118,"")</f>
        <v/>
      </c>
      <c r="AM140" s="17" t="str">
        <f t="shared" si="21"/>
        <v/>
      </c>
      <c r="AN140" s="35" t="str">
        <f t="shared" si="22"/>
        <v/>
      </c>
      <c r="AP140" s="17" t="str">
        <f t="shared" si="23"/>
        <v/>
      </c>
      <c r="AQ140" s="35" t="str">
        <f t="shared" si="24"/>
        <v/>
      </c>
      <c r="AV140" s="17" t="str">
        <f t="shared" si="25"/>
        <v/>
      </c>
      <c r="AW140" s="35" t="str">
        <f t="shared" si="26"/>
        <v/>
      </c>
      <c r="AX140" s="35" t="str">
        <f t="shared" si="27"/>
        <v/>
      </c>
    </row>
    <row r="141" spans="1:50" x14ac:dyDescent="0.2">
      <c r="A141" s="18" t="str">
        <f>IF(Расчёты!$E119=1,Расчёты!$B119,"")</f>
        <v/>
      </c>
      <c r="B141" s="34" t="str">
        <f>IF(Расчёты!$E119=1,Расчёты!$D119,"")</f>
        <v/>
      </c>
      <c r="C141" s="33" t="str">
        <f>IF(Расчёты!$E119=1,Расчёты!$Z119,"")</f>
        <v/>
      </c>
      <c r="D141" s="33" t="str">
        <f>IF(Расчёты!$E119=1,Расчёты!$AA119,"")</f>
        <v/>
      </c>
      <c r="E141" s="33" t="str">
        <f>IF(Расчёты!$E119=1,Расчёты!$AB119,"")</f>
        <v/>
      </c>
      <c r="F141" s="33" t="str">
        <f>IF(Расчёты!$E119=1,Расчёты!$AC119,"")</f>
        <v/>
      </c>
      <c r="G141" s="33" t="str">
        <f>IF(Расчёты!$E119=1,Расчёты!$AD119,"")</f>
        <v/>
      </c>
      <c r="H141" s="33" t="str">
        <f>IF(Расчёты!$E119=1,Расчёты!$AI119,"")</f>
        <v/>
      </c>
      <c r="I141" s="33" t="str">
        <f>IF(Расчёты!$E119=1,Расчёты!$AG119,"")</f>
        <v/>
      </c>
      <c r="J141" s="33" t="str">
        <f>IF(Расчёты!$E119=1,Расчёты!$AJ119,"")</f>
        <v/>
      </c>
      <c r="K141" s="33" t="str">
        <f>IF(Расчёты!$E119=1,Расчёты!$AK119,"")</f>
        <v/>
      </c>
      <c r="L141" s="33" t="str">
        <f>IF(Расчёты!$E119=1,Расчёты!$I119,"")</f>
        <v/>
      </c>
      <c r="M141" s="33" t="str">
        <f>IF(Расчёты!$E119=1,Расчёты!$J119,"")</f>
        <v/>
      </c>
      <c r="N141" s="33" t="str">
        <f>IF(Расчёты!$E119=1,Расчёты!$K119,"")</f>
        <v/>
      </c>
      <c r="O141" s="33" t="str">
        <f>IF(Расчёты!$E119=1,Расчёты!$L119,"")</f>
        <v/>
      </c>
      <c r="P141" s="33" t="str">
        <f>IF(Расчёты!$E119=1,Расчёты!$M119,"")</f>
        <v/>
      </c>
      <c r="Q141" s="33" t="str">
        <f>IF(Расчёты!$E119=1,Расчёты!$N119,"")</f>
        <v/>
      </c>
      <c r="R141" s="33" t="str">
        <f>IF(Расчёты!$E119=1,Расчёты!$O119,"")</f>
        <v/>
      </c>
      <c r="S141" s="33" t="str">
        <f>IF(Расчёты!$E119=1,Расчёты!$Q119,"")</f>
        <v/>
      </c>
      <c r="T141" s="33" t="str">
        <f>IF(Расчёты!$E119=1,Расчёты!$S119,"")</f>
        <v/>
      </c>
      <c r="U141" s="33" t="str">
        <f>IF(Расчёты!$E119=1,Расчёты!$U119,"")</f>
        <v/>
      </c>
      <c r="V141" s="33" t="str">
        <f>IF(Расчёты!$E119=1,Расчёты!$W119,"")</f>
        <v/>
      </c>
      <c r="W141" s="33" t="str">
        <f>IF(Расчёты!$E119=1,Расчёты!$X119,"")</f>
        <v/>
      </c>
      <c r="X141" s="33" t="str">
        <f>IF(Расчёты!$E119=1,Расчёты!$Y119,"")</f>
        <v/>
      </c>
      <c r="Y141" s="33" t="str">
        <f>IF(Расчёты!$E119=1,Расчёты!$AL119,"")</f>
        <v/>
      </c>
      <c r="Z141" s="33" t="str">
        <f>IF(Расчёты!$E119=1,Расчёты!$AP119,"")</f>
        <v/>
      </c>
      <c r="AA141" s="33" t="str">
        <f>IF(Расчёты!$E119=1,Расчёты!$AS119,"")</f>
        <v/>
      </c>
      <c r="AB141" s="33" t="str">
        <f>IF(Расчёты!$E119=1,Расчёты!$AV119,"")</f>
        <v/>
      </c>
      <c r="AC141" s="33" t="str">
        <f>IF(Расчёты!$E119=1,Расчёты!$AW119,"")</f>
        <v/>
      </c>
      <c r="AD141" s="33" t="str">
        <f>IF(Расчёты!$E119=1,Расчёты!$AX119,"")</f>
        <v/>
      </c>
      <c r="AE141" s="33" t="str">
        <f>IF(Расчёты!$E119=1,Расчёты!$AY119,"")</f>
        <v/>
      </c>
      <c r="AF141" s="33" t="str">
        <f>IF(Расчёты!$E119=1,Расчёты!$BA119,"")</f>
        <v/>
      </c>
      <c r="AG141" s="33" t="str">
        <f>IF(Расчёты!$E119=1,Расчёты!$BB119,"")</f>
        <v/>
      </c>
      <c r="AH141" s="33" t="str">
        <f>IF(Расчёты!$E119=1,Расчёты!$BC119,"")</f>
        <v/>
      </c>
      <c r="AI141" s="33" t="str">
        <f>IF(Расчёты!$E119=1,Расчёты!$AU119,"")</f>
        <v/>
      </c>
      <c r="AJ141" s="33" t="str">
        <f>IF(Расчёты!$E119=1,Расчёты!$BF119,"")</f>
        <v/>
      </c>
      <c r="AK141" s="33" t="str">
        <f>IF(Расчёты!$E119=1,Расчёты!$BG119,"")</f>
        <v/>
      </c>
      <c r="AM141" s="17" t="str">
        <f t="shared" si="21"/>
        <v/>
      </c>
      <c r="AN141" s="35" t="str">
        <f t="shared" si="22"/>
        <v/>
      </c>
      <c r="AP141" s="17" t="str">
        <f t="shared" si="23"/>
        <v/>
      </c>
      <c r="AQ141" s="35" t="str">
        <f t="shared" si="24"/>
        <v/>
      </c>
      <c r="AV141" s="17" t="str">
        <f t="shared" si="25"/>
        <v/>
      </c>
      <c r="AW141" s="35" t="str">
        <f t="shared" si="26"/>
        <v/>
      </c>
      <c r="AX141" s="35" t="str">
        <f t="shared" si="27"/>
        <v/>
      </c>
    </row>
    <row r="142" spans="1:50" x14ac:dyDescent="0.2">
      <c r="A142" s="18" t="str">
        <f>IF(Расчёты!$E120=1,Расчёты!$B120,"")</f>
        <v/>
      </c>
      <c r="B142" s="34" t="str">
        <f>IF(Расчёты!$E120=1,Расчёты!$D120,"")</f>
        <v/>
      </c>
      <c r="C142" s="33" t="str">
        <f>IF(Расчёты!$E120=1,Расчёты!$Z120,"")</f>
        <v/>
      </c>
      <c r="D142" s="33" t="str">
        <f>IF(Расчёты!$E120=1,Расчёты!$AA120,"")</f>
        <v/>
      </c>
      <c r="E142" s="33" t="str">
        <f>IF(Расчёты!$E120=1,Расчёты!$AB120,"")</f>
        <v/>
      </c>
      <c r="F142" s="33" t="str">
        <f>IF(Расчёты!$E120=1,Расчёты!$AC120,"")</f>
        <v/>
      </c>
      <c r="G142" s="33" t="str">
        <f>IF(Расчёты!$E120=1,Расчёты!$AD120,"")</f>
        <v/>
      </c>
      <c r="H142" s="33" t="str">
        <f>IF(Расчёты!$E120=1,Расчёты!$AI120,"")</f>
        <v/>
      </c>
      <c r="I142" s="33" t="str">
        <f>IF(Расчёты!$E120=1,Расчёты!$AG120,"")</f>
        <v/>
      </c>
      <c r="J142" s="33" t="str">
        <f>IF(Расчёты!$E120=1,Расчёты!$AJ120,"")</f>
        <v/>
      </c>
      <c r="K142" s="33" t="str">
        <f>IF(Расчёты!$E120=1,Расчёты!$AK120,"")</f>
        <v/>
      </c>
      <c r="L142" s="33" t="str">
        <f>IF(Расчёты!$E120=1,Расчёты!$I120,"")</f>
        <v/>
      </c>
      <c r="M142" s="33" t="str">
        <f>IF(Расчёты!$E120=1,Расчёты!$J120,"")</f>
        <v/>
      </c>
      <c r="N142" s="33" t="str">
        <f>IF(Расчёты!$E120=1,Расчёты!$K120,"")</f>
        <v/>
      </c>
      <c r="O142" s="33" t="str">
        <f>IF(Расчёты!$E120=1,Расчёты!$L120,"")</f>
        <v/>
      </c>
      <c r="P142" s="33" t="str">
        <f>IF(Расчёты!$E120=1,Расчёты!$M120,"")</f>
        <v/>
      </c>
      <c r="Q142" s="33" t="str">
        <f>IF(Расчёты!$E120=1,Расчёты!$N120,"")</f>
        <v/>
      </c>
      <c r="R142" s="33" t="str">
        <f>IF(Расчёты!$E120=1,Расчёты!$O120,"")</f>
        <v/>
      </c>
      <c r="S142" s="33" t="str">
        <f>IF(Расчёты!$E120=1,Расчёты!$Q120,"")</f>
        <v/>
      </c>
      <c r="T142" s="33" t="str">
        <f>IF(Расчёты!$E120=1,Расчёты!$S120,"")</f>
        <v/>
      </c>
      <c r="U142" s="33" t="str">
        <f>IF(Расчёты!$E120=1,Расчёты!$U120,"")</f>
        <v/>
      </c>
      <c r="V142" s="33" t="str">
        <f>IF(Расчёты!$E120=1,Расчёты!$W120,"")</f>
        <v/>
      </c>
      <c r="W142" s="33" t="str">
        <f>IF(Расчёты!$E120=1,Расчёты!$X120,"")</f>
        <v/>
      </c>
      <c r="X142" s="33" t="str">
        <f>IF(Расчёты!$E120=1,Расчёты!$Y120,"")</f>
        <v/>
      </c>
      <c r="Y142" s="33" t="str">
        <f>IF(Расчёты!$E120=1,Расчёты!$AL120,"")</f>
        <v/>
      </c>
      <c r="Z142" s="33" t="str">
        <f>IF(Расчёты!$E120=1,Расчёты!$AP120,"")</f>
        <v/>
      </c>
      <c r="AA142" s="33" t="str">
        <f>IF(Расчёты!$E120=1,Расчёты!$AS120,"")</f>
        <v/>
      </c>
      <c r="AB142" s="33" t="str">
        <f>IF(Расчёты!$E120=1,Расчёты!$AV120,"")</f>
        <v/>
      </c>
      <c r="AC142" s="33" t="str">
        <f>IF(Расчёты!$E120=1,Расчёты!$AW120,"")</f>
        <v/>
      </c>
      <c r="AD142" s="33" t="str">
        <f>IF(Расчёты!$E120=1,Расчёты!$AX120,"")</f>
        <v/>
      </c>
      <c r="AE142" s="33" t="str">
        <f>IF(Расчёты!$E120=1,Расчёты!$AY120,"")</f>
        <v/>
      </c>
      <c r="AF142" s="33" t="str">
        <f>IF(Расчёты!$E120=1,Расчёты!$BA120,"")</f>
        <v/>
      </c>
      <c r="AG142" s="33" t="str">
        <f>IF(Расчёты!$E120=1,Расчёты!$BB120,"")</f>
        <v/>
      </c>
      <c r="AH142" s="33" t="str">
        <f>IF(Расчёты!$E120=1,Расчёты!$BC120,"")</f>
        <v/>
      </c>
      <c r="AI142" s="33" t="str">
        <f>IF(Расчёты!$E120=1,Расчёты!$AU120,"")</f>
        <v/>
      </c>
      <c r="AJ142" s="33" t="str">
        <f>IF(Расчёты!$E120=1,Расчёты!$BF120,"")</f>
        <v/>
      </c>
      <c r="AK142" s="33" t="str">
        <f>IF(Расчёты!$E120=1,Расчёты!$BG120,"")</f>
        <v/>
      </c>
      <c r="AM142" s="17" t="str">
        <f t="shared" si="21"/>
        <v/>
      </c>
      <c r="AN142" s="35" t="str">
        <f t="shared" si="22"/>
        <v/>
      </c>
      <c r="AP142" s="17" t="str">
        <f t="shared" si="23"/>
        <v/>
      </c>
      <c r="AQ142" s="35" t="str">
        <f t="shared" si="24"/>
        <v/>
      </c>
      <c r="AV142" s="17" t="str">
        <f t="shared" si="25"/>
        <v/>
      </c>
      <c r="AW142" s="35" t="str">
        <f t="shared" si="26"/>
        <v/>
      </c>
      <c r="AX142" s="35" t="str">
        <f t="shared" si="27"/>
        <v/>
      </c>
    </row>
    <row r="143" spans="1:50" x14ac:dyDescent="0.2">
      <c r="A143" s="18" t="str">
        <f>IF(Расчёты!$E121=1,Расчёты!$B121,"")</f>
        <v/>
      </c>
      <c r="B143" s="34" t="str">
        <f>IF(Расчёты!$E121=1,Расчёты!$D121,"")</f>
        <v/>
      </c>
      <c r="C143" s="33" t="str">
        <f>IF(Расчёты!$E121=1,Расчёты!$Z121,"")</f>
        <v/>
      </c>
      <c r="D143" s="33" t="str">
        <f>IF(Расчёты!$E121=1,Расчёты!$AA121,"")</f>
        <v/>
      </c>
      <c r="E143" s="33" t="str">
        <f>IF(Расчёты!$E121=1,Расчёты!$AB121,"")</f>
        <v/>
      </c>
      <c r="F143" s="33" t="str">
        <f>IF(Расчёты!$E121=1,Расчёты!$AC121,"")</f>
        <v/>
      </c>
      <c r="G143" s="33" t="str">
        <f>IF(Расчёты!$E121=1,Расчёты!$AD121,"")</f>
        <v/>
      </c>
      <c r="H143" s="33" t="str">
        <f>IF(Расчёты!$E121=1,Расчёты!$AI121,"")</f>
        <v/>
      </c>
      <c r="I143" s="33" t="str">
        <f>IF(Расчёты!$E121=1,Расчёты!$AG121,"")</f>
        <v/>
      </c>
      <c r="J143" s="33" t="str">
        <f>IF(Расчёты!$E121=1,Расчёты!$AJ121,"")</f>
        <v/>
      </c>
      <c r="K143" s="33" t="str">
        <f>IF(Расчёты!$E121=1,Расчёты!$AK121,"")</f>
        <v/>
      </c>
      <c r="L143" s="33" t="str">
        <f>IF(Расчёты!$E121=1,Расчёты!$I121,"")</f>
        <v/>
      </c>
      <c r="M143" s="33" t="str">
        <f>IF(Расчёты!$E121=1,Расчёты!$J121,"")</f>
        <v/>
      </c>
      <c r="N143" s="33" t="str">
        <f>IF(Расчёты!$E121=1,Расчёты!$K121,"")</f>
        <v/>
      </c>
      <c r="O143" s="33" t="str">
        <f>IF(Расчёты!$E121=1,Расчёты!$L121,"")</f>
        <v/>
      </c>
      <c r="P143" s="33" t="str">
        <f>IF(Расчёты!$E121=1,Расчёты!$M121,"")</f>
        <v/>
      </c>
      <c r="Q143" s="33" t="str">
        <f>IF(Расчёты!$E121=1,Расчёты!$N121,"")</f>
        <v/>
      </c>
      <c r="R143" s="33" t="str">
        <f>IF(Расчёты!$E121=1,Расчёты!$O121,"")</f>
        <v/>
      </c>
      <c r="S143" s="33" t="str">
        <f>IF(Расчёты!$E121=1,Расчёты!$Q121,"")</f>
        <v/>
      </c>
      <c r="T143" s="33" t="str">
        <f>IF(Расчёты!$E121=1,Расчёты!$S121,"")</f>
        <v/>
      </c>
      <c r="U143" s="33" t="str">
        <f>IF(Расчёты!$E121=1,Расчёты!$U121,"")</f>
        <v/>
      </c>
      <c r="V143" s="33" t="str">
        <f>IF(Расчёты!$E121=1,Расчёты!$W121,"")</f>
        <v/>
      </c>
      <c r="W143" s="33" t="str">
        <f>IF(Расчёты!$E121=1,Расчёты!$X121,"")</f>
        <v/>
      </c>
      <c r="X143" s="33" t="str">
        <f>IF(Расчёты!$E121=1,Расчёты!$Y121,"")</f>
        <v/>
      </c>
      <c r="Y143" s="33" t="str">
        <f>IF(Расчёты!$E121=1,Расчёты!$AL121,"")</f>
        <v/>
      </c>
      <c r="Z143" s="33" t="str">
        <f>IF(Расчёты!$E121=1,Расчёты!$AP121,"")</f>
        <v/>
      </c>
      <c r="AA143" s="33" t="str">
        <f>IF(Расчёты!$E121=1,Расчёты!$AS121,"")</f>
        <v/>
      </c>
      <c r="AB143" s="33" t="str">
        <f>IF(Расчёты!$E121=1,Расчёты!$AV121,"")</f>
        <v/>
      </c>
      <c r="AC143" s="33" t="str">
        <f>IF(Расчёты!$E121=1,Расчёты!$AW121,"")</f>
        <v/>
      </c>
      <c r="AD143" s="33" t="str">
        <f>IF(Расчёты!$E121=1,Расчёты!$AX121,"")</f>
        <v/>
      </c>
      <c r="AE143" s="33" t="str">
        <f>IF(Расчёты!$E121=1,Расчёты!$AY121,"")</f>
        <v/>
      </c>
      <c r="AF143" s="33" t="str">
        <f>IF(Расчёты!$E121=1,Расчёты!$BA121,"")</f>
        <v/>
      </c>
      <c r="AG143" s="33" t="str">
        <f>IF(Расчёты!$E121=1,Расчёты!$BB121,"")</f>
        <v/>
      </c>
      <c r="AH143" s="33" t="str">
        <f>IF(Расчёты!$E121=1,Расчёты!$BC121,"")</f>
        <v/>
      </c>
      <c r="AI143" s="33" t="str">
        <f>IF(Расчёты!$E121=1,Расчёты!$AU121,"")</f>
        <v/>
      </c>
      <c r="AJ143" s="33" t="str">
        <f>IF(Расчёты!$E121=1,Расчёты!$BF121,"")</f>
        <v/>
      </c>
      <c r="AK143" s="33" t="str">
        <f>IF(Расчёты!$E121=1,Расчёты!$BG121,"")</f>
        <v/>
      </c>
      <c r="AM143" s="17" t="str">
        <f t="shared" si="21"/>
        <v/>
      </c>
      <c r="AN143" s="35" t="str">
        <f t="shared" si="22"/>
        <v/>
      </c>
      <c r="AP143" s="17" t="str">
        <f t="shared" si="23"/>
        <v/>
      </c>
      <c r="AQ143" s="35" t="str">
        <f t="shared" si="24"/>
        <v/>
      </c>
      <c r="AV143" s="17" t="str">
        <f t="shared" si="25"/>
        <v/>
      </c>
      <c r="AW143" s="35" t="str">
        <f t="shared" si="26"/>
        <v/>
      </c>
      <c r="AX143" s="35" t="str">
        <f t="shared" si="27"/>
        <v/>
      </c>
    </row>
    <row r="144" spans="1:50" x14ac:dyDescent="0.2">
      <c r="A144" s="18" t="str">
        <f>IF(Расчёты!$E122=1,Расчёты!$B122,"")</f>
        <v/>
      </c>
      <c r="B144" s="34" t="str">
        <f>IF(Расчёты!$E122=1,Расчёты!$D122,"")</f>
        <v/>
      </c>
      <c r="C144" s="33" t="str">
        <f>IF(Расчёты!$E122=1,Расчёты!$Z122,"")</f>
        <v/>
      </c>
      <c r="D144" s="33" t="str">
        <f>IF(Расчёты!$E122=1,Расчёты!$AA122,"")</f>
        <v/>
      </c>
      <c r="E144" s="33" t="str">
        <f>IF(Расчёты!$E122=1,Расчёты!$AB122,"")</f>
        <v/>
      </c>
      <c r="F144" s="33" t="str">
        <f>IF(Расчёты!$E122=1,Расчёты!$AC122,"")</f>
        <v/>
      </c>
      <c r="G144" s="33" t="str">
        <f>IF(Расчёты!$E122=1,Расчёты!$AD122,"")</f>
        <v/>
      </c>
      <c r="H144" s="33" t="str">
        <f>IF(Расчёты!$E122=1,Расчёты!$AI122,"")</f>
        <v/>
      </c>
      <c r="I144" s="33" t="str">
        <f>IF(Расчёты!$E122=1,Расчёты!$AG122,"")</f>
        <v/>
      </c>
      <c r="J144" s="33" t="str">
        <f>IF(Расчёты!$E122=1,Расчёты!$AJ122,"")</f>
        <v/>
      </c>
      <c r="K144" s="33" t="str">
        <f>IF(Расчёты!$E122=1,Расчёты!$AK122,"")</f>
        <v/>
      </c>
      <c r="L144" s="33" t="str">
        <f>IF(Расчёты!$E122=1,Расчёты!$I122,"")</f>
        <v/>
      </c>
      <c r="M144" s="33" t="str">
        <f>IF(Расчёты!$E122=1,Расчёты!$J122,"")</f>
        <v/>
      </c>
      <c r="N144" s="33" t="str">
        <f>IF(Расчёты!$E122=1,Расчёты!$K122,"")</f>
        <v/>
      </c>
      <c r="O144" s="33" t="str">
        <f>IF(Расчёты!$E122=1,Расчёты!$L122,"")</f>
        <v/>
      </c>
      <c r="P144" s="33" t="str">
        <f>IF(Расчёты!$E122=1,Расчёты!$M122,"")</f>
        <v/>
      </c>
      <c r="Q144" s="33" t="str">
        <f>IF(Расчёты!$E122=1,Расчёты!$N122,"")</f>
        <v/>
      </c>
      <c r="R144" s="33" t="str">
        <f>IF(Расчёты!$E122=1,Расчёты!$O122,"")</f>
        <v/>
      </c>
      <c r="S144" s="33" t="str">
        <f>IF(Расчёты!$E122=1,Расчёты!$Q122,"")</f>
        <v/>
      </c>
      <c r="T144" s="33" t="str">
        <f>IF(Расчёты!$E122=1,Расчёты!$S122,"")</f>
        <v/>
      </c>
      <c r="U144" s="33" t="str">
        <f>IF(Расчёты!$E122=1,Расчёты!$U122,"")</f>
        <v/>
      </c>
      <c r="V144" s="33" t="str">
        <f>IF(Расчёты!$E122=1,Расчёты!$W122,"")</f>
        <v/>
      </c>
      <c r="W144" s="33" t="str">
        <f>IF(Расчёты!$E122=1,Расчёты!$X122,"")</f>
        <v/>
      </c>
      <c r="X144" s="33" t="str">
        <f>IF(Расчёты!$E122=1,Расчёты!$Y122,"")</f>
        <v/>
      </c>
      <c r="Y144" s="33" t="str">
        <f>IF(Расчёты!$E122=1,Расчёты!$AL122,"")</f>
        <v/>
      </c>
      <c r="Z144" s="33" t="str">
        <f>IF(Расчёты!$E122=1,Расчёты!$AP122,"")</f>
        <v/>
      </c>
      <c r="AA144" s="33" t="str">
        <f>IF(Расчёты!$E122=1,Расчёты!$AS122,"")</f>
        <v/>
      </c>
      <c r="AB144" s="33" t="str">
        <f>IF(Расчёты!$E122=1,Расчёты!$AV122,"")</f>
        <v/>
      </c>
      <c r="AC144" s="33" t="str">
        <f>IF(Расчёты!$E122=1,Расчёты!$AW122,"")</f>
        <v/>
      </c>
      <c r="AD144" s="33" t="str">
        <f>IF(Расчёты!$E122=1,Расчёты!$AX122,"")</f>
        <v/>
      </c>
      <c r="AE144" s="33" t="str">
        <f>IF(Расчёты!$E122=1,Расчёты!$AY122,"")</f>
        <v/>
      </c>
      <c r="AF144" s="33" t="str">
        <f>IF(Расчёты!$E122=1,Расчёты!$BA122,"")</f>
        <v/>
      </c>
      <c r="AG144" s="33" t="str">
        <f>IF(Расчёты!$E122=1,Расчёты!$BB122,"")</f>
        <v/>
      </c>
      <c r="AH144" s="33" t="str">
        <f>IF(Расчёты!$E122=1,Расчёты!$BC122,"")</f>
        <v/>
      </c>
      <c r="AI144" s="33" t="str">
        <f>IF(Расчёты!$E122=1,Расчёты!$AU122,"")</f>
        <v/>
      </c>
      <c r="AJ144" s="33" t="str">
        <f>IF(Расчёты!$E122=1,Расчёты!$BF122,"")</f>
        <v/>
      </c>
      <c r="AK144" s="33" t="str">
        <f>IF(Расчёты!$E122=1,Расчёты!$BG122,"")</f>
        <v/>
      </c>
      <c r="AM144" s="17" t="str">
        <f t="shared" si="21"/>
        <v/>
      </c>
      <c r="AN144" s="35" t="str">
        <f t="shared" si="22"/>
        <v/>
      </c>
      <c r="AP144" s="17" t="str">
        <f t="shared" si="23"/>
        <v/>
      </c>
      <c r="AQ144" s="35" t="str">
        <f t="shared" si="24"/>
        <v/>
      </c>
      <c r="AV144" s="17" t="str">
        <f t="shared" si="25"/>
        <v/>
      </c>
      <c r="AW144" s="35" t="str">
        <f t="shared" si="26"/>
        <v/>
      </c>
      <c r="AX144" s="35" t="str">
        <f t="shared" si="27"/>
        <v/>
      </c>
    </row>
    <row r="145" spans="1:50" x14ac:dyDescent="0.2">
      <c r="A145" s="18" t="str">
        <f>IF(Расчёты!$E123=1,Расчёты!$B123,"")</f>
        <v/>
      </c>
      <c r="B145" s="34" t="str">
        <f>IF(Расчёты!$E123=1,Расчёты!$D123,"")</f>
        <v/>
      </c>
      <c r="C145" s="33" t="str">
        <f>IF(Расчёты!$E123=1,Расчёты!$Z123,"")</f>
        <v/>
      </c>
      <c r="D145" s="33" t="str">
        <f>IF(Расчёты!$E123=1,Расчёты!$AA123,"")</f>
        <v/>
      </c>
      <c r="E145" s="33" t="str">
        <f>IF(Расчёты!$E123=1,Расчёты!$AB123,"")</f>
        <v/>
      </c>
      <c r="F145" s="33" t="str">
        <f>IF(Расчёты!$E123=1,Расчёты!$AC123,"")</f>
        <v/>
      </c>
      <c r="G145" s="33" t="str">
        <f>IF(Расчёты!$E123=1,Расчёты!$AD123,"")</f>
        <v/>
      </c>
      <c r="H145" s="33" t="str">
        <f>IF(Расчёты!$E123=1,Расчёты!$AI123,"")</f>
        <v/>
      </c>
      <c r="I145" s="33" t="str">
        <f>IF(Расчёты!$E123=1,Расчёты!$AG123,"")</f>
        <v/>
      </c>
      <c r="J145" s="33" t="str">
        <f>IF(Расчёты!$E123=1,Расчёты!$AJ123,"")</f>
        <v/>
      </c>
      <c r="K145" s="33" t="str">
        <f>IF(Расчёты!$E123=1,Расчёты!$AK123,"")</f>
        <v/>
      </c>
      <c r="L145" s="33" t="str">
        <f>IF(Расчёты!$E123=1,Расчёты!$I123,"")</f>
        <v/>
      </c>
      <c r="M145" s="33" t="str">
        <f>IF(Расчёты!$E123=1,Расчёты!$J123,"")</f>
        <v/>
      </c>
      <c r="N145" s="33" t="str">
        <f>IF(Расчёты!$E123=1,Расчёты!$K123,"")</f>
        <v/>
      </c>
      <c r="O145" s="33" t="str">
        <f>IF(Расчёты!$E123=1,Расчёты!$L123,"")</f>
        <v/>
      </c>
      <c r="P145" s="33" t="str">
        <f>IF(Расчёты!$E123=1,Расчёты!$M123,"")</f>
        <v/>
      </c>
      <c r="Q145" s="33" t="str">
        <f>IF(Расчёты!$E123=1,Расчёты!$N123,"")</f>
        <v/>
      </c>
      <c r="R145" s="33" t="str">
        <f>IF(Расчёты!$E123=1,Расчёты!$O123,"")</f>
        <v/>
      </c>
      <c r="S145" s="33" t="str">
        <f>IF(Расчёты!$E123=1,Расчёты!$Q123,"")</f>
        <v/>
      </c>
      <c r="T145" s="33" t="str">
        <f>IF(Расчёты!$E123=1,Расчёты!$S123,"")</f>
        <v/>
      </c>
      <c r="U145" s="33" t="str">
        <f>IF(Расчёты!$E123=1,Расчёты!$U123,"")</f>
        <v/>
      </c>
      <c r="V145" s="33" t="str">
        <f>IF(Расчёты!$E123=1,Расчёты!$W123,"")</f>
        <v/>
      </c>
      <c r="W145" s="33" t="str">
        <f>IF(Расчёты!$E123=1,Расчёты!$X123,"")</f>
        <v/>
      </c>
      <c r="X145" s="33" t="str">
        <f>IF(Расчёты!$E123=1,Расчёты!$Y123,"")</f>
        <v/>
      </c>
      <c r="Y145" s="33" t="str">
        <f>IF(Расчёты!$E123=1,Расчёты!$AL123,"")</f>
        <v/>
      </c>
      <c r="Z145" s="33" t="str">
        <f>IF(Расчёты!$E123=1,Расчёты!$AP123,"")</f>
        <v/>
      </c>
      <c r="AA145" s="33" t="str">
        <f>IF(Расчёты!$E123=1,Расчёты!$AS123,"")</f>
        <v/>
      </c>
      <c r="AB145" s="33" t="str">
        <f>IF(Расчёты!$E123=1,Расчёты!$AV123,"")</f>
        <v/>
      </c>
      <c r="AC145" s="33" t="str">
        <f>IF(Расчёты!$E123=1,Расчёты!$AW123,"")</f>
        <v/>
      </c>
      <c r="AD145" s="33" t="str">
        <f>IF(Расчёты!$E123=1,Расчёты!$AX123,"")</f>
        <v/>
      </c>
      <c r="AE145" s="33" t="str">
        <f>IF(Расчёты!$E123=1,Расчёты!$AY123,"")</f>
        <v/>
      </c>
      <c r="AF145" s="33" t="str">
        <f>IF(Расчёты!$E123=1,Расчёты!$BA123,"")</f>
        <v/>
      </c>
      <c r="AG145" s="33" t="str">
        <f>IF(Расчёты!$E123=1,Расчёты!$BB123,"")</f>
        <v/>
      </c>
      <c r="AH145" s="33" t="str">
        <f>IF(Расчёты!$E123=1,Расчёты!$BC123,"")</f>
        <v/>
      </c>
      <c r="AI145" s="33" t="str">
        <f>IF(Расчёты!$E123=1,Расчёты!$AU123,"")</f>
        <v/>
      </c>
      <c r="AJ145" s="33" t="str">
        <f>IF(Расчёты!$E123=1,Расчёты!$BF123,"")</f>
        <v/>
      </c>
      <c r="AK145" s="33" t="str">
        <f>IF(Расчёты!$E123=1,Расчёты!$BG123,"")</f>
        <v/>
      </c>
      <c r="AM145" s="17" t="str">
        <f t="shared" si="21"/>
        <v/>
      </c>
      <c r="AN145" s="35" t="str">
        <f t="shared" si="22"/>
        <v/>
      </c>
      <c r="AP145" s="17" t="str">
        <f t="shared" si="23"/>
        <v/>
      </c>
      <c r="AQ145" s="35" t="str">
        <f t="shared" si="24"/>
        <v/>
      </c>
      <c r="AV145" s="17" t="str">
        <f t="shared" si="25"/>
        <v/>
      </c>
      <c r="AW145" s="35" t="str">
        <f t="shared" si="26"/>
        <v/>
      </c>
      <c r="AX145" s="35" t="str">
        <f t="shared" si="27"/>
        <v/>
      </c>
    </row>
    <row r="146" spans="1:50" x14ac:dyDescent="0.2">
      <c r="A146" s="18" t="str">
        <f>IF(Расчёты!$E124=1,Расчёты!$B124,"")</f>
        <v/>
      </c>
      <c r="B146" s="34" t="str">
        <f>IF(Расчёты!$E124=1,Расчёты!$D124,"")</f>
        <v/>
      </c>
      <c r="C146" s="33" t="str">
        <f>IF(Расчёты!$E124=1,Расчёты!$Z124,"")</f>
        <v/>
      </c>
      <c r="D146" s="33" t="str">
        <f>IF(Расчёты!$E124=1,Расчёты!$AA124,"")</f>
        <v/>
      </c>
      <c r="E146" s="33" t="str">
        <f>IF(Расчёты!$E124=1,Расчёты!$AB124,"")</f>
        <v/>
      </c>
      <c r="F146" s="33" t="str">
        <f>IF(Расчёты!$E124=1,Расчёты!$AC124,"")</f>
        <v/>
      </c>
      <c r="G146" s="33" t="str">
        <f>IF(Расчёты!$E124=1,Расчёты!$AD124,"")</f>
        <v/>
      </c>
      <c r="H146" s="33" t="str">
        <f>IF(Расчёты!$E124=1,Расчёты!$AI124,"")</f>
        <v/>
      </c>
      <c r="I146" s="33" t="str">
        <f>IF(Расчёты!$E124=1,Расчёты!$AG124,"")</f>
        <v/>
      </c>
      <c r="J146" s="33" t="str">
        <f>IF(Расчёты!$E124=1,Расчёты!$AJ124,"")</f>
        <v/>
      </c>
      <c r="K146" s="33" t="str">
        <f>IF(Расчёты!$E124=1,Расчёты!$AK124,"")</f>
        <v/>
      </c>
      <c r="L146" s="33" t="str">
        <f>IF(Расчёты!$E124=1,Расчёты!$I124,"")</f>
        <v/>
      </c>
      <c r="M146" s="33" t="str">
        <f>IF(Расчёты!$E124=1,Расчёты!$J124,"")</f>
        <v/>
      </c>
      <c r="N146" s="33" t="str">
        <f>IF(Расчёты!$E124=1,Расчёты!$K124,"")</f>
        <v/>
      </c>
      <c r="O146" s="33" t="str">
        <f>IF(Расчёты!$E124=1,Расчёты!$L124,"")</f>
        <v/>
      </c>
      <c r="P146" s="33" t="str">
        <f>IF(Расчёты!$E124=1,Расчёты!$M124,"")</f>
        <v/>
      </c>
      <c r="Q146" s="33" t="str">
        <f>IF(Расчёты!$E124=1,Расчёты!$N124,"")</f>
        <v/>
      </c>
      <c r="R146" s="33" t="str">
        <f>IF(Расчёты!$E124=1,Расчёты!$O124,"")</f>
        <v/>
      </c>
      <c r="S146" s="33" t="str">
        <f>IF(Расчёты!$E124=1,Расчёты!$Q124,"")</f>
        <v/>
      </c>
      <c r="T146" s="33" t="str">
        <f>IF(Расчёты!$E124=1,Расчёты!$S124,"")</f>
        <v/>
      </c>
      <c r="U146" s="33" t="str">
        <f>IF(Расчёты!$E124=1,Расчёты!$U124,"")</f>
        <v/>
      </c>
      <c r="V146" s="33" t="str">
        <f>IF(Расчёты!$E124=1,Расчёты!$W124,"")</f>
        <v/>
      </c>
      <c r="W146" s="33" t="str">
        <f>IF(Расчёты!$E124=1,Расчёты!$X124,"")</f>
        <v/>
      </c>
      <c r="X146" s="33" t="str">
        <f>IF(Расчёты!$E124=1,Расчёты!$Y124,"")</f>
        <v/>
      </c>
      <c r="Y146" s="33" t="str">
        <f>IF(Расчёты!$E124=1,Расчёты!$AL124,"")</f>
        <v/>
      </c>
      <c r="Z146" s="33" t="str">
        <f>IF(Расчёты!$E124=1,Расчёты!$AP124,"")</f>
        <v/>
      </c>
      <c r="AA146" s="33" t="str">
        <f>IF(Расчёты!$E124=1,Расчёты!$AS124,"")</f>
        <v/>
      </c>
      <c r="AB146" s="33" t="str">
        <f>IF(Расчёты!$E124=1,Расчёты!$AV124,"")</f>
        <v/>
      </c>
      <c r="AC146" s="33" t="str">
        <f>IF(Расчёты!$E124=1,Расчёты!$AW124,"")</f>
        <v/>
      </c>
      <c r="AD146" s="33" t="str">
        <f>IF(Расчёты!$E124=1,Расчёты!$AX124,"")</f>
        <v/>
      </c>
      <c r="AE146" s="33" t="str">
        <f>IF(Расчёты!$E124=1,Расчёты!$AY124,"")</f>
        <v/>
      </c>
      <c r="AF146" s="33" t="str">
        <f>IF(Расчёты!$E124=1,Расчёты!$BA124,"")</f>
        <v/>
      </c>
      <c r="AG146" s="33" t="str">
        <f>IF(Расчёты!$E124=1,Расчёты!$BB124,"")</f>
        <v/>
      </c>
      <c r="AH146" s="33" t="str">
        <f>IF(Расчёты!$E124=1,Расчёты!$BC124,"")</f>
        <v/>
      </c>
      <c r="AI146" s="33" t="str">
        <f>IF(Расчёты!$E124=1,Расчёты!$AU124,"")</f>
        <v/>
      </c>
      <c r="AJ146" s="33" t="str">
        <f>IF(Расчёты!$E124=1,Расчёты!$BF124,"")</f>
        <v/>
      </c>
      <c r="AK146" s="33" t="str">
        <f>IF(Расчёты!$E124=1,Расчёты!$BG124,"")</f>
        <v/>
      </c>
      <c r="AM146" s="17" t="str">
        <f t="shared" si="21"/>
        <v/>
      </c>
      <c r="AN146" s="35" t="str">
        <f t="shared" si="22"/>
        <v/>
      </c>
      <c r="AP146" s="17" t="str">
        <f t="shared" si="23"/>
        <v/>
      </c>
      <c r="AQ146" s="35" t="str">
        <f t="shared" si="24"/>
        <v/>
      </c>
      <c r="AV146" s="17" t="str">
        <f t="shared" si="25"/>
        <v/>
      </c>
      <c r="AW146" s="35" t="str">
        <f t="shared" si="26"/>
        <v/>
      </c>
      <c r="AX146" s="35" t="str">
        <f t="shared" si="27"/>
        <v/>
      </c>
    </row>
    <row r="147" spans="1:50" x14ac:dyDescent="0.2">
      <c r="A147" s="18" t="str">
        <f>IF(Расчёты!$E125=1,Расчёты!$B125,"")</f>
        <v/>
      </c>
      <c r="B147" s="34" t="str">
        <f>IF(Расчёты!$E125=1,Расчёты!$D125,"")</f>
        <v/>
      </c>
      <c r="C147" s="33" t="str">
        <f>IF(Расчёты!$E125=1,Расчёты!$Z125,"")</f>
        <v/>
      </c>
      <c r="D147" s="33" t="str">
        <f>IF(Расчёты!$E125=1,Расчёты!$AA125,"")</f>
        <v/>
      </c>
      <c r="E147" s="33" t="str">
        <f>IF(Расчёты!$E125=1,Расчёты!$AB125,"")</f>
        <v/>
      </c>
      <c r="F147" s="33" t="str">
        <f>IF(Расчёты!$E125=1,Расчёты!$AC125,"")</f>
        <v/>
      </c>
      <c r="G147" s="33" t="str">
        <f>IF(Расчёты!$E125=1,Расчёты!$AD125,"")</f>
        <v/>
      </c>
      <c r="H147" s="33" t="str">
        <f>IF(Расчёты!$E125=1,Расчёты!$AI125,"")</f>
        <v/>
      </c>
      <c r="I147" s="33" t="str">
        <f>IF(Расчёты!$E125=1,Расчёты!$AG125,"")</f>
        <v/>
      </c>
      <c r="J147" s="33" t="str">
        <f>IF(Расчёты!$E125=1,Расчёты!$AJ125,"")</f>
        <v/>
      </c>
      <c r="K147" s="33" t="str">
        <f>IF(Расчёты!$E125=1,Расчёты!$AK125,"")</f>
        <v/>
      </c>
      <c r="L147" s="33" t="str">
        <f>IF(Расчёты!$E125=1,Расчёты!$I125,"")</f>
        <v/>
      </c>
      <c r="M147" s="33" t="str">
        <f>IF(Расчёты!$E125=1,Расчёты!$J125,"")</f>
        <v/>
      </c>
      <c r="N147" s="33" t="str">
        <f>IF(Расчёты!$E125=1,Расчёты!$K125,"")</f>
        <v/>
      </c>
      <c r="O147" s="33" t="str">
        <f>IF(Расчёты!$E125=1,Расчёты!$L125,"")</f>
        <v/>
      </c>
      <c r="P147" s="33" t="str">
        <f>IF(Расчёты!$E125=1,Расчёты!$M125,"")</f>
        <v/>
      </c>
      <c r="Q147" s="33" t="str">
        <f>IF(Расчёты!$E125=1,Расчёты!$N125,"")</f>
        <v/>
      </c>
      <c r="R147" s="33" t="str">
        <f>IF(Расчёты!$E125=1,Расчёты!$O125,"")</f>
        <v/>
      </c>
      <c r="S147" s="33" t="str">
        <f>IF(Расчёты!$E125=1,Расчёты!$Q125,"")</f>
        <v/>
      </c>
      <c r="T147" s="33" t="str">
        <f>IF(Расчёты!$E125=1,Расчёты!$S125,"")</f>
        <v/>
      </c>
      <c r="U147" s="33" t="str">
        <f>IF(Расчёты!$E125=1,Расчёты!$U125,"")</f>
        <v/>
      </c>
      <c r="V147" s="33" t="str">
        <f>IF(Расчёты!$E125=1,Расчёты!$W125,"")</f>
        <v/>
      </c>
      <c r="W147" s="33" t="str">
        <f>IF(Расчёты!$E125=1,Расчёты!$X125,"")</f>
        <v/>
      </c>
      <c r="X147" s="33" t="str">
        <f>IF(Расчёты!$E125=1,Расчёты!$Y125,"")</f>
        <v/>
      </c>
      <c r="Y147" s="33" t="str">
        <f>IF(Расчёты!$E125=1,Расчёты!$AL125,"")</f>
        <v/>
      </c>
      <c r="Z147" s="33" t="str">
        <f>IF(Расчёты!$E125=1,Расчёты!$AP125,"")</f>
        <v/>
      </c>
      <c r="AA147" s="33" t="str">
        <f>IF(Расчёты!$E125=1,Расчёты!$AS125,"")</f>
        <v/>
      </c>
      <c r="AB147" s="33" t="str">
        <f>IF(Расчёты!$E125=1,Расчёты!$AV125,"")</f>
        <v/>
      </c>
      <c r="AC147" s="33" t="str">
        <f>IF(Расчёты!$E125=1,Расчёты!$AW125,"")</f>
        <v/>
      </c>
      <c r="AD147" s="33" t="str">
        <f>IF(Расчёты!$E125=1,Расчёты!$AX125,"")</f>
        <v/>
      </c>
      <c r="AE147" s="33" t="str">
        <f>IF(Расчёты!$E125=1,Расчёты!$AY125,"")</f>
        <v/>
      </c>
      <c r="AF147" s="33" t="str">
        <f>IF(Расчёты!$E125=1,Расчёты!$BA125,"")</f>
        <v/>
      </c>
      <c r="AG147" s="33" t="str">
        <f>IF(Расчёты!$E125=1,Расчёты!$BB125,"")</f>
        <v/>
      </c>
      <c r="AH147" s="33" t="str">
        <f>IF(Расчёты!$E125=1,Расчёты!$BC125,"")</f>
        <v/>
      </c>
      <c r="AI147" s="33" t="str">
        <f>IF(Расчёты!$E125=1,Расчёты!$AU125,"")</f>
        <v/>
      </c>
      <c r="AJ147" s="33" t="str">
        <f>IF(Расчёты!$E125=1,Расчёты!$BF125,"")</f>
        <v/>
      </c>
      <c r="AK147" s="33" t="str">
        <f>IF(Расчёты!$E125=1,Расчёты!$BG125,"")</f>
        <v/>
      </c>
      <c r="AM147" s="17" t="str">
        <f t="shared" si="21"/>
        <v/>
      </c>
      <c r="AN147" s="35" t="str">
        <f t="shared" si="22"/>
        <v/>
      </c>
      <c r="AP147" s="17" t="str">
        <f t="shared" si="23"/>
        <v/>
      </c>
      <c r="AQ147" s="35" t="str">
        <f t="shared" si="24"/>
        <v/>
      </c>
      <c r="AV147" s="17" t="str">
        <f t="shared" si="25"/>
        <v/>
      </c>
      <c r="AW147" s="35" t="str">
        <f t="shared" si="26"/>
        <v/>
      </c>
      <c r="AX147" s="35" t="str">
        <f t="shared" si="27"/>
        <v/>
      </c>
    </row>
    <row r="148" spans="1:50" x14ac:dyDescent="0.2">
      <c r="A148" s="18" t="str">
        <f>IF(Расчёты!$E126=1,Расчёты!$B126,"")</f>
        <v/>
      </c>
      <c r="B148" s="34" t="str">
        <f>IF(Расчёты!$E126=1,Расчёты!$D126,"")</f>
        <v/>
      </c>
      <c r="C148" s="33" t="str">
        <f>IF(Расчёты!$E126=1,Расчёты!$Z126,"")</f>
        <v/>
      </c>
      <c r="D148" s="33" t="str">
        <f>IF(Расчёты!$E126=1,Расчёты!$AA126,"")</f>
        <v/>
      </c>
      <c r="E148" s="33" t="str">
        <f>IF(Расчёты!$E126=1,Расчёты!$AB126,"")</f>
        <v/>
      </c>
      <c r="F148" s="33" t="str">
        <f>IF(Расчёты!$E126=1,Расчёты!$AC126,"")</f>
        <v/>
      </c>
      <c r="G148" s="33" t="str">
        <f>IF(Расчёты!$E126=1,Расчёты!$AD126,"")</f>
        <v/>
      </c>
      <c r="H148" s="33" t="str">
        <f>IF(Расчёты!$E126=1,Расчёты!$AI126,"")</f>
        <v/>
      </c>
      <c r="I148" s="33" t="str">
        <f>IF(Расчёты!$E126=1,Расчёты!$AG126,"")</f>
        <v/>
      </c>
      <c r="J148" s="33" t="str">
        <f>IF(Расчёты!$E126=1,Расчёты!$AJ126,"")</f>
        <v/>
      </c>
      <c r="K148" s="33" t="str">
        <f>IF(Расчёты!$E126=1,Расчёты!$AK126,"")</f>
        <v/>
      </c>
      <c r="L148" s="33" t="str">
        <f>IF(Расчёты!$E126=1,Расчёты!$I126,"")</f>
        <v/>
      </c>
      <c r="M148" s="33" t="str">
        <f>IF(Расчёты!$E126=1,Расчёты!$J126,"")</f>
        <v/>
      </c>
      <c r="N148" s="33" t="str">
        <f>IF(Расчёты!$E126=1,Расчёты!$K126,"")</f>
        <v/>
      </c>
      <c r="O148" s="33" t="str">
        <f>IF(Расчёты!$E126=1,Расчёты!$L126,"")</f>
        <v/>
      </c>
      <c r="P148" s="33" t="str">
        <f>IF(Расчёты!$E126=1,Расчёты!$M126,"")</f>
        <v/>
      </c>
      <c r="Q148" s="33" t="str">
        <f>IF(Расчёты!$E126=1,Расчёты!$N126,"")</f>
        <v/>
      </c>
      <c r="R148" s="33" t="str">
        <f>IF(Расчёты!$E126=1,Расчёты!$O126,"")</f>
        <v/>
      </c>
      <c r="S148" s="33" t="str">
        <f>IF(Расчёты!$E126=1,Расчёты!$Q126,"")</f>
        <v/>
      </c>
      <c r="T148" s="33" t="str">
        <f>IF(Расчёты!$E126=1,Расчёты!$S126,"")</f>
        <v/>
      </c>
      <c r="U148" s="33" t="str">
        <f>IF(Расчёты!$E126=1,Расчёты!$U126,"")</f>
        <v/>
      </c>
      <c r="V148" s="33" t="str">
        <f>IF(Расчёты!$E126=1,Расчёты!$W126,"")</f>
        <v/>
      </c>
      <c r="W148" s="33" t="str">
        <f>IF(Расчёты!$E126=1,Расчёты!$X126,"")</f>
        <v/>
      </c>
      <c r="X148" s="33" t="str">
        <f>IF(Расчёты!$E126=1,Расчёты!$Y126,"")</f>
        <v/>
      </c>
      <c r="Y148" s="33" t="str">
        <f>IF(Расчёты!$E126=1,Расчёты!$AL126,"")</f>
        <v/>
      </c>
      <c r="Z148" s="33" t="str">
        <f>IF(Расчёты!$E126=1,Расчёты!$AP126,"")</f>
        <v/>
      </c>
      <c r="AA148" s="33" t="str">
        <f>IF(Расчёты!$E126=1,Расчёты!$AS126,"")</f>
        <v/>
      </c>
      <c r="AB148" s="33" t="str">
        <f>IF(Расчёты!$E126=1,Расчёты!$AV126,"")</f>
        <v/>
      </c>
      <c r="AC148" s="33" t="str">
        <f>IF(Расчёты!$E126=1,Расчёты!$AW126,"")</f>
        <v/>
      </c>
      <c r="AD148" s="33" t="str">
        <f>IF(Расчёты!$E126=1,Расчёты!$AX126,"")</f>
        <v/>
      </c>
      <c r="AE148" s="33" t="str">
        <f>IF(Расчёты!$E126=1,Расчёты!$AY126,"")</f>
        <v/>
      </c>
      <c r="AF148" s="33" t="str">
        <f>IF(Расчёты!$E126=1,Расчёты!$BA126,"")</f>
        <v/>
      </c>
      <c r="AG148" s="33" t="str">
        <f>IF(Расчёты!$E126=1,Расчёты!$BB126,"")</f>
        <v/>
      </c>
      <c r="AH148" s="33" t="str">
        <f>IF(Расчёты!$E126=1,Расчёты!$BC126,"")</f>
        <v/>
      </c>
      <c r="AI148" s="33" t="str">
        <f>IF(Расчёты!$E126=1,Расчёты!$AU126,"")</f>
        <v/>
      </c>
      <c r="AJ148" s="33" t="str">
        <f>IF(Расчёты!$E126=1,Расчёты!$BF126,"")</f>
        <v/>
      </c>
      <c r="AK148" s="33" t="str">
        <f>IF(Расчёты!$E126=1,Расчёты!$BG126,"")</f>
        <v/>
      </c>
      <c r="AM148" s="17" t="str">
        <f t="shared" si="21"/>
        <v/>
      </c>
      <c r="AN148" s="35" t="str">
        <f t="shared" si="22"/>
        <v/>
      </c>
      <c r="AP148" s="17" t="str">
        <f t="shared" si="23"/>
        <v/>
      </c>
      <c r="AQ148" s="35" t="str">
        <f t="shared" si="24"/>
        <v/>
      </c>
      <c r="AV148" s="17" t="str">
        <f t="shared" si="25"/>
        <v/>
      </c>
      <c r="AW148" s="35" t="str">
        <f t="shared" si="26"/>
        <v/>
      </c>
      <c r="AX148" s="35" t="str">
        <f t="shared" si="27"/>
        <v/>
      </c>
    </row>
    <row r="149" spans="1:50" x14ac:dyDescent="0.2">
      <c r="A149" s="18" t="str">
        <f>IF(Расчёты!$E127=1,Расчёты!$B127,"")</f>
        <v/>
      </c>
      <c r="B149" s="34" t="str">
        <f>IF(Расчёты!$E127=1,Расчёты!$D127,"")</f>
        <v/>
      </c>
      <c r="C149" s="33" t="str">
        <f>IF(Расчёты!$E127=1,Расчёты!$Z127,"")</f>
        <v/>
      </c>
      <c r="D149" s="33" t="str">
        <f>IF(Расчёты!$E127=1,Расчёты!$AA127,"")</f>
        <v/>
      </c>
      <c r="E149" s="33" t="str">
        <f>IF(Расчёты!$E127=1,Расчёты!$AB127,"")</f>
        <v/>
      </c>
      <c r="F149" s="33" t="str">
        <f>IF(Расчёты!$E127=1,Расчёты!$AC127,"")</f>
        <v/>
      </c>
      <c r="G149" s="33" t="str">
        <f>IF(Расчёты!$E127=1,Расчёты!$AD127,"")</f>
        <v/>
      </c>
      <c r="H149" s="33" t="str">
        <f>IF(Расчёты!$E127=1,Расчёты!$AI127,"")</f>
        <v/>
      </c>
      <c r="I149" s="33" t="str">
        <f>IF(Расчёты!$E127=1,Расчёты!$AG127,"")</f>
        <v/>
      </c>
      <c r="J149" s="33" t="str">
        <f>IF(Расчёты!$E127=1,Расчёты!$AJ127,"")</f>
        <v/>
      </c>
      <c r="K149" s="33" t="str">
        <f>IF(Расчёты!$E127=1,Расчёты!$AK127,"")</f>
        <v/>
      </c>
      <c r="L149" s="33" t="str">
        <f>IF(Расчёты!$E127=1,Расчёты!$I127,"")</f>
        <v/>
      </c>
      <c r="M149" s="33" t="str">
        <f>IF(Расчёты!$E127=1,Расчёты!$J127,"")</f>
        <v/>
      </c>
      <c r="N149" s="33" t="str">
        <f>IF(Расчёты!$E127=1,Расчёты!$K127,"")</f>
        <v/>
      </c>
      <c r="O149" s="33" t="str">
        <f>IF(Расчёты!$E127=1,Расчёты!$L127,"")</f>
        <v/>
      </c>
      <c r="P149" s="33" t="str">
        <f>IF(Расчёты!$E127=1,Расчёты!$M127,"")</f>
        <v/>
      </c>
      <c r="Q149" s="33" t="str">
        <f>IF(Расчёты!$E127=1,Расчёты!$N127,"")</f>
        <v/>
      </c>
      <c r="R149" s="33" t="str">
        <f>IF(Расчёты!$E127=1,Расчёты!$O127,"")</f>
        <v/>
      </c>
      <c r="S149" s="33" t="str">
        <f>IF(Расчёты!$E127=1,Расчёты!$Q127,"")</f>
        <v/>
      </c>
      <c r="T149" s="33" t="str">
        <f>IF(Расчёты!$E127=1,Расчёты!$S127,"")</f>
        <v/>
      </c>
      <c r="U149" s="33" t="str">
        <f>IF(Расчёты!$E127=1,Расчёты!$U127,"")</f>
        <v/>
      </c>
      <c r="V149" s="33" t="str">
        <f>IF(Расчёты!$E127=1,Расчёты!$W127,"")</f>
        <v/>
      </c>
      <c r="W149" s="33" t="str">
        <f>IF(Расчёты!$E127=1,Расчёты!$X127,"")</f>
        <v/>
      </c>
      <c r="X149" s="33" t="str">
        <f>IF(Расчёты!$E127=1,Расчёты!$Y127,"")</f>
        <v/>
      </c>
      <c r="Y149" s="33" t="str">
        <f>IF(Расчёты!$E127=1,Расчёты!$AL127,"")</f>
        <v/>
      </c>
      <c r="Z149" s="33" t="str">
        <f>IF(Расчёты!$E127=1,Расчёты!$AP127,"")</f>
        <v/>
      </c>
      <c r="AA149" s="33" t="str">
        <f>IF(Расчёты!$E127=1,Расчёты!$AS127,"")</f>
        <v/>
      </c>
      <c r="AB149" s="33" t="str">
        <f>IF(Расчёты!$E127=1,Расчёты!$AV127,"")</f>
        <v/>
      </c>
      <c r="AC149" s="33" t="str">
        <f>IF(Расчёты!$E127=1,Расчёты!$AW127,"")</f>
        <v/>
      </c>
      <c r="AD149" s="33" t="str">
        <f>IF(Расчёты!$E127=1,Расчёты!$AX127,"")</f>
        <v/>
      </c>
      <c r="AE149" s="33" t="str">
        <f>IF(Расчёты!$E127=1,Расчёты!$AY127,"")</f>
        <v/>
      </c>
      <c r="AF149" s="33" t="str">
        <f>IF(Расчёты!$E127=1,Расчёты!$BA127,"")</f>
        <v/>
      </c>
      <c r="AG149" s="33" t="str">
        <f>IF(Расчёты!$E127=1,Расчёты!$BB127,"")</f>
        <v/>
      </c>
      <c r="AH149" s="33" t="str">
        <f>IF(Расчёты!$E127=1,Расчёты!$BC127,"")</f>
        <v/>
      </c>
      <c r="AI149" s="33" t="str">
        <f>IF(Расчёты!$E127=1,Расчёты!$AU127,"")</f>
        <v/>
      </c>
      <c r="AJ149" s="33" t="str">
        <f>IF(Расчёты!$E127=1,Расчёты!$BF127,"")</f>
        <v/>
      </c>
      <c r="AK149" s="33" t="str">
        <f>IF(Расчёты!$E127=1,Расчёты!$BG127,"")</f>
        <v/>
      </c>
      <c r="AM149" s="17" t="str">
        <f t="shared" si="21"/>
        <v/>
      </c>
      <c r="AN149" s="35" t="str">
        <f t="shared" si="22"/>
        <v/>
      </c>
      <c r="AP149" s="17" t="str">
        <f t="shared" si="23"/>
        <v/>
      </c>
      <c r="AQ149" s="35" t="str">
        <f t="shared" si="24"/>
        <v/>
      </c>
      <c r="AV149" s="17" t="str">
        <f t="shared" si="25"/>
        <v/>
      </c>
      <c r="AW149" s="35" t="str">
        <f t="shared" si="26"/>
        <v/>
      </c>
      <c r="AX149" s="35" t="str">
        <f t="shared" si="27"/>
        <v/>
      </c>
    </row>
    <row r="150" spans="1:50" x14ac:dyDescent="0.2">
      <c r="A150" s="18" t="str">
        <f>IF(Расчёты!$E128=1,Расчёты!$B128,"")</f>
        <v/>
      </c>
      <c r="B150" s="34" t="str">
        <f>IF(Расчёты!$E128=1,Расчёты!$D128,"")</f>
        <v/>
      </c>
      <c r="C150" s="33" t="str">
        <f>IF(Расчёты!$E128=1,Расчёты!$Z128,"")</f>
        <v/>
      </c>
      <c r="D150" s="33" t="str">
        <f>IF(Расчёты!$E128=1,Расчёты!$AA128,"")</f>
        <v/>
      </c>
      <c r="E150" s="33" t="str">
        <f>IF(Расчёты!$E128=1,Расчёты!$AB128,"")</f>
        <v/>
      </c>
      <c r="F150" s="33" t="str">
        <f>IF(Расчёты!$E128=1,Расчёты!$AC128,"")</f>
        <v/>
      </c>
      <c r="G150" s="33" t="str">
        <f>IF(Расчёты!$E128=1,Расчёты!$AD128,"")</f>
        <v/>
      </c>
      <c r="H150" s="33" t="str">
        <f>IF(Расчёты!$E128=1,Расчёты!$AI128,"")</f>
        <v/>
      </c>
      <c r="I150" s="33" t="str">
        <f>IF(Расчёты!$E128=1,Расчёты!$AG128,"")</f>
        <v/>
      </c>
      <c r="J150" s="33" t="str">
        <f>IF(Расчёты!$E128=1,Расчёты!$AJ128,"")</f>
        <v/>
      </c>
      <c r="K150" s="33" t="str">
        <f>IF(Расчёты!$E128=1,Расчёты!$AK128,"")</f>
        <v/>
      </c>
      <c r="L150" s="33" t="str">
        <f>IF(Расчёты!$E128=1,Расчёты!$I128,"")</f>
        <v/>
      </c>
      <c r="M150" s="33" t="str">
        <f>IF(Расчёты!$E128=1,Расчёты!$J128,"")</f>
        <v/>
      </c>
      <c r="N150" s="33" t="str">
        <f>IF(Расчёты!$E128=1,Расчёты!$K128,"")</f>
        <v/>
      </c>
      <c r="O150" s="33" t="str">
        <f>IF(Расчёты!$E128=1,Расчёты!$L128,"")</f>
        <v/>
      </c>
      <c r="P150" s="33" t="str">
        <f>IF(Расчёты!$E128=1,Расчёты!$M128,"")</f>
        <v/>
      </c>
      <c r="Q150" s="33" t="str">
        <f>IF(Расчёты!$E128=1,Расчёты!$N128,"")</f>
        <v/>
      </c>
      <c r="R150" s="33" t="str">
        <f>IF(Расчёты!$E128=1,Расчёты!$O128,"")</f>
        <v/>
      </c>
      <c r="S150" s="33" t="str">
        <f>IF(Расчёты!$E128=1,Расчёты!$Q128,"")</f>
        <v/>
      </c>
      <c r="T150" s="33" t="str">
        <f>IF(Расчёты!$E128=1,Расчёты!$S128,"")</f>
        <v/>
      </c>
      <c r="U150" s="33" t="str">
        <f>IF(Расчёты!$E128=1,Расчёты!$U128,"")</f>
        <v/>
      </c>
      <c r="V150" s="33" t="str">
        <f>IF(Расчёты!$E128=1,Расчёты!$W128,"")</f>
        <v/>
      </c>
      <c r="W150" s="33" t="str">
        <f>IF(Расчёты!$E128=1,Расчёты!$X128,"")</f>
        <v/>
      </c>
      <c r="X150" s="33" t="str">
        <f>IF(Расчёты!$E128=1,Расчёты!$Y128,"")</f>
        <v/>
      </c>
      <c r="Y150" s="33" t="str">
        <f>IF(Расчёты!$E128=1,Расчёты!$AL128,"")</f>
        <v/>
      </c>
      <c r="Z150" s="33" t="str">
        <f>IF(Расчёты!$E128=1,Расчёты!$AP128,"")</f>
        <v/>
      </c>
      <c r="AA150" s="33" t="str">
        <f>IF(Расчёты!$E128=1,Расчёты!$AS128,"")</f>
        <v/>
      </c>
      <c r="AB150" s="33" t="str">
        <f>IF(Расчёты!$E128=1,Расчёты!$AV128,"")</f>
        <v/>
      </c>
      <c r="AC150" s="33" t="str">
        <f>IF(Расчёты!$E128=1,Расчёты!$AW128,"")</f>
        <v/>
      </c>
      <c r="AD150" s="33" t="str">
        <f>IF(Расчёты!$E128=1,Расчёты!$AX128,"")</f>
        <v/>
      </c>
      <c r="AE150" s="33" t="str">
        <f>IF(Расчёты!$E128=1,Расчёты!$AY128,"")</f>
        <v/>
      </c>
      <c r="AF150" s="33" t="str">
        <f>IF(Расчёты!$E128=1,Расчёты!$BA128,"")</f>
        <v/>
      </c>
      <c r="AG150" s="33" t="str">
        <f>IF(Расчёты!$E128=1,Расчёты!$BB128,"")</f>
        <v/>
      </c>
      <c r="AH150" s="33" t="str">
        <f>IF(Расчёты!$E128=1,Расчёты!$BC128,"")</f>
        <v/>
      </c>
      <c r="AI150" s="33" t="str">
        <f>IF(Расчёты!$E128=1,Расчёты!$AU128,"")</f>
        <v/>
      </c>
      <c r="AJ150" s="33" t="str">
        <f>IF(Расчёты!$E128=1,Расчёты!$BF128,"")</f>
        <v/>
      </c>
      <c r="AK150" s="33" t="str">
        <f>IF(Расчёты!$E128=1,Расчёты!$BG128,"")</f>
        <v/>
      </c>
      <c r="AM150" s="17" t="str">
        <f t="shared" si="21"/>
        <v/>
      </c>
      <c r="AN150" s="35" t="str">
        <f t="shared" si="22"/>
        <v/>
      </c>
      <c r="AP150" s="17" t="str">
        <f t="shared" si="23"/>
        <v/>
      </c>
      <c r="AQ150" s="35" t="str">
        <f t="shared" si="24"/>
        <v/>
      </c>
      <c r="AV150" s="17" t="str">
        <f t="shared" si="25"/>
        <v/>
      </c>
      <c r="AW150" s="35" t="str">
        <f t="shared" si="26"/>
        <v/>
      </c>
      <c r="AX150" s="35" t="str">
        <f t="shared" si="27"/>
        <v/>
      </c>
    </row>
    <row r="151" spans="1:50" x14ac:dyDescent="0.2">
      <c r="A151" s="18" t="str">
        <f>IF(Расчёты!$E129=1,Расчёты!$B129,"")</f>
        <v/>
      </c>
      <c r="B151" s="34" t="str">
        <f>IF(Расчёты!$E129=1,Расчёты!$D129,"")</f>
        <v/>
      </c>
      <c r="C151" s="33" t="str">
        <f>IF(Расчёты!$E129=1,Расчёты!$Z129,"")</f>
        <v/>
      </c>
      <c r="D151" s="33" t="str">
        <f>IF(Расчёты!$E129=1,Расчёты!$AA129,"")</f>
        <v/>
      </c>
      <c r="E151" s="33" t="str">
        <f>IF(Расчёты!$E129=1,Расчёты!$AB129,"")</f>
        <v/>
      </c>
      <c r="F151" s="33" t="str">
        <f>IF(Расчёты!$E129=1,Расчёты!$AC129,"")</f>
        <v/>
      </c>
      <c r="G151" s="33" t="str">
        <f>IF(Расчёты!$E129=1,Расчёты!$AD129,"")</f>
        <v/>
      </c>
      <c r="H151" s="33" t="str">
        <f>IF(Расчёты!$E129=1,Расчёты!$AI129,"")</f>
        <v/>
      </c>
      <c r="I151" s="33" t="str">
        <f>IF(Расчёты!$E129=1,Расчёты!$AG129,"")</f>
        <v/>
      </c>
      <c r="J151" s="33" t="str">
        <f>IF(Расчёты!$E129=1,Расчёты!$AJ129,"")</f>
        <v/>
      </c>
      <c r="K151" s="33" t="str">
        <f>IF(Расчёты!$E129=1,Расчёты!$AK129,"")</f>
        <v/>
      </c>
      <c r="L151" s="33" t="str">
        <f>IF(Расчёты!$E129=1,Расчёты!$I129,"")</f>
        <v/>
      </c>
      <c r="M151" s="33" t="str">
        <f>IF(Расчёты!$E129=1,Расчёты!$J129,"")</f>
        <v/>
      </c>
      <c r="N151" s="33" t="str">
        <f>IF(Расчёты!$E129=1,Расчёты!$K129,"")</f>
        <v/>
      </c>
      <c r="O151" s="33" t="str">
        <f>IF(Расчёты!$E129=1,Расчёты!$L129,"")</f>
        <v/>
      </c>
      <c r="P151" s="33" t="str">
        <f>IF(Расчёты!$E129=1,Расчёты!$M129,"")</f>
        <v/>
      </c>
      <c r="Q151" s="33" t="str">
        <f>IF(Расчёты!$E129=1,Расчёты!$N129,"")</f>
        <v/>
      </c>
      <c r="R151" s="33" t="str">
        <f>IF(Расчёты!$E129=1,Расчёты!$O129,"")</f>
        <v/>
      </c>
      <c r="S151" s="33" t="str">
        <f>IF(Расчёты!$E129=1,Расчёты!$Q129,"")</f>
        <v/>
      </c>
      <c r="T151" s="33" t="str">
        <f>IF(Расчёты!$E129=1,Расчёты!$S129,"")</f>
        <v/>
      </c>
      <c r="U151" s="33" t="str">
        <f>IF(Расчёты!$E129=1,Расчёты!$U129,"")</f>
        <v/>
      </c>
      <c r="V151" s="33" t="str">
        <f>IF(Расчёты!$E129=1,Расчёты!$W129,"")</f>
        <v/>
      </c>
      <c r="W151" s="33" t="str">
        <f>IF(Расчёты!$E129=1,Расчёты!$X129,"")</f>
        <v/>
      </c>
      <c r="X151" s="33" t="str">
        <f>IF(Расчёты!$E129=1,Расчёты!$Y129,"")</f>
        <v/>
      </c>
      <c r="Y151" s="33" t="str">
        <f>IF(Расчёты!$E129=1,Расчёты!$AL129,"")</f>
        <v/>
      </c>
      <c r="Z151" s="33" t="str">
        <f>IF(Расчёты!$E129=1,Расчёты!$AP129,"")</f>
        <v/>
      </c>
      <c r="AA151" s="33" t="str">
        <f>IF(Расчёты!$E129=1,Расчёты!$AS129,"")</f>
        <v/>
      </c>
      <c r="AB151" s="33" t="str">
        <f>IF(Расчёты!$E129=1,Расчёты!$AV129,"")</f>
        <v/>
      </c>
      <c r="AC151" s="33" t="str">
        <f>IF(Расчёты!$E129=1,Расчёты!$AW129,"")</f>
        <v/>
      </c>
      <c r="AD151" s="33" t="str">
        <f>IF(Расчёты!$E129=1,Расчёты!$AX129,"")</f>
        <v/>
      </c>
      <c r="AE151" s="33" t="str">
        <f>IF(Расчёты!$E129=1,Расчёты!$AY129,"")</f>
        <v/>
      </c>
      <c r="AF151" s="33" t="str">
        <f>IF(Расчёты!$E129=1,Расчёты!$BA129,"")</f>
        <v/>
      </c>
      <c r="AG151" s="33" t="str">
        <f>IF(Расчёты!$E129=1,Расчёты!$BB129,"")</f>
        <v/>
      </c>
      <c r="AH151" s="33" t="str">
        <f>IF(Расчёты!$E129=1,Расчёты!$BC129,"")</f>
        <v/>
      </c>
      <c r="AI151" s="33" t="str">
        <f>IF(Расчёты!$E129=1,Расчёты!$AU129,"")</f>
        <v/>
      </c>
      <c r="AJ151" s="33" t="str">
        <f>IF(Расчёты!$E129=1,Расчёты!$BF129,"")</f>
        <v/>
      </c>
      <c r="AK151" s="33" t="str">
        <f>IF(Расчёты!$E129=1,Расчёты!$BG129,"")</f>
        <v/>
      </c>
      <c r="AM151" s="17" t="str">
        <f t="shared" si="21"/>
        <v/>
      </c>
      <c r="AN151" s="35" t="str">
        <f t="shared" si="22"/>
        <v/>
      </c>
      <c r="AP151" s="17" t="str">
        <f t="shared" si="23"/>
        <v/>
      </c>
      <c r="AQ151" s="35" t="str">
        <f t="shared" si="24"/>
        <v/>
      </c>
      <c r="AV151" s="17" t="str">
        <f t="shared" si="25"/>
        <v/>
      </c>
      <c r="AW151" s="35" t="str">
        <f t="shared" si="26"/>
        <v/>
      </c>
      <c r="AX151" s="35" t="str">
        <f t="shared" si="27"/>
        <v/>
      </c>
    </row>
    <row r="152" spans="1:50" x14ac:dyDescent="0.2">
      <c r="A152" s="18" t="str">
        <f>IF(Расчёты!$E130=1,Расчёты!$B130,"")</f>
        <v/>
      </c>
      <c r="B152" s="34" t="str">
        <f>IF(Расчёты!$E130=1,Расчёты!$D130,"")</f>
        <v/>
      </c>
      <c r="C152" s="33" t="str">
        <f>IF(Расчёты!$E130=1,Расчёты!$Z130,"")</f>
        <v/>
      </c>
      <c r="D152" s="33" t="str">
        <f>IF(Расчёты!$E130=1,Расчёты!$AA130,"")</f>
        <v/>
      </c>
      <c r="E152" s="33" t="str">
        <f>IF(Расчёты!$E130=1,Расчёты!$AB130,"")</f>
        <v/>
      </c>
      <c r="F152" s="33" t="str">
        <f>IF(Расчёты!$E130=1,Расчёты!$AC130,"")</f>
        <v/>
      </c>
      <c r="G152" s="33" t="str">
        <f>IF(Расчёты!$E130=1,Расчёты!$AD130,"")</f>
        <v/>
      </c>
      <c r="H152" s="33" t="str">
        <f>IF(Расчёты!$E130=1,Расчёты!$AI130,"")</f>
        <v/>
      </c>
      <c r="I152" s="33" t="str">
        <f>IF(Расчёты!$E130=1,Расчёты!$AG130,"")</f>
        <v/>
      </c>
      <c r="J152" s="33" t="str">
        <f>IF(Расчёты!$E130=1,Расчёты!$AJ130,"")</f>
        <v/>
      </c>
      <c r="K152" s="33" t="str">
        <f>IF(Расчёты!$E130=1,Расчёты!$AK130,"")</f>
        <v/>
      </c>
      <c r="L152" s="33" t="str">
        <f>IF(Расчёты!$E130=1,Расчёты!$I130,"")</f>
        <v/>
      </c>
      <c r="M152" s="33" t="str">
        <f>IF(Расчёты!$E130=1,Расчёты!$J130,"")</f>
        <v/>
      </c>
      <c r="N152" s="33" t="str">
        <f>IF(Расчёты!$E130=1,Расчёты!$K130,"")</f>
        <v/>
      </c>
      <c r="O152" s="33" t="str">
        <f>IF(Расчёты!$E130=1,Расчёты!$L130,"")</f>
        <v/>
      </c>
      <c r="P152" s="33" t="str">
        <f>IF(Расчёты!$E130=1,Расчёты!$M130,"")</f>
        <v/>
      </c>
      <c r="Q152" s="33" t="str">
        <f>IF(Расчёты!$E130=1,Расчёты!$N130,"")</f>
        <v/>
      </c>
      <c r="R152" s="33" t="str">
        <f>IF(Расчёты!$E130=1,Расчёты!$O130,"")</f>
        <v/>
      </c>
      <c r="S152" s="33" t="str">
        <f>IF(Расчёты!$E130=1,Расчёты!$Q130,"")</f>
        <v/>
      </c>
      <c r="T152" s="33" t="str">
        <f>IF(Расчёты!$E130=1,Расчёты!$S130,"")</f>
        <v/>
      </c>
      <c r="U152" s="33" t="str">
        <f>IF(Расчёты!$E130=1,Расчёты!$U130,"")</f>
        <v/>
      </c>
      <c r="V152" s="33" t="str">
        <f>IF(Расчёты!$E130=1,Расчёты!$W130,"")</f>
        <v/>
      </c>
      <c r="W152" s="33" t="str">
        <f>IF(Расчёты!$E130=1,Расчёты!$X130,"")</f>
        <v/>
      </c>
      <c r="X152" s="33" t="str">
        <f>IF(Расчёты!$E130=1,Расчёты!$Y130,"")</f>
        <v/>
      </c>
      <c r="Y152" s="33" t="str">
        <f>IF(Расчёты!$E130=1,Расчёты!$AL130,"")</f>
        <v/>
      </c>
      <c r="Z152" s="33" t="str">
        <f>IF(Расчёты!$E130=1,Расчёты!$AP130,"")</f>
        <v/>
      </c>
      <c r="AA152" s="33" t="str">
        <f>IF(Расчёты!$E130=1,Расчёты!$AS130,"")</f>
        <v/>
      </c>
      <c r="AB152" s="33" t="str">
        <f>IF(Расчёты!$E130=1,Расчёты!$AV130,"")</f>
        <v/>
      </c>
      <c r="AC152" s="33" t="str">
        <f>IF(Расчёты!$E130=1,Расчёты!$AW130,"")</f>
        <v/>
      </c>
      <c r="AD152" s="33" t="str">
        <f>IF(Расчёты!$E130=1,Расчёты!$AX130,"")</f>
        <v/>
      </c>
      <c r="AE152" s="33" t="str">
        <f>IF(Расчёты!$E130=1,Расчёты!$AY130,"")</f>
        <v/>
      </c>
      <c r="AF152" s="33" t="str">
        <f>IF(Расчёты!$E130=1,Расчёты!$BA130,"")</f>
        <v/>
      </c>
      <c r="AG152" s="33" t="str">
        <f>IF(Расчёты!$E130=1,Расчёты!$BB130,"")</f>
        <v/>
      </c>
      <c r="AH152" s="33" t="str">
        <f>IF(Расчёты!$E130=1,Расчёты!$BC130,"")</f>
        <v/>
      </c>
      <c r="AI152" s="33" t="str">
        <f>IF(Расчёты!$E130=1,Расчёты!$AU130,"")</f>
        <v/>
      </c>
      <c r="AJ152" s="33" t="str">
        <f>IF(Расчёты!$E130=1,Расчёты!$BF130,"")</f>
        <v/>
      </c>
      <c r="AK152" s="33" t="str">
        <f>IF(Расчёты!$E130=1,Расчёты!$BG130,"")</f>
        <v/>
      </c>
      <c r="AM152" s="17" t="str">
        <f t="shared" ref="AM152:AM183" si="28">A152</f>
        <v/>
      </c>
      <c r="AN152" s="35" t="str">
        <f t="shared" ref="AN152:AN183" si="29">AF152</f>
        <v/>
      </c>
      <c r="AP152" s="17" t="str">
        <f t="shared" ref="AP152:AP183" si="30">A152</f>
        <v/>
      </c>
      <c r="AQ152" s="35" t="str">
        <f t="shared" ref="AQ152:AQ183" si="31">AG152</f>
        <v/>
      </c>
      <c r="AV152" s="17" t="str">
        <f t="shared" ref="AV152:AV183" si="32">A152</f>
        <v/>
      </c>
      <c r="AW152" s="35" t="str">
        <f t="shared" ref="AW152:AW183" si="33">AI152</f>
        <v/>
      </c>
      <c r="AX152" s="35" t="str">
        <f t="shared" ref="AX152:AX183" si="34">K152</f>
        <v/>
      </c>
    </row>
    <row r="153" spans="1:50" x14ac:dyDescent="0.2">
      <c r="A153" s="18" t="str">
        <f>IF(Расчёты!$E131=1,Расчёты!$B131,"")</f>
        <v/>
      </c>
      <c r="B153" s="34" t="str">
        <f>IF(Расчёты!$E131=1,Расчёты!$D131,"")</f>
        <v/>
      </c>
      <c r="C153" s="33" t="str">
        <f>IF(Расчёты!$E131=1,Расчёты!$Z131,"")</f>
        <v/>
      </c>
      <c r="D153" s="33" t="str">
        <f>IF(Расчёты!$E131=1,Расчёты!$AA131,"")</f>
        <v/>
      </c>
      <c r="E153" s="33" t="str">
        <f>IF(Расчёты!$E131=1,Расчёты!$AB131,"")</f>
        <v/>
      </c>
      <c r="F153" s="33" t="str">
        <f>IF(Расчёты!$E131=1,Расчёты!$AC131,"")</f>
        <v/>
      </c>
      <c r="G153" s="33" t="str">
        <f>IF(Расчёты!$E131=1,Расчёты!$AD131,"")</f>
        <v/>
      </c>
      <c r="H153" s="33" t="str">
        <f>IF(Расчёты!$E131=1,Расчёты!$AI131,"")</f>
        <v/>
      </c>
      <c r="I153" s="33" t="str">
        <f>IF(Расчёты!$E131=1,Расчёты!$AG131,"")</f>
        <v/>
      </c>
      <c r="J153" s="33" t="str">
        <f>IF(Расчёты!$E131=1,Расчёты!$AJ131,"")</f>
        <v/>
      </c>
      <c r="K153" s="33" t="str">
        <f>IF(Расчёты!$E131=1,Расчёты!$AK131,"")</f>
        <v/>
      </c>
      <c r="L153" s="33" t="str">
        <f>IF(Расчёты!$E131=1,Расчёты!$I131,"")</f>
        <v/>
      </c>
      <c r="M153" s="33" t="str">
        <f>IF(Расчёты!$E131=1,Расчёты!$J131,"")</f>
        <v/>
      </c>
      <c r="N153" s="33" t="str">
        <f>IF(Расчёты!$E131=1,Расчёты!$K131,"")</f>
        <v/>
      </c>
      <c r="O153" s="33" t="str">
        <f>IF(Расчёты!$E131=1,Расчёты!$L131,"")</f>
        <v/>
      </c>
      <c r="P153" s="33" t="str">
        <f>IF(Расчёты!$E131=1,Расчёты!$M131,"")</f>
        <v/>
      </c>
      <c r="Q153" s="33" t="str">
        <f>IF(Расчёты!$E131=1,Расчёты!$N131,"")</f>
        <v/>
      </c>
      <c r="R153" s="33" t="str">
        <f>IF(Расчёты!$E131=1,Расчёты!$O131,"")</f>
        <v/>
      </c>
      <c r="S153" s="33" t="str">
        <f>IF(Расчёты!$E131=1,Расчёты!$Q131,"")</f>
        <v/>
      </c>
      <c r="T153" s="33" t="str">
        <f>IF(Расчёты!$E131=1,Расчёты!$S131,"")</f>
        <v/>
      </c>
      <c r="U153" s="33" t="str">
        <f>IF(Расчёты!$E131=1,Расчёты!$U131,"")</f>
        <v/>
      </c>
      <c r="V153" s="33" t="str">
        <f>IF(Расчёты!$E131=1,Расчёты!$W131,"")</f>
        <v/>
      </c>
      <c r="W153" s="33" t="str">
        <f>IF(Расчёты!$E131=1,Расчёты!$X131,"")</f>
        <v/>
      </c>
      <c r="X153" s="33" t="str">
        <f>IF(Расчёты!$E131=1,Расчёты!$Y131,"")</f>
        <v/>
      </c>
      <c r="Y153" s="33" t="str">
        <f>IF(Расчёты!$E131=1,Расчёты!$AL131,"")</f>
        <v/>
      </c>
      <c r="Z153" s="33" t="str">
        <f>IF(Расчёты!$E131=1,Расчёты!$AP131,"")</f>
        <v/>
      </c>
      <c r="AA153" s="33" t="str">
        <f>IF(Расчёты!$E131=1,Расчёты!$AS131,"")</f>
        <v/>
      </c>
      <c r="AB153" s="33" t="str">
        <f>IF(Расчёты!$E131=1,Расчёты!$AV131,"")</f>
        <v/>
      </c>
      <c r="AC153" s="33" t="str">
        <f>IF(Расчёты!$E131=1,Расчёты!$AW131,"")</f>
        <v/>
      </c>
      <c r="AD153" s="33" t="str">
        <f>IF(Расчёты!$E131=1,Расчёты!$AX131,"")</f>
        <v/>
      </c>
      <c r="AE153" s="33" t="str">
        <f>IF(Расчёты!$E131=1,Расчёты!$AY131,"")</f>
        <v/>
      </c>
      <c r="AF153" s="33" t="str">
        <f>IF(Расчёты!$E131=1,Расчёты!$BA131,"")</f>
        <v/>
      </c>
      <c r="AG153" s="33" t="str">
        <f>IF(Расчёты!$E131=1,Расчёты!$BB131,"")</f>
        <v/>
      </c>
      <c r="AH153" s="33" t="str">
        <f>IF(Расчёты!$E131=1,Расчёты!$BC131,"")</f>
        <v/>
      </c>
      <c r="AI153" s="33" t="str">
        <f>IF(Расчёты!$E131=1,Расчёты!$AU131,"")</f>
        <v/>
      </c>
      <c r="AJ153" s="33" t="str">
        <f>IF(Расчёты!$E131=1,Расчёты!$BF131,"")</f>
        <v/>
      </c>
      <c r="AK153" s="33" t="str">
        <f>IF(Расчёты!$E131=1,Расчёты!$BG131,"")</f>
        <v/>
      </c>
      <c r="AM153" s="17" t="str">
        <f t="shared" si="28"/>
        <v/>
      </c>
      <c r="AN153" s="35" t="str">
        <f t="shared" si="29"/>
        <v/>
      </c>
      <c r="AP153" s="17" t="str">
        <f t="shared" si="30"/>
        <v/>
      </c>
      <c r="AQ153" s="35" t="str">
        <f t="shared" si="31"/>
        <v/>
      </c>
      <c r="AV153" s="17" t="str">
        <f t="shared" si="32"/>
        <v/>
      </c>
      <c r="AW153" s="35" t="str">
        <f t="shared" si="33"/>
        <v/>
      </c>
      <c r="AX153" s="35" t="str">
        <f t="shared" si="34"/>
        <v/>
      </c>
    </row>
    <row r="154" spans="1:50" x14ac:dyDescent="0.2">
      <c r="A154" s="18" t="str">
        <f>IF(Расчёты!$E132=1,Расчёты!$B132,"")</f>
        <v/>
      </c>
      <c r="B154" s="34" t="str">
        <f>IF(Расчёты!$E132=1,Расчёты!$D132,"")</f>
        <v/>
      </c>
      <c r="C154" s="33" t="str">
        <f>IF(Расчёты!$E132=1,Расчёты!$Z132,"")</f>
        <v/>
      </c>
      <c r="D154" s="33" t="str">
        <f>IF(Расчёты!$E132=1,Расчёты!$AA132,"")</f>
        <v/>
      </c>
      <c r="E154" s="33" t="str">
        <f>IF(Расчёты!$E132=1,Расчёты!$AB132,"")</f>
        <v/>
      </c>
      <c r="F154" s="33" t="str">
        <f>IF(Расчёты!$E132=1,Расчёты!$AC132,"")</f>
        <v/>
      </c>
      <c r="G154" s="33" t="str">
        <f>IF(Расчёты!$E132=1,Расчёты!$AD132,"")</f>
        <v/>
      </c>
      <c r="H154" s="33" t="str">
        <f>IF(Расчёты!$E132=1,Расчёты!$AI132,"")</f>
        <v/>
      </c>
      <c r="I154" s="33" t="str">
        <f>IF(Расчёты!$E132=1,Расчёты!$AG132,"")</f>
        <v/>
      </c>
      <c r="J154" s="33" t="str">
        <f>IF(Расчёты!$E132=1,Расчёты!$AJ132,"")</f>
        <v/>
      </c>
      <c r="K154" s="33" t="str">
        <f>IF(Расчёты!$E132=1,Расчёты!$AK132,"")</f>
        <v/>
      </c>
      <c r="L154" s="33" t="str">
        <f>IF(Расчёты!$E132=1,Расчёты!$I132,"")</f>
        <v/>
      </c>
      <c r="M154" s="33" t="str">
        <f>IF(Расчёты!$E132=1,Расчёты!$J132,"")</f>
        <v/>
      </c>
      <c r="N154" s="33" t="str">
        <f>IF(Расчёты!$E132=1,Расчёты!$K132,"")</f>
        <v/>
      </c>
      <c r="O154" s="33" t="str">
        <f>IF(Расчёты!$E132=1,Расчёты!$L132,"")</f>
        <v/>
      </c>
      <c r="P154" s="33" t="str">
        <f>IF(Расчёты!$E132=1,Расчёты!$M132,"")</f>
        <v/>
      </c>
      <c r="Q154" s="33" t="str">
        <f>IF(Расчёты!$E132=1,Расчёты!$N132,"")</f>
        <v/>
      </c>
      <c r="R154" s="33" t="str">
        <f>IF(Расчёты!$E132=1,Расчёты!$O132,"")</f>
        <v/>
      </c>
      <c r="S154" s="33" t="str">
        <f>IF(Расчёты!$E132=1,Расчёты!$Q132,"")</f>
        <v/>
      </c>
      <c r="T154" s="33" t="str">
        <f>IF(Расчёты!$E132=1,Расчёты!$S132,"")</f>
        <v/>
      </c>
      <c r="U154" s="33" t="str">
        <f>IF(Расчёты!$E132=1,Расчёты!$U132,"")</f>
        <v/>
      </c>
      <c r="V154" s="33" t="str">
        <f>IF(Расчёты!$E132=1,Расчёты!$W132,"")</f>
        <v/>
      </c>
      <c r="W154" s="33" t="str">
        <f>IF(Расчёты!$E132=1,Расчёты!$X132,"")</f>
        <v/>
      </c>
      <c r="X154" s="33" t="str">
        <f>IF(Расчёты!$E132=1,Расчёты!$Y132,"")</f>
        <v/>
      </c>
      <c r="Y154" s="33" t="str">
        <f>IF(Расчёты!$E132=1,Расчёты!$AL132,"")</f>
        <v/>
      </c>
      <c r="Z154" s="33" t="str">
        <f>IF(Расчёты!$E132=1,Расчёты!$AP132,"")</f>
        <v/>
      </c>
      <c r="AA154" s="33" t="str">
        <f>IF(Расчёты!$E132=1,Расчёты!$AS132,"")</f>
        <v/>
      </c>
      <c r="AB154" s="33" t="str">
        <f>IF(Расчёты!$E132=1,Расчёты!$AV132,"")</f>
        <v/>
      </c>
      <c r="AC154" s="33" t="str">
        <f>IF(Расчёты!$E132=1,Расчёты!$AW132,"")</f>
        <v/>
      </c>
      <c r="AD154" s="33" t="str">
        <f>IF(Расчёты!$E132=1,Расчёты!$AX132,"")</f>
        <v/>
      </c>
      <c r="AE154" s="33" t="str">
        <f>IF(Расчёты!$E132=1,Расчёты!$AY132,"")</f>
        <v/>
      </c>
      <c r="AF154" s="33" t="str">
        <f>IF(Расчёты!$E132=1,Расчёты!$BA132,"")</f>
        <v/>
      </c>
      <c r="AG154" s="33" t="str">
        <f>IF(Расчёты!$E132=1,Расчёты!$BB132,"")</f>
        <v/>
      </c>
      <c r="AH154" s="33" t="str">
        <f>IF(Расчёты!$E132=1,Расчёты!$BC132,"")</f>
        <v/>
      </c>
      <c r="AI154" s="33" t="str">
        <f>IF(Расчёты!$E132=1,Расчёты!$AU132,"")</f>
        <v/>
      </c>
      <c r="AJ154" s="33" t="str">
        <f>IF(Расчёты!$E132=1,Расчёты!$BF132,"")</f>
        <v/>
      </c>
      <c r="AK154" s="33" t="str">
        <f>IF(Расчёты!$E132=1,Расчёты!$BG132,"")</f>
        <v/>
      </c>
      <c r="AM154" s="17" t="str">
        <f t="shared" si="28"/>
        <v/>
      </c>
      <c r="AN154" s="35" t="str">
        <f t="shared" si="29"/>
        <v/>
      </c>
      <c r="AP154" s="17" t="str">
        <f t="shared" si="30"/>
        <v/>
      </c>
      <c r="AQ154" s="35" t="str">
        <f t="shared" si="31"/>
        <v/>
      </c>
      <c r="AV154" s="17" t="str">
        <f t="shared" si="32"/>
        <v/>
      </c>
      <c r="AW154" s="35" t="str">
        <f t="shared" si="33"/>
        <v/>
      </c>
      <c r="AX154" s="35" t="str">
        <f t="shared" si="34"/>
        <v/>
      </c>
    </row>
    <row r="155" spans="1:50" x14ac:dyDescent="0.2">
      <c r="A155" s="18" t="str">
        <f>IF(Расчёты!$E133=1,Расчёты!$B133,"")</f>
        <v/>
      </c>
      <c r="B155" s="34" t="str">
        <f>IF(Расчёты!$E133=1,Расчёты!$D133,"")</f>
        <v/>
      </c>
      <c r="C155" s="33" t="str">
        <f>IF(Расчёты!$E133=1,Расчёты!$Z133,"")</f>
        <v/>
      </c>
      <c r="D155" s="33" t="str">
        <f>IF(Расчёты!$E133=1,Расчёты!$AA133,"")</f>
        <v/>
      </c>
      <c r="E155" s="33" t="str">
        <f>IF(Расчёты!$E133=1,Расчёты!$AB133,"")</f>
        <v/>
      </c>
      <c r="F155" s="33" t="str">
        <f>IF(Расчёты!$E133=1,Расчёты!$AC133,"")</f>
        <v/>
      </c>
      <c r="G155" s="33" t="str">
        <f>IF(Расчёты!$E133=1,Расчёты!$AD133,"")</f>
        <v/>
      </c>
      <c r="H155" s="33" t="str">
        <f>IF(Расчёты!$E133=1,Расчёты!$AI133,"")</f>
        <v/>
      </c>
      <c r="I155" s="33" t="str">
        <f>IF(Расчёты!$E133=1,Расчёты!$AG133,"")</f>
        <v/>
      </c>
      <c r="J155" s="33" t="str">
        <f>IF(Расчёты!$E133=1,Расчёты!$AJ133,"")</f>
        <v/>
      </c>
      <c r="K155" s="33" t="str">
        <f>IF(Расчёты!$E133=1,Расчёты!$AK133,"")</f>
        <v/>
      </c>
      <c r="L155" s="33" t="str">
        <f>IF(Расчёты!$E133=1,Расчёты!$I133,"")</f>
        <v/>
      </c>
      <c r="M155" s="33" t="str">
        <f>IF(Расчёты!$E133=1,Расчёты!$J133,"")</f>
        <v/>
      </c>
      <c r="N155" s="33" t="str">
        <f>IF(Расчёты!$E133=1,Расчёты!$K133,"")</f>
        <v/>
      </c>
      <c r="O155" s="33" t="str">
        <f>IF(Расчёты!$E133=1,Расчёты!$L133,"")</f>
        <v/>
      </c>
      <c r="P155" s="33" t="str">
        <f>IF(Расчёты!$E133=1,Расчёты!$M133,"")</f>
        <v/>
      </c>
      <c r="Q155" s="33" t="str">
        <f>IF(Расчёты!$E133=1,Расчёты!$N133,"")</f>
        <v/>
      </c>
      <c r="R155" s="33" t="str">
        <f>IF(Расчёты!$E133=1,Расчёты!$O133,"")</f>
        <v/>
      </c>
      <c r="S155" s="33" t="str">
        <f>IF(Расчёты!$E133=1,Расчёты!$Q133,"")</f>
        <v/>
      </c>
      <c r="T155" s="33" t="str">
        <f>IF(Расчёты!$E133=1,Расчёты!$S133,"")</f>
        <v/>
      </c>
      <c r="U155" s="33" t="str">
        <f>IF(Расчёты!$E133=1,Расчёты!$U133,"")</f>
        <v/>
      </c>
      <c r="V155" s="33" t="str">
        <f>IF(Расчёты!$E133=1,Расчёты!$W133,"")</f>
        <v/>
      </c>
      <c r="W155" s="33" t="str">
        <f>IF(Расчёты!$E133=1,Расчёты!$X133,"")</f>
        <v/>
      </c>
      <c r="X155" s="33" t="str">
        <f>IF(Расчёты!$E133=1,Расчёты!$Y133,"")</f>
        <v/>
      </c>
      <c r="Y155" s="33" t="str">
        <f>IF(Расчёты!$E133=1,Расчёты!$AL133,"")</f>
        <v/>
      </c>
      <c r="Z155" s="33" t="str">
        <f>IF(Расчёты!$E133=1,Расчёты!$AP133,"")</f>
        <v/>
      </c>
      <c r="AA155" s="33" t="str">
        <f>IF(Расчёты!$E133=1,Расчёты!$AS133,"")</f>
        <v/>
      </c>
      <c r="AB155" s="33" t="str">
        <f>IF(Расчёты!$E133=1,Расчёты!$AV133,"")</f>
        <v/>
      </c>
      <c r="AC155" s="33" t="str">
        <f>IF(Расчёты!$E133=1,Расчёты!$AW133,"")</f>
        <v/>
      </c>
      <c r="AD155" s="33" t="str">
        <f>IF(Расчёты!$E133=1,Расчёты!$AX133,"")</f>
        <v/>
      </c>
      <c r="AE155" s="33" t="str">
        <f>IF(Расчёты!$E133=1,Расчёты!$AY133,"")</f>
        <v/>
      </c>
      <c r="AF155" s="33" t="str">
        <f>IF(Расчёты!$E133=1,Расчёты!$BA133,"")</f>
        <v/>
      </c>
      <c r="AG155" s="33" t="str">
        <f>IF(Расчёты!$E133=1,Расчёты!$BB133,"")</f>
        <v/>
      </c>
      <c r="AH155" s="33" t="str">
        <f>IF(Расчёты!$E133=1,Расчёты!$BC133,"")</f>
        <v/>
      </c>
      <c r="AI155" s="33" t="str">
        <f>IF(Расчёты!$E133=1,Расчёты!$AU133,"")</f>
        <v/>
      </c>
      <c r="AJ155" s="33" t="str">
        <f>IF(Расчёты!$E133=1,Расчёты!$BF133,"")</f>
        <v/>
      </c>
      <c r="AK155" s="33" t="str">
        <f>IF(Расчёты!$E133=1,Расчёты!$BG133,"")</f>
        <v/>
      </c>
      <c r="AM155" s="17" t="str">
        <f t="shared" si="28"/>
        <v/>
      </c>
      <c r="AN155" s="35" t="str">
        <f t="shared" si="29"/>
        <v/>
      </c>
      <c r="AP155" s="17" t="str">
        <f t="shared" si="30"/>
        <v/>
      </c>
      <c r="AQ155" s="35" t="str">
        <f t="shared" si="31"/>
        <v/>
      </c>
      <c r="AV155" s="17" t="str">
        <f t="shared" si="32"/>
        <v/>
      </c>
      <c r="AW155" s="35" t="str">
        <f t="shared" si="33"/>
        <v/>
      </c>
      <c r="AX155" s="35" t="str">
        <f t="shared" si="34"/>
        <v/>
      </c>
    </row>
    <row r="156" spans="1:50" x14ac:dyDescent="0.2">
      <c r="A156" s="18" t="str">
        <f>IF(Расчёты!$E134=1,Расчёты!$B134,"")</f>
        <v/>
      </c>
      <c r="B156" s="34" t="str">
        <f>IF(Расчёты!$E134=1,Расчёты!$D134,"")</f>
        <v/>
      </c>
      <c r="C156" s="33" t="str">
        <f>IF(Расчёты!$E134=1,Расчёты!$Z134,"")</f>
        <v/>
      </c>
      <c r="D156" s="33" t="str">
        <f>IF(Расчёты!$E134=1,Расчёты!$AA134,"")</f>
        <v/>
      </c>
      <c r="E156" s="33" t="str">
        <f>IF(Расчёты!$E134=1,Расчёты!$AB134,"")</f>
        <v/>
      </c>
      <c r="F156" s="33" t="str">
        <f>IF(Расчёты!$E134=1,Расчёты!$AC134,"")</f>
        <v/>
      </c>
      <c r="G156" s="33" t="str">
        <f>IF(Расчёты!$E134=1,Расчёты!$AD134,"")</f>
        <v/>
      </c>
      <c r="H156" s="33" t="str">
        <f>IF(Расчёты!$E134=1,Расчёты!$AI134,"")</f>
        <v/>
      </c>
      <c r="I156" s="33" t="str">
        <f>IF(Расчёты!$E134=1,Расчёты!$AG134,"")</f>
        <v/>
      </c>
      <c r="J156" s="33" t="str">
        <f>IF(Расчёты!$E134=1,Расчёты!$AJ134,"")</f>
        <v/>
      </c>
      <c r="K156" s="33" t="str">
        <f>IF(Расчёты!$E134=1,Расчёты!$AK134,"")</f>
        <v/>
      </c>
      <c r="L156" s="33" t="str">
        <f>IF(Расчёты!$E134=1,Расчёты!$I134,"")</f>
        <v/>
      </c>
      <c r="M156" s="33" t="str">
        <f>IF(Расчёты!$E134=1,Расчёты!$J134,"")</f>
        <v/>
      </c>
      <c r="N156" s="33" t="str">
        <f>IF(Расчёты!$E134=1,Расчёты!$K134,"")</f>
        <v/>
      </c>
      <c r="O156" s="33" t="str">
        <f>IF(Расчёты!$E134=1,Расчёты!$L134,"")</f>
        <v/>
      </c>
      <c r="P156" s="33" t="str">
        <f>IF(Расчёты!$E134=1,Расчёты!$M134,"")</f>
        <v/>
      </c>
      <c r="Q156" s="33" t="str">
        <f>IF(Расчёты!$E134=1,Расчёты!$N134,"")</f>
        <v/>
      </c>
      <c r="R156" s="33" t="str">
        <f>IF(Расчёты!$E134=1,Расчёты!$O134,"")</f>
        <v/>
      </c>
      <c r="S156" s="33" t="str">
        <f>IF(Расчёты!$E134=1,Расчёты!$Q134,"")</f>
        <v/>
      </c>
      <c r="T156" s="33" t="str">
        <f>IF(Расчёты!$E134=1,Расчёты!$S134,"")</f>
        <v/>
      </c>
      <c r="U156" s="33" t="str">
        <f>IF(Расчёты!$E134=1,Расчёты!$U134,"")</f>
        <v/>
      </c>
      <c r="V156" s="33" t="str">
        <f>IF(Расчёты!$E134=1,Расчёты!$W134,"")</f>
        <v/>
      </c>
      <c r="W156" s="33" t="str">
        <f>IF(Расчёты!$E134=1,Расчёты!$X134,"")</f>
        <v/>
      </c>
      <c r="X156" s="33" t="str">
        <f>IF(Расчёты!$E134=1,Расчёты!$Y134,"")</f>
        <v/>
      </c>
      <c r="Y156" s="33" t="str">
        <f>IF(Расчёты!$E134=1,Расчёты!$AL134,"")</f>
        <v/>
      </c>
      <c r="Z156" s="33" t="str">
        <f>IF(Расчёты!$E134=1,Расчёты!$AP134,"")</f>
        <v/>
      </c>
      <c r="AA156" s="33" t="str">
        <f>IF(Расчёты!$E134=1,Расчёты!$AS134,"")</f>
        <v/>
      </c>
      <c r="AB156" s="33" t="str">
        <f>IF(Расчёты!$E134=1,Расчёты!$AV134,"")</f>
        <v/>
      </c>
      <c r="AC156" s="33" t="str">
        <f>IF(Расчёты!$E134=1,Расчёты!$AW134,"")</f>
        <v/>
      </c>
      <c r="AD156" s="33" t="str">
        <f>IF(Расчёты!$E134=1,Расчёты!$AX134,"")</f>
        <v/>
      </c>
      <c r="AE156" s="33" t="str">
        <f>IF(Расчёты!$E134=1,Расчёты!$AY134,"")</f>
        <v/>
      </c>
      <c r="AF156" s="33" t="str">
        <f>IF(Расчёты!$E134=1,Расчёты!$BA134,"")</f>
        <v/>
      </c>
      <c r="AG156" s="33" t="str">
        <f>IF(Расчёты!$E134=1,Расчёты!$BB134,"")</f>
        <v/>
      </c>
      <c r="AH156" s="33" t="str">
        <f>IF(Расчёты!$E134=1,Расчёты!$BC134,"")</f>
        <v/>
      </c>
      <c r="AI156" s="33" t="str">
        <f>IF(Расчёты!$E134=1,Расчёты!$AU134,"")</f>
        <v/>
      </c>
      <c r="AJ156" s="33" t="str">
        <f>IF(Расчёты!$E134=1,Расчёты!$BF134,"")</f>
        <v/>
      </c>
      <c r="AK156" s="33" t="str">
        <f>IF(Расчёты!$E134=1,Расчёты!$BG134,"")</f>
        <v/>
      </c>
      <c r="AM156" s="17" t="str">
        <f t="shared" si="28"/>
        <v/>
      </c>
      <c r="AN156" s="35" t="str">
        <f t="shared" si="29"/>
        <v/>
      </c>
      <c r="AP156" s="17" t="str">
        <f t="shared" si="30"/>
        <v/>
      </c>
      <c r="AQ156" s="35" t="str">
        <f t="shared" si="31"/>
        <v/>
      </c>
      <c r="AV156" s="17" t="str">
        <f t="shared" si="32"/>
        <v/>
      </c>
      <c r="AW156" s="35" t="str">
        <f t="shared" si="33"/>
        <v/>
      </c>
      <c r="AX156" s="35" t="str">
        <f t="shared" si="34"/>
        <v/>
      </c>
    </row>
    <row r="157" spans="1:50" x14ac:dyDescent="0.2">
      <c r="A157" s="18" t="str">
        <f>IF(Расчёты!$E135=1,Расчёты!$B135,"")</f>
        <v/>
      </c>
      <c r="B157" s="34" t="str">
        <f>IF(Расчёты!$E135=1,Расчёты!$D135,"")</f>
        <v/>
      </c>
      <c r="C157" s="33" t="str">
        <f>IF(Расчёты!$E135=1,Расчёты!$Z135,"")</f>
        <v/>
      </c>
      <c r="D157" s="33" t="str">
        <f>IF(Расчёты!$E135=1,Расчёты!$AA135,"")</f>
        <v/>
      </c>
      <c r="E157" s="33" t="str">
        <f>IF(Расчёты!$E135=1,Расчёты!$AB135,"")</f>
        <v/>
      </c>
      <c r="F157" s="33" t="str">
        <f>IF(Расчёты!$E135=1,Расчёты!$AC135,"")</f>
        <v/>
      </c>
      <c r="G157" s="33" t="str">
        <f>IF(Расчёты!$E135=1,Расчёты!$AD135,"")</f>
        <v/>
      </c>
      <c r="H157" s="33" t="str">
        <f>IF(Расчёты!$E135=1,Расчёты!$AI135,"")</f>
        <v/>
      </c>
      <c r="I157" s="33" t="str">
        <f>IF(Расчёты!$E135=1,Расчёты!$AG135,"")</f>
        <v/>
      </c>
      <c r="J157" s="33" t="str">
        <f>IF(Расчёты!$E135=1,Расчёты!$AJ135,"")</f>
        <v/>
      </c>
      <c r="K157" s="33" t="str">
        <f>IF(Расчёты!$E135=1,Расчёты!$AK135,"")</f>
        <v/>
      </c>
      <c r="L157" s="33" t="str">
        <f>IF(Расчёты!$E135=1,Расчёты!$I135,"")</f>
        <v/>
      </c>
      <c r="M157" s="33" t="str">
        <f>IF(Расчёты!$E135=1,Расчёты!$J135,"")</f>
        <v/>
      </c>
      <c r="N157" s="33" t="str">
        <f>IF(Расчёты!$E135=1,Расчёты!$K135,"")</f>
        <v/>
      </c>
      <c r="O157" s="33" t="str">
        <f>IF(Расчёты!$E135=1,Расчёты!$L135,"")</f>
        <v/>
      </c>
      <c r="P157" s="33" t="str">
        <f>IF(Расчёты!$E135=1,Расчёты!$M135,"")</f>
        <v/>
      </c>
      <c r="Q157" s="33" t="str">
        <f>IF(Расчёты!$E135=1,Расчёты!$N135,"")</f>
        <v/>
      </c>
      <c r="R157" s="33" t="str">
        <f>IF(Расчёты!$E135=1,Расчёты!$O135,"")</f>
        <v/>
      </c>
      <c r="S157" s="33" t="str">
        <f>IF(Расчёты!$E135=1,Расчёты!$Q135,"")</f>
        <v/>
      </c>
      <c r="T157" s="33" t="str">
        <f>IF(Расчёты!$E135=1,Расчёты!$S135,"")</f>
        <v/>
      </c>
      <c r="U157" s="33" t="str">
        <f>IF(Расчёты!$E135=1,Расчёты!$U135,"")</f>
        <v/>
      </c>
      <c r="V157" s="33" t="str">
        <f>IF(Расчёты!$E135=1,Расчёты!$W135,"")</f>
        <v/>
      </c>
      <c r="W157" s="33" t="str">
        <f>IF(Расчёты!$E135=1,Расчёты!$X135,"")</f>
        <v/>
      </c>
      <c r="X157" s="33" t="str">
        <f>IF(Расчёты!$E135=1,Расчёты!$Y135,"")</f>
        <v/>
      </c>
      <c r="Y157" s="33" t="str">
        <f>IF(Расчёты!$E135=1,Расчёты!$AL135,"")</f>
        <v/>
      </c>
      <c r="Z157" s="33" t="str">
        <f>IF(Расчёты!$E135=1,Расчёты!$AP135,"")</f>
        <v/>
      </c>
      <c r="AA157" s="33" t="str">
        <f>IF(Расчёты!$E135=1,Расчёты!$AS135,"")</f>
        <v/>
      </c>
      <c r="AB157" s="33" t="str">
        <f>IF(Расчёты!$E135=1,Расчёты!$AV135,"")</f>
        <v/>
      </c>
      <c r="AC157" s="33" t="str">
        <f>IF(Расчёты!$E135=1,Расчёты!$AW135,"")</f>
        <v/>
      </c>
      <c r="AD157" s="33" t="str">
        <f>IF(Расчёты!$E135=1,Расчёты!$AX135,"")</f>
        <v/>
      </c>
      <c r="AE157" s="33" t="str">
        <f>IF(Расчёты!$E135=1,Расчёты!$AY135,"")</f>
        <v/>
      </c>
      <c r="AF157" s="33" t="str">
        <f>IF(Расчёты!$E135=1,Расчёты!$BA135,"")</f>
        <v/>
      </c>
      <c r="AG157" s="33" t="str">
        <f>IF(Расчёты!$E135=1,Расчёты!$BB135,"")</f>
        <v/>
      </c>
      <c r="AH157" s="33" t="str">
        <f>IF(Расчёты!$E135=1,Расчёты!$BC135,"")</f>
        <v/>
      </c>
      <c r="AI157" s="33" t="str">
        <f>IF(Расчёты!$E135=1,Расчёты!$AU135,"")</f>
        <v/>
      </c>
      <c r="AJ157" s="33" t="str">
        <f>IF(Расчёты!$E135=1,Расчёты!$BF135,"")</f>
        <v/>
      </c>
      <c r="AK157" s="33" t="str">
        <f>IF(Расчёты!$E135=1,Расчёты!$BG135,"")</f>
        <v/>
      </c>
      <c r="AM157" s="17" t="str">
        <f t="shared" si="28"/>
        <v/>
      </c>
      <c r="AN157" s="35" t="str">
        <f t="shared" si="29"/>
        <v/>
      </c>
      <c r="AP157" s="17" t="str">
        <f t="shared" si="30"/>
        <v/>
      </c>
      <c r="AQ157" s="35" t="str">
        <f t="shared" si="31"/>
        <v/>
      </c>
      <c r="AV157" s="17" t="str">
        <f t="shared" si="32"/>
        <v/>
      </c>
      <c r="AW157" s="35" t="str">
        <f t="shared" si="33"/>
        <v/>
      </c>
      <c r="AX157" s="35" t="str">
        <f t="shared" si="34"/>
        <v/>
      </c>
    </row>
    <row r="158" spans="1:50" x14ac:dyDescent="0.2">
      <c r="A158" s="18" t="str">
        <f>IF(Расчёты!$E136=1,Расчёты!$B136,"")</f>
        <v/>
      </c>
      <c r="B158" s="34" t="str">
        <f>IF(Расчёты!$E136=1,Расчёты!$D136,"")</f>
        <v/>
      </c>
      <c r="C158" s="33" t="str">
        <f>IF(Расчёты!$E136=1,Расчёты!$Z136,"")</f>
        <v/>
      </c>
      <c r="D158" s="33" t="str">
        <f>IF(Расчёты!$E136=1,Расчёты!$AA136,"")</f>
        <v/>
      </c>
      <c r="E158" s="33" t="str">
        <f>IF(Расчёты!$E136=1,Расчёты!$AB136,"")</f>
        <v/>
      </c>
      <c r="F158" s="33" t="str">
        <f>IF(Расчёты!$E136=1,Расчёты!$AC136,"")</f>
        <v/>
      </c>
      <c r="G158" s="33" t="str">
        <f>IF(Расчёты!$E136=1,Расчёты!$AD136,"")</f>
        <v/>
      </c>
      <c r="H158" s="33" t="str">
        <f>IF(Расчёты!$E136=1,Расчёты!$AI136,"")</f>
        <v/>
      </c>
      <c r="I158" s="33" t="str">
        <f>IF(Расчёты!$E136=1,Расчёты!$AG136,"")</f>
        <v/>
      </c>
      <c r="J158" s="33" t="str">
        <f>IF(Расчёты!$E136=1,Расчёты!$AJ136,"")</f>
        <v/>
      </c>
      <c r="K158" s="33" t="str">
        <f>IF(Расчёты!$E136=1,Расчёты!$AK136,"")</f>
        <v/>
      </c>
      <c r="L158" s="33" t="str">
        <f>IF(Расчёты!$E136=1,Расчёты!$I136,"")</f>
        <v/>
      </c>
      <c r="M158" s="33" t="str">
        <f>IF(Расчёты!$E136=1,Расчёты!$J136,"")</f>
        <v/>
      </c>
      <c r="N158" s="33" t="str">
        <f>IF(Расчёты!$E136=1,Расчёты!$K136,"")</f>
        <v/>
      </c>
      <c r="O158" s="33" t="str">
        <f>IF(Расчёты!$E136=1,Расчёты!$L136,"")</f>
        <v/>
      </c>
      <c r="P158" s="33" t="str">
        <f>IF(Расчёты!$E136=1,Расчёты!$M136,"")</f>
        <v/>
      </c>
      <c r="Q158" s="33" t="str">
        <f>IF(Расчёты!$E136=1,Расчёты!$N136,"")</f>
        <v/>
      </c>
      <c r="R158" s="33" t="str">
        <f>IF(Расчёты!$E136=1,Расчёты!$O136,"")</f>
        <v/>
      </c>
      <c r="S158" s="33" t="str">
        <f>IF(Расчёты!$E136=1,Расчёты!$Q136,"")</f>
        <v/>
      </c>
      <c r="T158" s="33" t="str">
        <f>IF(Расчёты!$E136=1,Расчёты!$S136,"")</f>
        <v/>
      </c>
      <c r="U158" s="33" t="str">
        <f>IF(Расчёты!$E136=1,Расчёты!$U136,"")</f>
        <v/>
      </c>
      <c r="V158" s="33" t="str">
        <f>IF(Расчёты!$E136=1,Расчёты!$W136,"")</f>
        <v/>
      </c>
      <c r="W158" s="33" t="str">
        <f>IF(Расчёты!$E136=1,Расчёты!$X136,"")</f>
        <v/>
      </c>
      <c r="X158" s="33" t="str">
        <f>IF(Расчёты!$E136=1,Расчёты!$Y136,"")</f>
        <v/>
      </c>
      <c r="Y158" s="33" t="str">
        <f>IF(Расчёты!$E136=1,Расчёты!$AL136,"")</f>
        <v/>
      </c>
      <c r="Z158" s="33" t="str">
        <f>IF(Расчёты!$E136=1,Расчёты!$AP136,"")</f>
        <v/>
      </c>
      <c r="AA158" s="33" t="str">
        <f>IF(Расчёты!$E136=1,Расчёты!$AS136,"")</f>
        <v/>
      </c>
      <c r="AB158" s="33" t="str">
        <f>IF(Расчёты!$E136=1,Расчёты!$AV136,"")</f>
        <v/>
      </c>
      <c r="AC158" s="33" t="str">
        <f>IF(Расчёты!$E136=1,Расчёты!$AW136,"")</f>
        <v/>
      </c>
      <c r="AD158" s="33" t="str">
        <f>IF(Расчёты!$E136=1,Расчёты!$AX136,"")</f>
        <v/>
      </c>
      <c r="AE158" s="33" t="str">
        <f>IF(Расчёты!$E136=1,Расчёты!$AY136,"")</f>
        <v/>
      </c>
      <c r="AF158" s="33" t="str">
        <f>IF(Расчёты!$E136=1,Расчёты!$BA136,"")</f>
        <v/>
      </c>
      <c r="AG158" s="33" t="str">
        <f>IF(Расчёты!$E136=1,Расчёты!$BB136,"")</f>
        <v/>
      </c>
      <c r="AH158" s="33" t="str">
        <f>IF(Расчёты!$E136=1,Расчёты!$BC136,"")</f>
        <v/>
      </c>
      <c r="AI158" s="33" t="str">
        <f>IF(Расчёты!$E136=1,Расчёты!$AU136,"")</f>
        <v/>
      </c>
      <c r="AJ158" s="33" t="str">
        <f>IF(Расчёты!$E136=1,Расчёты!$BF136,"")</f>
        <v/>
      </c>
      <c r="AK158" s="33" t="str">
        <f>IF(Расчёты!$E136=1,Расчёты!$BG136,"")</f>
        <v/>
      </c>
      <c r="AM158" s="17" t="str">
        <f t="shared" si="28"/>
        <v/>
      </c>
      <c r="AN158" s="35" t="str">
        <f t="shared" si="29"/>
        <v/>
      </c>
      <c r="AP158" s="17" t="str">
        <f t="shared" si="30"/>
        <v/>
      </c>
      <c r="AQ158" s="35" t="str">
        <f t="shared" si="31"/>
        <v/>
      </c>
      <c r="AV158" s="17" t="str">
        <f t="shared" si="32"/>
        <v/>
      </c>
      <c r="AW158" s="35" t="str">
        <f t="shared" si="33"/>
        <v/>
      </c>
      <c r="AX158" s="35" t="str">
        <f t="shared" si="34"/>
        <v/>
      </c>
    </row>
    <row r="159" spans="1:50" x14ac:dyDescent="0.2">
      <c r="A159" s="18" t="str">
        <f>IF(Расчёты!$E137=1,Расчёты!$B137,"")</f>
        <v/>
      </c>
      <c r="B159" s="34" t="str">
        <f>IF(Расчёты!$E137=1,Расчёты!$D137,"")</f>
        <v/>
      </c>
      <c r="C159" s="33" t="str">
        <f>IF(Расчёты!$E137=1,Расчёты!$Z137,"")</f>
        <v/>
      </c>
      <c r="D159" s="33" t="str">
        <f>IF(Расчёты!$E137=1,Расчёты!$AA137,"")</f>
        <v/>
      </c>
      <c r="E159" s="33" t="str">
        <f>IF(Расчёты!$E137=1,Расчёты!$AB137,"")</f>
        <v/>
      </c>
      <c r="F159" s="33" t="str">
        <f>IF(Расчёты!$E137=1,Расчёты!$AC137,"")</f>
        <v/>
      </c>
      <c r="G159" s="33" t="str">
        <f>IF(Расчёты!$E137=1,Расчёты!$AD137,"")</f>
        <v/>
      </c>
      <c r="H159" s="33" t="str">
        <f>IF(Расчёты!$E137=1,Расчёты!$AI137,"")</f>
        <v/>
      </c>
      <c r="I159" s="33" t="str">
        <f>IF(Расчёты!$E137=1,Расчёты!$AG137,"")</f>
        <v/>
      </c>
      <c r="J159" s="33" t="str">
        <f>IF(Расчёты!$E137=1,Расчёты!$AJ137,"")</f>
        <v/>
      </c>
      <c r="K159" s="33" t="str">
        <f>IF(Расчёты!$E137=1,Расчёты!$AK137,"")</f>
        <v/>
      </c>
      <c r="L159" s="33" t="str">
        <f>IF(Расчёты!$E137=1,Расчёты!$I137,"")</f>
        <v/>
      </c>
      <c r="M159" s="33" t="str">
        <f>IF(Расчёты!$E137=1,Расчёты!$J137,"")</f>
        <v/>
      </c>
      <c r="N159" s="33" t="str">
        <f>IF(Расчёты!$E137=1,Расчёты!$K137,"")</f>
        <v/>
      </c>
      <c r="O159" s="33" t="str">
        <f>IF(Расчёты!$E137=1,Расчёты!$L137,"")</f>
        <v/>
      </c>
      <c r="P159" s="33" t="str">
        <f>IF(Расчёты!$E137=1,Расчёты!$M137,"")</f>
        <v/>
      </c>
      <c r="Q159" s="33" t="str">
        <f>IF(Расчёты!$E137=1,Расчёты!$N137,"")</f>
        <v/>
      </c>
      <c r="R159" s="33" t="str">
        <f>IF(Расчёты!$E137=1,Расчёты!$O137,"")</f>
        <v/>
      </c>
      <c r="S159" s="33" t="str">
        <f>IF(Расчёты!$E137=1,Расчёты!$Q137,"")</f>
        <v/>
      </c>
      <c r="T159" s="33" t="str">
        <f>IF(Расчёты!$E137=1,Расчёты!$S137,"")</f>
        <v/>
      </c>
      <c r="U159" s="33" t="str">
        <f>IF(Расчёты!$E137=1,Расчёты!$U137,"")</f>
        <v/>
      </c>
      <c r="V159" s="33" t="str">
        <f>IF(Расчёты!$E137=1,Расчёты!$W137,"")</f>
        <v/>
      </c>
      <c r="W159" s="33" t="str">
        <f>IF(Расчёты!$E137=1,Расчёты!$X137,"")</f>
        <v/>
      </c>
      <c r="X159" s="33" t="str">
        <f>IF(Расчёты!$E137=1,Расчёты!$Y137,"")</f>
        <v/>
      </c>
      <c r="Y159" s="33" t="str">
        <f>IF(Расчёты!$E137=1,Расчёты!$AL137,"")</f>
        <v/>
      </c>
      <c r="Z159" s="33" t="str">
        <f>IF(Расчёты!$E137=1,Расчёты!$AP137,"")</f>
        <v/>
      </c>
      <c r="AA159" s="33" t="str">
        <f>IF(Расчёты!$E137=1,Расчёты!$AS137,"")</f>
        <v/>
      </c>
      <c r="AB159" s="33" t="str">
        <f>IF(Расчёты!$E137=1,Расчёты!$AV137,"")</f>
        <v/>
      </c>
      <c r="AC159" s="33" t="str">
        <f>IF(Расчёты!$E137=1,Расчёты!$AW137,"")</f>
        <v/>
      </c>
      <c r="AD159" s="33" t="str">
        <f>IF(Расчёты!$E137=1,Расчёты!$AX137,"")</f>
        <v/>
      </c>
      <c r="AE159" s="33" t="str">
        <f>IF(Расчёты!$E137=1,Расчёты!$AY137,"")</f>
        <v/>
      </c>
      <c r="AF159" s="33" t="str">
        <f>IF(Расчёты!$E137=1,Расчёты!$BA137,"")</f>
        <v/>
      </c>
      <c r="AG159" s="33" t="str">
        <f>IF(Расчёты!$E137=1,Расчёты!$BB137,"")</f>
        <v/>
      </c>
      <c r="AH159" s="33" t="str">
        <f>IF(Расчёты!$E137=1,Расчёты!$BC137,"")</f>
        <v/>
      </c>
      <c r="AI159" s="33" t="str">
        <f>IF(Расчёты!$E137=1,Расчёты!$AU137,"")</f>
        <v/>
      </c>
      <c r="AJ159" s="33" t="str">
        <f>IF(Расчёты!$E137=1,Расчёты!$BF137,"")</f>
        <v/>
      </c>
      <c r="AK159" s="33" t="str">
        <f>IF(Расчёты!$E137=1,Расчёты!$BG137,"")</f>
        <v/>
      </c>
      <c r="AM159" s="17" t="str">
        <f t="shared" si="28"/>
        <v/>
      </c>
      <c r="AN159" s="35" t="str">
        <f t="shared" si="29"/>
        <v/>
      </c>
      <c r="AP159" s="17" t="str">
        <f t="shared" si="30"/>
        <v/>
      </c>
      <c r="AQ159" s="35" t="str">
        <f t="shared" si="31"/>
        <v/>
      </c>
      <c r="AV159" s="17" t="str">
        <f t="shared" si="32"/>
        <v/>
      </c>
      <c r="AW159" s="35" t="str">
        <f t="shared" si="33"/>
        <v/>
      </c>
      <c r="AX159" s="35" t="str">
        <f t="shared" si="34"/>
        <v/>
      </c>
    </row>
    <row r="160" spans="1:50" x14ac:dyDescent="0.2">
      <c r="A160" s="18" t="str">
        <f>IF(Расчёты!$E138=1,Расчёты!$B138,"")</f>
        <v/>
      </c>
      <c r="B160" s="34" t="str">
        <f>IF(Расчёты!$E138=1,Расчёты!$D138,"")</f>
        <v/>
      </c>
      <c r="C160" s="33" t="str">
        <f>IF(Расчёты!$E138=1,Расчёты!$Z138,"")</f>
        <v/>
      </c>
      <c r="D160" s="33" t="str">
        <f>IF(Расчёты!$E138=1,Расчёты!$AA138,"")</f>
        <v/>
      </c>
      <c r="E160" s="33" t="str">
        <f>IF(Расчёты!$E138=1,Расчёты!$AB138,"")</f>
        <v/>
      </c>
      <c r="F160" s="33" t="str">
        <f>IF(Расчёты!$E138=1,Расчёты!$AC138,"")</f>
        <v/>
      </c>
      <c r="G160" s="33" t="str">
        <f>IF(Расчёты!$E138=1,Расчёты!$AD138,"")</f>
        <v/>
      </c>
      <c r="H160" s="33" t="str">
        <f>IF(Расчёты!$E138=1,Расчёты!$AI138,"")</f>
        <v/>
      </c>
      <c r="I160" s="33" t="str">
        <f>IF(Расчёты!$E138=1,Расчёты!$AG138,"")</f>
        <v/>
      </c>
      <c r="J160" s="33" t="str">
        <f>IF(Расчёты!$E138=1,Расчёты!$AJ138,"")</f>
        <v/>
      </c>
      <c r="K160" s="33" t="str">
        <f>IF(Расчёты!$E138=1,Расчёты!$AK138,"")</f>
        <v/>
      </c>
      <c r="L160" s="33" t="str">
        <f>IF(Расчёты!$E138=1,Расчёты!$I138,"")</f>
        <v/>
      </c>
      <c r="M160" s="33" t="str">
        <f>IF(Расчёты!$E138=1,Расчёты!$J138,"")</f>
        <v/>
      </c>
      <c r="N160" s="33" t="str">
        <f>IF(Расчёты!$E138=1,Расчёты!$K138,"")</f>
        <v/>
      </c>
      <c r="O160" s="33" t="str">
        <f>IF(Расчёты!$E138=1,Расчёты!$L138,"")</f>
        <v/>
      </c>
      <c r="P160" s="33" t="str">
        <f>IF(Расчёты!$E138=1,Расчёты!$M138,"")</f>
        <v/>
      </c>
      <c r="Q160" s="33" t="str">
        <f>IF(Расчёты!$E138=1,Расчёты!$N138,"")</f>
        <v/>
      </c>
      <c r="R160" s="33" t="str">
        <f>IF(Расчёты!$E138=1,Расчёты!$O138,"")</f>
        <v/>
      </c>
      <c r="S160" s="33" t="str">
        <f>IF(Расчёты!$E138=1,Расчёты!$Q138,"")</f>
        <v/>
      </c>
      <c r="T160" s="33" t="str">
        <f>IF(Расчёты!$E138=1,Расчёты!$S138,"")</f>
        <v/>
      </c>
      <c r="U160" s="33" t="str">
        <f>IF(Расчёты!$E138=1,Расчёты!$U138,"")</f>
        <v/>
      </c>
      <c r="V160" s="33" t="str">
        <f>IF(Расчёты!$E138=1,Расчёты!$W138,"")</f>
        <v/>
      </c>
      <c r="W160" s="33" t="str">
        <f>IF(Расчёты!$E138=1,Расчёты!$X138,"")</f>
        <v/>
      </c>
      <c r="X160" s="33" t="str">
        <f>IF(Расчёты!$E138=1,Расчёты!$Y138,"")</f>
        <v/>
      </c>
      <c r="Y160" s="33" t="str">
        <f>IF(Расчёты!$E138=1,Расчёты!$AL138,"")</f>
        <v/>
      </c>
      <c r="Z160" s="33" t="str">
        <f>IF(Расчёты!$E138=1,Расчёты!$AP138,"")</f>
        <v/>
      </c>
      <c r="AA160" s="33" t="str">
        <f>IF(Расчёты!$E138=1,Расчёты!$AS138,"")</f>
        <v/>
      </c>
      <c r="AB160" s="33" t="str">
        <f>IF(Расчёты!$E138=1,Расчёты!$AV138,"")</f>
        <v/>
      </c>
      <c r="AC160" s="33" t="str">
        <f>IF(Расчёты!$E138=1,Расчёты!$AW138,"")</f>
        <v/>
      </c>
      <c r="AD160" s="33" t="str">
        <f>IF(Расчёты!$E138=1,Расчёты!$AX138,"")</f>
        <v/>
      </c>
      <c r="AE160" s="33" t="str">
        <f>IF(Расчёты!$E138=1,Расчёты!$AY138,"")</f>
        <v/>
      </c>
      <c r="AF160" s="33" t="str">
        <f>IF(Расчёты!$E138=1,Расчёты!$BA138,"")</f>
        <v/>
      </c>
      <c r="AG160" s="33" t="str">
        <f>IF(Расчёты!$E138=1,Расчёты!$BB138,"")</f>
        <v/>
      </c>
      <c r="AH160" s="33" t="str">
        <f>IF(Расчёты!$E138=1,Расчёты!$BC138,"")</f>
        <v/>
      </c>
      <c r="AI160" s="33" t="str">
        <f>IF(Расчёты!$E138=1,Расчёты!$AU138,"")</f>
        <v/>
      </c>
      <c r="AJ160" s="33" t="str">
        <f>IF(Расчёты!$E138=1,Расчёты!$BF138,"")</f>
        <v/>
      </c>
      <c r="AK160" s="33" t="str">
        <f>IF(Расчёты!$E138=1,Расчёты!$BG138,"")</f>
        <v/>
      </c>
      <c r="AM160" s="17" t="str">
        <f t="shared" si="28"/>
        <v/>
      </c>
      <c r="AN160" s="35" t="str">
        <f t="shared" si="29"/>
        <v/>
      </c>
      <c r="AP160" s="17" t="str">
        <f t="shared" si="30"/>
        <v/>
      </c>
      <c r="AQ160" s="35" t="str">
        <f t="shared" si="31"/>
        <v/>
      </c>
      <c r="AV160" s="17" t="str">
        <f t="shared" si="32"/>
        <v/>
      </c>
      <c r="AW160" s="35" t="str">
        <f t="shared" si="33"/>
        <v/>
      </c>
      <c r="AX160" s="35" t="str">
        <f t="shared" si="34"/>
        <v/>
      </c>
    </row>
    <row r="161" spans="1:50" x14ac:dyDescent="0.2">
      <c r="A161" s="18" t="str">
        <f>IF(Расчёты!$E139=1,Расчёты!$B139,"")</f>
        <v/>
      </c>
      <c r="B161" s="34" t="str">
        <f>IF(Расчёты!$E139=1,Расчёты!$D139,"")</f>
        <v/>
      </c>
      <c r="C161" s="33" t="str">
        <f>IF(Расчёты!$E139=1,Расчёты!$Z139,"")</f>
        <v/>
      </c>
      <c r="D161" s="33" t="str">
        <f>IF(Расчёты!$E139=1,Расчёты!$AA139,"")</f>
        <v/>
      </c>
      <c r="E161" s="33" t="str">
        <f>IF(Расчёты!$E139=1,Расчёты!$AB139,"")</f>
        <v/>
      </c>
      <c r="F161" s="33" t="str">
        <f>IF(Расчёты!$E139=1,Расчёты!$AC139,"")</f>
        <v/>
      </c>
      <c r="G161" s="33" t="str">
        <f>IF(Расчёты!$E139=1,Расчёты!$AD139,"")</f>
        <v/>
      </c>
      <c r="H161" s="33" t="str">
        <f>IF(Расчёты!$E139=1,Расчёты!$AI139,"")</f>
        <v/>
      </c>
      <c r="I161" s="33" t="str">
        <f>IF(Расчёты!$E139=1,Расчёты!$AG139,"")</f>
        <v/>
      </c>
      <c r="J161" s="33" t="str">
        <f>IF(Расчёты!$E139=1,Расчёты!$AJ139,"")</f>
        <v/>
      </c>
      <c r="K161" s="33" t="str">
        <f>IF(Расчёты!$E139=1,Расчёты!$AK139,"")</f>
        <v/>
      </c>
      <c r="L161" s="33" t="str">
        <f>IF(Расчёты!$E139=1,Расчёты!$I139,"")</f>
        <v/>
      </c>
      <c r="M161" s="33" t="str">
        <f>IF(Расчёты!$E139=1,Расчёты!$J139,"")</f>
        <v/>
      </c>
      <c r="N161" s="33" t="str">
        <f>IF(Расчёты!$E139=1,Расчёты!$K139,"")</f>
        <v/>
      </c>
      <c r="O161" s="33" t="str">
        <f>IF(Расчёты!$E139=1,Расчёты!$L139,"")</f>
        <v/>
      </c>
      <c r="P161" s="33" t="str">
        <f>IF(Расчёты!$E139=1,Расчёты!$M139,"")</f>
        <v/>
      </c>
      <c r="Q161" s="33" t="str">
        <f>IF(Расчёты!$E139=1,Расчёты!$N139,"")</f>
        <v/>
      </c>
      <c r="R161" s="33" t="str">
        <f>IF(Расчёты!$E139=1,Расчёты!$O139,"")</f>
        <v/>
      </c>
      <c r="S161" s="33" t="str">
        <f>IF(Расчёты!$E139=1,Расчёты!$Q139,"")</f>
        <v/>
      </c>
      <c r="T161" s="33" t="str">
        <f>IF(Расчёты!$E139=1,Расчёты!$S139,"")</f>
        <v/>
      </c>
      <c r="U161" s="33" t="str">
        <f>IF(Расчёты!$E139=1,Расчёты!$U139,"")</f>
        <v/>
      </c>
      <c r="V161" s="33" t="str">
        <f>IF(Расчёты!$E139=1,Расчёты!$W139,"")</f>
        <v/>
      </c>
      <c r="W161" s="33" t="str">
        <f>IF(Расчёты!$E139=1,Расчёты!$X139,"")</f>
        <v/>
      </c>
      <c r="X161" s="33" t="str">
        <f>IF(Расчёты!$E139=1,Расчёты!$Y139,"")</f>
        <v/>
      </c>
      <c r="Y161" s="33" t="str">
        <f>IF(Расчёты!$E139=1,Расчёты!$AL139,"")</f>
        <v/>
      </c>
      <c r="Z161" s="33" t="str">
        <f>IF(Расчёты!$E139=1,Расчёты!$AP139,"")</f>
        <v/>
      </c>
      <c r="AA161" s="33" t="str">
        <f>IF(Расчёты!$E139=1,Расчёты!$AS139,"")</f>
        <v/>
      </c>
      <c r="AB161" s="33" t="str">
        <f>IF(Расчёты!$E139=1,Расчёты!$AV139,"")</f>
        <v/>
      </c>
      <c r="AC161" s="33" t="str">
        <f>IF(Расчёты!$E139=1,Расчёты!$AW139,"")</f>
        <v/>
      </c>
      <c r="AD161" s="33" t="str">
        <f>IF(Расчёты!$E139=1,Расчёты!$AX139,"")</f>
        <v/>
      </c>
      <c r="AE161" s="33" t="str">
        <f>IF(Расчёты!$E139=1,Расчёты!$AY139,"")</f>
        <v/>
      </c>
      <c r="AF161" s="33" t="str">
        <f>IF(Расчёты!$E139=1,Расчёты!$BA139,"")</f>
        <v/>
      </c>
      <c r="AG161" s="33" t="str">
        <f>IF(Расчёты!$E139=1,Расчёты!$BB139,"")</f>
        <v/>
      </c>
      <c r="AH161" s="33" t="str">
        <f>IF(Расчёты!$E139=1,Расчёты!$BC139,"")</f>
        <v/>
      </c>
      <c r="AI161" s="33" t="str">
        <f>IF(Расчёты!$E139=1,Расчёты!$AU139,"")</f>
        <v/>
      </c>
      <c r="AJ161" s="33" t="str">
        <f>IF(Расчёты!$E139=1,Расчёты!$BF139,"")</f>
        <v/>
      </c>
      <c r="AK161" s="33" t="str">
        <f>IF(Расчёты!$E139=1,Расчёты!$BG139,"")</f>
        <v/>
      </c>
      <c r="AM161" s="17" t="str">
        <f t="shared" si="28"/>
        <v/>
      </c>
      <c r="AN161" s="35" t="str">
        <f t="shared" si="29"/>
        <v/>
      </c>
      <c r="AP161" s="17" t="str">
        <f t="shared" si="30"/>
        <v/>
      </c>
      <c r="AQ161" s="35" t="str">
        <f t="shared" si="31"/>
        <v/>
      </c>
      <c r="AV161" s="17" t="str">
        <f t="shared" si="32"/>
        <v/>
      </c>
      <c r="AW161" s="35" t="str">
        <f t="shared" si="33"/>
        <v/>
      </c>
      <c r="AX161" s="35" t="str">
        <f t="shared" si="34"/>
        <v/>
      </c>
    </row>
    <row r="162" spans="1:50" x14ac:dyDescent="0.2">
      <c r="A162" s="18" t="str">
        <f>IF(Расчёты!$E140=1,Расчёты!$B140,"")</f>
        <v/>
      </c>
      <c r="B162" s="34" t="str">
        <f>IF(Расчёты!$E140=1,Расчёты!$D140,"")</f>
        <v/>
      </c>
      <c r="C162" s="33" t="str">
        <f>IF(Расчёты!$E140=1,Расчёты!$Z140,"")</f>
        <v/>
      </c>
      <c r="D162" s="33" t="str">
        <f>IF(Расчёты!$E140=1,Расчёты!$AA140,"")</f>
        <v/>
      </c>
      <c r="E162" s="33" t="str">
        <f>IF(Расчёты!$E140=1,Расчёты!$AB140,"")</f>
        <v/>
      </c>
      <c r="F162" s="33" t="str">
        <f>IF(Расчёты!$E140=1,Расчёты!$AC140,"")</f>
        <v/>
      </c>
      <c r="G162" s="33" t="str">
        <f>IF(Расчёты!$E140=1,Расчёты!$AD140,"")</f>
        <v/>
      </c>
      <c r="H162" s="33" t="str">
        <f>IF(Расчёты!$E140=1,Расчёты!$AI140,"")</f>
        <v/>
      </c>
      <c r="I162" s="33" t="str">
        <f>IF(Расчёты!$E140=1,Расчёты!$AG140,"")</f>
        <v/>
      </c>
      <c r="J162" s="33" t="str">
        <f>IF(Расчёты!$E140=1,Расчёты!$AJ140,"")</f>
        <v/>
      </c>
      <c r="K162" s="33" t="str">
        <f>IF(Расчёты!$E140=1,Расчёты!$AK140,"")</f>
        <v/>
      </c>
      <c r="L162" s="33" t="str">
        <f>IF(Расчёты!$E140=1,Расчёты!$I140,"")</f>
        <v/>
      </c>
      <c r="M162" s="33" t="str">
        <f>IF(Расчёты!$E140=1,Расчёты!$J140,"")</f>
        <v/>
      </c>
      <c r="N162" s="33" t="str">
        <f>IF(Расчёты!$E140=1,Расчёты!$K140,"")</f>
        <v/>
      </c>
      <c r="O162" s="33" t="str">
        <f>IF(Расчёты!$E140=1,Расчёты!$L140,"")</f>
        <v/>
      </c>
      <c r="P162" s="33" t="str">
        <f>IF(Расчёты!$E140=1,Расчёты!$M140,"")</f>
        <v/>
      </c>
      <c r="Q162" s="33" t="str">
        <f>IF(Расчёты!$E140=1,Расчёты!$N140,"")</f>
        <v/>
      </c>
      <c r="R162" s="33" t="str">
        <f>IF(Расчёты!$E140=1,Расчёты!$O140,"")</f>
        <v/>
      </c>
      <c r="S162" s="33" t="str">
        <f>IF(Расчёты!$E140=1,Расчёты!$Q140,"")</f>
        <v/>
      </c>
      <c r="T162" s="33" t="str">
        <f>IF(Расчёты!$E140=1,Расчёты!$S140,"")</f>
        <v/>
      </c>
      <c r="U162" s="33" t="str">
        <f>IF(Расчёты!$E140=1,Расчёты!$U140,"")</f>
        <v/>
      </c>
      <c r="V162" s="33" t="str">
        <f>IF(Расчёты!$E140=1,Расчёты!$W140,"")</f>
        <v/>
      </c>
      <c r="W162" s="33" t="str">
        <f>IF(Расчёты!$E140=1,Расчёты!$X140,"")</f>
        <v/>
      </c>
      <c r="X162" s="33" t="str">
        <f>IF(Расчёты!$E140=1,Расчёты!$Y140,"")</f>
        <v/>
      </c>
      <c r="Y162" s="33" t="str">
        <f>IF(Расчёты!$E140=1,Расчёты!$AL140,"")</f>
        <v/>
      </c>
      <c r="Z162" s="33" t="str">
        <f>IF(Расчёты!$E140=1,Расчёты!$AP140,"")</f>
        <v/>
      </c>
      <c r="AA162" s="33" t="str">
        <f>IF(Расчёты!$E140=1,Расчёты!$AS140,"")</f>
        <v/>
      </c>
      <c r="AB162" s="33" t="str">
        <f>IF(Расчёты!$E140=1,Расчёты!$AV140,"")</f>
        <v/>
      </c>
      <c r="AC162" s="33" t="str">
        <f>IF(Расчёты!$E140=1,Расчёты!$AW140,"")</f>
        <v/>
      </c>
      <c r="AD162" s="33" t="str">
        <f>IF(Расчёты!$E140=1,Расчёты!$AX140,"")</f>
        <v/>
      </c>
      <c r="AE162" s="33" t="str">
        <f>IF(Расчёты!$E140=1,Расчёты!$AY140,"")</f>
        <v/>
      </c>
      <c r="AF162" s="33" t="str">
        <f>IF(Расчёты!$E140=1,Расчёты!$BA140,"")</f>
        <v/>
      </c>
      <c r="AG162" s="33" t="str">
        <f>IF(Расчёты!$E140=1,Расчёты!$BB140,"")</f>
        <v/>
      </c>
      <c r="AH162" s="33" t="str">
        <f>IF(Расчёты!$E140=1,Расчёты!$BC140,"")</f>
        <v/>
      </c>
      <c r="AI162" s="33" t="str">
        <f>IF(Расчёты!$E140=1,Расчёты!$AU140,"")</f>
        <v/>
      </c>
      <c r="AJ162" s="33" t="str">
        <f>IF(Расчёты!$E140=1,Расчёты!$BF140,"")</f>
        <v/>
      </c>
      <c r="AK162" s="33" t="str">
        <f>IF(Расчёты!$E140=1,Расчёты!$BG140,"")</f>
        <v/>
      </c>
      <c r="AM162" s="17" t="str">
        <f t="shared" si="28"/>
        <v/>
      </c>
      <c r="AN162" s="35" t="str">
        <f t="shared" si="29"/>
        <v/>
      </c>
      <c r="AP162" s="17" t="str">
        <f t="shared" si="30"/>
        <v/>
      </c>
      <c r="AQ162" s="35" t="str">
        <f t="shared" si="31"/>
        <v/>
      </c>
      <c r="AV162" s="17" t="str">
        <f t="shared" si="32"/>
        <v/>
      </c>
      <c r="AW162" s="35" t="str">
        <f t="shared" si="33"/>
        <v/>
      </c>
      <c r="AX162" s="35" t="str">
        <f t="shared" si="34"/>
        <v/>
      </c>
    </row>
    <row r="163" spans="1:50" x14ac:dyDescent="0.2">
      <c r="A163" s="18" t="str">
        <f>IF(Расчёты!$E141=1,Расчёты!$B141,"")</f>
        <v/>
      </c>
      <c r="B163" s="34" t="str">
        <f>IF(Расчёты!$E141=1,Расчёты!$D141,"")</f>
        <v/>
      </c>
      <c r="C163" s="33" t="str">
        <f>IF(Расчёты!$E141=1,Расчёты!$Z141,"")</f>
        <v/>
      </c>
      <c r="D163" s="33" t="str">
        <f>IF(Расчёты!$E141=1,Расчёты!$AA141,"")</f>
        <v/>
      </c>
      <c r="E163" s="33" t="str">
        <f>IF(Расчёты!$E141=1,Расчёты!$AB141,"")</f>
        <v/>
      </c>
      <c r="F163" s="33" t="str">
        <f>IF(Расчёты!$E141=1,Расчёты!$AC141,"")</f>
        <v/>
      </c>
      <c r="G163" s="33" t="str">
        <f>IF(Расчёты!$E141=1,Расчёты!$AD141,"")</f>
        <v/>
      </c>
      <c r="H163" s="33" t="str">
        <f>IF(Расчёты!$E141=1,Расчёты!$AI141,"")</f>
        <v/>
      </c>
      <c r="I163" s="33" t="str">
        <f>IF(Расчёты!$E141=1,Расчёты!$AG141,"")</f>
        <v/>
      </c>
      <c r="J163" s="33" t="str">
        <f>IF(Расчёты!$E141=1,Расчёты!$AJ141,"")</f>
        <v/>
      </c>
      <c r="K163" s="33" t="str">
        <f>IF(Расчёты!$E141=1,Расчёты!$AK141,"")</f>
        <v/>
      </c>
      <c r="L163" s="33" t="str">
        <f>IF(Расчёты!$E141=1,Расчёты!$I141,"")</f>
        <v/>
      </c>
      <c r="M163" s="33" t="str">
        <f>IF(Расчёты!$E141=1,Расчёты!$J141,"")</f>
        <v/>
      </c>
      <c r="N163" s="33" t="str">
        <f>IF(Расчёты!$E141=1,Расчёты!$K141,"")</f>
        <v/>
      </c>
      <c r="O163" s="33" t="str">
        <f>IF(Расчёты!$E141=1,Расчёты!$L141,"")</f>
        <v/>
      </c>
      <c r="P163" s="33" t="str">
        <f>IF(Расчёты!$E141=1,Расчёты!$M141,"")</f>
        <v/>
      </c>
      <c r="Q163" s="33" t="str">
        <f>IF(Расчёты!$E141=1,Расчёты!$N141,"")</f>
        <v/>
      </c>
      <c r="R163" s="33" t="str">
        <f>IF(Расчёты!$E141=1,Расчёты!$O141,"")</f>
        <v/>
      </c>
      <c r="S163" s="33" t="str">
        <f>IF(Расчёты!$E141=1,Расчёты!$Q141,"")</f>
        <v/>
      </c>
      <c r="T163" s="33" t="str">
        <f>IF(Расчёты!$E141=1,Расчёты!$S141,"")</f>
        <v/>
      </c>
      <c r="U163" s="33" t="str">
        <f>IF(Расчёты!$E141=1,Расчёты!$U141,"")</f>
        <v/>
      </c>
      <c r="V163" s="33" t="str">
        <f>IF(Расчёты!$E141=1,Расчёты!$W141,"")</f>
        <v/>
      </c>
      <c r="W163" s="33" t="str">
        <f>IF(Расчёты!$E141=1,Расчёты!$X141,"")</f>
        <v/>
      </c>
      <c r="X163" s="33" t="str">
        <f>IF(Расчёты!$E141=1,Расчёты!$Y141,"")</f>
        <v/>
      </c>
      <c r="Y163" s="33" t="str">
        <f>IF(Расчёты!$E141=1,Расчёты!$AL141,"")</f>
        <v/>
      </c>
      <c r="Z163" s="33" t="str">
        <f>IF(Расчёты!$E141=1,Расчёты!$AP141,"")</f>
        <v/>
      </c>
      <c r="AA163" s="33" t="str">
        <f>IF(Расчёты!$E141=1,Расчёты!$AS141,"")</f>
        <v/>
      </c>
      <c r="AB163" s="33" t="str">
        <f>IF(Расчёты!$E141=1,Расчёты!$AV141,"")</f>
        <v/>
      </c>
      <c r="AC163" s="33" t="str">
        <f>IF(Расчёты!$E141=1,Расчёты!$AW141,"")</f>
        <v/>
      </c>
      <c r="AD163" s="33" t="str">
        <f>IF(Расчёты!$E141=1,Расчёты!$AX141,"")</f>
        <v/>
      </c>
      <c r="AE163" s="33" t="str">
        <f>IF(Расчёты!$E141=1,Расчёты!$AY141,"")</f>
        <v/>
      </c>
      <c r="AF163" s="33" t="str">
        <f>IF(Расчёты!$E141=1,Расчёты!$BA141,"")</f>
        <v/>
      </c>
      <c r="AG163" s="33" t="str">
        <f>IF(Расчёты!$E141=1,Расчёты!$BB141,"")</f>
        <v/>
      </c>
      <c r="AH163" s="33" t="str">
        <f>IF(Расчёты!$E141=1,Расчёты!$BC141,"")</f>
        <v/>
      </c>
      <c r="AI163" s="33" t="str">
        <f>IF(Расчёты!$E141=1,Расчёты!$AU141,"")</f>
        <v/>
      </c>
      <c r="AJ163" s="33" t="str">
        <f>IF(Расчёты!$E141=1,Расчёты!$BF141,"")</f>
        <v/>
      </c>
      <c r="AK163" s="33" t="str">
        <f>IF(Расчёты!$E141=1,Расчёты!$BG141,"")</f>
        <v/>
      </c>
      <c r="AM163" s="17" t="str">
        <f t="shared" si="28"/>
        <v/>
      </c>
      <c r="AN163" s="35" t="str">
        <f t="shared" si="29"/>
        <v/>
      </c>
      <c r="AP163" s="17" t="str">
        <f t="shared" si="30"/>
        <v/>
      </c>
      <c r="AQ163" s="35" t="str">
        <f t="shared" si="31"/>
        <v/>
      </c>
      <c r="AV163" s="17" t="str">
        <f t="shared" si="32"/>
        <v/>
      </c>
      <c r="AW163" s="35" t="str">
        <f t="shared" si="33"/>
        <v/>
      </c>
      <c r="AX163" s="35" t="str">
        <f t="shared" si="34"/>
        <v/>
      </c>
    </row>
    <row r="164" spans="1:50" x14ac:dyDescent="0.2">
      <c r="A164" s="18" t="str">
        <f>IF(Расчёты!$E142=1,Расчёты!$B142,"")</f>
        <v/>
      </c>
      <c r="B164" s="34" t="str">
        <f>IF(Расчёты!$E142=1,Расчёты!$D142,"")</f>
        <v/>
      </c>
      <c r="C164" s="33" t="str">
        <f>IF(Расчёты!$E142=1,Расчёты!$Z142,"")</f>
        <v/>
      </c>
      <c r="D164" s="33" t="str">
        <f>IF(Расчёты!$E142=1,Расчёты!$AA142,"")</f>
        <v/>
      </c>
      <c r="E164" s="33" t="str">
        <f>IF(Расчёты!$E142=1,Расчёты!$AB142,"")</f>
        <v/>
      </c>
      <c r="F164" s="33" t="str">
        <f>IF(Расчёты!$E142=1,Расчёты!$AC142,"")</f>
        <v/>
      </c>
      <c r="G164" s="33" t="str">
        <f>IF(Расчёты!$E142=1,Расчёты!$AD142,"")</f>
        <v/>
      </c>
      <c r="H164" s="33" t="str">
        <f>IF(Расчёты!$E142=1,Расчёты!$AI142,"")</f>
        <v/>
      </c>
      <c r="I164" s="33" t="str">
        <f>IF(Расчёты!$E142=1,Расчёты!$AG142,"")</f>
        <v/>
      </c>
      <c r="J164" s="33" t="str">
        <f>IF(Расчёты!$E142=1,Расчёты!$AJ142,"")</f>
        <v/>
      </c>
      <c r="K164" s="33" t="str">
        <f>IF(Расчёты!$E142=1,Расчёты!$AK142,"")</f>
        <v/>
      </c>
      <c r="L164" s="33" t="str">
        <f>IF(Расчёты!$E142=1,Расчёты!$I142,"")</f>
        <v/>
      </c>
      <c r="M164" s="33" t="str">
        <f>IF(Расчёты!$E142=1,Расчёты!$J142,"")</f>
        <v/>
      </c>
      <c r="N164" s="33" t="str">
        <f>IF(Расчёты!$E142=1,Расчёты!$K142,"")</f>
        <v/>
      </c>
      <c r="O164" s="33" t="str">
        <f>IF(Расчёты!$E142=1,Расчёты!$L142,"")</f>
        <v/>
      </c>
      <c r="P164" s="33" t="str">
        <f>IF(Расчёты!$E142=1,Расчёты!$M142,"")</f>
        <v/>
      </c>
      <c r="Q164" s="33" t="str">
        <f>IF(Расчёты!$E142=1,Расчёты!$N142,"")</f>
        <v/>
      </c>
      <c r="R164" s="33" t="str">
        <f>IF(Расчёты!$E142=1,Расчёты!$O142,"")</f>
        <v/>
      </c>
      <c r="S164" s="33" t="str">
        <f>IF(Расчёты!$E142=1,Расчёты!$Q142,"")</f>
        <v/>
      </c>
      <c r="T164" s="33" t="str">
        <f>IF(Расчёты!$E142=1,Расчёты!$S142,"")</f>
        <v/>
      </c>
      <c r="U164" s="33" t="str">
        <f>IF(Расчёты!$E142=1,Расчёты!$U142,"")</f>
        <v/>
      </c>
      <c r="V164" s="33" t="str">
        <f>IF(Расчёты!$E142=1,Расчёты!$W142,"")</f>
        <v/>
      </c>
      <c r="W164" s="33" t="str">
        <f>IF(Расчёты!$E142=1,Расчёты!$X142,"")</f>
        <v/>
      </c>
      <c r="X164" s="33" t="str">
        <f>IF(Расчёты!$E142=1,Расчёты!$Y142,"")</f>
        <v/>
      </c>
      <c r="Y164" s="33" t="str">
        <f>IF(Расчёты!$E142=1,Расчёты!$AL142,"")</f>
        <v/>
      </c>
      <c r="Z164" s="33" t="str">
        <f>IF(Расчёты!$E142=1,Расчёты!$AP142,"")</f>
        <v/>
      </c>
      <c r="AA164" s="33" t="str">
        <f>IF(Расчёты!$E142=1,Расчёты!$AS142,"")</f>
        <v/>
      </c>
      <c r="AB164" s="33" t="str">
        <f>IF(Расчёты!$E142=1,Расчёты!$AV142,"")</f>
        <v/>
      </c>
      <c r="AC164" s="33" t="str">
        <f>IF(Расчёты!$E142=1,Расчёты!$AW142,"")</f>
        <v/>
      </c>
      <c r="AD164" s="33" t="str">
        <f>IF(Расчёты!$E142=1,Расчёты!$AX142,"")</f>
        <v/>
      </c>
      <c r="AE164" s="33" t="str">
        <f>IF(Расчёты!$E142=1,Расчёты!$AY142,"")</f>
        <v/>
      </c>
      <c r="AF164" s="33" t="str">
        <f>IF(Расчёты!$E142=1,Расчёты!$BA142,"")</f>
        <v/>
      </c>
      <c r="AG164" s="33" t="str">
        <f>IF(Расчёты!$E142=1,Расчёты!$BB142,"")</f>
        <v/>
      </c>
      <c r="AH164" s="33" t="str">
        <f>IF(Расчёты!$E142=1,Расчёты!$BC142,"")</f>
        <v/>
      </c>
      <c r="AI164" s="33" t="str">
        <f>IF(Расчёты!$E142=1,Расчёты!$AU142,"")</f>
        <v/>
      </c>
      <c r="AJ164" s="33" t="str">
        <f>IF(Расчёты!$E142=1,Расчёты!$BF142,"")</f>
        <v/>
      </c>
      <c r="AK164" s="33" t="str">
        <f>IF(Расчёты!$E142=1,Расчёты!$BG142,"")</f>
        <v/>
      </c>
      <c r="AM164" s="17" t="str">
        <f t="shared" si="28"/>
        <v/>
      </c>
      <c r="AN164" s="35" t="str">
        <f t="shared" si="29"/>
        <v/>
      </c>
      <c r="AP164" s="17" t="str">
        <f t="shared" si="30"/>
        <v/>
      </c>
      <c r="AQ164" s="35" t="str">
        <f t="shared" si="31"/>
        <v/>
      </c>
      <c r="AV164" s="17" t="str">
        <f t="shared" si="32"/>
        <v/>
      </c>
      <c r="AW164" s="35" t="str">
        <f t="shared" si="33"/>
        <v/>
      </c>
      <c r="AX164" s="35" t="str">
        <f t="shared" si="34"/>
        <v/>
      </c>
    </row>
    <row r="165" spans="1:50" x14ac:dyDescent="0.2">
      <c r="A165" s="18" t="str">
        <f>IF(Расчёты!$E143=1,Расчёты!$B143,"")</f>
        <v/>
      </c>
      <c r="B165" s="34" t="str">
        <f>IF(Расчёты!$E143=1,Расчёты!$D143,"")</f>
        <v/>
      </c>
      <c r="C165" s="33" t="str">
        <f>IF(Расчёты!$E143=1,Расчёты!$Z143,"")</f>
        <v/>
      </c>
      <c r="D165" s="33" t="str">
        <f>IF(Расчёты!$E143=1,Расчёты!$AA143,"")</f>
        <v/>
      </c>
      <c r="E165" s="33" t="str">
        <f>IF(Расчёты!$E143=1,Расчёты!$AB143,"")</f>
        <v/>
      </c>
      <c r="F165" s="33" t="str">
        <f>IF(Расчёты!$E143=1,Расчёты!$AC143,"")</f>
        <v/>
      </c>
      <c r="G165" s="33" t="str">
        <f>IF(Расчёты!$E143=1,Расчёты!$AD143,"")</f>
        <v/>
      </c>
      <c r="H165" s="33" t="str">
        <f>IF(Расчёты!$E143=1,Расчёты!$AI143,"")</f>
        <v/>
      </c>
      <c r="I165" s="33" t="str">
        <f>IF(Расчёты!$E143=1,Расчёты!$AG143,"")</f>
        <v/>
      </c>
      <c r="J165" s="33" t="str">
        <f>IF(Расчёты!$E143=1,Расчёты!$AJ143,"")</f>
        <v/>
      </c>
      <c r="K165" s="33" t="str">
        <f>IF(Расчёты!$E143=1,Расчёты!$AK143,"")</f>
        <v/>
      </c>
      <c r="L165" s="33" t="str">
        <f>IF(Расчёты!$E143=1,Расчёты!$I143,"")</f>
        <v/>
      </c>
      <c r="M165" s="33" t="str">
        <f>IF(Расчёты!$E143=1,Расчёты!$J143,"")</f>
        <v/>
      </c>
      <c r="N165" s="33" t="str">
        <f>IF(Расчёты!$E143=1,Расчёты!$K143,"")</f>
        <v/>
      </c>
      <c r="O165" s="33" t="str">
        <f>IF(Расчёты!$E143=1,Расчёты!$L143,"")</f>
        <v/>
      </c>
      <c r="P165" s="33" t="str">
        <f>IF(Расчёты!$E143=1,Расчёты!$M143,"")</f>
        <v/>
      </c>
      <c r="Q165" s="33" t="str">
        <f>IF(Расчёты!$E143=1,Расчёты!$N143,"")</f>
        <v/>
      </c>
      <c r="R165" s="33" t="str">
        <f>IF(Расчёты!$E143=1,Расчёты!$O143,"")</f>
        <v/>
      </c>
      <c r="S165" s="33" t="str">
        <f>IF(Расчёты!$E143=1,Расчёты!$Q143,"")</f>
        <v/>
      </c>
      <c r="T165" s="33" t="str">
        <f>IF(Расчёты!$E143=1,Расчёты!$S143,"")</f>
        <v/>
      </c>
      <c r="U165" s="33" t="str">
        <f>IF(Расчёты!$E143=1,Расчёты!$U143,"")</f>
        <v/>
      </c>
      <c r="V165" s="33" t="str">
        <f>IF(Расчёты!$E143=1,Расчёты!$W143,"")</f>
        <v/>
      </c>
      <c r="W165" s="33" t="str">
        <f>IF(Расчёты!$E143=1,Расчёты!$X143,"")</f>
        <v/>
      </c>
      <c r="X165" s="33" t="str">
        <f>IF(Расчёты!$E143=1,Расчёты!$Y143,"")</f>
        <v/>
      </c>
      <c r="Y165" s="33" t="str">
        <f>IF(Расчёты!$E143=1,Расчёты!$AL143,"")</f>
        <v/>
      </c>
      <c r="Z165" s="33" t="str">
        <f>IF(Расчёты!$E143=1,Расчёты!$AP143,"")</f>
        <v/>
      </c>
      <c r="AA165" s="33" t="str">
        <f>IF(Расчёты!$E143=1,Расчёты!$AS143,"")</f>
        <v/>
      </c>
      <c r="AB165" s="33" t="str">
        <f>IF(Расчёты!$E143=1,Расчёты!$AV143,"")</f>
        <v/>
      </c>
      <c r="AC165" s="33" t="str">
        <f>IF(Расчёты!$E143=1,Расчёты!$AW143,"")</f>
        <v/>
      </c>
      <c r="AD165" s="33" t="str">
        <f>IF(Расчёты!$E143=1,Расчёты!$AX143,"")</f>
        <v/>
      </c>
      <c r="AE165" s="33" t="str">
        <f>IF(Расчёты!$E143=1,Расчёты!$AY143,"")</f>
        <v/>
      </c>
      <c r="AF165" s="33" t="str">
        <f>IF(Расчёты!$E143=1,Расчёты!$BA143,"")</f>
        <v/>
      </c>
      <c r="AG165" s="33" t="str">
        <f>IF(Расчёты!$E143=1,Расчёты!$BB143,"")</f>
        <v/>
      </c>
      <c r="AH165" s="33" t="str">
        <f>IF(Расчёты!$E143=1,Расчёты!$BC143,"")</f>
        <v/>
      </c>
      <c r="AI165" s="33" t="str">
        <f>IF(Расчёты!$E143=1,Расчёты!$AU143,"")</f>
        <v/>
      </c>
      <c r="AJ165" s="33" t="str">
        <f>IF(Расчёты!$E143=1,Расчёты!$BF143,"")</f>
        <v/>
      </c>
      <c r="AK165" s="33" t="str">
        <f>IF(Расчёты!$E143=1,Расчёты!$BG143,"")</f>
        <v/>
      </c>
      <c r="AM165" s="17" t="str">
        <f t="shared" si="28"/>
        <v/>
      </c>
      <c r="AN165" s="35" t="str">
        <f t="shared" si="29"/>
        <v/>
      </c>
      <c r="AP165" s="17" t="str">
        <f t="shared" si="30"/>
        <v/>
      </c>
      <c r="AQ165" s="35" t="str">
        <f t="shared" si="31"/>
        <v/>
      </c>
      <c r="AV165" s="17" t="str">
        <f t="shared" si="32"/>
        <v/>
      </c>
      <c r="AW165" s="35" t="str">
        <f t="shared" si="33"/>
        <v/>
      </c>
      <c r="AX165" s="35" t="str">
        <f t="shared" si="34"/>
        <v/>
      </c>
    </row>
    <row r="166" spans="1:50" x14ac:dyDescent="0.2">
      <c r="A166" s="18" t="str">
        <f>IF(Расчёты!$E144=1,Расчёты!$B144,"")</f>
        <v/>
      </c>
      <c r="B166" s="34" t="str">
        <f>IF(Расчёты!$E144=1,Расчёты!$D144,"")</f>
        <v/>
      </c>
      <c r="C166" s="33" t="str">
        <f>IF(Расчёты!$E144=1,Расчёты!$Z144,"")</f>
        <v/>
      </c>
      <c r="D166" s="33" t="str">
        <f>IF(Расчёты!$E144=1,Расчёты!$AA144,"")</f>
        <v/>
      </c>
      <c r="E166" s="33" t="str">
        <f>IF(Расчёты!$E144=1,Расчёты!$AB144,"")</f>
        <v/>
      </c>
      <c r="F166" s="33" t="str">
        <f>IF(Расчёты!$E144=1,Расчёты!$AC144,"")</f>
        <v/>
      </c>
      <c r="G166" s="33" t="str">
        <f>IF(Расчёты!$E144=1,Расчёты!$AD144,"")</f>
        <v/>
      </c>
      <c r="H166" s="33" t="str">
        <f>IF(Расчёты!$E144=1,Расчёты!$AI144,"")</f>
        <v/>
      </c>
      <c r="I166" s="33" t="str">
        <f>IF(Расчёты!$E144=1,Расчёты!$AG144,"")</f>
        <v/>
      </c>
      <c r="J166" s="33" t="str">
        <f>IF(Расчёты!$E144=1,Расчёты!$AJ144,"")</f>
        <v/>
      </c>
      <c r="K166" s="33" t="str">
        <f>IF(Расчёты!$E144=1,Расчёты!$AK144,"")</f>
        <v/>
      </c>
      <c r="L166" s="33" t="str">
        <f>IF(Расчёты!$E144=1,Расчёты!$I144,"")</f>
        <v/>
      </c>
      <c r="M166" s="33" t="str">
        <f>IF(Расчёты!$E144=1,Расчёты!$J144,"")</f>
        <v/>
      </c>
      <c r="N166" s="33" t="str">
        <f>IF(Расчёты!$E144=1,Расчёты!$K144,"")</f>
        <v/>
      </c>
      <c r="O166" s="33" t="str">
        <f>IF(Расчёты!$E144=1,Расчёты!$L144,"")</f>
        <v/>
      </c>
      <c r="P166" s="33" t="str">
        <f>IF(Расчёты!$E144=1,Расчёты!$M144,"")</f>
        <v/>
      </c>
      <c r="Q166" s="33" t="str">
        <f>IF(Расчёты!$E144=1,Расчёты!$N144,"")</f>
        <v/>
      </c>
      <c r="R166" s="33" t="str">
        <f>IF(Расчёты!$E144=1,Расчёты!$O144,"")</f>
        <v/>
      </c>
      <c r="S166" s="33" t="str">
        <f>IF(Расчёты!$E144=1,Расчёты!$Q144,"")</f>
        <v/>
      </c>
      <c r="T166" s="33" t="str">
        <f>IF(Расчёты!$E144=1,Расчёты!$S144,"")</f>
        <v/>
      </c>
      <c r="U166" s="33" t="str">
        <f>IF(Расчёты!$E144=1,Расчёты!$U144,"")</f>
        <v/>
      </c>
      <c r="V166" s="33" t="str">
        <f>IF(Расчёты!$E144=1,Расчёты!$W144,"")</f>
        <v/>
      </c>
      <c r="W166" s="33" t="str">
        <f>IF(Расчёты!$E144=1,Расчёты!$X144,"")</f>
        <v/>
      </c>
      <c r="X166" s="33" t="str">
        <f>IF(Расчёты!$E144=1,Расчёты!$Y144,"")</f>
        <v/>
      </c>
      <c r="Y166" s="33" t="str">
        <f>IF(Расчёты!$E144=1,Расчёты!$AL144,"")</f>
        <v/>
      </c>
      <c r="Z166" s="33" t="str">
        <f>IF(Расчёты!$E144=1,Расчёты!$AP144,"")</f>
        <v/>
      </c>
      <c r="AA166" s="33" t="str">
        <f>IF(Расчёты!$E144=1,Расчёты!$AS144,"")</f>
        <v/>
      </c>
      <c r="AB166" s="33" t="str">
        <f>IF(Расчёты!$E144=1,Расчёты!$AV144,"")</f>
        <v/>
      </c>
      <c r="AC166" s="33" t="str">
        <f>IF(Расчёты!$E144=1,Расчёты!$AW144,"")</f>
        <v/>
      </c>
      <c r="AD166" s="33" t="str">
        <f>IF(Расчёты!$E144=1,Расчёты!$AX144,"")</f>
        <v/>
      </c>
      <c r="AE166" s="33" t="str">
        <f>IF(Расчёты!$E144=1,Расчёты!$AY144,"")</f>
        <v/>
      </c>
      <c r="AF166" s="33" t="str">
        <f>IF(Расчёты!$E144=1,Расчёты!$BA144,"")</f>
        <v/>
      </c>
      <c r="AG166" s="33" t="str">
        <f>IF(Расчёты!$E144=1,Расчёты!$BB144,"")</f>
        <v/>
      </c>
      <c r="AH166" s="33" t="str">
        <f>IF(Расчёты!$E144=1,Расчёты!$BC144,"")</f>
        <v/>
      </c>
      <c r="AI166" s="33" t="str">
        <f>IF(Расчёты!$E144=1,Расчёты!$AU144,"")</f>
        <v/>
      </c>
      <c r="AJ166" s="33" t="str">
        <f>IF(Расчёты!$E144=1,Расчёты!$BF144,"")</f>
        <v/>
      </c>
      <c r="AK166" s="33" t="str">
        <f>IF(Расчёты!$E144=1,Расчёты!$BG144,"")</f>
        <v/>
      </c>
      <c r="AM166" s="17" t="str">
        <f t="shared" si="28"/>
        <v/>
      </c>
      <c r="AN166" s="35" t="str">
        <f t="shared" si="29"/>
        <v/>
      </c>
      <c r="AP166" s="17" t="str">
        <f t="shared" si="30"/>
        <v/>
      </c>
      <c r="AQ166" s="35" t="str">
        <f t="shared" si="31"/>
        <v/>
      </c>
      <c r="AV166" s="17" t="str">
        <f t="shared" si="32"/>
        <v/>
      </c>
      <c r="AW166" s="35" t="str">
        <f t="shared" si="33"/>
        <v/>
      </c>
      <c r="AX166" s="35" t="str">
        <f t="shared" si="34"/>
        <v/>
      </c>
    </row>
    <row r="167" spans="1:50" x14ac:dyDescent="0.2">
      <c r="A167" s="18" t="str">
        <f>IF(Расчёты!$E145=1,Расчёты!$B145,"")</f>
        <v/>
      </c>
      <c r="B167" s="34" t="str">
        <f>IF(Расчёты!$E145=1,Расчёты!$D145,"")</f>
        <v/>
      </c>
      <c r="C167" s="33" t="str">
        <f>IF(Расчёты!$E145=1,Расчёты!$Z145,"")</f>
        <v/>
      </c>
      <c r="D167" s="33" t="str">
        <f>IF(Расчёты!$E145=1,Расчёты!$AA145,"")</f>
        <v/>
      </c>
      <c r="E167" s="33" t="str">
        <f>IF(Расчёты!$E145=1,Расчёты!$AB145,"")</f>
        <v/>
      </c>
      <c r="F167" s="33" t="str">
        <f>IF(Расчёты!$E145=1,Расчёты!$AC145,"")</f>
        <v/>
      </c>
      <c r="G167" s="33" t="str">
        <f>IF(Расчёты!$E145=1,Расчёты!$AD145,"")</f>
        <v/>
      </c>
      <c r="H167" s="33" t="str">
        <f>IF(Расчёты!$E145=1,Расчёты!$AI145,"")</f>
        <v/>
      </c>
      <c r="I167" s="33" t="str">
        <f>IF(Расчёты!$E145=1,Расчёты!$AG145,"")</f>
        <v/>
      </c>
      <c r="J167" s="33" t="str">
        <f>IF(Расчёты!$E145=1,Расчёты!$AJ145,"")</f>
        <v/>
      </c>
      <c r="K167" s="33" t="str">
        <f>IF(Расчёты!$E145=1,Расчёты!$AK145,"")</f>
        <v/>
      </c>
      <c r="L167" s="33" t="str">
        <f>IF(Расчёты!$E145=1,Расчёты!$I145,"")</f>
        <v/>
      </c>
      <c r="M167" s="33" t="str">
        <f>IF(Расчёты!$E145=1,Расчёты!$J145,"")</f>
        <v/>
      </c>
      <c r="N167" s="33" t="str">
        <f>IF(Расчёты!$E145=1,Расчёты!$K145,"")</f>
        <v/>
      </c>
      <c r="O167" s="33" t="str">
        <f>IF(Расчёты!$E145=1,Расчёты!$L145,"")</f>
        <v/>
      </c>
      <c r="P167" s="33" t="str">
        <f>IF(Расчёты!$E145=1,Расчёты!$M145,"")</f>
        <v/>
      </c>
      <c r="Q167" s="33" t="str">
        <f>IF(Расчёты!$E145=1,Расчёты!$N145,"")</f>
        <v/>
      </c>
      <c r="R167" s="33" t="str">
        <f>IF(Расчёты!$E145=1,Расчёты!$O145,"")</f>
        <v/>
      </c>
      <c r="S167" s="33" t="str">
        <f>IF(Расчёты!$E145=1,Расчёты!$Q145,"")</f>
        <v/>
      </c>
      <c r="T167" s="33" t="str">
        <f>IF(Расчёты!$E145=1,Расчёты!$S145,"")</f>
        <v/>
      </c>
      <c r="U167" s="33" t="str">
        <f>IF(Расчёты!$E145=1,Расчёты!$U145,"")</f>
        <v/>
      </c>
      <c r="V167" s="33" t="str">
        <f>IF(Расчёты!$E145=1,Расчёты!$W145,"")</f>
        <v/>
      </c>
      <c r="W167" s="33" t="str">
        <f>IF(Расчёты!$E145=1,Расчёты!$X145,"")</f>
        <v/>
      </c>
      <c r="X167" s="33" t="str">
        <f>IF(Расчёты!$E145=1,Расчёты!$Y145,"")</f>
        <v/>
      </c>
      <c r="Y167" s="33" t="str">
        <f>IF(Расчёты!$E145=1,Расчёты!$AL145,"")</f>
        <v/>
      </c>
      <c r="Z167" s="33" t="str">
        <f>IF(Расчёты!$E145=1,Расчёты!$AP145,"")</f>
        <v/>
      </c>
      <c r="AA167" s="33" t="str">
        <f>IF(Расчёты!$E145=1,Расчёты!$AS145,"")</f>
        <v/>
      </c>
      <c r="AB167" s="33" t="str">
        <f>IF(Расчёты!$E145=1,Расчёты!$AV145,"")</f>
        <v/>
      </c>
      <c r="AC167" s="33" t="str">
        <f>IF(Расчёты!$E145=1,Расчёты!$AW145,"")</f>
        <v/>
      </c>
      <c r="AD167" s="33" t="str">
        <f>IF(Расчёты!$E145=1,Расчёты!$AX145,"")</f>
        <v/>
      </c>
      <c r="AE167" s="33" t="str">
        <f>IF(Расчёты!$E145=1,Расчёты!$AY145,"")</f>
        <v/>
      </c>
      <c r="AF167" s="33" t="str">
        <f>IF(Расчёты!$E145=1,Расчёты!$BA145,"")</f>
        <v/>
      </c>
      <c r="AG167" s="33" t="str">
        <f>IF(Расчёты!$E145=1,Расчёты!$BB145,"")</f>
        <v/>
      </c>
      <c r="AH167" s="33" t="str">
        <f>IF(Расчёты!$E145=1,Расчёты!$BC145,"")</f>
        <v/>
      </c>
      <c r="AI167" s="33" t="str">
        <f>IF(Расчёты!$E145=1,Расчёты!$AU145,"")</f>
        <v/>
      </c>
      <c r="AJ167" s="33" t="str">
        <f>IF(Расчёты!$E145=1,Расчёты!$BF145,"")</f>
        <v/>
      </c>
      <c r="AK167" s="33" t="str">
        <f>IF(Расчёты!$E145=1,Расчёты!$BG145,"")</f>
        <v/>
      </c>
      <c r="AM167" s="17" t="str">
        <f t="shared" si="28"/>
        <v/>
      </c>
      <c r="AN167" s="35" t="str">
        <f t="shared" si="29"/>
        <v/>
      </c>
      <c r="AP167" s="17" t="str">
        <f t="shared" si="30"/>
        <v/>
      </c>
      <c r="AQ167" s="35" t="str">
        <f t="shared" si="31"/>
        <v/>
      </c>
      <c r="AV167" s="17" t="str">
        <f t="shared" si="32"/>
        <v/>
      </c>
      <c r="AW167" s="35" t="str">
        <f t="shared" si="33"/>
        <v/>
      </c>
      <c r="AX167" s="35" t="str">
        <f t="shared" si="34"/>
        <v/>
      </c>
    </row>
    <row r="168" spans="1:50" x14ac:dyDescent="0.2">
      <c r="A168" s="18" t="str">
        <f>IF(Расчёты!$E146=1,Расчёты!$B146,"")</f>
        <v/>
      </c>
      <c r="B168" s="34" t="str">
        <f>IF(Расчёты!$E146=1,Расчёты!$D146,"")</f>
        <v/>
      </c>
      <c r="C168" s="33" t="str">
        <f>IF(Расчёты!$E146=1,Расчёты!$Z146,"")</f>
        <v/>
      </c>
      <c r="D168" s="33" t="str">
        <f>IF(Расчёты!$E146=1,Расчёты!$AA146,"")</f>
        <v/>
      </c>
      <c r="E168" s="33" t="str">
        <f>IF(Расчёты!$E146=1,Расчёты!$AB146,"")</f>
        <v/>
      </c>
      <c r="F168" s="33" t="str">
        <f>IF(Расчёты!$E146=1,Расчёты!$AC146,"")</f>
        <v/>
      </c>
      <c r="G168" s="33" t="str">
        <f>IF(Расчёты!$E146=1,Расчёты!$AD146,"")</f>
        <v/>
      </c>
      <c r="H168" s="33" t="str">
        <f>IF(Расчёты!$E146=1,Расчёты!$AI146,"")</f>
        <v/>
      </c>
      <c r="I168" s="33" t="str">
        <f>IF(Расчёты!$E146=1,Расчёты!$AG146,"")</f>
        <v/>
      </c>
      <c r="J168" s="33" t="str">
        <f>IF(Расчёты!$E146=1,Расчёты!$AJ146,"")</f>
        <v/>
      </c>
      <c r="K168" s="33" t="str">
        <f>IF(Расчёты!$E146=1,Расчёты!$AK146,"")</f>
        <v/>
      </c>
      <c r="L168" s="33" t="str">
        <f>IF(Расчёты!$E146=1,Расчёты!$I146,"")</f>
        <v/>
      </c>
      <c r="M168" s="33" t="str">
        <f>IF(Расчёты!$E146=1,Расчёты!$J146,"")</f>
        <v/>
      </c>
      <c r="N168" s="33" t="str">
        <f>IF(Расчёты!$E146=1,Расчёты!$K146,"")</f>
        <v/>
      </c>
      <c r="O168" s="33" t="str">
        <f>IF(Расчёты!$E146=1,Расчёты!$L146,"")</f>
        <v/>
      </c>
      <c r="P168" s="33" t="str">
        <f>IF(Расчёты!$E146=1,Расчёты!$M146,"")</f>
        <v/>
      </c>
      <c r="Q168" s="33" t="str">
        <f>IF(Расчёты!$E146=1,Расчёты!$N146,"")</f>
        <v/>
      </c>
      <c r="R168" s="33" t="str">
        <f>IF(Расчёты!$E146=1,Расчёты!$O146,"")</f>
        <v/>
      </c>
      <c r="S168" s="33" t="str">
        <f>IF(Расчёты!$E146=1,Расчёты!$Q146,"")</f>
        <v/>
      </c>
      <c r="T168" s="33" t="str">
        <f>IF(Расчёты!$E146=1,Расчёты!$S146,"")</f>
        <v/>
      </c>
      <c r="U168" s="33" t="str">
        <f>IF(Расчёты!$E146=1,Расчёты!$U146,"")</f>
        <v/>
      </c>
      <c r="V168" s="33" t="str">
        <f>IF(Расчёты!$E146=1,Расчёты!$W146,"")</f>
        <v/>
      </c>
      <c r="W168" s="33" t="str">
        <f>IF(Расчёты!$E146=1,Расчёты!$X146,"")</f>
        <v/>
      </c>
      <c r="X168" s="33" t="str">
        <f>IF(Расчёты!$E146=1,Расчёты!$Y146,"")</f>
        <v/>
      </c>
      <c r="Y168" s="33" t="str">
        <f>IF(Расчёты!$E146=1,Расчёты!$AL146,"")</f>
        <v/>
      </c>
      <c r="Z168" s="33" t="str">
        <f>IF(Расчёты!$E146=1,Расчёты!$AP146,"")</f>
        <v/>
      </c>
      <c r="AA168" s="33" t="str">
        <f>IF(Расчёты!$E146=1,Расчёты!$AS146,"")</f>
        <v/>
      </c>
      <c r="AB168" s="33" t="str">
        <f>IF(Расчёты!$E146=1,Расчёты!$AV146,"")</f>
        <v/>
      </c>
      <c r="AC168" s="33" t="str">
        <f>IF(Расчёты!$E146=1,Расчёты!$AW146,"")</f>
        <v/>
      </c>
      <c r="AD168" s="33" t="str">
        <f>IF(Расчёты!$E146=1,Расчёты!$AX146,"")</f>
        <v/>
      </c>
      <c r="AE168" s="33" t="str">
        <f>IF(Расчёты!$E146=1,Расчёты!$AY146,"")</f>
        <v/>
      </c>
      <c r="AF168" s="33" t="str">
        <f>IF(Расчёты!$E146=1,Расчёты!$BA146,"")</f>
        <v/>
      </c>
      <c r="AG168" s="33" t="str">
        <f>IF(Расчёты!$E146=1,Расчёты!$BB146,"")</f>
        <v/>
      </c>
      <c r="AH168" s="33" t="str">
        <f>IF(Расчёты!$E146=1,Расчёты!$BC146,"")</f>
        <v/>
      </c>
      <c r="AI168" s="33" t="str">
        <f>IF(Расчёты!$E146=1,Расчёты!$AU146,"")</f>
        <v/>
      </c>
      <c r="AJ168" s="33" t="str">
        <f>IF(Расчёты!$E146=1,Расчёты!$BF146,"")</f>
        <v/>
      </c>
      <c r="AK168" s="33" t="str">
        <f>IF(Расчёты!$E146=1,Расчёты!$BG146,"")</f>
        <v/>
      </c>
      <c r="AM168" s="17" t="str">
        <f t="shared" si="28"/>
        <v/>
      </c>
      <c r="AN168" s="35" t="str">
        <f t="shared" si="29"/>
        <v/>
      </c>
      <c r="AP168" s="17" t="str">
        <f t="shared" si="30"/>
        <v/>
      </c>
      <c r="AQ168" s="35" t="str">
        <f t="shared" si="31"/>
        <v/>
      </c>
      <c r="AV168" s="17" t="str">
        <f t="shared" si="32"/>
        <v/>
      </c>
      <c r="AW168" s="35" t="str">
        <f t="shared" si="33"/>
        <v/>
      </c>
      <c r="AX168" s="35" t="str">
        <f t="shared" si="34"/>
        <v/>
      </c>
    </row>
    <row r="169" spans="1:50" x14ac:dyDescent="0.2">
      <c r="A169" s="18" t="str">
        <f>IF(Расчёты!$E147=1,Расчёты!$B147,"")</f>
        <v/>
      </c>
      <c r="B169" s="34" t="str">
        <f>IF(Расчёты!$E147=1,Расчёты!$D147,"")</f>
        <v/>
      </c>
      <c r="C169" s="33" t="str">
        <f>IF(Расчёты!$E147=1,Расчёты!$Z147,"")</f>
        <v/>
      </c>
      <c r="D169" s="33" t="str">
        <f>IF(Расчёты!$E147=1,Расчёты!$AA147,"")</f>
        <v/>
      </c>
      <c r="E169" s="33" t="str">
        <f>IF(Расчёты!$E147=1,Расчёты!$AB147,"")</f>
        <v/>
      </c>
      <c r="F169" s="33" t="str">
        <f>IF(Расчёты!$E147=1,Расчёты!$AC147,"")</f>
        <v/>
      </c>
      <c r="G169" s="33" t="str">
        <f>IF(Расчёты!$E147=1,Расчёты!$AD147,"")</f>
        <v/>
      </c>
      <c r="H169" s="33" t="str">
        <f>IF(Расчёты!$E147=1,Расчёты!$AI147,"")</f>
        <v/>
      </c>
      <c r="I169" s="33" t="str">
        <f>IF(Расчёты!$E147=1,Расчёты!$AG147,"")</f>
        <v/>
      </c>
      <c r="J169" s="33" t="str">
        <f>IF(Расчёты!$E147=1,Расчёты!$AJ147,"")</f>
        <v/>
      </c>
      <c r="K169" s="33" t="str">
        <f>IF(Расчёты!$E147=1,Расчёты!$AK147,"")</f>
        <v/>
      </c>
      <c r="L169" s="33" t="str">
        <f>IF(Расчёты!$E147=1,Расчёты!$I147,"")</f>
        <v/>
      </c>
      <c r="M169" s="33" t="str">
        <f>IF(Расчёты!$E147=1,Расчёты!$J147,"")</f>
        <v/>
      </c>
      <c r="N169" s="33" t="str">
        <f>IF(Расчёты!$E147=1,Расчёты!$K147,"")</f>
        <v/>
      </c>
      <c r="O169" s="33" t="str">
        <f>IF(Расчёты!$E147=1,Расчёты!$L147,"")</f>
        <v/>
      </c>
      <c r="P169" s="33" t="str">
        <f>IF(Расчёты!$E147=1,Расчёты!$M147,"")</f>
        <v/>
      </c>
      <c r="Q169" s="33" t="str">
        <f>IF(Расчёты!$E147=1,Расчёты!$N147,"")</f>
        <v/>
      </c>
      <c r="R169" s="33" t="str">
        <f>IF(Расчёты!$E147=1,Расчёты!$O147,"")</f>
        <v/>
      </c>
      <c r="S169" s="33" t="str">
        <f>IF(Расчёты!$E147=1,Расчёты!$Q147,"")</f>
        <v/>
      </c>
      <c r="T169" s="33" t="str">
        <f>IF(Расчёты!$E147=1,Расчёты!$S147,"")</f>
        <v/>
      </c>
      <c r="U169" s="33" t="str">
        <f>IF(Расчёты!$E147=1,Расчёты!$U147,"")</f>
        <v/>
      </c>
      <c r="V169" s="33" t="str">
        <f>IF(Расчёты!$E147=1,Расчёты!$W147,"")</f>
        <v/>
      </c>
      <c r="W169" s="33" t="str">
        <f>IF(Расчёты!$E147=1,Расчёты!$X147,"")</f>
        <v/>
      </c>
      <c r="X169" s="33" t="str">
        <f>IF(Расчёты!$E147=1,Расчёты!$Y147,"")</f>
        <v/>
      </c>
      <c r="Y169" s="33" t="str">
        <f>IF(Расчёты!$E147=1,Расчёты!$AL147,"")</f>
        <v/>
      </c>
      <c r="Z169" s="33" t="str">
        <f>IF(Расчёты!$E147=1,Расчёты!$AP147,"")</f>
        <v/>
      </c>
      <c r="AA169" s="33" t="str">
        <f>IF(Расчёты!$E147=1,Расчёты!$AS147,"")</f>
        <v/>
      </c>
      <c r="AB169" s="33" t="str">
        <f>IF(Расчёты!$E147=1,Расчёты!$AV147,"")</f>
        <v/>
      </c>
      <c r="AC169" s="33" t="str">
        <f>IF(Расчёты!$E147=1,Расчёты!$AW147,"")</f>
        <v/>
      </c>
      <c r="AD169" s="33" t="str">
        <f>IF(Расчёты!$E147=1,Расчёты!$AX147,"")</f>
        <v/>
      </c>
      <c r="AE169" s="33" t="str">
        <f>IF(Расчёты!$E147=1,Расчёты!$AY147,"")</f>
        <v/>
      </c>
      <c r="AF169" s="33" t="str">
        <f>IF(Расчёты!$E147=1,Расчёты!$BA147,"")</f>
        <v/>
      </c>
      <c r="AG169" s="33" t="str">
        <f>IF(Расчёты!$E147=1,Расчёты!$BB147,"")</f>
        <v/>
      </c>
      <c r="AH169" s="33" t="str">
        <f>IF(Расчёты!$E147=1,Расчёты!$BC147,"")</f>
        <v/>
      </c>
      <c r="AI169" s="33" t="str">
        <f>IF(Расчёты!$E147=1,Расчёты!$AU147,"")</f>
        <v/>
      </c>
      <c r="AJ169" s="33" t="str">
        <f>IF(Расчёты!$E147=1,Расчёты!$BF147,"")</f>
        <v/>
      </c>
      <c r="AK169" s="33" t="str">
        <f>IF(Расчёты!$E147=1,Расчёты!$BG147,"")</f>
        <v/>
      </c>
      <c r="AM169" s="17" t="str">
        <f t="shared" si="28"/>
        <v/>
      </c>
      <c r="AN169" s="35" t="str">
        <f t="shared" si="29"/>
        <v/>
      </c>
      <c r="AP169" s="17" t="str">
        <f t="shared" si="30"/>
        <v/>
      </c>
      <c r="AQ169" s="35" t="str">
        <f t="shared" si="31"/>
        <v/>
      </c>
      <c r="AV169" s="17" t="str">
        <f t="shared" si="32"/>
        <v/>
      </c>
      <c r="AW169" s="35" t="str">
        <f t="shared" si="33"/>
        <v/>
      </c>
      <c r="AX169" s="35" t="str">
        <f t="shared" si="34"/>
        <v/>
      </c>
    </row>
    <row r="170" spans="1:50" x14ac:dyDescent="0.2">
      <c r="A170" s="18" t="str">
        <f>IF(Расчёты!$E148=1,Расчёты!$B148,"")</f>
        <v/>
      </c>
      <c r="B170" s="34" t="str">
        <f>IF(Расчёты!$E148=1,Расчёты!$D148,"")</f>
        <v/>
      </c>
      <c r="C170" s="33" t="str">
        <f>IF(Расчёты!$E148=1,Расчёты!$Z148,"")</f>
        <v/>
      </c>
      <c r="D170" s="33" t="str">
        <f>IF(Расчёты!$E148=1,Расчёты!$AA148,"")</f>
        <v/>
      </c>
      <c r="E170" s="33" t="str">
        <f>IF(Расчёты!$E148=1,Расчёты!$AB148,"")</f>
        <v/>
      </c>
      <c r="F170" s="33" t="str">
        <f>IF(Расчёты!$E148=1,Расчёты!$AC148,"")</f>
        <v/>
      </c>
      <c r="G170" s="33" t="str">
        <f>IF(Расчёты!$E148=1,Расчёты!$AD148,"")</f>
        <v/>
      </c>
      <c r="H170" s="33" t="str">
        <f>IF(Расчёты!$E148=1,Расчёты!$AI148,"")</f>
        <v/>
      </c>
      <c r="I170" s="33" t="str">
        <f>IF(Расчёты!$E148=1,Расчёты!$AG148,"")</f>
        <v/>
      </c>
      <c r="J170" s="33" t="str">
        <f>IF(Расчёты!$E148=1,Расчёты!$AJ148,"")</f>
        <v/>
      </c>
      <c r="K170" s="33" t="str">
        <f>IF(Расчёты!$E148=1,Расчёты!$AK148,"")</f>
        <v/>
      </c>
      <c r="L170" s="33" t="str">
        <f>IF(Расчёты!$E148=1,Расчёты!$I148,"")</f>
        <v/>
      </c>
      <c r="M170" s="33" t="str">
        <f>IF(Расчёты!$E148=1,Расчёты!$J148,"")</f>
        <v/>
      </c>
      <c r="N170" s="33" t="str">
        <f>IF(Расчёты!$E148=1,Расчёты!$K148,"")</f>
        <v/>
      </c>
      <c r="O170" s="33" t="str">
        <f>IF(Расчёты!$E148=1,Расчёты!$L148,"")</f>
        <v/>
      </c>
      <c r="P170" s="33" t="str">
        <f>IF(Расчёты!$E148=1,Расчёты!$M148,"")</f>
        <v/>
      </c>
      <c r="Q170" s="33" t="str">
        <f>IF(Расчёты!$E148=1,Расчёты!$N148,"")</f>
        <v/>
      </c>
      <c r="R170" s="33" t="str">
        <f>IF(Расчёты!$E148=1,Расчёты!$O148,"")</f>
        <v/>
      </c>
      <c r="S170" s="33" t="str">
        <f>IF(Расчёты!$E148=1,Расчёты!$Q148,"")</f>
        <v/>
      </c>
      <c r="T170" s="33" t="str">
        <f>IF(Расчёты!$E148=1,Расчёты!$S148,"")</f>
        <v/>
      </c>
      <c r="U170" s="33" t="str">
        <f>IF(Расчёты!$E148=1,Расчёты!$U148,"")</f>
        <v/>
      </c>
      <c r="V170" s="33" t="str">
        <f>IF(Расчёты!$E148=1,Расчёты!$W148,"")</f>
        <v/>
      </c>
      <c r="W170" s="33" t="str">
        <f>IF(Расчёты!$E148=1,Расчёты!$X148,"")</f>
        <v/>
      </c>
      <c r="X170" s="33" t="str">
        <f>IF(Расчёты!$E148=1,Расчёты!$Y148,"")</f>
        <v/>
      </c>
      <c r="Y170" s="33" t="str">
        <f>IF(Расчёты!$E148=1,Расчёты!$AL148,"")</f>
        <v/>
      </c>
      <c r="Z170" s="33" t="str">
        <f>IF(Расчёты!$E148=1,Расчёты!$AP148,"")</f>
        <v/>
      </c>
      <c r="AA170" s="33" t="str">
        <f>IF(Расчёты!$E148=1,Расчёты!$AS148,"")</f>
        <v/>
      </c>
      <c r="AB170" s="33" t="str">
        <f>IF(Расчёты!$E148=1,Расчёты!$AV148,"")</f>
        <v/>
      </c>
      <c r="AC170" s="33" t="str">
        <f>IF(Расчёты!$E148=1,Расчёты!$AW148,"")</f>
        <v/>
      </c>
      <c r="AD170" s="33" t="str">
        <f>IF(Расчёты!$E148=1,Расчёты!$AX148,"")</f>
        <v/>
      </c>
      <c r="AE170" s="33" t="str">
        <f>IF(Расчёты!$E148=1,Расчёты!$AY148,"")</f>
        <v/>
      </c>
      <c r="AF170" s="33" t="str">
        <f>IF(Расчёты!$E148=1,Расчёты!$BA148,"")</f>
        <v/>
      </c>
      <c r="AG170" s="33" t="str">
        <f>IF(Расчёты!$E148=1,Расчёты!$BB148,"")</f>
        <v/>
      </c>
      <c r="AH170" s="33" t="str">
        <f>IF(Расчёты!$E148=1,Расчёты!$BC148,"")</f>
        <v/>
      </c>
      <c r="AI170" s="33" t="str">
        <f>IF(Расчёты!$E148=1,Расчёты!$AU148,"")</f>
        <v/>
      </c>
      <c r="AJ170" s="33" t="str">
        <f>IF(Расчёты!$E148=1,Расчёты!$BF148,"")</f>
        <v/>
      </c>
      <c r="AK170" s="33" t="str">
        <f>IF(Расчёты!$E148=1,Расчёты!$BG148,"")</f>
        <v/>
      </c>
      <c r="AM170" s="17" t="str">
        <f t="shared" si="28"/>
        <v/>
      </c>
      <c r="AN170" s="35" t="str">
        <f t="shared" si="29"/>
        <v/>
      </c>
      <c r="AP170" s="17" t="str">
        <f t="shared" si="30"/>
        <v/>
      </c>
      <c r="AQ170" s="35" t="str">
        <f t="shared" si="31"/>
        <v/>
      </c>
      <c r="AV170" s="17" t="str">
        <f t="shared" si="32"/>
        <v/>
      </c>
      <c r="AW170" s="35" t="str">
        <f t="shared" si="33"/>
        <v/>
      </c>
      <c r="AX170" s="35" t="str">
        <f t="shared" si="34"/>
        <v/>
      </c>
    </row>
    <row r="171" spans="1:50" x14ac:dyDescent="0.2">
      <c r="A171" s="18" t="str">
        <f>IF(Расчёты!$E149=1,Расчёты!$B149,"")</f>
        <v/>
      </c>
      <c r="B171" s="34" t="str">
        <f>IF(Расчёты!$E149=1,Расчёты!$D149,"")</f>
        <v/>
      </c>
      <c r="C171" s="33" t="str">
        <f>IF(Расчёты!$E149=1,Расчёты!$Z149,"")</f>
        <v/>
      </c>
      <c r="D171" s="33" t="str">
        <f>IF(Расчёты!$E149=1,Расчёты!$AA149,"")</f>
        <v/>
      </c>
      <c r="E171" s="33" t="str">
        <f>IF(Расчёты!$E149=1,Расчёты!$AB149,"")</f>
        <v/>
      </c>
      <c r="F171" s="33" t="str">
        <f>IF(Расчёты!$E149=1,Расчёты!$AC149,"")</f>
        <v/>
      </c>
      <c r="G171" s="33" t="str">
        <f>IF(Расчёты!$E149=1,Расчёты!$AD149,"")</f>
        <v/>
      </c>
      <c r="H171" s="33" t="str">
        <f>IF(Расчёты!$E149=1,Расчёты!$AI149,"")</f>
        <v/>
      </c>
      <c r="I171" s="33" t="str">
        <f>IF(Расчёты!$E149=1,Расчёты!$AG149,"")</f>
        <v/>
      </c>
      <c r="J171" s="33" t="str">
        <f>IF(Расчёты!$E149=1,Расчёты!$AJ149,"")</f>
        <v/>
      </c>
      <c r="K171" s="33" t="str">
        <f>IF(Расчёты!$E149=1,Расчёты!$AK149,"")</f>
        <v/>
      </c>
      <c r="L171" s="33" t="str">
        <f>IF(Расчёты!$E149=1,Расчёты!$I149,"")</f>
        <v/>
      </c>
      <c r="M171" s="33" t="str">
        <f>IF(Расчёты!$E149=1,Расчёты!$J149,"")</f>
        <v/>
      </c>
      <c r="N171" s="33" t="str">
        <f>IF(Расчёты!$E149=1,Расчёты!$K149,"")</f>
        <v/>
      </c>
      <c r="O171" s="33" t="str">
        <f>IF(Расчёты!$E149=1,Расчёты!$L149,"")</f>
        <v/>
      </c>
      <c r="P171" s="33" t="str">
        <f>IF(Расчёты!$E149=1,Расчёты!$M149,"")</f>
        <v/>
      </c>
      <c r="Q171" s="33" t="str">
        <f>IF(Расчёты!$E149=1,Расчёты!$N149,"")</f>
        <v/>
      </c>
      <c r="R171" s="33" t="str">
        <f>IF(Расчёты!$E149=1,Расчёты!$O149,"")</f>
        <v/>
      </c>
      <c r="S171" s="33" t="str">
        <f>IF(Расчёты!$E149=1,Расчёты!$Q149,"")</f>
        <v/>
      </c>
      <c r="T171" s="33" t="str">
        <f>IF(Расчёты!$E149=1,Расчёты!$S149,"")</f>
        <v/>
      </c>
      <c r="U171" s="33" t="str">
        <f>IF(Расчёты!$E149=1,Расчёты!$U149,"")</f>
        <v/>
      </c>
      <c r="V171" s="33" t="str">
        <f>IF(Расчёты!$E149=1,Расчёты!$W149,"")</f>
        <v/>
      </c>
      <c r="W171" s="33" t="str">
        <f>IF(Расчёты!$E149=1,Расчёты!$X149,"")</f>
        <v/>
      </c>
      <c r="X171" s="33" t="str">
        <f>IF(Расчёты!$E149=1,Расчёты!$Y149,"")</f>
        <v/>
      </c>
      <c r="Y171" s="33" t="str">
        <f>IF(Расчёты!$E149=1,Расчёты!$AL149,"")</f>
        <v/>
      </c>
      <c r="Z171" s="33" t="str">
        <f>IF(Расчёты!$E149=1,Расчёты!$AP149,"")</f>
        <v/>
      </c>
      <c r="AA171" s="33" t="str">
        <f>IF(Расчёты!$E149=1,Расчёты!$AS149,"")</f>
        <v/>
      </c>
      <c r="AB171" s="33" t="str">
        <f>IF(Расчёты!$E149=1,Расчёты!$AV149,"")</f>
        <v/>
      </c>
      <c r="AC171" s="33" t="str">
        <f>IF(Расчёты!$E149=1,Расчёты!$AW149,"")</f>
        <v/>
      </c>
      <c r="AD171" s="33" t="str">
        <f>IF(Расчёты!$E149=1,Расчёты!$AX149,"")</f>
        <v/>
      </c>
      <c r="AE171" s="33" t="str">
        <f>IF(Расчёты!$E149=1,Расчёты!$AY149,"")</f>
        <v/>
      </c>
      <c r="AF171" s="33" t="str">
        <f>IF(Расчёты!$E149=1,Расчёты!$BA149,"")</f>
        <v/>
      </c>
      <c r="AG171" s="33" t="str">
        <f>IF(Расчёты!$E149=1,Расчёты!$BB149,"")</f>
        <v/>
      </c>
      <c r="AH171" s="33" t="str">
        <f>IF(Расчёты!$E149=1,Расчёты!$BC149,"")</f>
        <v/>
      </c>
      <c r="AI171" s="33" t="str">
        <f>IF(Расчёты!$E149=1,Расчёты!$AU149,"")</f>
        <v/>
      </c>
      <c r="AJ171" s="33" t="str">
        <f>IF(Расчёты!$E149=1,Расчёты!$BF149,"")</f>
        <v/>
      </c>
      <c r="AK171" s="33" t="str">
        <f>IF(Расчёты!$E149=1,Расчёты!$BG149,"")</f>
        <v/>
      </c>
      <c r="AM171" s="17" t="str">
        <f t="shared" si="28"/>
        <v/>
      </c>
      <c r="AN171" s="35" t="str">
        <f t="shared" si="29"/>
        <v/>
      </c>
      <c r="AP171" s="17" t="str">
        <f t="shared" si="30"/>
        <v/>
      </c>
      <c r="AQ171" s="35" t="str">
        <f t="shared" si="31"/>
        <v/>
      </c>
      <c r="AV171" s="17" t="str">
        <f t="shared" si="32"/>
        <v/>
      </c>
      <c r="AW171" s="35" t="str">
        <f t="shared" si="33"/>
        <v/>
      </c>
      <c r="AX171" s="35" t="str">
        <f t="shared" si="34"/>
        <v/>
      </c>
    </row>
    <row r="172" spans="1:50" x14ac:dyDescent="0.2">
      <c r="A172" s="18" t="str">
        <f>IF(Расчёты!$E150=1,Расчёты!$B150,"")</f>
        <v/>
      </c>
      <c r="B172" s="34" t="str">
        <f>IF(Расчёты!$E150=1,Расчёты!$D150,"")</f>
        <v/>
      </c>
      <c r="C172" s="33" t="str">
        <f>IF(Расчёты!$E150=1,Расчёты!$Z150,"")</f>
        <v/>
      </c>
      <c r="D172" s="33" t="str">
        <f>IF(Расчёты!$E150=1,Расчёты!$AA150,"")</f>
        <v/>
      </c>
      <c r="E172" s="33" t="str">
        <f>IF(Расчёты!$E150=1,Расчёты!$AB150,"")</f>
        <v/>
      </c>
      <c r="F172" s="33" t="str">
        <f>IF(Расчёты!$E150=1,Расчёты!$AC150,"")</f>
        <v/>
      </c>
      <c r="G172" s="33" t="str">
        <f>IF(Расчёты!$E150=1,Расчёты!$AD150,"")</f>
        <v/>
      </c>
      <c r="H172" s="33" t="str">
        <f>IF(Расчёты!$E150=1,Расчёты!$AI150,"")</f>
        <v/>
      </c>
      <c r="I172" s="33" t="str">
        <f>IF(Расчёты!$E150=1,Расчёты!$AG150,"")</f>
        <v/>
      </c>
      <c r="J172" s="33" t="str">
        <f>IF(Расчёты!$E150=1,Расчёты!$AJ150,"")</f>
        <v/>
      </c>
      <c r="K172" s="33" t="str">
        <f>IF(Расчёты!$E150=1,Расчёты!$AK150,"")</f>
        <v/>
      </c>
      <c r="L172" s="33" t="str">
        <f>IF(Расчёты!$E150=1,Расчёты!$I150,"")</f>
        <v/>
      </c>
      <c r="M172" s="33" t="str">
        <f>IF(Расчёты!$E150=1,Расчёты!$J150,"")</f>
        <v/>
      </c>
      <c r="N172" s="33" t="str">
        <f>IF(Расчёты!$E150=1,Расчёты!$K150,"")</f>
        <v/>
      </c>
      <c r="O172" s="33" t="str">
        <f>IF(Расчёты!$E150=1,Расчёты!$L150,"")</f>
        <v/>
      </c>
      <c r="P172" s="33" t="str">
        <f>IF(Расчёты!$E150=1,Расчёты!$M150,"")</f>
        <v/>
      </c>
      <c r="Q172" s="33" t="str">
        <f>IF(Расчёты!$E150=1,Расчёты!$N150,"")</f>
        <v/>
      </c>
      <c r="R172" s="33" t="str">
        <f>IF(Расчёты!$E150=1,Расчёты!$O150,"")</f>
        <v/>
      </c>
      <c r="S172" s="33" t="str">
        <f>IF(Расчёты!$E150=1,Расчёты!$Q150,"")</f>
        <v/>
      </c>
      <c r="T172" s="33" t="str">
        <f>IF(Расчёты!$E150=1,Расчёты!$S150,"")</f>
        <v/>
      </c>
      <c r="U172" s="33" t="str">
        <f>IF(Расчёты!$E150=1,Расчёты!$U150,"")</f>
        <v/>
      </c>
      <c r="V172" s="33" t="str">
        <f>IF(Расчёты!$E150=1,Расчёты!$W150,"")</f>
        <v/>
      </c>
      <c r="W172" s="33" t="str">
        <f>IF(Расчёты!$E150=1,Расчёты!$X150,"")</f>
        <v/>
      </c>
      <c r="X172" s="33" t="str">
        <f>IF(Расчёты!$E150=1,Расчёты!$Y150,"")</f>
        <v/>
      </c>
      <c r="Y172" s="33" t="str">
        <f>IF(Расчёты!$E150=1,Расчёты!$AL150,"")</f>
        <v/>
      </c>
      <c r="Z172" s="33" t="str">
        <f>IF(Расчёты!$E150=1,Расчёты!$AP150,"")</f>
        <v/>
      </c>
      <c r="AA172" s="33" t="str">
        <f>IF(Расчёты!$E150=1,Расчёты!$AS150,"")</f>
        <v/>
      </c>
      <c r="AB172" s="33" t="str">
        <f>IF(Расчёты!$E150=1,Расчёты!$AV150,"")</f>
        <v/>
      </c>
      <c r="AC172" s="33" t="str">
        <f>IF(Расчёты!$E150=1,Расчёты!$AW150,"")</f>
        <v/>
      </c>
      <c r="AD172" s="33" t="str">
        <f>IF(Расчёты!$E150=1,Расчёты!$AX150,"")</f>
        <v/>
      </c>
      <c r="AE172" s="33" t="str">
        <f>IF(Расчёты!$E150=1,Расчёты!$AY150,"")</f>
        <v/>
      </c>
      <c r="AF172" s="33" t="str">
        <f>IF(Расчёты!$E150=1,Расчёты!$BA150,"")</f>
        <v/>
      </c>
      <c r="AG172" s="33" t="str">
        <f>IF(Расчёты!$E150=1,Расчёты!$BB150,"")</f>
        <v/>
      </c>
      <c r="AH172" s="33" t="str">
        <f>IF(Расчёты!$E150=1,Расчёты!$BC150,"")</f>
        <v/>
      </c>
      <c r="AI172" s="33" t="str">
        <f>IF(Расчёты!$E150=1,Расчёты!$AU150,"")</f>
        <v/>
      </c>
      <c r="AJ172" s="33" t="str">
        <f>IF(Расчёты!$E150=1,Расчёты!$BF150,"")</f>
        <v/>
      </c>
      <c r="AK172" s="33" t="str">
        <f>IF(Расчёты!$E150=1,Расчёты!$BG150,"")</f>
        <v/>
      </c>
      <c r="AM172" s="17" t="str">
        <f t="shared" si="28"/>
        <v/>
      </c>
      <c r="AN172" s="35" t="str">
        <f t="shared" si="29"/>
        <v/>
      </c>
      <c r="AP172" s="17" t="str">
        <f t="shared" si="30"/>
        <v/>
      </c>
      <c r="AQ172" s="35" t="str">
        <f t="shared" si="31"/>
        <v/>
      </c>
      <c r="AV172" s="17" t="str">
        <f t="shared" si="32"/>
        <v/>
      </c>
      <c r="AW172" s="35" t="str">
        <f t="shared" si="33"/>
        <v/>
      </c>
      <c r="AX172" s="35" t="str">
        <f t="shared" si="34"/>
        <v/>
      </c>
    </row>
    <row r="173" spans="1:50" x14ac:dyDescent="0.2">
      <c r="A173" s="18" t="str">
        <f>IF(Расчёты!$E151=1,Расчёты!$B151,"")</f>
        <v/>
      </c>
      <c r="B173" s="34" t="str">
        <f>IF(Расчёты!$E151=1,Расчёты!$D151,"")</f>
        <v/>
      </c>
      <c r="C173" s="33" t="str">
        <f>IF(Расчёты!$E151=1,Расчёты!$Z151,"")</f>
        <v/>
      </c>
      <c r="D173" s="33" t="str">
        <f>IF(Расчёты!$E151=1,Расчёты!$AA151,"")</f>
        <v/>
      </c>
      <c r="E173" s="33" t="str">
        <f>IF(Расчёты!$E151=1,Расчёты!$AB151,"")</f>
        <v/>
      </c>
      <c r="F173" s="33" t="str">
        <f>IF(Расчёты!$E151=1,Расчёты!$AC151,"")</f>
        <v/>
      </c>
      <c r="G173" s="33" t="str">
        <f>IF(Расчёты!$E151=1,Расчёты!$AD151,"")</f>
        <v/>
      </c>
      <c r="H173" s="33" t="str">
        <f>IF(Расчёты!$E151=1,Расчёты!$AI151,"")</f>
        <v/>
      </c>
      <c r="I173" s="33" t="str">
        <f>IF(Расчёты!$E151=1,Расчёты!$AG151,"")</f>
        <v/>
      </c>
      <c r="J173" s="33" t="str">
        <f>IF(Расчёты!$E151=1,Расчёты!$AJ151,"")</f>
        <v/>
      </c>
      <c r="K173" s="33" t="str">
        <f>IF(Расчёты!$E151=1,Расчёты!$AK151,"")</f>
        <v/>
      </c>
      <c r="L173" s="33" t="str">
        <f>IF(Расчёты!$E151=1,Расчёты!$I151,"")</f>
        <v/>
      </c>
      <c r="M173" s="33" t="str">
        <f>IF(Расчёты!$E151=1,Расчёты!$J151,"")</f>
        <v/>
      </c>
      <c r="N173" s="33" t="str">
        <f>IF(Расчёты!$E151=1,Расчёты!$K151,"")</f>
        <v/>
      </c>
      <c r="O173" s="33" t="str">
        <f>IF(Расчёты!$E151=1,Расчёты!$L151,"")</f>
        <v/>
      </c>
      <c r="P173" s="33" t="str">
        <f>IF(Расчёты!$E151=1,Расчёты!$M151,"")</f>
        <v/>
      </c>
      <c r="Q173" s="33" t="str">
        <f>IF(Расчёты!$E151=1,Расчёты!$N151,"")</f>
        <v/>
      </c>
      <c r="R173" s="33" t="str">
        <f>IF(Расчёты!$E151=1,Расчёты!$O151,"")</f>
        <v/>
      </c>
      <c r="S173" s="33" t="str">
        <f>IF(Расчёты!$E151=1,Расчёты!$Q151,"")</f>
        <v/>
      </c>
      <c r="T173" s="33" t="str">
        <f>IF(Расчёты!$E151=1,Расчёты!$S151,"")</f>
        <v/>
      </c>
      <c r="U173" s="33" t="str">
        <f>IF(Расчёты!$E151=1,Расчёты!$U151,"")</f>
        <v/>
      </c>
      <c r="V173" s="33" t="str">
        <f>IF(Расчёты!$E151=1,Расчёты!$W151,"")</f>
        <v/>
      </c>
      <c r="W173" s="33" t="str">
        <f>IF(Расчёты!$E151=1,Расчёты!$X151,"")</f>
        <v/>
      </c>
      <c r="X173" s="33" t="str">
        <f>IF(Расчёты!$E151=1,Расчёты!$Y151,"")</f>
        <v/>
      </c>
      <c r="Y173" s="33" t="str">
        <f>IF(Расчёты!$E151=1,Расчёты!$AL151,"")</f>
        <v/>
      </c>
      <c r="Z173" s="33" t="str">
        <f>IF(Расчёты!$E151=1,Расчёты!$AP151,"")</f>
        <v/>
      </c>
      <c r="AA173" s="33" t="str">
        <f>IF(Расчёты!$E151=1,Расчёты!$AS151,"")</f>
        <v/>
      </c>
      <c r="AB173" s="33" t="str">
        <f>IF(Расчёты!$E151=1,Расчёты!$AV151,"")</f>
        <v/>
      </c>
      <c r="AC173" s="33" t="str">
        <f>IF(Расчёты!$E151=1,Расчёты!$AW151,"")</f>
        <v/>
      </c>
      <c r="AD173" s="33" t="str">
        <f>IF(Расчёты!$E151=1,Расчёты!$AX151,"")</f>
        <v/>
      </c>
      <c r="AE173" s="33" t="str">
        <f>IF(Расчёты!$E151=1,Расчёты!$AY151,"")</f>
        <v/>
      </c>
      <c r="AF173" s="33" t="str">
        <f>IF(Расчёты!$E151=1,Расчёты!$BA151,"")</f>
        <v/>
      </c>
      <c r="AG173" s="33" t="str">
        <f>IF(Расчёты!$E151=1,Расчёты!$BB151,"")</f>
        <v/>
      </c>
      <c r="AH173" s="33" t="str">
        <f>IF(Расчёты!$E151=1,Расчёты!$BC151,"")</f>
        <v/>
      </c>
      <c r="AI173" s="33" t="str">
        <f>IF(Расчёты!$E151=1,Расчёты!$AU151,"")</f>
        <v/>
      </c>
      <c r="AJ173" s="33" t="str">
        <f>IF(Расчёты!$E151=1,Расчёты!$BF151,"")</f>
        <v/>
      </c>
      <c r="AK173" s="33" t="str">
        <f>IF(Расчёты!$E151=1,Расчёты!$BG151,"")</f>
        <v/>
      </c>
      <c r="AM173" s="17" t="str">
        <f t="shared" si="28"/>
        <v/>
      </c>
      <c r="AN173" s="35" t="str">
        <f t="shared" si="29"/>
        <v/>
      </c>
      <c r="AP173" s="17" t="str">
        <f t="shared" si="30"/>
        <v/>
      </c>
      <c r="AQ173" s="35" t="str">
        <f t="shared" si="31"/>
        <v/>
      </c>
      <c r="AV173" s="17" t="str">
        <f t="shared" si="32"/>
        <v/>
      </c>
      <c r="AW173" s="35" t="str">
        <f t="shared" si="33"/>
        <v/>
      </c>
      <c r="AX173" s="35" t="str">
        <f t="shared" si="34"/>
        <v/>
      </c>
    </row>
    <row r="174" spans="1:50" x14ac:dyDescent="0.2">
      <c r="A174" s="18" t="str">
        <f>IF(Расчёты!$E152=1,Расчёты!$B152,"")</f>
        <v/>
      </c>
      <c r="B174" s="34" t="str">
        <f>IF(Расчёты!$E152=1,Расчёты!$D152,"")</f>
        <v/>
      </c>
      <c r="C174" s="33" t="str">
        <f>IF(Расчёты!$E152=1,Расчёты!$Z152,"")</f>
        <v/>
      </c>
      <c r="D174" s="33" t="str">
        <f>IF(Расчёты!$E152=1,Расчёты!$AA152,"")</f>
        <v/>
      </c>
      <c r="E174" s="33" t="str">
        <f>IF(Расчёты!$E152=1,Расчёты!$AB152,"")</f>
        <v/>
      </c>
      <c r="F174" s="33" t="str">
        <f>IF(Расчёты!$E152=1,Расчёты!$AC152,"")</f>
        <v/>
      </c>
      <c r="G174" s="33" t="str">
        <f>IF(Расчёты!$E152=1,Расчёты!$AD152,"")</f>
        <v/>
      </c>
      <c r="H174" s="33" t="str">
        <f>IF(Расчёты!$E152=1,Расчёты!$AI152,"")</f>
        <v/>
      </c>
      <c r="I174" s="33" t="str">
        <f>IF(Расчёты!$E152=1,Расчёты!$AG152,"")</f>
        <v/>
      </c>
      <c r="J174" s="33" t="str">
        <f>IF(Расчёты!$E152=1,Расчёты!$AJ152,"")</f>
        <v/>
      </c>
      <c r="K174" s="33" t="str">
        <f>IF(Расчёты!$E152=1,Расчёты!$AK152,"")</f>
        <v/>
      </c>
      <c r="L174" s="33" t="str">
        <f>IF(Расчёты!$E152=1,Расчёты!$I152,"")</f>
        <v/>
      </c>
      <c r="M174" s="33" t="str">
        <f>IF(Расчёты!$E152=1,Расчёты!$J152,"")</f>
        <v/>
      </c>
      <c r="N174" s="33" t="str">
        <f>IF(Расчёты!$E152=1,Расчёты!$K152,"")</f>
        <v/>
      </c>
      <c r="O174" s="33" t="str">
        <f>IF(Расчёты!$E152=1,Расчёты!$L152,"")</f>
        <v/>
      </c>
      <c r="P174" s="33" t="str">
        <f>IF(Расчёты!$E152=1,Расчёты!$M152,"")</f>
        <v/>
      </c>
      <c r="Q174" s="33" t="str">
        <f>IF(Расчёты!$E152=1,Расчёты!$N152,"")</f>
        <v/>
      </c>
      <c r="R174" s="33" t="str">
        <f>IF(Расчёты!$E152=1,Расчёты!$O152,"")</f>
        <v/>
      </c>
      <c r="S174" s="33" t="str">
        <f>IF(Расчёты!$E152=1,Расчёты!$Q152,"")</f>
        <v/>
      </c>
      <c r="T174" s="33" t="str">
        <f>IF(Расчёты!$E152=1,Расчёты!$S152,"")</f>
        <v/>
      </c>
      <c r="U174" s="33" t="str">
        <f>IF(Расчёты!$E152=1,Расчёты!$U152,"")</f>
        <v/>
      </c>
      <c r="V174" s="33" t="str">
        <f>IF(Расчёты!$E152=1,Расчёты!$W152,"")</f>
        <v/>
      </c>
      <c r="W174" s="33" t="str">
        <f>IF(Расчёты!$E152=1,Расчёты!$X152,"")</f>
        <v/>
      </c>
      <c r="X174" s="33" t="str">
        <f>IF(Расчёты!$E152=1,Расчёты!$Y152,"")</f>
        <v/>
      </c>
      <c r="Y174" s="33" t="str">
        <f>IF(Расчёты!$E152=1,Расчёты!$AL152,"")</f>
        <v/>
      </c>
      <c r="Z174" s="33" t="str">
        <f>IF(Расчёты!$E152=1,Расчёты!$AP152,"")</f>
        <v/>
      </c>
      <c r="AA174" s="33" t="str">
        <f>IF(Расчёты!$E152=1,Расчёты!$AS152,"")</f>
        <v/>
      </c>
      <c r="AB174" s="33" t="str">
        <f>IF(Расчёты!$E152=1,Расчёты!$AV152,"")</f>
        <v/>
      </c>
      <c r="AC174" s="33" t="str">
        <f>IF(Расчёты!$E152=1,Расчёты!$AW152,"")</f>
        <v/>
      </c>
      <c r="AD174" s="33" t="str">
        <f>IF(Расчёты!$E152=1,Расчёты!$AX152,"")</f>
        <v/>
      </c>
      <c r="AE174" s="33" t="str">
        <f>IF(Расчёты!$E152=1,Расчёты!$AY152,"")</f>
        <v/>
      </c>
      <c r="AF174" s="33" t="str">
        <f>IF(Расчёты!$E152=1,Расчёты!$BA152,"")</f>
        <v/>
      </c>
      <c r="AG174" s="33" t="str">
        <f>IF(Расчёты!$E152=1,Расчёты!$BB152,"")</f>
        <v/>
      </c>
      <c r="AH174" s="33" t="str">
        <f>IF(Расчёты!$E152=1,Расчёты!$BC152,"")</f>
        <v/>
      </c>
      <c r="AI174" s="33" t="str">
        <f>IF(Расчёты!$E152=1,Расчёты!$AU152,"")</f>
        <v/>
      </c>
      <c r="AJ174" s="33" t="str">
        <f>IF(Расчёты!$E152=1,Расчёты!$BF152,"")</f>
        <v/>
      </c>
      <c r="AK174" s="33" t="str">
        <f>IF(Расчёты!$E152=1,Расчёты!$BG152,"")</f>
        <v/>
      </c>
      <c r="AM174" s="17" t="str">
        <f t="shared" si="28"/>
        <v/>
      </c>
      <c r="AN174" s="35" t="str">
        <f t="shared" si="29"/>
        <v/>
      </c>
      <c r="AP174" s="17" t="str">
        <f t="shared" si="30"/>
        <v/>
      </c>
      <c r="AQ174" s="35" t="str">
        <f t="shared" si="31"/>
        <v/>
      </c>
      <c r="AV174" s="17" t="str">
        <f t="shared" si="32"/>
        <v/>
      </c>
      <c r="AW174" s="35" t="str">
        <f t="shared" si="33"/>
        <v/>
      </c>
      <c r="AX174" s="35" t="str">
        <f t="shared" si="34"/>
        <v/>
      </c>
    </row>
    <row r="175" spans="1:50" x14ac:dyDescent="0.2">
      <c r="A175" s="18" t="str">
        <f>IF(Расчёты!$E153=1,Расчёты!$B153,"")</f>
        <v/>
      </c>
      <c r="B175" s="34" t="str">
        <f>IF(Расчёты!$E153=1,Расчёты!$D153,"")</f>
        <v/>
      </c>
      <c r="C175" s="33" t="str">
        <f>IF(Расчёты!$E153=1,Расчёты!$Z153,"")</f>
        <v/>
      </c>
      <c r="D175" s="33" t="str">
        <f>IF(Расчёты!$E153=1,Расчёты!$AA153,"")</f>
        <v/>
      </c>
      <c r="E175" s="33" t="str">
        <f>IF(Расчёты!$E153=1,Расчёты!$AB153,"")</f>
        <v/>
      </c>
      <c r="F175" s="33" t="str">
        <f>IF(Расчёты!$E153=1,Расчёты!$AC153,"")</f>
        <v/>
      </c>
      <c r="G175" s="33" t="str">
        <f>IF(Расчёты!$E153=1,Расчёты!$AD153,"")</f>
        <v/>
      </c>
      <c r="H175" s="33" t="str">
        <f>IF(Расчёты!$E153=1,Расчёты!$AI153,"")</f>
        <v/>
      </c>
      <c r="I175" s="33" t="str">
        <f>IF(Расчёты!$E153=1,Расчёты!$AG153,"")</f>
        <v/>
      </c>
      <c r="J175" s="33" t="str">
        <f>IF(Расчёты!$E153=1,Расчёты!$AJ153,"")</f>
        <v/>
      </c>
      <c r="K175" s="33" t="str">
        <f>IF(Расчёты!$E153=1,Расчёты!$AK153,"")</f>
        <v/>
      </c>
      <c r="L175" s="33" t="str">
        <f>IF(Расчёты!$E153=1,Расчёты!$I153,"")</f>
        <v/>
      </c>
      <c r="M175" s="33" t="str">
        <f>IF(Расчёты!$E153=1,Расчёты!$J153,"")</f>
        <v/>
      </c>
      <c r="N175" s="33" t="str">
        <f>IF(Расчёты!$E153=1,Расчёты!$K153,"")</f>
        <v/>
      </c>
      <c r="O175" s="33" t="str">
        <f>IF(Расчёты!$E153=1,Расчёты!$L153,"")</f>
        <v/>
      </c>
      <c r="P175" s="33" t="str">
        <f>IF(Расчёты!$E153=1,Расчёты!$M153,"")</f>
        <v/>
      </c>
      <c r="Q175" s="33" t="str">
        <f>IF(Расчёты!$E153=1,Расчёты!$N153,"")</f>
        <v/>
      </c>
      <c r="R175" s="33" t="str">
        <f>IF(Расчёты!$E153=1,Расчёты!$O153,"")</f>
        <v/>
      </c>
      <c r="S175" s="33" t="str">
        <f>IF(Расчёты!$E153=1,Расчёты!$Q153,"")</f>
        <v/>
      </c>
      <c r="T175" s="33" t="str">
        <f>IF(Расчёты!$E153=1,Расчёты!$S153,"")</f>
        <v/>
      </c>
      <c r="U175" s="33" t="str">
        <f>IF(Расчёты!$E153=1,Расчёты!$U153,"")</f>
        <v/>
      </c>
      <c r="V175" s="33" t="str">
        <f>IF(Расчёты!$E153=1,Расчёты!$W153,"")</f>
        <v/>
      </c>
      <c r="W175" s="33" t="str">
        <f>IF(Расчёты!$E153=1,Расчёты!$X153,"")</f>
        <v/>
      </c>
      <c r="X175" s="33" t="str">
        <f>IF(Расчёты!$E153=1,Расчёты!$Y153,"")</f>
        <v/>
      </c>
      <c r="Y175" s="33" t="str">
        <f>IF(Расчёты!$E153=1,Расчёты!$AL153,"")</f>
        <v/>
      </c>
      <c r="Z175" s="33" t="str">
        <f>IF(Расчёты!$E153=1,Расчёты!$AP153,"")</f>
        <v/>
      </c>
      <c r="AA175" s="33" t="str">
        <f>IF(Расчёты!$E153=1,Расчёты!$AS153,"")</f>
        <v/>
      </c>
      <c r="AB175" s="33" t="str">
        <f>IF(Расчёты!$E153=1,Расчёты!$AV153,"")</f>
        <v/>
      </c>
      <c r="AC175" s="33" t="str">
        <f>IF(Расчёты!$E153=1,Расчёты!$AW153,"")</f>
        <v/>
      </c>
      <c r="AD175" s="33" t="str">
        <f>IF(Расчёты!$E153=1,Расчёты!$AX153,"")</f>
        <v/>
      </c>
      <c r="AE175" s="33" t="str">
        <f>IF(Расчёты!$E153=1,Расчёты!$AY153,"")</f>
        <v/>
      </c>
      <c r="AF175" s="33" t="str">
        <f>IF(Расчёты!$E153=1,Расчёты!$BA153,"")</f>
        <v/>
      </c>
      <c r="AG175" s="33" t="str">
        <f>IF(Расчёты!$E153=1,Расчёты!$BB153,"")</f>
        <v/>
      </c>
      <c r="AH175" s="33" t="str">
        <f>IF(Расчёты!$E153=1,Расчёты!$BC153,"")</f>
        <v/>
      </c>
      <c r="AI175" s="33" t="str">
        <f>IF(Расчёты!$E153=1,Расчёты!$AU153,"")</f>
        <v/>
      </c>
      <c r="AJ175" s="33" t="str">
        <f>IF(Расчёты!$E153=1,Расчёты!$BF153,"")</f>
        <v/>
      </c>
      <c r="AK175" s="33" t="str">
        <f>IF(Расчёты!$E153=1,Расчёты!$BG153,"")</f>
        <v/>
      </c>
      <c r="AM175" s="17" t="str">
        <f t="shared" si="28"/>
        <v/>
      </c>
      <c r="AN175" s="35" t="str">
        <f t="shared" si="29"/>
        <v/>
      </c>
      <c r="AP175" s="17" t="str">
        <f t="shared" si="30"/>
        <v/>
      </c>
      <c r="AQ175" s="35" t="str">
        <f t="shared" si="31"/>
        <v/>
      </c>
      <c r="AV175" s="17" t="str">
        <f t="shared" si="32"/>
        <v/>
      </c>
      <c r="AW175" s="35" t="str">
        <f t="shared" si="33"/>
        <v/>
      </c>
      <c r="AX175" s="35" t="str">
        <f t="shared" si="34"/>
        <v/>
      </c>
    </row>
    <row r="176" spans="1:50" x14ac:dyDescent="0.2">
      <c r="A176" s="18" t="str">
        <f>IF(Расчёты!$E154=1,Расчёты!$B154,"")</f>
        <v/>
      </c>
      <c r="B176" s="34" t="str">
        <f>IF(Расчёты!$E154=1,Расчёты!$D154,"")</f>
        <v/>
      </c>
      <c r="C176" s="33" t="str">
        <f>IF(Расчёты!$E154=1,Расчёты!$Z154,"")</f>
        <v/>
      </c>
      <c r="D176" s="33" t="str">
        <f>IF(Расчёты!$E154=1,Расчёты!$AA154,"")</f>
        <v/>
      </c>
      <c r="E176" s="33" t="str">
        <f>IF(Расчёты!$E154=1,Расчёты!$AB154,"")</f>
        <v/>
      </c>
      <c r="F176" s="33" t="str">
        <f>IF(Расчёты!$E154=1,Расчёты!$AC154,"")</f>
        <v/>
      </c>
      <c r="G176" s="33" t="str">
        <f>IF(Расчёты!$E154=1,Расчёты!$AD154,"")</f>
        <v/>
      </c>
      <c r="H176" s="33" t="str">
        <f>IF(Расчёты!$E154=1,Расчёты!$AI154,"")</f>
        <v/>
      </c>
      <c r="I176" s="33" t="str">
        <f>IF(Расчёты!$E154=1,Расчёты!$AG154,"")</f>
        <v/>
      </c>
      <c r="J176" s="33" t="str">
        <f>IF(Расчёты!$E154=1,Расчёты!$AJ154,"")</f>
        <v/>
      </c>
      <c r="K176" s="33" t="str">
        <f>IF(Расчёты!$E154=1,Расчёты!$AK154,"")</f>
        <v/>
      </c>
      <c r="L176" s="33" t="str">
        <f>IF(Расчёты!$E154=1,Расчёты!$I154,"")</f>
        <v/>
      </c>
      <c r="M176" s="33" t="str">
        <f>IF(Расчёты!$E154=1,Расчёты!$J154,"")</f>
        <v/>
      </c>
      <c r="N176" s="33" t="str">
        <f>IF(Расчёты!$E154=1,Расчёты!$K154,"")</f>
        <v/>
      </c>
      <c r="O176" s="33" t="str">
        <f>IF(Расчёты!$E154=1,Расчёты!$L154,"")</f>
        <v/>
      </c>
      <c r="P176" s="33" t="str">
        <f>IF(Расчёты!$E154=1,Расчёты!$M154,"")</f>
        <v/>
      </c>
      <c r="Q176" s="33" t="str">
        <f>IF(Расчёты!$E154=1,Расчёты!$N154,"")</f>
        <v/>
      </c>
      <c r="R176" s="33" t="str">
        <f>IF(Расчёты!$E154=1,Расчёты!$O154,"")</f>
        <v/>
      </c>
      <c r="S176" s="33" t="str">
        <f>IF(Расчёты!$E154=1,Расчёты!$Q154,"")</f>
        <v/>
      </c>
      <c r="T176" s="33" t="str">
        <f>IF(Расчёты!$E154=1,Расчёты!$S154,"")</f>
        <v/>
      </c>
      <c r="U176" s="33" t="str">
        <f>IF(Расчёты!$E154=1,Расчёты!$U154,"")</f>
        <v/>
      </c>
      <c r="V176" s="33" t="str">
        <f>IF(Расчёты!$E154=1,Расчёты!$W154,"")</f>
        <v/>
      </c>
      <c r="W176" s="33" t="str">
        <f>IF(Расчёты!$E154=1,Расчёты!$X154,"")</f>
        <v/>
      </c>
      <c r="X176" s="33" t="str">
        <f>IF(Расчёты!$E154=1,Расчёты!$Y154,"")</f>
        <v/>
      </c>
      <c r="Y176" s="33" t="str">
        <f>IF(Расчёты!$E154=1,Расчёты!$AL154,"")</f>
        <v/>
      </c>
      <c r="Z176" s="33" t="str">
        <f>IF(Расчёты!$E154=1,Расчёты!$AP154,"")</f>
        <v/>
      </c>
      <c r="AA176" s="33" t="str">
        <f>IF(Расчёты!$E154=1,Расчёты!$AS154,"")</f>
        <v/>
      </c>
      <c r="AB176" s="33" t="str">
        <f>IF(Расчёты!$E154=1,Расчёты!$AV154,"")</f>
        <v/>
      </c>
      <c r="AC176" s="33" t="str">
        <f>IF(Расчёты!$E154=1,Расчёты!$AW154,"")</f>
        <v/>
      </c>
      <c r="AD176" s="33" t="str">
        <f>IF(Расчёты!$E154=1,Расчёты!$AX154,"")</f>
        <v/>
      </c>
      <c r="AE176" s="33" t="str">
        <f>IF(Расчёты!$E154=1,Расчёты!$AY154,"")</f>
        <v/>
      </c>
      <c r="AF176" s="33" t="str">
        <f>IF(Расчёты!$E154=1,Расчёты!$BA154,"")</f>
        <v/>
      </c>
      <c r="AG176" s="33" t="str">
        <f>IF(Расчёты!$E154=1,Расчёты!$BB154,"")</f>
        <v/>
      </c>
      <c r="AH176" s="33" t="str">
        <f>IF(Расчёты!$E154=1,Расчёты!$BC154,"")</f>
        <v/>
      </c>
      <c r="AI176" s="33" t="str">
        <f>IF(Расчёты!$E154=1,Расчёты!$AU154,"")</f>
        <v/>
      </c>
      <c r="AJ176" s="33" t="str">
        <f>IF(Расчёты!$E154=1,Расчёты!$BF154,"")</f>
        <v/>
      </c>
      <c r="AK176" s="33" t="str">
        <f>IF(Расчёты!$E154=1,Расчёты!$BG154,"")</f>
        <v/>
      </c>
      <c r="AM176" s="17" t="str">
        <f t="shared" si="28"/>
        <v/>
      </c>
      <c r="AN176" s="35" t="str">
        <f t="shared" si="29"/>
        <v/>
      </c>
      <c r="AP176" s="17" t="str">
        <f t="shared" si="30"/>
        <v/>
      </c>
      <c r="AQ176" s="35" t="str">
        <f t="shared" si="31"/>
        <v/>
      </c>
      <c r="AV176" s="17" t="str">
        <f t="shared" si="32"/>
        <v/>
      </c>
      <c r="AW176" s="35" t="str">
        <f t="shared" si="33"/>
        <v/>
      </c>
      <c r="AX176" s="35" t="str">
        <f t="shared" si="34"/>
        <v/>
      </c>
    </row>
    <row r="177" spans="1:50" x14ac:dyDescent="0.2">
      <c r="A177" s="18" t="str">
        <f>IF(Расчёты!$E155=1,Расчёты!$B155,"")</f>
        <v/>
      </c>
      <c r="B177" s="34" t="str">
        <f>IF(Расчёты!$E155=1,Расчёты!$D155,"")</f>
        <v/>
      </c>
      <c r="C177" s="33" t="str">
        <f>IF(Расчёты!$E155=1,Расчёты!$Z155,"")</f>
        <v/>
      </c>
      <c r="D177" s="33" t="str">
        <f>IF(Расчёты!$E155=1,Расчёты!$AA155,"")</f>
        <v/>
      </c>
      <c r="E177" s="33" t="str">
        <f>IF(Расчёты!$E155=1,Расчёты!$AB155,"")</f>
        <v/>
      </c>
      <c r="F177" s="33" t="str">
        <f>IF(Расчёты!$E155=1,Расчёты!$AC155,"")</f>
        <v/>
      </c>
      <c r="G177" s="33" t="str">
        <f>IF(Расчёты!$E155=1,Расчёты!$AD155,"")</f>
        <v/>
      </c>
      <c r="H177" s="33" t="str">
        <f>IF(Расчёты!$E155=1,Расчёты!$AI155,"")</f>
        <v/>
      </c>
      <c r="I177" s="33" t="str">
        <f>IF(Расчёты!$E155=1,Расчёты!$AG155,"")</f>
        <v/>
      </c>
      <c r="J177" s="33" t="str">
        <f>IF(Расчёты!$E155=1,Расчёты!$AJ155,"")</f>
        <v/>
      </c>
      <c r="K177" s="33" t="str">
        <f>IF(Расчёты!$E155=1,Расчёты!$AK155,"")</f>
        <v/>
      </c>
      <c r="L177" s="33" t="str">
        <f>IF(Расчёты!$E155=1,Расчёты!$I155,"")</f>
        <v/>
      </c>
      <c r="M177" s="33" t="str">
        <f>IF(Расчёты!$E155=1,Расчёты!$J155,"")</f>
        <v/>
      </c>
      <c r="N177" s="33" t="str">
        <f>IF(Расчёты!$E155=1,Расчёты!$K155,"")</f>
        <v/>
      </c>
      <c r="O177" s="33" t="str">
        <f>IF(Расчёты!$E155=1,Расчёты!$L155,"")</f>
        <v/>
      </c>
      <c r="P177" s="33" t="str">
        <f>IF(Расчёты!$E155=1,Расчёты!$M155,"")</f>
        <v/>
      </c>
      <c r="Q177" s="33" t="str">
        <f>IF(Расчёты!$E155=1,Расчёты!$N155,"")</f>
        <v/>
      </c>
      <c r="R177" s="33" t="str">
        <f>IF(Расчёты!$E155=1,Расчёты!$O155,"")</f>
        <v/>
      </c>
      <c r="S177" s="33" t="str">
        <f>IF(Расчёты!$E155=1,Расчёты!$Q155,"")</f>
        <v/>
      </c>
      <c r="T177" s="33" t="str">
        <f>IF(Расчёты!$E155=1,Расчёты!$S155,"")</f>
        <v/>
      </c>
      <c r="U177" s="33" t="str">
        <f>IF(Расчёты!$E155=1,Расчёты!$U155,"")</f>
        <v/>
      </c>
      <c r="V177" s="33" t="str">
        <f>IF(Расчёты!$E155=1,Расчёты!$W155,"")</f>
        <v/>
      </c>
      <c r="W177" s="33" t="str">
        <f>IF(Расчёты!$E155=1,Расчёты!$X155,"")</f>
        <v/>
      </c>
      <c r="X177" s="33" t="str">
        <f>IF(Расчёты!$E155=1,Расчёты!$Y155,"")</f>
        <v/>
      </c>
      <c r="Y177" s="33" t="str">
        <f>IF(Расчёты!$E155=1,Расчёты!$AL155,"")</f>
        <v/>
      </c>
      <c r="Z177" s="33" t="str">
        <f>IF(Расчёты!$E155=1,Расчёты!$AP155,"")</f>
        <v/>
      </c>
      <c r="AA177" s="33" t="str">
        <f>IF(Расчёты!$E155=1,Расчёты!$AS155,"")</f>
        <v/>
      </c>
      <c r="AB177" s="33" t="str">
        <f>IF(Расчёты!$E155=1,Расчёты!$AV155,"")</f>
        <v/>
      </c>
      <c r="AC177" s="33" t="str">
        <f>IF(Расчёты!$E155=1,Расчёты!$AW155,"")</f>
        <v/>
      </c>
      <c r="AD177" s="33" t="str">
        <f>IF(Расчёты!$E155=1,Расчёты!$AX155,"")</f>
        <v/>
      </c>
      <c r="AE177" s="33" t="str">
        <f>IF(Расчёты!$E155=1,Расчёты!$AY155,"")</f>
        <v/>
      </c>
      <c r="AF177" s="33" t="str">
        <f>IF(Расчёты!$E155=1,Расчёты!$BA155,"")</f>
        <v/>
      </c>
      <c r="AG177" s="33" t="str">
        <f>IF(Расчёты!$E155=1,Расчёты!$BB155,"")</f>
        <v/>
      </c>
      <c r="AH177" s="33" t="str">
        <f>IF(Расчёты!$E155=1,Расчёты!$BC155,"")</f>
        <v/>
      </c>
      <c r="AI177" s="33" t="str">
        <f>IF(Расчёты!$E155=1,Расчёты!$AU155,"")</f>
        <v/>
      </c>
      <c r="AJ177" s="33" t="str">
        <f>IF(Расчёты!$E155=1,Расчёты!$BF155,"")</f>
        <v/>
      </c>
      <c r="AK177" s="33" t="str">
        <f>IF(Расчёты!$E155=1,Расчёты!$BG155,"")</f>
        <v/>
      </c>
      <c r="AM177" s="17" t="str">
        <f t="shared" si="28"/>
        <v/>
      </c>
      <c r="AN177" s="35" t="str">
        <f t="shared" si="29"/>
        <v/>
      </c>
      <c r="AP177" s="17" t="str">
        <f t="shared" si="30"/>
        <v/>
      </c>
      <c r="AQ177" s="35" t="str">
        <f t="shared" si="31"/>
        <v/>
      </c>
      <c r="AV177" s="17" t="str">
        <f t="shared" si="32"/>
        <v/>
      </c>
      <c r="AW177" s="35" t="str">
        <f t="shared" si="33"/>
        <v/>
      </c>
      <c r="AX177" s="35" t="str">
        <f t="shared" si="34"/>
        <v/>
      </c>
    </row>
    <row r="178" spans="1:50" x14ac:dyDescent="0.2">
      <c r="A178" s="18" t="str">
        <f>IF(Расчёты!$E156=1,Расчёты!$B156,"")</f>
        <v/>
      </c>
      <c r="B178" s="34" t="str">
        <f>IF(Расчёты!$E156=1,Расчёты!$D156,"")</f>
        <v/>
      </c>
      <c r="C178" s="33" t="str">
        <f>IF(Расчёты!$E156=1,Расчёты!$Z156,"")</f>
        <v/>
      </c>
      <c r="D178" s="33" t="str">
        <f>IF(Расчёты!$E156=1,Расчёты!$AA156,"")</f>
        <v/>
      </c>
      <c r="E178" s="33" t="str">
        <f>IF(Расчёты!$E156=1,Расчёты!$AB156,"")</f>
        <v/>
      </c>
      <c r="F178" s="33" t="str">
        <f>IF(Расчёты!$E156=1,Расчёты!$AC156,"")</f>
        <v/>
      </c>
      <c r="G178" s="33" t="str">
        <f>IF(Расчёты!$E156=1,Расчёты!$AD156,"")</f>
        <v/>
      </c>
      <c r="H178" s="33" t="str">
        <f>IF(Расчёты!$E156=1,Расчёты!$AI156,"")</f>
        <v/>
      </c>
      <c r="I178" s="33" t="str">
        <f>IF(Расчёты!$E156=1,Расчёты!$AG156,"")</f>
        <v/>
      </c>
      <c r="J178" s="33" t="str">
        <f>IF(Расчёты!$E156=1,Расчёты!$AJ156,"")</f>
        <v/>
      </c>
      <c r="K178" s="33" t="str">
        <f>IF(Расчёты!$E156=1,Расчёты!$AK156,"")</f>
        <v/>
      </c>
      <c r="L178" s="33" t="str">
        <f>IF(Расчёты!$E156=1,Расчёты!$I156,"")</f>
        <v/>
      </c>
      <c r="M178" s="33" t="str">
        <f>IF(Расчёты!$E156=1,Расчёты!$J156,"")</f>
        <v/>
      </c>
      <c r="N178" s="33" t="str">
        <f>IF(Расчёты!$E156=1,Расчёты!$K156,"")</f>
        <v/>
      </c>
      <c r="O178" s="33" t="str">
        <f>IF(Расчёты!$E156=1,Расчёты!$L156,"")</f>
        <v/>
      </c>
      <c r="P178" s="33" t="str">
        <f>IF(Расчёты!$E156=1,Расчёты!$M156,"")</f>
        <v/>
      </c>
      <c r="Q178" s="33" t="str">
        <f>IF(Расчёты!$E156=1,Расчёты!$N156,"")</f>
        <v/>
      </c>
      <c r="R178" s="33" t="str">
        <f>IF(Расчёты!$E156=1,Расчёты!$O156,"")</f>
        <v/>
      </c>
      <c r="S178" s="33" t="str">
        <f>IF(Расчёты!$E156=1,Расчёты!$Q156,"")</f>
        <v/>
      </c>
      <c r="T178" s="33" t="str">
        <f>IF(Расчёты!$E156=1,Расчёты!$S156,"")</f>
        <v/>
      </c>
      <c r="U178" s="33" t="str">
        <f>IF(Расчёты!$E156=1,Расчёты!$U156,"")</f>
        <v/>
      </c>
      <c r="V178" s="33" t="str">
        <f>IF(Расчёты!$E156=1,Расчёты!$W156,"")</f>
        <v/>
      </c>
      <c r="W178" s="33" t="str">
        <f>IF(Расчёты!$E156=1,Расчёты!$X156,"")</f>
        <v/>
      </c>
      <c r="X178" s="33" t="str">
        <f>IF(Расчёты!$E156=1,Расчёты!$Y156,"")</f>
        <v/>
      </c>
      <c r="Y178" s="33" t="str">
        <f>IF(Расчёты!$E156=1,Расчёты!$AL156,"")</f>
        <v/>
      </c>
      <c r="Z178" s="33" t="str">
        <f>IF(Расчёты!$E156=1,Расчёты!$AP156,"")</f>
        <v/>
      </c>
      <c r="AA178" s="33" t="str">
        <f>IF(Расчёты!$E156=1,Расчёты!$AS156,"")</f>
        <v/>
      </c>
      <c r="AB178" s="33" t="str">
        <f>IF(Расчёты!$E156=1,Расчёты!$AV156,"")</f>
        <v/>
      </c>
      <c r="AC178" s="33" t="str">
        <f>IF(Расчёты!$E156=1,Расчёты!$AW156,"")</f>
        <v/>
      </c>
      <c r="AD178" s="33" t="str">
        <f>IF(Расчёты!$E156=1,Расчёты!$AX156,"")</f>
        <v/>
      </c>
      <c r="AE178" s="33" t="str">
        <f>IF(Расчёты!$E156=1,Расчёты!$AY156,"")</f>
        <v/>
      </c>
      <c r="AF178" s="33" t="str">
        <f>IF(Расчёты!$E156=1,Расчёты!$BA156,"")</f>
        <v/>
      </c>
      <c r="AG178" s="33" t="str">
        <f>IF(Расчёты!$E156=1,Расчёты!$BB156,"")</f>
        <v/>
      </c>
      <c r="AH178" s="33" t="str">
        <f>IF(Расчёты!$E156=1,Расчёты!$BC156,"")</f>
        <v/>
      </c>
      <c r="AI178" s="33" t="str">
        <f>IF(Расчёты!$E156=1,Расчёты!$AU156,"")</f>
        <v/>
      </c>
      <c r="AJ178" s="33" t="str">
        <f>IF(Расчёты!$E156=1,Расчёты!$BF156,"")</f>
        <v/>
      </c>
      <c r="AK178" s="33" t="str">
        <f>IF(Расчёты!$E156=1,Расчёты!$BG156,"")</f>
        <v/>
      </c>
      <c r="AM178" s="17" t="str">
        <f t="shared" si="28"/>
        <v/>
      </c>
      <c r="AN178" s="35" t="str">
        <f t="shared" si="29"/>
        <v/>
      </c>
      <c r="AP178" s="17" t="str">
        <f t="shared" si="30"/>
        <v/>
      </c>
      <c r="AQ178" s="35" t="str">
        <f t="shared" si="31"/>
        <v/>
      </c>
      <c r="AV178" s="17" t="str">
        <f t="shared" si="32"/>
        <v/>
      </c>
      <c r="AW178" s="35" t="str">
        <f t="shared" si="33"/>
        <v/>
      </c>
      <c r="AX178" s="35" t="str">
        <f t="shared" si="34"/>
        <v/>
      </c>
    </row>
    <row r="179" spans="1:50" x14ac:dyDescent="0.2">
      <c r="A179" s="18" t="str">
        <f>IF(Расчёты!$E157=1,Расчёты!$B157,"")</f>
        <v/>
      </c>
      <c r="B179" s="34" t="str">
        <f>IF(Расчёты!$E157=1,Расчёты!$D157,"")</f>
        <v/>
      </c>
      <c r="C179" s="33" t="str">
        <f>IF(Расчёты!$E157=1,Расчёты!$Z157,"")</f>
        <v/>
      </c>
      <c r="D179" s="33" t="str">
        <f>IF(Расчёты!$E157=1,Расчёты!$AA157,"")</f>
        <v/>
      </c>
      <c r="E179" s="33" t="str">
        <f>IF(Расчёты!$E157=1,Расчёты!$AB157,"")</f>
        <v/>
      </c>
      <c r="F179" s="33" t="str">
        <f>IF(Расчёты!$E157=1,Расчёты!$AC157,"")</f>
        <v/>
      </c>
      <c r="G179" s="33" t="str">
        <f>IF(Расчёты!$E157=1,Расчёты!$AD157,"")</f>
        <v/>
      </c>
      <c r="H179" s="33" t="str">
        <f>IF(Расчёты!$E157=1,Расчёты!$AI157,"")</f>
        <v/>
      </c>
      <c r="I179" s="33" t="str">
        <f>IF(Расчёты!$E157=1,Расчёты!$AG157,"")</f>
        <v/>
      </c>
      <c r="J179" s="33" t="str">
        <f>IF(Расчёты!$E157=1,Расчёты!$AJ157,"")</f>
        <v/>
      </c>
      <c r="K179" s="33" t="str">
        <f>IF(Расчёты!$E157=1,Расчёты!$AK157,"")</f>
        <v/>
      </c>
      <c r="L179" s="33" t="str">
        <f>IF(Расчёты!$E157=1,Расчёты!$I157,"")</f>
        <v/>
      </c>
      <c r="M179" s="33" t="str">
        <f>IF(Расчёты!$E157=1,Расчёты!$J157,"")</f>
        <v/>
      </c>
      <c r="N179" s="33" t="str">
        <f>IF(Расчёты!$E157=1,Расчёты!$K157,"")</f>
        <v/>
      </c>
      <c r="O179" s="33" t="str">
        <f>IF(Расчёты!$E157=1,Расчёты!$L157,"")</f>
        <v/>
      </c>
      <c r="P179" s="33" t="str">
        <f>IF(Расчёты!$E157=1,Расчёты!$M157,"")</f>
        <v/>
      </c>
      <c r="Q179" s="33" t="str">
        <f>IF(Расчёты!$E157=1,Расчёты!$N157,"")</f>
        <v/>
      </c>
      <c r="R179" s="33" t="str">
        <f>IF(Расчёты!$E157=1,Расчёты!$O157,"")</f>
        <v/>
      </c>
      <c r="S179" s="33" t="str">
        <f>IF(Расчёты!$E157=1,Расчёты!$Q157,"")</f>
        <v/>
      </c>
      <c r="T179" s="33" t="str">
        <f>IF(Расчёты!$E157=1,Расчёты!$S157,"")</f>
        <v/>
      </c>
      <c r="U179" s="33" t="str">
        <f>IF(Расчёты!$E157=1,Расчёты!$U157,"")</f>
        <v/>
      </c>
      <c r="V179" s="33" t="str">
        <f>IF(Расчёты!$E157=1,Расчёты!$W157,"")</f>
        <v/>
      </c>
      <c r="W179" s="33" t="str">
        <f>IF(Расчёты!$E157=1,Расчёты!$X157,"")</f>
        <v/>
      </c>
      <c r="X179" s="33" t="str">
        <f>IF(Расчёты!$E157=1,Расчёты!$Y157,"")</f>
        <v/>
      </c>
      <c r="Y179" s="33" t="str">
        <f>IF(Расчёты!$E157=1,Расчёты!$AL157,"")</f>
        <v/>
      </c>
      <c r="Z179" s="33" t="str">
        <f>IF(Расчёты!$E157=1,Расчёты!$AP157,"")</f>
        <v/>
      </c>
      <c r="AA179" s="33" t="str">
        <f>IF(Расчёты!$E157=1,Расчёты!$AS157,"")</f>
        <v/>
      </c>
      <c r="AB179" s="33" t="str">
        <f>IF(Расчёты!$E157=1,Расчёты!$AV157,"")</f>
        <v/>
      </c>
      <c r="AC179" s="33" t="str">
        <f>IF(Расчёты!$E157=1,Расчёты!$AW157,"")</f>
        <v/>
      </c>
      <c r="AD179" s="33" t="str">
        <f>IF(Расчёты!$E157=1,Расчёты!$AX157,"")</f>
        <v/>
      </c>
      <c r="AE179" s="33" t="str">
        <f>IF(Расчёты!$E157=1,Расчёты!$AY157,"")</f>
        <v/>
      </c>
      <c r="AF179" s="33" t="str">
        <f>IF(Расчёты!$E157=1,Расчёты!$BA157,"")</f>
        <v/>
      </c>
      <c r="AG179" s="33" t="str">
        <f>IF(Расчёты!$E157=1,Расчёты!$BB157,"")</f>
        <v/>
      </c>
      <c r="AH179" s="33" t="str">
        <f>IF(Расчёты!$E157=1,Расчёты!$BC157,"")</f>
        <v/>
      </c>
      <c r="AI179" s="33" t="str">
        <f>IF(Расчёты!$E157=1,Расчёты!$AU157,"")</f>
        <v/>
      </c>
      <c r="AJ179" s="33" t="str">
        <f>IF(Расчёты!$E157=1,Расчёты!$BF157,"")</f>
        <v/>
      </c>
      <c r="AK179" s="33" t="str">
        <f>IF(Расчёты!$E157=1,Расчёты!$BG157,"")</f>
        <v/>
      </c>
      <c r="AM179" s="17" t="str">
        <f t="shared" si="28"/>
        <v/>
      </c>
      <c r="AN179" s="35" t="str">
        <f t="shared" si="29"/>
        <v/>
      </c>
      <c r="AP179" s="17" t="str">
        <f t="shared" si="30"/>
        <v/>
      </c>
      <c r="AQ179" s="35" t="str">
        <f t="shared" si="31"/>
        <v/>
      </c>
      <c r="AV179" s="17" t="str">
        <f t="shared" si="32"/>
        <v/>
      </c>
      <c r="AW179" s="35" t="str">
        <f t="shared" si="33"/>
        <v/>
      </c>
      <c r="AX179" s="35" t="str">
        <f t="shared" si="34"/>
        <v/>
      </c>
    </row>
    <row r="180" spans="1:50" x14ac:dyDescent="0.2">
      <c r="A180" s="18" t="str">
        <f>IF(Расчёты!$E158=1,Расчёты!$B158,"")</f>
        <v/>
      </c>
      <c r="B180" s="34" t="str">
        <f>IF(Расчёты!$E158=1,Расчёты!$D158,"")</f>
        <v/>
      </c>
      <c r="C180" s="33" t="str">
        <f>IF(Расчёты!$E158=1,Расчёты!$Z158,"")</f>
        <v/>
      </c>
      <c r="D180" s="33" t="str">
        <f>IF(Расчёты!$E158=1,Расчёты!$AA158,"")</f>
        <v/>
      </c>
      <c r="E180" s="33" t="str">
        <f>IF(Расчёты!$E158=1,Расчёты!$AB158,"")</f>
        <v/>
      </c>
      <c r="F180" s="33" t="str">
        <f>IF(Расчёты!$E158=1,Расчёты!$AC158,"")</f>
        <v/>
      </c>
      <c r="G180" s="33" t="str">
        <f>IF(Расчёты!$E158=1,Расчёты!$AD158,"")</f>
        <v/>
      </c>
      <c r="H180" s="33" t="str">
        <f>IF(Расчёты!$E158=1,Расчёты!$AI158,"")</f>
        <v/>
      </c>
      <c r="I180" s="33" t="str">
        <f>IF(Расчёты!$E158=1,Расчёты!$AG158,"")</f>
        <v/>
      </c>
      <c r="J180" s="33" t="str">
        <f>IF(Расчёты!$E158=1,Расчёты!$AJ158,"")</f>
        <v/>
      </c>
      <c r="K180" s="33" t="str">
        <f>IF(Расчёты!$E158=1,Расчёты!$AK158,"")</f>
        <v/>
      </c>
      <c r="L180" s="33" t="str">
        <f>IF(Расчёты!$E158=1,Расчёты!$I158,"")</f>
        <v/>
      </c>
      <c r="M180" s="33" t="str">
        <f>IF(Расчёты!$E158=1,Расчёты!$J158,"")</f>
        <v/>
      </c>
      <c r="N180" s="33" t="str">
        <f>IF(Расчёты!$E158=1,Расчёты!$K158,"")</f>
        <v/>
      </c>
      <c r="O180" s="33" t="str">
        <f>IF(Расчёты!$E158=1,Расчёты!$L158,"")</f>
        <v/>
      </c>
      <c r="P180" s="33" t="str">
        <f>IF(Расчёты!$E158=1,Расчёты!$M158,"")</f>
        <v/>
      </c>
      <c r="Q180" s="33" t="str">
        <f>IF(Расчёты!$E158=1,Расчёты!$N158,"")</f>
        <v/>
      </c>
      <c r="R180" s="33" t="str">
        <f>IF(Расчёты!$E158=1,Расчёты!$O158,"")</f>
        <v/>
      </c>
      <c r="S180" s="33" t="str">
        <f>IF(Расчёты!$E158=1,Расчёты!$Q158,"")</f>
        <v/>
      </c>
      <c r="T180" s="33" t="str">
        <f>IF(Расчёты!$E158=1,Расчёты!$S158,"")</f>
        <v/>
      </c>
      <c r="U180" s="33" t="str">
        <f>IF(Расчёты!$E158=1,Расчёты!$U158,"")</f>
        <v/>
      </c>
      <c r="V180" s="33" t="str">
        <f>IF(Расчёты!$E158=1,Расчёты!$W158,"")</f>
        <v/>
      </c>
      <c r="W180" s="33" t="str">
        <f>IF(Расчёты!$E158=1,Расчёты!$X158,"")</f>
        <v/>
      </c>
      <c r="X180" s="33" t="str">
        <f>IF(Расчёты!$E158=1,Расчёты!$Y158,"")</f>
        <v/>
      </c>
      <c r="Y180" s="33" t="str">
        <f>IF(Расчёты!$E158=1,Расчёты!$AL158,"")</f>
        <v/>
      </c>
      <c r="Z180" s="33" t="str">
        <f>IF(Расчёты!$E158=1,Расчёты!$AP158,"")</f>
        <v/>
      </c>
      <c r="AA180" s="33" t="str">
        <f>IF(Расчёты!$E158=1,Расчёты!$AS158,"")</f>
        <v/>
      </c>
      <c r="AB180" s="33" t="str">
        <f>IF(Расчёты!$E158=1,Расчёты!$AV158,"")</f>
        <v/>
      </c>
      <c r="AC180" s="33" t="str">
        <f>IF(Расчёты!$E158=1,Расчёты!$AW158,"")</f>
        <v/>
      </c>
      <c r="AD180" s="33" t="str">
        <f>IF(Расчёты!$E158=1,Расчёты!$AX158,"")</f>
        <v/>
      </c>
      <c r="AE180" s="33" t="str">
        <f>IF(Расчёты!$E158=1,Расчёты!$AY158,"")</f>
        <v/>
      </c>
      <c r="AF180" s="33" t="str">
        <f>IF(Расчёты!$E158=1,Расчёты!$BA158,"")</f>
        <v/>
      </c>
      <c r="AG180" s="33" t="str">
        <f>IF(Расчёты!$E158=1,Расчёты!$BB158,"")</f>
        <v/>
      </c>
      <c r="AH180" s="33" t="str">
        <f>IF(Расчёты!$E158=1,Расчёты!$BC158,"")</f>
        <v/>
      </c>
      <c r="AI180" s="33" t="str">
        <f>IF(Расчёты!$E158=1,Расчёты!$AU158,"")</f>
        <v/>
      </c>
      <c r="AJ180" s="33" t="str">
        <f>IF(Расчёты!$E158=1,Расчёты!$BF158,"")</f>
        <v/>
      </c>
      <c r="AK180" s="33" t="str">
        <f>IF(Расчёты!$E158=1,Расчёты!$BG158,"")</f>
        <v/>
      </c>
      <c r="AM180" s="17" t="str">
        <f t="shared" si="28"/>
        <v/>
      </c>
      <c r="AN180" s="35" t="str">
        <f t="shared" si="29"/>
        <v/>
      </c>
      <c r="AP180" s="17" t="str">
        <f t="shared" si="30"/>
        <v/>
      </c>
      <c r="AQ180" s="35" t="str">
        <f t="shared" si="31"/>
        <v/>
      </c>
      <c r="AV180" s="17" t="str">
        <f t="shared" si="32"/>
        <v/>
      </c>
      <c r="AW180" s="35" t="str">
        <f t="shared" si="33"/>
        <v/>
      </c>
      <c r="AX180" s="35" t="str">
        <f t="shared" si="34"/>
        <v/>
      </c>
    </row>
    <row r="181" spans="1:50" x14ac:dyDescent="0.2">
      <c r="A181" s="18" t="str">
        <f>IF(Расчёты!$E159=1,Расчёты!$B159,"")</f>
        <v/>
      </c>
      <c r="B181" s="34" t="str">
        <f>IF(Расчёты!$E159=1,Расчёты!$D159,"")</f>
        <v/>
      </c>
      <c r="C181" s="33" t="str">
        <f>IF(Расчёты!$E159=1,Расчёты!$Z159,"")</f>
        <v/>
      </c>
      <c r="D181" s="33" t="str">
        <f>IF(Расчёты!$E159=1,Расчёты!$AA159,"")</f>
        <v/>
      </c>
      <c r="E181" s="33" t="str">
        <f>IF(Расчёты!$E159=1,Расчёты!$AB159,"")</f>
        <v/>
      </c>
      <c r="F181" s="33" t="str">
        <f>IF(Расчёты!$E159=1,Расчёты!$AC159,"")</f>
        <v/>
      </c>
      <c r="G181" s="33" t="str">
        <f>IF(Расчёты!$E159=1,Расчёты!$AD159,"")</f>
        <v/>
      </c>
      <c r="H181" s="33" t="str">
        <f>IF(Расчёты!$E159=1,Расчёты!$AI159,"")</f>
        <v/>
      </c>
      <c r="I181" s="33" t="str">
        <f>IF(Расчёты!$E159=1,Расчёты!$AG159,"")</f>
        <v/>
      </c>
      <c r="J181" s="33" t="str">
        <f>IF(Расчёты!$E159=1,Расчёты!$AJ159,"")</f>
        <v/>
      </c>
      <c r="K181" s="33" t="str">
        <f>IF(Расчёты!$E159=1,Расчёты!$AK159,"")</f>
        <v/>
      </c>
      <c r="L181" s="33" t="str">
        <f>IF(Расчёты!$E159=1,Расчёты!$I159,"")</f>
        <v/>
      </c>
      <c r="M181" s="33" t="str">
        <f>IF(Расчёты!$E159=1,Расчёты!$J159,"")</f>
        <v/>
      </c>
      <c r="N181" s="33" t="str">
        <f>IF(Расчёты!$E159=1,Расчёты!$K159,"")</f>
        <v/>
      </c>
      <c r="O181" s="33" t="str">
        <f>IF(Расчёты!$E159=1,Расчёты!$L159,"")</f>
        <v/>
      </c>
      <c r="P181" s="33" t="str">
        <f>IF(Расчёты!$E159=1,Расчёты!$M159,"")</f>
        <v/>
      </c>
      <c r="Q181" s="33" t="str">
        <f>IF(Расчёты!$E159=1,Расчёты!$N159,"")</f>
        <v/>
      </c>
      <c r="R181" s="33" t="str">
        <f>IF(Расчёты!$E159=1,Расчёты!$O159,"")</f>
        <v/>
      </c>
      <c r="S181" s="33" t="str">
        <f>IF(Расчёты!$E159=1,Расчёты!$Q159,"")</f>
        <v/>
      </c>
      <c r="T181" s="33" t="str">
        <f>IF(Расчёты!$E159=1,Расчёты!$S159,"")</f>
        <v/>
      </c>
      <c r="U181" s="33" t="str">
        <f>IF(Расчёты!$E159=1,Расчёты!$U159,"")</f>
        <v/>
      </c>
      <c r="V181" s="33" t="str">
        <f>IF(Расчёты!$E159=1,Расчёты!$W159,"")</f>
        <v/>
      </c>
      <c r="W181" s="33" t="str">
        <f>IF(Расчёты!$E159=1,Расчёты!$X159,"")</f>
        <v/>
      </c>
      <c r="X181" s="33" t="str">
        <f>IF(Расчёты!$E159=1,Расчёты!$Y159,"")</f>
        <v/>
      </c>
      <c r="Y181" s="33" t="str">
        <f>IF(Расчёты!$E159=1,Расчёты!$AL159,"")</f>
        <v/>
      </c>
      <c r="Z181" s="33" t="str">
        <f>IF(Расчёты!$E159=1,Расчёты!$AP159,"")</f>
        <v/>
      </c>
      <c r="AA181" s="33" t="str">
        <f>IF(Расчёты!$E159=1,Расчёты!$AS159,"")</f>
        <v/>
      </c>
      <c r="AB181" s="33" t="str">
        <f>IF(Расчёты!$E159=1,Расчёты!$AV159,"")</f>
        <v/>
      </c>
      <c r="AC181" s="33" t="str">
        <f>IF(Расчёты!$E159=1,Расчёты!$AW159,"")</f>
        <v/>
      </c>
      <c r="AD181" s="33" t="str">
        <f>IF(Расчёты!$E159=1,Расчёты!$AX159,"")</f>
        <v/>
      </c>
      <c r="AE181" s="33" t="str">
        <f>IF(Расчёты!$E159=1,Расчёты!$AY159,"")</f>
        <v/>
      </c>
      <c r="AF181" s="33" t="str">
        <f>IF(Расчёты!$E159=1,Расчёты!$BA159,"")</f>
        <v/>
      </c>
      <c r="AG181" s="33" t="str">
        <f>IF(Расчёты!$E159=1,Расчёты!$BB159,"")</f>
        <v/>
      </c>
      <c r="AH181" s="33" t="str">
        <f>IF(Расчёты!$E159=1,Расчёты!$BC159,"")</f>
        <v/>
      </c>
      <c r="AI181" s="33" t="str">
        <f>IF(Расчёты!$E159=1,Расчёты!$AU159,"")</f>
        <v/>
      </c>
      <c r="AJ181" s="33" t="str">
        <f>IF(Расчёты!$E159=1,Расчёты!$BF159,"")</f>
        <v/>
      </c>
      <c r="AK181" s="33" t="str">
        <f>IF(Расчёты!$E159=1,Расчёты!$BG159,"")</f>
        <v/>
      </c>
      <c r="AM181" s="17" t="str">
        <f t="shared" si="28"/>
        <v/>
      </c>
      <c r="AN181" s="35" t="str">
        <f t="shared" si="29"/>
        <v/>
      </c>
      <c r="AP181" s="17" t="str">
        <f t="shared" si="30"/>
        <v/>
      </c>
      <c r="AQ181" s="35" t="str">
        <f t="shared" si="31"/>
        <v/>
      </c>
      <c r="AV181" s="17" t="str">
        <f t="shared" si="32"/>
        <v/>
      </c>
      <c r="AW181" s="35" t="str">
        <f t="shared" si="33"/>
        <v/>
      </c>
      <c r="AX181" s="35" t="str">
        <f t="shared" si="34"/>
        <v/>
      </c>
    </row>
    <row r="182" spans="1:50" x14ac:dyDescent="0.2">
      <c r="A182" s="18" t="str">
        <f>IF(Расчёты!$E160=1,Расчёты!$B160,"")</f>
        <v/>
      </c>
      <c r="B182" s="34" t="str">
        <f>IF(Расчёты!$E160=1,Расчёты!$D160,"")</f>
        <v/>
      </c>
      <c r="C182" s="33" t="str">
        <f>IF(Расчёты!$E160=1,Расчёты!$Z160,"")</f>
        <v/>
      </c>
      <c r="D182" s="33" t="str">
        <f>IF(Расчёты!$E160=1,Расчёты!$AA160,"")</f>
        <v/>
      </c>
      <c r="E182" s="33" t="str">
        <f>IF(Расчёты!$E160=1,Расчёты!$AB160,"")</f>
        <v/>
      </c>
      <c r="F182" s="33" t="str">
        <f>IF(Расчёты!$E160=1,Расчёты!$AC160,"")</f>
        <v/>
      </c>
      <c r="G182" s="33" t="str">
        <f>IF(Расчёты!$E160=1,Расчёты!$AD160,"")</f>
        <v/>
      </c>
      <c r="H182" s="33" t="str">
        <f>IF(Расчёты!$E160=1,Расчёты!$AI160,"")</f>
        <v/>
      </c>
      <c r="I182" s="33" t="str">
        <f>IF(Расчёты!$E160=1,Расчёты!$AG160,"")</f>
        <v/>
      </c>
      <c r="J182" s="33" t="str">
        <f>IF(Расчёты!$E160=1,Расчёты!$AJ160,"")</f>
        <v/>
      </c>
      <c r="K182" s="33" t="str">
        <f>IF(Расчёты!$E160=1,Расчёты!$AK160,"")</f>
        <v/>
      </c>
      <c r="L182" s="33" t="str">
        <f>IF(Расчёты!$E160=1,Расчёты!$I160,"")</f>
        <v/>
      </c>
      <c r="M182" s="33" t="str">
        <f>IF(Расчёты!$E160=1,Расчёты!$J160,"")</f>
        <v/>
      </c>
      <c r="N182" s="33" t="str">
        <f>IF(Расчёты!$E160=1,Расчёты!$K160,"")</f>
        <v/>
      </c>
      <c r="O182" s="33" t="str">
        <f>IF(Расчёты!$E160=1,Расчёты!$L160,"")</f>
        <v/>
      </c>
      <c r="P182" s="33" t="str">
        <f>IF(Расчёты!$E160=1,Расчёты!$M160,"")</f>
        <v/>
      </c>
      <c r="Q182" s="33" t="str">
        <f>IF(Расчёты!$E160=1,Расчёты!$N160,"")</f>
        <v/>
      </c>
      <c r="R182" s="33" t="str">
        <f>IF(Расчёты!$E160=1,Расчёты!$O160,"")</f>
        <v/>
      </c>
      <c r="S182" s="33" t="str">
        <f>IF(Расчёты!$E160=1,Расчёты!$Q160,"")</f>
        <v/>
      </c>
      <c r="T182" s="33" t="str">
        <f>IF(Расчёты!$E160=1,Расчёты!$S160,"")</f>
        <v/>
      </c>
      <c r="U182" s="33" t="str">
        <f>IF(Расчёты!$E160=1,Расчёты!$U160,"")</f>
        <v/>
      </c>
      <c r="V182" s="33" t="str">
        <f>IF(Расчёты!$E160=1,Расчёты!$W160,"")</f>
        <v/>
      </c>
      <c r="W182" s="33" t="str">
        <f>IF(Расчёты!$E160=1,Расчёты!$X160,"")</f>
        <v/>
      </c>
      <c r="X182" s="33" t="str">
        <f>IF(Расчёты!$E160=1,Расчёты!$Y160,"")</f>
        <v/>
      </c>
      <c r="Y182" s="33" t="str">
        <f>IF(Расчёты!$E160=1,Расчёты!$AL160,"")</f>
        <v/>
      </c>
      <c r="Z182" s="33" t="str">
        <f>IF(Расчёты!$E160=1,Расчёты!$AP160,"")</f>
        <v/>
      </c>
      <c r="AA182" s="33" t="str">
        <f>IF(Расчёты!$E160=1,Расчёты!$AS160,"")</f>
        <v/>
      </c>
      <c r="AB182" s="33" t="str">
        <f>IF(Расчёты!$E160=1,Расчёты!$AV160,"")</f>
        <v/>
      </c>
      <c r="AC182" s="33" t="str">
        <f>IF(Расчёты!$E160=1,Расчёты!$AW160,"")</f>
        <v/>
      </c>
      <c r="AD182" s="33" t="str">
        <f>IF(Расчёты!$E160=1,Расчёты!$AX160,"")</f>
        <v/>
      </c>
      <c r="AE182" s="33" t="str">
        <f>IF(Расчёты!$E160=1,Расчёты!$AY160,"")</f>
        <v/>
      </c>
      <c r="AF182" s="33" t="str">
        <f>IF(Расчёты!$E160=1,Расчёты!$BA160,"")</f>
        <v/>
      </c>
      <c r="AG182" s="33" t="str">
        <f>IF(Расчёты!$E160=1,Расчёты!$BB160,"")</f>
        <v/>
      </c>
      <c r="AH182" s="33" t="str">
        <f>IF(Расчёты!$E160=1,Расчёты!$BC160,"")</f>
        <v/>
      </c>
      <c r="AI182" s="33" t="str">
        <f>IF(Расчёты!$E160=1,Расчёты!$AU160,"")</f>
        <v/>
      </c>
      <c r="AJ182" s="33" t="str">
        <f>IF(Расчёты!$E160=1,Расчёты!$BF160,"")</f>
        <v/>
      </c>
      <c r="AK182" s="33" t="str">
        <f>IF(Расчёты!$E160=1,Расчёты!$BG160,"")</f>
        <v/>
      </c>
      <c r="AM182" s="17" t="str">
        <f t="shared" si="28"/>
        <v/>
      </c>
      <c r="AN182" s="35" t="str">
        <f t="shared" si="29"/>
        <v/>
      </c>
      <c r="AP182" s="17" t="str">
        <f t="shared" si="30"/>
        <v/>
      </c>
      <c r="AQ182" s="35" t="str">
        <f t="shared" si="31"/>
        <v/>
      </c>
      <c r="AV182" s="17" t="str">
        <f t="shared" si="32"/>
        <v/>
      </c>
      <c r="AW182" s="35" t="str">
        <f t="shared" si="33"/>
        <v/>
      </c>
      <c r="AX182" s="35" t="str">
        <f t="shared" si="34"/>
        <v/>
      </c>
    </row>
    <row r="183" spans="1:50" x14ac:dyDescent="0.2">
      <c r="A183" s="18" t="str">
        <f>IF(Расчёты!$E161=1,Расчёты!$B161,"")</f>
        <v/>
      </c>
      <c r="B183" s="34" t="str">
        <f>IF(Расчёты!$E161=1,Расчёты!$D161,"")</f>
        <v/>
      </c>
      <c r="C183" s="33" t="str">
        <f>IF(Расчёты!$E161=1,Расчёты!$Z161,"")</f>
        <v/>
      </c>
      <c r="D183" s="33" t="str">
        <f>IF(Расчёты!$E161=1,Расчёты!$AA161,"")</f>
        <v/>
      </c>
      <c r="E183" s="33" t="str">
        <f>IF(Расчёты!$E161=1,Расчёты!$AB161,"")</f>
        <v/>
      </c>
      <c r="F183" s="33" t="str">
        <f>IF(Расчёты!$E161=1,Расчёты!$AC161,"")</f>
        <v/>
      </c>
      <c r="G183" s="33" t="str">
        <f>IF(Расчёты!$E161=1,Расчёты!$AD161,"")</f>
        <v/>
      </c>
      <c r="H183" s="33" t="str">
        <f>IF(Расчёты!$E161=1,Расчёты!$AI161,"")</f>
        <v/>
      </c>
      <c r="I183" s="33" t="str">
        <f>IF(Расчёты!$E161=1,Расчёты!$AG161,"")</f>
        <v/>
      </c>
      <c r="J183" s="33" t="str">
        <f>IF(Расчёты!$E161=1,Расчёты!$AJ161,"")</f>
        <v/>
      </c>
      <c r="K183" s="33" t="str">
        <f>IF(Расчёты!$E161=1,Расчёты!$AK161,"")</f>
        <v/>
      </c>
      <c r="L183" s="33" t="str">
        <f>IF(Расчёты!$E161=1,Расчёты!$I161,"")</f>
        <v/>
      </c>
      <c r="M183" s="33" t="str">
        <f>IF(Расчёты!$E161=1,Расчёты!$J161,"")</f>
        <v/>
      </c>
      <c r="N183" s="33" t="str">
        <f>IF(Расчёты!$E161=1,Расчёты!$K161,"")</f>
        <v/>
      </c>
      <c r="O183" s="33" t="str">
        <f>IF(Расчёты!$E161=1,Расчёты!$L161,"")</f>
        <v/>
      </c>
      <c r="P183" s="33" t="str">
        <f>IF(Расчёты!$E161=1,Расчёты!$M161,"")</f>
        <v/>
      </c>
      <c r="Q183" s="33" t="str">
        <f>IF(Расчёты!$E161=1,Расчёты!$N161,"")</f>
        <v/>
      </c>
      <c r="R183" s="33" t="str">
        <f>IF(Расчёты!$E161=1,Расчёты!$O161,"")</f>
        <v/>
      </c>
      <c r="S183" s="33" t="str">
        <f>IF(Расчёты!$E161=1,Расчёты!$Q161,"")</f>
        <v/>
      </c>
      <c r="T183" s="33" t="str">
        <f>IF(Расчёты!$E161=1,Расчёты!$S161,"")</f>
        <v/>
      </c>
      <c r="U183" s="33" t="str">
        <f>IF(Расчёты!$E161=1,Расчёты!$U161,"")</f>
        <v/>
      </c>
      <c r="V183" s="33" t="str">
        <f>IF(Расчёты!$E161=1,Расчёты!$W161,"")</f>
        <v/>
      </c>
      <c r="W183" s="33" t="str">
        <f>IF(Расчёты!$E161=1,Расчёты!$X161,"")</f>
        <v/>
      </c>
      <c r="X183" s="33" t="str">
        <f>IF(Расчёты!$E161=1,Расчёты!$Y161,"")</f>
        <v/>
      </c>
      <c r="Y183" s="33" t="str">
        <f>IF(Расчёты!$E161=1,Расчёты!$AL161,"")</f>
        <v/>
      </c>
      <c r="Z183" s="33" t="str">
        <f>IF(Расчёты!$E161=1,Расчёты!$AP161,"")</f>
        <v/>
      </c>
      <c r="AA183" s="33" t="str">
        <f>IF(Расчёты!$E161=1,Расчёты!$AS161,"")</f>
        <v/>
      </c>
      <c r="AB183" s="33" t="str">
        <f>IF(Расчёты!$E161=1,Расчёты!$AV161,"")</f>
        <v/>
      </c>
      <c r="AC183" s="33" t="str">
        <f>IF(Расчёты!$E161=1,Расчёты!$AW161,"")</f>
        <v/>
      </c>
      <c r="AD183" s="33" t="str">
        <f>IF(Расчёты!$E161=1,Расчёты!$AX161,"")</f>
        <v/>
      </c>
      <c r="AE183" s="33" t="str">
        <f>IF(Расчёты!$E161=1,Расчёты!$AY161,"")</f>
        <v/>
      </c>
      <c r="AF183" s="33" t="str">
        <f>IF(Расчёты!$E161=1,Расчёты!$BA161,"")</f>
        <v/>
      </c>
      <c r="AG183" s="33" t="str">
        <f>IF(Расчёты!$E161=1,Расчёты!$BB161,"")</f>
        <v/>
      </c>
      <c r="AH183" s="33" t="str">
        <f>IF(Расчёты!$E161=1,Расчёты!$BC161,"")</f>
        <v/>
      </c>
      <c r="AI183" s="33" t="str">
        <f>IF(Расчёты!$E161=1,Расчёты!$AU161,"")</f>
        <v/>
      </c>
      <c r="AJ183" s="33" t="str">
        <f>IF(Расчёты!$E161=1,Расчёты!$BF161,"")</f>
        <v/>
      </c>
      <c r="AK183" s="33" t="str">
        <f>IF(Расчёты!$E161=1,Расчёты!$BG161,"")</f>
        <v/>
      </c>
      <c r="AM183" s="17" t="str">
        <f t="shared" si="28"/>
        <v/>
      </c>
      <c r="AN183" s="35" t="str">
        <f t="shared" si="29"/>
        <v/>
      </c>
      <c r="AP183" s="17" t="str">
        <f t="shared" si="30"/>
        <v/>
      </c>
      <c r="AQ183" s="35" t="str">
        <f t="shared" si="31"/>
        <v/>
      </c>
      <c r="AV183" s="17" t="str">
        <f t="shared" si="32"/>
        <v/>
      </c>
      <c r="AW183" s="35" t="str">
        <f t="shared" si="33"/>
        <v/>
      </c>
      <c r="AX183" s="35" t="str">
        <f t="shared" si="34"/>
        <v/>
      </c>
    </row>
    <row r="184" spans="1:50" x14ac:dyDescent="0.2">
      <c r="A184" s="18" t="str">
        <f>IF(Расчёты!$E162=1,Расчёты!$B162,"")</f>
        <v/>
      </c>
      <c r="B184" s="34" t="str">
        <f>IF(Расчёты!$E162=1,Расчёты!$D162,"")</f>
        <v/>
      </c>
      <c r="C184" s="33" t="str">
        <f>IF(Расчёты!$E162=1,Расчёты!$Z162,"")</f>
        <v/>
      </c>
      <c r="D184" s="33" t="str">
        <f>IF(Расчёты!$E162=1,Расчёты!$AA162,"")</f>
        <v/>
      </c>
      <c r="E184" s="33" t="str">
        <f>IF(Расчёты!$E162=1,Расчёты!$AB162,"")</f>
        <v/>
      </c>
      <c r="F184" s="33" t="str">
        <f>IF(Расчёты!$E162=1,Расчёты!$AC162,"")</f>
        <v/>
      </c>
      <c r="G184" s="33" t="str">
        <f>IF(Расчёты!$E162=1,Расчёты!$AD162,"")</f>
        <v/>
      </c>
      <c r="H184" s="33" t="str">
        <f>IF(Расчёты!$E162=1,Расчёты!$AI162,"")</f>
        <v/>
      </c>
      <c r="I184" s="33" t="str">
        <f>IF(Расчёты!$E162=1,Расчёты!$AG162,"")</f>
        <v/>
      </c>
      <c r="J184" s="33" t="str">
        <f>IF(Расчёты!$E162=1,Расчёты!$AJ162,"")</f>
        <v/>
      </c>
      <c r="K184" s="33" t="str">
        <f>IF(Расчёты!$E162=1,Расчёты!$AK162,"")</f>
        <v/>
      </c>
      <c r="L184" s="33" t="str">
        <f>IF(Расчёты!$E162=1,Расчёты!$I162,"")</f>
        <v/>
      </c>
      <c r="M184" s="33" t="str">
        <f>IF(Расчёты!$E162=1,Расчёты!$J162,"")</f>
        <v/>
      </c>
      <c r="N184" s="33" t="str">
        <f>IF(Расчёты!$E162=1,Расчёты!$K162,"")</f>
        <v/>
      </c>
      <c r="O184" s="33" t="str">
        <f>IF(Расчёты!$E162=1,Расчёты!$L162,"")</f>
        <v/>
      </c>
      <c r="P184" s="33" t="str">
        <f>IF(Расчёты!$E162=1,Расчёты!$M162,"")</f>
        <v/>
      </c>
      <c r="Q184" s="33" t="str">
        <f>IF(Расчёты!$E162=1,Расчёты!$N162,"")</f>
        <v/>
      </c>
      <c r="R184" s="33" t="str">
        <f>IF(Расчёты!$E162=1,Расчёты!$O162,"")</f>
        <v/>
      </c>
      <c r="S184" s="33" t="str">
        <f>IF(Расчёты!$E162=1,Расчёты!$Q162,"")</f>
        <v/>
      </c>
      <c r="T184" s="33" t="str">
        <f>IF(Расчёты!$E162=1,Расчёты!$S162,"")</f>
        <v/>
      </c>
      <c r="U184" s="33" t="str">
        <f>IF(Расчёты!$E162=1,Расчёты!$U162,"")</f>
        <v/>
      </c>
      <c r="V184" s="33" t="str">
        <f>IF(Расчёты!$E162=1,Расчёты!$W162,"")</f>
        <v/>
      </c>
      <c r="W184" s="33" t="str">
        <f>IF(Расчёты!$E162=1,Расчёты!$X162,"")</f>
        <v/>
      </c>
      <c r="X184" s="33" t="str">
        <f>IF(Расчёты!$E162=1,Расчёты!$Y162,"")</f>
        <v/>
      </c>
      <c r="Y184" s="33" t="str">
        <f>IF(Расчёты!$E162=1,Расчёты!$AL162,"")</f>
        <v/>
      </c>
      <c r="Z184" s="33" t="str">
        <f>IF(Расчёты!$E162=1,Расчёты!$AP162,"")</f>
        <v/>
      </c>
      <c r="AA184" s="33" t="str">
        <f>IF(Расчёты!$E162=1,Расчёты!$AS162,"")</f>
        <v/>
      </c>
      <c r="AB184" s="33" t="str">
        <f>IF(Расчёты!$E162=1,Расчёты!$AV162,"")</f>
        <v/>
      </c>
      <c r="AC184" s="33" t="str">
        <f>IF(Расчёты!$E162=1,Расчёты!$AW162,"")</f>
        <v/>
      </c>
      <c r="AD184" s="33" t="str">
        <f>IF(Расчёты!$E162=1,Расчёты!$AX162,"")</f>
        <v/>
      </c>
      <c r="AE184" s="33" t="str">
        <f>IF(Расчёты!$E162=1,Расчёты!$AY162,"")</f>
        <v/>
      </c>
      <c r="AF184" s="33" t="str">
        <f>IF(Расчёты!$E162=1,Расчёты!$BA162,"")</f>
        <v/>
      </c>
      <c r="AG184" s="33" t="str">
        <f>IF(Расчёты!$E162=1,Расчёты!$BB162,"")</f>
        <v/>
      </c>
      <c r="AH184" s="33" t="str">
        <f>IF(Расчёты!$E162=1,Расчёты!$BC162,"")</f>
        <v/>
      </c>
      <c r="AI184" s="33" t="str">
        <f>IF(Расчёты!$E162=1,Расчёты!$AU162,"")</f>
        <v/>
      </c>
      <c r="AJ184" s="33" t="str">
        <f>IF(Расчёты!$E162=1,Расчёты!$BF162,"")</f>
        <v/>
      </c>
      <c r="AK184" s="33" t="str">
        <f>IF(Расчёты!$E162=1,Расчёты!$BG162,"")</f>
        <v/>
      </c>
      <c r="AM184" s="17" t="str">
        <f t="shared" ref="AM184:AM216" si="35">A184</f>
        <v/>
      </c>
      <c r="AN184" s="35" t="str">
        <f t="shared" ref="AN184:AN216" si="36">AF184</f>
        <v/>
      </c>
      <c r="AP184" s="17" t="str">
        <f t="shared" ref="AP184:AP216" si="37">A184</f>
        <v/>
      </c>
      <c r="AQ184" s="35" t="str">
        <f t="shared" ref="AQ184:AQ216" si="38">AG184</f>
        <v/>
      </c>
      <c r="AV184" s="17" t="str">
        <f t="shared" ref="AV184:AV216" si="39">A184</f>
        <v/>
      </c>
      <c r="AW184" s="35" t="str">
        <f t="shared" ref="AW184:AW216" si="40">AI184</f>
        <v/>
      </c>
      <c r="AX184" s="35" t="str">
        <f t="shared" ref="AX184:AX216" si="41">K184</f>
        <v/>
      </c>
    </row>
    <row r="185" spans="1:50" x14ac:dyDescent="0.2">
      <c r="A185" s="18" t="str">
        <f>IF(Расчёты!$E163=1,Расчёты!$B163,"")</f>
        <v/>
      </c>
      <c r="B185" s="34" t="str">
        <f>IF(Расчёты!$E163=1,Расчёты!$D163,"")</f>
        <v/>
      </c>
      <c r="C185" s="33" t="str">
        <f>IF(Расчёты!$E163=1,Расчёты!$Z163,"")</f>
        <v/>
      </c>
      <c r="D185" s="33" t="str">
        <f>IF(Расчёты!$E163=1,Расчёты!$AA163,"")</f>
        <v/>
      </c>
      <c r="E185" s="33" t="str">
        <f>IF(Расчёты!$E163=1,Расчёты!$AB163,"")</f>
        <v/>
      </c>
      <c r="F185" s="33" t="str">
        <f>IF(Расчёты!$E163=1,Расчёты!$AC163,"")</f>
        <v/>
      </c>
      <c r="G185" s="33" t="str">
        <f>IF(Расчёты!$E163=1,Расчёты!$AD163,"")</f>
        <v/>
      </c>
      <c r="H185" s="33" t="str">
        <f>IF(Расчёты!$E163=1,Расчёты!$AI163,"")</f>
        <v/>
      </c>
      <c r="I185" s="33" t="str">
        <f>IF(Расчёты!$E163=1,Расчёты!$AG163,"")</f>
        <v/>
      </c>
      <c r="J185" s="33" t="str">
        <f>IF(Расчёты!$E163=1,Расчёты!$AJ163,"")</f>
        <v/>
      </c>
      <c r="K185" s="33" t="str">
        <f>IF(Расчёты!$E163=1,Расчёты!$AK163,"")</f>
        <v/>
      </c>
      <c r="L185" s="33" t="str">
        <f>IF(Расчёты!$E163=1,Расчёты!$I163,"")</f>
        <v/>
      </c>
      <c r="M185" s="33" t="str">
        <f>IF(Расчёты!$E163=1,Расчёты!$J163,"")</f>
        <v/>
      </c>
      <c r="N185" s="33" t="str">
        <f>IF(Расчёты!$E163=1,Расчёты!$K163,"")</f>
        <v/>
      </c>
      <c r="O185" s="33" t="str">
        <f>IF(Расчёты!$E163=1,Расчёты!$L163,"")</f>
        <v/>
      </c>
      <c r="P185" s="33" t="str">
        <f>IF(Расчёты!$E163=1,Расчёты!$M163,"")</f>
        <v/>
      </c>
      <c r="Q185" s="33" t="str">
        <f>IF(Расчёты!$E163=1,Расчёты!$N163,"")</f>
        <v/>
      </c>
      <c r="R185" s="33" t="str">
        <f>IF(Расчёты!$E163=1,Расчёты!$O163,"")</f>
        <v/>
      </c>
      <c r="S185" s="33" t="str">
        <f>IF(Расчёты!$E163=1,Расчёты!$Q163,"")</f>
        <v/>
      </c>
      <c r="T185" s="33" t="str">
        <f>IF(Расчёты!$E163=1,Расчёты!$S163,"")</f>
        <v/>
      </c>
      <c r="U185" s="33" t="str">
        <f>IF(Расчёты!$E163=1,Расчёты!$U163,"")</f>
        <v/>
      </c>
      <c r="V185" s="33" t="str">
        <f>IF(Расчёты!$E163=1,Расчёты!$W163,"")</f>
        <v/>
      </c>
      <c r="W185" s="33" t="str">
        <f>IF(Расчёты!$E163=1,Расчёты!$X163,"")</f>
        <v/>
      </c>
      <c r="X185" s="33" t="str">
        <f>IF(Расчёты!$E163=1,Расчёты!$Y163,"")</f>
        <v/>
      </c>
      <c r="Y185" s="33" t="str">
        <f>IF(Расчёты!$E163=1,Расчёты!$AL163,"")</f>
        <v/>
      </c>
      <c r="Z185" s="33" t="str">
        <f>IF(Расчёты!$E163=1,Расчёты!$AP163,"")</f>
        <v/>
      </c>
      <c r="AA185" s="33" t="str">
        <f>IF(Расчёты!$E163=1,Расчёты!$AS163,"")</f>
        <v/>
      </c>
      <c r="AB185" s="33" t="str">
        <f>IF(Расчёты!$E163=1,Расчёты!$AV163,"")</f>
        <v/>
      </c>
      <c r="AC185" s="33" t="str">
        <f>IF(Расчёты!$E163=1,Расчёты!$AW163,"")</f>
        <v/>
      </c>
      <c r="AD185" s="33" t="str">
        <f>IF(Расчёты!$E163=1,Расчёты!$AX163,"")</f>
        <v/>
      </c>
      <c r="AE185" s="33" t="str">
        <f>IF(Расчёты!$E163=1,Расчёты!$AY163,"")</f>
        <v/>
      </c>
      <c r="AF185" s="33" t="str">
        <f>IF(Расчёты!$E163=1,Расчёты!$BA163,"")</f>
        <v/>
      </c>
      <c r="AG185" s="33" t="str">
        <f>IF(Расчёты!$E163=1,Расчёты!$BB163,"")</f>
        <v/>
      </c>
      <c r="AH185" s="33" t="str">
        <f>IF(Расчёты!$E163=1,Расчёты!$BC163,"")</f>
        <v/>
      </c>
      <c r="AI185" s="33" t="str">
        <f>IF(Расчёты!$E163=1,Расчёты!$AU163,"")</f>
        <v/>
      </c>
      <c r="AJ185" s="33" t="str">
        <f>IF(Расчёты!$E163=1,Расчёты!$BF163,"")</f>
        <v/>
      </c>
      <c r="AK185" s="33" t="str">
        <f>IF(Расчёты!$E163=1,Расчёты!$BG163,"")</f>
        <v/>
      </c>
      <c r="AM185" s="17" t="str">
        <f t="shared" si="35"/>
        <v/>
      </c>
      <c r="AN185" s="35" t="str">
        <f t="shared" si="36"/>
        <v/>
      </c>
      <c r="AP185" s="17" t="str">
        <f t="shared" si="37"/>
        <v/>
      </c>
      <c r="AQ185" s="35" t="str">
        <f t="shared" si="38"/>
        <v/>
      </c>
      <c r="AV185" s="17" t="str">
        <f t="shared" si="39"/>
        <v/>
      </c>
      <c r="AW185" s="35" t="str">
        <f t="shared" si="40"/>
        <v/>
      </c>
      <c r="AX185" s="35" t="str">
        <f t="shared" si="41"/>
        <v/>
      </c>
    </row>
    <row r="186" spans="1:50" x14ac:dyDescent="0.2">
      <c r="A186" s="18" t="str">
        <f>IF(Расчёты!$E164=1,Расчёты!$B164,"")</f>
        <v/>
      </c>
      <c r="B186" s="34" t="str">
        <f>IF(Расчёты!$E164=1,Расчёты!$D164,"")</f>
        <v/>
      </c>
      <c r="C186" s="33" t="str">
        <f>IF(Расчёты!$E164=1,Расчёты!$Z164,"")</f>
        <v/>
      </c>
      <c r="D186" s="33" t="str">
        <f>IF(Расчёты!$E164=1,Расчёты!$AA164,"")</f>
        <v/>
      </c>
      <c r="E186" s="33" t="str">
        <f>IF(Расчёты!$E164=1,Расчёты!$AB164,"")</f>
        <v/>
      </c>
      <c r="F186" s="33" t="str">
        <f>IF(Расчёты!$E164=1,Расчёты!$AC164,"")</f>
        <v/>
      </c>
      <c r="G186" s="33" t="str">
        <f>IF(Расчёты!$E164=1,Расчёты!$AD164,"")</f>
        <v/>
      </c>
      <c r="H186" s="33" t="str">
        <f>IF(Расчёты!$E164=1,Расчёты!$AI164,"")</f>
        <v/>
      </c>
      <c r="I186" s="33" t="str">
        <f>IF(Расчёты!$E164=1,Расчёты!$AG164,"")</f>
        <v/>
      </c>
      <c r="J186" s="33" t="str">
        <f>IF(Расчёты!$E164=1,Расчёты!$AJ164,"")</f>
        <v/>
      </c>
      <c r="K186" s="33" t="str">
        <f>IF(Расчёты!$E164=1,Расчёты!$AK164,"")</f>
        <v/>
      </c>
      <c r="L186" s="33" t="str">
        <f>IF(Расчёты!$E164=1,Расчёты!$I164,"")</f>
        <v/>
      </c>
      <c r="M186" s="33" t="str">
        <f>IF(Расчёты!$E164=1,Расчёты!$J164,"")</f>
        <v/>
      </c>
      <c r="N186" s="33" t="str">
        <f>IF(Расчёты!$E164=1,Расчёты!$K164,"")</f>
        <v/>
      </c>
      <c r="O186" s="33" t="str">
        <f>IF(Расчёты!$E164=1,Расчёты!$L164,"")</f>
        <v/>
      </c>
      <c r="P186" s="33" t="str">
        <f>IF(Расчёты!$E164=1,Расчёты!$M164,"")</f>
        <v/>
      </c>
      <c r="Q186" s="33" t="str">
        <f>IF(Расчёты!$E164=1,Расчёты!$N164,"")</f>
        <v/>
      </c>
      <c r="R186" s="33" t="str">
        <f>IF(Расчёты!$E164=1,Расчёты!$O164,"")</f>
        <v/>
      </c>
      <c r="S186" s="33" t="str">
        <f>IF(Расчёты!$E164=1,Расчёты!$Q164,"")</f>
        <v/>
      </c>
      <c r="T186" s="33" t="str">
        <f>IF(Расчёты!$E164=1,Расчёты!$S164,"")</f>
        <v/>
      </c>
      <c r="U186" s="33" t="str">
        <f>IF(Расчёты!$E164=1,Расчёты!$U164,"")</f>
        <v/>
      </c>
      <c r="V186" s="33" t="str">
        <f>IF(Расчёты!$E164=1,Расчёты!$W164,"")</f>
        <v/>
      </c>
      <c r="W186" s="33" t="str">
        <f>IF(Расчёты!$E164=1,Расчёты!$X164,"")</f>
        <v/>
      </c>
      <c r="X186" s="33" t="str">
        <f>IF(Расчёты!$E164=1,Расчёты!$Y164,"")</f>
        <v/>
      </c>
      <c r="Y186" s="33" t="str">
        <f>IF(Расчёты!$E164=1,Расчёты!$AL164,"")</f>
        <v/>
      </c>
      <c r="Z186" s="33" t="str">
        <f>IF(Расчёты!$E164=1,Расчёты!$AP164,"")</f>
        <v/>
      </c>
      <c r="AA186" s="33" t="str">
        <f>IF(Расчёты!$E164=1,Расчёты!$AS164,"")</f>
        <v/>
      </c>
      <c r="AB186" s="33" t="str">
        <f>IF(Расчёты!$E164=1,Расчёты!$AV164,"")</f>
        <v/>
      </c>
      <c r="AC186" s="33" t="str">
        <f>IF(Расчёты!$E164=1,Расчёты!$AW164,"")</f>
        <v/>
      </c>
      <c r="AD186" s="33" t="str">
        <f>IF(Расчёты!$E164=1,Расчёты!$AX164,"")</f>
        <v/>
      </c>
      <c r="AE186" s="33" t="str">
        <f>IF(Расчёты!$E164=1,Расчёты!$AY164,"")</f>
        <v/>
      </c>
      <c r="AF186" s="33" t="str">
        <f>IF(Расчёты!$E164=1,Расчёты!$BA164,"")</f>
        <v/>
      </c>
      <c r="AG186" s="33" t="str">
        <f>IF(Расчёты!$E164=1,Расчёты!$BB164,"")</f>
        <v/>
      </c>
      <c r="AH186" s="33" t="str">
        <f>IF(Расчёты!$E164=1,Расчёты!$BC164,"")</f>
        <v/>
      </c>
      <c r="AI186" s="33" t="str">
        <f>IF(Расчёты!$E164=1,Расчёты!$AU164,"")</f>
        <v/>
      </c>
      <c r="AJ186" s="33" t="str">
        <f>IF(Расчёты!$E164=1,Расчёты!$BF164,"")</f>
        <v/>
      </c>
      <c r="AK186" s="33" t="str">
        <f>IF(Расчёты!$E164=1,Расчёты!$BG164,"")</f>
        <v/>
      </c>
      <c r="AM186" s="17" t="str">
        <f t="shared" si="35"/>
        <v/>
      </c>
      <c r="AN186" s="35" t="str">
        <f t="shared" si="36"/>
        <v/>
      </c>
      <c r="AP186" s="17" t="str">
        <f t="shared" si="37"/>
        <v/>
      </c>
      <c r="AQ186" s="35" t="str">
        <f t="shared" si="38"/>
        <v/>
      </c>
      <c r="AV186" s="17" t="str">
        <f t="shared" si="39"/>
        <v/>
      </c>
      <c r="AW186" s="35" t="str">
        <f t="shared" si="40"/>
        <v/>
      </c>
      <c r="AX186" s="35" t="str">
        <f t="shared" si="41"/>
        <v/>
      </c>
    </row>
    <row r="187" spans="1:50" x14ac:dyDescent="0.2">
      <c r="A187" s="18" t="str">
        <f>IF(Расчёты!$E165=1,Расчёты!$B165,"")</f>
        <v/>
      </c>
      <c r="B187" s="34" t="str">
        <f>IF(Расчёты!$E165=1,Расчёты!$D165,"")</f>
        <v/>
      </c>
      <c r="C187" s="33" t="str">
        <f>IF(Расчёты!$E165=1,Расчёты!$Z165,"")</f>
        <v/>
      </c>
      <c r="D187" s="33" t="str">
        <f>IF(Расчёты!$E165=1,Расчёты!$AA165,"")</f>
        <v/>
      </c>
      <c r="E187" s="33" t="str">
        <f>IF(Расчёты!$E165=1,Расчёты!$AB165,"")</f>
        <v/>
      </c>
      <c r="F187" s="33" t="str">
        <f>IF(Расчёты!$E165=1,Расчёты!$AC165,"")</f>
        <v/>
      </c>
      <c r="G187" s="33" t="str">
        <f>IF(Расчёты!$E165=1,Расчёты!$AD165,"")</f>
        <v/>
      </c>
      <c r="H187" s="33" t="str">
        <f>IF(Расчёты!$E165=1,Расчёты!$AI165,"")</f>
        <v/>
      </c>
      <c r="I187" s="33" t="str">
        <f>IF(Расчёты!$E165=1,Расчёты!$AG165,"")</f>
        <v/>
      </c>
      <c r="J187" s="33" t="str">
        <f>IF(Расчёты!$E165=1,Расчёты!$AJ165,"")</f>
        <v/>
      </c>
      <c r="K187" s="33" t="str">
        <f>IF(Расчёты!$E165=1,Расчёты!$AK165,"")</f>
        <v/>
      </c>
      <c r="L187" s="33" t="str">
        <f>IF(Расчёты!$E165=1,Расчёты!$I165,"")</f>
        <v/>
      </c>
      <c r="M187" s="33" t="str">
        <f>IF(Расчёты!$E165=1,Расчёты!$J165,"")</f>
        <v/>
      </c>
      <c r="N187" s="33" t="str">
        <f>IF(Расчёты!$E165=1,Расчёты!$K165,"")</f>
        <v/>
      </c>
      <c r="O187" s="33" t="str">
        <f>IF(Расчёты!$E165=1,Расчёты!$L165,"")</f>
        <v/>
      </c>
      <c r="P187" s="33" t="str">
        <f>IF(Расчёты!$E165=1,Расчёты!$M165,"")</f>
        <v/>
      </c>
      <c r="Q187" s="33" t="str">
        <f>IF(Расчёты!$E165=1,Расчёты!$N165,"")</f>
        <v/>
      </c>
      <c r="R187" s="33" t="str">
        <f>IF(Расчёты!$E165=1,Расчёты!$O165,"")</f>
        <v/>
      </c>
      <c r="S187" s="33" t="str">
        <f>IF(Расчёты!$E165=1,Расчёты!$Q165,"")</f>
        <v/>
      </c>
      <c r="T187" s="33" t="str">
        <f>IF(Расчёты!$E165=1,Расчёты!$S165,"")</f>
        <v/>
      </c>
      <c r="U187" s="33" t="str">
        <f>IF(Расчёты!$E165=1,Расчёты!$U165,"")</f>
        <v/>
      </c>
      <c r="V187" s="33" t="str">
        <f>IF(Расчёты!$E165=1,Расчёты!$W165,"")</f>
        <v/>
      </c>
      <c r="W187" s="33" t="str">
        <f>IF(Расчёты!$E165=1,Расчёты!$X165,"")</f>
        <v/>
      </c>
      <c r="X187" s="33" t="str">
        <f>IF(Расчёты!$E165=1,Расчёты!$Y165,"")</f>
        <v/>
      </c>
      <c r="Y187" s="33" t="str">
        <f>IF(Расчёты!$E165=1,Расчёты!$AL165,"")</f>
        <v/>
      </c>
      <c r="Z187" s="33" t="str">
        <f>IF(Расчёты!$E165=1,Расчёты!$AP165,"")</f>
        <v/>
      </c>
      <c r="AA187" s="33" t="str">
        <f>IF(Расчёты!$E165=1,Расчёты!$AS165,"")</f>
        <v/>
      </c>
      <c r="AB187" s="33" t="str">
        <f>IF(Расчёты!$E165=1,Расчёты!$AV165,"")</f>
        <v/>
      </c>
      <c r="AC187" s="33" t="str">
        <f>IF(Расчёты!$E165=1,Расчёты!$AW165,"")</f>
        <v/>
      </c>
      <c r="AD187" s="33" t="str">
        <f>IF(Расчёты!$E165=1,Расчёты!$AX165,"")</f>
        <v/>
      </c>
      <c r="AE187" s="33" t="str">
        <f>IF(Расчёты!$E165=1,Расчёты!$AY165,"")</f>
        <v/>
      </c>
      <c r="AF187" s="33" t="str">
        <f>IF(Расчёты!$E165=1,Расчёты!$BA165,"")</f>
        <v/>
      </c>
      <c r="AG187" s="33" t="str">
        <f>IF(Расчёты!$E165=1,Расчёты!$BB165,"")</f>
        <v/>
      </c>
      <c r="AH187" s="33" t="str">
        <f>IF(Расчёты!$E165=1,Расчёты!$BC165,"")</f>
        <v/>
      </c>
      <c r="AI187" s="33" t="str">
        <f>IF(Расчёты!$E165=1,Расчёты!$AU165,"")</f>
        <v/>
      </c>
      <c r="AJ187" s="33" t="str">
        <f>IF(Расчёты!$E165=1,Расчёты!$BF165,"")</f>
        <v/>
      </c>
      <c r="AK187" s="33" t="str">
        <f>IF(Расчёты!$E165=1,Расчёты!$BG165,"")</f>
        <v/>
      </c>
      <c r="AM187" s="17" t="str">
        <f t="shared" si="35"/>
        <v/>
      </c>
      <c r="AN187" s="35" t="str">
        <f t="shared" si="36"/>
        <v/>
      </c>
      <c r="AP187" s="17" t="str">
        <f t="shared" si="37"/>
        <v/>
      </c>
      <c r="AQ187" s="35" t="str">
        <f t="shared" si="38"/>
        <v/>
      </c>
      <c r="AV187" s="17" t="str">
        <f t="shared" si="39"/>
        <v/>
      </c>
      <c r="AW187" s="35" t="str">
        <f t="shared" si="40"/>
        <v/>
      </c>
      <c r="AX187" s="35" t="str">
        <f t="shared" si="41"/>
        <v/>
      </c>
    </row>
    <row r="188" spans="1:50" x14ac:dyDescent="0.2">
      <c r="A188" s="18" t="str">
        <f>IF(Расчёты!$E166=1,Расчёты!$B166,"")</f>
        <v/>
      </c>
      <c r="B188" s="34" t="str">
        <f>IF(Расчёты!$E166=1,Расчёты!$D166,"")</f>
        <v/>
      </c>
      <c r="C188" s="33" t="str">
        <f>IF(Расчёты!$E166=1,Расчёты!$Z166,"")</f>
        <v/>
      </c>
      <c r="D188" s="33" t="str">
        <f>IF(Расчёты!$E166=1,Расчёты!$AA166,"")</f>
        <v/>
      </c>
      <c r="E188" s="33" t="str">
        <f>IF(Расчёты!$E166=1,Расчёты!$AB166,"")</f>
        <v/>
      </c>
      <c r="F188" s="33" t="str">
        <f>IF(Расчёты!$E166=1,Расчёты!$AC166,"")</f>
        <v/>
      </c>
      <c r="G188" s="33" t="str">
        <f>IF(Расчёты!$E166=1,Расчёты!$AD166,"")</f>
        <v/>
      </c>
      <c r="H188" s="33" t="str">
        <f>IF(Расчёты!$E166=1,Расчёты!$AI166,"")</f>
        <v/>
      </c>
      <c r="I188" s="33" t="str">
        <f>IF(Расчёты!$E166=1,Расчёты!$AG166,"")</f>
        <v/>
      </c>
      <c r="J188" s="33" t="str">
        <f>IF(Расчёты!$E166=1,Расчёты!$AJ166,"")</f>
        <v/>
      </c>
      <c r="K188" s="33" t="str">
        <f>IF(Расчёты!$E166=1,Расчёты!$AK166,"")</f>
        <v/>
      </c>
      <c r="L188" s="33" t="str">
        <f>IF(Расчёты!$E166=1,Расчёты!$I166,"")</f>
        <v/>
      </c>
      <c r="M188" s="33" t="str">
        <f>IF(Расчёты!$E166=1,Расчёты!$J166,"")</f>
        <v/>
      </c>
      <c r="N188" s="33" t="str">
        <f>IF(Расчёты!$E166=1,Расчёты!$K166,"")</f>
        <v/>
      </c>
      <c r="O188" s="33" t="str">
        <f>IF(Расчёты!$E166=1,Расчёты!$L166,"")</f>
        <v/>
      </c>
      <c r="P188" s="33" t="str">
        <f>IF(Расчёты!$E166=1,Расчёты!$M166,"")</f>
        <v/>
      </c>
      <c r="Q188" s="33" t="str">
        <f>IF(Расчёты!$E166=1,Расчёты!$N166,"")</f>
        <v/>
      </c>
      <c r="R188" s="33" t="str">
        <f>IF(Расчёты!$E166=1,Расчёты!$O166,"")</f>
        <v/>
      </c>
      <c r="S188" s="33" t="str">
        <f>IF(Расчёты!$E166=1,Расчёты!$Q166,"")</f>
        <v/>
      </c>
      <c r="T188" s="33" t="str">
        <f>IF(Расчёты!$E166=1,Расчёты!$S166,"")</f>
        <v/>
      </c>
      <c r="U188" s="33" t="str">
        <f>IF(Расчёты!$E166=1,Расчёты!$U166,"")</f>
        <v/>
      </c>
      <c r="V188" s="33" t="str">
        <f>IF(Расчёты!$E166=1,Расчёты!$W166,"")</f>
        <v/>
      </c>
      <c r="W188" s="33" t="str">
        <f>IF(Расчёты!$E166=1,Расчёты!$X166,"")</f>
        <v/>
      </c>
      <c r="X188" s="33" t="str">
        <f>IF(Расчёты!$E166=1,Расчёты!$Y166,"")</f>
        <v/>
      </c>
      <c r="Y188" s="33" t="str">
        <f>IF(Расчёты!$E166=1,Расчёты!$AL166,"")</f>
        <v/>
      </c>
      <c r="Z188" s="33" t="str">
        <f>IF(Расчёты!$E166=1,Расчёты!$AP166,"")</f>
        <v/>
      </c>
      <c r="AA188" s="33" t="str">
        <f>IF(Расчёты!$E166=1,Расчёты!$AS166,"")</f>
        <v/>
      </c>
      <c r="AB188" s="33" t="str">
        <f>IF(Расчёты!$E166=1,Расчёты!$AV166,"")</f>
        <v/>
      </c>
      <c r="AC188" s="33" t="str">
        <f>IF(Расчёты!$E166=1,Расчёты!$AW166,"")</f>
        <v/>
      </c>
      <c r="AD188" s="33" t="str">
        <f>IF(Расчёты!$E166=1,Расчёты!$AX166,"")</f>
        <v/>
      </c>
      <c r="AE188" s="33" t="str">
        <f>IF(Расчёты!$E166=1,Расчёты!$AY166,"")</f>
        <v/>
      </c>
      <c r="AF188" s="33" t="str">
        <f>IF(Расчёты!$E166=1,Расчёты!$BA166,"")</f>
        <v/>
      </c>
      <c r="AG188" s="33" t="str">
        <f>IF(Расчёты!$E166=1,Расчёты!$BB166,"")</f>
        <v/>
      </c>
      <c r="AH188" s="33" t="str">
        <f>IF(Расчёты!$E166=1,Расчёты!$BC166,"")</f>
        <v/>
      </c>
      <c r="AI188" s="33" t="str">
        <f>IF(Расчёты!$E166=1,Расчёты!$AU166,"")</f>
        <v/>
      </c>
      <c r="AJ188" s="33" t="str">
        <f>IF(Расчёты!$E166=1,Расчёты!$BF166,"")</f>
        <v/>
      </c>
      <c r="AK188" s="33" t="str">
        <f>IF(Расчёты!$E166=1,Расчёты!$BG166,"")</f>
        <v/>
      </c>
      <c r="AM188" s="17" t="str">
        <f t="shared" si="35"/>
        <v/>
      </c>
      <c r="AN188" s="35" t="str">
        <f t="shared" si="36"/>
        <v/>
      </c>
      <c r="AP188" s="17" t="str">
        <f t="shared" si="37"/>
        <v/>
      </c>
      <c r="AQ188" s="35" t="str">
        <f t="shared" si="38"/>
        <v/>
      </c>
      <c r="AV188" s="17" t="str">
        <f t="shared" si="39"/>
        <v/>
      </c>
      <c r="AW188" s="35" t="str">
        <f t="shared" si="40"/>
        <v/>
      </c>
      <c r="AX188" s="35" t="str">
        <f t="shared" si="41"/>
        <v/>
      </c>
    </row>
    <row r="189" spans="1:50" x14ac:dyDescent="0.2">
      <c r="A189" s="18" t="str">
        <f>IF(Расчёты!$E167=1,Расчёты!$B167,"")</f>
        <v/>
      </c>
      <c r="B189" s="34" t="str">
        <f>IF(Расчёты!$E167=1,Расчёты!$D167,"")</f>
        <v/>
      </c>
      <c r="C189" s="33" t="str">
        <f>IF(Расчёты!$E167=1,Расчёты!$Z167,"")</f>
        <v/>
      </c>
      <c r="D189" s="33" t="str">
        <f>IF(Расчёты!$E167=1,Расчёты!$AA167,"")</f>
        <v/>
      </c>
      <c r="E189" s="33" t="str">
        <f>IF(Расчёты!$E167=1,Расчёты!$AB167,"")</f>
        <v/>
      </c>
      <c r="F189" s="33" t="str">
        <f>IF(Расчёты!$E167=1,Расчёты!$AC167,"")</f>
        <v/>
      </c>
      <c r="G189" s="33" t="str">
        <f>IF(Расчёты!$E167=1,Расчёты!$AD167,"")</f>
        <v/>
      </c>
      <c r="H189" s="33" t="str">
        <f>IF(Расчёты!$E167=1,Расчёты!$AI167,"")</f>
        <v/>
      </c>
      <c r="I189" s="33" t="str">
        <f>IF(Расчёты!$E167=1,Расчёты!$AG167,"")</f>
        <v/>
      </c>
      <c r="J189" s="33" t="str">
        <f>IF(Расчёты!$E167=1,Расчёты!$AJ167,"")</f>
        <v/>
      </c>
      <c r="K189" s="33" t="str">
        <f>IF(Расчёты!$E167=1,Расчёты!$AK167,"")</f>
        <v/>
      </c>
      <c r="L189" s="33" t="str">
        <f>IF(Расчёты!$E167=1,Расчёты!$I167,"")</f>
        <v/>
      </c>
      <c r="M189" s="33" t="str">
        <f>IF(Расчёты!$E167=1,Расчёты!$J167,"")</f>
        <v/>
      </c>
      <c r="N189" s="33" t="str">
        <f>IF(Расчёты!$E167=1,Расчёты!$K167,"")</f>
        <v/>
      </c>
      <c r="O189" s="33" t="str">
        <f>IF(Расчёты!$E167=1,Расчёты!$L167,"")</f>
        <v/>
      </c>
      <c r="P189" s="33" t="str">
        <f>IF(Расчёты!$E167=1,Расчёты!$M167,"")</f>
        <v/>
      </c>
      <c r="Q189" s="33" t="str">
        <f>IF(Расчёты!$E167=1,Расчёты!$N167,"")</f>
        <v/>
      </c>
      <c r="R189" s="33" t="str">
        <f>IF(Расчёты!$E167=1,Расчёты!$O167,"")</f>
        <v/>
      </c>
      <c r="S189" s="33" t="str">
        <f>IF(Расчёты!$E167=1,Расчёты!$Q167,"")</f>
        <v/>
      </c>
      <c r="T189" s="33" t="str">
        <f>IF(Расчёты!$E167=1,Расчёты!$S167,"")</f>
        <v/>
      </c>
      <c r="U189" s="33" t="str">
        <f>IF(Расчёты!$E167=1,Расчёты!$U167,"")</f>
        <v/>
      </c>
      <c r="V189" s="33" t="str">
        <f>IF(Расчёты!$E167=1,Расчёты!$W167,"")</f>
        <v/>
      </c>
      <c r="W189" s="33" t="str">
        <f>IF(Расчёты!$E167=1,Расчёты!$X167,"")</f>
        <v/>
      </c>
      <c r="X189" s="33" t="str">
        <f>IF(Расчёты!$E167=1,Расчёты!$Y167,"")</f>
        <v/>
      </c>
      <c r="Y189" s="33" t="str">
        <f>IF(Расчёты!$E167=1,Расчёты!$AL167,"")</f>
        <v/>
      </c>
      <c r="Z189" s="33" t="str">
        <f>IF(Расчёты!$E167=1,Расчёты!$AP167,"")</f>
        <v/>
      </c>
      <c r="AA189" s="33" t="str">
        <f>IF(Расчёты!$E167=1,Расчёты!$AS167,"")</f>
        <v/>
      </c>
      <c r="AB189" s="33" t="str">
        <f>IF(Расчёты!$E167=1,Расчёты!$AV167,"")</f>
        <v/>
      </c>
      <c r="AC189" s="33" t="str">
        <f>IF(Расчёты!$E167=1,Расчёты!$AW167,"")</f>
        <v/>
      </c>
      <c r="AD189" s="33" t="str">
        <f>IF(Расчёты!$E167=1,Расчёты!$AX167,"")</f>
        <v/>
      </c>
      <c r="AE189" s="33" t="str">
        <f>IF(Расчёты!$E167=1,Расчёты!$AY167,"")</f>
        <v/>
      </c>
      <c r="AF189" s="33" t="str">
        <f>IF(Расчёты!$E167=1,Расчёты!$BA167,"")</f>
        <v/>
      </c>
      <c r="AG189" s="33" t="str">
        <f>IF(Расчёты!$E167=1,Расчёты!$BB167,"")</f>
        <v/>
      </c>
      <c r="AH189" s="33" t="str">
        <f>IF(Расчёты!$E167=1,Расчёты!$BC167,"")</f>
        <v/>
      </c>
      <c r="AI189" s="33" t="str">
        <f>IF(Расчёты!$E167=1,Расчёты!$AU167,"")</f>
        <v/>
      </c>
      <c r="AJ189" s="33" t="str">
        <f>IF(Расчёты!$E167=1,Расчёты!$BF167,"")</f>
        <v/>
      </c>
      <c r="AK189" s="33" t="str">
        <f>IF(Расчёты!$E167=1,Расчёты!$BG167,"")</f>
        <v/>
      </c>
      <c r="AM189" s="17" t="str">
        <f t="shared" si="35"/>
        <v/>
      </c>
      <c r="AN189" s="35" t="str">
        <f t="shared" si="36"/>
        <v/>
      </c>
      <c r="AP189" s="17" t="str">
        <f t="shared" si="37"/>
        <v/>
      </c>
      <c r="AQ189" s="35" t="str">
        <f t="shared" si="38"/>
        <v/>
      </c>
      <c r="AV189" s="17" t="str">
        <f t="shared" si="39"/>
        <v/>
      </c>
      <c r="AW189" s="35" t="str">
        <f t="shared" si="40"/>
        <v/>
      </c>
      <c r="AX189" s="35" t="str">
        <f t="shared" si="41"/>
        <v/>
      </c>
    </row>
    <row r="190" spans="1:50" x14ac:dyDescent="0.2">
      <c r="A190" s="18" t="str">
        <f>IF(Расчёты!$E168=1,Расчёты!$B168,"")</f>
        <v/>
      </c>
      <c r="B190" s="34" t="str">
        <f>IF(Расчёты!$E168=1,Расчёты!$D168,"")</f>
        <v/>
      </c>
      <c r="C190" s="33" t="str">
        <f>IF(Расчёты!$E168=1,Расчёты!$Z168,"")</f>
        <v/>
      </c>
      <c r="D190" s="33" t="str">
        <f>IF(Расчёты!$E168=1,Расчёты!$AA168,"")</f>
        <v/>
      </c>
      <c r="E190" s="33" t="str">
        <f>IF(Расчёты!$E168=1,Расчёты!$AB168,"")</f>
        <v/>
      </c>
      <c r="F190" s="33" t="str">
        <f>IF(Расчёты!$E168=1,Расчёты!$AC168,"")</f>
        <v/>
      </c>
      <c r="G190" s="33" t="str">
        <f>IF(Расчёты!$E168=1,Расчёты!$AD168,"")</f>
        <v/>
      </c>
      <c r="H190" s="33" t="str">
        <f>IF(Расчёты!$E168=1,Расчёты!$AI168,"")</f>
        <v/>
      </c>
      <c r="I190" s="33" t="str">
        <f>IF(Расчёты!$E168=1,Расчёты!$AG168,"")</f>
        <v/>
      </c>
      <c r="J190" s="33" t="str">
        <f>IF(Расчёты!$E168=1,Расчёты!$AJ168,"")</f>
        <v/>
      </c>
      <c r="K190" s="33" t="str">
        <f>IF(Расчёты!$E168=1,Расчёты!$AK168,"")</f>
        <v/>
      </c>
      <c r="L190" s="33" t="str">
        <f>IF(Расчёты!$E168=1,Расчёты!$I168,"")</f>
        <v/>
      </c>
      <c r="M190" s="33" t="str">
        <f>IF(Расчёты!$E168=1,Расчёты!$J168,"")</f>
        <v/>
      </c>
      <c r="N190" s="33" t="str">
        <f>IF(Расчёты!$E168=1,Расчёты!$K168,"")</f>
        <v/>
      </c>
      <c r="O190" s="33" t="str">
        <f>IF(Расчёты!$E168=1,Расчёты!$L168,"")</f>
        <v/>
      </c>
      <c r="P190" s="33" t="str">
        <f>IF(Расчёты!$E168=1,Расчёты!$M168,"")</f>
        <v/>
      </c>
      <c r="Q190" s="33" t="str">
        <f>IF(Расчёты!$E168=1,Расчёты!$N168,"")</f>
        <v/>
      </c>
      <c r="R190" s="33" t="str">
        <f>IF(Расчёты!$E168=1,Расчёты!$O168,"")</f>
        <v/>
      </c>
      <c r="S190" s="33" t="str">
        <f>IF(Расчёты!$E168=1,Расчёты!$Q168,"")</f>
        <v/>
      </c>
      <c r="T190" s="33" t="str">
        <f>IF(Расчёты!$E168=1,Расчёты!$S168,"")</f>
        <v/>
      </c>
      <c r="U190" s="33" t="str">
        <f>IF(Расчёты!$E168=1,Расчёты!$U168,"")</f>
        <v/>
      </c>
      <c r="V190" s="33" t="str">
        <f>IF(Расчёты!$E168=1,Расчёты!$W168,"")</f>
        <v/>
      </c>
      <c r="W190" s="33" t="str">
        <f>IF(Расчёты!$E168=1,Расчёты!$X168,"")</f>
        <v/>
      </c>
      <c r="X190" s="33" t="str">
        <f>IF(Расчёты!$E168=1,Расчёты!$Y168,"")</f>
        <v/>
      </c>
      <c r="Y190" s="33" t="str">
        <f>IF(Расчёты!$E168=1,Расчёты!$AL168,"")</f>
        <v/>
      </c>
      <c r="Z190" s="33" t="str">
        <f>IF(Расчёты!$E168=1,Расчёты!$AP168,"")</f>
        <v/>
      </c>
      <c r="AA190" s="33" t="str">
        <f>IF(Расчёты!$E168=1,Расчёты!$AS168,"")</f>
        <v/>
      </c>
      <c r="AB190" s="33" t="str">
        <f>IF(Расчёты!$E168=1,Расчёты!$AV168,"")</f>
        <v/>
      </c>
      <c r="AC190" s="33" t="str">
        <f>IF(Расчёты!$E168=1,Расчёты!$AW168,"")</f>
        <v/>
      </c>
      <c r="AD190" s="33" t="str">
        <f>IF(Расчёты!$E168=1,Расчёты!$AX168,"")</f>
        <v/>
      </c>
      <c r="AE190" s="33" t="str">
        <f>IF(Расчёты!$E168=1,Расчёты!$AY168,"")</f>
        <v/>
      </c>
      <c r="AF190" s="33" t="str">
        <f>IF(Расчёты!$E168=1,Расчёты!$BA168,"")</f>
        <v/>
      </c>
      <c r="AG190" s="33" t="str">
        <f>IF(Расчёты!$E168=1,Расчёты!$BB168,"")</f>
        <v/>
      </c>
      <c r="AH190" s="33" t="str">
        <f>IF(Расчёты!$E168=1,Расчёты!$BC168,"")</f>
        <v/>
      </c>
      <c r="AI190" s="33" t="str">
        <f>IF(Расчёты!$E168=1,Расчёты!$AU168,"")</f>
        <v/>
      </c>
      <c r="AJ190" s="33" t="str">
        <f>IF(Расчёты!$E168=1,Расчёты!$BF168,"")</f>
        <v/>
      </c>
      <c r="AK190" s="33" t="str">
        <f>IF(Расчёты!$E168=1,Расчёты!$BG168,"")</f>
        <v/>
      </c>
      <c r="AM190" s="17" t="str">
        <f t="shared" si="35"/>
        <v/>
      </c>
      <c r="AN190" s="35" t="str">
        <f t="shared" si="36"/>
        <v/>
      </c>
      <c r="AP190" s="17" t="str">
        <f t="shared" si="37"/>
        <v/>
      </c>
      <c r="AQ190" s="35" t="str">
        <f t="shared" si="38"/>
        <v/>
      </c>
      <c r="AV190" s="17" t="str">
        <f t="shared" si="39"/>
        <v/>
      </c>
      <c r="AW190" s="35" t="str">
        <f t="shared" si="40"/>
        <v/>
      </c>
      <c r="AX190" s="35" t="str">
        <f t="shared" si="41"/>
        <v/>
      </c>
    </row>
    <row r="191" spans="1:50" x14ac:dyDescent="0.2">
      <c r="A191" s="18" t="str">
        <f>IF(Расчёты!$E169=1,Расчёты!$B169,"")</f>
        <v/>
      </c>
      <c r="B191" s="34" t="str">
        <f>IF(Расчёты!$E169=1,Расчёты!$D169,"")</f>
        <v/>
      </c>
      <c r="C191" s="33" t="str">
        <f>IF(Расчёты!$E169=1,Расчёты!$Z169,"")</f>
        <v/>
      </c>
      <c r="D191" s="33" t="str">
        <f>IF(Расчёты!$E169=1,Расчёты!$AA169,"")</f>
        <v/>
      </c>
      <c r="E191" s="33" t="str">
        <f>IF(Расчёты!$E169=1,Расчёты!$AB169,"")</f>
        <v/>
      </c>
      <c r="F191" s="33" t="str">
        <f>IF(Расчёты!$E169=1,Расчёты!$AC169,"")</f>
        <v/>
      </c>
      <c r="G191" s="33" t="str">
        <f>IF(Расчёты!$E169=1,Расчёты!$AD169,"")</f>
        <v/>
      </c>
      <c r="H191" s="33" t="str">
        <f>IF(Расчёты!$E169=1,Расчёты!$AI169,"")</f>
        <v/>
      </c>
      <c r="I191" s="33" t="str">
        <f>IF(Расчёты!$E169=1,Расчёты!$AG169,"")</f>
        <v/>
      </c>
      <c r="J191" s="33" t="str">
        <f>IF(Расчёты!$E169=1,Расчёты!$AJ169,"")</f>
        <v/>
      </c>
      <c r="K191" s="33" t="str">
        <f>IF(Расчёты!$E169=1,Расчёты!$AK169,"")</f>
        <v/>
      </c>
      <c r="L191" s="33" t="str">
        <f>IF(Расчёты!$E169=1,Расчёты!$I169,"")</f>
        <v/>
      </c>
      <c r="M191" s="33" t="str">
        <f>IF(Расчёты!$E169=1,Расчёты!$J169,"")</f>
        <v/>
      </c>
      <c r="N191" s="33" t="str">
        <f>IF(Расчёты!$E169=1,Расчёты!$K169,"")</f>
        <v/>
      </c>
      <c r="O191" s="33" t="str">
        <f>IF(Расчёты!$E169=1,Расчёты!$L169,"")</f>
        <v/>
      </c>
      <c r="P191" s="33" t="str">
        <f>IF(Расчёты!$E169=1,Расчёты!$M169,"")</f>
        <v/>
      </c>
      <c r="Q191" s="33" t="str">
        <f>IF(Расчёты!$E169=1,Расчёты!$N169,"")</f>
        <v/>
      </c>
      <c r="R191" s="33" t="str">
        <f>IF(Расчёты!$E169=1,Расчёты!$O169,"")</f>
        <v/>
      </c>
      <c r="S191" s="33" t="str">
        <f>IF(Расчёты!$E169=1,Расчёты!$Q169,"")</f>
        <v/>
      </c>
      <c r="T191" s="33" t="str">
        <f>IF(Расчёты!$E169=1,Расчёты!$S169,"")</f>
        <v/>
      </c>
      <c r="U191" s="33" t="str">
        <f>IF(Расчёты!$E169=1,Расчёты!$U169,"")</f>
        <v/>
      </c>
      <c r="V191" s="33" t="str">
        <f>IF(Расчёты!$E169=1,Расчёты!$W169,"")</f>
        <v/>
      </c>
      <c r="W191" s="33" t="str">
        <f>IF(Расчёты!$E169=1,Расчёты!$X169,"")</f>
        <v/>
      </c>
      <c r="X191" s="33" t="str">
        <f>IF(Расчёты!$E169=1,Расчёты!$Y169,"")</f>
        <v/>
      </c>
      <c r="Y191" s="33" t="str">
        <f>IF(Расчёты!$E169=1,Расчёты!$AL169,"")</f>
        <v/>
      </c>
      <c r="Z191" s="33" t="str">
        <f>IF(Расчёты!$E169=1,Расчёты!$AP169,"")</f>
        <v/>
      </c>
      <c r="AA191" s="33" t="str">
        <f>IF(Расчёты!$E169=1,Расчёты!$AS169,"")</f>
        <v/>
      </c>
      <c r="AB191" s="33" t="str">
        <f>IF(Расчёты!$E169=1,Расчёты!$AV169,"")</f>
        <v/>
      </c>
      <c r="AC191" s="33" t="str">
        <f>IF(Расчёты!$E169=1,Расчёты!$AW169,"")</f>
        <v/>
      </c>
      <c r="AD191" s="33" t="str">
        <f>IF(Расчёты!$E169=1,Расчёты!$AX169,"")</f>
        <v/>
      </c>
      <c r="AE191" s="33" t="str">
        <f>IF(Расчёты!$E169=1,Расчёты!$AY169,"")</f>
        <v/>
      </c>
      <c r="AF191" s="33" t="str">
        <f>IF(Расчёты!$E169=1,Расчёты!$BA169,"")</f>
        <v/>
      </c>
      <c r="AG191" s="33" t="str">
        <f>IF(Расчёты!$E169=1,Расчёты!$BB169,"")</f>
        <v/>
      </c>
      <c r="AH191" s="33" t="str">
        <f>IF(Расчёты!$E169=1,Расчёты!$BC169,"")</f>
        <v/>
      </c>
      <c r="AI191" s="33" t="str">
        <f>IF(Расчёты!$E169=1,Расчёты!$AU169,"")</f>
        <v/>
      </c>
      <c r="AJ191" s="33" t="str">
        <f>IF(Расчёты!$E169=1,Расчёты!$BF169,"")</f>
        <v/>
      </c>
      <c r="AK191" s="33" t="str">
        <f>IF(Расчёты!$E169=1,Расчёты!$BG169,"")</f>
        <v/>
      </c>
      <c r="AM191" s="17" t="str">
        <f t="shared" si="35"/>
        <v/>
      </c>
      <c r="AN191" s="35" t="str">
        <f t="shared" si="36"/>
        <v/>
      </c>
      <c r="AP191" s="17" t="str">
        <f t="shared" si="37"/>
        <v/>
      </c>
      <c r="AQ191" s="35" t="str">
        <f t="shared" si="38"/>
        <v/>
      </c>
      <c r="AV191" s="17" t="str">
        <f t="shared" si="39"/>
        <v/>
      </c>
      <c r="AW191" s="35" t="str">
        <f t="shared" si="40"/>
        <v/>
      </c>
      <c r="AX191" s="35" t="str">
        <f t="shared" si="41"/>
        <v/>
      </c>
    </row>
    <row r="192" spans="1:50" x14ac:dyDescent="0.2">
      <c r="A192" s="18" t="str">
        <f>IF(Расчёты!$E170=1,Расчёты!$B170,"")</f>
        <v/>
      </c>
      <c r="B192" s="34" t="str">
        <f>IF(Расчёты!$E170=1,Расчёты!$D170,"")</f>
        <v/>
      </c>
      <c r="C192" s="33" t="str">
        <f>IF(Расчёты!$E170=1,Расчёты!$Z170,"")</f>
        <v/>
      </c>
      <c r="D192" s="33" t="str">
        <f>IF(Расчёты!$E170=1,Расчёты!$AA170,"")</f>
        <v/>
      </c>
      <c r="E192" s="33" t="str">
        <f>IF(Расчёты!$E170=1,Расчёты!$AB170,"")</f>
        <v/>
      </c>
      <c r="F192" s="33" t="str">
        <f>IF(Расчёты!$E170=1,Расчёты!$AC170,"")</f>
        <v/>
      </c>
      <c r="G192" s="33" t="str">
        <f>IF(Расчёты!$E170=1,Расчёты!$AD170,"")</f>
        <v/>
      </c>
      <c r="H192" s="33" t="str">
        <f>IF(Расчёты!$E170=1,Расчёты!$AI170,"")</f>
        <v/>
      </c>
      <c r="I192" s="33" t="str">
        <f>IF(Расчёты!$E170=1,Расчёты!$AG170,"")</f>
        <v/>
      </c>
      <c r="J192" s="33" t="str">
        <f>IF(Расчёты!$E170=1,Расчёты!$AJ170,"")</f>
        <v/>
      </c>
      <c r="K192" s="33" t="str">
        <f>IF(Расчёты!$E170=1,Расчёты!$AK170,"")</f>
        <v/>
      </c>
      <c r="L192" s="33" t="str">
        <f>IF(Расчёты!$E170=1,Расчёты!$I170,"")</f>
        <v/>
      </c>
      <c r="M192" s="33" t="str">
        <f>IF(Расчёты!$E170=1,Расчёты!$J170,"")</f>
        <v/>
      </c>
      <c r="N192" s="33" t="str">
        <f>IF(Расчёты!$E170=1,Расчёты!$K170,"")</f>
        <v/>
      </c>
      <c r="O192" s="33" t="str">
        <f>IF(Расчёты!$E170=1,Расчёты!$L170,"")</f>
        <v/>
      </c>
      <c r="P192" s="33" t="str">
        <f>IF(Расчёты!$E170=1,Расчёты!$M170,"")</f>
        <v/>
      </c>
      <c r="Q192" s="33" t="str">
        <f>IF(Расчёты!$E170=1,Расчёты!$N170,"")</f>
        <v/>
      </c>
      <c r="R192" s="33" t="str">
        <f>IF(Расчёты!$E170=1,Расчёты!$O170,"")</f>
        <v/>
      </c>
      <c r="S192" s="33" t="str">
        <f>IF(Расчёты!$E170=1,Расчёты!$Q170,"")</f>
        <v/>
      </c>
      <c r="T192" s="33" t="str">
        <f>IF(Расчёты!$E170=1,Расчёты!$S170,"")</f>
        <v/>
      </c>
      <c r="U192" s="33" t="str">
        <f>IF(Расчёты!$E170=1,Расчёты!$U170,"")</f>
        <v/>
      </c>
      <c r="V192" s="33" t="str">
        <f>IF(Расчёты!$E170=1,Расчёты!$W170,"")</f>
        <v/>
      </c>
      <c r="W192" s="33" t="str">
        <f>IF(Расчёты!$E170=1,Расчёты!$X170,"")</f>
        <v/>
      </c>
      <c r="X192" s="33" t="str">
        <f>IF(Расчёты!$E170=1,Расчёты!$Y170,"")</f>
        <v/>
      </c>
      <c r="Y192" s="33" t="str">
        <f>IF(Расчёты!$E170=1,Расчёты!$AL170,"")</f>
        <v/>
      </c>
      <c r="Z192" s="33" t="str">
        <f>IF(Расчёты!$E170=1,Расчёты!$AP170,"")</f>
        <v/>
      </c>
      <c r="AA192" s="33" t="str">
        <f>IF(Расчёты!$E170=1,Расчёты!$AS170,"")</f>
        <v/>
      </c>
      <c r="AB192" s="33" t="str">
        <f>IF(Расчёты!$E170=1,Расчёты!$AV170,"")</f>
        <v/>
      </c>
      <c r="AC192" s="33" t="str">
        <f>IF(Расчёты!$E170=1,Расчёты!$AW170,"")</f>
        <v/>
      </c>
      <c r="AD192" s="33" t="str">
        <f>IF(Расчёты!$E170=1,Расчёты!$AX170,"")</f>
        <v/>
      </c>
      <c r="AE192" s="33" t="str">
        <f>IF(Расчёты!$E170=1,Расчёты!$AY170,"")</f>
        <v/>
      </c>
      <c r="AF192" s="33" t="str">
        <f>IF(Расчёты!$E170=1,Расчёты!$BA170,"")</f>
        <v/>
      </c>
      <c r="AG192" s="33" t="str">
        <f>IF(Расчёты!$E170=1,Расчёты!$BB170,"")</f>
        <v/>
      </c>
      <c r="AH192" s="33" t="str">
        <f>IF(Расчёты!$E170=1,Расчёты!$BC170,"")</f>
        <v/>
      </c>
      <c r="AI192" s="33" t="str">
        <f>IF(Расчёты!$E170=1,Расчёты!$AU170,"")</f>
        <v/>
      </c>
      <c r="AJ192" s="33" t="str">
        <f>IF(Расчёты!$E170=1,Расчёты!$BF170,"")</f>
        <v/>
      </c>
      <c r="AK192" s="33" t="str">
        <f>IF(Расчёты!$E170=1,Расчёты!$BG170,"")</f>
        <v/>
      </c>
      <c r="AM192" s="17" t="str">
        <f t="shared" si="35"/>
        <v/>
      </c>
      <c r="AN192" s="35" t="str">
        <f t="shared" si="36"/>
        <v/>
      </c>
      <c r="AP192" s="17" t="str">
        <f t="shared" si="37"/>
        <v/>
      </c>
      <c r="AQ192" s="35" t="str">
        <f t="shared" si="38"/>
        <v/>
      </c>
      <c r="AV192" s="17" t="str">
        <f t="shared" si="39"/>
        <v/>
      </c>
      <c r="AW192" s="35" t="str">
        <f t="shared" si="40"/>
        <v/>
      </c>
      <c r="AX192" s="35" t="str">
        <f t="shared" si="41"/>
        <v/>
      </c>
    </row>
    <row r="193" spans="1:50" x14ac:dyDescent="0.2">
      <c r="A193" s="18" t="str">
        <f>IF(Расчёты!$E171=1,Расчёты!$B171,"")</f>
        <v/>
      </c>
      <c r="B193" s="34" t="str">
        <f>IF(Расчёты!$E171=1,Расчёты!$D171,"")</f>
        <v/>
      </c>
      <c r="C193" s="33" t="str">
        <f>IF(Расчёты!$E171=1,Расчёты!$Z171,"")</f>
        <v/>
      </c>
      <c r="D193" s="33" t="str">
        <f>IF(Расчёты!$E171=1,Расчёты!$AA171,"")</f>
        <v/>
      </c>
      <c r="E193" s="33" t="str">
        <f>IF(Расчёты!$E171=1,Расчёты!$AB171,"")</f>
        <v/>
      </c>
      <c r="F193" s="33" t="str">
        <f>IF(Расчёты!$E171=1,Расчёты!$AC171,"")</f>
        <v/>
      </c>
      <c r="G193" s="33" t="str">
        <f>IF(Расчёты!$E171=1,Расчёты!$AD171,"")</f>
        <v/>
      </c>
      <c r="H193" s="33" t="str">
        <f>IF(Расчёты!$E171=1,Расчёты!$AI171,"")</f>
        <v/>
      </c>
      <c r="I193" s="33" t="str">
        <f>IF(Расчёты!$E171=1,Расчёты!$AG171,"")</f>
        <v/>
      </c>
      <c r="J193" s="33" t="str">
        <f>IF(Расчёты!$E171=1,Расчёты!$AJ171,"")</f>
        <v/>
      </c>
      <c r="K193" s="33" t="str">
        <f>IF(Расчёты!$E171=1,Расчёты!$AK171,"")</f>
        <v/>
      </c>
      <c r="L193" s="33" t="str">
        <f>IF(Расчёты!$E171=1,Расчёты!$I171,"")</f>
        <v/>
      </c>
      <c r="M193" s="33" t="str">
        <f>IF(Расчёты!$E171=1,Расчёты!$J171,"")</f>
        <v/>
      </c>
      <c r="N193" s="33" t="str">
        <f>IF(Расчёты!$E171=1,Расчёты!$K171,"")</f>
        <v/>
      </c>
      <c r="O193" s="33" t="str">
        <f>IF(Расчёты!$E171=1,Расчёты!$L171,"")</f>
        <v/>
      </c>
      <c r="P193" s="33" t="str">
        <f>IF(Расчёты!$E171=1,Расчёты!$M171,"")</f>
        <v/>
      </c>
      <c r="Q193" s="33" t="str">
        <f>IF(Расчёты!$E171=1,Расчёты!$N171,"")</f>
        <v/>
      </c>
      <c r="R193" s="33" t="str">
        <f>IF(Расчёты!$E171=1,Расчёты!$O171,"")</f>
        <v/>
      </c>
      <c r="S193" s="33" t="str">
        <f>IF(Расчёты!$E171=1,Расчёты!$Q171,"")</f>
        <v/>
      </c>
      <c r="T193" s="33" t="str">
        <f>IF(Расчёты!$E171=1,Расчёты!$S171,"")</f>
        <v/>
      </c>
      <c r="U193" s="33" t="str">
        <f>IF(Расчёты!$E171=1,Расчёты!$U171,"")</f>
        <v/>
      </c>
      <c r="V193" s="33" t="str">
        <f>IF(Расчёты!$E171=1,Расчёты!$W171,"")</f>
        <v/>
      </c>
      <c r="W193" s="33" t="str">
        <f>IF(Расчёты!$E171=1,Расчёты!$X171,"")</f>
        <v/>
      </c>
      <c r="X193" s="33" t="str">
        <f>IF(Расчёты!$E171=1,Расчёты!$Y171,"")</f>
        <v/>
      </c>
      <c r="Y193" s="33" t="str">
        <f>IF(Расчёты!$E171=1,Расчёты!$AL171,"")</f>
        <v/>
      </c>
      <c r="Z193" s="33" t="str">
        <f>IF(Расчёты!$E171=1,Расчёты!$AP171,"")</f>
        <v/>
      </c>
      <c r="AA193" s="33" t="str">
        <f>IF(Расчёты!$E171=1,Расчёты!$AS171,"")</f>
        <v/>
      </c>
      <c r="AB193" s="33" t="str">
        <f>IF(Расчёты!$E171=1,Расчёты!$AV171,"")</f>
        <v/>
      </c>
      <c r="AC193" s="33" t="str">
        <f>IF(Расчёты!$E171=1,Расчёты!$AW171,"")</f>
        <v/>
      </c>
      <c r="AD193" s="33" t="str">
        <f>IF(Расчёты!$E171=1,Расчёты!$AX171,"")</f>
        <v/>
      </c>
      <c r="AE193" s="33" t="str">
        <f>IF(Расчёты!$E171=1,Расчёты!$AY171,"")</f>
        <v/>
      </c>
      <c r="AF193" s="33" t="str">
        <f>IF(Расчёты!$E171=1,Расчёты!$BA171,"")</f>
        <v/>
      </c>
      <c r="AG193" s="33" t="str">
        <f>IF(Расчёты!$E171=1,Расчёты!$BB171,"")</f>
        <v/>
      </c>
      <c r="AH193" s="33" t="str">
        <f>IF(Расчёты!$E171=1,Расчёты!$BC171,"")</f>
        <v/>
      </c>
      <c r="AI193" s="33" t="str">
        <f>IF(Расчёты!$E171=1,Расчёты!$AU171,"")</f>
        <v/>
      </c>
      <c r="AJ193" s="33" t="str">
        <f>IF(Расчёты!$E171=1,Расчёты!$BF171,"")</f>
        <v/>
      </c>
      <c r="AK193" s="33" t="str">
        <f>IF(Расчёты!$E171=1,Расчёты!$BG171,"")</f>
        <v/>
      </c>
      <c r="AM193" s="17" t="str">
        <f t="shared" si="35"/>
        <v/>
      </c>
      <c r="AN193" s="35" t="str">
        <f t="shared" si="36"/>
        <v/>
      </c>
      <c r="AP193" s="17" t="str">
        <f t="shared" si="37"/>
        <v/>
      </c>
      <c r="AQ193" s="35" t="str">
        <f t="shared" si="38"/>
        <v/>
      </c>
      <c r="AV193" s="17" t="str">
        <f t="shared" si="39"/>
        <v/>
      </c>
      <c r="AW193" s="35" t="str">
        <f t="shared" si="40"/>
        <v/>
      </c>
      <c r="AX193" s="35" t="str">
        <f t="shared" si="41"/>
        <v/>
      </c>
    </row>
    <row r="194" spans="1:50" x14ac:dyDescent="0.2">
      <c r="A194" s="18" t="str">
        <f>IF(Расчёты!$E172=1,Расчёты!$B172,"")</f>
        <v/>
      </c>
      <c r="B194" s="34" t="str">
        <f>IF(Расчёты!$E172=1,Расчёты!$D172,"")</f>
        <v/>
      </c>
      <c r="C194" s="33" t="str">
        <f>IF(Расчёты!$E172=1,Расчёты!$Z172,"")</f>
        <v/>
      </c>
      <c r="D194" s="33" t="str">
        <f>IF(Расчёты!$E172=1,Расчёты!$AA172,"")</f>
        <v/>
      </c>
      <c r="E194" s="33" t="str">
        <f>IF(Расчёты!$E172=1,Расчёты!$AB172,"")</f>
        <v/>
      </c>
      <c r="F194" s="33" t="str">
        <f>IF(Расчёты!$E172=1,Расчёты!$AC172,"")</f>
        <v/>
      </c>
      <c r="G194" s="33" t="str">
        <f>IF(Расчёты!$E172=1,Расчёты!$AD172,"")</f>
        <v/>
      </c>
      <c r="H194" s="33" t="str">
        <f>IF(Расчёты!$E172=1,Расчёты!$AI172,"")</f>
        <v/>
      </c>
      <c r="I194" s="33" t="str">
        <f>IF(Расчёты!$E172=1,Расчёты!$AG172,"")</f>
        <v/>
      </c>
      <c r="J194" s="33" t="str">
        <f>IF(Расчёты!$E172=1,Расчёты!$AJ172,"")</f>
        <v/>
      </c>
      <c r="K194" s="33" t="str">
        <f>IF(Расчёты!$E172=1,Расчёты!$AK172,"")</f>
        <v/>
      </c>
      <c r="L194" s="33" t="str">
        <f>IF(Расчёты!$E172=1,Расчёты!$I172,"")</f>
        <v/>
      </c>
      <c r="M194" s="33" t="str">
        <f>IF(Расчёты!$E172=1,Расчёты!$J172,"")</f>
        <v/>
      </c>
      <c r="N194" s="33" t="str">
        <f>IF(Расчёты!$E172=1,Расчёты!$K172,"")</f>
        <v/>
      </c>
      <c r="O194" s="33" t="str">
        <f>IF(Расчёты!$E172=1,Расчёты!$L172,"")</f>
        <v/>
      </c>
      <c r="P194" s="33" t="str">
        <f>IF(Расчёты!$E172=1,Расчёты!$M172,"")</f>
        <v/>
      </c>
      <c r="Q194" s="33" t="str">
        <f>IF(Расчёты!$E172=1,Расчёты!$N172,"")</f>
        <v/>
      </c>
      <c r="R194" s="33" t="str">
        <f>IF(Расчёты!$E172=1,Расчёты!$O172,"")</f>
        <v/>
      </c>
      <c r="S194" s="33" t="str">
        <f>IF(Расчёты!$E172=1,Расчёты!$Q172,"")</f>
        <v/>
      </c>
      <c r="T194" s="33" t="str">
        <f>IF(Расчёты!$E172=1,Расчёты!$S172,"")</f>
        <v/>
      </c>
      <c r="U194" s="33" t="str">
        <f>IF(Расчёты!$E172=1,Расчёты!$U172,"")</f>
        <v/>
      </c>
      <c r="V194" s="33" t="str">
        <f>IF(Расчёты!$E172=1,Расчёты!$W172,"")</f>
        <v/>
      </c>
      <c r="W194" s="33" t="str">
        <f>IF(Расчёты!$E172=1,Расчёты!$X172,"")</f>
        <v/>
      </c>
      <c r="X194" s="33" t="str">
        <f>IF(Расчёты!$E172=1,Расчёты!$Y172,"")</f>
        <v/>
      </c>
      <c r="Y194" s="33" t="str">
        <f>IF(Расчёты!$E172=1,Расчёты!$AL172,"")</f>
        <v/>
      </c>
      <c r="Z194" s="33" t="str">
        <f>IF(Расчёты!$E172=1,Расчёты!$AP172,"")</f>
        <v/>
      </c>
      <c r="AA194" s="33" t="str">
        <f>IF(Расчёты!$E172=1,Расчёты!$AS172,"")</f>
        <v/>
      </c>
      <c r="AB194" s="33" t="str">
        <f>IF(Расчёты!$E172=1,Расчёты!$AV172,"")</f>
        <v/>
      </c>
      <c r="AC194" s="33" t="str">
        <f>IF(Расчёты!$E172=1,Расчёты!$AW172,"")</f>
        <v/>
      </c>
      <c r="AD194" s="33" t="str">
        <f>IF(Расчёты!$E172=1,Расчёты!$AX172,"")</f>
        <v/>
      </c>
      <c r="AE194" s="33" t="str">
        <f>IF(Расчёты!$E172=1,Расчёты!$AY172,"")</f>
        <v/>
      </c>
      <c r="AF194" s="33" t="str">
        <f>IF(Расчёты!$E172=1,Расчёты!$BA172,"")</f>
        <v/>
      </c>
      <c r="AG194" s="33" t="str">
        <f>IF(Расчёты!$E172=1,Расчёты!$BB172,"")</f>
        <v/>
      </c>
      <c r="AH194" s="33" t="str">
        <f>IF(Расчёты!$E172=1,Расчёты!$BC172,"")</f>
        <v/>
      </c>
      <c r="AI194" s="33" t="str">
        <f>IF(Расчёты!$E172=1,Расчёты!$AU172,"")</f>
        <v/>
      </c>
      <c r="AJ194" s="33" t="str">
        <f>IF(Расчёты!$E172=1,Расчёты!$BF172,"")</f>
        <v/>
      </c>
      <c r="AK194" s="33" t="str">
        <f>IF(Расчёты!$E172=1,Расчёты!$BG172,"")</f>
        <v/>
      </c>
      <c r="AM194" s="17" t="str">
        <f t="shared" si="35"/>
        <v/>
      </c>
      <c r="AN194" s="35" t="str">
        <f t="shared" si="36"/>
        <v/>
      </c>
      <c r="AP194" s="17" t="str">
        <f t="shared" si="37"/>
        <v/>
      </c>
      <c r="AQ194" s="35" t="str">
        <f t="shared" si="38"/>
        <v/>
      </c>
      <c r="AV194" s="17" t="str">
        <f t="shared" si="39"/>
        <v/>
      </c>
      <c r="AW194" s="35" t="str">
        <f t="shared" si="40"/>
        <v/>
      </c>
      <c r="AX194" s="35" t="str">
        <f t="shared" si="41"/>
        <v/>
      </c>
    </row>
    <row r="195" spans="1:50" x14ac:dyDescent="0.2">
      <c r="A195" s="18" t="str">
        <f>IF(Расчёты!$E173=1,Расчёты!$B173,"")</f>
        <v/>
      </c>
      <c r="B195" s="34" t="str">
        <f>IF(Расчёты!$E173=1,Расчёты!$D173,"")</f>
        <v/>
      </c>
      <c r="C195" s="33" t="str">
        <f>IF(Расчёты!$E173=1,Расчёты!$Z173,"")</f>
        <v/>
      </c>
      <c r="D195" s="33" t="str">
        <f>IF(Расчёты!$E173=1,Расчёты!$AA173,"")</f>
        <v/>
      </c>
      <c r="E195" s="33" t="str">
        <f>IF(Расчёты!$E173=1,Расчёты!$AB173,"")</f>
        <v/>
      </c>
      <c r="F195" s="33" t="str">
        <f>IF(Расчёты!$E173=1,Расчёты!$AC173,"")</f>
        <v/>
      </c>
      <c r="G195" s="33" t="str">
        <f>IF(Расчёты!$E173=1,Расчёты!$AD173,"")</f>
        <v/>
      </c>
      <c r="H195" s="33" t="str">
        <f>IF(Расчёты!$E173=1,Расчёты!$AI173,"")</f>
        <v/>
      </c>
      <c r="I195" s="33" t="str">
        <f>IF(Расчёты!$E173=1,Расчёты!$AG173,"")</f>
        <v/>
      </c>
      <c r="J195" s="33" t="str">
        <f>IF(Расчёты!$E173=1,Расчёты!$AJ173,"")</f>
        <v/>
      </c>
      <c r="K195" s="33" t="str">
        <f>IF(Расчёты!$E173=1,Расчёты!$AK173,"")</f>
        <v/>
      </c>
      <c r="L195" s="33" t="str">
        <f>IF(Расчёты!$E173=1,Расчёты!$I173,"")</f>
        <v/>
      </c>
      <c r="M195" s="33" t="str">
        <f>IF(Расчёты!$E173=1,Расчёты!$J173,"")</f>
        <v/>
      </c>
      <c r="N195" s="33" t="str">
        <f>IF(Расчёты!$E173=1,Расчёты!$K173,"")</f>
        <v/>
      </c>
      <c r="O195" s="33" t="str">
        <f>IF(Расчёты!$E173=1,Расчёты!$L173,"")</f>
        <v/>
      </c>
      <c r="P195" s="33" t="str">
        <f>IF(Расчёты!$E173=1,Расчёты!$M173,"")</f>
        <v/>
      </c>
      <c r="Q195" s="33" t="str">
        <f>IF(Расчёты!$E173=1,Расчёты!$N173,"")</f>
        <v/>
      </c>
      <c r="R195" s="33" t="str">
        <f>IF(Расчёты!$E173=1,Расчёты!$O173,"")</f>
        <v/>
      </c>
      <c r="S195" s="33" t="str">
        <f>IF(Расчёты!$E173=1,Расчёты!$Q173,"")</f>
        <v/>
      </c>
      <c r="T195" s="33" t="str">
        <f>IF(Расчёты!$E173=1,Расчёты!$S173,"")</f>
        <v/>
      </c>
      <c r="U195" s="33" t="str">
        <f>IF(Расчёты!$E173=1,Расчёты!$U173,"")</f>
        <v/>
      </c>
      <c r="V195" s="33" t="str">
        <f>IF(Расчёты!$E173=1,Расчёты!$W173,"")</f>
        <v/>
      </c>
      <c r="W195" s="33" t="str">
        <f>IF(Расчёты!$E173=1,Расчёты!$X173,"")</f>
        <v/>
      </c>
      <c r="X195" s="33" t="str">
        <f>IF(Расчёты!$E173=1,Расчёты!$Y173,"")</f>
        <v/>
      </c>
      <c r="Y195" s="33" t="str">
        <f>IF(Расчёты!$E173=1,Расчёты!$AL173,"")</f>
        <v/>
      </c>
      <c r="Z195" s="33" t="str">
        <f>IF(Расчёты!$E173=1,Расчёты!$AP173,"")</f>
        <v/>
      </c>
      <c r="AA195" s="33" t="str">
        <f>IF(Расчёты!$E173=1,Расчёты!$AS173,"")</f>
        <v/>
      </c>
      <c r="AB195" s="33" t="str">
        <f>IF(Расчёты!$E173=1,Расчёты!$AV173,"")</f>
        <v/>
      </c>
      <c r="AC195" s="33" t="str">
        <f>IF(Расчёты!$E173=1,Расчёты!$AW173,"")</f>
        <v/>
      </c>
      <c r="AD195" s="33" t="str">
        <f>IF(Расчёты!$E173=1,Расчёты!$AX173,"")</f>
        <v/>
      </c>
      <c r="AE195" s="33" t="str">
        <f>IF(Расчёты!$E173=1,Расчёты!$AY173,"")</f>
        <v/>
      </c>
      <c r="AF195" s="33" t="str">
        <f>IF(Расчёты!$E173=1,Расчёты!$BA173,"")</f>
        <v/>
      </c>
      <c r="AG195" s="33" t="str">
        <f>IF(Расчёты!$E173=1,Расчёты!$BB173,"")</f>
        <v/>
      </c>
      <c r="AH195" s="33" t="str">
        <f>IF(Расчёты!$E173=1,Расчёты!$BC173,"")</f>
        <v/>
      </c>
      <c r="AI195" s="33" t="str">
        <f>IF(Расчёты!$E173=1,Расчёты!$AU173,"")</f>
        <v/>
      </c>
      <c r="AJ195" s="33" t="str">
        <f>IF(Расчёты!$E173=1,Расчёты!$BF173,"")</f>
        <v/>
      </c>
      <c r="AK195" s="33" t="str">
        <f>IF(Расчёты!$E173=1,Расчёты!$BG173,"")</f>
        <v/>
      </c>
      <c r="AM195" s="17" t="str">
        <f t="shared" si="35"/>
        <v/>
      </c>
      <c r="AN195" s="35" t="str">
        <f t="shared" si="36"/>
        <v/>
      </c>
      <c r="AP195" s="17" t="str">
        <f t="shared" si="37"/>
        <v/>
      </c>
      <c r="AQ195" s="35" t="str">
        <f t="shared" si="38"/>
        <v/>
      </c>
      <c r="AV195" s="17" t="str">
        <f t="shared" si="39"/>
        <v/>
      </c>
      <c r="AW195" s="35" t="str">
        <f t="shared" si="40"/>
        <v/>
      </c>
      <c r="AX195" s="35" t="str">
        <f t="shared" si="41"/>
        <v/>
      </c>
    </row>
    <row r="196" spans="1:50" x14ac:dyDescent="0.2">
      <c r="A196" s="18" t="str">
        <f>IF(Расчёты!$E174=1,Расчёты!$B174,"")</f>
        <v/>
      </c>
      <c r="B196" s="34" t="str">
        <f>IF(Расчёты!$E174=1,Расчёты!$D174,"")</f>
        <v/>
      </c>
      <c r="C196" s="33" t="str">
        <f>IF(Расчёты!$E174=1,Расчёты!$Z174,"")</f>
        <v/>
      </c>
      <c r="D196" s="33" t="str">
        <f>IF(Расчёты!$E174=1,Расчёты!$AA174,"")</f>
        <v/>
      </c>
      <c r="E196" s="33" t="str">
        <f>IF(Расчёты!$E174=1,Расчёты!$AB174,"")</f>
        <v/>
      </c>
      <c r="F196" s="33" t="str">
        <f>IF(Расчёты!$E174=1,Расчёты!$AC174,"")</f>
        <v/>
      </c>
      <c r="G196" s="33" t="str">
        <f>IF(Расчёты!$E174=1,Расчёты!$AD174,"")</f>
        <v/>
      </c>
      <c r="H196" s="33" t="str">
        <f>IF(Расчёты!$E174=1,Расчёты!$AI174,"")</f>
        <v/>
      </c>
      <c r="I196" s="33" t="str">
        <f>IF(Расчёты!$E174=1,Расчёты!$AG174,"")</f>
        <v/>
      </c>
      <c r="J196" s="33" t="str">
        <f>IF(Расчёты!$E174=1,Расчёты!$AJ174,"")</f>
        <v/>
      </c>
      <c r="K196" s="33" t="str">
        <f>IF(Расчёты!$E174=1,Расчёты!$AK174,"")</f>
        <v/>
      </c>
      <c r="L196" s="33" t="str">
        <f>IF(Расчёты!$E174=1,Расчёты!$I174,"")</f>
        <v/>
      </c>
      <c r="M196" s="33" t="str">
        <f>IF(Расчёты!$E174=1,Расчёты!$J174,"")</f>
        <v/>
      </c>
      <c r="N196" s="33" t="str">
        <f>IF(Расчёты!$E174=1,Расчёты!$K174,"")</f>
        <v/>
      </c>
      <c r="O196" s="33" t="str">
        <f>IF(Расчёты!$E174=1,Расчёты!$L174,"")</f>
        <v/>
      </c>
      <c r="P196" s="33" t="str">
        <f>IF(Расчёты!$E174=1,Расчёты!$M174,"")</f>
        <v/>
      </c>
      <c r="Q196" s="33" t="str">
        <f>IF(Расчёты!$E174=1,Расчёты!$N174,"")</f>
        <v/>
      </c>
      <c r="R196" s="33" t="str">
        <f>IF(Расчёты!$E174=1,Расчёты!$O174,"")</f>
        <v/>
      </c>
      <c r="S196" s="33" t="str">
        <f>IF(Расчёты!$E174=1,Расчёты!$Q174,"")</f>
        <v/>
      </c>
      <c r="T196" s="33" t="str">
        <f>IF(Расчёты!$E174=1,Расчёты!$S174,"")</f>
        <v/>
      </c>
      <c r="U196" s="33" t="str">
        <f>IF(Расчёты!$E174=1,Расчёты!$U174,"")</f>
        <v/>
      </c>
      <c r="V196" s="33" t="str">
        <f>IF(Расчёты!$E174=1,Расчёты!$W174,"")</f>
        <v/>
      </c>
      <c r="W196" s="33" t="str">
        <f>IF(Расчёты!$E174=1,Расчёты!$X174,"")</f>
        <v/>
      </c>
      <c r="X196" s="33" t="str">
        <f>IF(Расчёты!$E174=1,Расчёты!$Y174,"")</f>
        <v/>
      </c>
      <c r="Y196" s="33" t="str">
        <f>IF(Расчёты!$E174=1,Расчёты!$AL174,"")</f>
        <v/>
      </c>
      <c r="Z196" s="33" t="str">
        <f>IF(Расчёты!$E174=1,Расчёты!$AP174,"")</f>
        <v/>
      </c>
      <c r="AA196" s="33" t="str">
        <f>IF(Расчёты!$E174=1,Расчёты!$AS174,"")</f>
        <v/>
      </c>
      <c r="AB196" s="33" t="str">
        <f>IF(Расчёты!$E174=1,Расчёты!$AV174,"")</f>
        <v/>
      </c>
      <c r="AC196" s="33" t="str">
        <f>IF(Расчёты!$E174=1,Расчёты!$AW174,"")</f>
        <v/>
      </c>
      <c r="AD196" s="33" t="str">
        <f>IF(Расчёты!$E174=1,Расчёты!$AX174,"")</f>
        <v/>
      </c>
      <c r="AE196" s="33" t="str">
        <f>IF(Расчёты!$E174=1,Расчёты!$AY174,"")</f>
        <v/>
      </c>
      <c r="AF196" s="33" t="str">
        <f>IF(Расчёты!$E174=1,Расчёты!$BA174,"")</f>
        <v/>
      </c>
      <c r="AG196" s="33" t="str">
        <f>IF(Расчёты!$E174=1,Расчёты!$BB174,"")</f>
        <v/>
      </c>
      <c r="AH196" s="33" t="str">
        <f>IF(Расчёты!$E174=1,Расчёты!$BC174,"")</f>
        <v/>
      </c>
      <c r="AI196" s="33" t="str">
        <f>IF(Расчёты!$E174=1,Расчёты!$AU174,"")</f>
        <v/>
      </c>
      <c r="AJ196" s="33" t="str">
        <f>IF(Расчёты!$E174=1,Расчёты!$BF174,"")</f>
        <v/>
      </c>
      <c r="AK196" s="33" t="str">
        <f>IF(Расчёты!$E174=1,Расчёты!$BG174,"")</f>
        <v/>
      </c>
      <c r="AM196" s="17" t="str">
        <f t="shared" si="35"/>
        <v/>
      </c>
      <c r="AN196" s="35" t="str">
        <f t="shared" si="36"/>
        <v/>
      </c>
      <c r="AP196" s="17" t="str">
        <f t="shared" si="37"/>
        <v/>
      </c>
      <c r="AQ196" s="35" t="str">
        <f t="shared" si="38"/>
        <v/>
      </c>
      <c r="AV196" s="17" t="str">
        <f t="shared" si="39"/>
        <v/>
      </c>
      <c r="AW196" s="35" t="str">
        <f t="shared" si="40"/>
        <v/>
      </c>
      <c r="AX196" s="35" t="str">
        <f t="shared" si="41"/>
        <v/>
      </c>
    </row>
    <row r="197" spans="1:50" x14ac:dyDescent="0.2">
      <c r="A197" s="18" t="str">
        <f>IF(Расчёты!$E175=1,Расчёты!$B175,"")</f>
        <v/>
      </c>
      <c r="B197" s="34" t="str">
        <f>IF(Расчёты!$E175=1,Расчёты!$D175,"")</f>
        <v/>
      </c>
      <c r="C197" s="33" t="str">
        <f>IF(Расчёты!$E175=1,Расчёты!$Z175,"")</f>
        <v/>
      </c>
      <c r="D197" s="33" t="str">
        <f>IF(Расчёты!$E175=1,Расчёты!$AA175,"")</f>
        <v/>
      </c>
      <c r="E197" s="33" t="str">
        <f>IF(Расчёты!$E175=1,Расчёты!$AB175,"")</f>
        <v/>
      </c>
      <c r="F197" s="33" t="str">
        <f>IF(Расчёты!$E175=1,Расчёты!$AC175,"")</f>
        <v/>
      </c>
      <c r="G197" s="33" t="str">
        <f>IF(Расчёты!$E175=1,Расчёты!$AD175,"")</f>
        <v/>
      </c>
      <c r="H197" s="33" t="str">
        <f>IF(Расчёты!$E175=1,Расчёты!$AI175,"")</f>
        <v/>
      </c>
      <c r="I197" s="33" t="str">
        <f>IF(Расчёты!$E175=1,Расчёты!$AG175,"")</f>
        <v/>
      </c>
      <c r="J197" s="33" t="str">
        <f>IF(Расчёты!$E175=1,Расчёты!$AJ175,"")</f>
        <v/>
      </c>
      <c r="K197" s="33" t="str">
        <f>IF(Расчёты!$E175=1,Расчёты!$AK175,"")</f>
        <v/>
      </c>
      <c r="L197" s="33" t="str">
        <f>IF(Расчёты!$E175=1,Расчёты!$I175,"")</f>
        <v/>
      </c>
      <c r="M197" s="33" t="str">
        <f>IF(Расчёты!$E175=1,Расчёты!$J175,"")</f>
        <v/>
      </c>
      <c r="N197" s="33" t="str">
        <f>IF(Расчёты!$E175=1,Расчёты!$K175,"")</f>
        <v/>
      </c>
      <c r="O197" s="33" t="str">
        <f>IF(Расчёты!$E175=1,Расчёты!$L175,"")</f>
        <v/>
      </c>
      <c r="P197" s="33" t="str">
        <f>IF(Расчёты!$E175=1,Расчёты!$M175,"")</f>
        <v/>
      </c>
      <c r="Q197" s="33" t="str">
        <f>IF(Расчёты!$E175=1,Расчёты!$N175,"")</f>
        <v/>
      </c>
      <c r="R197" s="33" t="str">
        <f>IF(Расчёты!$E175=1,Расчёты!$O175,"")</f>
        <v/>
      </c>
      <c r="S197" s="33" t="str">
        <f>IF(Расчёты!$E175=1,Расчёты!$Q175,"")</f>
        <v/>
      </c>
      <c r="T197" s="33" t="str">
        <f>IF(Расчёты!$E175=1,Расчёты!$S175,"")</f>
        <v/>
      </c>
      <c r="U197" s="33" t="str">
        <f>IF(Расчёты!$E175=1,Расчёты!$U175,"")</f>
        <v/>
      </c>
      <c r="V197" s="33" t="str">
        <f>IF(Расчёты!$E175=1,Расчёты!$W175,"")</f>
        <v/>
      </c>
      <c r="W197" s="33" t="str">
        <f>IF(Расчёты!$E175=1,Расчёты!$X175,"")</f>
        <v/>
      </c>
      <c r="X197" s="33" t="str">
        <f>IF(Расчёты!$E175=1,Расчёты!$Y175,"")</f>
        <v/>
      </c>
      <c r="Y197" s="33" t="str">
        <f>IF(Расчёты!$E175=1,Расчёты!$AL175,"")</f>
        <v/>
      </c>
      <c r="Z197" s="33" t="str">
        <f>IF(Расчёты!$E175=1,Расчёты!$AP175,"")</f>
        <v/>
      </c>
      <c r="AA197" s="33" t="str">
        <f>IF(Расчёты!$E175=1,Расчёты!$AS175,"")</f>
        <v/>
      </c>
      <c r="AB197" s="33" t="str">
        <f>IF(Расчёты!$E175=1,Расчёты!$AV175,"")</f>
        <v/>
      </c>
      <c r="AC197" s="33" t="str">
        <f>IF(Расчёты!$E175=1,Расчёты!$AW175,"")</f>
        <v/>
      </c>
      <c r="AD197" s="33" t="str">
        <f>IF(Расчёты!$E175=1,Расчёты!$AX175,"")</f>
        <v/>
      </c>
      <c r="AE197" s="33" t="str">
        <f>IF(Расчёты!$E175=1,Расчёты!$AY175,"")</f>
        <v/>
      </c>
      <c r="AF197" s="33" t="str">
        <f>IF(Расчёты!$E175=1,Расчёты!$BA175,"")</f>
        <v/>
      </c>
      <c r="AG197" s="33" t="str">
        <f>IF(Расчёты!$E175=1,Расчёты!$BB175,"")</f>
        <v/>
      </c>
      <c r="AH197" s="33" t="str">
        <f>IF(Расчёты!$E175=1,Расчёты!$BC175,"")</f>
        <v/>
      </c>
      <c r="AI197" s="33" t="str">
        <f>IF(Расчёты!$E175=1,Расчёты!$AU175,"")</f>
        <v/>
      </c>
      <c r="AJ197" s="33" t="str">
        <f>IF(Расчёты!$E175=1,Расчёты!$BF175,"")</f>
        <v/>
      </c>
      <c r="AK197" s="33" t="str">
        <f>IF(Расчёты!$E175=1,Расчёты!$BG175,"")</f>
        <v/>
      </c>
      <c r="AM197" s="17" t="str">
        <f t="shared" si="35"/>
        <v/>
      </c>
      <c r="AN197" s="35" t="str">
        <f t="shared" si="36"/>
        <v/>
      </c>
      <c r="AP197" s="17" t="str">
        <f t="shared" si="37"/>
        <v/>
      </c>
      <c r="AQ197" s="35" t="str">
        <f t="shared" si="38"/>
        <v/>
      </c>
      <c r="AV197" s="17" t="str">
        <f t="shared" si="39"/>
        <v/>
      </c>
      <c r="AW197" s="35" t="str">
        <f t="shared" si="40"/>
        <v/>
      </c>
      <c r="AX197" s="35" t="str">
        <f t="shared" si="41"/>
        <v/>
      </c>
    </row>
    <row r="198" spans="1:50" x14ac:dyDescent="0.2">
      <c r="A198" s="18" t="str">
        <f>IF(Расчёты!$E176=1,Расчёты!$B176,"")</f>
        <v/>
      </c>
      <c r="B198" s="34" t="str">
        <f>IF(Расчёты!$E176=1,Расчёты!$D176,"")</f>
        <v/>
      </c>
      <c r="C198" s="33" t="str">
        <f>IF(Расчёты!$E176=1,Расчёты!$Z176,"")</f>
        <v/>
      </c>
      <c r="D198" s="33" t="str">
        <f>IF(Расчёты!$E176=1,Расчёты!$AA176,"")</f>
        <v/>
      </c>
      <c r="E198" s="33" t="str">
        <f>IF(Расчёты!$E176=1,Расчёты!$AB176,"")</f>
        <v/>
      </c>
      <c r="F198" s="33" t="str">
        <f>IF(Расчёты!$E176=1,Расчёты!$AC176,"")</f>
        <v/>
      </c>
      <c r="G198" s="33" t="str">
        <f>IF(Расчёты!$E176=1,Расчёты!$AD176,"")</f>
        <v/>
      </c>
      <c r="H198" s="33" t="str">
        <f>IF(Расчёты!$E176=1,Расчёты!$AI176,"")</f>
        <v/>
      </c>
      <c r="I198" s="33" t="str">
        <f>IF(Расчёты!$E176=1,Расчёты!$AG176,"")</f>
        <v/>
      </c>
      <c r="J198" s="33" t="str">
        <f>IF(Расчёты!$E176=1,Расчёты!$AJ176,"")</f>
        <v/>
      </c>
      <c r="K198" s="33" t="str">
        <f>IF(Расчёты!$E176=1,Расчёты!$AK176,"")</f>
        <v/>
      </c>
      <c r="L198" s="33" t="str">
        <f>IF(Расчёты!$E176=1,Расчёты!$I176,"")</f>
        <v/>
      </c>
      <c r="M198" s="33" t="str">
        <f>IF(Расчёты!$E176=1,Расчёты!$J176,"")</f>
        <v/>
      </c>
      <c r="N198" s="33" t="str">
        <f>IF(Расчёты!$E176=1,Расчёты!$K176,"")</f>
        <v/>
      </c>
      <c r="O198" s="33" t="str">
        <f>IF(Расчёты!$E176=1,Расчёты!$L176,"")</f>
        <v/>
      </c>
      <c r="P198" s="33" t="str">
        <f>IF(Расчёты!$E176=1,Расчёты!$M176,"")</f>
        <v/>
      </c>
      <c r="Q198" s="33" t="str">
        <f>IF(Расчёты!$E176=1,Расчёты!$N176,"")</f>
        <v/>
      </c>
      <c r="R198" s="33" t="str">
        <f>IF(Расчёты!$E176=1,Расчёты!$O176,"")</f>
        <v/>
      </c>
      <c r="S198" s="33" t="str">
        <f>IF(Расчёты!$E176=1,Расчёты!$Q176,"")</f>
        <v/>
      </c>
      <c r="T198" s="33" t="str">
        <f>IF(Расчёты!$E176=1,Расчёты!$S176,"")</f>
        <v/>
      </c>
      <c r="U198" s="33" t="str">
        <f>IF(Расчёты!$E176=1,Расчёты!$U176,"")</f>
        <v/>
      </c>
      <c r="V198" s="33" t="str">
        <f>IF(Расчёты!$E176=1,Расчёты!$W176,"")</f>
        <v/>
      </c>
      <c r="W198" s="33" t="str">
        <f>IF(Расчёты!$E176=1,Расчёты!$X176,"")</f>
        <v/>
      </c>
      <c r="X198" s="33" t="str">
        <f>IF(Расчёты!$E176=1,Расчёты!$Y176,"")</f>
        <v/>
      </c>
      <c r="Y198" s="33" t="str">
        <f>IF(Расчёты!$E176=1,Расчёты!$AL176,"")</f>
        <v/>
      </c>
      <c r="Z198" s="33" t="str">
        <f>IF(Расчёты!$E176=1,Расчёты!$AP176,"")</f>
        <v/>
      </c>
      <c r="AA198" s="33" t="str">
        <f>IF(Расчёты!$E176=1,Расчёты!$AS176,"")</f>
        <v/>
      </c>
      <c r="AB198" s="33" t="str">
        <f>IF(Расчёты!$E176=1,Расчёты!$AV176,"")</f>
        <v/>
      </c>
      <c r="AC198" s="33" t="str">
        <f>IF(Расчёты!$E176=1,Расчёты!$AW176,"")</f>
        <v/>
      </c>
      <c r="AD198" s="33" t="str">
        <f>IF(Расчёты!$E176=1,Расчёты!$AX176,"")</f>
        <v/>
      </c>
      <c r="AE198" s="33" t="str">
        <f>IF(Расчёты!$E176=1,Расчёты!$AY176,"")</f>
        <v/>
      </c>
      <c r="AF198" s="33" t="str">
        <f>IF(Расчёты!$E176=1,Расчёты!$BA176,"")</f>
        <v/>
      </c>
      <c r="AG198" s="33" t="str">
        <f>IF(Расчёты!$E176=1,Расчёты!$BB176,"")</f>
        <v/>
      </c>
      <c r="AH198" s="33" t="str">
        <f>IF(Расчёты!$E176=1,Расчёты!$BC176,"")</f>
        <v/>
      </c>
      <c r="AI198" s="33" t="str">
        <f>IF(Расчёты!$E176=1,Расчёты!$AU176,"")</f>
        <v/>
      </c>
      <c r="AJ198" s="33" t="str">
        <f>IF(Расчёты!$E176=1,Расчёты!$BF176,"")</f>
        <v/>
      </c>
      <c r="AK198" s="33" t="str">
        <f>IF(Расчёты!$E176=1,Расчёты!$BG176,"")</f>
        <v/>
      </c>
      <c r="AM198" s="17" t="str">
        <f t="shared" si="35"/>
        <v/>
      </c>
      <c r="AN198" s="35" t="str">
        <f t="shared" si="36"/>
        <v/>
      </c>
      <c r="AP198" s="17" t="str">
        <f t="shared" si="37"/>
        <v/>
      </c>
      <c r="AQ198" s="35" t="str">
        <f t="shared" si="38"/>
        <v/>
      </c>
      <c r="AV198" s="17" t="str">
        <f t="shared" si="39"/>
        <v/>
      </c>
      <c r="AW198" s="35" t="str">
        <f t="shared" si="40"/>
        <v/>
      </c>
      <c r="AX198" s="35" t="str">
        <f t="shared" si="41"/>
        <v/>
      </c>
    </row>
    <row r="199" spans="1:50" x14ac:dyDescent="0.2">
      <c r="A199" s="18" t="str">
        <f>IF(Расчёты!$E177=1,Расчёты!$B177,"")</f>
        <v/>
      </c>
      <c r="B199" s="34" t="str">
        <f>IF(Расчёты!$E177=1,Расчёты!$D177,"")</f>
        <v/>
      </c>
      <c r="C199" s="33" t="str">
        <f>IF(Расчёты!$E177=1,Расчёты!$Z177,"")</f>
        <v/>
      </c>
      <c r="D199" s="33" t="str">
        <f>IF(Расчёты!$E177=1,Расчёты!$AA177,"")</f>
        <v/>
      </c>
      <c r="E199" s="33" t="str">
        <f>IF(Расчёты!$E177=1,Расчёты!$AB177,"")</f>
        <v/>
      </c>
      <c r="F199" s="33" t="str">
        <f>IF(Расчёты!$E177=1,Расчёты!$AC177,"")</f>
        <v/>
      </c>
      <c r="G199" s="33" t="str">
        <f>IF(Расчёты!$E177=1,Расчёты!$AD177,"")</f>
        <v/>
      </c>
      <c r="H199" s="33" t="str">
        <f>IF(Расчёты!$E177=1,Расчёты!$AI177,"")</f>
        <v/>
      </c>
      <c r="I199" s="33" t="str">
        <f>IF(Расчёты!$E177=1,Расчёты!$AG177,"")</f>
        <v/>
      </c>
      <c r="J199" s="33" t="str">
        <f>IF(Расчёты!$E177=1,Расчёты!$AJ177,"")</f>
        <v/>
      </c>
      <c r="K199" s="33" t="str">
        <f>IF(Расчёты!$E177=1,Расчёты!$AK177,"")</f>
        <v/>
      </c>
      <c r="L199" s="33" t="str">
        <f>IF(Расчёты!$E177=1,Расчёты!$I177,"")</f>
        <v/>
      </c>
      <c r="M199" s="33" t="str">
        <f>IF(Расчёты!$E177=1,Расчёты!$J177,"")</f>
        <v/>
      </c>
      <c r="N199" s="33" t="str">
        <f>IF(Расчёты!$E177=1,Расчёты!$K177,"")</f>
        <v/>
      </c>
      <c r="O199" s="33" t="str">
        <f>IF(Расчёты!$E177=1,Расчёты!$L177,"")</f>
        <v/>
      </c>
      <c r="P199" s="33" t="str">
        <f>IF(Расчёты!$E177=1,Расчёты!$M177,"")</f>
        <v/>
      </c>
      <c r="Q199" s="33" t="str">
        <f>IF(Расчёты!$E177=1,Расчёты!$N177,"")</f>
        <v/>
      </c>
      <c r="R199" s="33" t="str">
        <f>IF(Расчёты!$E177=1,Расчёты!$O177,"")</f>
        <v/>
      </c>
      <c r="S199" s="33" t="str">
        <f>IF(Расчёты!$E177=1,Расчёты!$Q177,"")</f>
        <v/>
      </c>
      <c r="T199" s="33" t="str">
        <f>IF(Расчёты!$E177=1,Расчёты!$S177,"")</f>
        <v/>
      </c>
      <c r="U199" s="33" t="str">
        <f>IF(Расчёты!$E177=1,Расчёты!$U177,"")</f>
        <v/>
      </c>
      <c r="V199" s="33" t="str">
        <f>IF(Расчёты!$E177=1,Расчёты!$W177,"")</f>
        <v/>
      </c>
      <c r="W199" s="33" t="str">
        <f>IF(Расчёты!$E177=1,Расчёты!$X177,"")</f>
        <v/>
      </c>
      <c r="X199" s="33" t="str">
        <f>IF(Расчёты!$E177=1,Расчёты!$Y177,"")</f>
        <v/>
      </c>
      <c r="Y199" s="33" t="str">
        <f>IF(Расчёты!$E177=1,Расчёты!$AL177,"")</f>
        <v/>
      </c>
      <c r="Z199" s="33" t="str">
        <f>IF(Расчёты!$E177=1,Расчёты!$AP177,"")</f>
        <v/>
      </c>
      <c r="AA199" s="33" t="str">
        <f>IF(Расчёты!$E177=1,Расчёты!$AS177,"")</f>
        <v/>
      </c>
      <c r="AB199" s="33" t="str">
        <f>IF(Расчёты!$E177=1,Расчёты!$AV177,"")</f>
        <v/>
      </c>
      <c r="AC199" s="33" t="str">
        <f>IF(Расчёты!$E177=1,Расчёты!$AW177,"")</f>
        <v/>
      </c>
      <c r="AD199" s="33" t="str">
        <f>IF(Расчёты!$E177=1,Расчёты!$AX177,"")</f>
        <v/>
      </c>
      <c r="AE199" s="33" t="str">
        <f>IF(Расчёты!$E177=1,Расчёты!$AY177,"")</f>
        <v/>
      </c>
      <c r="AF199" s="33" t="str">
        <f>IF(Расчёты!$E177=1,Расчёты!$BA177,"")</f>
        <v/>
      </c>
      <c r="AG199" s="33" t="str">
        <f>IF(Расчёты!$E177=1,Расчёты!$BB177,"")</f>
        <v/>
      </c>
      <c r="AH199" s="33" t="str">
        <f>IF(Расчёты!$E177=1,Расчёты!$BC177,"")</f>
        <v/>
      </c>
      <c r="AI199" s="33" t="str">
        <f>IF(Расчёты!$E177=1,Расчёты!$AU177,"")</f>
        <v/>
      </c>
      <c r="AJ199" s="33" t="str">
        <f>IF(Расчёты!$E177=1,Расчёты!$BF177,"")</f>
        <v/>
      </c>
      <c r="AK199" s="33" t="str">
        <f>IF(Расчёты!$E177=1,Расчёты!$BG177,"")</f>
        <v/>
      </c>
      <c r="AM199" s="17" t="str">
        <f t="shared" si="35"/>
        <v/>
      </c>
      <c r="AN199" s="35" t="str">
        <f t="shared" si="36"/>
        <v/>
      </c>
      <c r="AP199" s="17" t="str">
        <f t="shared" si="37"/>
        <v/>
      </c>
      <c r="AQ199" s="35" t="str">
        <f t="shared" si="38"/>
        <v/>
      </c>
      <c r="AV199" s="17" t="str">
        <f t="shared" si="39"/>
        <v/>
      </c>
      <c r="AW199" s="35" t="str">
        <f t="shared" si="40"/>
        <v/>
      </c>
      <c r="AX199" s="35" t="str">
        <f t="shared" si="41"/>
        <v/>
      </c>
    </row>
    <row r="200" spans="1:50" x14ac:dyDescent="0.2">
      <c r="A200" s="18" t="str">
        <f>IF(Расчёты!$E178=1,Расчёты!$B178,"")</f>
        <v/>
      </c>
      <c r="B200" s="34" t="str">
        <f>IF(Расчёты!$E178=1,Расчёты!$D178,"")</f>
        <v/>
      </c>
      <c r="C200" s="33" t="str">
        <f>IF(Расчёты!$E178=1,Расчёты!$Z178,"")</f>
        <v/>
      </c>
      <c r="D200" s="33" t="str">
        <f>IF(Расчёты!$E178=1,Расчёты!$AA178,"")</f>
        <v/>
      </c>
      <c r="E200" s="33" t="str">
        <f>IF(Расчёты!$E178=1,Расчёты!$AB178,"")</f>
        <v/>
      </c>
      <c r="F200" s="33" t="str">
        <f>IF(Расчёты!$E178=1,Расчёты!$AC178,"")</f>
        <v/>
      </c>
      <c r="G200" s="33" t="str">
        <f>IF(Расчёты!$E178=1,Расчёты!$AD178,"")</f>
        <v/>
      </c>
      <c r="H200" s="33" t="str">
        <f>IF(Расчёты!$E178=1,Расчёты!$AI178,"")</f>
        <v/>
      </c>
      <c r="I200" s="33" t="str">
        <f>IF(Расчёты!$E178=1,Расчёты!$AG178,"")</f>
        <v/>
      </c>
      <c r="J200" s="33" t="str">
        <f>IF(Расчёты!$E178=1,Расчёты!$AJ178,"")</f>
        <v/>
      </c>
      <c r="K200" s="33" t="str">
        <f>IF(Расчёты!$E178=1,Расчёты!$AK178,"")</f>
        <v/>
      </c>
      <c r="L200" s="33" t="str">
        <f>IF(Расчёты!$E178=1,Расчёты!$I178,"")</f>
        <v/>
      </c>
      <c r="M200" s="33" t="str">
        <f>IF(Расчёты!$E178=1,Расчёты!$J178,"")</f>
        <v/>
      </c>
      <c r="N200" s="33" t="str">
        <f>IF(Расчёты!$E178=1,Расчёты!$K178,"")</f>
        <v/>
      </c>
      <c r="O200" s="33" t="str">
        <f>IF(Расчёты!$E178=1,Расчёты!$L178,"")</f>
        <v/>
      </c>
      <c r="P200" s="33" t="str">
        <f>IF(Расчёты!$E178=1,Расчёты!$M178,"")</f>
        <v/>
      </c>
      <c r="Q200" s="33" t="str">
        <f>IF(Расчёты!$E178=1,Расчёты!$N178,"")</f>
        <v/>
      </c>
      <c r="R200" s="33" t="str">
        <f>IF(Расчёты!$E178=1,Расчёты!$O178,"")</f>
        <v/>
      </c>
      <c r="S200" s="33" t="str">
        <f>IF(Расчёты!$E178=1,Расчёты!$Q178,"")</f>
        <v/>
      </c>
      <c r="T200" s="33" t="str">
        <f>IF(Расчёты!$E178=1,Расчёты!$S178,"")</f>
        <v/>
      </c>
      <c r="U200" s="33" t="str">
        <f>IF(Расчёты!$E178=1,Расчёты!$U178,"")</f>
        <v/>
      </c>
      <c r="V200" s="33" t="str">
        <f>IF(Расчёты!$E178=1,Расчёты!$W178,"")</f>
        <v/>
      </c>
      <c r="W200" s="33" t="str">
        <f>IF(Расчёты!$E178=1,Расчёты!$X178,"")</f>
        <v/>
      </c>
      <c r="X200" s="33" t="str">
        <f>IF(Расчёты!$E178=1,Расчёты!$Y178,"")</f>
        <v/>
      </c>
      <c r="Y200" s="33" t="str">
        <f>IF(Расчёты!$E178=1,Расчёты!$AL178,"")</f>
        <v/>
      </c>
      <c r="Z200" s="33" t="str">
        <f>IF(Расчёты!$E178=1,Расчёты!$AP178,"")</f>
        <v/>
      </c>
      <c r="AA200" s="33" t="str">
        <f>IF(Расчёты!$E178=1,Расчёты!$AS178,"")</f>
        <v/>
      </c>
      <c r="AB200" s="33" t="str">
        <f>IF(Расчёты!$E178=1,Расчёты!$AV178,"")</f>
        <v/>
      </c>
      <c r="AC200" s="33" t="str">
        <f>IF(Расчёты!$E178=1,Расчёты!$AW178,"")</f>
        <v/>
      </c>
      <c r="AD200" s="33" t="str">
        <f>IF(Расчёты!$E178=1,Расчёты!$AX178,"")</f>
        <v/>
      </c>
      <c r="AE200" s="33" t="str">
        <f>IF(Расчёты!$E178=1,Расчёты!$AY178,"")</f>
        <v/>
      </c>
      <c r="AF200" s="33" t="str">
        <f>IF(Расчёты!$E178=1,Расчёты!$BA178,"")</f>
        <v/>
      </c>
      <c r="AG200" s="33" t="str">
        <f>IF(Расчёты!$E178=1,Расчёты!$BB178,"")</f>
        <v/>
      </c>
      <c r="AH200" s="33" t="str">
        <f>IF(Расчёты!$E178=1,Расчёты!$BC178,"")</f>
        <v/>
      </c>
      <c r="AI200" s="33" t="str">
        <f>IF(Расчёты!$E178=1,Расчёты!$AU178,"")</f>
        <v/>
      </c>
      <c r="AJ200" s="33" t="str">
        <f>IF(Расчёты!$E178=1,Расчёты!$BF178,"")</f>
        <v/>
      </c>
      <c r="AK200" s="33" t="str">
        <f>IF(Расчёты!$E178=1,Расчёты!$BG178,"")</f>
        <v/>
      </c>
      <c r="AM200" s="17" t="str">
        <f t="shared" si="35"/>
        <v/>
      </c>
      <c r="AN200" s="35" t="str">
        <f t="shared" si="36"/>
        <v/>
      </c>
      <c r="AP200" s="17" t="str">
        <f t="shared" si="37"/>
        <v/>
      </c>
      <c r="AQ200" s="35" t="str">
        <f t="shared" si="38"/>
        <v/>
      </c>
      <c r="AV200" s="17" t="str">
        <f t="shared" si="39"/>
        <v/>
      </c>
      <c r="AW200" s="35" t="str">
        <f t="shared" si="40"/>
        <v/>
      </c>
      <c r="AX200" s="35" t="str">
        <f t="shared" si="41"/>
        <v/>
      </c>
    </row>
    <row r="201" spans="1:50" x14ac:dyDescent="0.2">
      <c r="A201" s="18" t="str">
        <f>IF(Расчёты!$E179=1,Расчёты!$B179,"")</f>
        <v/>
      </c>
      <c r="B201" s="34" t="str">
        <f>IF(Расчёты!$E179=1,Расчёты!$D179,"")</f>
        <v/>
      </c>
      <c r="C201" s="33" t="str">
        <f>IF(Расчёты!$E179=1,Расчёты!$Z179,"")</f>
        <v/>
      </c>
      <c r="D201" s="33" t="str">
        <f>IF(Расчёты!$E179=1,Расчёты!$AA179,"")</f>
        <v/>
      </c>
      <c r="E201" s="33" t="str">
        <f>IF(Расчёты!$E179=1,Расчёты!$AB179,"")</f>
        <v/>
      </c>
      <c r="F201" s="33" t="str">
        <f>IF(Расчёты!$E179=1,Расчёты!$AC179,"")</f>
        <v/>
      </c>
      <c r="G201" s="33" t="str">
        <f>IF(Расчёты!$E179=1,Расчёты!$AD179,"")</f>
        <v/>
      </c>
      <c r="H201" s="33" t="str">
        <f>IF(Расчёты!$E179=1,Расчёты!$AI179,"")</f>
        <v/>
      </c>
      <c r="I201" s="33" t="str">
        <f>IF(Расчёты!$E179=1,Расчёты!$AG179,"")</f>
        <v/>
      </c>
      <c r="J201" s="33" t="str">
        <f>IF(Расчёты!$E179=1,Расчёты!$AJ179,"")</f>
        <v/>
      </c>
      <c r="K201" s="33" t="str">
        <f>IF(Расчёты!$E179=1,Расчёты!$AK179,"")</f>
        <v/>
      </c>
      <c r="L201" s="33" t="str">
        <f>IF(Расчёты!$E179=1,Расчёты!$I179,"")</f>
        <v/>
      </c>
      <c r="M201" s="33" t="str">
        <f>IF(Расчёты!$E179=1,Расчёты!$J179,"")</f>
        <v/>
      </c>
      <c r="N201" s="33" t="str">
        <f>IF(Расчёты!$E179=1,Расчёты!$K179,"")</f>
        <v/>
      </c>
      <c r="O201" s="33" t="str">
        <f>IF(Расчёты!$E179=1,Расчёты!$L179,"")</f>
        <v/>
      </c>
      <c r="P201" s="33" t="str">
        <f>IF(Расчёты!$E179=1,Расчёты!$M179,"")</f>
        <v/>
      </c>
      <c r="Q201" s="33" t="str">
        <f>IF(Расчёты!$E179=1,Расчёты!$N179,"")</f>
        <v/>
      </c>
      <c r="R201" s="33" t="str">
        <f>IF(Расчёты!$E179=1,Расчёты!$O179,"")</f>
        <v/>
      </c>
      <c r="S201" s="33" t="str">
        <f>IF(Расчёты!$E179=1,Расчёты!$Q179,"")</f>
        <v/>
      </c>
      <c r="T201" s="33" t="str">
        <f>IF(Расчёты!$E179=1,Расчёты!$S179,"")</f>
        <v/>
      </c>
      <c r="U201" s="33" t="str">
        <f>IF(Расчёты!$E179=1,Расчёты!$U179,"")</f>
        <v/>
      </c>
      <c r="V201" s="33" t="str">
        <f>IF(Расчёты!$E179=1,Расчёты!$W179,"")</f>
        <v/>
      </c>
      <c r="W201" s="33" t="str">
        <f>IF(Расчёты!$E179=1,Расчёты!$X179,"")</f>
        <v/>
      </c>
      <c r="X201" s="33" t="str">
        <f>IF(Расчёты!$E179=1,Расчёты!$Y179,"")</f>
        <v/>
      </c>
      <c r="Y201" s="33" t="str">
        <f>IF(Расчёты!$E179=1,Расчёты!$AL179,"")</f>
        <v/>
      </c>
      <c r="Z201" s="33" t="str">
        <f>IF(Расчёты!$E179=1,Расчёты!$AP179,"")</f>
        <v/>
      </c>
      <c r="AA201" s="33" t="str">
        <f>IF(Расчёты!$E179=1,Расчёты!$AS179,"")</f>
        <v/>
      </c>
      <c r="AB201" s="33" t="str">
        <f>IF(Расчёты!$E179=1,Расчёты!$AV179,"")</f>
        <v/>
      </c>
      <c r="AC201" s="33" t="str">
        <f>IF(Расчёты!$E179=1,Расчёты!$AW179,"")</f>
        <v/>
      </c>
      <c r="AD201" s="33" t="str">
        <f>IF(Расчёты!$E179=1,Расчёты!$AX179,"")</f>
        <v/>
      </c>
      <c r="AE201" s="33" t="str">
        <f>IF(Расчёты!$E179=1,Расчёты!$AY179,"")</f>
        <v/>
      </c>
      <c r="AF201" s="33" t="str">
        <f>IF(Расчёты!$E179=1,Расчёты!$BA179,"")</f>
        <v/>
      </c>
      <c r="AG201" s="33" t="str">
        <f>IF(Расчёты!$E179=1,Расчёты!$BB179,"")</f>
        <v/>
      </c>
      <c r="AH201" s="33" t="str">
        <f>IF(Расчёты!$E179=1,Расчёты!$BC179,"")</f>
        <v/>
      </c>
      <c r="AI201" s="33" t="str">
        <f>IF(Расчёты!$E179=1,Расчёты!$AU179,"")</f>
        <v/>
      </c>
      <c r="AJ201" s="33" t="str">
        <f>IF(Расчёты!$E179=1,Расчёты!$BF179,"")</f>
        <v/>
      </c>
      <c r="AK201" s="33" t="str">
        <f>IF(Расчёты!$E179=1,Расчёты!$BG179,"")</f>
        <v/>
      </c>
      <c r="AM201" s="17" t="str">
        <f t="shared" si="35"/>
        <v/>
      </c>
      <c r="AN201" s="35" t="str">
        <f t="shared" si="36"/>
        <v/>
      </c>
      <c r="AP201" s="17" t="str">
        <f t="shared" si="37"/>
        <v/>
      </c>
      <c r="AQ201" s="35" t="str">
        <f t="shared" si="38"/>
        <v/>
      </c>
      <c r="AV201" s="17" t="str">
        <f t="shared" si="39"/>
        <v/>
      </c>
      <c r="AW201" s="35" t="str">
        <f t="shared" si="40"/>
        <v/>
      </c>
      <c r="AX201" s="35" t="str">
        <f t="shared" si="41"/>
        <v/>
      </c>
    </row>
    <row r="202" spans="1:50" x14ac:dyDescent="0.2">
      <c r="A202" s="18" t="str">
        <f>IF(Расчёты!$E180=1,Расчёты!$B180,"")</f>
        <v/>
      </c>
      <c r="B202" s="34" t="str">
        <f>IF(Расчёты!$E180=1,Расчёты!$D180,"")</f>
        <v/>
      </c>
      <c r="C202" s="33" t="str">
        <f>IF(Расчёты!$E180=1,Расчёты!$Z180,"")</f>
        <v/>
      </c>
      <c r="D202" s="33" t="str">
        <f>IF(Расчёты!$E180=1,Расчёты!$AA180,"")</f>
        <v/>
      </c>
      <c r="E202" s="33" t="str">
        <f>IF(Расчёты!$E180=1,Расчёты!$AB180,"")</f>
        <v/>
      </c>
      <c r="F202" s="33" t="str">
        <f>IF(Расчёты!$E180=1,Расчёты!$AC180,"")</f>
        <v/>
      </c>
      <c r="G202" s="33" t="str">
        <f>IF(Расчёты!$E180=1,Расчёты!$AD180,"")</f>
        <v/>
      </c>
      <c r="H202" s="33" t="str">
        <f>IF(Расчёты!$E180=1,Расчёты!$AI180,"")</f>
        <v/>
      </c>
      <c r="I202" s="33" t="str">
        <f>IF(Расчёты!$E180=1,Расчёты!$AG180,"")</f>
        <v/>
      </c>
      <c r="J202" s="33" t="str">
        <f>IF(Расчёты!$E180=1,Расчёты!$AJ180,"")</f>
        <v/>
      </c>
      <c r="K202" s="33" t="str">
        <f>IF(Расчёты!$E180=1,Расчёты!$AK180,"")</f>
        <v/>
      </c>
      <c r="L202" s="33" t="str">
        <f>IF(Расчёты!$E180=1,Расчёты!$I180,"")</f>
        <v/>
      </c>
      <c r="M202" s="33" t="str">
        <f>IF(Расчёты!$E180=1,Расчёты!$J180,"")</f>
        <v/>
      </c>
      <c r="N202" s="33" t="str">
        <f>IF(Расчёты!$E180=1,Расчёты!$K180,"")</f>
        <v/>
      </c>
      <c r="O202" s="33" t="str">
        <f>IF(Расчёты!$E180=1,Расчёты!$L180,"")</f>
        <v/>
      </c>
      <c r="P202" s="33" t="str">
        <f>IF(Расчёты!$E180=1,Расчёты!$M180,"")</f>
        <v/>
      </c>
      <c r="Q202" s="33" t="str">
        <f>IF(Расчёты!$E180=1,Расчёты!$N180,"")</f>
        <v/>
      </c>
      <c r="R202" s="33" t="str">
        <f>IF(Расчёты!$E180=1,Расчёты!$O180,"")</f>
        <v/>
      </c>
      <c r="S202" s="33" t="str">
        <f>IF(Расчёты!$E180=1,Расчёты!$Q180,"")</f>
        <v/>
      </c>
      <c r="T202" s="33" t="str">
        <f>IF(Расчёты!$E180=1,Расчёты!$S180,"")</f>
        <v/>
      </c>
      <c r="U202" s="33" t="str">
        <f>IF(Расчёты!$E180=1,Расчёты!$U180,"")</f>
        <v/>
      </c>
      <c r="V202" s="33" t="str">
        <f>IF(Расчёты!$E180=1,Расчёты!$W180,"")</f>
        <v/>
      </c>
      <c r="W202" s="33" t="str">
        <f>IF(Расчёты!$E180=1,Расчёты!$X180,"")</f>
        <v/>
      </c>
      <c r="X202" s="33" t="str">
        <f>IF(Расчёты!$E180=1,Расчёты!$Y180,"")</f>
        <v/>
      </c>
      <c r="Y202" s="33" t="str">
        <f>IF(Расчёты!$E180=1,Расчёты!$AL180,"")</f>
        <v/>
      </c>
      <c r="Z202" s="33" t="str">
        <f>IF(Расчёты!$E180=1,Расчёты!$AP180,"")</f>
        <v/>
      </c>
      <c r="AA202" s="33" t="str">
        <f>IF(Расчёты!$E180=1,Расчёты!$AS180,"")</f>
        <v/>
      </c>
      <c r="AB202" s="33" t="str">
        <f>IF(Расчёты!$E180=1,Расчёты!$AV180,"")</f>
        <v/>
      </c>
      <c r="AC202" s="33" t="str">
        <f>IF(Расчёты!$E180=1,Расчёты!$AW180,"")</f>
        <v/>
      </c>
      <c r="AD202" s="33" t="str">
        <f>IF(Расчёты!$E180=1,Расчёты!$AX180,"")</f>
        <v/>
      </c>
      <c r="AE202" s="33" t="str">
        <f>IF(Расчёты!$E180=1,Расчёты!$AY180,"")</f>
        <v/>
      </c>
      <c r="AF202" s="33" t="str">
        <f>IF(Расчёты!$E180=1,Расчёты!$BA180,"")</f>
        <v/>
      </c>
      <c r="AG202" s="33" t="str">
        <f>IF(Расчёты!$E180=1,Расчёты!$BB180,"")</f>
        <v/>
      </c>
      <c r="AH202" s="33" t="str">
        <f>IF(Расчёты!$E180=1,Расчёты!$BC180,"")</f>
        <v/>
      </c>
      <c r="AI202" s="33" t="str">
        <f>IF(Расчёты!$E180=1,Расчёты!$AU180,"")</f>
        <v/>
      </c>
      <c r="AJ202" s="33" t="str">
        <f>IF(Расчёты!$E180=1,Расчёты!$BF180,"")</f>
        <v/>
      </c>
      <c r="AK202" s="33" t="str">
        <f>IF(Расчёты!$E180=1,Расчёты!$BG180,"")</f>
        <v/>
      </c>
      <c r="AM202" s="17" t="str">
        <f t="shared" si="35"/>
        <v/>
      </c>
      <c r="AN202" s="35" t="str">
        <f t="shared" si="36"/>
        <v/>
      </c>
      <c r="AP202" s="17" t="str">
        <f t="shared" si="37"/>
        <v/>
      </c>
      <c r="AQ202" s="35" t="str">
        <f t="shared" si="38"/>
        <v/>
      </c>
      <c r="AV202" s="17" t="str">
        <f t="shared" si="39"/>
        <v/>
      </c>
      <c r="AW202" s="35" t="str">
        <f t="shared" si="40"/>
        <v/>
      </c>
      <c r="AX202" s="35" t="str">
        <f t="shared" si="41"/>
        <v/>
      </c>
    </row>
    <row r="203" spans="1:50" x14ac:dyDescent="0.2">
      <c r="A203" s="18" t="str">
        <f>IF(Расчёты!$E181=1,Расчёты!$B181,"")</f>
        <v/>
      </c>
      <c r="B203" s="34" t="str">
        <f>IF(Расчёты!$E181=1,Расчёты!$D181,"")</f>
        <v/>
      </c>
      <c r="C203" s="33" t="str">
        <f>IF(Расчёты!$E181=1,Расчёты!$Z181,"")</f>
        <v/>
      </c>
      <c r="D203" s="33" t="str">
        <f>IF(Расчёты!$E181=1,Расчёты!$AA181,"")</f>
        <v/>
      </c>
      <c r="E203" s="33" t="str">
        <f>IF(Расчёты!$E181=1,Расчёты!$AB181,"")</f>
        <v/>
      </c>
      <c r="F203" s="33" t="str">
        <f>IF(Расчёты!$E181=1,Расчёты!$AC181,"")</f>
        <v/>
      </c>
      <c r="G203" s="33" t="str">
        <f>IF(Расчёты!$E181=1,Расчёты!$AD181,"")</f>
        <v/>
      </c>
      <c r="H203" s="33" t="str">
        <f>IF(Расчёты!$E181=1,Расчёты!$AI181,"")</f>
        <v/>
      </c>
      <c r="I203" s="33" t="str">
        <f>IF(Расчёты!$E181=1,Расчёты!$AG181,"")</f>
        <v/>
      </c>
      <c r="J203" s="33" t="str">
        <f>IF(Расчёты!$E181=1,Расчёты!$AJ181,"")</f>
        <v/>
      </c>
      <c r="K203" s="33" t="str">
        <f>IF(Расчёты!$E181=1,Расчёты!$AK181,"")</f>
        <v/>
      </c>
      <c r="L203" s="33" t="str">
        <f>IF(Расчёты!$E181=1,Расчёты!$I181,"")</f>
        <v/>
      </c>
      <c r="M203" s="33" t="str">
        <f>IF(Расчёты!$E181=1,Расчёты!$J181,"")</f>
        <v/>
      </c>
      <c r="N203" s="33" t="str">
        <f>IF(Расчёты!$E181=1,Расчёты!$K181,"")</f>
        <v/>
      </c>
      <c r="O203" s="33" t="str">
        <f>IF(Расчёты!$E181=1,Расчёты!$L181,"")</f>
        <v/>
      </c>
      <c r="P203" s="33" t="str">
        <f>IF(Расчёты!$E181=1,Расчёты!$M181,"")</f>
        <v/>
      </c>
      <c r="Q203" s="33" t="str">
        <f>IF(Расчёты!$E181=1,Расчёты!$N181,"")</f>
        <v/>
      </c>
      <c r="R203" s="33" t="str">
        <f>IF(Расчёты!$E181=1,Расчёты!$O181,"")</f>
        <v/>
      </c>
      <c r="S203" s="33" t="str">
        <f>IF(Расчёты!$E181=1,Расчёты!$Q181,"")</f>
        <v/>
      </c>
      <c r="T203" s="33" t="str">
        <f>IF(Расчёты!$E181=1,Расчёты!$S181,"")</f>
        <v/>
      </c>
      <c r="U203" s="33" t="str">
        <f>IF(Расчёты!$E181=1,Расчёты!$U181,"")</f>
        <v/>
      </c>
      <c r="V203" s="33" t="str">
        <f>IF(Расчёты!$E181=1,Расчёты!$W181,"")</f>
        <v/>
      </c>
      <c r="W203" s="33" t="str">
        <f>IF(Расчёты!$E181=1,Расчёты!$X181,"")</f>
        <v/>
      </c>
      <c r="X203" s="33" t="str">
        <f>IF(Расчёты!$E181=1,Расчёты!$Y181,"")</f>
        <v/>
      </c>
      <c r="Y203" s="33" t="str">
        <f>IF(Расчёты!$E181=1,Расчёты!$AL181,"")</f>
        <v/>
      </c>
      <c r="Z203" s="33" t="str">
        <f>IF(Расчёты!$E181=1,Расчёты!$AP181,"")</f>
        <v/>
      </c>
      <c r="AA203" s="33" t="str">
        <f>IF(Расчёты!$E181=1,Расчёты!$AS181,"")</f>
        <v/>
      </c>
      <c r="AB203" s="33" t="str">
        <f>IF(Расчёты!$E181=1,Расчёты!$AV181,"")</f>
        <v/>
      </c>
      <c r="AC203" s="33" t="str">
        <f>IF(Расчёты!$E181=1,Расчёты!$AW181,"")</f>
        <v/>
      </c>
      <c r="AD203" s="33" t="str">
        <f>IF(Расчёты!$E181=1,Расчёты!$AX181,"")</f>
        <v/>
      </c>
      <c r="AE203" s="33" t="str">
        <f>IF(Расчёты!$E181=1,Расчёты!$AY181,"")</f>
        <v/>
      </c>
      <c r="AF203" s="33" t="str">
        <f>IF(Расчёты!$E181=1,Расчёты!$BA181,"")</f>
        <v/>
      </c>
      <c r="AG203" s="33" t="str">
        <f>IF(Расчёты!$E181=1,Расчёты!$BB181,"")</f>
        <v/>
      </c>
      <c r="AH203" s="33" t="str">
        <f>IF(Расчёты!$E181=1,Расчёты!$BC181,"")</f>
        <v/>
      </c>
      <c r="AI203" s="33" t="str">
        <f>IF(Расчёты!$E181=1,Расчёты!$AU181,"")</f>
        <v/>
      </c>
      <c r="AJ203" s="33" t="str">
        <f>IF(Расчёты!$E181=1,Расчёты!$BF181,"")</f>
        <v/>
      </c>
      <c r="AK203" s="33" t="str">
        <f>IF(Расчёты!$E181=1,Расчёты!$BG181,"")</f>
        <v/>
      </c>
      <c r="AM203" s="17" t="str">
        <f t="shared" si="35"/>
        <v/>
      </c>
      <c r="AN203" s="35" t="str">
        <f t="shared" si="36"/>
        <v/>
      </c>
      <c r="AP203" s="17" t="str">
        <f t="shared" si="37"/>
        <v/>
      </c>
      <c r="AQ203" s="35" t="str">
        <f t="shared" si="38"/>
        <v/>
      </c>
      <c r="AV203" s="17" t="str">
        <f t="shared" si="39"/>
        <v/>
      </c>
      <c r="AW203" s="35" t="str">
        <f t="shared" si="40"/>
        <v/>
      </c>
      <c r="AX203" s="35" t="str">
        <f t="shared" si="41"/>
        <v/>
      </c>
    </row>
    <row r="204" spans="1:50" x14ac:dyDescent="0.2">
      <c r="A204" s="18" t="str">
        <f>IF(Расчёты!$E182=1,Расчёты!$B182,"")</f>
        <v/>
      </c>
      <c r="B204" s="34" t="str">
        <f>IF(Расчёты!$E182=1,Расчёты!$D182,"")</f>
        <v/>
      </c>
      <c r="C204" s="33" t="str">
        <f>IF(Расчёты!$E182=1,Расчёты!$Z182,"")</f>
        <v/>
      </c>
      <c r="D204" s="33" t="str">
        <f>IF(Расчёты!$E182=1,Расчёты!$AA182,"")</f>
        <v/>
      </c>
      <c r="E204" s="33" t="str">
        <f>IF(Расчёты!$E182=1,Расчёты!$AB182,"")</f>
        <v/>
      </c>
      <c r="F204" s="33" t="str">
        <f>IF(Расчёты!$E182=1,Расчёты!$AC182,"")</f>
        <v/>
      </c>
      <c r="G204" s="33" t="str">
        <f>IF(Расчёты!$E182=1,Расчёты!$AD182,"")</f>
        <v/>
      </c>
      <c r="H204" s="33" t="str">
        <f>IF(Расчёты!$E182=1,Расчёты!$AI182,"")</f>
        <v/>
      </c>
      <c r="I204" s="33" t="str">
        <f>IF(Расчёты!$E182=1,Расчёты!$AG182,"")</f>
        <v/>
      </c>
      <c r="J204" s="33" t="str">
        <f>IF(Расчёты!$E182=1,Расчёты!$AJ182,"")</f>
        <v/>
      </c>
      <c r="K204" s="33" t="str">
        <f>IF(Расчёты!$E182=1,Расчёты!$AK182,"")</f>
        <v/>
      </c>
      <c r="L204" s="33" t="str">
        <f>IF(Расчёты!$E182=1,Расчёты!$I182,"")</f>
        <v/>
      </c>
      <c r="M204" s="33" t="str">
        <f>IF(Расчёты!$E182=1,Расчёты!$J182,"")</f>
        <v/>
      </c>
      <c r="N204" s="33" t="str">
        <f>IF(Расчёты!$E182=1,Расчёты!$K182,"")</f>
        <v/>
      </c>
      <c r="O204" s="33" t="str">
        <f>IF(Расчёты!$E182=1,Расчёты!$L182,"")</f>
        <v/>
      </c>
      <c r="P204" s="33" t="str">
        <f>IF(Расчёты!$E182=1,Расчёты!$M182,"")</f>
        <v/>
      </c>
      <c r="Q204" s="33" t="str">
        <f>IF(Расчёты!$E182=1,Расчёты!$N182,"")</f>
        <v/>
      </c>
      <c r="R204" s="33" t="str">
        <f>IF(Расчёты!$E182=1,Расчёты!$O182,"")</f>
        <v/>
      </c>
      <c r="S204" s="33" t="str">
        <f>IF(Расчёты!$E182=1,Расчёты!$Q182,"")</f>
        <v/>
      </c>
      <c r="T204" s="33" t="str">
        <f>IF(Расчёты!$E182=1,Расчёты!$S182,"")</f>
        <v/>
      </c>
      <c r="U204" s="33" t="str">
        <f>IF(Расчёты!$E182=1,Расчёты!$U182,"")</f>
        <v/>
      </c>
      <c r="V204" s="33" t="str">
        <f>IF(Расчёты!$E182=1,Расчёты!$W182,"")</f>
        <v/>
      </c>
      <c r="W204" s="33" t="str">
        <f>IF(Расчёты!$E182=1,Расчёты!$X182,"")</f>
        <v/>
      </c>
      <c r="X204" s="33" t="str">
        <f>IF(Расчёты!$E182=1,Расчёты!$Y182,"")</f>
        <v/>
      </c>
      <c r="Y204" s="33" t="str">
        <f>IF(Расчёты!$E182=1,Расчёты!$AL182,"")</f>
        <v/>
      </c>
      <c r="Z204" s="33" t="str">
        <f>IF(Расчёты!$E182=1,Расчёты!$AP182,"")</f>
        <v/>
      </c>
      <c r="AA204" s="33" t="str">
        <f>IF(Расчёты!$E182=1,Расчёты!$AS182,"")</f>
        <v/>
      </c>
      <c r="AB204" s="33" t="str">
        <f>IF(Расчёты!$E182=1,Расчёты!$AV182,"")</f>
        <v/>
      </c>
      <c r="AC204" s="33" t="str">
        <f>IF(Расчёты!$E182=1,Расчёты!$AW182,"")</f>
        <v/>
      </c>
      <c r="AD204" s="33" t="str">
        <f>IF(Расчёты!$E182=1,Расчёты!$AX182,"")</f>
        <v/>
      </c>
      <c r="AE204" s="33" t="str">
        <f>IF(Расчёты!$E182=1,Расчёты!$AY182,"")</f>
        <v/>
      </c>
      <c r="AF204" s="33" t="str">
        <f>IF(Расчёты!$E182=1,Расчёты!$BA182,"")</f>
        <v/>
      </c>
      <c r="AG204" s="33" t="str">
        <f>IF(Расчёты!$E182=1,Расчёты!$BB182,"")</f>
        <v/>
      </c>
      <c r="AH204" s="33" t="str">
        <f>IF(Расчёты!$E182=1,Расчёты!$BC182,"")</f>
        <v/>
      </c>
      <c r="AI204" s="33" t="str">
        <f>IF(Расчёты!$E182=1,Расчёты!$AU182,"")</f>
        <v/>
      </c>
      <c r="AJ204" s="33" t="str">
        <f>IF(Расчёты!$E182=1,Расчёты!$BF182,"")</f>
        <v/>
      </c>
      <c r="AK204" s="33" t="str">
        <f>IF(Расчёты!$E182=1,Расчёты!$BG182,"")</f>
        <v/>
      </c>
      <c r="AM204" s="17" t="str">
        <f t="shared" si="35"/>
        <v/>
      </c>
      <c r="AN204" s="35" t="str">
        <f t="shared" si="36"/>
        <v/>
      </c>
      <c r="AP204" s="17" t="str">
        <f t="shared" si="37"/>
        <v/>
      </c>
      <c r="AQ204" s="35" t="str">
        <f t="shared" si="38"/>
        <v/>
      </c>
      <c r="AV204" s="17" t="str">
        <f t="shared" si="39"/>
        <v/>
      </c>
      <c r="AW204" s="35" t="str">
        <f t="shared" si="40"/>
        <v/>
      </c>
      <c r="AX204" s="35" t="str">
        <f t="shared" si="41"/>
        <v/>
      </c>
    </row>
    <row r="205" spans="1:50" x14ac:dyDescent="0.2">
      <c r="A205" s="18" t="str">
        <f>IF(Расчёты!$E183=1,Расчёты!$B183,"")</f>
        <v/>
      </c>
      <c r="B205" s="34" t="str">
        <f>IF(Расчёты!$E183=1,Расчёты!$D183,"")</f>
        <v/>
      </c>
      <c r="C205" s="33" t="str">
        <f>IF(Расчёты!$E183=1,Расчёты!$Z183,"")</f>
        <v/>
      </c>
      <c r="D205" s="33" t="str">
        <f>IF(Расчёты!$E183=1,Расчёты!$AA183,"")</f>
        <v/>
      </c>
      <c r="E205" s="33" t="str">
        <f>IF(Расчёты!$E183=1,Расчёты!$AB183,"")</f>
        <v/>
      </c>
      <c r="F205" s="33" t="str">
        <f>IF(Расчёты!$E183=1,Расчёты!$AC183,"")</f>
        <v/>
      </c>
      <c r="G205" s="33" t="str">
        <f>IF(Расчёты!$E183=1,Расчёты!$AD183,"")</f>
        <v/>
      </c>
      <c r="H205" s="33" t="str">
        <f>IF(Расчёты!$E183=1,Расчёты!$AI183,"")</f>
        <v/>
      </c>
      <c r="I205" s="33" t="str">
        <f>IF(Расчёты!$E183=1,Расчёты!$AG183,"")</f>
        <v/>
      </c>
      <c r="J205" s="33" t="str">
        <f>IF(Расчёты!$E183=1,Расчёты!$AJ183,"")</f>
        <v/>
      </c>
      <c r="K205" s="33" t="str">
        <f>IF(Расчёты!$E183=1,Расчёты!$AK183,"")</f>
        <v/>
      </c>
      <c r="L205" s="33" t="str">
        <f>IF(Расчёты!$E183=1,Расчёты!$I183,"")</f>
        <v/>
      </c>
      <c r="M205" s="33" t="str">
        <f>IF(Расчёты!$E183=1,Расчёты!$J183,"")</f>
        <v/>
      </c>
      <c r="N205" s="33" t="str">
        <f>IF(Расчёты!$E183=1,Расчёты!$K183,"")</f>
        <v/>
      </c>
      <c r="O205" s="33" t="str">
        <f>IF(Расчёты!$E183=1,Расчёты!$L183,"")</f>
        <v/>
      </c>
      <c r="P205" s="33" t="str">
        <f>IF(Расчёты!$E183=1,Расчёты!$M183,"")</f>
        <v/>
      </c>
      <c r="Q205" s="33" t="str">
        <f>IF(Расчёты!$E183=1,Расчёты!$N183,"")</f>
        <v/>
      </c>
      <c r="R205" s="33" t="str">
        <f>IF(Расчёты!$E183=1,Расчёты!$O183,"")</f>
        <v/>
      </c>
      <c r="S205" s="33" t="str">
        <f>IF(Расчёты!$E183=1,Расчёты!$Q183,"")</f>
        <v/>
      </c>
      <c r="T205" s="33" t="str">
        <f>IF(Расчёты!$E183=1,Расчёты!$S183,"")</f>
        <v/>
      </c>
      <c r="U205" s="33" t="str">
        <f>IF(Расчёты!$E183=1,Расчёты!$U183,"")</f>
        <v/>
      </c>
      <c r="V205" s="33" t="str">
        <f>IF(Расчёты!$E183=1,Расчёты!$W183,"")</f>
        <v/>
      </c>
      <c r="W205" s="33" t="str">
        <f>IF(Расчёты!$E183=1,Расчёты!$X183,"")</f>
        <v/>
      </c>
      <c r="X205" s="33" t="str">
        <f>IF(Расчёты!$E183=1,Расчёты!$Y183,"")</f>
        <v/>
      </c>
      <c r="Y205" s="33" t="str">
        <f>IF(Расчёты!$E183=1,Расчёты!$AL183,"")</f>
        <v/>
      </c>
      <c r="Z205" s="33" t="str">
        <f>IF(Расчёты!$E183=1,Расчёты!$AP183,"")</f>
        <v/>
      </c>
      <c r="AA205" s="33" t="str">
        <f>IF(Расчёты!$E183=1,Расчёты!$AS183,"")</f>
        <v/>
      </c>
      <c r="AB205" s="33" t="str">
        <f>IF(Расчёты!$E183=1,Расчёты!$AV183,"")</f>
        <v/>
      </c>
      <c r="AC205" s="33" t="str">
        <f>IF(Расчёты!$E183=1,Расчёты!$AW183,"")</f>
        <v/>
      </c>
      <c r="AD205" s="33" t="str">
        <f>IF(Расчёты!$E183=1,Расчёты!$AX183,"")</f>
        <v/>
      </c>
      <c r="AE205" s="33" t="str">
        <f>IF(Расчёты!$E183=1,Расчёты!$AY183,"")</f>
        <v/>
      </c>
      <c r="AF205" s="33" t="str">
        <f>IF(Расчёты!$E183=1,Расчёты!$BA183,"")</f>
        <v/>
      </c>
      <c r="AG205" s="33" t="str">
        <f>IF(Расчёты!$E183=1,Расчёты!$BB183,"")</f>
        <v/>
      </c>
      <c r="AH205" s="33" t="str">
        <f>IF(Расчёты!$E183=1,Расчёты!$BC183,"")</f>
        <v/>
      </c>
      <c r="AI205" s="33" t="str">
        <f>IF(Расчёты!$E183=1,Расчёты!$AU183,"")</f>
        <v/>
      </c>
      <c r="AJ205" s="33" t="str">
        <f>IF(Расчёты!$E183=1,Расчёты!$BF183,"")</f>
        <v/>
      </c>
      <c r="AK205" s="33" t="str">
        <f>IF(Расчёты!$E183=1,Расчёты!$BG183,"")</f>
        <v/>
      </c>
      <c r="AM205" s="17" t="str">
        <f t="shared" si="35"/>
        <v/>
      </c>
      <c r="AN205" s="35" t="str">
        <f t="shared" si="36"/>
        <v/>
      </c>
      <c r="AP205" s="17" t="str">
        <f t="shared" si="37"/>
        <v/>
      </c>
      <c r="AQ205" s="35" t="str">
        <f t="shared" si="38"/>
        <v/>
      </c>
      <c r="AV205" s="17" t="str">
        <f t="shared" si="39"/>
        <v/>
      </c>
      <c r="AW205" s="35" t="str">
        <f t="shared" si="40"/>
        <v/>
      </c>
      <c r="AX205" s="35" t="str">
        <f t="shared" si="41"/>
        <v/>
      </c>
    </row>
    <row r="206" spans="1:50" x14ac:dyDescent="0.2">
      <c r="A206" s="18" t="str">
        <f>IF(Расчёты!$E184=1,Расчёты!$B184,"")</f>
        <v/>
      </c>
      <c r="B206" s="34" t="str">
        <f>IF(Расчёты!$E184=1,Расчёты!$D184,"")</f>
        <v/>
      </c>
      <c r="C206" s="33" t="str">
        <f>IF(Расчёты!$E184=1,Расчёты!$Z184,"")</f>
        <v/>
      </c>
      <c r="D206" s="33" t="str">
        <f>IF(Расчёты!$E184=1,Расчёты!$AA184,"")</f>
        <v/>
      </c>
      <c r="E206" s="33" t="str">
        <f>IF(Расчёты!$E184=1,Расчёты!$AB184,"")</f>
        <v/>
      </c>
      <c r="F206" s="33" t="str">
        <f>IF(Расчёты!$E184=1,Расчёты!$AC184,"")</f>
        <v/>
      </c>
      <c r="G206" s="33" t="str">
        <f>IF(Расчёты!$E184=1,Расчёты!$AD184,"")</f>
        <v/>
      </c>
      <c r="H206" s="33" t="str">
        <f>IF(Расчёты!$E184=1,Расчёты!$AI184,"")</f>
        <v/>
      </c>
      <c r="I206" s="33" t="str">
        <f>IF(Расчёты!$E184=1,Расчёты!$AG184,"")</f>
        <v/>
      </c>
      <c r="J206" s="33" t="str">
        <f>IF(Расчёты!$E184=1,Расчёты!$AJ184,"")</f>
        <v/>
      </c>
      <c r="K206" s="33" t="str">
        <f>IF(Расчёты!$E184=1,Расчёты!$AK184,"")</f>
        <v/>
      </c>
      <c r="L206" s="33" t="str">
        <f>IF(Расчёты!$E184=1,Расчёты!$I184,"")</f>
        <v/>
      </c>
      <c r="M206" s="33" t="str">
        <f>IF(Расчёты!$E184=1,Расчёты!$J184,"")</f>
        <v/>
      </c>
      <c r="N206" s="33" t="str">
        <f>IF(Расчёты!$E184=1,Расчёты!$K184,"")</f>
        <v/>
      </c>
      <c r="O206" s="33" t="str">
        <f>IF(Расчёты!$E184=1,Расчёты!$L184,"")</f>
        <v/>
      </c>
      <c r="P206" s="33" t="str">
        <f>IF(Расчёты!$E184=1,Расчёты!$M184,"")</f>
        <v/>
      </c>
      <c r="Q206" s="33" t="str">
        <f>IF(Расчёты!$E184=1,Расчёты!$N184,"")</f>
        <v/>
      </c>
      <c r="R206" s="33" t="str">
        <f>IF(Расчёты!$E184=1,Расчёты!$O184,"")</f>
        <v/>
      </c>
      <c r="S206" s="33" t="str">
        <f>IF(Расчёты!$E184=1,Расчёты!$Q184,"")</f>
        <v/>
      </c>
      <c r="T206" s="33" t="str">
        <f>IF(Расчёты!$E184=1,Расчёты!$S184,"")</f>
        <v/>
      </c>
      <c r="U206" s="33" t="str">
        <f>IF(Расчёты!$E184=1,Расчёты!$U184,"")</f>
        <v/>
      </c>
      <c r="V206" s="33" t="str">
        <f>IF(Расчёты!$E184=1,Расчёты!$W184,"")</f>
        <v/>
      </c>
      <c r="W206" s="33" t="str">
        <f>IF(Расчёты!$E184=1,Расчёты!$X184,"")</f>
        <v/>
      </c>
      <c r="X206" s="33" t="str">
        <f>IF(Расчёты!$E184=1,Расчёты!$Y184,"")</f>
        <v/>
      </c>
      <c r="Y206" s="33" t="str">
        <f>IF(Расчёты!$E184=1,Расчёты!$AL184,"")</f>
        <v/>
      </c>
      <c r="Z206" s="33" t="str">
        <f>IF(Расчёты!$E184=1,Расчёты!$AP184,"")</f>
        <v/>
      </c>
      <c r="AA206" s="33" t="str">
        <f>IF(Расчёты!$E184=1,Расчёты!$AS184,"")</f>
        <v/>
      </c>
      <c r="AB206" s="33" t="str">
        <f>IF(Расчёты!$E184=1,Расчёты!$AV184,"")</f>
        <v/>
      </c>
      <c r="AC206" s="33" t="str">
        <f>IF(Расчёты!$E184=1,Расчёты!$AW184,"")</f>
        <v/>
      </c>
      <c r="AD206" s="33" t="str">
        <f>IF(Расчёты!$E184=1,Расчёты!$AX184,"")</f>
        <v/>
      </c>
      <c r="AE206" s="33" t="str">
        <f>IF(Расчёты!$E184=1,Расчёты!$AY184,"")</f>
        <v/>
      </c>
      <c r="AF206" s="33" t="str">
        <f>IF(Расчёты!$E184=1,Расчёты!$BA184,"")</f>
        <v/>
      </c>
      <c r="AG206" s="33" t="str">
        <f>IF(Расчёты!$E184=1,Расчёты!$BB184,"")</f>
        <v/>
      </c>
      <c r="AH206" s="33" t="str">
        <f>IF(Расчёты!$E184=1,Расчёты!$BC184,"")</f>
        <v/>
      </c>
      <c r="AI206" s="33" t="str">
        <f>IF(Расчёты!$E184=1,Расчёты!$AU184,"")</f>
        <v/>
      </c>
      <c r="AJ206" s="33" t="str">
        <f>IF(Расчёты!$E184=1,Расчёты!$BF184,"")</f>
        <v/>
      </c>
      <c r="AK206" s="33" t="str">
        <f>IF(Расчёты!$E184=1,Расчёты!$BG184,"")</f>
        <v/>
      </c>
      <c r="AM206" s="17" t="str">
        <f t="shared" si="35"/>
        <v/>
      </c>
      <c r="AN206" s="35" t="str">
        <f t="shared" si="36"/>
        <v/>
      </c>
      <c r="AP206" s="17" t="str">
        <f t="shared" si="37"/>
        <v/>
      </c>
      <c r="AQ206" s="35" t="str">
        <f t="shared" si="38"/>
        <v/>
      </c>
      <c r="AV206" s="17" t="str">
        <f t="shared" si="39"/>
        <v/>
      </c>
      <c r="AW206" s="35" t="str">
        <f t="shared" si="40"/>
        <v/>
      </c>
      <c r="AX206" s="35" t="str">
        <f t="shared" si="41"/>
        <v/>
      </c>
    </row>
    <row r="207" spans="1:50" x14ac:dyDescent="0.2">
      <c r="A207" s="18" t="str">
        <f>IF(Расчёты!$E185=1,Расчёты!$B185,"")</f>
        <v/>
      </c>
      <c r="B207" s="34" t="str">
        <f>IF(Расчёты!$E185=1,Расчёты!$D185,"")</f>
        <v/>
      </c>
      <c r="C207" s="33" t="str">
        <f>IF(Расчёты!$E185=1,Расчёты!$Z185,"")</f>
        <v/>
      </c>
      <c r="D207" s="33" t="str">
        <f>IF(Расчёты!$E185=1,Расчёты!$AA185,"")</f>
        <v/>
      </c>
      <c r="E207" s="33" t="str">
        <f>IF(Расчёты!$E185=1,Расчёты!$AB185,"")</f>
        <v/>
      </c>
      <c r="F207" s="33" t="str">
        <f>IF(Расчёты!$E185=1,Расчёты!$AC185,"")</f>
        <v/>
      </c>
      <c r="G207" s="33" t="str">
        <f>IF(Расчёты!$E185=1,Расчёты!$AD185,"")</f>
        <v/>
      </c>
      <c r="H207" s="33" t="str">
        <f>IF(Расчёты!$E185=1,Расчёты!$AI185,"")</f>
        <v/>
      </c>
      <c r="I207" s="33" t="str">
        <f>IF(Расчёты!$E185=1,Расчёты!$AG185,"")</f>
        <v/>
      </c>
      <c r="J207" s="33" t="str">
        <f>IF(Расчёты!$E185=1,Расчёты!$AJ185,"")</f>
        <v/>
      </c>
      <c r="K207" s="33" t="str">
        <f>IF(Расчёты!$E185=1,Расчёты!$AK185,"")</f>
        <v/>
      </c>
      <c r="L207" s="33" t="str">
        <f>IF(Расчёты!$E185=1,Расчёты!$I185,"")</f>
        <v/>
      </c>
      <c r="M207" s="33" t="str">
        <f>IF(Расчёты!$E185=1,Расчёты!$J185,"")</f>
        <v/>
      </c>
      <c r="N207" s="33" t="str">
        <f>IF(Расчёты!$E185=1,Расчёты!$K185,"")</f>
        <v/>
      </c>
      <c r="O207" s="33" t="str">
        <f>IF(Расчёты!$E185=1,Расчёты!$L185,"")</f>
        <v/>
      </c>
      <c r="P207" s="33" t="str">
        <f>IF(Расчёты!$E185=1,Расчёты!$M185,"")</f>
        <v/>
      </c>
      <c r="Q207" s="33" t="str">
        <f>IF(Расчёты!$E185=1,Расчёты!$N185,"")</f>
        <v/>
      </c>
      <c r="R207" s="33" t="str">
        <f>IF(Расчёты!$E185=1,Расчёты!$O185,"")</f>
        <v/>
      </c>
      <c r="S207" s="33" t="str">
        <f>IF(Расчёты!$E185=1,Расчёты!$Q185,"")</f>
        <v/>
      </c>
      <c r="T207" s="33" t="str">
        <f>IF(Расчёты!$E185=1,Расчёты!$S185,"")</f>
        <v/>
      </c>
      <c r="U207" s="33" t="str">
        <f>IF(Расчёты!$E185=1,Расчёты!$U185,"")</f>
        <v/>
      </c>
      <c r="V207" s="33" t="str">
        <f>IF(Расчёты!$E185=1,Расчёты!$W185,"")</f>
        <v/>
      </c>
      <c r="W207" s="33" t="str">
        <f>IF(Расчёты!$E185=1,Расчёты!$X185,"")</f>
        <v/>
      </c>
      <c r="X207" s="33" t="str">
        <f>IF(Расчёты!$E185=1,Расчёты!$Y185,"")</f>
        <v/>
      </c>
      <c r="Y207" s="33" t="str">
        <f>IF(Расчёты!$E185=1,Расчёты!$AL185,"")</f>
        <v/>
      </c>
      <c r="Z207" s="33" t="str">
        <f>IF(Расчёты!$E185=1,Расчёты!$AP185,"")</f>
        <v/>
      </c>
      <c r="AA207" s="33" t="str">
        <f>IF(Расчёты!$E185=1,Расчёты!$AS185,"")</f>
        <v/>
      </c>
      <c r="AB207" s="33" t="str">
        <f>IF(Расчёты!$E185=1,Расчёты!$AV185,"")</f>
        <v/>
      </c>
      <c r="AC207" s="33" t="str">
        <f>IF(Расчёты!$E185=1,Расчёты!$AW185,"")</f>
        <v/>
      </c>
      <c r="AD207" s="33" t="str">
        <f>IF(Расчёты!$E185=1,Расчёты!$AX185,"")</f>
        <v/>
      </c>
      <c r="AE207" s="33" t="str">
        <f>IF(Расчёты!$E185=1,Расчёты!$AY185,"")</f>
        <v/>
      </c>
      <c r="AF207" s="33" t="str">
        <f>IF(Расчёты!$E185=1,Расчёты!$BA185,"")</f>
        <v/>
      </c>
      <c r="AG207" s="33" t="str">
        <f>IF(Расчёты!$E185=1,Расчёты!$BB185,"")</f>
        <v/>
      </c>
      <c r="AH207" s="33" t="str">
        <f>IF(Расчёты!$E185=1,Расчёты!$BC185,"")</f>
        <v/>
      </c>
      <c r="AI207" s="33" t="str">
        <f>IF(Расчёты!$E185=1,Расчёты!$AU185,"")</f>
        <v/>
      </c>
      <c r="AJ207" s="33" t="str">
        <f>IF(Расчёты!$E185=1,Расчёты!$BF185,"")</f>
        <v/>
      </c>
      <c r="AK207" s="33" t="str">
        <f>IF(Расчёты!$E185=1,Расчёты!$BG185,"")</f>
        <v/>
      </c>
      <c r="AM207" s="17" t="str">
        <f t="shared" si="35"/>
        <v/>
      </c>
      <c r="AN207" s="35" t="str">
        <f t="shared" si="36"/>
        <v/>
      </c>
      <c r="AP207" s="17" t="str">
        <f t="shared" si="37"/>
        <v/>
      </c>
      <c r="AQ207" s="35" t="str">
        <f t="shared" si="38"/>
        <v/>
      </c>
      <c r="AV207" s="17" t="str">
        <f t="shared" si="39"/>
        <v/>
      </c>
      <c r="AW207" s="35" t="str">
        <f t="shared" si="40"/>
        <v/>
      </c>
      <c r="AX207" s="35" t="str">
        <f t="shared" si="41"/>
        <v/>
      </c>
    </row>
    <row r="208" spans="1:50" x14ac:dyDescent="0.2">
      <c r="A208" s="18" t="str">
        <f>IF(Расчёты!$E186=1,Расчёты!$B186,"")</f>
        <v/>
      </c>
      <c r="B208" s="34" t="str">
        <f>IF(Расчёты!$E186=1,Расчёты!$D186,"")</f>
        <v/>
      </c>
      <c r="C208" s="33" t="str">
        <f>IF(Расчёты!$E186=1,Расчёты!$Z186,"")</f>
        <v/>
      </c>
      <c r="D208" s="33" t="str">
        <f>IF(Расчёты!$E186=1,Расчёты!$AA186,"")</f>
        <v/>
      </c>
      <c r="E208" s="33" t="str">
        <f>IF(Расчёты!$E186=1,Расчёты!$AB186,"")</f>
        <v/>
      </c>
      <c r="F208" s="33" t="str">
        <f>IF(Расчёты!$E186=1,Расчёты!$AC186,"")</f>
        <v/>
      </c>
      <c r="G208" s="33" t="str">
        <f>IF(Расчёты!$E186=1,Расчёты!$AD186,"")</f>
        <v/>
      </c>
      <c r="H208" s="33" t="str">
        <f>IF(Расчёты!$E186=1,Расчёты!$AI186,"")</f>
        <v/>
      </c>
      <c r="I208" s="33" t="str">
        <f>IF(Расчёты!$E186=1,Расчёты!$AG186,"")</f>
        <v/>
      </c>
      <c r="J208" s="33" t="str">
        <f>IF(Расчёты!$E186=1,Расчёты!$AJ186,"")</f>
        <v/>
      </c>
      <c r="K208" s="33" t="str">
        <f>IF(Расчёты!$E186=1,Расчёты!$AK186,"")</f>
        <v/>
      </c>
      <c r="L208" s="33" t="str">
        <f>IF(Расчёты!$E186=1,Расчёты!$I186,"")</f>
        <v/>
      </c>
      <c r="M208" s="33" t="str">
        <f>IF(Расчёты!$E186=1,Расчёты!$J186,"")</f>
        <v/>
      </c>
      <c r="N208" s="33" t="str">
        <f>IF(Расчёты!$E186=1,Расчёты!$K186,"")</f>
        <v/>
      </c>
      <c r="O208" s="33" t="str">
        <f>IF(Расчёты!$E186=1,Расчёты!$L186,"")</f>
        <v/>
      </c>
      <c r="P208" s="33" t="str">
        <f>IF(Расчёты!$E186=1,Расчёты!$M186,"")</f>
        <v/>
      </c>
      <c r="Q208" s="33" t="str">
        <f>IF(Расчёты!$E186=1,Расчёты!$N186,"")</f>
        <v/>
      </c>
      <c r="R208" s="33" t="str">
        <f>IF(Расчёты!$E186=1,Расчёты!$O186,"")</f>
        <v/>
      </c>
      <c r="S208" s="33" t="str">
        <f>IF(Расчёты!$E186=1,Расчёты!$Q186,"")</f>
        <v/>
      </c>
      <c r="T208" s="33" t="str">
        <f>IF(Расчёты!$E186=1,Расчёты!$S186,"")</f>
        <v/>
      </c>
      <c r="U208" s="33" t="str">
        <f>IF(Расчёты!$E186=1,Расчёты!$U186,"")</f>
        <v/>
      </c>
      <c r="V208" s="33" t="str">
        <f>IF(Расчёты!$E186=1,Расчёты!$W186,"")</f>
        <v/>
      </c>
      <c r="W208" s="33" t="str">
        <f>IF(Расчёты!$E186=1,Расчёты!$X186,"")</f>
        <v/>
      </c>
      <c r="X208" s="33" t="str">
        <f>IF(Расчёты!$E186=1,Расчёты!$Y186,"")</f>
        <v/>
      </c>
      <c r="Y208" s="33" t="str">
        <f>IF(Расчёты!$E186=1,Расчёты!$AL186,"")</f>
        <v/>
      </c>
      <c r="Z208" s="33" t="str">
        <f>IF(Расчёты!$E186=1,Расчёты!$AP186,"")</f>
        <v/>
      </c>
      <c r="AA208" s="33" t="str">
        <f>IF(Расчёты!$E186=1,Расчёты!$AS186,"")</f>
        <v/>
      </c>
      <c r="AB208" s="33" t="str">
        <f>IF(Расчёты!$E186=1,Расчёты!$AV186,"")</f>
        <v/>
      </c>
      <c r="AC208" s="33" t="str">
        <f>IF(Расчёты!$E186=1,Расчёты!$AW186,"")</f>
        <v/>
      </c>
      <c r="AD208" s="33" t="str">
        <f>IF(Расчёты!$E186=1,Расчёты!$AX186,"")</f>
        <v/>
      </c>
      <c r="AE208" s="33" t="str">
        <f>IF(Расчёты!$E186=1,Расчёты!$AY186,"")</f>
        <v/>
      </c>
      <c r="AF208" s="33" t="str">
        <f>IF(Расчёты!$E186=1,Расчёты!$BA186,"")</f>
        <v/>
      </c>
      <c r="AG208" s="33" t="str">
        <f>IF(Расчёты!$E186=1,Расчёты!$BB186,"")</f>
        <v/>
      </c>
      <c r="AH208" s="33" t="str">
        <f>IF(Расчёты!$E186=1,Расчёты!$BC186,"")</f>
        <v/>
      </c>
      <c r="AI208" s="33" t="str">
        <f>IF(Расчёты!$E186=1,Расчёты!$AU186,"")</f>
        <v/>
      </c>
      <c r="AJ208" s="33" t="str">
        <f>IF(Расчёты!$E186=1,Расчёты!$BF186,"")</f>
        <v/>
      </c>
      <c r="AK208" s="33" t="str">
        <f>IF(Расчёты!$E186=1,Расчёты!$BG186,"")</f>
        <v/>
      </c>
      <c r="AM208" s="17" t="str">
        <f t="shared" si="35"/>
        <v/>
      </c>
      <c r="AN208" s="35" t="str">
        <f t="shared" si="36"/>
        <v/>
      </c>
      <c r="AP208" s="17" t="str">
        <f t="shared" si="37"/>
        <v/>
      </c>
      <c r="AQ208" s="35" t="str">
        <f t="shared" si="38"/>
        <v/>
      </c>
      <c r="AV208" s="17" t="str">
        <f t="shared" si="39"/>
        <v/>
      </c>
      <c r="AW208" s="35" t="str">
        <f t="shared" si="40"/>
        <v/>
      </c>
      <c r="AX208" s="35" t="str">
        <f t="shared" si="41"/>
        <v/>
      </c>
    </row>
    <row r="209" spans="1:50" x14ac:dyDescent="0.2">
      <c r="A209" s="18" t="str">
        <f>IF(Расчёты!$E187=1,Расчёты!$B187,"")</f>
        <v/>
      </c>
      <c r="B209" s="34" t="str">
        <f>IF(Расчёты!$E187=1,Расчёты!$D187,"")</f>
        <v/>
      </c>
      <c r="C209" s="33" t="str">
        <f>IF(Расчёты!$E187=1,Расчёты!$Z187,"")</f>
        <v/>
      </c>
      <c r="D209" s="33" t="str">
        <f>IF(Расчёты!$E187=1,Расчёты!$AA187,"")</f>
        <v/>
      </c>
      <c r="E209" s="33" t="str">
        <f>IF(Расчёты!$E187=1,Расчёты!$AB187,"")</f>
        <v/>
      </c>
      <c r="F209" s="33" t="str">
        <f>IF(Расчёты!$E187=1,Расчёты!$AC187,"")</f>
        <v/>
      </c>
      <c r="G209" s="33" t="str">
        <f>IF(Расчёты!$E187=1,Расчёты!$AD187,"")</f>
        <v/>
      </c>
      <c r="H209" s="33" t="str">
        <f>IF(Расчёты!$E187=1,Расчёты!$AI187,"")</f>
        <v/>
      </c>
      <c r="I209" s="33" t="str">
        <f>IF(Расчёты!$E187=1,Расчёты!$AG187,"")</f>
        <v/>
      </c>
      <c r="J209" s="33" t="str">
        <f>IF(Расчёты!$E187=1,Расчёты!$AJ187,"")</f>
        <v/>
      </c>
      <c r="K209" s="33" t="str">
        <f>IF(Расчёты!$E187=1,Расчёты!$AK187,"")</f>
        <v/>
      </c>
      <c r="L209" s="33" t="str">
        <f>IF(Расчёты!$E187=1,Расчёты!$I187,"")</f>
        <v/>
      </c>
      <c r="M209" s="33" t="str">
        <f>IF(Расчёты!$E187=1,Расчёты!$J187,"")</f>
        <v/>
      </c>
      <c r="N209" s="33" t="str">
        <f>IF(Расчёты!$E187=1,Расчёты!$K187,"")</f>
        <v/>
      </c>
      <c r="O209" s="33" t="str">
        <f>IF(Расчёты!$E187=1,Расчёты!$L187,"")</f>
        <v/>
      </c>
      <c r="P209" s="33" t="str">
        <f>IF(Расчёты!$E187=1,Расчёты!$M187,"")</f>
        <v/>
      </c>
      <c r="Q209" s="33" t="str">
        <f>IF(Расчёты!$E187=1,Расчёты!$N187,"")</f>
        <v/>
      </c>
      <c r="R209" s="33" t="str">
        <f>IF(Расчёты!$E187=1,Расчёты!$O187,"")</f>
        <v/>
      </c>
      <c r="S209" s="33" t="str">
        <f>IF(Расчёты!$E187=1,Расчёты!$Q187,"")</f>
        <v/>
      </c>
      <c r="T209" s="33" t="str">
        <f>IF(Расчёты!$E187=1,Расчёты!$S187,"")</f>
        <v/>
      </c>
      <c r="U209" s="33" t="str">
        <f>IF(Расчёты!$E187=1,Расчёты!$U187,"")</f>
        <v/>
      </c>
      <c r="V209" s="33" t="str">
        <f>IF(Расчёты!$E187=1,Расчёты!$W187,"")</f>
        <v/>
      </c>
      <c r="W209" s="33" t="str">
        <f>IF(Расчёты!$E187=1,Расчёты!$X187,"")</f>
        <v/>
      </c>
      <c r="X209" s="33" t="str">
        <f>IF(Расчёты!$E187=1,Расчёты!$Y187,"")</f>
        <v/>
      </c>
      <c r="Y209" s="33" t="str">
        <f>IF(Расчёты!$E187=1,Расчёты!$AL187,"")</f>
        <v/>
      </c>
      <c r="Z209" s="33" t="str">
        <f>IF(Расчёты!$E187=1,Расчёты!$AP187,"")</f>
        <v/>
      </c>
      <c r="AA209" s="33" t="str">
        <f>IF(Расчёты!$E187=1,Расчёты!$AS187,"")</f>
        <v/>
      </c>
      <c r="AB209" s="33" t="str">
        <f>IF(Расчёты!$E187=1,Расчёты!$AV187,"")</f>
        <v/>
      </c>
      <c r="AC209" s="33" t="str">
        <f>IF(Расчёты!$E187=1,Расчёты!$AW187,"")</f>
        <v/>
      </c>
      <c r="AD209" s="33" t="str">
        <f>IF(Расчёты!$E187=1,Расчёты!$AX187,"")</f>
        <v/>
      </c>
      <c r="AE209" s="33" t="str">
        <f>IF(Расчёты!$E187=1,Расчёты!$AY187,"")</f>
        <v/>
      </c>
      <c r="AF209" s="33" t="str">
        <f>IF(Расчёты!$E187=1,Расчёты!$BA187,"")</f>
        <v/>
      </c>
      <c r="AG209" s="33" t="str">
        <f>IF(Расчёты!$E187=1,Расчёты!$BB187,"")</f>
        <v/>
      </c>
      <c r="AH209" s="33" t="str">
        <f>IF(Расчёты!$E187=1,Расчёты!$BC187,"")</f>
        <v/>
      </c>
      <c r="AI209" s="33" t="str">
        <f>IF(Расчёты!$E187=1,Расчёты!$AU187,"")</f>
        <v/>
      </c>
      <c r="AJ209" s="33" t="str">
        <f>IF(Расчёты!$E187=1,Расчёты!$BF187,"")</f>
        <v/>
      </c>
      <c r="AK209" s="33" t="str">
        <f>IF(Расчёты!$E187=1,Расчёты!$BG187,"")</f>
        <v/>
      </c>
      <c r="AM209" s="17" t="str">
        <f t="shared" si="35"/>
        <v/>
      </c>
      <c r="AN209" s="35" t="str">
        <f t="shared" si="36"/>
        <v/>
      </c>
      <c r="AP209" s="17" t="str">
        <f t="shared" si="37"/>
        <v/>
      </c>
      <c r="AQ209" s="35" t="str">
        <f t="shared" si="38"/>
        <v/>
      </c>
      <c r="AV209" s="17" t="str">
        <f t="shared" si="39"/>
        <v/>
      </c>
      <c r="AW209" s="35" t="str">
        <f t="shared" si="40"/>
        <v/>
      </c>
      <c r="AX209" s="35" t="str">
        <f t="shared" si="41"/>
        <v/>
      </c>
    </row>
    <row r="210" spans="1:50" x14ac:dyDescent="0.2">
      <c r="A210" s="18" t="str">
        <f>IF(Расчёты!$E188=1,Расчёты!$B188,"")</f>
        <v/>
      </c>
      <c r="B210" s="34" t="str">
        <f>IF(Расчёты!$E188=1,Расчёты!$D188,"")</f>
        <v/>
      </c>
      <c r="C210" s="33" t="str">
        <f>IF(Расчёты!$E188=1,Расчёты!$Z188,"")</f>
        <v/>
      </c>
      <c r="D210" s="33" t="str">
        <f>IF(Расчёты!$E188=1,Расчёты!$AA188,"")</f>
        <v/>
      </c>
      <c r="E210" s="33" t="str">
        <f>IF(Расчёты!$E188=1,Расчёты!$AB188,"")</f>
        <v/>
      </c>
      <c r="F210" s="33" t="str">
        <f>IF(Расчёты!$E188=1,Расчёты!$AC188,"")</f>
        <v/>
      </c>
      <c r="G210" s="33" t="str">
        <f>IF(Расчёты!$E188=1,Расчёты!$AD188,"")</f>
        <v/>
      </c>
      <c r="H210" s="33" t="str">
        <f>IF(Расчёты!$E188=1,Расчёты!$AI188,"")</f>
        <v/>
      </c>
      <c r="I210" s="33" t="str">
        <f>IF(Расчёты!$E188=1,Расчёты!$AG188,"")</f>
        <v/>
      </c>
      <c r="J210" s="33" t="str">
        <f>IF(Расчёты!$E188=1,Расчёты!$AJ188,"")</f>
        <v/>
      </c>
      <c r="K210" s="33" t="str">
        <f>IF(Расчёты!$E188=1,Расчёты!$AK188,"")</f>
        <v/>
      </c>
      <c r="L210" s="33" t="str">
        <f>IF(Расчёты!$E188=1,Расчёты!$I188,"")</f>
        <v/>
      </c>
      <c r="M210" s="33" t="str">
        <f>IF(Расчёты!$E188=1,Расчёты!$J188,"")</f>
        <v/>
      </c>
      <c r="N210" s="33" t="str">
        <f>IF(Расчёты!$E188=1,Расчёты!$K188,"")</f>
        <v/>
      </c>
      <c r="O210" s="33" t="str">
        <f>IF(Расчёты!$E188=1,Расчёты!$L188,"")</f>
        <v/>
      </c>
      <c r="P210" s="33" t="str">
        <f>IF(Расчёты!$E188=1,Расчёты!$M188,"")</f>
        <v/>
      </c>
      <c r="Q210" s="33" t="str">
        <f>IF(Расчёты!$E188=1,Расчёты!$N188,"")</f>
        <v/>
      </c>
      <c r="R210" s="33" t="str">
        <f>IF(Расчёты!$E188=1,Расчёты!$O188,"")</f>
        <v/>
      </c>
      <c r="S210" s="33" t="str">
        <f>IF(Расчёты!$E188=1,Расчёты!$Q188,"")</f>
        <v/>
      </c>
      <c r="T210" s="33" t="str">
        <f>IF(Расчёты!$E188=1,Расчёты!$S188,"")</f>
        <v/>
      </c>
      <c r="U210" s="33" t="str">
        <f>IF(Расчёты!$E188=1,Расчёты!$U188,"")</f>
        <v/>
      </c>
      <c r="V210" s="33" t="str">
        <f>IF(Расчёты!$E188=1,Расчёты!$W188,"")</f>
        <v/>
      </c>
      <c r="W210" s="33" t="str">
        <f>IF(Расчёты!$E188=1,Расчёты!$X188,"")</f>
        <v/>
      </c>
      <c r="X210" s="33" t="str">
        <f>IF(Расчёты!$E188=1,Расчёты!$Y188,"")</f>
        <v/>
      </c>
      <c r="Y210" s="33" t="str">
        <f>IF(Расчёты!$E188=1,Расчёты!$AL188,"")</f>
        <v/>
      </c>
      <c r="Z210" s="33" t="str">
        <f>IF(Расчёты!$E188=1,Расчёты!$AP188,"")</f>
        <v/>
      </c>
      <c r="AA210" s="33" t="str">
        <f>IF(Расчёты!$E188=1,Расчёты!$AS188,"")</f>
        <v/>
      </c>
      <c r="AB210" s="33" t="str">
        <f>IF(Расчёты!$E188=1,Расчёты!$AV188,"")</f>
        <v/>
      </c>
      <c r="AC210" s="33" t="str">
        <f>IF(Расчёты!$E188=1,Расчёты!$AW188,"")</f>
        <v/>
      </c>
      <c r="AD210" s="33" t="str">
        <f>IF(Расчёты!$E188=1,Расчёты!$AX188,"")</f>
        <v/>
      </c>
      <c r="AE210" s="33" t="str">
        <f>IF(Расчёты!$E188=1,Расчёты!$AY188,"")</f>
        <v/>
      </c>
      <c r="AF210" s="33" t="str">
        <f>IF(Расчёты!$E188=1,Расчёты!$BA188,"")</f>
        <v/>
      </c>
      <c r="AG210" s="33" t="str">
        <f>IF(Расчёты!$E188=1,Расчёты!$BB188,"")</f>
        <v/>
      </c>
      <c r="AH210" s="33" t="str">
        <f>IF(Расчёты!$E188=1,Расчёты!$BC188,"")</f>
        <v/>
      </c>
      <c r="AI210" s="33" t="str">
        <f>IF(Расчёты!$E188=1,Расчёты!$AU188,"")</f>
        <v/>
      </c>
      <c r="AJ210" s="33" t="str">
        <f>IF(Расчёты!$E188=1,Расчёты!$BF188,"")</f>
        <v/>
      </c>
      <c r="AK210" s="33" t="str">
        <f>IF(Расчёты!$E188=1,Расчёты!$BG188,"")</f>
        <v/>
      </c>
      <c r="AM210" s="17" t="str">
        <f t="shared" si="35"/>
        <v/>
      </c>
      <c r="AN210" s="35" t="str">
        <f t="shared" si="36"/>
        <v/>
      </c>
      <c r="AP210" s="17" t="str">
        <f t="shared" si="37"/>
        <v/>
      </c>
      <c r="AQ210" s="35" t="str">
        <f t="shared" si="38"/>
        <v/>
      </c>
      <c r="AV210" s="17" t="str">
        <f t="shared" si="39"/>
        <v/>
      </c>
      <c r="AW210" s="35" t="str">
        <f t="shared" si="40"/>
        <v/>
      </c>
      <c r="AX210" s="35" t="str">
        <f t="shared" si="41"/>
        <v/>
      </c>
    </row>
    <row r="211" spans="1:50" x14ac:dyDescent="0.2">
      <c r="A211" s="18" t="str">
        <f>IF(Расчёты!$E189=1,Расчёты!$B189,"")</f>
        <v/>
      </c>
      <c r="B211" s="34" t="str">
        <f>IF(Расчёты!$E189=1,Расчёты!$D189,"")</f>
        <v/>
      </c>
      <c r="C211" s="33" t="str">
        <f>IF(Расчёты!$E189=1,Расчёты!$Z189,"")</f>
        <v/>
      </c>
      <c r="D211" s="33" t="str">
        <f>IF(Расчёты!$E189=1,Расчёты!$AA189,"")</f>
        <v/>
      </c>
      <c r="E211" s="33" t="str">
        <f>IF(Расчёты!$E189=1,Расчёты!$AB189,"")</f>
        <v/>
      </c>
      <c r="F211" s="33" t="str">
        <f>IF(Расчёты!$E189=1,Расчёты!$AC189,"")</f>
        <v/>
      </c>
      <c r="G211" s="33" t="str">
        <f>IF(Расчёты!$E189=1,Расчёты!$AD189,"")</f>
        <v/>
      </c>
      <c r="H211" s="33" t="str">
        <f>IF(Расчёты!$E189=1,Расчёты!$AI189,"")</f>
        <v/>
      </c>
      <c r="I211" s="33" t="str">
        <f>IF(Расчёты!$E189=1,Расчёты!$AG189,"")</f>
        <v/>
      </c>
      <c r="J211" s="33" t="str">
        <f>IF(Расчёты!$E189=1,Расчёты!$AJ189,"")</f>
        <v/>
      </c>
      <c r="K211" s="33" t="str">
        <f>IF(Расчёты!$E189=1,Расчёты!$AK189,"")</f>
        <v/>
      </c>
      <c r="L211" s="33" t="str">
        <f>IF(Расчёты!$E189=1,Расчёты!$I189,"")</f>
        <v/>
      </c>
      <c r="M211" s="33" t="str">
        <f>IF(Расчёты!$E189=1,Расчёты!$J189,"")</f>
        <v/>
      </c>
      <c r="N211" s="33" t="str">
        <f>IF(Расчёты!$E189=1,Расчёты!$K189,"")</f>
        <v/>
      </c>
      <c r="O211" s="33" t="str">
        <f>IF(Расчёты!$E189=1,Расчёты!$L189,"")</f>
        <v/>
      </c>
      <c r="P211" s="33" t="str">
        <f>IF(Расчёты!$E189=1,Расчёты!$M189,"")</f>
        <v/>
      </c>
      <c r="Q211" s="33" t="str">
        <f>IF(Расчёты!$E189=1,Расчёты!$N189,"")</f>
        <v/>
      </c>
      <c r="R211" s="33" t="str">
        <f>IF(Расчёты!$E189=1,Расчёты!$O189,"")</f>
        <v/>
      </c>
      <c r="S211" s="33" t="str">
        <f>IF(Расчёты!$E189=1,Расчёты!$Q189,"")</f>
        <v/>
      </c>
      <c r="T211" s="33" t="str">
        <f>IF(Расчёты!$E189=1,Расчёты!$S189,"")</f>
        <v/>
      </c>
      <c r="U211" s="33" t="str">
        <f>IF(Расчёты!$E189=1,Расчёты!$U189,"")</f>
        <v/>
      </c>
      <c r="V211" s="33" t="str">
        <f>IF(Расчёты!$E189=1,Расчёты!$W189,"")</f>
        <v/>
      </c>
      <c r="W211" s="33" t="str">
        <f>IF(Расчёты!$E189=1,Расчёты!$X189,"")</f>
        <v/>
      </c>
      <c r="X211" s="33" t="str">
        <f>IF(Расчёты!$E189=1,Расчёты!$Y189,"")</f>
        <v/>
      </c>
      <c r="Y211" s="33" t="str">
        <f>IF(Расчёты!$E189=1,Расчёты!$AL189,"")</f>
        <v/>
      </c>
      <c r="Z211" s="33" t="str">
        <f>IF(Расчёты!$E189=1,Расчёты!$AP189,"")</f>
        <v/>
      </c>
      <c r="AA211" s="33" t="str">
        <f>IF(Расчёты!$E189=1,Расчёты!$AS189,"")</f>
        <v/>
      </c>
      <c r="AB211" s="33" t="str">
        <f>IF(Расчёты!$E189=1,Расчёты!$AV189,"")</f>
        <v/>
      </c>
      <c r="AC211" s="33" t="str">
        <f>IF(Расчёты!$E189=1,Расчёты!$AW189,"")</f>
        <v/>
      </c>
      <c r="AD211" s="33" t="str">
        <f>IF(Расчёты!$E189=1,Расчёты!$AX189,"")</f>
        <v/>
      </c>
      <c r="AE211" s="33" t="str">
        <f>IF(Расчёты!$E189=1,Расчёты!$AY189,"")</f>
        <v/>
      </c>
      <c r="AF211" s="33" t="str">
        <f>IF(Расчёты!$E189=1,Расчёты!$BA189,"")</f>
        <v/>
      </c>
      <c r="AG211" s="33" t="str">
        <f>IF(Расчёты!$E189=1,Расчёты!$BB189,"")</f>
        <v/>
      </c>
      <c r="AH211" s="33" t="str">
        <f>IF(Расчёты!$E189=1,Расчёты!$BC189,"")</f>
        <v/>
      </c>
      <c r="AI211" s="33" t="str">
        <f>IF(Расчёты!$E189=1,Расчёты!$AU189,"")</f>
        <v/>
      </c>
      <c r="AJ211" s="33" t="str">
        <f>IF(Расчёты!$E189=1,Расчёты!$BF189,"")</f>
        <v/>
      </c>
      <c r="AK211" s="33" t="str">
        <f>IF(Расчёты!$E189=1,Расчёты!$BG189,"")</f>
        <v/>
      </c>
      <c r="AM211" s="17" t="str">
        <f t="shared" si="35"/>
        <v/>
      </c>
      <c r="AN211" s="35" t="str">
        <f t="shared" si="36"/>
        <v/>
      </c>
      <c r="AP211" s="17" t="str">
        <f t="shared" si="37"/>
        <v/>
      </c>
      <c r="AQ211" s="35" t="str">
        <f t="shared" si="38"/>
        <v/>
      </c>
      <c r="AV211" s="17" t="str">
        <f t="shared" si="39"/>
        <v/>
      </c>
      <c r="AW211" s="35" t="str">
        <f t="shared" si="40"/>
        <v/>
      </c>
      <c r="AX211" s="35" t="str">
        <f t="shared" si="41"/>
        <v/>
      </c>
    </row>
    <row r="212" spans="1:50" x14ac:dyDescent="0.2">
      <c r="A212" s="18" t="str">
        <f>IF(Расчёты!$E190=1,Расчёты!$B190,"")</f>
        <v/>
      </c>
      <c r="B212" s="34" t="str">
        <f>IF(Расчёты!$E190=1,Расчёты!$D190,"")</f>
        <v/>
      </c>
      <c r="C212" s="33" t="str">
        <f>IF(Расчёты!$E190=1,Расчёты!$Z190,"")</f>
        <v/>
      </c>
      <c r="D212" s="33" t="str">
        <f>IF(Расчёты!$E190=1,Расчёты!$AA190,"")</f>
        <v/>
      </c>
      <c r="E212" s="33" t="str">
        <f>IF(Расчёты!$E190=1,Расчёты!$AB190,"")</f>
        <v/>
      </c>
      <c r="F212" s="33" t="str">
        <f>IF(Расчёты!$E190=1,Расчёты!$AC190,"")</f>
        <v/>
      </c>
      <c r="G212" s="33" t="str">
        <f>IF(Расчёты!$E190=1,Расчёты!$AD190,"")</f>
        <v/>
      </c>
      <c r="H212" s="33" t="str">
        <f>IF(Расчёты!$E190=1,Расчёты!$AI190,"")</f>
        <v/>
      </c>
      <c r="I212" s="33" t="str">
        <f>IF(Расчёты!$E190=1,Расчёты!$AG190,"")</f>
        <v/>
      </c>
      <c r="J212" s="33" t="str">
        <f>IF(Расчёты!$E190=1,Расчёты!$AJ190,"")</f>
        <v/>
      </c>
      <c r="K212" s="33" t="str">
        <f>IF(Расчёты!$E190=1,Расчёты!$AK190,"")</f>
        <v/>
      </c>
      <c r="L212" s="33" t="str">
        <f>IF(Расчёты!$E190=1,Расчёты!$I190,"")</f>
        <v/>
      </c>
      <c r="M212" s="33" t="str">
        <f>IF(Расчёты!$E190=1,Расчёты!$J190,"")</f>
        <v/>
      </c>
      <c r="N212" s="33" t="str">
        <f>IF(Расчёты!$E190=1,Расчёты!$K190,"")</f>
        <v/>
      </c>
      <c r="O212" s="33" t="str">
        <f>IF(Расчёты!$E190=1,Расчёты!$L190,"")</f>
        <v/>
      </c>
      <c r="P212" s="33" t="str">
        <f>IF(Расчёты!$E190=1,Расчёты!$M190,"")</f>
        <v/>
      </c>
      <c r="Q212" s="33" t="str">
        <f>IF(Расчёты!$E190=1,Расчёты!$N190,"")</f>
        <v/>
      </c>
      <c r="R212" s="33" t="str">
        <f>IF(Расчёты!$E190=1,Расчёты!$O190,"")</f>
        <v/>
      </c>
      <c r="S212" s="33" t="str">
        <f>IF(Расчёты!$E190=1,Расчёты!$Q190,"")</f>
        <v/>
      </c>
      <c r="T212" s="33" t="str">
        <f>IF(Расчёты!$E190=1,Расчёты!$S190,"")</f>
        <v/>
      </c>
      <c r="U212" s="33" t="str">
        <f>IF(Расчёты!$E190=1,Расчёты!$U190,"")</f>
        <v/>
      </c>
      <c r="V212" s="33" t="str">
        <f>IF(Расчёты!$E190=1,Расчёты!$W190,"")</f>
        <v/>
      </c>
      <c r="W212" s="33" t="str">
        <f>IF(Расчёты!$E190=1,Расчёты!$X190,"")</f>
        <v/>
      </c>
      <c r="X212" s="33" t="str">
        <f>IF(Расчёты!$E190=1,Расчёты!$Y190,"")</f>
        <v/>
      </c>
      <c r="Y212" s="33" t="str">
        <f>IF(Расчёты!$E190=1,Расчёты!$AL190,"")</f>
        <v/>
      </c>
      <c r="Z212" s="33" t="str">
        <f>IF(Расчёты!$E190=1,Расчёты!$AP190,"")</f>
        <v/>
      </c>
      <c r="AA212" s="33" t="str">
        <f>IF(Расчёты!$E190=1,Расчёты!$AS190,"")</f>
        <v/>
      </c>
      <c r="AB212" s="33" t="str">
        <f>IF(Расчёты!$E190=1,Расчёты!$AV190,"")</f>
        <v/>
      </c>
      <c r="AC212" s="33" t="str">
        <f>IF(Расчёты!$E190=1,Расчёты!$AW190,"")</f>
        <v/>
      </c>
      <c r="AD212" s="33" t="str">
        <f>IF(Расчёты!$E190=1,Расчёты!$AX190,"")</f>
        <v/>
      </c>
      <c r="AE212" s="33" t="str">
        <f>IF(Расчёты!$E190=1,Расчёты!$AY190,"")</f>
        <v/>
      </c>
      <c r="AF212" s="33" t="str">
        <f>IF(Расчёты!$E190=1,Расчёты!$BA190,"")</f>
        <v/>
      </c>
      <c r="AG212" s="33" t="str">
        <f>IF(Расчёты!$E190=1,Расчёты!$BB190,"")</f>
        <v/>
      </c>
      <c r="AH212" s="33" t="str">
        <f>IF(Расчёты!$E190=1,Расчёты!$BC190,"")</f>
        <v/>
      </c>
      <c r="AI212" s="33" t="str">
        <f>IF(Расчёты!$E190=1,Расчёты!$AU190,"")</f>
        <v/>
      </c>
      <c r="AJ212" s="33" t="str">
        <f>IF(Расчёты!$E190=1,Расчёты!$BF190,"")</f>
        <v/>
      </c>
      <c r="AK212" s="33" t="str">
        <f>IF(Расчёты!$E190=1,Расчёты!$BG190,"")</f>
        <v/>
      </c>
      <c r="AM212" s="17" t="str">
        <f t="shared" si="35"/>
        <v/>
      </c>
      <c r="AN212" s="35" t="str">
        <f t="shared" si="36"/>
        <v/>
      </c>
      <c r="AP212" s="17" t="str">
        <f t="shared" si="37"/>
        <v/>
      </c>
      <c r="AQ212" s="35" t="str">
        <f t="shared" si="38"/>
        <v/>
      </c>
      <c r="AV212" s="17" t="str">
        <f t="shared" si="39"/>
        <v/>
      </c>
      <c r="AW212" s="35" t="str">
        <f t="shared" si="40"/>
        <v/>
      </c>
      <c r="AX212" s="35" t="str">
        <f t="shared" si="41"/>
        <v/>
      </c>
    </row>
    <row r="213" spans="1:50" x14ac:dyDescent="0.2">
      <c r="A213" s="18" t="str">
        <f>IF(Расчёты!$E191=1,Расчёты!$B191,"")</f>
        <v/>
      </c>
      <c r="B213" s="34" t="str">
        <f>IF(Расчёты!$E191=1,Расчёты!$D191,"")</f>
        <v/>
      </c>
      <c r="C213" s="33" t="str">
        <f>IF(Расчёты!$E191=1,Расчёты!$Z191,"")</f>
        <v/>
      </c>
      <c r="D213" s="33" t="str">
        <f>IF(Расчёты!$E191=1,Расчёты!$AA191,"")</f>
        <v/>
      </c>
      <c r="E213" s="33" t="str">
        <f>IF(Расчёты!$E191=1,Расчёты!$AB191,"")</f>
        <v/>
      </c>
      <c r="F213" s="33" t="str">
        <f>IF(Расчёты!$E191=1,Расчёты!$AC191,"")</f>
        <v/>
      </c>
      <c r="G213" s="33" t="str">
        <f>IF(Расчёты!$E191=1,Расчёты!$AD191,"")</f>
        <v/>
      </c>
      <c r="H213" s="33" t="str">
        <f>IF(Расчёты!$E191=1,Расчёты!$AI191,"")</f>
        <v/>
      </c>
      <c r="I213" s="33" t="str">
        <f>IF(Расчёты!$E191=1,Расчёты!$AG191,"")</f>
        <v/>
      </c>
      <c r="J213" s="33" t="str">
        <f>IF(Расчёты!$E191=1,Расчёты!$AJ191,"")</f>
        <v/>
      </c>
      <c r="K213" s="33" t="str">
        <f>IF(Расчёты!$E191=1,Расчёты!$AK191,"")</f>
        <v/>
      </c>
      <c r="L213" s="33" t="str">
        <f>IF(Расчёты!$E191=1,Расчёты!$I191,"")</f>
        <v/>
      </c>
      <c r="M213" s="33" t="str">
        <f>IF(Расчёты!$E191=1,Расчёты!$J191,"")</f>
        <v/>
      </c>
      <c r="N213" s="33" t="str">
        <f>IF(Расчёты!$E191=1,Расчёты!$K191,"")</f>
        <v/>
      </c>
      <c r="O213" s="33" t="str">
        <f>IF(Расчёты!$E191=1,Расчёты!$L191,"")</f>
        <v/>
      </c>
      <c r="P213" s="33" t="str">
        <f>IF(Расчёты!$E191=1,Расчёты!$M191,"")</f>
        <v/>
      </c>
      <c r="Q213" s="33" t="str">
        <f>IF(Расчёты!$E191=1,Расчёты!$N191,"")</f>
        <v/>
      </c>
      <c r="R213" s="33" t="str">
        <f>IF(Расчёты!$E191=1,Расчёты!$O191,"")</f>
        <v/>
      </c>
      <c r="S213" s="33" t="str">
        <f>IF(Расчёты!$E191=1,Расчёты!$Q191,"")</f>
        <v/>
      </c>
      <c r="T213" s="33" t="str">
        <f>IF(Расчёты!$E191=1,Расчёты!$S191,"")</f>
        <v/>
      </c>
      <c r="U213" s="33" t="str">
        <f>IF(Расчёты!$E191=1,Расчёты!$U191,"")</f>
        <v/>
      </c>
      <c r="V213" s="33" t="str">
        <f>IF(Расчёты!$E191=1,Расчёты!$W191,"")</f>
        <v/>
      </c>
      <c r="W213" s="33" t="str">
        <f>IF(Расчёты!$E191=1,Расчёты!$X191,"")</f>
        <v/>
      </c>
      <c r="X213" s="33" t="str">
        <f>IF(Расчёты!$E191=1,Расчёты!$Y191,"")</f>
        <v/>
      </c>
      <c r="Y213" s="33" t="str">
        <f>IF(Расчёты!$E191=1,Расчёты!$AL191,"")</f>
        <v/>
      </c>
      <c r="Z213" s="33" t="str">
        <f>IF(Расчёты!$E191=1,Расчёты!$AP191,"")</f>
        <v/>
      </c>
      <c r="AA213" s="33" t="str">
        <f>IF(Расчёты!$E191=1,Расчёты!$AS191,"")</f>
        <v/>
      </c>
      <c r="AB213" s="33" t="str">
        <f>IF(Расчёты!$E191=1,Расчёты!$AV191,"")</f>
        <v/>
      </c>
      <c r="AC213" s="33" t="str">
        <f>IF(Расчёты!$E191=1,Расчёты!$AW191,"")</f>
        <v/>
      </c>
      <c r="AD213" s="33" t="str">
        <f>IF(Расчёты!$E191=1,Расчёты!$AX191,"")</f>
        <v/>
      </c>
      <c r="AE213" s="33" t="str">
        <f>IF(Расчёты!$E191=1,Расчёты!$AY191,"")</f>
        <v/>
      </c>
      <c r="AF213" s="33" t="str">
        <f>IF(Расчёты!$E191=1,Расчёты!$BA191,"")</f>
        <v/>
      </c>
      <c r="AG213" s="33" t="str">
        <f>IF(Расчёты!$E191=1,Расчёты!$BB191,"")</f>
        <v/>
      </c>
      <c r="AH213" s="33" t="str">
        <f>IF(Расчёты!$E191=1,Расчёты!$BC191,"")</f>
        <v/>
      </c>
      <c r="AI213" s="33" t="str">
        <f>IF(Расчёты!$E191=1,Расчёты!$AU191,"")</f>
        <v/>
      </c>
      <c r="AJ213" s="33" t="str">
        <f>IF(Расчёты!$E191=1,Расчёты!$BF191,"")</f>
        <v/>
      </c>
      <c r="AK213" s="33" t="str">
        <f>IF(Расчёты!$E191=1,Расчёты!$BG191,"")</f>
        <v/>
      </c>
      <c r="AM213" s="17" t="str">
        <f t="shared" si="35"/>
        <v/>
      </c>
      <c r="AN213" s="35" t="str">
        <f t="shared" si="36"/>
        <v/>
      </c>
      <c r="AP213" s="17" t="str">
        <f t="shared" si="37"/>
        <v/>
      </c>
      <c r="AQ213" s="35" t="str">
        <f t="shared" si="38"/>
        <v/>
      </c>
      <c r="AV213" s="17" t="str">
        <f t="shared" si="39"/>
        <v/>
      </c>
      <c r="AW213" s="35" t="str">
        <f t="shared" si="40"/>
        <v/>
      </c>
      <c r="AX213" s="35" t="str">
        <f t="shared" si="41"/>
        <v/>
      </c>
    </row>
    <row r="214" spans="1:50" x14ac:dyDescent="0.2">
      <c r="A214" s="18" t="str">
        <f>IF(Расчёты!$E192=1,Расчёты!$B192,"")</f>
        <v/>
      </c>
      <c r="B214" s="34" t="str">
        <f>IF(Расчёты!$E192=1,Расчёты!$D192,"")</f>
        <v/>
      </c>
      <c r="C214" s="33" t="str">
        <f>IF(Расчёты!$E192=1,Расчёты!$Z192,"")</f>
        <v/>
      </c>
      <c r="D214" s="33" t="str">
        <f>IF(Расчёты!$E192=1,Расчёты!$AA192,"")</f>
        <v/>
      </c>
      <c r="E214" s="33" t="str">
        <f>IF(Расчёты!$E192=1,Расчёты!$AB192,"")</f>
        <v/>
      </c>
      <c r="F214" s="33" t="str">
        <f>IF(Расчёты!$E192=1,Расчёты!$AC192,"")</f>
        <v/>
      </c>
      <c r="G214" s="33" t="str">
        <f>IF(Расчёты!$E192=1,Расчёты!$AD192,"")</f>
        <v/>
      </c>
      <c r="H214" s="33" t="str">
        <f>IF(Расчёты!$E192=1,Расчёты!$AI192,"")</f>
        <v/>
      </c>
      <c r="I214" s="33" t="str">
        <f>IF(Расчёты!$E192=1,Расчёты!$AG192,"")</f>
        <v/>
      </c>
      <c r="J214" s="33" t="str">
        <f>IF(Расчёты!$E192=1,Расчёты!$AJ192,"")</f>
        <v/>
      </c>
      <c r="K214" s="33" t="str">
        <f>IF(Расчёты!$E192=1,Расчёты!$AK192,"")</f>
        <v/>
      </c>
      <c r="L214" s="33" t="str">
        <f>IF(Расчёты!$E192=1,Расчёты!$I192,"")</f>
        <v/>
      </c>
      <c r="M214" s="33" t="str">
        <f>IF(Расчёты!$E192=1,Расчёты!$J192,"")</f>
        <v/>
      </c>
      <c r="N214" s="33" t="str">
        <f>IF(Расчёты!$E192=1,Расчёты!$K192,"")</f>
        <v/>
      </c>
      <c r="O214" s="33" t="str">
        <f>IF(Расчёты!$E192=1,Расчёты!$L192,"")</f>
        <v/>
      </c>
      <c r="P214" s="33" t="str">
        <f>IF(Расчёты!$E192=1,Расчёты!$M192,"")</f>
        <v/>
      </c>
      <c r="Q214" s="33" t="str">
        <f>IF(Расчёты!$E192=1,Расчёты!$N192,"")</f>
        <v/>
      </c>
      <c r="R214" s="33" t="str">
        <f>IF(Расчёты!$E192=1,Расчёты!$O192,"")</f>
        <v/>
      </c>
      <c r="S214" s="33" t="str">
        <f>IF(Расчёты!$E192=1,Расчёты!$Q192,"")</f>
        <v/>
      </c>
      <c r="T214" s="33" t="str">
        <f>IF(Расчёты!$E192=1,Расчёты!$S192,"")</f>
        <v/>
      </c>
      <c r="U214" s="33" t="str">
        <f>IF(Расчёты!$E192=1,Расчёты!$U192,"")</f>
        <v/>
      </c>
      <c r="V214" s="33" t="str">
        <f>IF(Расчёты!$E192=1,Расчёты!$W192,"")</f>
        <v/>
      </c>
      <c r="W214" s="33" t="str">
        <f>IF(Расчёты!$E192=1,Расчёты!$X192,"")</f>
        <v/>
      </c>
      <c r="X214" s="33" t="str">
        <f>IF(Расчёты!$E192=1,Расчёты!$Y192,"")</f>
        <v/>
      </c>
      <c r="Y214" s="33" t="str">
        <f>IF(Расчёты!$E192=1,Расчёты!$AL192,"")</f>
        <v/>
      </c>
      <c r="Z214" s="33" t="str">
        <f>IF(Расчёты!$E192=1,Расчёты!$AP192,"")</f>
        <v/>
      </c>
      <c r="AA214" s="33" t="str">
        <f>IF(Расчёты!$E192=1,Расчёты!$AS192,"")</f>
        <v/>
      </c>
      <c r="AB214" s="33" t="str">
        <f>IF(Расчёты!$E192=1,Расчёты!$AV192,"")</f>
        <v/>
      </c>
      <c r="AC214" s="33" t="str">
        <f>IF(Расчёты!$E192=1,Расчёты!$AW192,"")</f>
        <v/>
      </c>
      <c r="AD214" s="33" t="str">
        <f>IF(Расчёты!$E192=1,Расчёты!$AX192,"")</f>
        <v/>
      </c>
      <c r="AE214" s="33" t="str">
        <f>IF(Расчёты!$E192=1,Расчёты!$AY192,"")</f>
        <v/>
      </c>
      <c r="AF214" s="33" t="str">
        <f>IF(Расчёты!$E192=1,Расчёты!$BA192,"")</f>
        <v/>
      </c>
      <c r="AG214" s="33" t="str">
        <f>IF(Расчёты!$E192=1,Расчёты!$BB192,"")</f>
        <v/>
      </c>
      <c r="AH214" s="33" t="str">
        <f>IF(Расчёты!$E192=1,Расчёты!$BC192,"")</f>
        <v/>
      </c>
      <c r="AI214" s="33" t="str">
        <f>IF(Расчёты!$E192=1,Расчёты!$AU192,"")</f>
        <v/>
      </c>
      <c r="AJ214" s="33" t="str">
        <f>IF(Расчёты!$E192=1,Расчёты!$BF192,"")</f>
        <v/>
      </c>
      <c r="AK214" s="33" t="str">
        <f>IF(Расчёты!$E192=1,Расчёты!$BG192,"")</f>
        <v/>
      </c>
      <c r="AM214" s="17" t="str">
        <f t="shared" si="35"/>
        <v/>
      </c>
      <c r="AN214" s="35" t="str">
        <f t="shared" si="36"/>
        <v/>
      </c>
      <c r="AP214" s="17" t="str">
        <f t="shared" si="37"/>
        <v/>
      </c>
      <c r="AQ214" s="35" t="str">
        <f t="shared" si="38"/>
        <v/>
      </c>
      <c r="AV214" s="17" t="str">
        <f t="shared" si="39"/>
        <v/>
      </c>
      <c r="AW214" s="35" t="str">
        <f t="shared" si="40"/>
        <v/>
      </c>
      <c r="AX214" s="35" t="str">
        <f t="shared" si="41"/>
        <v/>
      </c>
    </row>
    <row r="215" spans="1:50" x14ac:dyDescent="0.2">
      <c r="A215" s="18" t="str">
        <f>IF(Расчёты!$E193=1,Расчёты!$B193,"")</f>
        <v/>
      </c>
      <c r="B215" s="34" t="str">
        <f>IF(Расчёты!$E193=1,Расчёты!$D193,"")</f>
        <v/>
      </c>
      <c r="C215" s="33" t="str">
        <f>IF(Расчёты!$E193=1,Расчёты!$Z193,"")</f>
        <v/>
      </c>
      <c r="D215" s="33" t="str">
        <f>IF(Расчёты!$E193=1,Расчёты!$AA193,"")</f>
        <v/>
      </c>
      <c r="E215" s="33" t="str">
        <f>IF(Расчёты!$E193=1,Расчёты!$AB193,"")</f>
        <v/>
      </c>
      <c r="F215" s="33" t="str">
        <f>IF(Расчёты!$E193=1,Расчёты!$AC193,"")</f>
        <v/>
      </c>
      <c r="G215" s="33" t="str">
        <f>IF(Расчёты!$E193=1,Расчёты!$AD193,"")</f>
        <v/>
      </c>
      <c r="H215" s="33" t="str">
        <f>IF(Расчёты!$E193=1,Расчёты!$AI193,"")</f>
        <v/>
      </c>
      <c r="I215" s="33" t="str">
        <f>IF(Расчёты!$E193=1,Расчёты!$AG193,"")</f>
        <v/>
      </c>
      <c r="J215" s="33" t="str">
        <f>IF(Расчёты!$E193=1,Расчёты!$AJ193,"")</f>
        <v/>
      </c>
      <c r="K215" s="33" t="str">
        <f>IF(Расчёты!$E193=1,Расчёты!$AK193,"")</f>
        <v/>
      </c>
      <c r="L215" s="33" t="str">
        <f>IF(Расчёты!$E193=1,Расчёты!$I193,"")</f>
        <v/>
      </c>
      <c r="M215" s="33" t="str">
        <f>IF(Расчёты!$E193=1,Расчёты!$J193,"")</f>
        <v/>
      </c>
      <c r="N215" s="33" t="str">
        <f>IF(Расчёты!$E193=1,Расчёты!$K193,"")</f>
        <v/>
      </c>
      <c r="O215" s="33" t="str">
        <f>IF(Расчёты!$E193=1,Расчёты!$L193,"")</f>
        <v/>
      </c>
      <c r="P215" s="33" t="str">
        <f>IF(Расчёты!$E193=1,Расчёты!$M193,"")</f>
        <v/>
      </c>
      <c r="Q215" s="33" t="str">
        <f>IF(Расчёты!$E193=1,Расчёты!$N193,"")</f>
        <v/>
      </c>
      <c r="R215" s="33" t="str">
        <f>IF(Расчёты!$E193=1,Расчёты!$O193,"")</f>
        <v/>
      </c>
      <c r="S215" s="33" t="str">
        <f>IF(Расчёты!$E193=1,Расчёты!$Q193,"")</f>
        <v/>
      </c>
      <c r="T215" s="33" t="str">
        <f>IF(Расчёты!$E193=1,Расчёты!$S193,"")</f>
        <v/>
      </c>
      <c r="U215" s="33" t="str">
        <f>IF(Расчёты!$E193=1,Расчёты!$U193,"")</f>
        <v/>
      </c>
      <c r="V215" s="33" t="str">
        <f>IF(Расчёты!$E193=1,Расчёты!$W193,"")</f>
        <v/>
      </c>
      <c r="W215" s="33" t="str">
        <f>IF(Расчёты!$E193=1,Расчёты!$X193,"")</f>
        <v/>
      </c>
      <c r="X215" s="33" t="str">
        <f>IF(Расчёты!$E193=1,Расчёты!$Y193,"")</f>
        <v/>
      </c>
      <c r="Y215" s="33" t="str">
        <f>IF(Расчёты!$E193=1,Расчёты!$AL193,"")</f>
        <v/>
      </c>
      <c r="Z215" s="33" t="str">
        <f>IF(Расчёты!$E193=1,Расчёты!$AP193,"")</f>
        <v/>
      </c>
      <c r="AA215" s="33" t="str">
        <f>IF(Расчёты!$E193=1,Расчёты!$AS193,"")</f>
        <v/>
      </c>
      <c r="AB215" s="33" t="str">
        <f>IF(Расчёты!$E193=1,Расчёты!$AV193,"")</f>
        <v/>
      </c>
      <c r="AC215" s="33" t="str">
        <f>IF(Расчёты!$E193=1,Расчёты!$AW193,"")</f>
        <v/>
      </c>
      <c r="AD215" s="33" t="str">
        <f>IF(Расчёты!$E193=1,Расчёты!$AX193,"")</f>
        <v/>
      </c>
      <c r="AE215" s="33" t="str">
        <f>IF(Расчёты!$E193=1,Расчёты!$AY193,"")</f>
        <v/>
      </c>
      <c r="AF215" s="33" t="str">
        <f>IF(Расчёты!$E193=1,Расчёты!$BA193,"")</f>
        <v/>
      </c>
      <c r="AG215" s="33" t="str">
        <f>IF(Расчёты!$E193=1,Расчёты!$BB193,"")</f>
        <v/>
      </c>
      <c r="AH215" s="33" t="str">
        <f>IF(Расчёты!$E193=1,Расчёты!$BC193,"")</f>
        <v/>
      </c>
      <c r="AI215" s="33" t="str">
        <f>IF(Расчёты!$E193=1,Расчёты!$AU193,"")</f>
        <v/>
      </c>
      <c r="AJ215" s="33" t="str">
        <f>IF(Расчёты!$E193=1,Расчёты!$BF193,"")</f>
        <v/>
      </c>
      <c r="AK215" s="33" t="str">
        <f>IF(Расчёты!$E193=1,Расчёты!$BG193,"")</f>
        <v/>
      </c>
      <c r="AM215" s="17" t="str">
        <f t="shared" si="35"/>
        <v/>
      </c>
      <c r="AN215" s="35" t="str">
        <f t="shared" si="36"/>
        <v/>
      </c>
      <c r="AP215" s="17" t="str">
        <f t="shared" si="37"/>
        <v/>
      </c>
      <c r="AQ215" s="35" t="str">
        <f t="shared" si="38"/>
        <v/>
      </c>
      <c r="AV215" s="17" t="str">
        <f t="shared" si="39"/>
        <v/>
      </c>
      <c r="AW215" s="35" t="str">
        <f t="shared" si="40"/>
        <v/>
      </c>
      <c r="AX215" s="35" t="str">
        <f t="shared" si="41"/>
        <v/>
      </c>
    </row>
    <row r="216" spans="1:50" x14ac:dyDescent="0.2">
      <c r="A216" s="18" t="str">
        <f>IF(Расчёты!$E194=1,Расчёты!$B194,"")</f>
        <v/>
      </c>
      <c r="B216" s="34" t="str">
        <f>IF(Расчёты!$E194=1,Расчёты!$D194,"")</f>
        <v/>
      </c>
      <c r="C216" s="33" t="str">
        <f>IF(Расчёты!$E194=1,Расчёты!$Z194,"")</f>
        <v/>
      </c>
      <c r="D216" s="33" t="str">
        <f>IF(Расчёты!$E194=1,Расчёты!$AA194,"")</f>
        <v/>
      </c>
      <c r="E216" s="33" t="str">
        <f>IF(Расчёты!$E194=1,Расчёты!$AB194,"")</f>
        <v/>
      </c>
      <c r="F216" s="33" t="str">
        <f>IF(Расчёты!$E194=1,Расчёты!$AC194,"")</f>
        <v/>
      </c>
      <c r="G216" s="33" t="str">
        <f>IF(Расчёты!$E194=1,Расчёты!$AD194,"")</f>
        <v/>
      </c>
      <c r="H216" s="33" t="str">
        <f>IF(Расчёты!$E194=1,Расчёты!$AI194,"")</f>
        <v/>
      </c>
      <c r="I216" s="33" t="str">
        <f>IF(Расчёты!$E194=1,Расчёты!$AG194,"")</f>
        <v/>
      </c>
      <c r="J216" s="33" t="str">
        <f>IF(Расчёты!$E194=1,Расчёты!$AJ194,"")</f>
        <v/>
      </c>
      <c r="K216" s="33" t="str">
        <f>IF(Расчёты!$E194=1,Расчёты!$AK194,"")</f>
        <v/>
      </c>
      <c r="L216" s="33" t="str">
        <f>IF(Расчёты!$E194=1,Расчёты!$I194,"")</f>
        <v/>
      </c>
      <c r="M216" s="33" t="str">
        <f>IF(Расчёты!$E194=1,Расчёты!$J194,"")</f>
        <v/>
      </c>
      <c r="N216" s="33" t="str">
        <f>IF(Расчёты!$E194=1,Расчёты!$K194,"")</f>
        <v/>
      </c>
      <c r="O216" s="33" t="str">
        <f>IF(Расчёты!$E194=1,Расчёты!$L194,"")</f>
        <v/>
      </c>
      <c r="P216" s="33" t="str">
        <f>IF(Расчёты!$E194=1,Расчёты!$M194,"")</f>
        <v/>
      </c>
      <c r="Q216" s="33" t="str">
        <f>IF(Расчёты!$E194=1,Расчёты!$N194,"")</f>
        <v/>
      </c>
      <c r="R216" s="33" t="str">
        <f>IF(Расчёты!$E194=1,Расчёты!$O194,"")</f>
        <v/>
      </c>
      <c r="S216" s="33" t="str">
        <f>IF(Расчёты!$E194=1,Расчёты!$Q194,"")</f>
        <v/>
      </c>
      <c r="T216" s="33" t="str">
        <f>IF(Расчёты!$E194=1,Расчёты!$S194,"")</f>
        <v/>
      </c>
      <c r="U216" s="33" t="str">
        <f>IF(Расчёты!$E194=1,Расчёты!$U194,"")</f>
        <v/>
      </c>
      <c r="V216" s="33" t="str">
        <f>IF(Расчёты!$E194=1,Расчёты!$W194,"")</f>
        <v/>
      </c>
      <c r="W216" s="33" t="str">
        <f>IF(Расчёты!$E194=1,Расчёты!$X194,"")</f>
        <v/>
      </c>
      <c r="X216" s="33" t="str">
        <f>IF(Расчёты!$E194=1,Расчёты!$Y194,"")</f>
        <v/>
      </c>
      <c r="Y216" s="33" t="str">
        <f>IF(Расчёты!$E194=1,Расчёты!$AL194,"")</f>
        <v/>
      </c>
      <c r="Z216" s="33" t="str">
        <f>IF(Расчёты!$E194=1,Расчёты!$AP194,"")</f>
        <v/>
      </c>
      <c r="AA216" s="33" t="str">
        <f>IF(Расчёты!$E194=1,Расчёты!$AS194,"")</f>
        <v/>
      </c>
      <c r="AB216" s="33" t="str">
        <f>IF(Расчёты!$E194=1,Расчёты!$AV194,"")</f>
        <v/>
      </c>
      <c r="AC216" s="33" t="str">
        <f>IF(Расчёты!$E194=1,Расчёты!$AW194,"")</f>
        <v/>
      </c>
      <c r="AD216" s="33" t="str">
        <f>IF(Расчёты!$E194=1,Расчёты!$AX194,"")</f>
        <v/>
      </c>
      <c r="AE216" s="33" t="str">
        <f>IF(Расчёты!$E194=1,Расчёты!$AY194,"")</f>
        <v/>
      </c>
      <c r="AF216" s="33" t="str">
        <f>IF(Расчёты!$E194=1,Расчёты!$BA194,"")</f>
        <v/>
      </c>
      <c r="AG216" s="33" t="str">
        <f>IF(Расчёты!$E194=1,Расчёты!$BB194,"")</f>
        <v/>
      </c>
      <c r="AH216" s="33" t="str">
        <f>IF(Расчёты!$E194=1,Расчёты!$BC194,"")</f>
        <v/>
      </c>
      <c r="AI216" s="33" t="str">
        <f>IF(Расчёты!$E194=1,Расчёты!$AU194,"")</f>
        <v/>
      </c>
      <c r="AJ216" s="33" t="str">
        <f>IF(Расчёты!$E194=1,Расчёты!$BF194,"")</f>
        <v/>
      </c>
      <c r="AK216" s="33" t="str">
        <f>IF(Расчёты!$E194=1,Расчёты!$BG194,"")</f>
        <v/>
      </c>
      <c r="AM216" s="17" t="str">
        <f t="shared" si="35"/>
        <v/>
      </c>
      <c r="AN216" s="35" t="str">
        <f t="shared" si="36"/>
        <v/>
      </c>
      <c r="AP216" s="17" t="str">
        <f t="shared" si="37"/>
        <v/>
      </c>
      <c r="AQ216" s="35" t="str">
        <f t="shared" si="38"/>
        <v/>
      </c>
      <c r="AV216" s="17" t="str">
        <f t="shared" si="39"/>
        <v/>
      </c>
      <c r="AW216" s="35" t="str">
        <f t="shared" si="40"/>
        <v/>
      </c>
      <c r="AX216" s="35" t="str">
        <f t="shared" si="41"/>
        <v/>
      </c>
    </row>
  </sheetData>
  <mergeCells count="13">
    <mergeCell ref="A19:I20"/>
    <mergeCell ref="A1:N1"/>
    <mergeCell ref="A2:N2"/>
    <mergeCell ref="A4:D4"/>
    <mergeCell ref="F4:I4"/>
    <mergeCell ref="K4:N4"/>
    <mergeCell ref="AF22:AK22"/>
    <mergeCell ref="A22:B22"/>
    <mergeCell ref="C22:F22"/>
    <mergeCell ref="G22:K22"/>
    <mergeCell ref="L22:X22"/>
    <mergeCell ref="Y22:AA22"/>
    <mergeCell ref="AB22:AE22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1C2B4-F26B-E14B-9680-9516D069CF38}">
  <dimension ref="A1:Q222"/>
  <sheetViews>
    <sheetView showGridLines="0" workbookViewId="0">
      <pane ySplit="4" topLeftCell="A5" activePane="bottomLeft" state="frozen"/>
      <selection pane="bottomLeft" activeCell="B21" sqref="B21"/>
    </sheetView>
  </sheetViews>
  <sheetFormatPr baseColWidth="10" defaultRowHeight="16" x14ac:dyDescent="0.2"/>
  <cols>
    <col min="1" max="1" width="29.1640625" customWidth="1"/>
    <col min="2" max="4" width="20" customWidth="1"/>
    <col min="5" max="5" width="13.6640625" customWidth="1"/>
    <col min="6" max="6" width="16.6640625" customWidth="1"/>
    <col min="7" max="17" width="15.83203125" customWidth="1"/>
  </cols>
  <sheetData>
    <row r="1" spans="1:17" ht="30" customHeight="1" x14ac:dyDescent="0.3">
      <c r="A1" s="122" t="s">
        <v>643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</row>
    <row r="2" spans="1:17" x14ac:dyDescent="0.2">
      <c r="A2" s="129" t="s">
        <v>318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</row>
    <row r="3" spans="1:17" x14ac:dyDescent="0.2">
      <c r="A3" s="130" t="s">
        <v>319</v>
      </c>
      <c r="B3" s="130"/>
      <c r="C3" s="130"/>
      <c r="D3" s="130"/>
    </row>
    <row r="4" spans="1:17" x14ac:dyDescent="0.2">
      <c r="A4" s="2" t="s">
        <v>320</v>
      </c>
      <c r="B4" s="2" t="s">
        <v>321</v>
      </c>
      <c r="C4" s="2" t="s">
        <v>322</v>
      </c>
      <c r="D4" s="2" t="s">
        <v>323</v>
      </c>
      <c r="F4" s="1" t="s">
        <v>402</v>
      </c>
      <c r="G4" s="1" t="s">
        <v>258</v>
      </c>
      <c r="I4" s="81" t="s">
        <v>402</v>
      </c>
      <c r="J4" s="81" t="s">
        <v>411</v>
      </c>
      <c r="L4" s="81" t="s">
        <v>402</v>
      </c>
      <c r="M4" s="81" t="s">
        <v>599</v>
      </c>
    </row>
    <row r="5" spans="1:17" x14ac:dyDescent="0.2">
      <c r="A5" t="s">
        <v>73</v>
      </c>
      <c r="B5" s="46"/>
      <c r="C5" s="47">
        <f>'Исходные данные'!$B$31</f>
        <v>0</v>
      </c>
      <c r="D5" s="46"/>
      <c r="F5" t="s">
        <v>321</v>
      </c>
      <c r="G5" s="36" t="str">
        <f>B18</f>
        <v/>
      </c>
      <c r="I5" t="s">
        <v>321</v>
      </c>
      <c r="J5" s="82">
        <f>IF(B20="",0,B20)</f>
        <v>0</v>
      </c>
      <c r="L5" t="s">
        <v>321</v>
      </c>
      <c r="M5" s="83">
        <f>IF(COUNT($B$5:$B$9)&lt;&gt;5,0,IF(COUNTIF(Сценарии_расчёт!$BX$2:$BX$362,1)=0,360,MIN(MATCH(1,Сценарии_расчёт!$BX$2:$BX$362,0)-1,360)))</f>
        <v>0</v>
      </c>
    </row>
    <row r="6" spans="1:17" x14ac:dyDescent="0.2">
      <c r="A6" t="s">
        <v>78</v>
      </c>
      <c r="B6" s="46"/>
      <c r="C6" s="47">
        <f>'Исходные данные'!$B$32</f>
        <v>0</v>
      </c>
      <c r="D6" s="46"/>
      <c r="F6" t="s">
        <v>322</v>
      </c>
      <c r="G6" s="36" t="str">
        <f>C18</f>
        <v/>
      </c>
      <c r="I6" t="s">
        <v>322</v>
      </c>
      <c r="J6" s="82">
        <f>IF(C20="",0,C20)</f>
        <v>0</v>
      </c>
      <c r="L6" t="s">
        <v>322</v>
      </c>
      <c r="M6" s="83">
        <f>IF(COUNT($C$5:$C$9)&lt;&gt;5,0,IF(COUNTIF(Сценарии_расчёт!$CA$2:$CA$362,1)=0,360,MIN(MATCH(1,Сценарии_расчёт!$CA$2:$CA$362,0)-1,360)))</f>
        <v>360</v>
      </c>
    </row>
    <row r="7" spans="1:17" x14ac:dyDescent="0.2">
      <c r="A7" t="s">
        <v>82</v>
      </c>
      <c r="B7" s="46"/>
      <c r="C7" s="47">
        <f>'Исходные данные'!$B$33</f>
        <v>0</v>
      </c>
      <c r="D7" s="46"/>
      <c r="F7" t="s">
        <v>323</v>
      </c>
      <c r="G7" s="36" t="str">
        <f>D18</f>
        <v/>
      </c>
      <c r="I7" t="s">
        <v>323</v>
      </c>
      <c r="J7" s="82">
        <f>IF(D20="",0,D20)</f>
        <v>0</v>
      </c>
      <c r="L7" t="s">
        <v>323</v>
      </c>
      <c r="M7" s="83">
        <f>IF(COUNT($D$5:$D$9)&lt;&gt;5,0,IF(COUNTIF(Сценарии_расчёт!$CD$2:$CD$362,1)=0,360,MIN(MATCH(1,Сценарии_расчёт!$CD$2:$CD$362,0)-1,360)))</f>
        <v>0</v>
      </c>
    </row>
    <row r="8" spans="1:17" x14ac:dyDescent="0.2">
      <c r="A8" t="s">
        <v>87</v>
      </c>
      <c r="B8" s="48"/>
      <c r="C8" s="49">
        <f>'Исходные данные'!$B$34</f>
        <v>0</v>
      </c>
      <c r="D8" s="48"/>
    </row>
    <row r="9" spans="1:17" x14ac:dyDescent="0.2">
      <c r="A9" t="s">
        <v>310</v>
      </c>
      <c r="B9" s="48"/>
      <c r="C9" s="49">
        <f>'Исходные данные'!$B$38</f>
        <v>0</v>
      </c>
      <c r="D9" s="48"/>
    </row>
    <row r="11" spans="1:17" x14ac:dyDescent="0.2">
      <c r="A11" s="130" t="s">
        <v>324</v>
      </c>
      <c r="B11" s="130"/>
      <c r="C11" s="130"/>
      <c r="D11" s="130"/>
    </row>
    <row r="12" spans="1:17" x14ac:dyDescent="0.2">
      <c r="A12" s="2" t="s">
        <v>325</v>
      </c>
      <c r="B12" s="2" t="s">
        <v>321</v>
      </c>
      <c r="C12" s="2" t="s">
        <v>322</v>
      </c>
      <c r="D12" s="2" t="s">
        <v>323</v>
      </c>
    </row>
    <row r="13" spans="1:17" hidden="1" x14ac:dyDescent="0.2">
      <c r="A13" t="s">
        <v>73</v>
      </c>
      <c r="B13" s="66" t="str">
        <f>IF(COUNT($B$5:$B$9)=5,$B$5,"")</f>
        <v/>
      </c>
      <c r="C13" s="66">
        <f>IF(COUNT($C$5:$C$9)=5,$C$5,"")</f>
        <v>0</v>
      </c>
      <c r="D13" s="66" t="str">
        <f>IF(COUNT($D$5:$D$9)=5,$D$5,"")</f>
        <v/>
      </c>
    </row>
    <row r="14" spans="1:17" hidden="1" x14ac:dyDescent="0.2">
      <c r="A14" t="s">
        <v>326</v>
      </c>
      <c r="B14" s="67" t="str">
        <f>IF(COUNT($B$5:$B$9)=5,$B$8,"")</f>
        <v/>
      </c>
      <c r="C14" s="67">
        <f>IF(COUNT($C$5:$C$9)=5,$C$8,"")</f>
        <v>0</v>
      </c>
      <c r="D14" s="67" t="str">
        <f>IF(COUNT($D$5:$D$9)=5,$D$8,"")</f>
        <v/>
      </c>
    </row>
    <row r="15" spans="1:17" hidden="1" x14ac:dyDescent="0.2">
      <c r="A15" t="s">
        <v>310</v>
      </c>
      <c r="B15" s="67" t="str">
        <f>IF(COUNT($B$5:$B$9)=5,$B$9,"")</f>
        <v/>
      </c>
      <c r="C15" s="67">
        <f>IF(COUNT($C$5:$C$9)=5,$C$9,"")</f>
        <v>0</v>
      </c>
      <c r="D15" s="67" t="str">
        <f>IF(COUNT($D$5:$D$9)=5,$D$9,"")</f>
        <v/>
      </c>
    </row>
    <row r="16" spans="1:17" x14ac:dyDescent="0.2">
      <c r="A16" t="s">
        <v>327</v>
      </c>
      <c r="B16" s="68" t="str">
        <f>IF(OR(NOT(COUNT($B$5:$B$9)=5),'Исходные данные'!$B$79=""),"",SUMIFS(Сценарии_расчёт!$L$2:$L$194,Сценарии_расчёт!$D$2:$D$194,1)/'Исходные данные'!$B$79)</f>
        <v/>
      </c>
      <c r="C16" s="68" t="str">
        <f>IF(OR(NOT(COUNT($C$5:$C$9)=5),'Исходные данные'!$B$79=""),"",SUMIFS(Сценарии_расчёт!$AI$2:$AI$194,Сценарии_расчёт!$D$2:$D$194,1)/'Исходные данные'!$B$79)</f>
        <v/>
      </c>
      <c r="D16" s="68" t="str">
        <f>IF(OR(NOT(COUNT($D$5:$D$9)=5),'Исходные данные'!$B$79=""),"",SUMIFS(Сценарии_расчёт!$BF$2:$BF$194,Сценарии_расчёт!$D$2:$D$194,1)/'Исходные данные'!$B$79)</f>
        <v/>
      </c>
    </row>
    <row r="17" spans="1:17" ht="17" thickBot="1" x14ac:dyDescent="0.25">
      <c r="A17" t="s">
        <v>39</v>
      </c>
      <c r="B17" s="68" t="str">
        <f>IF(NOT(COUNT($B$5:$B$9)=5),"",SUM(Сценарии_расчёт!$S$2:$S$194))</f>
        <v/>
      </c>
      <c r="C17" s="68">
        <f>IF(NOT(COUNT($C$5:$C$9)=5),"",SUM(Сценарии_расчёт!$AP$2:$AP$194))</f>
        <v>0</v>
      </c>
      <c r="D17" s="68" t="str">
        <f>IF(NOT(COUNT($D$5:$D$9)=5),"",SUM(Сценарии_расчёт!$BM$2:$BM$194))</f>
        <v/>
      </c>
    </row>
    <row r="18" spans="1:17" x14ac:dyDescent="0.2">
      <c r="A18" s="79" t="s">
        <v>258</v>
      </c>
      <c r="B18" s="73" t="str">
        <f>IF(OR(NOT(COUNT($B$5:$B$9)=5),COUNTIF(Сценарии_расчёт!$W$2:$W$194,"&lt;0")=0,COUNTIF(Сценарии_расчёт!$W$2:$W$194,"&gt;0")=0),"",IFERROR(XIRR(Сценарии_расчёт!$W$2:$W$194,Сценарии_расчёт!$C$2:$C$194),"ПРОВЕРЬТЕ ПОТОКИ"))</f>
        <v/>
      </c>
      <c r="C18" s="73" t="str">
        <f>IF(OR(NOT(COUNT($C$5:$C$9)=5),COUNTIF(Сценарии_расчёт!$AT$2:$AT$194,"&lt;0")=0,COUNTIF(Сценарии_расчёт!$AT$2:$AT$194,"&gt;0")=0),"",IFERROR(XIRR(Сценарии_расчёт!$AT$2:$AT$194,Сценарии_расчёт!$C$2:$C$194),"ПРОВЕРЬТЕ ПОТОКИ"))</f>
        <v/>
      </c>
      <c r="D18" s="74" t="str">
        <f>IF(OR(NOT(COUNT($D$5:$D$9)=5),COUNTIF(Сценарии_расчёт!$BQ$2:$BQ$194,"&lt;0")=0,COUNTIF(Сценарии_расчёт!$BQ$2:$BQ$194,"&gt;0")=0),"",IFERROR(XIRR(Сценарии_расчёт!$BQ$2:$BQ$194,Сценарии_расчёт!$C$2:$C$194),"ПРОВЕРЬТЕ ПОТОКИ"))</f>
        <v/>
      </c>
    </row>
    <row r="19" spans="1:17" x14ac:dyDescent="0.2">
      <c r="A19" s="70" t="s">
        <v>259</v>
      </c>
      <c r="B19" s="75" t="str">
        <f>IF(OR(NOT(COUNT($B$5:$B$9)=5),'Исходные данные'!$B$90=""),"",IFERROR(XNPV('Исходные данные'!$B$90,Сценарии_расчёт!$W$2:$W$194,Сценарии_расчёт!$C$2:$C$194),""))</f>
        <v/>
      </c>
      <c r="C19" s="75" t="str">
        <f>IF(OR(NOT(COUNT($C$5:$C$9)=5),'Исходные данные'!$B$90=""),"",IFERROR(XNPV('Исходные данные'!$B$90,Сценарии_расчёт!$AT$2:$AT$194,Сценарии_расчёт!$C$2:$C$194),""))</f>
        <v/>
      </c>
      <c r="D19" s="76" t="str">
        <f>IF(OR(NOT(COUNT($D$5:$D$9)=5),'Исходные данные'!$B$90=""),"",IFERROR(XNPV('Исходные данные'!$B$90,Сценарии_расчёт!$BQ$2:$BQ$194,Сценарии_расчёт!$C$2:$C$194),""))</f>
        <v/>
      </c>
    </row>
    <row r="20" spans="1:17" x14ac:dyDescent="0.2">
      <c r="A20" s="70" t="s">
        <v>576</v>
      </c>
      <c r="B20" s="71" t="str">
        <f>IF(OR(B16="",'Исходные данные'!$B$17=""),"",B16/('Исходные данные'!$B$17+N('Исходные данные'!$B$11)+N('Исходные данные'!$B$19)*N('Исходные данные'!$B$72)))</f>
        <v/>
      </c>
      <c r="C20" s="71" t="str">
        <f>IF(OR(C16="",'Исходные данные'!$B$17=""),"",C16/('Исходные данные'!$B$17+N('Исходные данные'!$B$11)+N('Исходные данные'!$B$19)*N('Исходные данные'!$B$72)))</f>
        <v/>
      </c>
      <c r="D20" s="72" t="str">
        <f>IF(OR(D16="",'Исходные данные'!$B$17=""),"",D16/('Исходные данные'!$B$17+N('Исходные данные'!$B$11)+N('Исходные данные'!$B$19)*N('Исходные данные'!$B$72)))</f>
        <v/>
      </c>
    </row>
    <row r="21" spans="1:17" ht="17" thickBot="1" x14ac:dyDescent="0.25">
      <c r="A21" s="80" t="s">
        <v>597</v>
      </c>
      <c r="B21" s="77" t="str">
        <f>IF(NOT(COUNT($B$5:$B$9)=5),"",IF(COUNTIF(Сценарии_расчёт!$BX$2:$BX$362,1)=0,"более 30 лет",IF(MATCH(1,Сценарии_расчёт!$BX$2:$BX$362,0)-1&gt;360,"более 30 лет",(MATCH(1,Сценарии_расчёт!$BX$2:$BX$362,0)-1)&amp;" мес. / "&amp;TEXT((MATCH(1,Сценарии_расчёт!$BX$2:$BX$362,0)-1)/12,"0,0")&amp;" лет")))</f>
        <v/>
      </c>
      <c r="C21" s="77" t="str">
        <f>IF(NOT(COUNT($C$5:$C$9)=5),"",IF(COUNTIF(Сценарии_расчёт!$CA$2:$CA$362,1)=0,"более 30 лет",IF(MATCH(1,Сценарии_расчёт!$CA$2:$CA$362,0)-1&gt;360,"более 30 лет",(MATCH(1,Сценарии_расчёт!$CA$2:$CA$362,0)-1)&amp;" мес. / "&amp;TEXT((MATCH(1,Сценарии_расчёт!$CA$2:$CA$362,0)-1)/12,"0,0")&amp;" лет")))</f>
        <v>более 30 лет</v>
      </c>
      <c r="D21" s="78" t="str">
        <f>IF(NOT(COUNT($D$5:$D$9)=5),"",IF(COUNTIF(Сценарии_расчёт!$CD$2:$CD$362,1)=0,"более 30 лет",IF(MATCH(1,Сценарии_расчёт!$CD$2:$CD$362,0)-1&gt;360,"более 30 лет",(MATCH(1,Сценарии_расчёт!$CD$2:$CD$362,0)-1)&amp;" мес. / "&amp;TEXT((MATCH(1,Сценарии_расчёт!$CD$2:$CD$362,0)-1)/12,"0,0")&amp;" лет")))</f>
        <v/>
      </c>
    </row>
    <row r="22" spans="1:17" x14ac:dyDescent="0.2">
      <c r="A22" t="s">
        <v>328</v>
      </c>
      <c r="B22" s="68" t="str">
        <f>IF(NOT(COUNT($B$5:$B$9)=5),"",SUM(Сценарии_расчёт!$W$2:$W$194))</f>
        <v/>
      </c>
      <c r="C22" s="68">
        <f>IF(NOT(COUNT($C$5:$C$9)=5),"",SUM(Сценарии_расчёт!$AT$2:$AT$194))</f>
        <v>0</v>
      </c>
      <c r="D22" s="68" t="str">
        <f>IF(NOT(COUNT($D$5:$D$9)=5),"",SUM(Сценарии_расчёт!$BQ$2:$BQ$194))</f>
        <v/>
      </c>
    </row>
    <row r="23" spans="1:17" x14ac:dyDescent="0.2">
      <c r="A23" t="s">
        <v>269</v>
      </c>
      <c r="B23" s="68" t="str">
        <f>IF(NOT(COUNT($B$5:$B$9)=5),"",SUM(Сценарии_расчёт!$Z$2:$Z$194))</f>
        <v/>
      </c>
      <c r="C23" s="68">
        <f>IF(NOT(COUNT($C$5:$C$9)=5),"",SUM(Сценарии_расчёт!$AW$2:$AW$194))</f>
        <v>0</v>
      </c>
      <c r="D23" s="68" t="str">
        <f>IF(NOT(COUNT($D$5:$D$9)=5),"",SUM(Сценарии_расчёт!$BT$2:$BT$194))</f>
        <v/>
      </c>
    </row>
    <row r="24" spans="1:17" x14ac:dyDescent="0.2">
      <c r="A24" t="s">
        <v>270</v>
      </c>
      <c r="B24" s="68" t="str">
        <f>IF(NOT(COUNT($B$5:$B$9)=5),"",SUM(Сценарии_расчёт!$V$2:$V$194)-N('Исходные данные'!$B$19)-N('Исходные данные'!$B$11)-N('Исходные данные'!$B$19)*N('Исходные данные'!$B$72))</f>
        <v/>
      </c>
      <c r="C24" s="68">
        <f>IF(NOT(COUNT($C$5:$C$9)=5),"",SUM(Сценарии_расчёт!$AS$2:$AS$194)-N('Исходные данные'!$B$19)-N('Исходные данные'!$B$11)-N('Исходные данные'!$B$19)*N('Исходные данные'!$B$72))</f>
        <v>0</v>
      </c>
      <c r="D24" s="68" t="str">
        <f>IF(NOT(COUNT($D$5:$D$9)=5),"",SUM(Сценарии_расчёт!$BP$2:$BP$194)-N('Исходные данные'!$B$19)-N('Исходные данные'!$B$11)-N('Исходные данные'!$B$19)*N('Исходные данные'!$B$72))</f>
        <v/>
      </c>
    </row>
    <row r="25" spans="1:17" x14ac:dyDescent="0.2">
      <c r="A25" t="s">
        <v>329</v>
      </c>
      <c r="B25" s="69" t="str">
        <f>IF(COUNT($B$5:$B$9)=5,"Расчёт выполнен","ТРЕБУЕТСЯ ВВОД ПАРАМЕТРОВ")</f>
        <v>ТРЕБУЕТСЯ ВВОД ПАРАМЕТРОВ</v>
      </c>
      <c r="C25" s="69" t="str">
        <f>IF(COUNT($C$5:$C$9)=5,"Расчёт выполнен","ТРЕБУЕТСЯ ВВОД ПАРАМЕТРОВ")</f>
        <v>Расчёт выполнен</v>
      </c>
      <c r="D25" s="69" t="str">
        <f>IF(COUNT($D$5:$D$9)=5,"Расчёт выполнен","ТРЕБУЕТСЯ ВВОД ПАРАМЕТРОВ")</f>
        <v>ТРЕБУЕТСЯ ВВОД ПАРАМЕТРОВ</v>
      </c>
    </row>
    <row r="28" spans="1:17" x14ac:dyDescent="0.2">
      <c r="A28" s="130" t="s">
        <v>330</v>
      </c>
      <c r="B28" s="130"/>
      <c r="C28" s="130"/>
      <c r="D28" s="130"/>
      <c r="E28" s="130"/>
      <c r="G28" s="130" t="s">
        <v>331</v>
      </c>
      <c r="H28" s="130"/>
      <c r="I28" s="130"/>
      <c r="J28" s="130"/>
      <c r="K28" s="130"/>
      <c r="M28" s="130" t="s">
        <v>332</v>
      </c>
      <c r="N28" s="130"/>
      <c r="O28" s="130"/>
      <c r="P28" s="130"/>
      <c r="Q28" s="130"/>
    </row>
    <row r="29" spans="1:17" ht="34" x14ac:dyDescent="0.2">
      <c r="A29" s="21" t="s">
        <v>195</v>
      </c>
      <c r="B29" s="21" t="s">
        <v>210</v>
      </c>
      <c r="C29" s="21" t="s">
        <v>218</v>
      </c>
      <c r="D29" s="21" t="s">
        <v>284</v>
      </c>
      <c r="E29" s="21" t="s">
        <v>246</v>
      </c>
      <c r="G29" s="21" t="s">
        <v>195</v>
      </c>
      <c r="H29" s="21" t="s">
        <v>210</v>
      </c>
      <c r="I29" s="21" t="s">
        <v>218</v>
      </c>
      <c r="J29" s="21" t="s">
        <v>284</v>
      </c>
      <c r="K29" s="21" t="s">
        <v>246</v>
      </c>
      <c r="M29" s="21" t="s">
        <v>195</v>
      </c>
      <c r="N29" s="21" t="s">
        <v>210</v>
      </c>
      <c r="O29" s="21" t="s">
        <v>218</v>
      </c>
      <c r="P29" s="21" t="s">
        <v>284</v>
      </c>
      <c r="Q29" s="21" t="s">
        <v>246</v>
      </c>
    </row>
    <row r="30" spans="1:17" x14ac:dyDescent="0.2">
      <c r="A30" s="50" t="str">
        <f>IF(Сценарии_расчёт!$D2=1,Сценарии_расчёт!$B2,"")</f>
        <v/>
      </c>
      <c r="B30" s="35" t="str">
        <f>IF(Сценарии_расчёт!$D2=1,Сценарии_расчёт!$K2,"")</f>
        <v/>
      </c>
      <c r="C30" s="35" t="str">
        <f>IF(Сценарии_расчёт!$D2=1,Сценарии_расчёт!$L2,"")</f>
        <v/>
      </c>
      <c r="D30" s="35" t="str">
        <f>IF(Сценарии_расчёт!$D2=1,Сценарии_расчёт!$W2,"")</f>
        <v/>
      </c>
      <c r="E30" s="35" t="str">
        <f>IF(Сценарии_расчёт!$D2=1,Сценарии_расчёт!$X2,"")</f>
        <v/>
      </c>
      <c r="G30" s="50" t="str">
        <f>IF(Сценарии_расчёт!$D2=1,Сценарии_расчёт!$B2,"")</f>
        <v/>
      </c>
      <c r="H30" s="35" t="str">
        <f>IF(Сценарии_расчёт!$D2=1,Сценарии_расчёт!$AH2,"")</f>
        <v/>
      </c>
      <c r="I30" s="35" t="str">
        <f>IF(Сценарии_расчёт!$D2=1,Сценарии_расчёт!$AI2,"")</f>
        <v/>
      </c>
      <c r="J30" s="35" t="str">
        <f>IF(Сценарии_расчёт!$D2=1,Сценарии_расчёт!$AT2,"")</f>
        <v/>
      </c>
      <c r="K30" s="35" t="str">
        <f>IF(Сценарии_расчёт!$D2=1,Сценарии_расчёт!$AU2,"")</f>
        <v/>
      </c>
      <c r="M30" s="50" t="str">
        <f>IF(Сценарии_расчёт!$D2=1,Сценарии_расчёт!$B2,"")</f>
        <v/>
      </c>
      <c r="N30" s="35" t="str">
        <f>IF(Сценарии_расчёт!$D2=1,Сценарии_расчёт!$BE2,"")</f>
        <v/>
      </c>
      <c r="O30" s="35" t="str">
        <f>IF(Сценарии_расчёт!$D2=1,Сценарии_расчёт!$BF2,"")</f>
        <v/>
      </c>
      <c r="P30" s="35" t="str">
        <f>IF(Сценарии_расчёт!$D2=1,Сценарии_расчёт!$BQ2,"")</f>
        <v/>
      </c>
      <c r="Q30" s="35" t="str">
        <f>IF(Сценарии_расчёт!$D2=1,Сценарии_расчёт!$BR2,"")</f>
        <v/>
      </c>
    </row>
    <row r="31" spans="1:17" x14ac:dyDescent="0.2">
      <c r="A31" s="50" t="str">
        <f>IF(Сценарии_расчёт!$D3=1,Сценарии_расчёт!$B3,"")</f>
        <v/>
      </c>
      <c r="B31" s="35" t="str">
        <f>IF(Сценарии_расчёт!$D3=1,Сценарии_расчёт!$K3,"")</f>
        <v/>
      </c>
      <c r="C31" s="35" t="str">
        <f>IF(Сценарии_расчёт!$D3=1,Сценарии_расчёт!$L3,"")</f>
        <v/>
      </c>
      <c r="D31" s="35" t="str">
        <f>IF(Сценарии_расчёт!$D3=1,Сценарии_расчёт!$W3,"")</f>
        <v/>
      </c>
      <c r="E31" s="35" t="str">
        <f>IF(Сценарии_расчёт!$D3=1,Сценарии_расчёт!$X3,"")</f>
        <v/>
      </c>
      <c r="G31" s="50" t="str">
        <f>IF(Сценарии_расчёт!$D3=1,Сценарии_расчёт!$B3,"")</f>
        <v/>
      </c>
      <c r="H31" s="35" t="str">
        <f>IF(Сценарии_расчёт!$D3=1,Сценарии_расчёт!$AH3,"")</f>
        <v/>
      </c>
      <c r="I31" s="35" t="str">
        <f>IF(Сценарии_расчёт!$D3=1,Сценарии_расчёт!$AI3,"")</f>
        <v/>
      </c>
      <c r="J31" s="35" t="str">
        <f>IF(Сценарии_расчёт!$D3=1,Сценарии_расчёт!$AT3,"")</f>
        <v/>
      </c>
      <c r="K31" s="35" t="str">
        <f>IF(Сценарии_расчёт!$D3=1,Сценарии_расчёт!$AU3,"")</f>
        <v/>
      </c>
      <c r="M31" s="50" t="str">
        <f>IF(Сценарии_расчёт!$D3=1,Сценарии_расчёт!$B3,"")</f>
        <v/>
      </c>
      <c r="N31" s="35" t="str">
        <f>IF(Сценарии_расчёт!$D3=1,Сценарии_расчёт!$BE3,"")</f>
        <v/>
      </c>
      <c r="O31" s="35" t="str">
        <f>IF(Сценарии_расчёт!$D3=1,Сценарии_расчёт!$BF3,"")</f>
        <v/>
      </c>
      <c r="P31" s="35" t="str">
        <f>IF(Сценарии_расчёт!$D3=1,Сценарии_расчёт!$BQ3,"")</f>
        <v/>
      </c>
      <c r="Q31" s="35" t="str">
        <f>IF(Сценарии_расчёт!$D3=1,Сценарии_расчёт!$BR3,"")</f>
        <v/>
      </c>
    </row>
    <row r="32" spans="1:17" x14ac:dyDescent="0.2">
      <c r="A32" s="50" t="str">
        <f>IF(Сценарии_расчёт!$D4=1,Сценарии_расчёт!$B4,"")</f>
        <v/>
      </c>
      <c r="B32" s="35" t="str">
        <f>IF(Сценарии_расчёт!$D4=1,Сценарии_расчёт!$K4,"")</f>
        <v/>
      </c>
      <c r="C32" s="35" t="str">
        <f>IF(Сценарии_расчёт!$D4=1,Сценарии_расчёт!$L4,"")</f>
        <v/>
      </c>
      <c r="D32" s="35" t="str">
        <f>IF(Сценарии_расчёт!$D4=1,Сценарии_расчёт!$W4,"")</f>
        <v/>
      </c>
      <c r="E32" s="35" t="str">
        <f>IF(Сценарии_расчёт!$D4=1,Сценарии_расчёт!$X4,"")</f>
        <v/>
      </c>
      <c r="G32" s="50" t="str">
        <f>IF(Сценарии_расчёт!$D4=1,Сценарии_расчёт!$B4,"")</f>
        <v/>
      </c>
      <c r="H32" s="35" t="str">
        <f>IF(Сценарии_расчёт!$D4=1,Сценарии_расчёт!$AH4,"")</f>
        <v/>
      </c>
      <c r="I32" s="35" t="str">
        <f>IF(Сценарии_расчёт!$D4=1,Сценарии_расчёт!$AI4,"")</f>
        <v/>
      </c>
      <c r="J32" s="35" t="str">
        <f>IF(Сценарии_расчёт!$D4=1,Сценарии_расчёт!$AT4,"")</f>
        <v/>
      </c>
      <c r="K32" s="35" t="str">
        <f>IF(Сценарии_расчёт!$D4=1,Сценарии_расчёт!$AU4,"")</f>
        <v/>
      </c>
      <c r="M32" s="50" t="str">
        <f>IF(Сценарии_расчёт!$D4=1,Сценарии_расчёт!$B4,"")</f>
        <v/>
      </c>
      <c r="N32" s="35" t="str">
        <f>IF(Сценарии_расчёт!$D4=1,Сценарии_расчёт!$BE4,"")</f>
        <v/>
      </c>
      <c r="O32" s="35" t="str">
        <f>IF(Сценарии_расчёт!$D4=1,Сценарии_расчёт!$BF4,"")</f>
        <v/>
      </c>
      <c r="P32" s="35" t="str">
        <f>IF(Сценарии_расчёт!$D4=1,Сценарии_расчёт!$BQ4,"")</f>
        <v/>
      </c>
      <c r="Q32" s="35" t="str">
        <f>IF(Сценарии_расчёт!$D4=1,Сценарии_расчёт!$BR4,"")</f>
        <v/>
      </c>
    </row>
    <row r="33" spans="1:17" x14ac:dyDescent="0.2">
      <c r="A33" s="50" t="str">
        <f>IF(Сценарии_расчёт!$D5=1,Сценарии_расчёт!$B5,"")</f>
        <v/>
      </c>
      <c r="B33" s="35" t="str">
        <f>IF(Сценарии_расчёт!$D5=1,Сценарии_расчёт!$K5,"")</f>
        <v/>
      </c>
      <c r="C33" s="35" t="str">
        <f>IF(Сценарии_расчёт!$D5=1,Сценарии_расчёт!$L5,"")</f>
        <v/>
      </c>
      <c r="D33" s="35" t="str">
        <f>IF(Сценарии_расчёт!$D5=1,Сценарии_расчёт!$W5,"")</f>
        <v/>
      </c>
      <c r="E33" s="35" t="str">
        <f>IF(Сценарии_расчёт!$D5=1,Сценарии_расчёт!$X5,"")</f>
        <v/>
      </c>
      <c r="G33" s="50" t="str">
        <f>IF(Сценарии_расчёт!$D5=1,Сценарии_расчёт!$B5,"")</f>
        <v/>
      </c>
      <c r="H33" s="35" t="str">
        <f>IF(Сценарии_расчёт!$D5=1,Сценарии_расчёт!$AH5,"")</f>
        <v/>
      </c>
      <c r="I33" s="35" t="str">
        <f>IF(Сценарии_расчёт!$D5=1,Сценарии_расчёт!$AI5,"")</f>
        <v/>
      </c>
      <c r="J33" s="35" t="str">
        <f>IF(Сценарии_расчёт!$D5=1,Сценарии_расчёт!$AT5,"")</f>
        <v/>
      </c>
      <c r="K33" s="35" t="str">
        <f>IF(Сценарии_расчёт!$D5=1,Сценарии_расчёт!$AU5,"")</f>
        <v/>
      </c>
      <c r="M33" s="50" t="str">
        <f>IF(Сценарии_расчёт!$D5=1,Сценарии_расчёт!$B5,"")</f>
        <v/>
      </c>
      <c r="N33" s="35" t="str">
        <f>IF(Сценарии_расчёт!$D5=1,Сценарии_расчёт!$BE5,"")</f>
        <v/>
      </c>
      <c r="O33" s="35" t="str">
        <f>IF(Сценарии_расчёт!$D5=1,Сценарии_расчёт!$BF5,"")</f>
        <v/>
      </c>
      <c r="P33" s="35" t="str">
        <f>IF(Сценарии_расчёт!$D5=1,Сценарии_расчёт!$BQ5,"")</f>
        <v/>
      </c>
      <c r="Q33" s="35" t="str">
        <f>IF(Сценарии_расчёт!$D5=1,Сценарии_расчёт!$BR5,"")</f>
        <v/>
      </c>
    </row>
    <row r="34" spans="1:17" x14ac:dyDescent="0.2">
      <c r="A34" s="50" t="str">
        <f>IF(Сценарии_расчёт!$D6=1,Сценарии_расчёт!$B6,"")</f>
        <v/>
      </c>
      <c r="B34" s="35" t="str">
        <f>IF(Сценарии_расчёт!$D6=1,Сценарии_расчёт!$K6,"")</f>
        <v/>
      </c>
      <c r="C34" s="35" t="str">
        <f>IF(Сценарии_расчёт!$D6=1,Сценарии_расчёт!$L6,"")</f>
        <v/>
      </c>
      <c r="D34" s="35" t="str">
        <f>IF(Сценарии_расчёт!$D6=1,Сценарии_расчёт!$W6,"")</f>
        <v/>
      </c>
      <c r="E34" s="35" t="str">
        <f>IF(Сценарии_расчёт!$D6=1,Сценарии_расчёт!$X6,"")</f>
        <v/>
      </c>
      <c r="G34" s="50" t="str">
        <f>IF(Сценарии_расчёт!$D6=1,Сценарии_расчёт!$B6,"")</f>
        <v/>
      </c>
      <c r="H34" s="35" t="str">
        <f>IF(Сценарии_расчёт!$D6=1,Сценарии_расчёт!$AH6,"")</f>
        <v/>
      </c>
      <c r="I34" s="35" t="str">
        <f>IF(Сценарии_расчёт!$D6=1,Сценарии_расчёт!$AI6,"")</f>
        <v/>
      </c>
      <c r="J34" s="35" t="str">
        <f>IF(Сценарии_расчёт!$D6=1,Сценарии_расчёт!$AT6,"")</f>
        <v/>
      </c>
      <c r="K34" s="35" t="str">
        <f>IF(Сценарии_расчёт!$D6=1,Сценарии_расчёт!$AU6,"")</f>
        <v/>
      </c>
      <c r="M34" s="50" t="str">
        <f>IF(Сценарии_расчёт!$D6=1,Сценарии_расчёт!$B6,"")</f>
        <v/>
      </c>
      <c r="N34" s="35" t="str">
        <f>IF(Сценарии_расчёт!$D6=1,Сценарии_расчёт!$BE6,"")</f>
        <v/>
      </c>
      <c r="O34" s="35" t="str">
        <f>IF(Сценарии_расчёт!$D6=1,Сценарии_расчёт!$BF6,"")</f>
        <v/>
      </c>
      <c r="P34" s="35" t="str">
        <f>IF(Сценарии_расчёт!$D6=1,Сценарии_расчёт!$BQ6,"")</f>
        <v/>
      </c>
      <c r="Q34" s="35" t="str">
        <f>IF(Сценарии_расчёт!$D6=1,Сценарии_расчёт!$BR6,"")</f>
        <v/>
      </c>
    </row>
    <row r="35" spans="1:17" x14ac:dyDescent="0.2">
      <c r="A35" s="50" t="str">
        <f>IF(Сценарии_расчёт!$D7=1,Сценарии_расчёт!$B7,"")</f>
        <v/>
      </c>
      <c r="B35" s="35" t="str">
        <f>IF(Сценарии_расчёт!$D7=1,Сценарии_расчёт!$K7,"")</f>
        <v/>
      </c>
      <c r="C35" s="35" t="str">
        <f>IF(Сценарии_расчёт!$D7=1,Сценарии_расчёт!$L7,"")</f>
        <v/>
      </c>
      <c r="D35" s="35" t="str">
        <f>IF(Сценарии_расчёт!$D7=1,Сценарии_расчёт!$W7,"")</f>
        <v/>
      </c>
      <c r="E35" s="35" t="str">
        <f>IF(Сценарии_расчёт!$D7=1,Сценарии_расчёт!$X7,"")</f>
        <v/>
      </c>
      <c r="G35" s="50" t="str">
        <f>IF(Сценарии_расчёт!$D7=1,Сценарии_расчёт!$B7,"")</f>
        <v/>
      </c>
      <c r="H35" s="35" t="str">
        <f>IF(Сценарии_расчёт!$D7=1,Сценарии_расчёт!$AH7,"")</f>
        <v/>
      </c>
      <c r="I35" s="35" t="str">
        <f>IF(Сценарии_расчёт!$D7=1,Сценарии_расчёт!$AI7,"")</f>
        <v/>
      </c>
      <c r="J35" s="35" t="str">
        <f>IF(Сценарии_расчёт!$D7=1,Сценарии_расчёт!$AT7,"")</f>
        <v/>
      </c>
      <c r="K35" s="35" t="str">
        <f>IF(Сценарии_расчёт!$D7=1,Сценарии_расчёт!$AU7,"")</f>
        <v/>
      </c>
      <c r="M35" s="50" t="str">
        <f>IF(Сценарии_расчёт!$D7=1,Сценарии_расчёт!$B7,"")</f>
        <v/>
      </c>
      <c r="N35" s="35" t="str">
        <f>IF(Сценарии_расчёт!$D7=1,Сценарии_расчёт!$BE7,"")</f>
        <v/>
      </c>
      <c r="O35" s="35" t="str">
        <f>IF(Сценарии_расчёт!$D7=1,Сценарии_расчёт!$BF7,"")</f>
        <v/>
      </c>
      <c r="P35" s="35" t="str">
        <f>IF(Сценарии_расчёт!$D7=1,Сценарии_расчёт!$BQ7,"")</f>
        <v/>
      </c>
      <c r="Q35" s="35" t="str">
        <f>IF(Сценарии_расчёт!$D7=1,Сценарии_расчёт!$BR7,"")</f>
        <v/>
      </c>
    </row>
    <row r="36" spans="1:17" x14ac:dyDescent="0.2">
      <c r="A36" s="50" t="str">
        <f>IF(Сценарии_расчёт!$D8=1,Сценарии_расчёт!$B8,"")</f>
        <v/>
      </c>
      <c r="B36" s="35" t="str">
        <f>IF(Сценарии_расчёт!$D8=1,Сценарии_расчёт!$K8,"")</f>
        <v/>
      </c>
      <c r="C36" s="35" t="str">
        <f>IF(Сценарии_расчёт!$D8=1,Сценарии_расчёт!$L8,"")</f>
        <v/>
      </c>
      <c r="D36" s="35" t="str">
        <f>IF(Сценарии_расчёт!$D8=1,Сценарии_расчёт!$W8,"")</f>
        <v/>
      </c>
      <c r="E36" s="35" t="str">
        <f>IF(Сценарии_расчёт!$D8=1,Сценарии_расчёт!$X8,"")</f>
        <v/>
      </c>
      <c r="G36" s="50" t="str">
        <f>IF(Сценарии_расчёт!$D8=1,Сценарии_расчёт!$B8,"")</f>
        <v/>
      </c>
      <c r="H36" s="35" t="str">
        <f>IF(Сценарии_расчёт!$D8=1,Сценарии_расчёт!$AH8,"")</f>
        <v/>
      </c>
      <c r="I36" s="35" t="str">
        <f>IF(Сценарии_расчёт!$D8=1,Сценарии_расчёт!$AI8,"")</f>
        <v/>
      </c>
      <c r="J36" s="35" t="str">
        <f>IF(Сценарии_расчёт!$D8=1,Сценарии_расчёт!$AT8,"")</f>
        <v/>
      </c>
      <c r="K36" s="35" t="str">
        <f>IF(Сценарии_расчёт!$D8=1,Сценарии_расчёт!$AU8,"")</f>
        <v/>
      </c>
      <c r="M36" s="50" t="str">
        <f>IF(Сценарии_расчёт!$D8=1,Сценарии_расчёт!$B8,"")</f>
        <v/>
      </c>
      <c r="N36" s="35" t="str">
        <f>IF(Сценарии_расчёт!$D8=1,Сценарии_расчёт!$BE8,"")</f>
        <v/>
      </c>
      <c r="O36" s="35" t="str">
        <f>IF(Сценарии_расчёт!$D8=1,Сценарии_расчёт!$BF8,"")</f>
        <v/>
      </c>
      <c r="P36" s="35" t="str">
        <f>IF(Сценарии_расчёт!$D8=1,Сценарии_расчёт!$BQ8,"")</f>
        <v/>
      </c>
      <c r="Q36" s="35" t="str">
        <f>IF(Сценарии_расчёт!$D8=1,Сценарии_расчёт!$BR8,"")</f>
        <v/>
      </c>
    </row>
    <row r="37" spans="1:17" x14ac:dyDescent="0.2">
      <c r="A37" s="50" t="str">
        <f>IF(Сценарии_расчёт!$D9=1,Сценарии_расчёт!$B9,"")</f>
        <v/>
      </c>
      <c r="B37" s="35" t="str">
        <f>IF(Сценарии_расчёт!$D9=1,Сценарии_расчёт!$K9,"")</f>
        <v/>
      </c>
      <c r="C37" s="35" t="str">
        <f>IF(Сценарии_расчёт!$D9=1,Сценарии_расчёт!$L9,"")</f>
        <v/>
      </c>
      <c r="D37" s="35" t="str">
        <f>IF(Сценарии_расчёт!$D9=1,Сценарии_расчёт!$W9,"")</f>
        <v/>
      </c>
      <c r="E37" s="35" t="str">
        <f>IF(Сценарии_расчёт!$D9=1,Сценарии_расчёт!$X9,"")</f>
        <v/>
      </c>
      <c r="G37" s="50" t="str">
        <f>IF(Сценарии_расчёт!$D9=1,Сценарии_расчёт!$B9,"")</f>
        <v/>
      </c>
      <c r="H37" s="35" t="str">
        <f>IF(Сценарии_расчёт!$D9=1,Сценарии_расчёт!$AH9,"")</f>
        <v/>
      </c>
      <c r="I37" s="35" t="str">
        <f>IF(Сценарии_расчёт!$D9=1,Сценарии_расчёт!$AI9,"")</f>
        <v/>
      </c>
      <c r="J37" s="35" t="str">
        <f>IF(Сценарии_расчёт!$D9=1,Сценарии_расчёт!$AT9,"")</f>
        <v/>
      </c>
      <c r="K37" s="35" t="str">
        <f>IF(Сценарии_расчёт!$D9=1,Сценарии_расчёт!$AU9,"")</f>
        <v/>
      </c>
      <c r="M37" s="50" t="str">
        <f>IF(Сценарии_расчёт!$D9=1,Сценарии_расчёт!$B9,"")</f>
        <v/>
      </c>
      <c r="N37" s="35" t="str">
        <f>IF(Сценарии_расчёт!$D9=1,Сценарии_расчёт!$BE9,"")</f>
        <v/>
      </c>
      <c r="O37" s="35" t="str">
        <f>IF(Сценарии_расчёт!$D9=1,Сценарии_расчёт!$BF9,"")</f>
        <v/>
      </c>
      <c r="P37" s="35" t="str">
        <f>IF(Сценарии_расчёт!$D9=1,Сценарии_расчёт!$BQ9,"")</f>
        <v/>
      </c>
      <c r="Q37" s="35" t="str">
        <f>IF(Сценарии_расчёт!$D9=1,Сценарии_расчёт!$BR9,"")</f>
        <v/>
      </c>
    </row>
    <row r="38" spans="1:17" x14ac:dyDescent="0.2">
      <c r="A38" s="50" t="str">
        <f>IF(Сценарии_расчёт!$D10=1,Сценарии_расчёт!$B10,"")</f>
        <v/>
      </c>
      <c r="B38" s="35" t="str">
        <f>IF(Сценарии_расчёт!$D10=1,Сценарии_расчёт!$K10,"")</f>
        <v/>
      </c>
      <c r="C38" s="35" t="str">
        <f>IF(Сценарии_расчёт!$D10=1,Сценарии_расчёт!$L10,"")</f>
        <v/>
      </c>
      <c r="D38" s="35" t="str">
        <f>IF(Сценарии_расчёт!$D10=1,Сценарии_расчёт!$W10,"")</f>
        <v/>
      </c>
      <c r="E38" s="35" t="str">
        <f>IF(Сценарии_расчёт!$D10=1,Сценарии_расчёт!$X10,"")</f>
        <v/>
      </c>
      <c r="G38" s="50" t="str">
        <f>IF(Сценарии_расчёт!$D10=1,Сценарии_расчёт!$B10,"")</f>
        <v/>
      </c>
      <c r="H38" s="35" t="str">
        <f>IF(Сценарии_расчёт!$D10=1,Сценарии_расчёт!$AH10,"")</f>
        <v/>
      </c>
      <c r="I38" s="35" t="str">
        <f>IF(Сценарии_расчёт!$D10=1,Сценарии_расчёт!$AI10,"")</f>
        <v/>
      </c>
      <c r="J38" s="35" t="str">
        <f>IF(Сценарии_расчёт!$D10=1,Сценарии_расчёт!$AT10,"")</f>
        <v/>
      </c>
      <c r="K38" s="35" t="str">
        <f>IF(Сценарии_расчёт!$D10=1,Сценарии_расчёт!$AU10,"")</f>
        <v/>
      </c>
      <c r="M38" s="50" t="str">
        <f>IF(Сценарии_расчёт!$D10=1,Сценарии_расчёт!$B10,"")</f>
        <v/>
      </c>
      <c r="N38" s="35" t="str">
        <f>IF(Сценарии_расчёт!$D10=1,Сценарии_расчёт!$BE10,"")</f>
        <v/>
      </c>
      <c r="O38" s="35" t="str">
        <f>IF(Сценарии_расчёт!$D10=1,Сценарии_расчёт!$BF10,"")</f>
        <v/>
      </c>
      <c r="P38" s="35" t="str">
        <f>IF(Сценарии_расчёт!$D10=1,Сценарии_расчёт!$BQ10,"")</f>
        <v/>
      </c>
      <c r="Q38" s="35" t="str">
        <f>IF(Сценарии_расчёт!$D10=1,Сценарии_расчёт!$BR10,"")</f>
        <v/>
      </c>
    </row>
    <row r="39" spans="1:17" x14ac:dyDescent="0.2">
      <c r="A39" s="50" t="str">
        <f>IF(Сценарии_расчёт!$D11=1,Сценарии_расчёт!$B11,"")</f>
        <v/>
      </c>
      <c r="B39" s="35" t="str">
        <f>IF(Сценарии_расчёт!$D11=1,Сценарии_расчёт!$K11,"")</f>
        <v/>
      </c>
      <c r="C39" s="35" t="str">
        <f>IF(Сценарии_расчёт!$D11=1,Сценарии_расчёт!$L11,"")</f>
        <v/>
      </c>
      <c r="D39" s="35" t="str">
        <f>IF(Сценарии_расчёт!$D11=1,Сценарии_расчёт!$W11,"")</f>
        <v/>
      </c>
      <c r="E39" s="35" t="str">
        <f>IF(Сценарии_расчёт!$D11=1,Сценарии_расчёт!$X11,"")</f>
        <v/>
      </c>
      <c r="G39" s="50" t="str">
        <f>IF(Сценарии_расчёт!$D11=1,Сценарии_расчёт!$B11,"")</f>
        <v/>
      </c>
      <c r="H39" s="35" t="str">
        <f>IF(Сценарии_расчёт!$D11=1,Сценарии_расчёт!$AH11,"")</f>
        <v/>
      </c>
      <c r="I39" s="35" t="str">
        <f>IF(Сценарии_расчёт!$D11=1,Сценарии_расчёт!$AI11,"")</f>
        <v/>
      </c>
      <c r="J39" s="35" t="str">
        <f>IF(Сценарии_расчёт!$D11=1,Сценарии_расчёт!$AT11,"")</f>
        <v/>
      </c>
      <c r="K39" s="35" t="str">
        <f>IF(Сценарии_расчёт!$D11=1,Сценарии_расчёт!$AU11,"")</f>
        <v/>
      </c>
      <c r="M39" s="50" t="str">
        <f>IF(Сценарии_расчёт!$D11=1,Сценарии_расчёт!$B11,"")</f>
        <v/>
      </c>
      <c r="N39" s="35" t="str">
        <f>IF(Сценарии_расчёт!$D11=1,Сценарии_расчёт!$BE11,"")</f>
        <v/>
      </c>
      <c r="O39" s="35" t="str">
        <f>IF(Сценарии_расчёт!$D11=1,Сценарии_расчёт!$BF11,"")</f>
        <v/>
      </c>
      <c r="P39" s="35" t="str">
        <f>IF(Сценарии_расчёт!$D11=1,Сценарии_расчёт!$BQ11,"")</f>
        <v/>
      </c>
      <c r="Q39" s="35" t="str">
        <f>IF(Сценарии_расчёт!$D11=1,Сценарии_расчёт!$BR11,"")</f>
        <v/>
      </c>
    </row>
    <row r="40" spans="1:17" x14ac:dyDescent="0.2">
      <c r="A40" s="50" t="str">
        <f>IF(Сценарии_расчёт!$D12=1,Сценарии_расчёт!$B12,"")</f>
        <v/>
      </c>
      <c r="B40" s="35" t="str">
        <f>IF(Сценарии_расчёт!$D12=1,Сценарии_расчёт!$K12,"")</f>
        <v/>
      </c>
      <c r="C40" s="35" t="str">
        <f>IF(Сценарии_расчёт!$D12=1,Сценарии_расчёт!$L12,"")</f>
        <v/>
      </c>
      <c r="D40" s="35" t="str">
        <f>IF(Сценарии_расчёт!$D12=1,Сценарии_расчёт!$W12,"")</f>
        <v/>
      </c>
      <c r="E40" s="35" t="str">
        <f>IF(Сценарии_расчёт!$D12=1,Сценарии_расчёт!$X12,"")</f>
        <v/>
      </c>
      <c r="G40" s="50" t="str">
        <f>IF(Сценарии_расчёт!$D12=1,Сценарии_расчёт!$B12,"")</f>
        <v/>
      </c>
      <c r="H40" s="35" t="str">
        <f>IF(Сценарии_расчёт!$D12=1,Сценарии_расчёт!$AH12,"")</f>
        <v/>
      </c>
      <c r="I40" s="35" t="str">
        <f>IF(Сценарии_расчёт!$D12=1,Сценарии_расчёт!$AI12,"")</f>
        <v/>
      </c>
      <c r="J40" s="35" t="str">
        <f>IF(Сценарии_расчёт!$D12=1,Сценарии_расчёт!$AT12,"")</f>
        <v/>
      </c>
      <c r="K40" s="35" t="str">
        <f>IF(Сценарии_расчёт!$D12=1,Сценарии_расчёт!$AU12,"")</f>
        <v/>
      </c>
      <c r="M40" s="50" t="str">
        <f>IF(Сценарии_расчёт!$D12=1,Сценарии_расчёт!$B12,"")</f>
        <v/>
      </c>
      <c r="N40" s="35" t="str">
        <f>IF(Сценарии_расчёт!$D12=1,Сценарии_расчёт!$BE12,"")</f>
        <v/>
      </c>
      <c r="O40" s="35" t="str">
        <f>IF(Сценарии_расчёт!$D12=1,Сценарии_расчёт!$BF12,"")</f>
        <v/>
      </c>
      <c r="P40" s="35" t="str">
        <f>IF(Сценарии_расчёт!$D12=1,Сценарии_расчёт!$BQ12,"")</f>
        <v/>
      </c>
      <c r="Q40" s="35" t="str">
        <f>IF(Сценарии_расчёт!$D12=1,Сценарии_расчёт!$BR12,"")</f>
        <v/>
      </c>
    </row>
    <row r="41" spans="1:17" x14ac:dyDescent="0.2">
      <c r="A41" s="50" t="str">
        <f>IF(Сценарии_расчёт!$D13=1,Сценарии_расчёт!$B13,"")</f>
        <v/>
      </c>
      <c r="B41" s="35" t="str">
        <f>IF(Сценарии_расчёт!$D13=1,Сценарии_расчёт!$K13,"")</f>
        <v/>
      </c>
      <c r="C41" s="35" t="str">
        <f>IF(Сценарии_расчёт!$D13=1,Сценарии_расчёт!$L13,"")</f>
        <v/>
      </c>
      <c r="D41" s="35" t="str">
        <f>IF(Сценарии_расчёт!$D13=1,Сценарии_расчёт!$W13,"")</f>
        <v/>
      </c>
      <c r="E41" s="35" t="str">
        <f>IF(Сценарии_расчёт!$D13=1,Сценарии_расчёт!$X13,"")</f>
        <v/>
      </c>
      <c r="G41" s="50" t="str">
        <f>IF(Сценарии_расчёт!$D13=1,Сценарии_расчёт!$B13,"")</f>
        <v/>
      </c>
      <c r="H41" s="35" t="str">
        <f>IF(Сценарии_расчёт!$D13=1,Сценарии_расчёт!$AH13,"")</f>
        <v/>
      </c>
      <c r="I41" s="35" t="str">
        <f>IF(Сценарии_расчёт!$D13=1,Сценарии_расчёт!$AI13,"")</f>
        <v/>
      </c>
      <c r="J41" s="35" t="str">
        <f>IF(Сценарии_расчёт!$D13=1,Сценарии_расчёт!$AT13,"")</f>
        <v/>
      </c>
      <c r="K41" s="35" t="str">
        <f>IF(Сценарии_расчёт!$D13=1,Сценарии_расчёт!$AU13,"")</f>
        <v/>
      </c>
      <c r="M41" s="50" t="str">
        <f>IF(Сценарии_расчёт!$D13=1,Сценарии_расчёт!$B13,"")</f>
        <v/>
      </c>
      <c r="N41" s="35" t="str">
        <f>IF(Сценарии_расчёт!$D13=1,Сценарии_расчёт!$BE13,"")</f>
        <v/>
      </c>
      <c r="O41" s="35" t="str">
        <f>IF(Сценарии_расчёт!$D13=1,Сценарии_расчёт!$BF13,"")</f>
        <v/>
      </c>
      <c r="P41" s="35" t="str">
        <f>IF(Сценарии_расчёт!$D13=1,Сценарии_расчёт!$BQ13,"")</f>
        <v/>
      </c>
      <c r="Q41" s="35" t="str">
        <f>IF(Сценарии_расчёт!$D13=1,Сценарии_расчёт!$BR13,"")</f>
        <v/>
      </c>
    </row>
    <row r="42" spans="1:17" x14ac:dyDescent="0.2">
      <c r="A42" s="50" t="str">
        <f>IF(Сценарии_расчёт!$D14=1,Сценарии_расчёт!$B14,"")</f>
        <v/>
      </c>
      <c r="B42" s="35" t="str">
        <f>IF(Сценарии_расчёт!$D14=1,Сценарии_расчёт!$K14,"")</f>
        <v/>
      </c>
      <c r="C42" s="35" t="str">
        <f>IF(Сценарии_расчёт!$D14=1,Сценарии_расчёт!$L14,"")</f>
        <v/>
      </c>
      <c r="D42" s="35" t="str">
        <f>IF(Сценарии_расчёт!$D14=1,Сценарии_расчёт!$W14,"")</f>
        <v/>
      </c>
      <c r="E42" s="35" t="str">
        <f>IF(Сценарии_расчёт!$D14=1,Сценарии_расчёт!$X14,"")</f>
        <v/>
      </c>
      <c r="G42" s="50" t="str">
        <f>IF(Сценарии_расчёт!$D14=1,Сценарии_расчёт!$B14,"")</f>
        <v/>
      </c>
      <c r="H42" s="35" t="str">
        <f>IF(Сценарии_расчёт!$D14=1,Сценарии_расчёт!$AH14,"")</f>
        <v/>
      </c>
      <c r="I42" s="35" t="str">
        <f>IF(Сценарии_расчёт!$D14=1,Сценарии_расчёт!$AI14,"")</f>
        <v/>
      </c>
      <c r="J42" s="35" t="str">
        <f>IF(Сценарии_расчёт!$D14=1,Сценарии_расчёт!$AT14,"")</f>
        <v/>
      </c>
      <c r="K42" s="35" t="str">
        <f>IF(Сценарии_расчёт!$D14=1,Сценарии_расчёт!$AU14,"")</f>
        <v/>
      </c>
      <c r="M42" s="50" t="str">
        <f>IF(Сценарии_расчёт!$D14=1,Сценарии_расчёт!$B14,"")</f>
        <v/>
      </c>
      <c r="N42" s="35" t="str">
        <f>IF(Сценарии_расчёт!$D14=1,Сценарии_расчёт!$BE14,"")</f>
        <v/>
      </c>
      <c r="O42" s="35" t="str">
        <f>IF(Сценарии_расчёт!$D14=1,Сценарии_расчёт!$BF14,"")</f>
        <v/>
      </c>
      <c r="P42" s="35" t="str">
        <f>IF(Сценарии_расчёт!$D14=1,Сценарии_расчёт!$BQ14,"")</f>
        <v/>
      </c>
      <c r="Q42" s="35" t="str">
        <f>IF(Сценарии_расчёт!$D14=1,Сценарии_расчёт!$BR14,"")</f>
        <v/>
      </c>
    </row>
    <row r="43" spans="1:17" x14ac:dyDescent="0.2">
      <c r="A43" s="50" t="str">
        <f>IF(Сценарии_расчёт!$D15=1,Сценарии_расчёт!$B15,"")</f>
        <v/>
      </c>
      <c r="B43" s="35" t="str">
        <f>IF(Сценарии_расчёт!$D15=1,Сценарии_расчёт!$K15,"")</f>
        <v/>
      </c>
      <c r="C43" s="35" t="str">
        <f>IF(Сценарии_расчёт!$D15=1,Сценарии_расчёт!$L15,"")</f>
        <v/>
      </c>
      <c r="D43" s="35" t="str">
        <f>IF(Сценарии_расчёт!$D15=1,Сценарии_расчёт!$W15,"")</f>
        <v/>
      </c>
      <c r="E43" s="35" t="str">
        <f>IF(Сценарии_расчёт!$D15=1,Сценарии_расчёт!$X15,"")</f>
        <v/>
      </c>
      <c r="G43" s="50" t="str">
        <f>IF(Сценарии_расчёт!$D15=1,Сценарии_расчёт!$B15,"")</f>
        <v/>
      </c>
      <c r="H43" s="35" t="str">
        <f>IF(Сценарии_расчёт!$D15=1,Сценарии_расчёт!$AH15,"")</f>
        <v/>
      </c>
      <c r="I43" s="35" t="str">
        <f>IF(Сценарии_расчёт!$D15=1,Сценарии_расчёт!$AI15,"")</f>
        <v/>
      </c>
      <c r="J43" s="35" t="str">
        <f>IF(Сценарии_расчёт!$D15=1,Сценарии_расчёт!$AT15,"")</f>
        <v/>
      </c>
      <c r="K43" s="35" t="str">
        <f>IF(Сценарии_расчёт!$D15=1,Сценарии_расчёт!$AU15,"")</f>
        <v/>
      </c>
      <c r="M43" s="50" t="str">
        <f>IF(Сценарии_расчёт!$D15=1,Сценарии_расчёт!$B15,"")</f>
        <v/>
      </c>
      <c r="N43" s="35" t="str">
        <f>IF(Сценарии_расчёт!$D15=1,Сценарии_расчёт!$BE15,"")</f>
        <v/>
      </c>
      <c r="O43" s="35" t="str">
        <f>IF(Сценарии_расчёт!$D15=1,Сценарии_расчёт!$BF15,"")</f>
        <v/>
      </c>
      <c r="P43" s="35" t="str">
        <f>IF(Сценарии_расчёт!$D15=1,Сценарии_расчёт!$BQ15,"")</f>
        <v/>
      </c>
      <c r="Q43" s="35" t="str">
        <f>IF(Сценарии_расчёт!$D15=1,Сценарии_расчёт!$BR15,"")</f>
        <v/>
      </c>
    </row>
    <row r="44" spans="1:17" x14ac:dyDescent="0.2">
      <c r="A44" s="50" t="str">
        <f>IF(Сценарии_расчёт!$D16=1,Сценарии_расчёт!$B16,"")</f>
        <v/>
      </c>
      <c r="B44" s="35" t="str">
        <f>IF(Сценарии_расчёт!$D16=1,Сценарии_расчёт!$K16,"")</f>
        <v/>
      </c>
      <c r="C44" s="35" t="str">
        <f>IF(Сценарии_расчёт!$D16=1,Сценарии_расчёт!$L16,"")</f>
        <v/>
      </c>
      <c r="D44" s="35" t="str">
        <f>IF(Сценарии_расчёт!$D16=1,Сценарии_расчёт!$W16,"")</f>
        <v/>
      </c>
      <c r="E44" s="35" t="str">
        <f>IF(Сценарии_расчёт!$D16=1,Сценарии_расчёт!$X16,"")</f>
        <v/>
      </c>
      <c r="G44" s="50" t="str">
        <f>IF(Сценарии_расчёт!$D16=1,Сценарии_расчёт!$B16,"")</f>
        <v/>
      </c>
      <c r="H44" s="35" t="str">
        <f>IF(Сценарии_расчёт!$D16=1,Сценарии_расчёт!$AH16,"")</f>
        <v/>
      </c>
      <c r="I44" s="35" t="str">
        <f>IF(Сценарии_расчёт!$D16=1,Сценарии_расчёт!$AI16,"")</f>
        <v/>
      </c>
      <c r="J44" s="35" t="str">
        <f>IF(Сценарии_расчёт!$D16=1,Сценарии_расчёт!$AT16,"")</f>
        <v/>
      </c>
      <c r="K44" s="35" t="str">
        <f>IF(Сценарии_расчёт!$D16=1,Сценарии_расчёт!$AU16,"")</f>
        <v/>
      </c>
      <c r="M44" s="50" t="str">
        <f>IF(Сценарии_расчёт!$D16=1,Сценарии_расчёт!$B16,"")</f>
        <v/>
      </c>
      <c r="N44" s="35" t="str">
        <f>IF(Сценарии_расчёт!$D16=1,Сценарии_расчёт!$BE16,"")</f>
        <v/>
      </c>
      <c r="O44" s="35" t="str">
        <f>IF(Сценарии_расчёт!$D16=1,Сценарии_расчёт!$BF16,"")</f>
        <v/>
      </c>
      <c r="P44" s="35" t="str">
        <f>IF(Сценарии_расчёт!$D16=1,Сценарии_расчёт!$BQ16,"")</f>
        <v/>
      </c>
      <c r="Q44" s="35" t="str">
        <f>IF(Сценарии_расчёт!$D16=1,Сценарии_расчёт!$BR16,"")</f>
        <v/>
      </c>
    </row>
    <row r="45" spans="1:17" x14ac:dyDescent="0.2">
      <c r="A45" s="50" t="str">
        <f>IF(Сценарии_расчёт!$D17=1,Сценарии_расчёт!$B17,"")</f>
        <v/>
      </c>
      <c r="B45" s="35" t="str">
        <f>IF(Сценарии_расчёт!$D17=1,Сценарии_расчёт!$K17,"")</f>
        <v/>
      </c>
      <c r="C45" s="35" t="str">
        <f>IF(Сценарии_расчёт!$D17=1,Сценарии_расчёт!$L17,"")</f>
        <v/>
      </c>
      <c r="D45" s="35" t="str">
        <f>IF(Сценарии_расчёт!$D17=1,Сценарии_расчёт!$W17,"")</f>
        <v/>
      </c>
      <c r="E45" s="35" t="str">
        <f>IF(Сценарии_расчёт!$D17=1,Сценарии_расчёт!$X17,"")</f>
        <v/>
      </c>
      <c r="G45" s="50" t="str">
        <f>IF(Сценарии_расчёт!$D17=1,Сценарии_расчёт!$B17,"")</f>
        <v/>
      </c>
      <c r="H45" s="35" t="str">
        <f>IF(Сценарии_расчёт!$D17=1,Сценарии_расчёт!$AH17,"")</f>
        <v/>
      </c>
      <c r="I45" s="35" t="str">
        <f>IF(Сценарии_расчёт!$D17=1,Сценарии_расчёт!$AI17,"")</f>
        <v/>
      </c>
      <c r="J45" s="35" t="str">
        <f>IF(Сценарии_расчёт!$D17=1,Сценарии_расчёт!$AT17,"")</f>
        <v/>
      </c>
      <c r="K45" s="35" t="str">
        <f>IF(Сценарии_расчёт!$D17=1,Сценарии_расчёт!$AU17,"")</f>
        <v/>
      </c>
      <c r="M45" s="50" t="str">
        <f>IF(Сценарии_расчёт!$D17=1,Сценарии_расчёт!$B17,"")</f>
        <v/>
      </c>
      <c r="N45" s="35" t="str">
        <f>IF(Сценарии_расчёт!$D17=1,Сценарии_расчёт!$BE17,"")</f>
        <v/>
      </c>
      <c r="O45" s="35" t="str">
        <f>IF(Сценарии_расчёт!$D17=1,Сценарии_расчёт!$BF17,"")</f>
        <v/>
      </c>
      <c r="P45" s="35" t="str">
        <f>IF(Сценарии_расчёт!$D17=1,Сценарии_расчёт!$BQ17,"")</f>
        <v/>
      </c>
      <c r="Q45" s="35" t="str">
        <f>IF(Сценарии_расчёт!$D17=1,Сценарии_расчёт!$BR17,"")</f>
        <v/>
      </c>
    </row>
    <row r="46" spans="1:17" x14ac:dyDescent="0.2">
      <c r="A46" s="50" t="str">
        <f>IF(Сценарии_расчёт!$D18=1,Сценарии_расчёт!$B18,"")</f>
        <v/>
      </c>
      <c r="B46" s="35" t="str">
        <f>IF(Сценарии_расчёт!$D18=1,Сценарии_расчёт!$K18,"")</f>
        <v/>
      </c>
      <c r="C46" s="35" t="str">
        <f>IF(Сценарии_расчёт!$D18=1,Сценарии_расчёт!$L18,"")</f>
        <v/>
      </c>
      <c r="D46" s="35" t="str">
        <f>IF(Сценарии_расчёт!$D18=1,Сценарии_расчёт!$W18,"")</f>
        <v/>
      </c>
      <c r="E46" s="35" t="str">
        <f>IF(Сценарии_расчёт!$D18=1,Сценарии_расчёт!$X18,"")</f>
        <v/>
      </c>
      <c r="G46" s="50" t="str">
        <f>IF(Сценарии_расчёт!$D18=1,Сценарии_расчёт!$B18,"")</f>
        <v/>
      </c>
      <c r="H46" s="35" t="str">
        <f>IF(Сценарии_расчёт!$D18=1,Сценарии_расчёт!$AH18,"")</f>
        <v/>
      </c>
      <c r="I46" s="35" t="str">
        <f>IF(Сценарии_расчёт!$D18=1,Сценарии_расчёт!$AI18,"")</f>
        <v/>
      </c>
      <c r="J46" s="35" t="str">
        <f>IF(Сценарии_расчёт!$D18=1,Сценарии_расчёт!$AT18,"")</f>
        <v/>
      </c>
      <c r="K46" s="35" t="str">
        <f>IF(Сценарии_расчёт!$D18=1,Сценарии_расчёт!$AU18,"")</f>
        <v/>
      </c>
      <c r="M46" s="50" t="str">
        <f>IF(Сценарии_расчёт!$D18=1,Сценарии_расчёт!$B18,"")</f>
        <v/>
      </c>
      <c r="N46" s="35" t="str">
        <f>IF(Сценарии_расчёт!$D18=1,Сценарии_расчёт!$BE18,"")</f>
        <v/>
      </c>
      <c r="O46" s="35" t="str">
        <f>IF(Сценарии_расчёт!$D18=1,Сценарии_расчёт!$BF18,"")</f>
        <v/>
      </c>
      <c r="P46" s="35" t="str">
        <f>IF(Сценарии_расчёт!$D18=1,Сценарии_расчёт!$BQ18,"")</f>
        <v/>
      </c>
      <c r="Q46" s="35" t="str">
        <f>IF(Сценарии_расчёт!$D18=1,Сценарии_расчёт!$BR18,"")</f>
        <v/>
      </c>
    </row>
    <row r="47" spans="1:17" x14ac:dyDescent="0.2">
      <c r="A47" s="50" t="str">
        <f>IF(Сценарии_расчёт!$D19=1,Сценарии_расчёт!$B19,"")</f>
        <v/>
      </c>
      <c r="B47" s="35" t="str">
        <f>IF(Сценарии_расчёт!$D19=1,Сценарии_расчёт!$K19,"")</f>
        <v/>
      </c>
      <c r="C47" s="35" t="str">
        <f>IF(Сценарии_расчёт!$D19=1,Сценарии_расчёт!$L19,"")</f>
        <v/>
      </c>
      <c r="D47" s="35" t="str">
        <f>IF(Сценарии_расчёт!$D19=1,Сценарии_расчёт!$W19,"")</f>
        <v/>
      </c>
      <c r="E47" s="35" t="str">
        <f>IF(Сценарии_расчёт!$D19=1,Сценарии_расчёт!$X19,"")</f>
        <v/>
      </c>
      <c r="G47" s="50" t="str">
        <f>IF(Сценарии_расчёт!$D19=1,Сценарии_расчёт!$B19,"")</f>
        <v/>
      </c>
      <c r="H47" s="35" t="str">
        <f>IF(Сценарии_расчёт!$D19=1,Сценарии_расчёт!$AH19,"")</f>
        <v/>
      </c>
      <c r="I47" s="35" t="str">
        <f>IF(Сценарии_расчёт!$D19=1,Сценарии_расчёт!$AI19,"")</f>
        <v/>
      </c>
      <c r="J47" s="35" t="str">
        <f>IF(Сценарии_расчёт!$D19=1,Сценарии_расчёт!$AT19,"")</f>
        <v/>
      </c>
      <c r="K47" s="35" t="str">
        <f>IF(Сценарии_расчёт!$D19=1,Сценарии_расчёт!$AU19,"")</f>
        <v/>
      </c>
      <c r="M47" s="50" t="str">
        <f>IF(Сценарии_расчёт!$D19=1,Сценарии_расчёт!$B19,"")</f>
        <v/>
      </c>
      <c r="N47" s="35" t="str">
        <f>IF(Сценарии_расчёт!$D19=1,Сценарии_расчёт!$BE19,"")</f>
        <v/>
      </c>
      <c r="O47" s="35" t="str">
        <f>IF(Сценарии_расчёт!$D19=1,Сценарии_расчёт!$BF19,"")</f>
        <v/>
      </c>
      <c r="P47" s="35" t="str">
        <f>IF(Сценарии_расчёт!$D19=1,Сценарии_расчёт!$BQ19,"")</f>
        <v/>
      </c>
      <c r="Q47" s="35" t="str">
        <f>IF(Сценарии_расчёт!$D19=1,Сценарии_расчёт!$BR19,"")</f>
        <v/>
      </c>
    </row>
    <row r="48" spans="1:17" x14ac:dyDescent="0.2">
      <c r="A48" s="50" t="str">
        <f>IF(Сценарии_расчёт!$D20=1,Сценарии_расчёт!$B20,"")</f>
        <v/>
      </c>
      <c r="B48" s="35" t="str">
        <f>IF(Сценарии_расчёт!$D20=1,Сценарии_расчёт!$K20,"")</f>
        <v/>
      </c>
      <c r="C48" s="35" t="str">
        <f>IF(Сценарии_расчёт!$D20=1,Сценарии_расчёт!$L20,"")</f>
        <v/>
      </c>
      <c r="D48" s="35" t="str">
        <f>IF(Сценарии_расчёт!$D20=1,Сценарии_расчёт!$W20,"")</f>
        <v/>
      </c>
      <c r="E48" s="35" t="str">
        <f>IF(Сценарии_расчёт!$D20=1,Сценарии_расчёт!$X20,"")</f>
        <v/>
      </c>
      <c r="G48" s="50" t="str">
        <f>IF(Сценарии_расчёт!$D20=1,Сценарии_расчёт!$B20,"")</f>
        <v/>
      </c>
      <c r="H48" s="35" t="str">
        <f>IF(Сценарии_расчёт!$D20=1,Сценарии_расчёт!$AH20,"")</f>
        <v/>
      </c>
      <c r="I48" s="35" t="str">
        <f>IF(Сценарии_расчёт!$D20=1,Сценарии_расчёт!$AI20,"")</f>
        <v/>
      </c>
      <c r="J48" s="35" t="str">
        <f>IF(Сценарии_расчёт!$D20=1,Сценарии_расчёт!$AT20,"")</f>
        <v/>
      </c>
      <c r="K48" s="35" t="str">
        <f>IF(Сценарии_расчёт!$D20=1,Сценарии_расчёт!$AU20,"")</f>
        <v/>
      </c>
      <c r="M48" s="50" t="str">
        <f>IF(Сценарии_расчёт!$D20=1,Сценарии_расчёт!$B20,"")</f>
        <v/>
      </c>
      <c r="N48" s="35" t="str">
        <f>IF(Сценарии_расчёт!$D20=1,Сценарии_расчёт!$BE20,"")</f>
        <v/>
      </c>
      <c r="O48" s="35" t="str">
        <f>IF(Сценарии_расчёт!$D20=1,Сценарии_расчёт!$BF20,"")</f>
        <v/>
      </c>
      <c r="P48" s="35" t="str">
        <f>IF(Сценарии_расчёт!$D20=1,Сценарии_расчёт!$BQ20,"")</f>
        <v/>
      </c>
      <c r="Q48" s="35" t="str">
        <f>IF(Сценарии_расчёт!$D20=1,Сценарии_расчёт!$BR20,"")</f>
        <v/>
      </c>
    </row>
    <row r="49" spans="1:17" x14ac:dyDescent="0.2">
      <c r="A49" s="50" t="str">
        <f>IF(Сценарии_расчёт!$D21=1,Сценарии_расчёт!$B21,"")</f>
        <v/>
      </c>
      <c r="B49" s="35" t="str">
        <f>IF(Сценарии_расчёт!$D21=1,Сценарии_расчёт!$K21,"")</f>
        <v/>
      </c>
      <c r="C49" s="35" t="str">
        <f>IF(Сценарии_расчёт!$D21=1,Сценарии_расчёт!$L21,"")</f>
        <v/>
      </c>
      <c r="D49" s="35" t="str">
        <f>IF(Сценарии_расчёт!$D21=1,Сценарии_расчёт!$W21,"")</f>
        <v/>
      </c>
      <c r="E49" s="35" t="str">
        <f>IF(Сценарии_расчёт!$D21=1,Сценарии_расчёт!$X21,"")</f>
        <v/>
      </c>
      <c r="G49" s="50" t="str">
        <f>IF(Сценарии_расчёт!$D21=1,Сценарии_расчёт!$B21,"")</f>
        <v/>
      </c>
      <c r="H49" s="35" t="str">
        <f>IF(Сценарии_расчёт!$D21=1,Сценарии_расчёт!$AH21,"")</f>
        <v/>
      </c>
      <c r="I49" s="35" t="str">
        <f>IF(Сценарии_расчёт!$D21=1,Сценарии_расчёт!$AI21,"")</f>
        <v/>
      </c>
      <c r="J49" s="35" t="str">
        <f>IF(Сценарии_расчёт!$D21=1,Сценарии_расчёт!$AT21,"")</f>
        <v/>
      </c>
      <c r="K49" s="35" t="str">
        <f>IF(Сценарии_расчёт!$D21=1,Сценарии_расчёт!$AU21,"")</f>
        <v/>
      </c>
      <c r="M49" s="50" t="str">
        <f>IF(Сценарии_расчёт!$D21=1,Сценарии_расчёт!$B21,"")</f>
        <v/>
      </c>
      <c r="N49" s="35" t="str">
        <f>IF(Сценарии_расчёт!$D21=1,Сценарии_расчёт!$BE21,"")</f>
        <v/>
      </c>
      <c r="O49" s="35" t="str">
        <f>IF(Сценарии_расчёт!$D21=1,Сценарии_расчёт!$BF21,"")</f>
        <v/>
      </c>
      <c r="P49" s="35" t="str">
        <f>IF(Сценарии_расчёт!$D21=1,Сценарии_расчёт!$BQ21,"")</f>
        <v/>
      </c>
      <c r="Q49" s="35" t="str">
        <f>IF(Сценарии_расчёт!$D21=1,Сценарии_расчёт!$BR21,"")</f>
        <v/>
      </c>
    </row>
    <row r="50" spans="1:17" x14ac:dyDescent="0.2">
      <c r="A50" s="50" t="str">
        <f>IF(Сценарии_расчёт!$D22=1,Сценарии_расчёт!$B22,"")</f>
        <v/>
      </c>
      <c r="B50" s="35" t="str">
        <f>IF(Сценарии_расчёт!$D22=1,Сценарии_расчёт!$K22,"")</f>
        <v/>
      </c>
      <c r="C50" s="35" t="str">
        <f>IF(Сценарии_расчёт!$D22=1,Сценарии_расчёт!$L22,"")</f>
        <v/>
      </c>
      <c r="D50" s="35" t="str">
        <f>IF(Сценарии_расчёт!$D22=1,Сценарии_расчёт!$W22,"")</f>
        <v/>
      </c>
      <c r="E50" s="35" t="str">
        <f>IF(Сценарии_расчёт!$D22=1,Сценарии_расчёт!$X22,"")</f>
        <v/>
      </c>
      <c r="G50" s="50" t="str">
        <f>IF(Сценарии_расчёт!$D22=1,Сценарии_расчёт!$B22,"")</f>
        <v/>
      </c>
      <c r="H50" s="35" t="str">
        <f>IF(Сценарии_расчёт!$D22=1,Сценарии_расчёт!$AH22,"")</f>
        <v/>
      </c>
      <c r="I50" s="35" t="str">
        <f>IF(Сценарии_расчёт!$D22=1,Сценарии_расчёт!$AI22,"")</f>
        <v/>
      </c>
      <c r="J50" s="35" t="str">
        <f>IF(Сценарии_расчёт!$D22=1,Сценарии_расчёт!$AT22,"")</f>
        <v/>
      </c>
      <c r="K50" s="35" t="str">
        <f>IF(Сценарии_расчёт!$D22=1,Сценарии_расчёт!$AU22,"")</f>
        <v/>
      </c>
      <c r="M50" s="50" t="str">
        <f>IF(Сценарии_расчёт!$D22=1,Сценарии_расчёт!$B22,"")</f>
        <v/>
      </c>
      <c r="N50" s="35" t="str">
        <f>IF(Сценарии_расчёт!$D22=1,Сценарии_расчёт!$BE22,"")</f>
        <v/>
      </c>
      <c r="O50" s="35" t="str">
        <f>IF(Сценарии_расчёт!$D22=1,Сценарии_расчёт!$BF22,"")</f>
        <v/>
      </c>
      <c r="P50" s="35" t="str">
        <f>IF(Сценарии_расчёт!$D22=1,Сценарии_расчёт!$BQ22,"")</f>
        <v/>
      </c>
      <c r="Q50" s="35" t="str">
        <f>IF(Сценарии_расчёт!$D22=1,Сценарии_расчёт!$BR22,"")</f>
        <v/>
      </c>
    </row>
    <row r="51" spans="1:17" x14ac:dyDescent="0.2">
      <c r="A51" s="50" t="str">
        <f>IF(Сценарии_расчёт!$D23=1,Сценарии_расчёт!$B23,"")</f>
        <v/>
      </c>
      <c r="B51" s="35" t="str">
        <f>IF(Сценарии_расчёт!$D23=1,Сценарии_расчёт!$K23,"")</f>
        <v/>
      </c>
      <c r="C51" s="35" t="str">
        <f>IF(Сценарии_расчёт!$D23=1,Сценарии_расчёт!$L23,"")</f>
        <v/>
      </c>
      <c r="D51" s="35" t="str">
        <f>IF(Сценарии_расчёт!$D23=1,Сценарии_расчёт!$W23,"")</f>
        <v/>
      </c>
      <c r="E51" s="35" t="str">
        <f>IF(Сценарии_расчёт!$D23=1,Сценарии_расчёт!$X23,"")</f>
        <v/>
      </c>
      <c r="G51" s="50" t="str">
        <f>IF(Сценарии_расчёт!$D23=1,Сценарии_расчёт!$B23,"")</f>
        <v/>
      </c>
      <c r="H51" s="35" t="str">
        <f>IF(Сценарии_расчёт!$D23=1,Сценарии_расчёт!$AH23,"")</f>
        <v/>
      </c>
      <c r="I51" s="35" t="str">
        <f>IF(Сценарии_расчёт!$D23=1,Сценарии_расчёт!$AI23,"")</f>
        <v/>
      </c>
      <c r="J51" s="35" t="str">
        <f>IF(Сценарии_расчёт!$D23=1,Сценарии_расчёт!$AT23,"")</f>
        <v/>
      </c>
      <c r="K51" s="35" t="str">
        <f>IF(Сценарии_расчёт!$D23=1,Сценарии_расчёт!$AU23,"")</f>
        <v/>
      </c>
      <c r="M51" s="50" t="str">
        <f>IF(Сценарии_расчёт!$D23=1,Сценарии_расчёт!$B23,"")</f>
        <v/>
      </c>
      <c r="N51" s="35" t="str">
        <f>IF(Сценарии_расчёт!$D23=1,Сценарии_расчёт!$BE23,"")</f>
        <v/>
      </c>
      <c r="O51" s="35" t="str">
        <f>IF(Сценарии_расчёт!$D23=1,Сценарии_расчёт!$BF23,"")</f>
        <v/>
      </c>
      <c r="P51" s="35" t="str">
        <f>IF(Сценарии_расчёт!$D23=1,Сценарии_расчёт!$BQ23,"")</f>
        <v/>
      </c>
      <c r="Q51" s="35" t="str">
        <f>IF(Сценарии_расчёт!$D23=1,Сценарии_расчёт!$BR23,"")</f>
        <v/>
      </c>
    </row>
    <row r="52" spans="1:17" x14ac:dyDescent="0.2">
      <c r="A52" s="50" t="str">
        <f>IF(Сценарии_расчёт!$D24=1,Сценарии_расчёт!$B24,"")</f>
        <v/>
      </c>
      <c r="B52" s="35" t="str">
        <f>IF(Сценарии_расчёт!$D24=1,Сценарии_расчёт!$K24,"")</f>
        <v/>
      </c>
      <c r="C52" s="35" t="str">
        <f>IF(Сценарии_расчёт!$D24=1,Сценарии_расчёт!$L24,"")</f>
        <v/>
      </c>
      <c r="D52" s="35" t="str">
        <f>IF(Сценарии_расчёт!$D24=1,Сценарии_расчёт!$W24,"")</f>
        <v/>
      </c>
      <c r="E52" s="35" t="str">
        <f>IF(Сценарии_расчёт!$D24=1,Сценарии_расчёт!$X24,"")</f>
        <v/>
      </c>
      <c r="G52" s="50" t="str">
        <f>IF(Сценарии_расчёт!$D24=1,Сценарии_расчёт!$B24,"")</f>
        <v/>
      </c>
      <c r="H52" s="35" t="str">
        <f>IF(Сценарии_расчёт!$D24=1,Сценарии_расчёт!$AH24,"")</f>
        <v/>
      </c>
      <c r="I52" s="35" t="str">
        <f>IF(Сценарии_расчёт!$D24=1,Сценарии_расчёт!$AI24,"")</f>
        <v/>
      </c>
      <c r="J52" s="35" t="str">
        <f>IF(Сценарии_расчёт!$D24=1,Сценарии_расчёт!$AT24,"")</f>
        <v/>
      </c>
      <c r="K52" s="35" t="str">
        <f>IF(Сценарии_расчёт!$D24=1,Сценарии_расчёт!$AU24,"")</f>
        <v/>
      </c>
      <c r="M52" s="50" t="str">
        <f>IF(Сценарии_расчёт!$D24=1,Сценарии_расчёт!$B24,"")</f>
        <v/>
      </c>
      <c r="N52" s="35" t="str">
        <f>IF(Сценарии_расчёт!$D24=1,Сценарии_расчёт!$BE24,"")</f>
        <v/>
      </c>
      <c r="O52" s="35" t="str">
        <f>IF(Сценарии_расчёт!$D24=1,Сценарии_расчёт!$BF24,"")</f>
        <v/>
      </c>
      <c r="P52" s="35" t="str">
        <f>IF(Сценарии_расчёт!$D24=1,Сценарии_расчёт!$BQ24,"")</f>
        <v/>
      </c>
      <c r="Q52" s="35" t="str">
        <f>IF(Сценарии_расчёт!$D24=1,Сценарии_расчёт!$BR24,"")</f>
        <v/>
      </c>
    </row>
    <row r="53" spans="1:17" x14ac:dyDescent="0.2">
      <c r="A53" s="50" t="str">
        <f>IF(Сценарии_расчёт!$D25=1,Сценарии_расчёт!$B25,"")</f>
        <v/>
      </c>
      <c r="B53" s="35" t="str">
        <f>IF(Сценарии_расчёт!$D25=1,Сценарии_расчёт!$K25,"")</f>
        <v/>
      </c>
      <c r="C53" s="35" t="str">
        <f>IF(Сценарии_расчёт!$D25=1,Сценарии_расчёт!$L25,"")</f>
        <v/>
      </c>
      <c r="D53" s="35" t="str">
        <f>IF(Сценарии_расчёт!$D25=1,Сценарии_расчёт!$W25,"")</f>
        <v/>
      </c>
      <c r="E53" s="35" t="str">
        <f>IF(Сценарии_расчёт!$D25=1,Сценарии_расчёт!$X25,"")</f>
        <v/>
      </c>
      <c r="G53" s="50" t="str">
        <f>IF(Сценарии_расчёт!$D25=1,Сценарии_расчёт!$B25,"")</f>
        <v/>
      </c>
      <c r="H53" s="35" t="str">
        <f>IF(Сценарии_расчёт!$D25=1,Сценарии_расчёт!$AH25,"")</f>
        <v/>
      </c>
      <c r="I53" s="35" t="str">
        <f>IF(Сценарии_расчёт!$D25=1,Сценарии_расчёт!$AI25,"")</f>
        <v/>
      </c>
      <c r="J53" s="35" t="str">
        <f>IF(Сценарии_расчёт!$D25=1,Сценарии_расчёт!$AT25,"")</f>
        <v/>
      </c>
      <c r="K53" s="35" t="str">
        <f>IF(Сценарии_расчёт!$D25=1,Сценарии_расчёт!$AU25,"")</f>
        <v/>
      </c>
      <c r="M53" s="50" t="str">
        <f>IF(Сценарии_расчёт!$D25=1,Сценарии_расчёт!$B25,"")</f>
        <v/>
      </c>
      <c r="N53" s="35" t="str">
        <f>IF(Сценарии_расчёт!$D25=1,Сценарии_расчёт!$BE25,"")</f>
        <v/>
      </c>
      <c r="O53" s="35" t="str">
        <f>IF(Сценарии_расчёт!$D25=1,Сценарии_расчёт!$BF25,"")</f>
        <v/>
      </c>
      <c r="P53" s="35" t="str">
        <f>IF(Сценарии_расчёт!$D25=1,Сценарии_расчёт!$BQ25,"")</f>
        <v/>
      </c>
      <c r="Q53" s="35" t="str">
        <f>IF(Сценарии_расчёт!$D25=1,Сценарии_расчёт!$BR25,"")</f>
        <v/>
      </c>
    </row>
    <row r="54" spans="1:17" x14ac:dyDescent="0.2">
      <c r="A54" s="50" t="str">
        <f>IF(Сценарии_расчёт!$D26=1,Сценарии_расчёт!$B26,"")</f>
        <v/>
      </c>
      <c r="B54" s="35" t="str">
        <f>IF(Сценарии_расчёт!$D26=1,Сценарии_расчёт!$K26,"")</f>
        <v/>
      </c>
      <c r="C54" s="35" t="str">
        <f>IF(Сценарии_расчёт!$D26=1,Сценарии_расчёт!$L26,"")</f>
        <v/>
      </c>
      <c r="D54" s="35" t="str">
        <f>IF(Сценарии_расчёт!$D26=1,Сценарии_расчёт!$W26,"")</f>
        <v/>
      </c>
      <c r="E54" s="35" t="str">
        <f>IF(Сценарии_расчёт!$D26=1,Сценарии_расчёт!$X26,"")</f>
        <v/>
      </c>
      <c r="G54" s="50" t="str">
        <f>IF(Сценарии_расчёт!$D26=1,Сценарии_расчёт!$B26,"")</f>
        <v/>
      </c>
      <c r="H54" s="35" t="str">
        <f>IF(Сценарии_расчёт!$D26=1,Сценарии_расчёт!$AH26,"")</f>
        <v/>
      </c>
      <c r="I54" s="35" t="str">
        <f>IF(Сценарии_расчёт!$D26=1,Сценарии_расчёт!$AI26,"")</f>
        <v/>
      </c>
      <c r="J54" s="35" t="str">
        <f>IF(Сценарии_расчёт!$D26=1,Сценарии_расчёт!$AT26,"")</f>
        <v/>
      </c>
      <c r="K54" s="35" t="str">
        <f>IF(Сценарии_расчёт!$D26=1,Сценарии_расчёт!$AU26,"")</f>
        <v/>
      </c>
      <c r="M54" s="50" t="str">
        <f>IF(Сценарии_расчёт!$D26=1,Сценарии_расчёт!$B26,"")</f>
        <v/>
      </c>
      <c r="N54" s="35" t="str">
        <f>IF(Сценарии_расчёт!$D26=1,Сценарии_расчёт!$BE26,"")</f>
        <v/>
      </c>
      <c r="O54" s="35" t="str">
        <f>IF(Сценарии_расчёт!$D26=1,Сценарии_расчёт!$BF26,"")</f>
        <v/>
      </c>
      <c r="P54" s="35" t="str">
        <f>IF(Сценарии_расчёт!$D26=1,Сценарии_расчёт!$BQ26,"")</f>
        <v/>
      </c>
      <c r="Q54" s="35" t="str">
        <f>IF(Сценарии_расчёт!$D26=1,Сценарии_расчёт!$BR26,"")</f>
        <v/>
      </c>
    </row>
    <row r="55" spans="1:17" x14ac:dyDescent="0.2">
      <c r="A55" s="50" t="str">
        <f>IF(Сценарии_расчёт!$D27=1,Сценарии_расчёт!$B27,"")</f>
        <v/>
      </c>
      <c r="B55" s="35" t="str">
        <f>IF(Сценарии_расчёт!$D27=1,Сценарии_расчёт!$K27,"")</f>
        <v/>
      </c>
      <c r="C55" s="35" t="str">
        <f>IF(Сценарии_расчёт!$D27=1,Сценарии_расчёт!$L27,"")</f>
        <v/>
      </c>
      <c r="D55" s="35" t="str">
        <f>IF(Сценарии_расчёт!$D27=1,Сценарии_расчёт!$W27,"")</f>
        <v/>
      </c>
      <c r="E55" s="35" t="str">
        <f>IF(Сценарии_расчёт!$D27=1,Сценарии_расчёт!$X27,"")</f>
        <v/>
      </c>
      <c r="G55" s="50" t="str">
        <f>IF(Сценарии_расчёт!$D27=1,Сценарии_расчёт!$B27,"")</f>
        <v/>
      </c>
      <c r="H55" s="35" t="str">
        <f>IF(Сценарии_расчёт!$D27=1,Сценарии_расчёт!$AH27,"")</f>
        <v/>
      </c>
      <c r="I55" s="35" t="str">
        <f>IF(Сценарии_расчёт!$D27=1,Сценарии_расчёт!$AI27,"")</f>
        <v/>
      </c>
      <c r="J55" s="35" t="str">
        <f>IF(Сценарии_расчёт!$D27=1,Сценарии_расчёт!$AT27,"")</f>
        <v/>
      </c>
      <c r="K55" s="35" t="str">
        <f>IF(Сценарии_расчёт!$D27=1,Сценарии_расчёт!$AU27,"")</f>
        <v/>
      </c>
      <c r="M55" s="50" t="str">
        <f>IF(Сценарии_расчёт!$D27=1,Сценарии_расчёт!$B27,"")</f>
        <v/>
      </c>
      <c r="N55" s="35" t="str">
        <f>IF(Сценарии_расчёт!$D27=1,Сценарии_расчёт!$BE27,"")</f>
        <v/>
      </c>
      <c r="O55" s="35" t="str">
        <f>IF(Сценарии_расчёт!$D27=1,Сценарии_расчёт!$BF27,"")</f>
        <v/>
      </c>
      <c r="P55" s="35" t="str">
        <f>IF(Сценарии_расчёт!$D27=1,Сценарии_расчёт!$BQ27,"")</f>
        <v/>
      </c>
      <c r="Q55" s="35" t="str">
        <f>IF(Сценарии_расчёт!$D27=1,Сценарии_расчёт!$BR27,"")</f>
        <v/>
      </c>
    </row>
    <row r="56" spans="1:17" x14ac:dyDescent="0.2">
      <c r="A56" s="50" t="str">
        <f>IF(Сценарии_расчёт!$D28=1,Сценарии_расчёт!$B28,"")</f>
        <v/>
      </c>
      <c r="B56" s="35" t="str">
        <f>IF(Сценарии_расчёт!$D28=1,Сценарии_расчёт!$K28,"")</f>
        <v/>
      </c>
      <c r="C56" s="35" t="str">
        <f>IF(Сценарии_расчёт!$D28=1,Сценарии_расчёт!$L28,"")</f>
        <v/>
      </c>
      <c r="D56" s="35" t="str">
        <f>IF(Сценарии_расчёт!$D28=1,Сценарии_расчёт!$W28,"")</f>
        <v/>
      </c>
      <c r="E56" s="35" t="str">
        <f>IF(Сценарии_расчёт!$D28=1,Сценарии_расчёт!$X28,"")</f>
        <v/>
      </c>
      <c r="G56" s="50" t="str">
        <f>IF(Сценарии_расчёт!$D28=1,Сценарии_расчёт!$B28,"")</f>
        <v/>
      </c>
      <c r="H56" s="35" t="str">
        <f>IF(Сценарии_расчёт!$D28=1,Сценарии_расчёт!$AH28,"")</f>
        <v/>
      </c>
      <c r="I56" s="35" t="str">
        <f>IF(Сценарии_расчёт!$D28=1,Сценарии_расчёт!$AI28,"")</f>
        <v/>
      </c>
      <c r="J56" s="35" t="str">
        <f>IF(Сценарии_расчёт!$D28=1,Сценарии_расчёт!$AT28,"")</f>
        <v/>
      </c>
      <c r="K56" s="35" t="str">
        <f>IF(Сценарии_расчёт!$D28=1,Сценарии_расчёт!$AU28,"")</f>
        <v/>
      </c>
      <c r="M56" s="50" t="str">
        <f>IF(Сценарии_расчёт!$D28=1,Сценарии_расчёт!$B28,"")</f>
        <v/>
      </c>
      <c r="N56" s="35" t="str">
        <f>IF(Сценарии_расчёт!$D28=1,Сценарии_расчёт!$BE28,"")</f>
        <v/>
      </c>
      <c r="O56" s="35" t="str">
        <f>IF(Сценарии_расчёт!$D28=1,Сценарии_расчёт!$BF28,"")</f>
        <v/>
      </c>
      <c r="P56" s="35" t="str">
        <f>IF(Сценарии_расчёт!$D28=1,Сценарии_расчёт!$BQ28,"")</f>
        <v/>
      </c>
      <c r="Q56" s="35" t="str">
        <f>IF(Сценарии_расчёт!$D28=1,Сценарии_расчёт!$BR28,"")</f>
        <v/>
      </c>
    </row>
    <row r="57" spans="1:17" x14ac:dyDescent="0.2">
      <c r="A57" s="50" t="str">
        <f>IF(Сценарии_расчёт!$D29=1,Сценарии_расчёт!$B29,"")</f>
        <v/>
      </c>
      <c r="B57" s="35" t="str">
        <f>IF(Сценарии_расчёт!$D29=1,Сценарии_расчёт!$K29,"")</f>
        <v/>
      </c>
      <c r="C57" s="35" t="str">
        <f>IF(Сценарии_расчёт!$D29=1,Сценарии_расчёт!$L29,"")</f>
        <v/>
      </c>
      <c r="D57" s="35" t="str">
        <f>IF(Сценарии_расчёт!$D29=1,Сценарии_расчёт!$W29,"")</f>
        <v/>
      </c>
      <c r="E57" s="35" t="str">
        <f>IF(Сценарии_расчёт!$D29=1,Сценарии_расчёт!$X29,"")</f>
        <v/>
      </c>
      <c r="G57" s="50" t="str">
        <f>IF(Сценарии_расчёт!$D29=1,Сценарии_расчёт!$B29,"")</f>
        <v/>
      </c>
      <c r="H57" s="35" t="str">
        <f>IF(Сценарии_расчёт!$D29=1,Сценарии_расчёт!$AH29,"")</f>
        <v/>
      </c>
      <c r="I57" s="35" t="str">
        <f>IF(Сценарии_расчёт!$D29=1,Сценарии_расчёт!$AI29,"")</f>
        <v/>
      </c>
      <c r="J57" s="35" t="str">
        <f>IF(Сценарии_расчёт!$D29=1,Сценарии_расчёт!$AT29,"")</f>
        <v/>
      </c>
      <c r="K57" s="35" t="str">
        <f>IF(Сценарии_расчёт!$D29=1,Сценарии_расчёт!$AU29,"")</f>
        <v/>
      </c>
      <c r="M57" s="50" t="str">
        <f>IF(Сценарии_расчёт!$D29=1,Сценарии_расчёт!$B29,"")</f>
        <v/>
      </c>
      <c r="N57" s="35" t="str">
        <f>IF(Сценарии_расчёт!$D29=1,Сценарии_расчёт!$BE29,"")</f>
        <v/>
      </c>
      <c r="O57" s="35" t="str">
        <f>IF(Сценарии_расчёт!$D29=1,Сценарии_расчёт!$BF29,"")</f>
        <v/>
      </c>
      <c r="P57" s="35" t="str">
        <f>IF(Сценарии_расчёт!$D29=1,Сценарии_расчёт!$BQ29,"")</f>
        <v/>
      </c>
      <c r="Q57" s="35" t="str">
        <f>IF(Сценарии_расчёт!$D29=1,Сценарии_расчёт!$BR29,"")</f>
        <v/>
      </c>
    </row>
    <row r="58" spans="1:17" x14ac:dyDescent="0.2">
      <c r="A58" s="50" t="str">
        <f>IF(Сценарии_расчёт!$D30=1,Сценарии_расчёт!$B30,"")</f>
        <v/>
      </c>
      <c r="B58" s="35" t="str">
        <f>IF(Сценарии_расчёт!$D30=1,Сценарии_расчёт!$K30,"")</f>
        <v/>
      </c>
      <c r="C58" s="35" t="str">
        <f>IF(Сценарии_расчёт!$D30=1,Сценарии_расчёт!$L30,"")</f>
        <v/>
      </c>
      <c r="D58" s="35" t="str">
        <f>IF(Сценарии_расчёт!$D30=1,Сценарии_расчёт!$W30,"")</f>
        <v/>
      </c>
      <c r="E58" s="35" t="str">
        <f>IF(Сценарии_расчёт!$D30=1,Сценарии_расчёт!$X30,"")</f>
        <v/>
      </c>
      <c r="G58" s="50" t="str">
        <f>IF(Сценарии_расчёт!$D30=1,Сценарии_расчёт!$B30,"")</f>
        <v/>
      </c>
      <c r="H58" s="35" t="str">
        <f>IF(Сценарии_расчёт!$D30=1,Сценарии_расчёт!$AH30,"")</f>
        <v/>
      </c>
      <c r="I58" s="35" t="str">
        <f>IF(Сценарии_расчёт!$D30=1,Сценарии_расчёт!$AI30,"")</f>
        <v/>
      </c>
      <c r="J58" s="35" t="str">
        <f>IF(Сценарии_расчёт!$D30=1,Сценарии_расчёт!$AT30,"")</f>
        <v/>
      </c>
      <c r="K58" s="35" t="str">
        <f>IF(Сценарии_расчёт!$D30=1,Сценарии_расчёт!$AU30,"")</f>
        <v/>
      </c>
      <c r="M58" s="50" t="str">
        <f>IF(Сценарии_расчёт!$D30=1,Сценарии_расчёт!$B30,"")</f>
        <v/>
      </c>
      <c r="N58" s="35" t="str">
        <f>IF(Сценарии_расчёт!$D30=1,Сценарии_расчёт!$BE30,"")</f>
        <v/>
      </c>
      <c r="O58" s="35" t="str">
        <f>IF(Сценарии_расчёт!$D30=1,Сценарии_расчёт!$BF30,"")</f>
        <v/>
      </c>
      <c r="P58" s="35" t="str">
        <f>IF(Сценарии_расчёт!$D30=1,Сценарии_расчёт!$BQ30,"")</f>
        <v/>
      </c>
      <c r="Q58" s="35" t="str">
        <f>IF(Сценарии_расчёт!$D30=1,Сценарии_расчёт!$BR30,"")</f>
        <v/>
      </c>
    </row>
    <row r="59" spans="1:17" x14ac:dyDescent="0.2">
      <c r="A59" s="50" t="str">
        <f>IF(Сценарии_расчёт!$D31=1,Сценарии_расчёт!$B31,"")</f>
        <v/>
      </c>
      <c r="B59" s="35" t="str">
        <f>IF(Сценарии_расчёт!$D31=1,Сценарии_расчёт!$K31,"")</f>
        <v/>
      </c>
      <c r="C59" s="35" t="str">
        <f>IF(Сценарии_расчёт!$D31=1,Сценарии_расчёт!$L31,"")</f>
        <v/>
      </c>
      <c r="D59" s="35" t="str">
        <f>IF(Сценарии_расчёт!$D31=1,Сценарии_расчёт!$W31,"")</f>
        <v/>
      </c>
      <c r="E59" s="35" t="str">
        <f>IF(Сценарии_расчёт!$D31=1,Сценарии_расчёт!$X31,"")</f>
        <v/>
      </c>
      <c r="G59" s="50" t="str">
        <f>IF(Сценарии_расчёт!$D31=1,Сценарии_расчёт!$B31,"")</f>
        <v/>
      </c>
      <c r="H59" s="35" t="str">
        <f>IF(Сценарии_расчёт!$D31=1,Сценарии_расчёт!$AH31,"")</f>
        <v/>
      </c>
      <c r="I59" s="35" t="str">
        <f>IF(Сценарии_расчёт!$D31=1,Сценарии_расчёт!$AI31,"")</f>
        <v/>
      </c>
      <c r="J59" s="35" t="str">
        <f>IF(Сценарии_расчёт!$D31=1,Сценарии_расчёт!$AT31,"")</f>
        <v/>
      </c>
      <c r="K59" s="35" t="str">
        <f>IF(Сценарии_расчёт!$D31=1,Сценарии_расчёт!$AU31,"")</f>
        <v/>
      </c>
      <c r="M59" s="50" t="str">
        <f>IF(Сценарии_расчёт!$D31=1,Сценарии_расчёт!$B31,"")</f>
        <v/>
      </c>
      <c r="N59" s="35" t="str">
        <f>IF(Сценарии_расчёт!$D31=1,Сценарии_расчёт!$BE31,"")</f>
        <v/>
      </c>
      <c r="O59" s="35" t="str">
        <f>IF(Сценарии_расчёт!$D31=1,Сценарии_расчёт!$BF31,"")</f>
        <v/>
      </c>
      <c r="P59" s="35" t="str">
        <f>IF(Сценарии_расчёт!$D31=1,Сценарии_расчёт!$BQ31,"")</f>
        <v/>
      </c>
      <c r="Q59" s="35" t="str">
        <f>IF(Сценарии_расчёт!$D31=1,Сценарии_расчёт!$BR31,"")</f>
        <v/>
      </c>
    </row>
    <row r="60" spans="1:17" x14ac:dyDescent="0.2">
      <c r="A60" s="50" t="str">
        <f>IF(Сценарии_расчёт!$D32=1,Сценарии_расчёт!$B32,"")</f>
        <v/>
      </c>
      <c r="B60" s="35" t="str">
        <f>IF(Сценарии_расчёт!$D32=1,Сценарии_расчёт!$K32,"")</f>
        <v/>
      </c>
      <c r="C60" s="35" t="str">
        <f>IF(Сценарии_расчёт!$D32=1,Сценарии_расчёт!$L32,"")</f>
        <v/>
      </c>
      <c r="D60" s="35" t="str">
        <f>IF(Сценарии_расчёт!$D32=1,Сценарии_расчёт!$W32,"")</f>
        <v/>
      </c>
      <c r="E60" s="35" t="str">
        <f>IF(Сценарии_расчёт!$D32=1,Сценарии_расчёт!$X32,"")</f>
        <v/>
      </c>
      <c r="G60" s="50" t="str">
        <f>IF(Сценарии_расчёт!$D32=1,Сценарии_расчёт!$B32,"")</f>
        <v/>
      </c>
      <c r="H60" s="35" t="str">
        <f>IF(Сценарии_расчёт!$D32=1,Сценарии_расчёт!$AH32,"")</f>
        <v/>
      </c>
      <c r="I60" s="35" t="str">
        <f>IF(Сценарии_расчёт!$D32=1,Сценарии_расчёт!$AI32,"")</f>
        <v/>
      </c>
      <c r="J60" s="35" t="str">
        <f>IF(Сценарии_расчёт!$D32=1,Сценарии_расчёт!$AT32,"")</f>
        <v/>
      </c>
      <c r="K60" s="35" t="str">
        <f>IF(Сценарии_расчёт!$D32=1,Сценарии_расчёт!$AU32,"")</f>
        <v/>
      </c>
      <c r="M60" s="50" t="str">
        <f>IF(Сценарии_расчёт!$D32=1,Сценарии_расчёт!$B32,"")</f>
        <v/>
      </c>
      <c r="N60" s="35" t="str">
        <f>IF(Сценарии_расчёт!$D32=1,Сценарии_расчёт!$BE32,"")</f>
        <v/>
      </c>
      <c r="O60" s="35" t="str">
        <f>IF(Сценарии_расчёт!$D32=1,Сценарии_расчёт!$BF32,"")</f>
        <v/>
      </c>
      <c r="P60" s="35" t="str">
        <f>IF(Сценарии_расчёт!$D32=1,Сценарии_расчёт!$BQ32,"")</f>
        <v/>
      </c>
      <c r="Q60" s="35" t="str">
        <f>IF(Сценарии_расчёт!$D32=1,Сценарии_расчёт!$BR32,"")</f>
        <v/>
      </c>
    </row>
    <row r="61" spans="1:17" x14ac:dyDescent="0.2">
      <c r="A61" s="50" t="str">
        <f>IF(Сценарии_расчёт!$D33=1,Сценарии_расчёт!$B33,"")</f>
        <v/>
      </c>
      <c r="B61" s="35" t="str">
        <f>IF(Сценарии_расчёт!$D33=1,Сценарии_расчёт!$K33,"")</f>
        <v/>
      </c>
      <c r="C61" s="35" t="str">
        <f>IF(Сценарии_расчёт!$D33=1,Сценарии_расчёт!$L33,"")</f>
        <v/>
      </c>
      <c r="D61" s="35" t="str">
        <f>IF(Сценарии_расчёт!$D33=1,Сценарии_расчёт!$W33,"")</f>
        <v/>
      </c>
      <c r="E61" s="35" t="str">
        <f>IF(Сценарии_расчёт!$D33=1,Сценарии_расчёт!$X33,"")</f>
        <v/>
      </c>
      <c r="G61" s="50" t="str">
        <f>IF(Сценарии_расчёт!$D33=1,Сценарии_расчёт!$B33,"")</f>
        <v/>
      </c>
      <c r="H61" s="35" t="str">
        <f>IF(Сценарии_расчёт!$D33=1,Сценарии_расчёт!$AH33,"")</f>
        <v/>
      </c>
      <c r="I61" s="35" t="str">
        <f>IF(Сценарии_расчёт!$D33=1,Сценарии_расчёт!$AI33,"")</f>
        <v/>
      </c>
      <c r="J61" s="35" t="str">
        <f>IF(Сценарии_расчёт!$D33=1,Сценарии_расчёт!$AT33,"")</f>
        <v/>
      </c>
      <c r="K61" s="35" t="str">
        <f>IF(Сценарии_расчёт!$D33=1,Сценарии_расчёт!$AU33,"")</f>
        <v/>
      </c>
      <c r="M61" s="50" t="str">
        <f>IF(Сценарии_расчёт!$D33=1,Сценарии_расчёт!$B33,"")</f>
        <v/>
      </c>
      <c r="N61" s="35" t="str">
        <f>IF(Сценарии_расчёт!$D33=1,Сценарии_расчёт!$BE33,"")</f>
        <v/>
      </c>
      <c r="O61" s="35" t="str">
        <f>IF(Сценарии_расчёт!$D33=1,Сценарии_расчёт!$BF33,"")</f>
        <v/>
      </c>
      <c r="P61" s="35" t="str">
        <f>IF(Сценарии_расчёт!$D33=1,Сценарии_расчёт!$BQ33,"")</f>
        <v/>
      </c>
      <c r="Q61" s="35" t="str">
        <f>IF(Сценарии_расчёт!$D33=1,Сценарии_расчёт!$BR33,"")</f>
        <v/>
      </c>
    </row>
    <row r="62" spans="1:17" x14ac:dyDescent="0.2">
      <c r="A62" s="50" t="str">
        <f>IF(Сценарии_расчёт!$D34=1,Сценарии_расчёт!$B34,"")</f>
        <v/>
      </c>
      <c r="B62" s="35" t="str">
        <f>IF(Сценарии_расчёт!$D34=1,Сценарии_расчёт!$K34,"")</f>
        <v/>
      </c>
      <c r="C62" s="35" t="str">
        <f>IF(Сценарии_расчёт!$D34=1,Сценарии_расчёт!$L34,"")</f>
        <v/>
      </c>
      <c r="D62" s="35" t="str">
        <f>IF(Сценарии_расчёт!$D34=1,Сценарии_расчёт!$W34,"")</f>
        <v/>
      </c>
      <c r="E62" s="35" t="str">
        <f>IF(Сценарии_расчёт!$D34=1,Сценарии_расчёт!$X34,"")</f>
        <v/>
      </c>
      <c r="G62" s="50" t="str">
        <f>IF(Сценарии_расчёт!$D34=1,Сценарии_расчёт!$B34,"")</f>
        <v/>
      </c>
      <c r="H62" s="35" t="str">
        <f>IF(Сценарии_расчёт!$D34=1,Сценарии_расчёт!$AH34,"")</f>
        <v/>
      </c>
      <c r="I62" s="35" t="str">
        <f>IF(Сценарии_расчёт!$D34=1,Сценарии_расчёт!$AI34,"")</f>
        <v/>
      </c>
      <c r="J62" s="35" t="str">
        <f>IF(Сценарии_расчёт!$D34=1,Сценарии_расчёт!$AT34,"")</f>
        <v/>
      </c>
      <c r="K62" s="35" t="str">
        <f>IF(Сценарии_расчёт!$D34=1,Сценарии_расчёт!$AU34,"")</f>
        <v/>
      </c>
      <c r="M62" s="50" t="str">
        <f>IF(Сценарии_расчёт!$D34=1,Сценарии_расчёт!$B34,"")</f>
        <v/>
      </c>
      <c r="N62" s="35" t="str">
        <f>IF(Сценарии_расчёт!$D34=1,Сценарии_расчёт!$BE34,"")</f>
        <v/>
      </c>
      <c r="O62" s="35" t="str">
        <f>IF(Сценарии_расчёт!$D34=1,Сценарии_расчёт!$BF34,"")</f>
        <v/>
      </c>
      <c r="P62" s="35" t="str">
        <f>IF(Сценарии_расчёт!$D34=1,Сценарии_расчёт!$BQ34,"")</f>
        <v/>
      </c>
      <c r="Q62" s="35" t="str">
        <f>IF(Сценарии_расчёт!$D34=1,Сценарии_расчёт!$BR34,"")</f>
        <v/>
      </c>
    </row>
    <row r="63" spans="1:17" x14ac:dyDescent="0.2">
      <c r="A63" s="50" t="str">
        <f>IF(Сценарии_расчёт!$D35=1,Сценарии_расчёт!$B35,"")</f>
        <v/>
      </c>
      <c r="B63" s="35" t="str">
        <f>IF(Сценарии_расчёт!$D35=1,Сценарии_расчёт!$K35,"")</f>
        <v/>
      </c>
      <c r="C63" s="35" t="str">
        <f>IF(Сценарии_расчёт!$D35=1,Сценарии_расчёт!$L35,"")</f>
        <v/>
      </c>
      <c r="D63" s="35" t="str">
        <f>IF(Сценарии_расчёт!$D35=1,Сценарии_расчёт!$W35,"")</f>
        <v/>
      </c>
      <c r="E63" s="35" t="str">
        <f>IF(Сценарии_расчёт!$D35=1,Сценарии_расчёт!$X35,"")</f>
        <v/>
      </c>
      <c r="G63" s="50" t="str">
        <f>IF(Сценарии_расчёт!$D35=1,Сценарии_расчёт!$B35,"")</f>
        <v/>
      </c>
      <c r="H63" s="35" t="str">
        <f>IF(Сценарии_расчёт!$D35=1,Сценарии_расчёт!$AH35,"")</f>
        <v/>
      </c>
      <c r="I63" s="35" t="str">
        <f>IF(Сценарии_расчёт!$D35=1,Сценарии_расчёт!$AI35,"")</f>
        <v/>
      </c>
      <c r="J63" s="35" t="str">
        <f>IF(Сценарии_расчёт!$D35=1,Сценарии_расчёт!$AT35,"")</f>
        <v/>
      </c>
      <c r="K63" s="35" t="str">
        <f>IF(Сценарии_расчёт!$D35=1,Сценарии_расчёт!$AU35,"")</f>
        <v/>
      </c>
      <c r="M63" s="50" t="str">
        <f>IF(Сценарии_расчёт!$D35=1,Сценарии_расчёт!$B35,"")</f>
        <v/>
      </c>
      <c r="N63" s="35" t="str">
        <f>IF(Сценарии_расчёт!$D35=1,Сценарии_расчёт!$BE35,"")</f>
        <v/>
      </c>
      <c r="O63" s="35" t="str">
        <f>IF(Сценарии_расчёт!$D35=1,Сценарии_расчёт!$BF35,"")</f>
        <v/>
      </c>
      <c r="P63" s="35" t="str">
        <f>IF(Сценарии_расчёт!$D35=1,Сценарии_расчёт!$BQ35,"")</f>
        <v/>
      </c>
      <c r="Q63" s="35" t="str">
        <f>IF(Сценарии_расчёт!$D35=1,Сценарии_расчёт!$BR35,"")</f>
        <v/>
      </c>
    </row>
    <row r="64" spans="1:17" x14ac:dyDescent="0.2">
      <c r="A64" s="50" t="str">
        <f>IF(Сценарии_расчёт!$D36=1,Сценарии_расчёт!$B36,"")</f>
        <v/>
      </c>
      <c r="B64" s="35" t="str">
        <f>IF(Сценарии_расчёт!$D36=1,Сценарии_расчёт!$K36,"")</f>
        <v/>
      </c>
      <c r="C64" s="35" t="str">
        <f>IF(Сценарии_расчёт!$D36=1,Сценарии_расчёт!$L36,"")</f>
        <v/>
      </c>
      <c r="D64" s="35" t="str">
        <f>IF(Сценарии_расчёт!$D36=1,Сценарии_расчёт!$W36,"")</f>
        <v/>
      </c>
      <c r="E64" s="35" t="str">
        <f>IF(Сценарии_расчёт!$D36=1,Сценарии_расчёт!$X36,"")</f>
        <v/>
      </c>
      <c r="G64" s="50" t="str">
        <f>IF(Сценарии_расчёт!$D36=1,Сценарии_расчёт!$B36,"")</f>
        <v/>
      </c>
      <c r="H64" s="35" t="str">
        <f>IF(Сценарии_расчёт!$D36=1,Сценарии_расчёт!$AH36,"")</f>
        <v/>
      </c>
      <c r="I64" s="35" t="str">
        <f>IF(Сценарии_расчёт!$D36=1,Сценарии_расчёт!$AI36,"")</f>
        <v/>
      </c>
      <c r="J64" s="35" t="str">
        <f>IF(Сценарии_расчёт!$D36=1,Сценарии_расчёт!$AT36,"")</f>
        <v/>
      </c>
      <c r="K64" s="35" t="str">
        <f>IF(Сценарии_расчёт!$D36=1,Сценарии_расчёт!$AU36,"")</f>
        <v/>
      </c>
      <c r="M64" s="50" t="str">
        <f>IF(Сценарии_расчёт!$D36=1,Сценарии_расчёт!$B36,"")</f>
        <v/>
      </c>
      <c r="N64" s="35" t="str">
        <f>IF(Сценарии_расчёт!$D36=1,Сценарии_расчёт!$BE36,"")</f>
        <v/>
      </c>
      <c r="O64" s="35" t="str">
        <f>IF(Сценарии_расчёт!$D36=1,Сценарии_расчёт!$BF36,"")</f>
        <v/>
      </c>
      <c r="P64" s="35" t="str">
        <f>IF(Сценарии_расчёт!$D36=1,Сценарии_расчёт!$BQ36,"")</f>
        <v/>
      </c>
      <c r="Q64" s="35" t="str">
        <f>IF(Сценарии_расчёт!$D36=1,Сценарии_расчёт!$BR36,"")</f>
        <v/>
      </c>
    </row>
    <row r="65" spans="1:17" x14ac:dyDescent="0.2">
      <c r="A65" s="50" t="str">
        <f>IF(Сценарии_расчёт!$D37=1,Сценарии_расчёт!$B37,"")</f>
        <v/>
      </c>
      <c r="B65" s="35" t="str">
        <f>IF(Сценарии_расчёт!$D37=1,Сценарии_расчёт!$K37,"")</f>
        <v/>
      </c>
      <c r="C65" s="35" t="str">
        <f>IF(Сценарии_расчёт!$D37=1,Сценарии_расчёт!$L37,"")</f>
        <v/>
      </c>
      <c r="D65" s="35" t="str">
        <f>IF(Сценарии_расчёт!$D37=1,Сценарии_расчёт!$W37,"")</f>
        <v/>
      </c>
      <c r="E65" s="35" t="str">
        <f>IF(Сценарии_расчёт!$D37=1,Сценарии_расчёт!$X37,"")</f>
        <v/>
      </c>
      <c r="G65" s="50" t="str">
        <f>IF(Сценарии_расчёт!$D37=1,Сценарии_расчёт!$B37,"")</f>
        <v/>
      </c>
      <c r="H65" s="35" t="str">
        <f>IF(Сценарии_расчёт!$D37=1,Сценарии_расчёт!$AH37,"")</f>
        <v/>
      </c>
      <c r="I65" s="35" t="str">
        <f>IF(Сценарии_расчёт!$D37=1,Сценарии_расчёт!$AI37,"")</f>
        <v/>
      </c>
      <c r="J65" s="35" t="str">
        <f>IF(Сценарии_расчёт!$D37=1,Сценарии_расчёт!$AT37,"")</f>
        <v/>
      </c>
      <c r="K65" s="35" t="str">
        <f>IF(Сценарии_расчёт!$D37=1,Сценарии_расчёт!$AU37,"")</f>
        <v/>
      </c>
      <c r="M65" s="50" t="str">
        <f>IF(Сценарии_расчёт!$D37=1,Сценарии_расчёт!$B37,"")</f>
        <v/>
      </c>
      <c r="N65" s="35" t="str">
        <f>IF(Сценарии_расчёт!$D37=1,Сценарии_расчёт!$BE37,"")</f>
        <v/>
      </c>
      <c r="O65" s="35" t="str">
        <f>IF(Сценарии_расчёт!$D37=1,Сценарии_расчёт!$BF37,"")</f>
        <v/>
      </c>
      <c r="P65" s="35" t="str">
        <f>IF(Сценарии_расчёт!$D37=1,Сценарии_расчёт!$BQ37,"")</f>
        <v/>
      </c>
      <c r="Q65" s="35" t="str">
        <f>IF(Сценарии_расчёт!$D37=1,Сценарии_расчёт!$BR37,"")</f>
        <v/>
      </c>
    </row>
    <row r="66" spans="1:17" x14ac:dyDescent="0.2">
      <c r="A66" s="50" t="str">
        <f>IF(Сценарии_расчёт!$D38=1,Сценарии_расчёт!$B38,"")</f>
        <v/>
      </c>
      <c r="B66" s="35" t="str">
        <f>IF(Сценарии_расчёт!$D38=1,Сценарии_расчёт!$K38,"")</f>
        <v/>
      </c>
      <c r="C66" s="35" t="str">
        <f>IF(Сценарии_расчёт!$D38=1,Сценарии_расчёт!$L38,"")</f>
        <v/>
      </c>
      <c r="D66" s="35" t="str">
        <f>IF(Сценарии_расчёт!$D38=1,Сценарии_расчёт!$W38,"")</f>
        <v/>
      </c>
      <c r="E66" s="35" t="str">
        <f>IF(Сценарии_расчёт!$D38=1,Сценарии_расчёт!$X38,"")</f>
        <v/>
      </c>
      <c r="G66" s="50" t="str">
        <f>IF(Сценарии_расчёт!$D38=1,Сценарии_расчёт!$B38,"")</f>
        <v/>
      </c>
      <c r="H66" s="35" t="str">
        <f>IF(Сценарии_расчёт!$D38=1,Сценарии_расчёт!$AH38,"")</f>
        <v/>
      </c>
      <c r="I66" s="35" t="str">
        <f>IF(Сценарии_расчёт!$D38=1,Сценарии_расчёт!$AI38,"")</f>
        <v/>
      </c>
      <c r="J66" s="35" t="str">
        <f>IF(Сценарии_расчёт!$D38=1,Сценарии_расчёт!$AT38,"")</f>
        <v/>
      </c>
      <c r="K66" s="35" t="str">
        <f>IF(Сценарии_расчёт!$D38=1,Сценарии_расчёт!$AU38,"")</f>
        <v/>
      </c>
      <c r="M66" s="50" t="str">
        <f>IF(Сценарии_расчёт!$D38=1,Сценарии_расчёт!$B38,"")</f>
        <v/>
      </c>
      <c r="N66" s="35" t="str">
        <f>IF(Сценарии_расчёт!$D38=1,Сценарии_расчёт!$BE38,"")</f>
        <v/>
      </c>
      <c r="O66" s="35" t="str">
        <f>IF(Сценарии_расчёт!$D38=1,Сценарии_расчёт!$BF38,"")</f>
        <v/>
      </c>
      <c r="P66" s="35" t="str">
        <f>IF(Сценарии_расчёт!$D38=1,Сценарии_расчёт!$BQ38,"")</f>
        <v/>
      </c>
      <c r="Q66" s="35" t="str">
        <f>IF(Сценарии_расчёт!$D38=1,Сценарии_расчёт!$BR38,"")</f>
        <v/>
      </c>
    </row>
    <row r="67" spans="1:17" x14ac:dyDescent="0.2">
      <c r="A67" s="50" t="str">
        <f>IF(Сценарии_расчёт!$D39=1,Сценарии_расчёт!$B39,"")</f>
        <v/>
      </c>
      <c r="B67" s="35" t="str">
        <f>IF(Сценарии_расчёт!$D39=1,Сценарии_расчёт!$K39,"")</f>
        <v/>
      </c>
      <c r="C67" s="35" t="str">
        <f>IF(Сценарии_расчёт!$D39=1,Сценарии_расчёт!$L39,"")</f>
        <v/>
      </c>
      <c r="D67" s="35" t="str">
        <f>IF(Сценарии_расчёт!$D39=1,Сценарии_расчёт!$W39,"")</f>
        <v/>
      </c>
      <c r="E67" s="35" t="str">
        <f>IF(Сценарии_расчёт!$D39=1,Сценарии_расчёт!$X39,"")</f>
        <v/>
      </c>
      <c r="G67" s="50" t="str">
        <f>IF(Сценарии_расчёт!$D39=1,Сценарии_расчёт!$B39,"")</f>
        <v/>
      </c>
      <c r="H67" s="35" t="str">
        <f>IF(Сценарии_расчёт!$D39=1,Сценарии_расчёт!$AH39,"")</f>
        <v/>
      </c>
      <c r="I67" s="35" t="str">
        <f>IF(Сценарии_расчёт!$D39=1,Сценарии_расчёт!$AI39,"")</f>
        <v/>
      </c>
      <c r="J67" s="35" t="str">
        <f>IF(Сценарии_расчёт!$D39=1,Сценарии_расчёт!$AT39,"")</f>
        <v/>
      </c>
      <c r="K67" s="35" t="str">
        <f>IF(Сценарии_расчёт!$D39=1,Сценарии_расчёт!$AU39,"")</f>
        <v/>
      </c>
      <c r="M67" s="50" t="str">
        <f>IF(Сценарии_расчёт!$D39=1,Сценарии_расчёт!$B39,"")</f>
        <v/>
      </c>
      <c r="N67" s="35" t="str">
        <f>IF(Сценарии_расчёт!$D39=1,Сценарии_расчёт!$BE39,"")</f>
        <v/>
      </c>
      <c r="O67" s="35" t="str">
        <f>IF(Сценарии_расчёт!$D39=1,Сценарии_расчёт!$BF39,"")</f>
        <v/>
      </c>
      <c r="P67" s="35" t="str">
        <f>IF(Сценарии_расчёт!$D39=1,Сценарии_расчёт!$BQ39,"")</f>
        <v/>
      </c>
      <c r="Q67" s="35" t="str">
        <f>IF(Сценарии_расчёт!$D39=1,Сценарии_расчёт!$BR39,"")</f>
        <v/>
      </c>
    </row>
    <row r="68" spans="1:17" x14ac:dyDescent="0.2">
      <c r="A68" s="50" t="str">
        <f>IF(Сценарии_расчёт!$D40=1,Сценарии_расчёт!$B40,"")</f>
        <v/>
      </c>
      <c r="B68" s="35" t="str">
        <f>IF(Сценарии_расчёт!$D40=1,Сценарии_расчёт!$K40,"")</f>
        <v/>
      </c>
      <c r="C68" s="35" t="str">
        <f>IF(Сценарии_расчёт!$D40=1,Сценарии_расчёт!$L40,"")</f>
        <v/>
      </c>
      <c r="D68" s="35" t="str">
        <f>IF(Сценарии_расчёт!$D40=1,Сценарии_расчёт!$W40,"")</f>
        <v/>
      </c>
      <c r="E68" s="35" t="str">
        <f>IF(Сценарии_расчёт!$D40=1,Сценарии_расчёт!$X40,"")</f>
        <v/>
      </c>
      <c r="G68" s="50" t="str">
        <f>IF(Сценарии_расчёт!$D40=1,Сценарии_расчёт!$B40,"")</f>
        <v/>
      </c>
      <c r="H68" s="35" t="str">
        <f>IF(Сценарии_расчёт!$D40=1,Сценарии_расчёт!$AH40,"")</f>
        <v/>
      </c>
      <c r="I68" s="35" t="str">
        <f>IF(Сценарии_расчёт!$D40=1,Сценарии_расчёт!$AI40,"")</f>
        <v/>
      </c>
      <c r="J68" s="35" t="str">
        <f>IF(Сценарии_расчёт!$D40=1,Сценарии_расчёт!$AT40,"")</f>
        <v/>
      </c>
      <c r="K68" s="35" t="str">
        <f>IF(Сценарии_расчёт!$D40=1,Сценарии_расчёт!$AU40,"")</f>
        <v/>
      </c>
      <c r="M68" s="50" t="str">
        <f>IF(Сценарии_расчёт!$D40=1,Сценарии_расчёт!$B40,"")</f>
        <v/>
      </c>
      <c r="N68" s="35" t="str">
        <f>IF(Сценарии_расчёт!$D40=1,Сценарии_расчёт!$BE40,"")</f>
        <v/>
      </c>
      <c r="O68" s="35" t="str">
        <f>IF(Сценарии_расчёт!$D40=1,Сценарии_расчёт!$BF40,"")</f>
        <v/>
      </c>
      <c r="P68" s="35" t="str">
        <f>IF(Сценарии_расчёт!$D40=1,Сценарии_расчёт!$BQ40,"")</f>
        <v/>
      </c>
      <c r="Q68" s="35" t="str">
        <f>IF(Сценарии_расчёт!$D40=1,Сценарии_расчёт!$BR40,"")</f>
        <v/>
      </c>
    </row>
    <row r="69" spans="1:17" x14ac:dyDescent="0.2">
      <c r="A69" s="50" t="str">
        <f>IF(Сценарии_расчёт!$D41=1,Сценарии_расчёт!$B41,"")</f>
        <v/>
      </c>
      <c r="B69" s="35" t="str">
        <f>IF(Сценарии_расчёт!$D41=1,Сценарии_расчёт!$K41,"")</f>
        <v/>
      </c>
      <c r="C69" s="35" t="str">
        <f>IF(Сценарии_расчёт!$D41=1,Сценарии_расчёт!$L41,"")</f>
        <v/>
      </c>
      <c r="D69" s="35" t="str">
        <f>IF(Сценарии_расчёт!$D41=1,Сценарии_расчёт!$W41,"")</f>
        <v/>
      </c>
      <c r="E69" s="35" t="str">
        <f>IF(Сценарии_расчёт!$D41=1,Сценарии_расчёт!$X41,"")</f>
        <v/>
      </c>
      <c r="G69" s="50" t="str">
        <f>IF(Сценарии_расчёт!$D41=1,Сценарии_расчёт!$B41,"")</f>
        <v/>
      </c>
      <c r="H69" s="35" t="str">
        <f>IF(Сценарии_расчёт!$D41=1,Сценарии_расчёт!$AH41,"")</f>
        <v/>
      </c>
      <c r="I69" s="35" t="str">
        <f>IF(Сценарии_расчёт!$D41=1,Сценарии_расчёт!$AI41,"")</f>
        <v/>
      </c>
      <c r="J69" s="35" t="str">
        <f>IF(Сценарии_расчёт!$D41=1,Сценарии_расчёт!$AT41,"")</f>
        <v/>
      </c>
      <c r="K69" s="35" t="str">
        <f>IF(Сценарии_расчёт!$D41=1,Сценарии_расчёт!$AU41,"")</f>
        <v/>
      </c>
      <c r="M69" s="50" t="str">
        <f>IF(Сценарии_расчёт!$D41=1,Сценарии_расчёт!$B41,"")</f>
        <v/>
      </c>
      <c r="N69" s="35" t="str">
        <f>IF(Сценарии_расчёт!$D41=1,Сценарии_расчёт!$BE41,"")</f>
        <v/>
      </c>
      <c r="O69" s="35" t="str">
        <f>IF(Сценарии_расчёт!$D41=1,Сценарии_расчёт!$BF41,"")</f>
        <v/>
      </c>
      <c r="P69" s="35" t="str">
        <f>IF(Сценарии_расчёт!$D41=1,Сценарии_расчёт!$BQ41,"")</f>
        <v/>
      </c>
      <c r="Q69" s="35" t="str">
        <f>IF(Сценарии_расчёт!$D41=1,Сценарии_расчёт!$BR41,"")</f>
        <v/>
      </c>
    </row>
    <row r="70" spans="1:17" x14ac:dyDescent="0.2">
      <c r="A70" s="50" t="str">
        <f>IF(Сценарии_расчёт!$D42=1,Сценарии_расчёт!$B42,"")</f>
        <v/>
      </c>
      <c r="B70" s="35" t="str">
        <f>IF(Сценарии_расчёт!$D42=1,Сценарии_расчёт!$K42,"")</f>
        <v/>
      </c>
      <c r="C70" s="35" t="str">
        <f>IF(Сценарии_расчёт!$D42=1,Сценарии_расчёт!$L42,"")</f>
        <v/>
      </c>
      <c r="D70" s="35" t="str">
        <f>IF(Сценарии_расчёт!$D42=1,Сценарии_расчёт!$W42,"")</f>
        <v/>
      </c>
      <c r="E70" s="35" t="str">
        <f>IF(Сценарии_расчёт!$D42=1,Сценарии_расчёт!$X42,"")</f>
        <v/>
      </c>
      <c r="G70" s="50" t="str">
        <f>IF(Сценарии_расчёт!$D42=1,Сценарии_расчёт!$B42,"")</f>
        <v/>
      </c>
      <c r="H70" s="35" t="str">
        <f>IF(Сценарии_расчёт!$D42=1,Сценарии_расчёт!$AH42,"")</f>
        <v/>
      </c>
      <c r="I70" s="35" t="str">
        <f>IF(Сценарии_расчёт!$D42=1,Сценарии_расчёт!$AI42,"")</f>
        <v/>
      </c>
      <c r="J70" s="35" t="str">
        <f>IF(Сценарии_расчёт!$D42=1,Сценарии_расчёт!$AT42,"")</f>
        <v/>
      </c>
      <c r="K70" s="35" t="str">
        <f>IF(Сценарии_расчёт!$D42=1,Сценарии_расчёт!$AU42,"")</f>
        <v/>
      </c>
      <c r="M70" s="50" t="str">
        <f>IF(Сценарии_расчёт!$D42=1,Сценарии_расчёт!$B42,"")</f>
        <v/>
      </c>
      <c r="N70" s="35" t="str">
        <f>IF(Сценарии_расчёт!$D42=1,Сценарии_расчёт!$BE42,"")</f>
        <v/>
      </c>
      <c r="O70" s="35" t="str">
        <f>IF(Сценарии_расчёт!$D42=1,Сценарии_расчёт!$BF42,"")</f>
        <v/>
      </c>
      <c r="P70" s="35" t="str">
        <f>IF(Сценарии_расчёт!$D42=1,Сценарии_расчёт!$BQ42,"")</f>
        <v/>
      </c>
      <c r="Q70" s="35" t="str">
        <f>IF(Сценарии_расчёт!$D42=1,Сценарии_расчёт!$BR42,"")</f>
        <v/>
      </c>
    </row>
    <row r="71" spans="1:17" x14ac:dyDescent="0.2">
      <c r="A71" s="50" t="str">
        <f>IF(Сценарии_расчёт!$D43=1,Сценарии_расчёт!$B43,"")</f>
        <v/>
      </c>
      <c r="B71" s="35" t="str">
        <f>IF(Сценарии_расчёт!$D43=1,Сценарии_расчёт!$K43,"")</f>
        <v/>
      </c>
      <c r="C71" s="35" t="str">
        <f>IF(Сценарии_расчёт!$D43=1,Сценарии_расчёт!$L43,"")</f>
        <v/>
      </c>
      <c r="D71" s="35" t="str">
        <f>IF(Сценарии_расчёт!$D43=1,Сценарии_расчёт!$W43,"")</f>
        <v/>
      </c>
      <c r="E71" s="35" t="str">
        <f>IF(Сценарии_расчёт!$D43=1,Сценарии_расчёт!$X43,"")</f>
        <v/>
      </c>
      <c r="G71" s="50" t="str">
        <f>IF(Сценарии_расчёт!$D43=1,Сценарии_расчёт!$B43,"")</f>
        <v/>
      </c>
      <c r="H71" s="35" t="str">
        <f>IF(Сценарии_расчёт!$D43=1,Сценарии_расчёт!$AH43,"")</f>
        <v/>
      </c>
      <c r="I71" s="35" t="str">
        <f>IF(Сценарии_расчёт!$D43=1,Сценарии_расчёт!$AI43,"")</f>
        <v/>
      </c>
      <c r="J71" s="35" t="str">
        <f>IF(Сценарии_расчёт!$D43=1,Сценарии_расчёт!$AT43,"")</f>
        <v/>
      </c>
      <c r="K71" s="35" t="str">
        <f>IF(Сценарии_расчёт!$D43=1,Сценарии_расчёт!$AU43,"")</f>
        <v/>
      </c>
      <c r="M71" s="50" t="str">
        <f>IF(Сценарии_расчёт!$D43=1,Сценарии_расчёт!$B43,"")</f>
        <v/>
      </c>
      <c r="N71" s="35" t="str">
        <f>IF(Сценарии_расчёт!$D43=1,Сценарии_расчёт!$BE43,"")</f>
        <v/>
      </c>
      <c r="O71" s="35" t="str">
        <f>IF(Сценарии_расчёт!$D43=1,Сценарии_расчёт!$BF43,"")</f>
        <v/>
      </c>
      <c r="P71" s="35" t="str">
        <f>IF(Сценарии_расчёт!$D43=1,Сценарии_расчёт!$BQ43,"")</f>
        <v/>
      </c>
      <c r="Q71" s="35" t="str">
        <f>IF(Сценарии_расчёт!$D43=1,Сценарии_расчёт!$BR43,"")</f>
        <v/>
      </c>
    </row>
    <row r="72" spans="1:17" x14ac:dyDescent="0.2">
      <c r="A72" s="50" t="str">
        <f>IF(Сценарии_расчёт!$D44=1,Сценарии_расчёт!$B44,"")</f>
        <v/>
      </c>
      <c r="B72" s="35" t="str">
        <f>IF(Сценарии_расчёт!$D44=1,Сценарии_расчёт!$K44,"")</f>
        <v/>
      </c>
      <c r="C72" s="35" t="str">
        <f>IF(Сценарии_расчёт!$D44=1,Сценарии_расчёт!$L44,"")</f>
        <v/>
      </c>
      <c r="D72" s="35" t="str">
        <f>IF(Сценарии_расчёт!$D44=1,Сценарии_расчёт!$W44,"")</f>
        <v/>
      </c>
      <c r="E72" s="35" t="str">
        <f>IF(Сценарии_расчёт!$D44=1,Сценарии_расчёт!$X44,"")</f>
        <v/>
      </c>
      <c r="G72" s="50" t="str">
        <f>IF(Сценарии_расчёт!$D44=1,Сценарии_расчёт!$B44,"")</f>
        <v/>
      </c>
      <c r="H72" s="35" t="str">
        <f>IF(Сценарии_расчёт!$D44=1,Сценарии_расчёт!$AH44,"")</f>
        <v/>
      </c>
      <c r="I72" s="35" t="str">
        <f>IF(Сценарии_расчёт!$D44=1,Сценарии_расчёт!$AI44,"")</f>
        <v/>
      </c>
      <c r="J72" s="35" t="str">
        <f>IF(Сценарии_расчёт!$D44=1,Сценарии_расчёт!$AT44,"")</f>
        <v/>
      </c>
      <c r="K72" s="35" t="str">
        <f>IF(Сценарии_расчёт!$D44=1,Сценарии_расчёт!$AU44,"")</f>
        <v/>
      </c>
      <c r="M72" s="50" t="str">
        <f>IF(Сценарии_расчёт!$D44=1,Сценарии_расчёт!$B44,"")</f>
        <v/>
      </c>
      <c r="N72" s="35" t="str">
        <f>IF(Сценарии_расчёт!$D44=1,Сценарии_расчёт!$BE44,"")</f>
        <v/>
      </c>
      <c r="O72" s="35" t="str">
        <f>IF(Сценарии_расчёт!$D44=1,Сценарии_расчёт!$BF44,"")</f>
        <v/>
      </c>
      <c r="P72" s="35" t="str">
        <f>IF(Сценарии_расчёт!$D44=1,Сценарии_расчёт!$BQ44,"")</f>
        <v/>
      </c>
      <c r="Q72" s="35" t="str">
        <f>IF(Сценарии_расчёт!$D44=1,Сценарии_расчёт!$BR44,"")</f>
        <v/>
      </c>
    </row>
    <row r="73" spans="1:17" x14ac:dyDescent="0.2">
      <c r="A73" s="50" t="str">
        <f>IF(Сценарии_расчёт!$D45=1,Сценарии_расчёт!$B45,"")</f>
        <v/>
      </c>
      <c r="B73" s="35" t="str">
        <f>IF(Сценарии_расчёт!$D45=1,Сценарии_расчёт!$K45,"")</f>
        <v/>
      </c>
      <c r="C73" s="35" t="str">
        <f>IF(Сценарии_расчёт!$D45=1,Сценарии_расчёт!$L45,"")</f>
        <v/>
      </c>
      <c r="D73" s="35" t="str">
        <f>IF(Сценарии_расчёт!$D45=1,Сценарии_расчёт!$W45,"")</f>
        <v/>
      </c>
      <c r="E73" s="35" t="str">
        <f>IF(Сценарии_расчёт!$D45=1,Сценарии_расчёт!$X45,"")</f>
        <v/>
      </c>
      <c r="G73" s="50" t="str">
        <f>IF(Сценарии_расчёт!$D45=1,Сценарии_расчёт!$B45,"")</f>
        <v/>
      </c>
      <c r="H73" s="35" t="str">
        <f>IF(Сценарии_расчёт!$D45=1,Сценарии_расчёт!$AH45,"")</f>
        <v/>
      </c>
      <c r="I73" s="35" t="str">
        <f>IF(Сценарии_расчёт!$D45=1,Сценарии_расчёт!$AI45,"")</f>
        <v/>
      </c>
      <c r="J73" s="35" t="str">
        <f>IF(Сценарии_расчёт!$D45=1,Сценарии_расчёт!$AT45,"")</f>
        <v/>
      </c>
      <c r="K73" s="35" t="str">
        <f>IF(Сценарии_расчёт!$D45=1,Сценарии_расчёт!$AU45,"")</f>
        <v/>
      </c>
      <c r="M73" s="50" t="str">
        <f>IF(Сценарии_расчёт!$D45=1,Сценарии_расчёт!$B45,"")</f>
        <v/>
      </c>
      <c r="N73" s="35" t="str">
        <f>IF(Сценарии_расчёт!$D45=1,Сценарии_расчёт!$BE45,"")</f>
        <v/>
      </c>
      <c r="O73" s="35" t="str">
        <f>IF(Сценарии_расчёт!$D45=1,Сценарии_расчёт!$BF45,"")</f>
        <v/>
      </c>
      <c r="P73" s="35" t="str">
        <f>IF(Сценарии_расчёт!$D45=1,Сценарии_расчёт!$BQ45,"")</f>
        <v/>
      </c>
      <c r="Q73" s="35" t="str">
        <f>IF(Сценарии_расчёт!$D45=1,Сценарии_расчёт!$BR45,"")</f>
        <v/>
      </c>
    </row>
    <row r="74" spans="1:17" x14ac:dyDescent="0.2">
      <c r="A74" s="50" t="str">
        <f>IF(Сценарии_расчёт!$D46=1,Сценарии_расчёт!$B46,"")</f>
        <v/>
      </c>
      <c r="B74" s="35" t="str">
        <f>IF(Сценарии_расчёт!$D46=1,Сценарии_расчёт!$K46,"")</f>
        <v/>
      </c>
      <c r="C74" s="35" t="str">
        <f>IF(Сценарии_расчёт!$D46=1,Сценарии_расчёт!$L46,"")</f>
        <v/>
      </c>
      <c r="D74" s="35" t="str">
        <f>IF(Сценарии_расчёт!$D46=1,Сценарии_расчёт!$W46,"")</f>
        <v/>
      </c>
      <c r="E74" s="35" t="str">
        <f>IF(Сценарии_расчёт!$D46=1,Сценарии_расчёт!$X46,"")</f>
        <v/>
      </c>
      <c r="G74" s="50" t="str">
        <f>IF(Сценарии_расчёт!$D46=1,Сценарии_расчёт!$B46,"")</f>
        <v/>
      </c>
      <c r="H74" s="35" t="str">
        <f>IF(Сценарии_расчёт!$D46=1,Сценарии_расчёт!$AH46,"")</f>
        <v/>
      </c>
      <c r="I74" s="35" t="str">
        <f>IF(Сценарии_расчёт!$D46=1,Сценарии_расчёт!$AI46,"")</f>
        <v/>
      </c>
      <c r="J74" s="35" t="str">
        <f>IF(Сценарии_расчёт!$D46=1,Сценарии_расчёт!$AT46,"")</f>
        <v/>
      </c>
      <c r="K74" s="35" t="str">
        <f>IF(Сценарии_расчёт!$D46=1,Сценарии_расчёт!$AU46,"")</f>
        <v/>
      </c>
      <c r="M74" s="50" t="str">
        <f>IF(Сценарии_расчёт!$D46=1,Сценарии_расчёт!$B46,"")</f>
        <v/>
      </c>
      <c r="N74" s="35" t="str">
        <f>IF(Сценарии_расчёт!$D46=1,Сценарии_расчёт!$BE46,"")</f>
        <v/>
      </c>
      <c r="O74" s="35" t="str">
        <f>IF(Сценарии_расчёт!$D46=1,Сценарии_расчёт!$BF46,"")</f>
        <v/>
      </c>
      <c r="P74" s="35" t="str">
        <f>IF(Сценарии_расчёт!$D46=1,Сценарии_расчёт!$BQ46,"")</f>
        <v/>
      </c>
      <c r="Q74" s="35" t="str">
        <f>IF(Сценарии_расчёт!$D46=1,Сценарии_расчёт!$BR46,"")</f>
        <v/>
      </c>
    </row>
    <row r="75" spans="1:17" x14ac:dyDescent="0.2">
      <c r="A75" s="50" t="str">
        <f>IF(Сценарии_расчёт!$D47=1,Сценарии_расчёт!$B47,"")</f>
        <v/>
      </c>
      <c r="B75" s="35" t="str">
        <f>IF(Сценарии_расчёт!$D47=1,Сценарии_расчёт!$K47,"")</f>
        <v/>
      </c>
      <c r="C75" s="35" t="str">
        <f>IF(Сценарии_расчёт!$D47=1,Сценарии_расчёт!$L47,"")</f>
        <v/>
      </c>
      <c r="D75" s="35" t="str">
        <f>IF(Сценарии_расчёт!$D47=1,Сценарии_расчёт!$W47,"")</f>
        <v/>
      </c>
      <c r="E75" s="35" t="str">
        <f>IF(Сценарии_расчёт!$D47=1,Сценарии_расчёт!$X47,"")</f>
        <v/>
      </c>
      <c r="G75" s="50" t="str">
        <f>IF(Сценарии_расчёт!$D47=1,Сценарии_расчёт!$B47,"")</f>
        <v/>
      </c>
      <c r="H75" s="35" t="str">
        <f>IF(Сценарии_расчёт!$D47=1,Сценарии_расчёт!$AH47,"")</f>
        <v/>
      </c>
      <c r="I75" s="35" t="str">
        <f>IF(Сценарии_расчёт!$D47=1,Сценарии_расчёт!$AI47,"")</f>
        <v/>
      </c>
      <c r="J75" s="35" t="str">
        <f>IF(Сценарии_расчёт!$D47=1,Сценарии_расчёт!$AT47,"")</f>
        <v/>
      </c>
      <c r="K75" s="35" t="str">
        <f>IF(Сценарии_расчёт!$D47=1,Сценарии_расчёт!$AU47,"")</f>
        <v/>
      </c>
      <c r="M75" s="50" t="str">
        <f>IF(Сценарии_расчёт!$D47=1,Сценарии_расчёт!$B47,"")</f>
        <v/>
      </c>
      <c r="N75" s="35" t="str">
        <f>IF(Сценарии_расчёт!$D47=1,Сценарии_расчёт!$BE47,"")</f>
        <v/>
      </c>
      <c r="O75" s="35" t="str">
        <f>IF(Сценарии_расчёт!$D47=1,Сценарии_расчёт!$BF47,"")</f>
        <v/>
      </c>
      <c r="P75" s="35" t="str">
        <f>IF(Сценарии_расчёт!$D47=1,Сценарии_расчёт!$BQ47,"")</f>
        <v/>
      </c>
      <c r="Q75" s="35" t="str">
        <f>IF(Сценарии_расчёт!$D47=1,Сценарии_расчёт!$BR47,"")</f>
        <v/>
      </c>
    </row>
    <row r="76" spans="1:17" x14ac:dyDescent="0.2">
      <c r="A76" s="50" t="str">
        <f>IF(Сценарии_расчёт!$D48=1,Сценарии_расчёт!$B48,"")</f>
        <v/>
      </c>
      <c r="B76" s="35" t="str">
        <f>IF(Сценарии_расчёт!$D48=1,Сценарии_расчёт!$K48,"")</f>
        <v/>
      </c>
      <c r="C76" s="35" t="str">
        <f>IF(Сценарии_расчёт!$D48=1,Сценарии_расчёт!$L48,"")</f>
        <v/>
      </c>
      <c r="D76" s="35" t="str">
        <f>IF(Сценарии_расчёт!$D48=1,Сценарии_расчёт!$W48,"")</f>
        <v/>
      </c>
      <c r="E76" s="35" t="str">
        <f>IF(Сценарии_расчёт!$D48=1,Сценарии_расчёт!$X48,"")</f>
        <v/>
      </c>
      <c r="G76" s="50" t="str">
        <f>IF(Сценарии_расчёт!$D48=1,Сценарии_расчёт!$B48,"")</f>
        <v/>
      </c>
      <c r="H76" s="35" t="str">
        <f>IF(Сценарии_расчёт!$D48=1,Сценарии_расчёт!$AH48,"")</f>
        <v/>
      </c>
      <c r="I76" s="35" t="str">
        <f>IF(Сценарии_расчёт!$D48=1,Сценарии_расчёт!$AI48,"")</f>
        <v/>
      </c>
      <c r="J76" s="35" t="str">
        <f>IF(Сценарии_расчёт!$D48=1,Сценарии_расчёт!$AT48,"")</f>
        <v/>
      </c>
      <c r="K76" s="35" t="str">
        <f>IF(Сценарии_расчёт!$D48=1,Сценарии_расчёт!$AU48,"")</f>
        <v/>
      </c>
      <c r="M76" s="50" t="str">
        <f>IF(Сценарии_расчёт!$D48=1,Сценарии_расчёт!$B48,"")</f>
        <v/>
      </c>
      <c r="N76" s="35" t="str">
        <f>IF(Сценарии_расчёт!$D48=1,Сценарии_расчёт!$BE48,"")</f>
        <v/>
      </c>
      <c r="O76" s="35" t="str">
        <f>IF(Сценарии_расчёт!$D48=1,Сценарии_расчёт!$BF48,"")</f>
        <v/>
      </c>
      <c r="P76" s="35" t="str">
        <f>IF(Сценарии_расчёт!$D48=1,Сценарии_расчёт!$BQ48,"")</f>
        <v/>
      </c>
      <c r="Q76" s="35" t="str">
        <f>IF(Сценарии_расчёт!$D48=1,Сценарии_расчёт!$BR48,"")</f>
        <v/>
      </c>
    </row>
    <row r="77" spans="1:17" x14ac:dyDescent="0.2">
      <c r="A77" s="50" t="str">
        <f>IF(Сценарии_расчёт!$D49=1,Сценарии_расчёт!$B49,"")</f>
        <v/>
      </c>
      <c r="B77" s="35" t="str">
        <f>IF(Сценарии_расчёт!$D49=1,Сценарии_расчёт!$K49,"")</f>
        <v/>
      </c>
      <c r="C77" s="35" t="str">
        <f>IF(Сценарии_расчёт!$D49=1,Сценарии_расчёт!$L49,"")</f>
        <v/>
      </c>
      <c r="D77" s="35" t="str">
        <f>IF(Сценарии_расчёт!$D49=1,Сценарии_расчёт!$W49,"")</f>
        <v/>
      </c>
      <c r="E77" s="35" t="str">
        <f>IF(Сценарии_расчёт!$D49=1,Сценарии_расчёт!$X49,"")</f>
        <v/>
      </c>
      <c r="G77" s="50" t="str">
        <f>IF(Сценарии_расчёт!$D49=1,Сценарии_расчёт!$B49,"")</f>
        <v/>
      </c>
      <c r="H77" s="35" t="str">
        <f>IF(Сценарии_расчёт!$D49=1,Сценарии_расчёт!$AH49,"")</f>
        <v/>
      </c>
      <c r="I77" s="35" t="str">
        <f>IF(Сценарии_расчёт!$D49=1,Сценарии_расчёт!$AI49,"")</f>
        <v/>
      </c>
      <c r="J77" s="35" t="str">
        <f>IF(Сценарии_расчёт!$D49=1,Сценарии_расчёт!$AT49,"")</f>
        <v/>
      </c>
      <c r="K77" s="35" t="str">
        <f>IF(Сценарии_расчёт!$D49=1,Сценарии_расчёт!$AU49,"")</f>
        <v/>
      </c>
      <c r="M77" s="50" t="str">
        <f>IF(Сценарии_расчёт!$D49=1,Сценарии_расчёт!$B49,"")</f>
        <v/>
      </c>
      <c r="N77" s="35" t="str">
        <f>IF(Сценарии_расчёт!$D49=1,Сценарии_расчёт!$BE49,"")</f>
        <v/>
      </c>
      <c r="O77" s="35" t="str">
        <f>IF(Сценарии_расчёт!$D49=1,Сценарии_расчёт!$BF49,"")</f>
        <v/>
      </c>
      <c r="P77" s="35" t="str">
        <f>IF(Сценарии_расчёт!$D49=1,Сценарии_расчёт!$BQ49,"")</f>
        <v/>
      </c>
      <c r="Q77" s="35" t="str">
        <f>IF(Сценарии_расчёт!$D49=1,Сценарии_расчёт!$BR49,"")</f>
        <v/>
      </c>
    </row>
    <row r="78" spans="1:17" x14ac:dyDescent="0.2">
      <c r="A78" s="50" t="str">
        <f>IF(Сценарии_расчёт!$D50=1,Сценарии_расчёт!$B50,"")</f>
        <v/>
      </c>
      <c r="B78" s="35" t="str">
        <f>IF(Сценарии_расчёт!$D50=1,Сценарии_расчёт!$K50,"")</f>
        <v/>
      </c>
      <c r="C78" s="35" t="str">
        <f>IF(Сценарии_расчёт!$D50=1,Сценарии_расчёт!$L50,"")</f>
        <v/>
      </c>
      <c r="D78" s="35" t="str">
        <f>IF(Сценарии_расчёт!$D50=1,Сценарии_расчёт!$W50,"")</f>
        <v/>
      </c>
      <c r="E78" s="35" t="str">
        <f>IF(Сценарии_расчёт!$D50=1,Сценарии_расчёт!$X50,"")</f>
        <v/>
      </c>
      <c r="G78" s="50" t="str">
        <f>IF(Сценарии_расчёт!$D50=1,Сценарии_расчёт!$B50,"")</f>
        <v/>
      </c>
      <c r="H78" s="35" t="str">
        <f>IF(Сценарии_расчёт!$D50=1,Сценарии_расчёт!$AH50,"")</f>
        <v/>
      </c>
      <c r="I78" s="35" t="str">
        <f>IF(Сценарии_расчёт!$D50=1,Сценарии_расчёт!$AI50,"")</f>
        <v/>
      </c>
      <c r="J78" s="35" t="str">
        <f>IF(Сценарии_расчёт!$D50=1,Сценарии_расчёт!$AT50,"")</f>
        <v/>
      </c>
      <c r="K78" s="35" t="str">
        <f>IF(Сценарии_расчёт!$D50=1,Сценарии_расчёт!$AU50,"")</f>
        <v/>
      </c>
      <c r="M78" s="50" t="str">
        <f>IF(Сценарии_расчёт!$D50=1,Сценарии_расчёт!$B50,"")</f>
        <v/>
      </c>
      <c r="N78" s="35" t="str">
        <f>IF(Сценарии_расчёт!$D50=1,Сценарии_расчёт!$BE50,"")</f>
        <v/>
      </c>
      <c r="O78" s="35" t="str">
        <f>IF(Сценарии_расчёт!$D50=1,Сценарии_расчёт!$BF50,"")</f>
        <v/>
      </c>
      <c r="P78" s="35" t="str">
        <f>IF(Сценарии_расчёт!$D50=1,Сценарии_расчёт!$BQ50,"")</f>
        <v/>
      </c>
      <c r="Q78" s="35" t="str">
        <f>IF(Сценарии_расчёт!$D50=1,Сценарии_расчёт!$BR50,"")</f>
        <v/>
      </c>
    </row>
    <row r="79" spans="1:17" x14ac:dyDescent="0.2">
      <c r="A79" s="50" t="str">
        <f>IF(Сценарии_расчёт!$D51=1,Сценарии_расчёт!$B51,"")</f>
        <v/>
      </c>
      <c r="B79" s="35" t="str">
        <f>IF(Сценарии_расчёт!$D51=1,Сценарии_расчёт!$K51,"")</f>
        <v/>
      </c>
      <c r="C79" s="35" t="str">
        <f>IF(Сценарии_расчёт!$D51=1,Сценарии_расчёт!$L51,"")</f>
        <v/>
      </c>
      <c r="D79" s="35" t="str">
        <f>IF(Сценарии_расчёт!$D51=1,Сценарии_расчёт!$W51,"")</f>
        <v/>
      </c>
      <c r="E79" s="35" t="str">
        <f>IF(Сценарии_расчёт!$D51=1,Сценарии_расчёт!$X51,"")</f>
        <v/>
      </c>
      <c r="G79" s="50" t="str">
        <f>IF(Сценарии_расчёт!$D51=1,Сценарии_расчёт!$B51,"")</f>
        <v/>
      </c>
      <c r="H79" s="35" t="str">
        <f>IF(Сценарии_расчёт!$D51=1,Сценарии_расчёт!$AH51,"")</f>
        <v/>
      </c>
      <c r="I79" s="35" t="str">
        <f>IF(Сценарии_расчёт!$D51=1,Сценарии_расчёт!$AI51,"")</f>
        <v/>
      </c>
      <c r="J79" s="35" t="str">
        <f>IF(Сценарии_расчёт!$D51=1,Сценарии_расчёт!$AT51,"")</f>
        <v/>
      </c>
      <c r="K79" s="35" t="str">
        <f>IF(Сценарии_расчёт!$D51=1,Сценарии_расчёт!$AU51,"")</f>
        <v/>
      </c>
      <c r="M79" s="50" t="str">
        <f>IF(Сценарии_расчёт!$D51=1,Сценарии_расчёт!$B51,"")</f>
        <v/>
      </c>
      <c r="N79" s="35" t="str">
        <f>IF(Сценарии_расчёт!$D51=1,Сценарии_расчёт!$BE51,"")</f>
        <v/>
      </c>
      <c r="O79" s="35" t="str">
        <f>IF(Сценарии_расчёт!$D51=1,Сценарии_расчёт!$BF51,"")</f>
        <v/>
      </c>
      <c r="P79" s="35" t="str">
        <f>IF(Сценарии_расчёт!$D51=1,Сценарии_расчёт!$BQ51,"")</f>
        <v/>
      </c>
      <c r="Q79" s="35" t="str">
        <f>IF(Сценарии_расчёт!$D51=1,Сценарии_расчёт!$BR51,"")</f>
        <v/>
      </c>
    </row>
    <row r="80" spans="1:17" x14ac:dyDescent="0.2">
      <c r="A80" s="50" t="str">
        <f>IF(Сценарии_расчёт!$D52=1,Сценарии_расчёт!$B52,"")</f>
        <v/>
      </c>
      <c r="B80" s="35" t="str">
        <f>IF(Сценарии_расчёт!$D52=1,Сценарии_расчёт!$K52,"")</f>
        <v/>
      </c>
      <c r="C80" s="35" t="str">
        <f>IF(Сценарии_расчёт!$D52=1,Сценарии_расчёт!$L52,"")</f>
        <v/>
      </c>
      <c r="D80" s="35" t="str">
        <f>IF(Сценарии_расчёт!$D52=1,Сценарии_расчёт!$W52,"")</f>
        <v/>
      </c>
      <c r="E80" s="35" t="str">
        <f>IF(Сценарии_расчёт!$D52=1,Сценарии_расчёт!$X52,"")</f>
        <v/>
      </c>
      <c r="G80" s="50" t="str">
        <f>IF(Сценарии_расчёт!$D52=1,Сценарии_расчёт!$B52,"")</f>
        <v/>
      </c>
      <c r="H80" s="35" t="str">
        <f>IF(Сценарии_расчёт!$D52=1,Сценарии_расчёт!$AH52,"")</f>
        <v/>
      </c>
      <c r="I80" s="35" t="str">
        <f>IF(Сценарии_расчёт!$D52=1,Сценарии_расчёт!$AI52,"")</f>
        <v/>
      </c>
      <c r="J80" s="35" t="str">
        <f>IF(Сценарии_расчёт!$D52=1,Сценарии_расчёт!$AT52,"")</f>
        <v/>
      </c>
      <c r="K80" s="35" t="str">
        <f>IF(Сценарии_расчёт!$D52=1,Сценарии_расчёт!$AU52,"")</f>
        <v/>
      </c>
      <c r="M80" s="50" t="str">
        <f>IF(Сценарии_расчёт!$D52=1,Сценарии_расчёт!$B52,"")</f>
        <v/>
      </c>
      <c r="N80" s="35" t="str">
        <f>IF(Сценарии_расчёт!$D52=1,Сценарии_расчёт!$BE52,"")</f>
        <v/>
      </c>
      <c r="O80" s="35" t="str">
        <f>IF(Сценарии_расчёт!$D52=1,Сценарии_расчёт!$BF52,"")</f>
        <v/>
      </c>
      <c r="P80" s="35" t="str">
        <f>IF(Сценарии_расчёт!$D52=1,Сценарии_расчёт!$BQ52,"")</f>
        <v/>
      </c>
      <c r="Q80" s="35" t="str">
        <f>IF(Сценарии_расчёт!$D52=1,Сценарии_расчёт!$BR52,"")</f>
        <v/>
      </c>
    </row>
    <row r="81" spans="1:17" x14ac:dyDescent="0.2">
      <c r="A81" s="50" t="str">
        <f>IF(Сценарии_расчёт!$D53=1,Сценарии_расчёт!$B53,"")</f>
        <v/>
      </c>
      <c r="B81" s="35" t="str">
        <f>IF(Сценарии_расчёт!$D53=1,Сценарии_расчёт!$K53,"")</f>
        <v/>
      </c>
      <c r="C81" s="35" t="str">
        <f>IF(Сценарии_расчёт!$D53=1,Сценарии_расчёт!$L53,"")</f>
        <v/>
      </c>
      <c r="D81" s="35" t="str">
        <f>IF(Сценарии_расчёт!$D53=1,Сценарии_расчёт!$W53,"")</f>
        <v/>
      </c>
      <c r="E81" s="35" t="str">
        <f>IF(Сценарии_расчёт!$D53=1,Сценарии_расчёт!$X53,"")</f>
        <v/>
      </c>
      <c r="G81" s="50" t="str">
        <f>IF(Сценарии_расчёт!$D53=1,Сценарии_расчёт!$B53,"")</f>
        <v/>
      </c>
      <c r="H81" s="35" t="str">
        <f>IF(Сценарии_расчёт!$D53=1,Сценарии_расчёт!$AH53,"")</f>
        <v/>
      </c>
      <c r="I81" s="35" t="str">
        <f>IF(Сценарии_расчёт!$D53=1,Сценарии_расчёт!$AI53,"")</f>
        <v/>
      </c>
      <c r="J81" s="35" t="str">
        <f>IF(Сценарии_расчёт!$D53=1,Сценарии_расчёт!$AT53,"")</f>
        <v/>
      </c>
      <c r="K81" s="35" t="str">
        <f>IF(Сценарии_расчёт!$D53=1,Сценарии_расчёт!$AU53,"")</f>
        <v/>
      </c>
      <c r="M81" s="50" t="str">
        <f>IF(Сценарии_расчёт!$D53=1,Сценарии_расчёт!$B53,"")</f>
        <v/>
      </c>
      <c r="N81" s="35" t="str">
        <f>IF(Сценарии_расчёт!$D53=1,Сценарии_расчёт!$BE53,"")</f>
        <v/>
      </c>
      <c r="O81" s="35" t="str">
        <f>IF(Сценарии_расчёт!$D53=1,Сценарии_расчёт!$BF53,"")</f>
        <v/>
      </c>
      <c r="P81" s="35" t="str">
        <f>IF(Сценарии_расчёт!$D53=1,Сценарии_расчёт!$BQ53,"")</f>
        <v/>
      </c>
      <c r="Q81" s="35" t="str">
        <f>IF(Сценарии_расчёт!$D53=1,Сценарии_расчёт!$BR53,"")</f>
        <v/>
      </c>
    </row>
    <row r="82" spans="1:17" x14ac:dyDescent="0.2">
      <c r="A82" s="50" t="str">
        <f>IF(Сценарии_расчёт!$D54=1,Сценарии_расчёт!$B54,"")</f>
        <v/>
      </c>
      <c r="B82" s="35" t="str">
        <f>IF(Сценарии_расчёт!$D54=1,Сценарии_расчёт!$K54,"")</f>
        <v/>
      </c>
      <c r="C82" s="35" t="str">
        <f>IF(Сценарии_расчёт!$D54=1,Сценарии_расчёт!$L54,"")</f>
        <v/>
      </c>
      <c r="D82" s="35" t="str">
        <f>IF(Сценарии_расчёт!$D54=1,Сценарии_расчёт!$W54,"")</f>
        <v/>
      </c>
      <c r="E82" s="35" t="str">
        <f>IF(Сценарии_расчёт!$D54=1,Сценарии_расчёт!$X54,"")</f>
        <v/>
      </c>
      <c r="G82" s="50" t="str">
        <f>IF(Сценарии_расчёт!$D54=1,Сценарии_расчёт!$B54,"")</f>
        <v/>
      </c>
      <c r="H82" s="35" t="str">
        <f>IF(Сценарии_расчёт!$D54=1,Сценарии_расчёт!$AH54,"")</f>
        <v/>
      </c>
      <c r="I82" s="35" t="str">
        <f>IF(Сценарии_расчёт!$D54=1,Сценарии_расчёт!$AI54,"")</f>
        <v/>
      </c>
      <c r="J82" s="35" t="str">
        <f>IF(Сценарии_расчёт!$D54=1,Сценарии_расчёт!$AT54,"")</f>
        <v/>
      </c>
      <c r="K82" s="35" t="str">
        <f>IF(Сценарии_расчёт!$D54=1,Сценарии_расчёт!$AU54,"")</f>
        <v/>
      </c>
      <c r="M82" s="50" t="str">
        <f>IF(Сценарии_расчёт!$D54=1,Сценарии_расчёт!$B54,"")</f>
        <v/>
      </c>
      <c r="N82" s="35" t="str">
        <f>IF(Сценарии_расчёт!$D54=1,Сценарии_расчёт!$BE54,"")</f>
        <v/>
      </c>
      <c r="O82" s="35" t="str">
        <f>IF(Сценарии_расчёт!$D54=1,Сценарии_расчёт!$BF54,"")</f>
        <v/>
      </c>
      <c r="P82" s="35" t="str">
        <f>IF(Сценарии_расчёт!$D54=1,Сценарии_расчёт!$BQ54,"")</f>
        <v/>
      </c>
      <c r="Q82" s="35" t="str">
        <f>IF(Сценарии_расчёт!$D54=1,Сценарии_расчёт!$BR54,"")</f>
        <v/>
      </c>
    </row>
    <row r="83" spans="1:17" x14ac:dyDescent="0.2">
      <c r="A83" s="50" t="str">
        <f>IF(Сценарии_расчёт!$D55=1,Сценарии_расчёт!$B55,"")</f>
        <v/>
      </c>
      <c r="B83" s="35" t="str">
        <f>IF(Сценарии_расчёт!$D55=1,Сценарии_расчёт!$K55,"")</f>
        <v/>
      </c>
      <c r="C83" s="35" t="str">
        <f>IF(Сценарии_расчёт!$D55=1,Сценарии_расчёт!$L55,"")</f>
        <v/>
      </c>
      <c r="D83" s="35" t="str">
        <f>IF(Сценарии_расчёт!$D55=1,Сценарии_расчёт!$W55,"")</f>
        <v/>
      </c>
      <c r="E83" s="35" t="str">
        <f>IF(Сценарии_расчёт!$D55=1,Сценарии_расчёт!$X55,"")</f>
        <v/>
      </c>
      <c r="G83" s="50" t="str">
        <f>IF(Сценарии_расчёт!$D55=1,Сценарии_расчёт!$B55,"")</f>
        <v/>
      </c>
      <c r="H83" s="35" t="str">
        <f>IF(Сценарии_расчёт!$D55=1,Сценарии_расчёт!$AH55,"")</f>
        <v/>
      </c>
      <c r="I83" s="35" t="str">
        <f>IF(Сценарии_расчёт!$D55=1,Сценарии_расчёт!$AI55,"")</f>
        <v/>
      </c>
      <c r="J83" s="35" t="str">
        <f>IF(Сценарии_расчёт!$D55=1,Сценарии_расчёт!$AT55,"")</f>
        <v/>
      </c>
      <c r="K83" s="35" t="str">
        <f>IF(Сценарии_расчёт!$D55=1,Сценарии_расчёт!$AU55,"")</f>
        <v/>
      </c>
      <c r="M83" s="50" t="str">
        <f>IF(Сценарии_расчёт!$D55=1,Сценарии_расчёт!$B55,"")</f>
        <v/>
      </c>
      <c r="N83" s="35" t="str">
        <f>IF(Сценарии_расчёт!$D55=1,Сценарии_расчёт!$BE55,"")</f>
        <v/>
      </c>
      <c r="O83" s="35" t="str">
        <f>IF(Сценарии_расчёт!$D55=1,Сценарии_расчёт!$BF55,"")</f>
        <v/>
      </c>
      <c r="P83" s="35" t="str">
        <f>IF(Сценарии_расчёт!$D55=1,Сценарии_расчёт!$BQ55,"")</f>
        <v/>
      </c>
      <c r="Q83" s="35" t="str">
        <f>IF(Сценарии_расчёт!$D55=1,Сценарии_расчёт!$BR55,"")</f>
        <v/>
      </c>
    </row>
    <row r="84" spans="1:17" x14ac:dyDescent="0.2">
      <c r="A84" s="50" t="str">
        <f>IF(Сценарии_расчёт!$D56=1,Сценарии_расчёт!$B56,"")</f>
        <v/>
      </c>
      <c r="B84" s="35" t="str">
        <f>IF(Сценарии_расчёт!$D56=1,Сценарии_расчёт!$K56,"")</f>
        <v/>
      </c>
      <c r="C84" s="35" t="str">
        <f>IF(Сценарии_расчёт!$D56=1,Сценарии_расчёт!$L56,"")</f>
        <v/>
      </c>
      <c r="D84" s="35" t="str">
        <f>IF(Сценарии_расчёт!$D56=1,Сценарии_расчёт!$W56,"")</f>
        <v/>
      </c>
      <c r="E84" s="35" t="str">
        <f>IF(Сценарии_расчёт!$D56=1,Сценарии_расчёт!$X56,"")</f>
        <v/>
      </c>
      <c r="G84" s="50" t="str">
        <f>IF(Сценарии_расчёт!$D56=1,Сценарии_расчёт!$B56,"")</f>
        <v/>
      </c>
      <c r="H84" s="35" t="str">
        <f>IF(Сценарии_расчёт!$D56=1,Сценарии_расчёт!$AH56,"")</f>
        <v/>
      </c>
      <c r="I84" s="35" t="str">
        <f>IF(Сценарии_расчёт!$D56=1,Сценарии_расчёт!$AI56,"")</f>
        <v/>
      </c>
      <c r="J84" s="35" t="str">
        <f>IF(Сценарии_расчёт!$D56=1,Сценарии_расчёт!$AT56,"")</f>
        <v/>
      </c>
      <c r="K84" s="35" t="str">
        <f>IF(Сценарии_расчёт!$D56=1,Сценарии_расчёт!$AU56,"")</f>
        <v/>
      </c>
      <c r="M84" s="50" t="str">
        <f>IF(Сценарии_расчёт!$D56=1,Сценарии_расчёт!$B56,"")</f>
        <v/>
      </c>
      <c r="N84" s="35" t="str">
        <f>IF(Сценарии_расчёт!$D56=1,Сценарии_расчёт!$BE56,"")</f>
        <v/>
      </c>
      <c r="O84" s="35" t="str">
        <f>IF(Сценарии_расчёт!$D56=1,Сценарии_расчёт!$BF56,"")</f>
        <v/>
      </c>
      <c r="P84" s="35" t="str">
        <f>IF(Сценарии_расчёт!$D56=1,Сценарии_расчёт!$BQ56,"")</f>
        <v/>
      </c>
      <c r="Q84" s="35" t="str">
        <f>IF(Сценарии_расчёт!$D56=1,Сценарии_расчёт!$BR56,"")</f>
        <v/>
      </c>
    </row>
    <row r="85" spans="1:17" x14ac:dyDescent="0.2">
      <c r="A85" s="50" t="str">
        <f>IF(Сценарии_расчёт!$D57=1,Сценарии_расчёт!$B57,"")</f>
        <v/>
      </c>
      <c r="B85" s="35" t="str">
        <f>IF(Сценарии_расчёт!$D57=1,Сценарии_расчёт!$K57,"")</f>
        <v/>
      </c>
      <c r="C85" s="35" t="str">
        <f>IF(Сценарии_расчёт!$D57=1,Сценарии_расчёт!$L57,"")</f>
        <v/>
      </c>
      <c r="D85" s="35" t="str">
        <f>IF(Сценарии_расчёт!$D57=1,Сценарии_расчёт!$W57,"")</f>
        <v/>
      </c>
      <c r="E85" s="35" t="str">
        <f>IF(Сценарии_расчёт!$D57=1,Сценарии_расчёт!$X57,"")</f>
        <v/>
      </c>
      <c r="G85" s="50" t="str">
        <f>IF(Сценарии_расчёт!$D57=1,Сценарии_расчёт!$B57,"")</f>
        <v/>
      </c>
      <c r="H85" s="35" t="str">
        <f>IF(Сценарии_расчёт!$D57=1,Сценарии_расчёт!$AH57,"")</f>
        <v/>
      </c>
      <c r="I85" s="35" t="str">
        <f>IF(Сценарии_расчёт!$D57=1,Сценарии_расчёт!$AI57,"")</f>
        <v/>
      </c>
      <c r="J85" s="35" t="str">
        <f>IF(Сценарии_расчёт!$D57=1,Сценарии_расчёт!$AT57,"")</f>
        <v/>
      </c>
      <c r="K85" s="35" t="str">
        <f>IF(Сценарии_расчёт!$D57=1,Сценарии_расчёт!$AU57,"")</f>
        <v/>
      </c>
      <c r="M85" s="50" t="str">
        <f>IF(Сценарии_расчёт!$D57=1,Сценарии_расчёт!$B57,"")</f>
        <v/>
      </c>
      <c r="N85" s="35" t="str">
        <f>IF(Сценарии_расчёт!$D57=1,Сценарии_расчёт!$BE57,"")</f>
        <v/>
      </c>
      <c r="O85" s="35" t="str">
        <f>IF(Сценарии_расчёт!$D57=1,Сценарии_расчёт!$BF57,"")</f>
        <v/>
      </c>
      <c r="P85" s="35" t="str">
        <f>IF(Сценарии_расчёт!$D57=1,Сценарии_расчёт!$BQ57,"")</f>
        <v/>
      </c>
      <c r="Q85" s="35" t="str">
        <f>IF(Сценарии_расчёт!$D57=1,Сценарии_расчёт!$BR57,"")</f>
        <v/>
      </c>
    </row>
    <row r="86" spans="1:17" x14ac:dyDescent="0.2">
      <c r="A86" s="50" t="str">
        <f>IF(Сценарии_расчёт!$D58=1,Сценарии_расчёт!$B58,"")</f>
        <v/>
      </c>
      <c r="B86" s="35" t="str">
        <f>IF(Сценарии_расчёт!$D58=1,Сценарии_расчёт!$K58,"")</f>
        <v/>
      </c>
      <c r="C86" s="35" t="str">
        <f>IF(Сценарии_расчёт!$D58=1,Сценарии_расчёт!$L58,"")</f>
        <v/>
      </c>
      <c r="D86" s="35" t="str">
        <f>IF(Сценарии_расчёт!$D58=1,Сценарии_расчёт!$W58,"")</f>
        <v/>
      </c>
      <c r="E86" s="35" t="str">
        <f>IF(Сценарии_расчёт!$D58=1,Сценарии_расчёт!$X58,"")</f>
        <v/>
      </c>
      <c r="G86" s="50" t="str">
        <f>IF(Сценарии_расчёт!$D58=1,Сценарии_расчёт!$B58,"")</f>
        <v/>
      </c>
      <c r="H86" s="35" t="str">
        <f>IF(Сценарии_расчёт!$D58=1,Сценарии_расчёт!$AH58,"")</f>
        <v/>
      </c>
      <c r="I86" s="35" t="str">
        <f>IF(Сценарии_расчёт!$D58=1,Сценарии_расчёт!$AI58,"")</f>
        <v/>
      </c>
      <c r="J86" s="35" t="str">
        <f>IF(Сценарии_расчёт!$D58=1,Сценарии_расчёт!$AT58,"")</f>
        <v/>
      </c>
      <c r="K86" s="35" t="str">
        <f>IF(Сценарии_расчёт!$D58=1,Сценарии_расчёт!$AU58,"")</f>
        <v/>
      </c>
      <c r="M86" s="50" t="str">
        <f>IF(Сценарии_расчёт!$D58=1,Сценарии_расчёт!$B58,"")</f>
        <v/>
      </c>
      <c r="N86" s="35" t="str">
        <f>IF(Сценарии_расчёт!$D58=1,Сценарии_расчёт!$BE58,"")</f>
        <v/>
      </c>
      <c r="O86" s="35" t="str">
        <f>IF(Сценарии_расчёт!$D58=1,Сценарии_расчёт!$BF58,"")</f>
        <v/>
      </c>
      <c r="P86" s="35" t="str">
        <f>IF(Сценарии_расчёт!$D58=1,Сценарии_расчёт!$BQ58,"")</f>
        <v/>
      </c>
      <c r="Q86" s="35" t="str">
        <f>IF(Сценарии_расчёт!$D58=1,Сценарии_расчёт!$BR58,"")</f>
        <v/>
      </c>
    </row>
    <row r="87" spans="1:17" x14ac:dyDescent="0.2">
      <c r="A87" s="50" t="str">
        <f>IF(Сценарии_расчёт!$D59=1,Сценарии_расчёт!$B59,"")</f>
        <v/>
      </c>
      <c r="B87" s="35" t="str">
        <f>IF(Сценарии_расчёт!$D59=1,Сценарии_расчёт!$K59,"")</f>
        <v/>
      </c>
      <c r="C87" s="35" t="str">
        <f>IF(Сценарии_расчёт!$D59=1,Сценарии_расчёт!$L59,"")</f>
        <v/>
      </c>
      <c r="D87" s="35" t="str">
        <f>IF(Сценарии_расчёт!$D59=1,Сценарии_расчёт!$W59,"")</f>
        <v/>
      </c>
      <c r="E87" s="35" t="str">
        <f>IF(Сценарии_расчёт!$D59=1,Сценарии_расчёт!$X59,"")</f>
        <v/>
      </c>
      <c r="G87" s="50" t="str">
        <f>IF(Сценарии_расчёт!$D59=1,Сценарии_расчёт!$B59,"")</f>
        <v/>
      </c>
      <c r="H87" s="35" t="str">
        <f>IF(Сценарии_расчёт!$D59=1,Сценарии_расчёт!$AH59,"")</f>
        <v/>
      </c>
      <c r="I87" s="35" t="str">
        <f>IF(Сценарии_расчёт!$D59=1,Сценарии_расчёт!$AI59,"")</f>
        <v/>
      </c>
      <c r="J87" s="35" t="str">
        <f>IF(Сценарии_расчёт!$D59=1,Сценарии_расчёт!$AT59,"")</f>
        <v/>
      </c>
      <c r="K87" s="35" t="str">
        <f>IF(Сценарии_расчёт!$D59=1,Сценарии_расчёт!$AU59,"")</f>
        <v/>
      </c>
      <c r="M87" s="50" t="str">
        <f>IF(Сценарии_расчёт!$D59=1,Сценарии_расчёт!$B59,"")</f>
        <v/>
      </c>
      <c r="N87" s="35" t="str">
        <f>IF(Сценарии_расчёт!$D59=1,Сценарии_расчёт!$BE59,"")</f>
        <v/>
      </c>
      <c r="O87" s="35" t="str">
        <f>IF(Сценарии_расчёт!$D59=1,Сценарии_расчёт!$BF59,"")</f>
        <v/>
      </c>
      <c r="P87" s="35" t="str">
        <f>IF(Сценарии_расчёт!$D59=1,Сценарии_расчёт!$BQ59,"")</f>
        <v/>
      </c>
      <c r="Q87" s="35" t="str">
        <f>IF(Сценарии_расчёт!$D59=1,Сценарии_расчёт!$BR59,"")</f>
        <v/>
      </c>
    </row>
    <row r="88" spans="1:17" x14ac:dyDescent="0.2">
      <c r="A88" s="50" t="str">
        <f>IF(Сценарии_расчёт!$D60=1,Сценарии_расчёт!$B60,"")</f>
        <v/>
      </c>
      <c r="B88" s="35" t="str">
        <f>IF(Сценарии_расчёт!$D60=1,Сценарии_расчёт!$K60,"")</f>
        <v/>
      </c>
      <c r="C88" s="35" t="str">
        <f>IF(Сценарии_расчёт!$D60=1,Сценарии_расчёт!$L60,"")</f>
        <v/>
      </c>
      <c r="D88" s="35" t="str">
        <f>IF(Сценарии_расчёт!$D60=1,Сценарии_расчёт!$W60,"")</f>
        <v/>
      </c>
      <c r="E88" s="35" t="str">
        <f>IF(Сценарии_расчёт!$D60=1,Сценарии_расчёт!$X60,"")</f>
        <v/>
      </c>
      <c r="G88" s="50" t="str">
        <f>IF(Сценарии_расчёт!$D60=1,Сценарии_расчёт!$B60,"")</f>
        <v/>
      </c>
      <c r="H88" s="35" t="str">
        <f>IF(Сценарии_расчёт!$D60=1,Сценарии_расчёт!$AH60,"")</f>
        <v/>
      </c>
      <c r="I88" s="35" t="str">
        <f>IF(Сценарии_расчёт!$D60=1,Сценарии_расчёт!$AI60,"")</f>
        <v/>
      </c>
      <c r="J88" s="35" t="str">
        <f>IF(Сценарии_расчёт!$D60=1,Сценарии_расчёт!$AT60,"")</f>
        <v/>
      </c>
      <c r="K88" s="35" t="str">
        <f>IF(Сценарии_расчёт!$D60=1,Сценарии_расчёт!$AU60,"")</f>
        <v/>
      </c>
      <c r="M88" s="50" t="str">
        <f>IF(Сценарии_расчёт!$D60=1,Сценарии_расчёт!$B60,"")</f>
        <v/>
      </c>
      <c r="N88" s="35" t="str">
        <f>IF(Сценарии_расчёт!$D60=1,Сценарии_расчёт!$BE60,"")</f>
        <v/>
      </c>
      <c r="O88" s="35" t="str">
        <f>IF(Сценарии_расчёт!$D60=1,Сценарии_расчёт!$BF60,"")</f>
        <v/>
      </c>
      <c r="P88" s="35" t="str">
        <f>IF(Сценарии_расчёт!$D60=1,Сценарии_расчёт!$BQ60,"")</f>
        <v/>
      </c>
      <c r="Q88" s="35" t="str">
        <f>IF(Сценарии_расчёт!$D60=1,Сценарии_расчёт!$BR60,"")</f>
        <v/>
      </c>
    </row>
    <row r="89" spans="1:17" x14ac:dyDescent="0.2">
      <c r="A89" s="50" t="str">
        <f>IF(Сценарии_расчёт!$D61=1,Сценарии_расчёт!$B61,"")</f>
        <v/>
      </c>
      <c r="B89" s="35" t="str">
        <f>IF(Сценарии_расчёт!$D61=1,Сценарии_расчёт!$K61,"")</f>
        <v/>
      </c>
      <c r="C89" s="35" t="str">
        <f>IF(Сценарии_расчёт!$D61=1,Сценарии_расчёт!$L61,"")</f>
        <v/>
      </c>
      <c r="D89" s="35" t="str">
        <f>IF(Сценарии_расчёт!$D61=1,Сценарии_расчёт!$W61,"")</f>
        <v/>
      </c>
      <c r="E89" s="35" t="str">
        <f>IF(Сценарии_расчёт!$D61=1,Сценарии_расчёт!$X61,"")</f>
        <v/>
      </c>
      <c r="G89" s="50" t="str">
        <f>IF(Сценарии_расчёт!$D61=1,Сценарии_расчёт!$B61,"")</f>
        <v/>
      </c>
      <c r="H89" s="35" t="str">
        <f>IF(Сценарии_расчёт!$D61=1,Сценарии_расчёт!$AH61,"")</f>
        <v/>
      </c>
      <c r="I89" s="35" t="str">
        <f>IF(Сценарии_расчёт!$D61=1,Сценарии_расчёт!$AI61,"")</f>
        <v/>
      </c>
      <c r="J89" s="35" t="str">
        <f>IF(Сценарии_расчёт!$D61=1,Сценарии_расчёт!$AT61,"")</f>
        <v/>
      </c>
      <c r="K89" s="35" t="str">
        <f>IF(Сценарии_расчёт!$D61=1,Сценарии_расчёт!$AU61,"")</f>
        <v/>
      </c>
      <c r="M89" s="50" t="str">
        <f>IF(Сценарии_расчёт!$D61=1,Сценарии_расчёт!$B61,"")</f>
        <v/>
      </c>
      <c r="N89" s="35" t="str">
        <f>IF(Сценарии_расчёт!$D61=1,Сценарии_расчёт!$BE61,"")</f>
        <v/>
      </c>
      <c r="O89" s="35" t="str">
        <f>IF(Сценарии_расчёт!$D61=1,Сценарии_расчёт!$BF61,"")</f>
        <v/>
      </c>
      <c r="P89" s="35" t="str">
        <f>IF(Сценарии_расчёт!$D61=1,Сценарии_расчёт!$BQ61,"")</f>
        <v/>
      </c>
      <c r="Q89" s="35" t="str">
        <f>IF(Сценарии_расчёт!$D61=1,Сценарии_расчёт!$BR61,"")</f>
        <v/>
      </c>
    </row>
    <row r="90" spans="1:17" x14ac:dyDescent="0.2">
      <c r="A90" s="50" t="str">
        <f>IF(Сценарии_расчёт!$D62=1,Сценарии_расчёт!$B62,"")</f>
        <v/>
      </c>
      <c r="B90" s="35" t="str">
        <f>IF(Сценарии_расчёт!$D62=1,Сценарии_расчёт!$K62,"")</f>
        <v/>
      </c>
      <c r="C90" s="35" t="str">
        <f>IF(Сценарии_расчёт!$D62=1,Сценарии_расчёт!$L62,"")</f>
        <v/>
      </c>
      <c r="D90" s="35" t="str">
        <f>IF(Сценарии_расчёт!$D62=1,Сценарии_расчёт!$W62,"")</f>
        <v/>
      </c>
      <c r="E90" s="35" t="str">
        <f>IF(Сценарии_расчёт!$D62=1,Сценарии_расчёт!$X62,"")</f>
        <v/>
      </c>
      <c r="G90" s="50" t="str">
        <f>IF(Сценарии_расчёт!$D62=1,Сценарии_расчёт!$B62,"")</f>
        <v/>
      </c>
      <c r="H90" s="35" t="str">
        <f>IF(Сценарии_расчёт!$D62=1,Сценарии_расчёт!$AH62,"")</f>
        <v/>
      </c>
      <c r="I90" s="35" t="str">
        <f>IF(Сценарии_расчёт!$D62=1,Сценарии_расчёт!$AI62,"")</f>
        <v/>
      </c>
      <c r="J90" s="35" t="str">
        <f>IF(Сценарии_расчёт!$D62=1,Сценарии_расчёт!$AT62,"")</f>
        <v/>
      </c>
      <c r="K90" s="35" t="str">
        <f>IF(Сценарии_расчёт!$D62=1,Сценарии_расчёт!$AU62,"")</f>
        <v/>
      </c>
      <c r="M90" s="50" t="str">
        <f>IF(Сценарии_расчёт!$D62=1,Сценарии_расчёт!$B62,"")</f>
        <v/>
      </c>
      <c r="N90" s="35" t="str">
        <f>IF(Сценарии_расчёт!$D62=1,Сценарии_расчёт!$BE62,"")</f>
        <v/>
      </c>
      <c r="O90" s="35" t="str">
        <f>IF(Сценарии_расчёт!$D62=1,Сценарии_расчёт!$BF62,"")</f>
        <v/>
      </c>
      <c r="P90" s="35" t="str">
        <f>IF(Сценарии_расчёт!$D62=1,Сценарии_расчёт!$BQ62,"")</f>
        <v/>
      </c>
      <c r="Q90" s="35" t="str">
        <f>IF(Сценарии_расчёт!$D62=1,Сценарии_расчёт!$BR62,"")</f>
        <v/>
      </c>
    </row>
    <row r="91" spans="1:17" x14ac:dyDescent="0.2">
      <c r="A91" s="50" t="str">
        <f>IF(Сценарии_расчёт!$D63=1,Сценарии_расчёт!$B63,"")</f>
        <v/>
      </c>
      <c r="B91" s="35" t="str">
        <f>IF(Сценарии_расчёт!$D63=1,Сценарии_расчёт!$K63,"")</f>
        <v/>
      </c>
      <c r="C91" s="35" t="str">
        <f>IF(Сценарии_расчёт!$D63=1,Сценарии_расчёт!$L63,"")</f>
        <v/>
      </c>
      <c r="D91" s="35" t="str">
        <f>IF(Сценарии_расчёт!$D63=1,Сценарии_расчёт!$W63,"")</f>
        <v/>
      </c>
      <c r="E91" s="35" t="str">
        <f>IF(Сценарии_расчёт!$D63=1,Сценарии_расчёт!$X63,"")</f>
        <v/>
      </c>
      <c r="G91" s="50" t="str">
        <f>IF(Сценарии_расчёт!$D63=1,Сценарии_расчёт!$B63,"")</f>
        <v/>
      </c>
      <c r="H91" s="35" t="str">
        <f>IF(Сценарии_расчёт!$D63=1,Сценарии_расчёт!$AH63,"")</f>
        <v/>
      </c>
      <c r="I91" s="35" t="str">
        <f>IF(Сценарии_расчёт!$D63=1,Сценарии_расчёт!$AI63,"")</f>
        <v/>
      </c>
      <c r="J91" s="35" t="str">
        <f>IF(Сценарии_расчёт!$D63=1,Сценарии_расчёт!$AT63,"")</f>
        <v/>
      </c>
      <c r="K91" s="35" t="str">
        <f>IF(Сценарии_расчёт!$D63=1,Сценарии_расчёт!$AU63,"")</f>
        <v/>
      </c>
      <c r="M91" s="50" t="str">
        <f>IF(Сценарии_расчёт!$D63=1,Сценарии_расчёт!$B63,"")</f>
        <v/>
      </c>
      <c r="N91" s="35" t="str">
        <f>IF(Сценарии_расчёт!$D63=1,Сценарии_расчёт!$BE63,"")</f>
        <v/>
      </c>
      <c r="O91" s="35" t="str">
        <f>IF(Сценарии_расчёт!$D63=1,Сценарии_расчёт!$BF63,"")</f>
        <v/>
      </c>
      <c r="P91" s="35" t="str">
        <f>IF(Сценарии_расчёт!$D63=1,Сценарии_расчёт!$BQ63,"")</f>
        <v/>
      </c>
      <c r="Q91" s="35" t="str">
        <f>IF(Сценарии_расчёт!$D63=1,Сценарии_расчёт!$BR63,"")</f>
        <v/>
      </c>
    </row>
    <row r="92" spans="1:17" x14ac:dyDescent="0.2">
      <c r="A92" s="50" t="str">
        <f>IF(Сценарии_расчёт!$D64=1,Сценарии_расчёт!$B64,"")</f>
        <v/>
      </c>
      <c r="B92" s="35" t="str">
        <f>IF(Сценарии_расчёт!$D64=1,Сценарии_расчёт!$K64,"")</f>
        <v/>
      </c>
      <c r="C92" s="35" t="str">
        <f>IF(Сценарии_расчёт!$D64=1,Сценарии_расчёт!$L64,"")</f>
        <v/>
      </c>
      <c r="D92" s="35" t="str">
        <f>IF(Сценарии_расчёт!$D64=1,Сценарии_расчёт!$W64,"")</f>
        <v/>
      </c>
      <c r="E92" s="35" t="str">
        <f>IF(Сценарии_расчёт!$D64=1,Сценарии_расчёт!$X64,"")</f>
        <v/>
      </c>
      <c r="G92" s="50" t="str">
        <f>IF(Сценарии_расчёт!$D64=1,Сценарии_расчёт!$B64,"")</f>
        <v/>
      </c>
      <c r="H92" s="35" t="str">
        <f>IF(Сценарии_расчёт!$D64=1,Сценарии_расчёт!$AH64,"")</f>
        <v/>
      </c>
      <c r="I92" s="35" t="str">
        <f>IF(Сценарии_расчёт!$D64=1,Сценарии_расчёт!$AI64,"")</f>
        <v/>
      </c>
      <c r="J92" s="35" t="str">
        <f>IF(Сценарии_расчёт!$D64=1,Сценарии_расчёт!$AT64,"")</f>
        <v/>
      </c>
      <c r="K92" s="35" t="str">
        <f>IF(Сценарии_расчёт!$D64=1,Сценарии_расчёт!$AU64,"")</f>
        <v/>
      </c>
      <c r="M92" s="50" t="str">
        <f>IF(Сценарии_расчёт!$D64=1,Сценарии_расчёт!$B64,"")</f>
        <v/>
      </c>
      <c r="N92" s="35" t="str">
        <f>IF(Сценарии_расчёт!$D64=1,Сценарии_расчёт!$BE64,"")</f>
        <v/>
      </c>
      <c r="O92" s="35" t="str">
        <f>IF(Сценарии_расчёт!$D64=1,Сценарии_расчёт!$BF64,"")</f>
        <v/>
      </c>
      <c r="P92" s="35" t="str">
        <f>IF(Сценарии_расчёт!$D64=1,Сценарии_расчёт!$BQ64,"")</f>
        <v/>
      </c>
      <c r="Q92" s="35" t="str">
        <f>IF(Сценарии_расчёт!$D64=1,Сценарии_расчёт!$BR64,"")</f>
        <v/>
      </c>
    </row>
    <row r="93" spans="1:17" x14ac:dyDescent="0.2">
      <c r="A93" s="50" t="str">
        <f>IF(Сценарии_расчёт!$D65=1,Сценарии_расчёт!$B65,"")</f>
        <v/>
      </c>
      <c r="B93" s="35" t="str">
        <f>IF(Сценарии_расчёт!$D65=1,Сценарии_расчёт!$K65,"")</f>
        <v/>
      </c>
      <c r="C93" s="35" t="str">
        <f>IF(Сценарии_расчёт!$D65=1,Сценарии_расчёт!$L65,"")</f>
        <v/>
      </c>
      <c r="D93" s="35" t="str">
        <f>IF(Сценарии_расчёт!$D65=1,Сценарии_расчёт!$W65,"")</f>
        <v/>
      </c>
      <c r="E93" s="35" t="str">
        <f>IF(Сценарии_расчёт!$D65=1,Сценарии_расчёт!$X65,"")</f>
        <v/>
      </c>
      <c r="G93" s="50" t="str">
        <f>IF(Сценарии_расчёт!$D65=1,Сценарии_расчёт!$B65,"")</f>
        <v/>
      </c>
      <c r="H93" s="35" t="str">
        <f>IF(Сценарии_расчёт!$D65=1,Сценарии_расчёт!$AH65,"")</f>
        <v/>
      </c>
      <c r="I93" s="35" t="str">
        <f>IF(Сценарии_расчёт!$D65=1,Сценарии_расчёт!$AI65,"")</f>
        <v/>
      </c>
      <c r="J93" s="35" t="str">
        <f>IF(Сценарии_расчёт!$D65=1,Сценарии_расчёт!$AT65,"")</f>
        <v/>
      </c>
      <c r="K93" s="35" t="str">
        <f>IF(Сценарии_расчёт!$D65=1,Сценарии_расчёт!$AU65,"")</f>
        <v/>
      </c>
      <c r="M93" s="50" t="str">
        <f>IF(Сценарии_расчёт!$D65=1,Сценарии_расчёт!$B65,"")</f>
        <v/>
      </c>
      <c r="N93" s="35" t="str">
        <f>IF(Сценарии_расчёт!$D65=1,Сценарии_расчёт!$BE65,"")</f>
        <v/>
      </c>
      <c r="O93" s="35" t="str">
        <f>IF(Сценарии_расчёт!$D65=1,Сценарии_расчёт!$BF65,"")</f>
        <v/>
      </c>
      <c r="P93" s="35" t="str">
        <f>IF(Сценарии_расчёт!$D65=1,Сценарии_расчёт!$BQ65,"")</f>
        <v/>
      </c>
      <c r="Q93" s="35" t="str">
        <f>IF(Сценарии_расчёт!$D65=1,Сценарии_расчёт!$BR65,"")</f>
        <v/>
      </c>
    </row>
    <row r="94" spans="1:17" x14ac:dyDescent="0.2">
      <c r="A94" s="50" t="str">
        <f>IF(Сценарии_расчёт!$D66=1,Сценарии_расчёт!$B66,"")</f>
        <v/>
      </c>
      <c r="B94" s="35" t="str">
        <f>IF(Сценарии_расчёт!$D66=1,Сценарии_расчёт!$K66,"")</f>
        <v/>
      </c>
      <c r="C94" s="35" t="str">
        <f>IF(Сценарии_расчёт!$D66=1,Сценарии_расчёт!$L66,"")</f>
        <v/>
      </c>
      <c r="D94" s="35" t="str">
        <f>IF(Сценарии_расчёт!$D66=1,Сценарии_расчёт!$W66,"")</f>
        <v/>
      </c>
      <c r="E94" s="35" t="str">
        <f>IF(Сценарии_расчёт!$D66=1,Сценарии_расчёт!$X66,"")</f>
        <v/>
      </c>
      <c r="G94" s="50" t="str">
        <f>IF(Сценарии_расчёт!$D66=1,Сценарии_расчёт!$B66,"")</f>
        <v/>
      </c>
      <c r="H94" s="35" t="str">
        <f>IF(Сценарии_расчёт!$D66=1,Сценарии_расчёт!$AH66,"")</f>
        <v/>
      </c>
      <c r="I94" s="35" t="str">
        <f>IF(Сценарии_расчёт!$D66=1,Сценарии_расчёт!$AI66,"")</f>
        <v/>
      </c>
      <c r="J94" s="35" t="str">
        <f>IF(Сценарии_расчёт!$D66=1,Сценарии_расчёт!$AT66,"")</f>
        <v/>
      </c>
      <c r="K94" s="35" t="str">
        <f>IF(Сценарии_расчёт!$D66=1,Сценарии_расчёт!$AU66,"")</f>
        <v/>
      </c>
      <c r="M94" s="50" t="str">
        <f>IF(Сценарии_расчёт!$D66=1,Сценарии_расчёт!$B66,"")</f>
        <v/>
      </c>
      <c r="N94" s="35" t="str">
        <f>IF(Сценарии_расчёт!$D66=1,Сценарии_расчёт!$BE66,"")</f>
        <v/>
      </c>
      <c r="O94" s="35" t="str">
        <f>IF(Сценарии_расчёт!$D66=1,Сценарии_расчёт!$BF66,"")</f>
        <v/>
      </c>
      <c r="P94" s="35" t="str">
        <f>IF(Сценарии_расчёт!$D66=1,Сценарии_расчёт!$BQ66,"")</f>
        <v/>
      </c>
      <c r="Q94" s="35" t="str">
        <f>IF(Сценарии_расчёт!$D66=1,Сценарии_расчёт!$BR66,"")</f>
        <v/>
      </c>
    </row>
    <row r="95" spans="1:17" x14ac:dyDescent="0.2">
      <c r="A95" s="50" t="str">
        <f>IF(Сценарии_расчёт!$D67=1,Сценарии_расчёт!$B67,"")</f>
        <v/>
      </c>
      <c r="B95" s="35" t="str">
        <f>IF(Сценарии_расчёт!$D67=1,Сценарии_расчёт!$K67,"")</f>
        <v/>
      </c>
      <c r="C95" s="35" t="str">
        <f>IF(Сценарии_расчёт!$D67=1,Сценарии_расчёт!$L67,"")</f>
        <v/>
      </c>
      <c r="D95" s="35" t="str">
        <f>IF(Сценарии_расчёт!$D67=1,Сценарии_расчёт!$W67,"")</f>
        <v/>
      </c>
      <c r="E95" s="35" t="str">
        <f>IF(Сценарии_расчёт!$D67=1,Сценарии_расчёт!$X67,"")</f>
        <v/>
      </c>
      <c r="G95" s="50" t="str">
        <f>IF(Сценарии_расчёт!$D67=1,Сценарии_расчёт!$B67,"")</f>
        <v/>
      </c>
      <c r="H95" s="35" t="str">
        <f>IF(Сценарии_расчёт!$D67=1,Сценарии_расчёт!$AH67,"")</f>
        <v/>
      </c>
      <c r="I95" s="35" t="str">
        <f>IF(Сценарии_расчёт!$D67=1,Сценарии_расчёт!$AI67,"")</f>
        <v/>
      </c>
      <c r="J95" s="35" t="str">
        <f>IF(Сценарии_расчёт!$D67=1,Сценарии_расчёт!$AT67,"")</f>
        <v/>
      </c>
      <c r="K95" s="35" t="str">
        <f>IF(Сценарии_расчёт!$D67=1,Сценарии_расчёт!$AU67,"")</f>
        <v/>
      </c>
      <c r="M95" s="50" t="str">
        <f>IF(Сценарии_расчёт!$D67=1,Сценарии_расчёт!$B67,"")</f>
        <v/>
      </c>
      <c r="N95" s="35" t="str">
        <f>IF(Сценарии_расчёт!$D67=1,Сценарии_расчёт!$BE67,"")</f>
        <v/>
      </c>
      <c r="O95" s="35" t="str">
        <f>IF(Сценарии_расчёт!$D67=1,Сценарии_расчёт!$BF67,"")</f>
        <v/>
      </c>
      <c r="P95" s="35" t="str">
        <f>IF(Сценарии_расчёт!$D67=1,Сценарии_расчёт!$BQ67,"")</f>
        <v/>
      </c>
      <c r="Q95" s="35" t="str">
        <f>IF(Сценарии_расчёт!$D67=1,Сценарии_расчёт!$BR67,"")</f>
        <v/>
      </c>
    </row>
    <row r="96" spans="1:17" x14ac:dyDescent="0.2">
      <c r="A96" s="50" t="str">
        <f>IF(Сценарии_расчёт!$D68=1,Сценарии_расчёт!$B68,"")</f>
        <v/>
      </c>
      <c r="B96" s="35" t="str">
        <f>IF(Сценарии_расчёт!$D68=1,Сценарии_расчёт!$K68,"")</f>
        <v/>
      </c>
      <c r="C96" s="35" t="str">
        <f>IF(Сценарии_расчёт!$D68=1,Сценарии_расчёт!$L68,"")</f>
        <v/>
      </c>
      <c r="D96" s="35" t="str">
        <f>IF(Сценарии_расчёт!$D68=1,Сценарии_расчёт!$W68,"")</f>
        <v/>
      </c>
      <c r="E96" s="35" t="str">
        <f>IF(Сценарии_расчёт!$D68=1,Сценарии_расчёт!$X68,"")</f>
        <v/>
      </c>
      <c r="G96" s="50" t="str">
        <f>IF(Сценарии_расчёт!$D68=1,Сценарии_расчёт!$B68,"")</f>
        <v/>
      </c>
      <c r="H96" s="35" t="str">
        <f>IF(Сценарии_расчёт!$D68=1,Сценарии_расчёт!$AH68,"")</f>
        <v/>
      </c>
      <c r="I96" s="35" t="str">
        <f>IF(Сценарии_расчёт!$D68=1,Сценарии_расчёт!$AI68,"")</f>
        <v/>
      </c>
      <c r="J96" s="35" t="str">
        <f>IF(Сценарии_расчёт!$D68=1,Сценарии_расчёт!$AT68,"")</f>
        <v/>
      </c>
      <c r="K96" s="35" t="str">
        <f>IF(Сценарии_расчёт!$D68=1,Сценарии_расчёт!$AU68,"")</f>
        <v/>
      </c>
      <c r="M96" s="50" t="str">
        <f>IF(Сценарии_расчёт!$D68=1,Сценарии_расчёт!$B68,"")</f>
        <v/>
      </c>
      <c r="N96" s="35" t="str">
        <f>IF(Сценарии_расчёт!$D68=1,Сценарии_расчёт!$BE68,"")</f>
        <v/>
      </c>
      <c r="O96" s="35" t="str">
        <f>IF(Сценарии_расчёт!$D68=1,Сценарии_расчёт!$BF68,"")</f>
        <v/>
      </c>
      <c r="P96" s="35" t="str">
        <f>IF(Сценарии_расчёт!$D68=1,Сценарии_расчёт!$BQ68,"")</f>
        <v/>
      </c>
      <c r="Q96" s="35" t="str">
        <f>IF(Сценарии_расчёт!$D68=1,Сценарии_расчёт!$BR68,"")</f>
        <v/>
      </c>
    </row>
    <row r="97" spans="1:17" x14ac:dyDescent="0.2">
      <c r="A97" s="50" t="str">
        <f>IF(Сценарии_расчёт!$D69=1,Сценарии_расчёт!$B69,"")</f>
        <v/>
      </c>
      <c r="B97" s="35" t="str">
        <f>IF(Сценарии_расчёт!$D69=1,Сценарии_расчёт!$K69,"")</f>
        <v/>
      </c>
      <c r="C97" s="35" t="str">
        <f>IF(Сценарии_расчёт!$D69=1,Сценарии_расчёт!$L69,"")</f>
        <v/>
      </c>
      <c r="D97" s="35" t="str">
        <f>IF(Сценарии_расчёт!$D69=1,Сценарии_расчёт!$W69,"")</f>
        <v/>
      </c>
      <c r="E97" s="35" t="str">
        <f>IF(Сценарии_расчёт!$D69=1,Сценарии_расчёт!$X69,"")</f>
        <v/>
      </c>
      <c r="G97" s="50" t="str">
        <f>IF(Сценарии_расчёт!$D69=1,Сценарии_расчёт!$B69,"")</f>
        <v/>
      </c>
      <c r="H97" s="35" t="str">
        <f>IF(Сценарии_расчёт!$D69=1,Сценарии_расчёт!$AH69,"")</f>
        <v/>
      </c>
      <c r="I97" s="35" t="str">
        <f>IF(Сценарии_расчёт!$D69=1,Сценарии_расчёт!$AI69,"")</f>
        <v/>
      </c>
      <c r="J97" s="35" t="str">
        <f>IF(Сценарии_расчёт!$D69=1,Сценарии_расчёт!$AT69,"")</f>
        <v/>
      </c>
      <c r="K97" s="35" t="str">
        <f>IF(Сценарии_расчёт!$D69=1,Сценарии_расчёт!$AU69,"")</f>
        <v/>
      </c>
      <c r="M97" s="50" t="str">
        <f>IF(Сценарии_расчёт!$D69=1,Сценарии_расчёт!$B69,"")</f>
        <v/>
      </c>
      <c r="N97" s="35" t="str">
        <f>IF(Сценарии_расчёт!$D69=1,Сценарии_расчёт!$BE69,"")</f>
        <v/>
      </c>
      <c r="O97" s="35" t="str">
        <f>IF(Сценарии_расчёт!$D69=1,Сценарии_расчёт!$BF69,"")</f>
        <v/>
      </c>
      <c r="P97" s="35" t="str">
        <f>IF(Сценарии_расчёт!$D69=1,Сценарии_расчёт!$BQ69,"")</f>
        <v/>
      </c>
      <c r="Q97" s="35" t="str">
        <f>IF(Сценарии_расчёт!$D69=1,Сценарии_расчёт!$BR69,"")</f>
        <v/>
      </c>
    </row>
    <row r="98" spans="1:17" x14ac:dyDescent="0.2">
      <c r="A98" s="50" t="str">
        <f>IF(Сценарии_расчёт!$D70=1,Сценарии_расчёт!$B70,"")</f>
        <v/>
      </c>
      <c r="B98" s="35" t="str">
        <f>IF(Сценарии_расчёт!$D70=1,Сценарии_расчёт!$K70,"")</f>
        <v/>
      </c>
      <c r="C98" s="35" t="str">
        <f>IF(Сценарии_расчёт!$D70=1,Сценарии_расчёт!$L70,"")</f>
        <v/>
      </c>
      <c r="D98" s="35" t="str">
        <f>IF(Сценарии_расчёт!$D70=1,Сценарии_расчёт!$W70,"")</f>
        <v/>
      </c>
      <c r="E98" s="35" t="str">
        <f>IF(Сценарии_расчёт!$D70=1,Сценарии_расчёт!$X70,"")</f>
        <v/>
      </c>
      <c r="G98" s="50" t="str">
        <f>IF(Сценарии_расчёт!$D70=1,Сценарии_расчёт!$B70,"")</f>
        <v/>
      </c>
      <c r="H98" s="35" t="str">
        <f>IF(Сценарии_расчёт!$D70=1,Сценарии_расчёт!$AH70,"")</f>
        <v/>
      </c>
      <c r="I98" s="35" t="str">
        <f>IF(Сценарии_расчёт!$D70=1,Сценарии_расчёт!$AI70,"")</f>
        <v/>
      </c>
      <c r="J98" s="35" t="str">
        <f>IF(Сценарии_расчёт!$D70=1,Сценарии_расчёт!$AT70,"")</f>
        <v/>
      </c>
      <c r="K98" s="35" t="str">
        <f>IF(Сценарии_расчёт!$D70=1,Сценарии_расчёт!$AU70,"")</f>
        <v/>
      </c>
      <c r="M98" s="50" t="str">
        <f>IF(Сценарии_расчёт!$D70=1,Сценарии_расчёт!$B70,"")</f>
        <v/>
      </c>
      <c r="N98" s="35" t="str">
        <f>IF(Сценарии_расчёт!$D70=1,Сценарии_расчёт!$BE70,"")</f>
        <v/>
      </c>
      <c r="O98" s="35" t="str">
        <f>IF(Сценарии_расчёт!$D70=1,Сценарии_расчёт!$BF70,"")</f>
        <v/>
      </c>
      <c r="P98" s="35" t="str">
        <f>IF(Сценарии_расчёт!$D70=1,Сценарии_расчёт!$BQ70,"")</f>
        <v/>
      </c>
      <c r="Q98" s="35" t="str">
        <f>IF(Сценарии_расчёт!$D70=1,Сценарии_расчёт!$BR70,"")</f>
        <v/>
      </c>
    </row>
    <row r="99" spans="1:17" x14ac:dyDescent="0.2">
      <c r="A99" s="50" t="str">
        <f>IF(Сценарии_расчёт!$D71=1,Сценарии_расчёт!$B71,"")</f>
        <v/>
      </c>
      <c r="B99" s="35" t="str">
        <f>IF(Сценарии_расчёт!$D71=1,Сценарии_расчёт!$K71,"")</f>
        <v/>
      </c>
      <c r="C99" s="35" t="str">
        <f>IF(Сценарии_расчёт!$D71=1,Сценарии_расчёт!$L71,"")</f>
        <v/>
      </c>
      <c r="D99" s="35" t="str">
        <f>IF(Сценарии_расчёт!$D71=1,Сценарии_расчёт!$W71,"")</f>
        <v/>
      </c>
      <c r="E99" s="35" t="str">
        <f>IF(Сценарии_расчёт!$D71=1,Сценарии_расчёт!$X71,"")</f>
        <v/>
      </c>
      <c r="G99" s="50" t="str">
        <f>IF(Сценарии_расчёт!$D71=1,Сценарии_расчёт!$B71,"")</f>
        <v/>
      </c>
      <c r="H99" s="35" t="str">
        <f>IF(Сценарии_расчёт!$D71=1,Сценарии_расчёт!$AH71,"")</f>
        <v/>
      </c>
      <c r="I99" s="35" t="str">
        <f>IF(Сценарии_расчёт!$D71=1,Сценарии_расчёт!$AI71,"")</f>
        <v/>
      </c>
      <c r="J99" s="35" t="str">
        <f>IF(Сценарии_расчёт!$D71=1,Сценарии_расчёт!$AT71,"")</f>
        <v/>
      </c>
      <c r="K99" s="35" t="str">
        <f>IF(Сценарии_расчёт!$D71=1,Сценарии_расчёт!$AU71,"")</f>
        <v/>
      </c>
      <c r="M99" s="50" t="str">
        <f>IF(Сценарии_расчёт!$D71=1,Сценарии_расчёт!$B71,"")</f>
        <v/>
      </c>
      <c r="N99" s="35" t="str">
        <f>IF(Сценарии_расчёт!$D71=1,Сценарии_расчёт!$BE71,"")</f>
        <v/>
      </c>
      <c r="O99" s="35" t="str">
        <f>IF(Сценарии_расчёт!$D71=1,Сценарии_расчёт!$BF71,"")</f>
        <v/>
      </c>
      <c r="P99" s="35" t="str">
        <f>IF(Сценарии_расчёт!$D71=1,Сценарии_расчёт!$BQ71,"")</f>
        <v/>
      </c>
      <c r="Q99" s="35" t="str">
        <f>IF(Сценарии_расчёт!$D71=1,Сценарии_расчёт!$BR71,"")</f>
        <v/>
      </c>
    </row>
    <row r="100" spans="1:17" x14ac:dyDescent="0.2">
      <c r="A100" s="50" t="str">
        <f>IF(Сценарии_расчёт!$D72=1,Сценарии_расчёт!$B72,"")</f>
        <v/>
      </c>
      <c r="B100" s="35" t="str">
        <f>IF(Сценарии_расчёт!$D72=1,Сценарии_расчёт!$K72,"")</f>
        <v/>
      </c>
      <c r="C100" s="35" t="str">
        <f>IF(Сценарии_расчёт!$D72=1,Сценарии_расчёт!$L72,"")</f>
        <v/>
      </c>
      <c r="D100" s="35" t="str">
        <f>IF(Сценарии_расчёт!$D72=1,Сценарии_расчёт!$W72,"")</f>
        <v/>
      </c>
      <c r="E100" s="35" t="str">
        <f>IF(Сценарии_расчёт!$D72=1,Сценарии_расчёт!$X72,"")</f>
        <v/>
      </c>
      <c r="G100" s="50" t="str">
        <f>IF(Сценарии_расчёт!$D72=1,Сценарии_расчёт!$B72,"")</f>
        <v/>
      </c>
      <c r="H100" s="35" t="str">
        <f>IF(Сценарии_расчёт!$D72=1,Сценарии_расчёт!$AH72,"")</f>
        <v/>
      </c>
      <c r="I100" s="35" t="str">
        <f>IF(Сценарии_расчёт!$D72=1,Сценарии_расчёт!$AI72,"")</f>
        <v/>
      </c>
      <c r="J100" s="35" t="str">
        <f>IF(Сценарии_расчёт!$D72=1,Сценарии_расчёт!$AT72,"")</f>
        <v/>
      </c>
      <c r="K100" s="35" t="str">
        <f>IF(Сценарии_расчёт!$D72=1,Сценарии_расчёт!$AU72,"")</f>
        <v/>
      </c>
      <c r="M100" s="50" t="str">
        <f>IF(Сценарии_расчёт!$D72=1,Сценарии_расчёт!$B72,"")</f>
        <v/>
      </c>
      <c r="N100" s="35" t="str">
        <f>IF(Сценарии_расчёт!$D72=1,Сценарии_расчёт!$BE72,"")</f>
        <v/>
      </c>
      <c r="O100" s="35" t="str">
        <f>IF(Сценарии_расчёт!$D72=1,Сценарии_расчёт!$BF72,"")</f>
        <v/>
      </c>
      <c r="P100" s="35" t="str">
        <f>IF(Сценарии_расчёт!$D72=1,Сценарии_расчёт!$BQ72,"")</f>
        <v/>
      </c>
      <c r="Q100" s="35" t="str">
        <f>IF(Сценарии_расчёт!$D72=1,Сценарии_расчёт!$BR72,"")</f>
        <v/>
      </c>
    </row>
    <row r="101" spans="1:17" x14ac:dyDescent="0.2">
      <c r="A101" s="50" t="str">
        <f>IF(Сценарии_расчёт!$D73=1,Сценарии_расчёт!$B73,"")</f>
        <v/>
      </c>
      <c r="B101" s="35" t="str">
        <f>IF(Сценарии_расчёт!$D73=1,Сценарии_расчёт!$K73,"")</f>
        <v/>
      </c>
      <c r="C101" s="35" t="str">
        <f>IF(Сценарии_расчёт!$D73=1,Сценарии_расчёт!$L73,"")</f>
        <v/>
      </c>
      <c r="D101" s="35" t="str">
        <f>IF(Сценарии_расчёт!$D73=1,Сценарии_расчёт!$W73,"")</f>
        <v/>
      </c>
      <c r="E101" s="35" t="str">
        <f>IF(Сценарии_расчёт!$D73=1,Сценарии_расчёт!$X73,"")</f>
        <v/>
      </c>
      <c r="G101" s="50" t="str">
        <f>IF(Сценарии_расчёт!$D73=1,Сценарии_расчёт!$B73,"")</f>
        <v/>
      </c>
      <c r="H101" s="35" t="str">
        <f>IF(Сценарии_расчёт!$D73=1,Сценарии_расчёт!$AH73,"")</f>
        <v/>
      </c>
      <c r="I101" s="35" t="str">
        <f>IF(Сценарии_расчёт!$D73=1,Сценарии_расчёт!$AI73,"")</f>
        <v/>
      </c>
      <c r="J101" s="35" t="str">
        <f>IF(Сценарии_расчёт!$D73=1,Сценарии_расчёт!$AT73,"")</f>
        <v/>
      </c>
      <c r="K101" s="35" t="str">
        <f>IF(Сценарии_расчёт!$D73=1,Сценарии_расчёт!$AU73,"")</f>
        <v/>
      </c>
      <c r="M101" s="50" t="str">
        <f>IF(Сценарии_расчёт!$D73=1,Сценарии_расчёт!$B73,"")</f>
        <v/>
      </c>
      <c r="N101" s="35" t="str">
        <f>IF(Сценарии_расчёт!$D73=1,Сценарии_расчёт!$BE73,"")</f>
        <v/>
      </c>
      <c r="O101" s="35" t="str">
        <f>IF(Сценарии_расчёт!$D73=1,Сценарии_расчёт!$BF73,"")</f>
        <v/>
      </c>
      <c r="P101" s="35" t="str">
        <f>IF(Сценарии_расчёт!$D73=1,Сценарии_расчёт!$BQ73,"")</f>
        <v/>
      </c>
      <c r="Q101" s="35" t="str">
        <f>IF(Сценарии_расчёт!$D73=1,Сценарии_расчёт!$BR73,"")</f>
        <v/>
      </c>
    </row>
    <row r="102" spans="1:17" x14ac:dyDescent="0.2">
      <c r="A102" s="50" t="str">
        <f>IF(Сценарии_расчёт!$D74=1,Сценарии_расчёт!$B74,"")</f>
        <v/>
      </c>
      <c r="B102" s="35" t="str">
        <f>IF(Сценарии_расчёт!$D74=1,Сценарии_расчёт!$K74,"")</f>
        <v/>
      </c>
      <c r="C102" s="35" t="str">
        <f>IF(Сценарии_расчёт!$D74=1,Сценарии_расчёт!$L74,"")</f>
        <v/>
      </c>
      <c r="D102" s="35" t="str">
        <f>IF(Сценарии_расчёт!$D74=1,Сценарии_расчёт!$W74,"")</f>
        <v/>
      </c>
      <c r="E102" s="35" t="str">
        <f>IF(Сценарии_расчёт!$D74=1,Сценарии_расчёт!$X74,"")</f>
        <v/>
      </c>
      <c r="G102" s="50" t="str">
        <f>IF(Сценарии_расчёт!$D74=1,Сценарии_расчёт!$B74,"")</f>
        <v/>
      </c>
      <c r="H102" s="35" t="str">
        <f>IF(Сценарии_расчёт!$D74=1,Сценарии_расчёт!$AH74,"")</f>
        <v/>
      </c>
      <c r="I102" s="35" t="str">
        <f>IF(Сценарии_расчёт!$D74=1,Сценарии_расчёт!$AI74,"")</f>
        <v/>
      </c>
      <c r="J102" s="35" t="str">
        <f>IF(Сценарии_расчёт!$D74=1,Сценарии_расчёт!$AT74,"")</f>
        <v/>
      </c>
      <c r="K102" s="35" t="str">
        <f>IF(Сценарии_расчёт!$D74=1,Сценарии_расчёт!$AU74,"")</f>
        <v/>
      </c>
      <c r="M102" s="50" t="str">
        <f>IF(Сценарии_расчёт!$D74=1,Сценарии_расчёт!$B74,"")</f>
        <v/>
      </c>
      <c r="N102" s="35" t="str">
        <f>IF(Сценарии_расчёт!$D74=1,Сценарии_расчёт!$BE74,"")</f>
        <v/>
      </c>
      <c r="O102" s="35" t="str">
        <f>IF(Сценарии_расчёт!$D74=1,Сценарии_расчёт!$BF74,"")</f>
        <v/>
      </c>
      <c r="P102" s="35" t="str">
        <f>IF(Сценарии_расчёт!$D74=1,Сценарии_расчёт!$BQ74,"")</f>
        <v/>
      </c>
      <c r="Q102" s="35" t="str">
        <f>IF(Сценарии_расчёт!$D74=1,Сценарии_расчёт!$BR74,"")</f>
        <v/>
      </c>
    </row>
    <row r="103" spans="1:17" x14ac:dyDescent="0.2">
      <c r="A103" s="50" t="str">
        <f>IF(Сценарии_расчёт!$D75=1,Сценарии_расчёт!$B75,"")</f>
        <v/>
      </c>
      <c r="B103" s="35" t="str">
        <f>IF(Сценарии_расчёт!$D75=1,Сценарии_расчёт!$K75,"")</f>
        <v/>
      </c>
      <c r="C103" s="35" t="str">
        <f>IF(Сценарии_расчёт!$D75=1,Сценарии_расчёт!$L75,"")</f>
        <v/>
      </c>
      <c r="D103" s="35" t="str">
        <f>IF(Сценарии_расчёт!$D75=1,Сценарии_расчёт!$W75,"")</f>
        <v/>
      </c>
      <c r="E103" s="35" t="str">
        <f>IF(Сценарии_расчёт!$D75=1,Сценарии_расчёт!$X75,"")</f>
        <v/>
      </c>
      <c r="G103" s="50" t="str">
        <f>IF(Сценарии_расчёт!$D75=1,Сценарии_расчёт!$B75,"")</f>
        <v/>
      </c>
      <c r="H103" s="35" t="str">
        <f>IF(Сценарии_расчёт!$D75=1,Сценарии_расчёт!$AH75,"")</f>
        <v/>
      </c>
      <c r="I103" s="35" t="str">
        <f>IF(Сценарии_расчёт!$D75=1,Сценарии_расчёт!$AI75,"")</f>
        <v/>
      </c>
      <c r="J103" s="35" t="str">
        <f>IF(Сценарии_расчёт!$D75=1,Сценарии_расчёт!$AT75,"")</f>
        <v/>
      </c>
      <c r="K103" s="35" t="str">
        <f>IF(Сценарии_расчёт!$D75=1,Сценарии_расчёт!$AU75,"")</f>
        <v/>
      </c>
      <c r="M103" s="50" t="str">
        <f>IF(Сценарии_расчёт!$D75=1,Сценарии_расчёт!$B75,"")</f>
        <v/>
      </c>
      <c r="N103" s="35" t="str">
        <f>IF(Сценарии_расчёт!$D75=1,Сценарии_расчёт!$BE75,"")</f>
        <v/>
      </c>
      <c r="O103" s="35" t="str">
        <f>IF(Сценарии_расчёт!$D75=1,Сценарии_расчёт!$BF75,"")</f>
        <v/>
      </c>
      <c r="P103" s="35" t="str">
        <f>IF(Сценарии_расчёт!$D75=1,Сценарии_расчёт!$BQ75,"")</f>
        <v/>
      </c>
      <c r="Q103" s="35" t="str">
        <f>IF(Сценарии_расчёт!$D75=1,Сценарии_расчёт!$BR75,"")</f>
        <v/>
      </c>
    </row>
    <row r="104" spans="1:17" x14ac:dyDescent="0.2">
      <c r="A104" s="50" t="str">
        <f>IF(Сценарии_расчёт!$D76=1,Сценарии_расчёт!$B76,"")</f>
        <v/>
      </c>
      <c r="B104" s="35" t="str">
        <f>IF(Сценарии_расчёт!$D76=1,Сценарии_расчёт!$K76,"")</f>
        <v/>
      </c>
      <c r="C104" s="35" t="str">
        <f>IF(Сценарии_расчёт!$D76=1,Сценарии_расчёт!$L76,"")</f>
        <v/>
      </c>
      <c r="D104" s="35" t="str">
        <f>IF(Сценарии_расчёт!$D76=1,Сценарии_расчёт!$W76,"")</f>
        <v/>
      </c>
      <c r="E104" s="35" t="str">
        <f>IF(Сценарии_расчёт!$D76=1,Сценарии_расчёт!$X76,"")</f>
        <v/>
      </c>
      <c r="G104" s="50" t="str">
        <f>IF(Сценарии_расчёт!$D76=1,Сценарии_расчёт!$B76,"")</f>
        <v/>
      </c>
      <c r="H104" s="35" t="str">
        <f>IF(Сценарии_расчёт!$D76=1,Сценарии_расчёт!$AH76,"")</f>
        <v/>
      </c>
      <c r="I104" s="35" t="str">
        <f>IF(Сценарии_расчёт!$D76=1,Сценарии_расчёт!$AI76,"")</f>
        <v/>
      </c>
      <c r="J104" s="35" t="str">
        <f>IF(Сценарии_расчёт!$D76=1,Сценарии_расчёт!$AT76,"")</f>
        <v/>
      </c>
      <c r="K104" s="35" t="str">
        <f>IF(Сценарии_расчёт!$D76=1,Сценарии_расчёт!$AU76,"")</f>
        <v/>
      </c>
      <c r="M104" s="50" t="str">
        <f>IF(Сценарии_расчёт!$D76=1,Сценарии_расчёт!$B76,"")</f>
        <v/>
      </c>
      <c r="N104" s="35" t="str">
        <f>IF(Сценарии_расчёт!$D76=1,Сценарии_расчёт!$BE76,"")</f>
        <v/>
      </c>
      <c r="O104" s="35" t="str">
        <f>IF(Сценарии_расчёт!$D76=1,Сценарии_расчёт!$BF76,"")</f>
        <v/>
      </c>
      <c r="P104" s="35" t="str">
        <f>IF(Сценарии_расчёт!$D76=1,Сценарии_расчёт!$BQ76,"")</f>
        <v/>
      </c>
      <c r="Q104" s="35" t="str">
        <f>IF(Сценарии_расчёт!$D76=1,Сценарии_расчёт!$BR76,"")</f>
        <v/>
      </c>
    </row>
    <row r="105" spans="1:17" x14ac:dyDescent="0.2">
      <c r="A105" s="50" t="str">
        <f>IF(Сценарии_расчёт!$D77=1,Сценарии_расчёт!$B77,"")</f>
        <v/>
      </c>
      <c r="B105" s="35" t="str">
        <f>IF(Сценарии_расчёт!$D77=1,Сценарии_расчёт!$K77,"")</f>
        <v/>
      </c>
      <c r="C105" s="35" t="str">
        <f>IF(Сценарии_расчёт!$D77=1,Сценарии_расчёт!$L77,"")</f>
        <v/>
      </c>
      <c r="D105" s="35" t="str">
        <f>IF(Сценарии_расчёт!$D77=1,Сценарии_расчёт!$W77,"")</f>
        <v/>
      </c>
      <c r="E105" s="35" t="str">
        <f>IF(Сценарии_расчёт!$D77=1,Сценарии_расчёт!$X77,"")</f>
        <v/>
      </c>
      <c r="G105" s="50" t="str">
        <f>IF(Сценарии_расчёт!$D77=1,Сценарии_расчёт!$B77,"")</f>
        <v/>
      </c>
      <c r="H105" s="35" t="str">
        <f>IF(Сценарии_расчёт!$D77=1,Сценарии_расчёт!$AH77,"")</f>
        <v/>
      </c>
      <c r="I105" s="35" t="str">
        <f>IF(Сценарии_расчёт!$D77=1,Сценарии_расчёт!$AI77,"")</f>
        <v/>
      </c>
      <c r="J105" s="35" t="str">
        <f>IF(Сценарии_расчёт!$D77=1,Сценарии_расчёт!$AT77,"")</f>
        <v/>
      </c>
      <c r="K105" s="35" t="str">
        <f>IF(Сценарии_расчёт!$D77=1,Сценарии_расчёт!$AU77,"")</f>
        <v/>
      </c>
      <c r="M105" s="50" t="str">
        <f>IF(Сценарии_расчёт!$D77=1,Сценарии_расчёт!$B77,"")</f>
        <v/>
      </c>
      <c r="N105" s="35" t="str">
        <f>IF(Сценарии_расчёт!$D77=1,Сценарии_расчёт!$BE77,"")</f>
        <v/>
      </c>
      <c r="O105" s="35" t="str">
        <f>IF(Сценарии_расчёт!$D77=1,Сценарии_расчёт!$BF77,"")</f>
        <v/>
      </c>
      <c r="P105" s="35" t="str">
        <f>IF(Сценарии_расчёт!$D77=1,Сценарии_расчёт!$BQ77,"")</f>
        <v/>
      </c>
      <c r="Q105" s="35" t="str">
        <f>IF(Сценарии_расчёт!$D77=1,Сценарии_расчёт!$BR77,"")</f>
        <v/>
      </c>
    </row>
    <row r="106" spans="1:17" x14ac:dyDescent="0.2">
      <c r="A106" s="50" t="str">
        <f>IF(Сценарии_расчёт!$D78=1,Сценарии_расчёт!$B78,"")</f>
        <v/>
      </c>
      <c r="B106" s="35" t="str">
        <f>IF(Сценарии_расчёт!$D78=1,Сценарии_расчёт!$K78,"")</f>
        <v/>
      </c>
      <c r="C106" s="35" t="str">
        <f>IF(Сценарии_расчёт!$D78=1,Сценарии_расчёт!$L78,"")</f>
        <v/>
      </c>
      <c r="D106" s="35" t="str">
        <f>IF(Сценарии_расчёт!$D78=1,Сценарии_расчёт!$W78,"")</f>
        <v/>
      </c>
      <c r="E106" s="35" t="str">
        <f>IF(Сценарии_расчёт!$D78=1,Сценарии_расчёт!$X78,"")</f>
        <v/>
      </c>
      <c r="G106" s="50" t="str">
        <f>IF(Сценарии_расчёт!$D78=1,Сценарии_расчёт!$B78,"")</f>
        <v/>
      </c>
      <c r="H106" s="35" t="str">
        <f>IF(Сценарии_расчёт!$D78=1,Сценарии_расчёт!$AH78,"")</f>
        <v/>
      </c>
      <c r="I106" s="35" t="str">
        <f>IF(Сценарии_расчёт!$D78=1,Сценарии_расчёт!$AI78,"")</f>
        <v/>
      </c>
      <c r="J106" s="35" t="str">
        <f>IF(Сценарии_расчёт!$D78=1,Сценарии_расчёт!$AT78,"")</f>
        <v/>
      </c>
      <c r="K106" s="35" t="str">
        <f>IF(Сценарии_расчёт!$D78=1,Сценарии_расчёт!$AU78,"")</f>
        <v/>
      </c>
      <c r="M106" s="50" t="str">
        <f>IF(Сценарии_расчёт!$D78=1,Сценарии_расчёт!$B78,"")</f>
        <v/>
      </c>
      <c r="N106" s="35" t="str">
        <f>IF(Сценарии_расчёт!$D78=1,Сценарии_расчёт!$BE78,"")</f>
        <v/>
      </c>
      <c r="O106" s="35" t="str">
        <f>IF(Сценарии_расчёт!$D78=1,Сценарии_расчёт!$BF78,"")</f>
        <v/>
      </c>
      <c r="P106" s="35" t="str">
        <f>IF(Сценарии_расчёт!$D78=1,Сценарии_расчёт!$BQ78,"")</f>
        <v/>
      </c>
      <c r="Q106" s="35" t="str">
        <f>IF(Сценарии_расчёт!$D78=1,Сценарии_расчёт!$BR78,"")</f>
        <v/>
      </c>
    </row>
    <row r="107" spans="1:17" x14ac:dyDescent="0.2">
      <c r="A107" s="50" t="str">
        <f>IF(Сценарии_расчёт!$D79=1,Сценарии_расчёт!$B79,"")</f>
        <v/>
      </c>
      <c r="B107" s="35" t="str">
        <f>IF(Сценарии_расчёт!$D79=1,Сценарии_расчёт!$K79,"")</f>
        <v/>
      </c>
      <c r="C107" s="35" t="str">
        <f>IF(Сценарии_расчёт!$D79=1,Сценарии_расчёт!$L79,"")</f>
        <v/>
      </c>
      <c r="D107" s="35" t="str">
        <f>IF(Сценарии_расчёт!$D79=1,Сценарии_расчёт!$W79,"")</f>
        <v/>
      </c>
      <c r="E107" s="35" t="str">
        <f>IF(Сценарии_расчёт!$D79=1,Сценарии_расчёт!$X79,"")</f>
        <v/>
      </c>
      <c r="G107" s="50" t="str">
        <f>IF(Сценарии_расчёт!$D79=1,Сценарии_расчёт!$B79,"")</f>
        <v/>
      </c>
      <c r="H107" s="35" t="str">
        <f>IF(Сценарии_расчёт!$D79=1,Сценарии_расчёт!$AH79,"")</f>
        <v/>
      </c>
      <c r="I107" s="35" t="str">
        <f>IF(Сценарии_расчёт!$D79=1,Сценарии_расчёт!$AI79,"")</f>
        <v/>
      </c>
      <c r="J107" s="35" t="str">
        <f>IF(Сценарии_расчёт!$D79=1,Сценарии_расчёт!$AT79,"")</f>
        <v/>
      </c>
      <c r="K107" s="35" t="str">
        <f>IF(Сценарии_расчёт!$D79=1,Сценарии_расчёт!$AU79,"")</f>
        <v/>
      </c>
      <c r="M107" s="50" t="str">
        <f>IF(Сценарии_расчёт!$D79=1,Сценарии_расчёт!$B79,"")</f>
        <v/>
      </c>
      <c r="N107" s="35" t="str">
        <f>IF(Сценарии_расчёт!$D79=1,Сценарии_расчёт!$BE79,"")</f>
        <v/>
      </c>
      <c r="O107" s="35" t="str">
        <f>IF(Сценарии_расчёт!$D79=1,Сценарии_расчёт!$BF79,"")</f>
        <v/>
      </c>
      <c r="P107" s="35" t="str">
        <f>IF(Сценарии_расчёт!$D79=1,Сценарии_расчёт!$BQ79,"")</f>
        <v/>
      </c>
      <c r="Q107" s="35" t="str">
        <f>IF(Сценарии_расчёт!$D79=1,Сценарии_расчёт!$BR79,"")</f>
        <v/>
      </c>
    </row>
    <row r="108" spans="1:17" x14ac:dyDescent="0.2">
      <c r="A108" s="50" t="str">
        <f>IF(Сценарии_расчёт!$D80=1,Сценарии_расчёт!$B80,"")</f>
        <v/>
      </c>
      <c r="B108" s="35" t="str">
        <f>IF(Сценарии_расчёт!$D80=1,Сценарии_расчёт!$K80,"")</f>
        <v/>
      </c>
      <c r="C108" s="35" t="str">
        <f>IF(Сценарии_расчёт!$D80=1,Сценарии_расчёт!$L80,"")</f>
        <v/>
      </c>
      <c r="D108" s="35" t="str">
        <f>IF(Сценарии_расчёт!$D80=1,Сценарии_расчёт!$W80,"")</f>
        <v/>
      </c>
      <c r="E108" s="35" t="str">
        <f>IF(Сценарии_расчёт!$D80=1,Сценарии_расчёт!$X80,"")</f>
        <v/>
      </c>
      <c r="G108" s="50" t="str">
        <f>IF(Сценарии_расчёт!$D80=1,Сценарии_расчёт!$B80,"")</f>
        <v/>
      </c>
      <c r="H108" s="35" t="str">
        <f>IF(Сценарии_расчёт!$D80=1,Сценарии_расчёт!$AH80,"")</f>
        <v/>
      </c>
      <c r="I108" s="35" t="str">
        <f>IF(Сценарии_расчёт!$D80=1,Сценарии_расчёт!$AI80,"")</f>
        <v/>
      </c>
      <c r="J108" s="35" t="str">
        <f>IF(Сценарии_расчёт!$D80=1,Сценарии_расчёт!$AT80,"")</f>
        <v/>
      </c>
      <c r="K108" s="35" t="str">
        <f>IF(Сценарии_расчёт!$D80=1,Сценарии_расчёт!$AU80,"")</f>
        <v/>
      </c>
      <c r="M108" s="50" t="str">
        <f>IF(Сценарии_расчёт!$D80=1,Сценарии_расчёт!$B80,"")</f>
        <v/>
      </c>
      <c r="N108" s="35" t="str">
        <f>IF(Сценарии_расчёт!$D80=1,Сценарии_расчёт!$BE80,"")</f>
        <v/>
      </c>
      <c r="O108" s="35" t="str">
        <f>IF(Сценарии_расчёт!$D80=1,Сценарии_расчёт!$BF80,"")</f>
        <v/>
      </c>
      <c r="P108" s="35" t="str">
        <f>IF(Сценарии_расчёт!$D80=1,Сценарии_расчёт!$BQ80,"")</f>
        <v/>
      </c>
      <c r="Q108" s="35" t="str">
        <f>IF(Сценарии_расчёт!$D80=1,Сценарии_расчёт!$BR80,"")</f>
        <v/>
      </c>
    </row>
    <row r="109" spans="1:17" x14ac:dyDescent="0.2">
      <c r="A109" s="50" t="str">
        <f>IF(Сценарии_расчёт!$D81=1,Сценарии_расчёт!$B81,"")</f>
        <v/>
      </c>
      <c r="B109" s="35" t="str">
        <f>IF(Сценарии_расчёт!$D81=1,Сценарии_расчёт!$K81,"")</f>
        <v/>
      </c>
      <c r="C109" s="35" t="str">
        <f>IF(Сценарии_расчёт!$D81=1,Сценарии_расчёт!$L81,"")</f>
        <v/>
      </c>
      <c r="D109" s="35" t="str">
        <f>IF(Сценарии_расчёт!$D81=1,Сценарии_расчёт!$W81,"")</f>
        <v/>
      </c>
      <c r="E109" s="35" t="str">
        <f>IF(Сценарии_расчёт!$D81=1,Сценарии_расчёт!$X81,"")</f>
        <v/>
      </c>
      <c r="G109" s="50" t="str">
        <f>IF(Сценарии_расчёт!$D81=1,Сценарии_расчёт!$B81,"")</f>
        <v/>
      </c>
      <c r="H109" s="35" t="str">
        <f>IF(Сценарии_расчёт!$D81=1,Сценарии_расчёт!$AH81,"")</f>
        <v/>
      </c>
      <c r="I109" s="35" t="str">
        <f>IF(Сценарии_расчёт!$D81=1,Сценарии_расчёт!$AI81,"")</f>
        <v/>
      </c>
      <c r="J109" s="35" t="str">
        <f>IF(Сценарии_расчёт!$D81=1,Сценарии_расчёт!$AT81,"")</f>
        <v/>
      </c>
      <c r="K109" s="35" t="str">
        <f>IF(Сценарии_расчёт!$D81=1,Сценарии_расчёт!$AU81,"")</f>
        <v/>
      </c>
      <c r="M109" s="50" t="str">
        <f>IF(Сценарии_расчёт!$D81=1,Сценарии_расчёт!$B81,"")</f>
        <v/>
      </c>
      <c r="N109" s="35" t="str">
        <f>IF(Сценарии_расчёт!$D81=1,Сценарии_расчёт!$BE81,"")</f>
        <v/>
      </c>
      <c r="O109" s="35" t="str">
        <f>IF(Сценарии_расчёт!$D81=1,Сценарии_расчёт!$BF81,"")</f>
        <v/>
      </c>
      <c r="P109" s="35" t="str">
        <f>IF(Сценарии_расчёт!$D81=1,Сценарии_расчёт!$BQ81,"")</f>
        <v/>
      </c>
      <c r="Q109" s="35" t="str">
        <f>IF(Сценарии_расчёт!$D81=1,Сценарии_расчёт!$BR81,"")</f>
        <v/>
      </c>
    </row>
    <row r="110" spans="1:17" x14ac:dyDescent="0.2">
      <c r="A110" s="50" t="str">
        <f>IF(Сценарии_расчёт!$D82=1,Сценарии_расчёт!$B82,"")</f>
        <v/>
      </c>
      <c r="B110" s="35" t="str">
        <f>IF(Сценарии_расчёт!$D82=1,Сценарии_расчёт!$K82,"")</f>
        <v/>
      </c>
      <c r="C110" s="35" t="str">
        <f>IF(Сценарии_расчёт!$D82=1,Сценарии_расчёт!$L82,"")</f>
        <v/>
      </c>
      <c r="D110" s="35" t="str">
        <f>IF(Сценарии_расчёт!$D82=1,Сценарии_расчёт!$W82,"")</f>
        <v/>
      </c>
      <c r="E110" s="35" t="str">
        <f>IF(Сценарии_расчёт!$D82=1,Сценарии_расчёт!$X82,"")</f>
        <v/>
      </c>
      <c r="G110" s="50" t="str">
        <f>IF(Сценарии_расчёт!$D82=1,Сценарии_расчёт!$B82,"")</f>
        <v/>
      </c>
      <c r="H110" s="35" t="str">
        <f>IF(Сценарии_расчёт!$D82=1,Сценарии_расчёт!$AH82,"")</f>
        <v/>
      </c>
      <c r="I110" s="35" t="str">
        <f>IF(Сценарии_расчёт!$D82=1,Сценарии_расчёт!$AI82,"")</f>
        <v/>
      </c>
      <c r="J110" s="35" t="str">
        <f>IF(Сценарии_расчёт!$D82=1,Сценарии_расчёт!$AT82,"")</f>
        <v/>
      </c>
      <c r="K110" s="35" t="str">
        <f>IF(Сценарии_расчёт!$D82=1,Сценарии_расчёт!$AU82,"")</f>
        <v/>
      </c>
      <c r="M110" s="50" t="str">
        <f>IF(Сценарии_расчёт!$D82=1,Сценарии_расчёт!$B82,"")</f>
        <v/>
      </c>
      <c r="N110" s="35" t="str">
        <f>IF(Сценарии_расчёт!$D82=1,Сценарии_расчёт!$BE82,"")</f>
        <v/>
      </c>
      <c r="O110" s="35" t="str">
        <f>IF(Сценарии_расчёт!$D82=1,Сценарии_расчёт!$BF82,"")</f>
        <v/>
      </c>
      <c r="P110" s="35" t="str">
        <f>IF(Сценарии_расчёт!$D82=1,Сценарии_расчёт!$BQ82,"")</f>
        <v/>
      </c>
      <c r="Q110" s="35" t="str">
        <f>IF(Сценарии_расчёт!$D82=1,Сценарии_расчёт!$BR82,"")</f>
        <v/>
      </c>
    </row>
    <row r="111" spans="1:17" x14ac:dyDescent="0.2">
      <c r="A111" s="50" t="str">
        <f>IF(Сценарии_расчёт!$D83=1,Сценарии_расчёт!$B83,"")</f>
        <v/>
      </c>
      <c r="B111" s="35" t="str">
        <f>IF(Сценарии_расчёт!$D83=1,Сценарии_расчёт!$K83,"")</f>
        <v/>
      </c>
      <c r="C111" s="35" t="str">
        <f>IF(Сценарии_расчёт!$D83=1,Сценарии_расчёт!$L83,"")</f>
        <v/>
      </c>
      <c r="D111" s="35" t="str">
        <f>IF(Сценарии_расчёт!$D83=1,Сценарии_расчёт!$W83,"")</f>
        <v/>
      </c>
      <c r="E111" s="35" t="str">
        <f>IF(Сценарии_расчёт!$D83=1,Сценарии_расчёт!$X83,"")</f>
        <v/>
      </c>
      <c r="G111" s="50" t="str">
        <f>IF(Сценарии_расчёт!$D83=1,Сценарии_расчёт!$B83,"")</f>
        <v/>
      </c>
      <c r="H111" s="35" t="str">
        <f>IF(Сценарии_расчёт!$D83=1,Сценарии_расчёт!$AH83,"")</f>
        <v/>
      </c>
      <c r="I111" s="35" t="str">
        <f>IF(Сценарии_расчёт!$D83=1,Сценарии_расчёт!$AI83,"")</f>
        <v/>
      </c>
      <c r="J111" s="35" t="str">
        <f>IF(Сценарии_расчёт!$D83=1,Сценарии_расчёт!$AT83,"")</f>
        <v/>
      </c>
      <c r="K111" s="35" t="str">
        <f>IF(Сценарии_расчёт!$D83=1,Сценарии_расчёт!$AU83,"")</f>
        <v/>
      </c>
      <c r="M111" s="50" t="str">
        <f>IF(Сценарии_расчёт!$D83=1,Сценарии_расчёт!$B83,"")</f>
        <v/>
      </c>
      <c r="N111" s="35" t="str">
        <f>IF(Сценарии_расчёт!$D83=1,Сценарии_расчёт!$BE83,"")</f>
        <v/>
      </c>
      <c r="O111" s="35" t="str">
        <f>IF(Сценарии_расчёт!$D83=1,Сценарии_расчёт!$BF83,"")</f>
        <v/>
      </c>
      <c r="P111" s="35" t="str">
        <f>IF(Сценарии_расчёт!$D83=1,Сценарии_расчёт!$BQ83,"")</f>
        <v/>
      </c>
      <c r="Q111" s="35" t="str">
        <f>IF(Сценарии_расчёт!$D83=1,Сценарии_расчёт!$BR83,"")</f>
        <v/>
      </c>
    </row>
    <row r="112" spans="1:17" x14ac:dyDescent="0.2">
      <c r="A112" s="50" t="str">
        <f>IF(Сценарии_расчёт!$D84=1,Сценарии_расчёт!$B84,"")</f>
        <v/>
      </c>
      <c r="B112" s="35" t="str">
        <f>IF(Сценарии_расчёт!$D84=1,Сценарии_расчёт!$K84,"")</f>
        <v/>
      </c>
      <c r="C112" s="35" t="str">
        <f>IF(Сценарии_расчёт!$D84=1,Сценарии_расчёт!$L84,"")</f>
        <v/>
      </c>
      <c r="D112" s="35" t="str">
        <f>IF(Сценарии_расчёт!$D84=1,Сценарии_расчёт!$W84,"")</f>
        <v/>
      </c>
      <c r="E112" s="35" t="str">
        <f>IF(Сценарии_расчёт!$D84=1,Сценарии_расчёт!$X84,"")</f>
        <v/>
      </c>
      <c r="G112" s="50" t="str">
        <f>IF(Сценарии_расчёт!$D84=1,Сценарии_расчёт!$B84,"")</f>
        <v/>
      </c>
      <c r="H112" s="35" t="str">
        <f>IF(Сценарии_расчёт!$D84=1,Сценарии_расчёт!$AH84,"")</f>
        <v/>
      </c>
      <c r="I112" s="35" t="str">
        <f>IF(Сценарии_расчёт!$D84=1,Сценарии_расчёт!$AI84,"")</f>
        <v/>
      </c>
      <c r="J112" s="35" t="str">
        <f>IF(Сценарии_расчёт!$D84=1,Сценарии_расчёт!$AT84,"")</f>
        <v/>
      </c>
      <c r="K112" s="35" t="str">
        <f>IF(Сценарии_расчёт!$D84=1,Сценарии_расчёт!$AU84,"")</f>
        <v/>
      </c>
      <c r="M112" s="50" t="str">
        <f>IF(Сценарии_расчёт!$D84=1,Сценарии_расчёт!$B84,"")</f>
        <v/>
      </c>
      <c r="N112" s="35" t="str">
        <f>IF(Сценарии_расчёт!$D84=1,Сценарии_расчёт!$BE84,"")</f>
        <v/>
      </c>
      <c r="O112" s="35" t="str">
        <f>IF(Сценарии_расчёт!$D84=1,Сценарии_расчёт!$BF84,"")</f>
        <v/>
      </c>
      <c r="P112" s="35" t="str">
        <f>IF(Сценарии_расчёт!$D84=1,Сценарии_расчёт!$BQ84,"")</f>
        <v/>
      </c>
      <c r="Q112" s="35" t="str">
        <f>IF(Сценарии_расчёт!$D84=1,Сценарии_расчёт!$BR84,"")</f>
        <v/>
      </c>
    </row>
    <row r="113" spans="1:17" x14ac:dyDescent="0.2">
      <c r="A113" s="50" t="str">
        <f>IF(Сценарии_расчёт!$D85=1,Сценарии_расчёт!$B85,"")</f>
        <v/>
      </c>
      <c r="B113" s="35" t="str">
        <f>IF(Сценарии_расчёт!$D85=1,Сценарии_расчёт!$K85,"")</f>
        <v/>
      </c>
      <c r="C113" s="35" t="str">
        <f>IF(Сценарии_расчёт!$D85=1,Сценарии_расчёт!$L85,"")</f>
        <v/>
      </c>
      <c r="D113" s="35" t="str">
        <f>IF(Сценарии_расчёт!$D85=1,Сценарии_расчёт!$W85,"")</f>
        <v/>
      </c>
      <c r="E113" s="35" t="str">
        <f>IF(Сценарии_расчёт!$D85=1,Сценарии_расчёт!$X85,"")</f>
        <v/>
      </c>
      <c r="G113" s="50" t="str">
        <f>IF(Сценарии_расчёт!$D85=1,Сценарии_расчёт!$B85,"")</f>
        <v/>
      </c>
      <c r="H113" s="35" t="str">
        <f>IF(Сценарии_расчёт!$D85=1,Сценарии_расчёт!$AH85,"")</f>
        <v/>
      </c>
      <c r="I113" s="35" t="str">
        <f>IF(Сценарии_расчёт!$D85=1,Сценарии_расчёт!$AI85,"")</f>
        <v/>
      </c>
      <c r="J113" s="35" t="str">
        <f>IF(Сценарии_расчёт!$D85=1,Сценарии_расчёт!$AT85,"")</f>
        <v/>
      </c>
      <c r="K113" s="35" t="str">
        <f>IF(Сценарии_расчёт!$D85=1,Сценарии_расчёт!$AU85,"")</f>
        <v/>
      </c>
      <c r="M113" s="50" t="str">
        <f>IF(Сценарии_расчёт!$D85=1,Сценарии_расчёт!$B85,"")</f>
        <v/>
      </c>
      <c r="N113" s="35" t="str">
        <f>IF(Сценарии_расчёт!$D85=1,Сценарии_расчёт!$BE85,"")</f>
        <v/>
      </c>
      <c r="O113" s="35" t="str">
        <f>IF(Сценарии_расчёт!$D85=1,Сценарии_расчёт!$BF85,"")</f>
        <v/>
      </c>
      <c r="P113" s="35" t="str">
        <f>IF(Сценарии_расчёт!$D85=1,Сценарии_расчёт!$BQ85,"")</f>
        <v/>
      </c>
      <c r="Q113" s="35" t="str">
        <f>IF(Сценарии_расчёт!$D85=1,Сценарии_расчёт!$BR85,"")</f>
        <v/>
      </c>
    </row>
    <row r="114" spans="1:17" x14ac:dyDescent="0.2">
      <c r="A114" s="50" t="str">
        <f>IF(Сценарии_расчёт!$D86=1,Сценарии_расчёт!$B86,"")</f>
        <v/>
      </c>
      <c r="B114" s="35" t="str">
        <f>IF(Сценарии_расчёт!$D86=1,Сценарии_расчёт!$K86,"")</f>
        <v/>
      </c>
      <c r="C114" s="35" t="str">
        <f>IF(Сценарии_расчёт!$D86=1,Сценарии_расчёт!$L86,"")</f>
        <v/>
      </c>
      <c r="D114" s="35" t="str">
        <f>IF(Сценарии_расчёт!$D86=1,Сценарии_расчёт!$W86,"")</f>
        <v/>
      </c>
      <c r="E114" s="35" t="str">
        <f>IF(Сценарии_расчёт!$D86=1,Сценарии_расчёт!$X86,"")</f>
        <v/>
      </c>
      <c r="G114" s="50" t="str">
        <f>IF(Сценарии_расчёт!$D86=1,Сценарии_расчёт!$B86,"")</f>
        <v/>
      </c>
      <c r="H114" s="35" t="str">
        <f>IF(Сценарии_расчёт!$D86=1,Сценарии_расчёт!$AH86,"")</f>
        <v/>
      </c>
      <c r="I114" s="35" t="str">
        <f>IF(Сценарии_расчёт!$D86=1,Сценарии_расчёт!$AI86,"")</f>
        <v/>
      </c>
      <c r="J114" s="35" t="str">
        <f>IF(Сценарии_расчёт!$D86=1,Сценарии_расчёт!$AT86,"")</f>
        <v/>
      </c>
      <c r="K114" s="35" t="str">
        <f>IF(Сценарии_расчёт!$D86=1,Сценарии_расчёт!$AU86,"")</f>
        <v/>
      </c>
      <c r="M114" s="50" t="str">
        <f>IF(Сценарии_расчёт!$D86=1,Сценарии_расчёт!$B86,"")</f>
        <v/>
      </c>
      <c r="N114" s="35" t="str">
        <f>IF(Сценарии_расчёт!$D86=1,Сценарии_расчёт!$BE86,"")</f>
        <v/>
      </c>
      <c r="O114" s="35" t="str">
        <f>IF(Сценарии_расчёт!$D86=1,Сценарии_расчёт!$BF86,"")</f>
        <v/>
      </c>
      <c r="P114" s="35" t="str">
        <f>IF(Сценарии_расчёт!$D86=1,Сценарии_расчёт!$BQ86,"")</f>
        <v/>
      </c>
      <c r="Q114" s="35" t="str">
        <f>IF(Сценарии_расчёт!$D86=1,Сценарии_расчёт!$BR86,"")</f>
        <v/>
      </c>
    </row>
    <row r="115" spans="1:17" x14ac:dyDescent="0.2">
      <c r="A115" s="50" t="str">
        <f>IF(Сценарии_расчёт!$D87=1,Сценарии_расчёт!$B87,"")</f>
        <v/>
      </c>
      <c r="B115" s="35" t="str">
        <f>IF(Сценарии_расчёт!$D87=1,Сценарии_расчёт!$K87,"")</f>
        <v/>
      </c>
      <c r="C115" s="35" t="str">
        <f>IF(Сценарии_расчёт!$D87=1,Сценарии_расчёт!$L87,"")</f>
        <v/>
      </c>
      <c r="D115" s="35" t="str">
        <f>IF(Сценарии_расчёт!$D87=1,Сценарии_расчёт!$W87,"")</f>
        <v/>
      </c>
      <c r="E115" s="35" t="str">
        <f>IF(Сценарии_расчёт!$D87=1,Сценарии_расчёт!$X87,"")</f>
        <v/>
      </c>
      <c r="G115" s="50" t="str">
        <f>IF(Сценарии_расчёт!$D87=1,Сценарии_расчёт!$B87,"")</f>
        <v/>
      </c>
      <c r="H115" s="35" t="str">
        <f>IF(Сценарии_расчёт!$D87=1,Сценарии_расчёт!$AH87,"")</f>
        <v/>
      </c>
      <c r="I115" s="35" t="str">
        <f>IF(Сценарии_расчёт!$D87=1,Сценарии_расчёт!$AI87,"")</f>
        <v/>
      </c>
      <c r="J115" s="35" t="str">
        <f>IF(Сценарии_расчёт!$D87=1,Сценарии_расчёт!$AT87,"")</f>
        <v/>
      </c>
      <c r="K115" s="35" t="str">
        <f>IF(Сценарии_расчёт!$D87=1,Сценарии_расчёт!$AU87,"")</f>
        <v/>
      </c>
      <c r="M115" s="50" t="str">
        <f>IF(Сценарии_расчёт!$D87=1,Сценарии_расчёт!$B87,"")</f>
        <v/>
      </c>
      <c r="N115" s="35" t="str">
        <f>IF(Сценарии_расчёт!$D87=1,Сценарии_расчёт!$BE87,"")</f>
        <v/>
      </c>
      <c r="O115" s="35" t="str">
        <f>IF(Сценарии_расчёт!$D87=1,Сценарии_расчёт!$BF87,"")</f>
        <v/>
      </c>
      <c r="P115" s="35" t="str">
        <f>IF(Сценарии_расчёт!$D87=1,Сценарии_расчёт!$BQ87,"")</f>
        <v/>
      </c>
      <c r="Q115" s="35" t="str">
        <f>IF(Сценарии_расчёт!$D87=1,Сценарии_расчёт!$BR87,"")</f>
        <v/>
      </c>
    </row>
    <row r="116" spans="1:17" x14ac:dyDescent="0.2">
      <c r="A116" s="50" t="str">
        <f>IF(Сценарии_расчёт!$D88=1,Сценарии_расчёт!$B88,"")</f>
        <v/>
      </c>
      <c r="B116" s="35" t="str">
        <f>IF(Сценарии_расчёт!$D88=1,Сценарии_расчёт!$K88,"")</f>
        <v/>
      </c>
      <c r="C116" s="35" t="str">
        <f>IF(Сценарии_расчёт!$D88=1,Сценарии_расчёт!$L88,"")</f>
        <v/>
      </c>
      <c r="D116" s="35" t="str">
        <f>IF(Сценарии_расчёт!$D88=1,Сценарии_расчёт!$W88,"")</f>
        <v/>
      </c>
      <c r="E116" s="35" t="str">
        <f>IF(Сценарии_расчёт!$D88=1,Сценарии_расчёт!$X88,"")</f>
        <v/>
      </c>
      <c r="G116" s="50" t="str">
        <f>IF(Сценарии_расчёт!$D88=1,Сценарии_расчёт!$B88,"")</f>
        <v/>
      </c>
      <c r="H116" s="35" t="str">
        <f>IF(Сценарии_расчёт!$D88=1,Сценарии_расчёт!$AH88,"")</f>
        <v/>
      </c>
      <c r="I116" s="35" t="str">
        <f>IF(Сценарии_расчёт!$D88=1,Сценарии_расчёт!$AI88,"")</f>
        <v/>
      </c>
      <c r="J116" s="35" t="str">
        <f>IF(Сценарии_расчёт!$D88=1,Сценарии_расчёт!$AT88,"")</f>
        <v/>
      </c>
      <c r="K116" s="35" t="str">
        <f>IF(Сценарии_расчёт!$D88=1,Сценарии_расчёт!$AU88,"")</f>
        <v/>
      </c>
      <c r="M116" s="50" t="str">
        <f>IF(Сценарии_расчёт!$D88=1,Сценарии_расчёт!$B88,"")</f>
        <v/>
      </c>
      <c r="N116" s="35" t="str">
        <f>IF(Сценарии_расчёт!$D88=1,Сценарии_расчёт!$BE88,"")</f>
        <v/>
      </c>
      <c r="O116" s="35" t="str">
        <f>IF(Сценарии_расчёт!$D88=1,Сценарии_расчёт!$BF88,"")</f>
        <v/>
      </c>
      <c r="P116" s="35" t="str">
        <f>IF(Сценарии_расчёт!$D88=1,Сценарии_расчёт!$BQ88,"")</f>
        <v/>
      </c>
      <c r="Q116" s="35" t="str">
        <f>IF(Сценарии_расчёт!$D88=1,Сценарии_расчёт!$BR88,"")</f>
        <v/>
      </c>
    </row>
    <row r="117" spans="1:17" x14ac:dyDescent="0.2">
      <c r="A117" s="50" t="str">
        <f>IF(Сценарии_расчёт!$D89=1,Сценарии_расчёт!$B89,"")</f>
        <v/>
      </c>
      <c r="B117" s="35" t="str">
        <f>IF(Сценарии_расчёт!$D89=1,Сценарии_расчёт!$K89,"")</f>
        <v/>
      </c>
      <c r="C117" s="35" t="str">
        <f>IF(Сценарии_расчёт!$D89=1,Сценарии_расчёт!$L89,"")</f>
        <v/>
      </c>
      <c r="D117" s="35" t="str">
        <f>IF(Сценарии_расчёт!$D89=1,Сценарии_расчёт!$W89,"")</f>
        <v/>
      </c>
      <c r="E117" s="35" t="str">
        <f>IF(Сценарии_расчёт!$D89=1,Сценарии_расчёт!$X89,"")</f>
        <v/>
      </c>
      <c r="G117" s="50" t="str">
        <f>IF(Сценарии_расчёт!$D89=1,Сценарии_расчёт!$B89,"")</f>
        <v/>
      </c>
      <c r="H117" s="35" t="str">
        <f>IF(Сценарии_расчёт!$D89=1,Сценарии_расчёт!$AH89,"")</f>
        <v/>
      </c>
      <c r="I117" s="35" t="str">
        <f>IF(Сценарии_расчёт!$D89=1,Сценарии_расчёт!$AI89,"")</f>
        <v/>
      </c>
      <c r="J117" s="35" t="str">
        <f>IF(Сценарии_расчёт!$D89=1,Сценарии_расчёт!$AT89,"")</f>
        <v/>
      </c>
      <c r="K117" s="35" t="str">
        <f>IF(Сценарии_расчёт!$D89=1,Сценарии_расчёт!$AU89,"")</f>
        <v/>
      </c>
      <c r="M117" s="50" t="str">
        <f>IF(Сценарии_расчёт!$D89=1,Сценарии_расчёт!$B89,"")</f>
        <v/>
      </c>
      <c r="N117" s="35" t="str">
        <f>IF(Сценарии_расчёт!$D89=1,Сценарии_расчёт!$BE89,"")</f>
        <v/>
      </c>
      <c r="O117" s="35" t="str">
        <f>IF(Сценарии_расчёт!$D89=1,Сценарии_расчёт!$BF89,"")</f>
        <v/>
      </c>
      <c r="P117" s="35" t="str">
        <f>IF(Сценарии_расчёт!$D89=1,Сценарии_расчёт!$BQ89,"")</f>
        <v/>
      </c>
      <c r="Q117" s="35" t="str">
        <f>IF(Сценарии_расчёт!$D89=1,Сценарии_расчёт!$BR89,"")</f>
        <v/>
      </c>
    </row>
    <row r="118" spans="1:17" x14ac:dyDescent="0.2">
      <c r="A118" s="50" t="str">
        <f>IF(Сценарии_расчёт!$D90=1,Сценарии_расчёт!$B90,"")</f>
        <v/>
      </c>
      <c r="B118" s="35" t="str">
        <f>IF(Сценарии_расчёт!$D90=1,Сценарии_расчёт!$K90,"")</f>
        <v/>
      </c>
      <c r="C118" s="35" t="str">
        <f>IF(Сценарии_расчёт!$D90=1,Сценарии_расчёт!$L90,"")</f>
        <v/>
      </c>
      <c r="D118" s="35" t="str">
        <f>IF(Сценарии_расчёт!$D90=1,Сценарии_расчёт!$W90,"")</f>
        <v/>
      </c>
      <c r="E118" s="35" t="str">
        <f>IF(Сценарии_расчёт!$D90=1,Сценарии_расчёт!$X90,"")</f>
        <v/>
      </c>
      <c r="G118" s="50" t="str">
        <f>IF(Сценарии_расчёт!$D90=1,Сценарии_расчёт!$B90,"")</f>
        <v/>
      </c>
      <c r="H118" s="35" t="str">
        <f>IF(Сценарии_расчёт!$D90=1,Сценарии_расчёт!$AH90,"")</f>
        <v/>
      </c>
      <c r="I118" s="35" t="str">
        <f>IF(Сценарии_расчёт!$D90=1,Сценарии_расчёт!$AI90,"")</f>
        <v/>
      </c>
      <c r="J118" s="35" t="str">
        <f>IF(Сценарии_расчёт!$D90=1,Сценарии_расчёт!$AT90,"")</f>
        <v/>
      </c>
      <c r="K118" s="35" t="str">
        <f>IF(Сценарии_расчёт!$D90=1,Сценарии_расчёт!$AU90,"")</f>
        <v/>
      </c>
      <c r="M118" s="50" t="str">
        <f>IF(Сценарии_расчёт!$D90=1,Сценарии_расчёт!$B90,"")</f>
        <v/>
      </c>
      <c r="N118" s="35" t="str">
        <f>IF(Сценарии_расчёт!$D90=1,Сценарии_расчёт!$BE90,"")</f>
        <v/>
      </c>
      <c r="O118" s="35" t="str">
        <f>IF(Сценарии_расчёт!$D90=1,Сценарии_расчёт!$BF90,"")</f>
        <v/>
      </c>
      <c r="P118" s="35" t="str">
        <f>IF(Сценарии_расчёт!$D90=1,Сценарии_расчёт!$BQ90,"")</f>
        <v/>
      </c>
      <c r="Q118" s="35" t="str">
        <f>IF(Сценарии_расчёт!$D90=1,Сценарии_расчёт!$BR90,"")</f>
        <v/>
      </c>
    </row>
    <row r="119" spans="1:17" x14ac:dyDescent="0.2">
      <c r="A119" s="50" t="str">
        <f>IF(Сценарии_расчёт!$D91=1,Сценарии_расчёт!$B91,"")</f>
        <v/>
      </c>
      <c r="B119" s="35" t="str">
        <f>IF(Сценарии_расчёт!$D91=1,Сценарии_расчёт!$K91,"")</f>
        <v/>
      </c>
      <c r="C119" s="35" t="str">
        <f>IF(Сценарии_расчёт!$D91=1,Сценарии_расчёт!$L91,"")</f>
        <v/>
      </c>
      <c r="D119" s="35" t="str">
        <f>IF(Сценарии_расчёт!$D91=1,Сценарии_расчёт!$W91,"")</f>
        <v/>
      </c>
      <c r="E119" s="35" t="str">
        <f>IF(Сценарии_расчёт!$D91=1,Сценарии_расчёт!$X91,"")</f>
        <v/>
      </c>
      <c r="G119" s="50" t="str">
        <f>IF(Сценарии_расчёт!$D91=1,Сценарии_расчёт!$B91,"")</f>
        <v/>
      </c>
      <c r="H119" s="35" t="str">
        <f>IF(Сценарии_расчёт!$D91=1,Сценарии_расчёт!$AH91,"")</f>
        <v/>
      </c>
      <c r="I119" s="35" t="str">
        <f>IF(Сценарии_расчёт!$D91=1,Сценарии_расчёт!$AI91,"")</f>
        <v/>
      </c>
      <c r="J119" s="35" t="str">
        <f>IF(Сценарии_расчёт!$D91=1,Сценарии_расчёт!$AT91,"")</f>
        <v/>
      </c>
      <c r="K119" s="35" t="str">
        <f>IF(Сценарии_расчёт!$D91=1,Сценарии_расчёт!$AU91,"")</f>
        <v/>
      </c>
      <c r="M119" s="50" t="str">
        <f>IF(Сценарии_расчёт!$D91=1,Сценарии_расчёт!$B91,"")</f>
        <v/>
      </c>
      <c r="N119" s="35" t="str">
        <f>IF(Сценарии_расчёт!$D91=1,Сценарии_расчёт!$BE91,"")</f>
        <v/>
      </c>
      <c r="O119" s="35" t="str">
        <f>IF(Сценарии_расчёт!$D91=1,Сценарии_расчёт!$BF91,"")</f>
        <v/>
      </c>
      <c r="P119" s="35" t="str">
        <f>IF(Сценарии_расчёт!$D91=1,Сценарии_расчёт!$BQ91,"")</f>
        <v/>
      </c>
      <c r="Q119" s="35" t="str">
        <f>IF(Сценарии_расчёт!$D91=1,Сценарии_расчёт!$BR91,"")</f>
        <v/>
      </c>
    </row>
    <row r="120" spans="1:17" x14ac:dyDescent="0.2">
      <c r="A120" s="50" t="str">
        <f>IF(Сценарии_расчёт!$D92=1,Сценарии_расчёт!$B92,"")</f>
        <v/>
      </c>
      <c r="B120" s="35" t="str">
        <f>IF(Сценарии_расчёт!$D92=1,Сценарии_расчёт!$K92,"")</f>
        <v/>
      </c>
      <c r="C120" s="35" t="str">
        <f>IF(Сценарии_расчёт!$D92=1,Сценарии_расчёт!$L92,"")</f>
        <v/>
      </c>
      <c r="D120" s="35" t="str">
        <f>IF(Сценарии_расчёт!$D92=1,Сценарии_расчёт!$W92,"")</f>
        <v/>
      </c>
      <c r="E120" s="35" t="str">
        <f>IF(Сценарии_расчёт!$D92=1,Сценарии_расчёт!$X92,"")</f>
        <v/>
      </c>
      <c r="G120" s="50" t="str">
        <f>IF(Сценарии_расчёт!$D92=1,Сценарии_расчёт!$B92,"")</f>
        <v/>
      </c>
      <c r="H120" s="35" t="str">
        <f>IF(Сценарии_расчёт!$D92=1,Сценарии_расчёт!$AH92,"")</f>
        <v/>
      </c>
      <c r="I120" s="35" t="str">
        <f>IF(Сценарии_расчёт!$D92=1,Сценарии_расчёт!$AI92,"")</f>
        <v/>
      </c>
      <c r="J120" s="35" t="str">
        <f>IF(Сценарии_расчёт!$D92=1,Сценарии_расчёт!$AT92,"")</f>
        <v/>
      </c>
      <c r="K120" s="35" t="str">
        <f>IF(Сценарии_расчёт!$D92=1,Сценарии_расчёт!$AU92,"")</f>
        <v/>
      </c>
      <c r="M120" s="50" t="str">
        <f>IF(Сценарии_расчёт!$D92=1,Сценарии_расчёт!$B92,"")</f>
        <v/>
      </c>
      <c r="N120" s="35" t="str">
        <f>IF(Сценарии_расчёт!$D92=1,Сценарии_расчёт!$BE92,"")</f>
        <v/>
      </c>
      <c r="O120" s="35" t="str">
        <f>IF(Сценарии_расчёт!$D92=1,Сценарии_расчёт!$BF92,"")</f>
        <v/>
      </c>
      <c r="P120" s="35" t="str">
        <f>IF(Сценарии_расчёт!$D92=1,Сценарии_расчёт!$BQ92,"")</f>
        <v/>
      </c>
      <c r="Q120" s="35" t="str">
        <f>IF(Сценарии_расчёт!$D92=1,Сценарии_расчёт!$BR92,"")</f>
        <v/>
      </c>
    </row>
    <row r="121" spans="1:17" x14ac:dyDescent="0.2">
      <c r="A121" s="50" t="str">
        <f>IF(Сценарии_расчёт!$D93=1,Сценарии_расчёт!$B93,"")</f>
        <v/>
      </c>
      <c r="B121" s="35" t="str">
        <f>IF(Сценарии_расчёт!$D93=1,Сценарии_расчёт!$K93,"")</f>
        <v/>
      </c>
      <c r="C121" s="35" t="str">
        <f>IF(Сценарии_расчёт!$D93=1,Сценарии_расчёт!$L93,"")</f>
        <v/>
      </c>
      <c r="D121" s="35" t="str">
        <f>IF(Сценарии_расчёт!$D93=1,Сценарии_расчёт!$W93,"")</f>
        <v/>
      </c>
      <c r="E121" s="35" t="str">
        <f>IF(Сценарии_расчёт!$D93=1,Сценарии_расчёт!$X93,"")</f>
        <v/>
      </c>
      <c r="G121" s="50" t="str">
        <f>IF(Сценарии_расчёт!$D93=1,Сценарии_расчёт!$B93,"")</f>
        <v/>
      </c>
      <c r="H121" s="35" t="str">
        <f>IF(Сценарии_расчёт!$D93=1,Сценарии_расчёт!$AH93,"")</f>
        <v/>
      </c>
      <c r="I121" s="35" t="str">
        <f>IF(Сценарии_расчёт!$D93=1,Сценарии_расчёт!$AI93,"")</f>
        <v/>
      </c>
      <c r="J121" s="35" t="str">
        <f>IF(Сценарии_расчёт!$D93=1,Сценарии_расчёт!$AT93,"")</f>
        <v/>
      </c>
      <c r="K121" s="35" t="str">
        <f>IF(Сценарии_расчёт!$D93=1,Сценарии_расчёт!$AU93,"")</f>
        <v/>
      </c>
      <c r="M121" s="50" t="str">
        <f>IF(Сценарии_расчёт!$D93=1,Сценарии_расчёт!$B93,"")</f>
        <v/>
      </c>
      <c r="N121" s="35" t="str">
        <f>IF(Сценарии_расчёт!$D93=1,Сценарии_расчёт!$BE93,"")</f>
        <v/>
      </c>
      <c r="O121" s="35" t="str">
        <f>IF(Сценарии_расчёт!$D93=1,Сценарии_расчёт!$BF93,"")</f>
        <v/>
      </c>
      <c r="P121" s="35" t="str">
        <f>IF(Сценарии_расчёт!$D93=1,Сценарии_расчёт!$BQ93,"")</f>
        <v/>
      </c>
      <c r="Q121" s="35" t="str">
        <f>IF(Сценарии_расчёт!$D93=1,Сценарии_расчёт!$BR93,"")</f>
        <v/>
      </c>
    </row>
    <row r="122" spans="1:17" x14ac:dyDescent="0.2">
      <c r="A122" s="50" t="str">
        <f>IF(Сценарии_расчёт!$D94=1,Сценарии_расчёт!$B94,"")</f>
        <v/>
      </c>
      <c r="B122" s="35" t="str">
        <f>IF(Сценарии_расчёт!$D94=1,Сценарии_расчёт!$K94,"")</f>
        <v/>
      </c>
      <c r="C122" s="35" t="str">
        <f>IF(Сценарии_расчёт!$D94=1,Сценарии_расчёт!$L94,"")</f>
        <v/>
      </c>
      <c r="D122" s="35" t="str">
        <f>IF(Сценарии_расчёт!$D94=1,Сценарии_расчёт!$W94,"")</f>
        <v/>
      </c>
      <c r="E122" s="35" t="str">
        <f>IF(Сценарии_расчёт!$D94=1,Сценарии_расчёт!$X94,"")</f>
        <v/>
      </c>
      <c r="G122" s="50" t="str">
        <f>IF(Сценарии_расчёт!$D94=1,Сценарии_расчёт!$B94,"")</f>
        <v/>
      </c>
      <c r="H122" s="35" t="str">
        <f>IF(Сценарии_расчёт!$D94=1,Сценарии_расчёт!$AH94,"")</f>
        <v/>
      </c>
      <c r="I122" s="35" t="str">
        <f>IF(Сценарии_расчёт!$D94=1,Сценарии_расчёт!$AI94,"")</f>
        <v/>
      </c>
      <c r="J122" s="35" t="str">
        <f>IF(Сценарии_расчёт!$D94=1,Сценарии_расчёт!$AT94,"")</f>
        <v/>
      </c>
      <c r="K122" s="35" t="str">
        <f>IF(Сценарии_расчёт!$D94=1,Сценарии_расчёт!$AU94,"")</f>
        <v/>
      </c>
      <c r="M122" s="50" t="str">
        <f>IF(Сценарии_расчёт!$D94=1,Сценарии_расчёт!$B94,"")</f>
        <v/>
      </c>
      <c r="N122" s="35" t="str">
        <f>IF(Сценарии_расчёт!$D94=1,Сценарии_расчёт!$BE94,"")</f>
        <v/>
      </c>
      <c r="O122" s="35" t="str">
        <f>IF(Сценарии_расчёт!$D94=1,Сценарии_расчёт!$BF94,"")</f>
        <v/>
      </c>
      <c r="P122" s="35" t="str">
        <f>IF(Сценарии_расчёт!$D94=1,Сценарии_расчёт!$BQ94,"")</f>
        <v/>
      </c>
      <c r="Q122" s="35" t="str">
        <f>IF(Сценарии_расчёт!$D94=1,Сценарии_расчёт!$BR94,"")</f>
        <v/>
      </c>
    </row>
    <row r="123" spans="1:17" x14ac:dyDescent="0.2">
      <c r="A123" s="50" t="str">
        <f>IF(Сценарии_расчёт!$D95=1,Сценарии_расчёт!$B95,"")</f>
        <v/>
      </c>
      <c r="B123" s="35" t="str">
        <f>IF(Сценарии_расчёт!$D95=1,Сценарии_расчёт!$K95,"")</f>
        <v/>
      </c>
      <c r="C123" s="35" t="str">
        <f>IF(Сценарии_расчёт!$D95=1,Сценарии_расчёт!$L95,"")</f>
        <v/>
      </c>
      <c r="D123" s="35" t="str">
        <f>IF(Сценарии_расчёт!$D95=1,Сценарии_расчёт!$W95,"")</f>
        <v/>
      </c>
      <c r="E123" s="35" t="str">
        <f>IF(Сценарии_расчёт!$D95=1,Сценарии_расчёт!$X95,"")</f>
        <v/>
      </c>
      <c r="G123" s="50" t="str">
        <f>IF(Сценарии_расчёт!$D95=1,Сценарии_расчёт!$B95,"")</f>
        <v/>
      </c>
      <c r="H123" s="35" t="str">
        <f>IF(Сценарии_расчёт!$D95=1,Сценарии_расчёт!$AH95,"")</f>
        <v/>
      </c>
      <c r="I123" s="35" t="str">
        <f>IF(Сценарии_расчёт!$D95=1,Сценарии_расчёт!$AI95,"")</f>
        <v/>
      </c>
      <c r="J123" s="35" t="str">
        <f>IF(Сценарии_расчёт!$D95=1,Сценарии_расчёт!$AT95,"")</f>
        <v/>
      </c>
      <c r="K123" s="35" t="str">
        <f>IF(Сценарии_расчёт!$D95=1,Сценарии_расчёт!$AU95,"")</f>
        <v/>
      </c>
      <c r="M123" s="50" t="str">
        <f>IF(Сценарии_расчёт!$D95=1,Сценарии_расчёт!$B95,"")</f>
        <v/>
      </c>
      <c r="N123" s="35" t="str">
        <f>IF(Сценарии_расчёт!$D95=1,Сценарии_расчёт!$BE95,"")</f>
        <v/>
      </c>
      <c r="O123" s="35" t="str">
        <f>IF(Сценарии_расчёт!$D95=1,Сценарии_расчёт!$BF95,"")</f>
        <v/>
      </c>
      <c r="P123" s="35" t="str">
        <f>IF(Сценарии_расчёт!$D95=1,Сценарии_расчёт!$BQ95,"")</f>
        <v/>
      </c>
      <c r="Q123" s="35" t="str">
        <f>IF(Сценарии_расчёт!$D95=1,Сценарии_расчёт!$BR95,"")</f>
        <v/>
      </c>
    </row>
    <row r="124" spans="1:17" x14ac:dyDescent="0.2">
      <c r="A124" s="50" t="str">
        <f>IF(Сценарии_расчёт!$D96=1,Сценарии_расчёт!$B96,"")</f>
        <v/>
      </c>
      <c r="B124" s="35" t="str">
        <f>IF(Сценарии_расчёт!$D96=1,Сценарии_расчёт!$K96,"")</f>
        <v/>
      </c>
      <c r="C124" s="35" t="str">
        <f>IF(Сценарии_расчёт!$D96=1,Сценарии_расчёт!$L96,"")</f>
        <v/>
      </c>
      <c r="D124" s="35" t="str">
        <f>IF(Сценарии_расчёт!$D96=1,Сценарии_расчёт!$W96,"")</f>
        <v/>
      </c>
      <c r="E124" s="35" t="str">
        <f>IF(Сценарии_расчёт!$D96=1,Сценарии_расчёт!$X96,"")</f>
        <v/>
      </c>
      <c r="G124" s="50" t="str">
        <f>IF(Сценарии_расчёт!$D96=1,Сценарии_расчёт!$B96,"")</f>
        <v/>
      </c>
      <c r="H124" s="35" t="str">
        <f>IF(Сценарии_расчёт!$D96=1,Сценарии_расчёт!$AH96,"")</f>
        <v/>
      </c>
      <c r="I124" s="35" t="str">
        <f>IF(Сценарии_расчёт!$D96=1,Сценарии_расчёт!$AI96,"")</f>
        <v/>
      </c>
      <c r="J124" s="35" t="str">
        <f>IF(Сценарии_расчёт!$D96=1,Сценарии_расчёт!$AT96,"")</f>
        <v/>
      </c>
      <c r="K124" s="35" t="str">
        <f>IF(Сценарии_расчёт!$D96=1,Сценарии_расчёт!$AU96,"")</f>
        <v/>
      </c>
      <c r="M124" s="50" t="str">
        <f>IF(Сценарии_расчёт!$D96=1,Сценарии_расчёт!$B96,"")</f>
        <v/>
      </c>
      <c r="N124" s="35" t="str">
        <f>IF(Сценарии_расчёт!$D96=1,Сценарии_расчёт!$BE96,"")</f>
        <v/>
      </c>
      <c r="O124" s="35" t="str">
        <f>IF(Сценарии_расчёт!$D96=1,Сценарии_расчёт!$BF96,"")</f>
        <v/>
      </c>
      <c r="P124" s="35" t="str">
        <f>IF(Сценарии_расчёт!$D96=1,Сценарии_расчёт!$BQ96,"")</f>
        <v/>
      </c>
      <c r="Q124" s="35" t="str">
        <f>IF(Сценарии_расчёт!$D96=1,Сценарии_расчёт!$BR96,"")</f>
        <v/>
      </c>
    </row>
    <row r="125" spans="1:17" x14ac:dyDescent="0.2">
      <c r="A125" s="50" t="str">
        <f>IF(Сценарии_расчёт!$D97=1,Сценарии_расчёт!$B97,"")</f>
        <v/>
      </c>
      <c r="B125" s="35" t="str">
        <f>IF(Сценарии_расчёт!$D97=1,Сценарии_расчёт!$K97,"")</f>
        <v/>
      </c>
      <c r="C125" s="35" t="str">
        <f>IF(Сценарии_расчёт!$D97=1,Сценарии_расчёт!$L97,"")</f>
        <v/>
      </c>
      <c r="D125" s="35" t="str">
        <f>IF(Сценарии_расчёт!$D97=1,Сценарии_расчёт!$W97,"")</f>
        <v/>
      </c>
      <c r="E125" s="35" t="str">
        <f>IF(Сценарии_расчёт!$D97=1,Сценарии_расчёт!$X97,"")</f>
        <v/>
      </c>
      <c r="G125" s="50" t="str">
        <f>IF(Сценарии_расчёт!$D97=1,Сценарии_расчёт!$B97,"")</f>
        <v/>
      </c>
      <c r="H125" s="35" t="str">
        <f>IF(Сценарии_расчёт!$D97=1,Сценарии_расчёт!$AH97,"")</f>
        <v/>
      </c>
      <c r="I125" s="35" t="str">
        <f>IF(Сценарии_расчёт!$D97=1,Сценарии_расчёт!$AI97,"")</f>
        <v/>
      </c>
      <c r="J125" s="35" t="str">
        <f>IF(Сценарии_расчёт!$D97=1,Сценарии_расчёт!$AT97,"")</f>
        <v/>
      </c>
      <c r="K125" s="35" t="str">
        <f>IF(Сценарии_расчёт!$D97=1,Сценарии_расчёт!$AU97,"")</f>
        <v/>
      </c>
      <c r="M125" s="50" t="str">
        <f>IF(Сценарии_расчёт!$D97=1,Сценарии_расчёт!$B97,"")</f>
        <v/>
      </c>
      <c r="N125" s="35" t="str">
        <f>IF(Сценарии_расчёт!$D97=1,Сценарии_расчёт!$BE97,"")</f>
        <v/>
      </c>
      <c r="O125" s="35" t="str">
        <f>IF(Сценарии_расчёт!$D97=1,Сценарии_расчёт!$BF97,"")</f>
        <v/>
      </c>
      <c r="P125" s="35" t="str">
        <f>IF(Сценарии_расчёт!$D97=1,Сценарии_расчёт!$BQ97,"")</f>
        <v/>
      </c>
      <c r="Q125" s="35" t="str">
        <f>IF(Сценарии_расчёт!$D97=1,Сценарии_расчёт!$BR97,"")</f>
        <v/>
      </c>
    </row>
    <row r="126" spans="1:17" x14ac:dyDescent="0.2">
      <c r="A126" s="50" t="str">
        <f>IF(Сценарии_расчёт!$D98=1,Сценарии_расчёт!$B98,"")</f>
        <v/>
      </c>
      <c r="B126" s="35" t="str">
        <f>IF(Сценарии_расчёт!$D98=1,Сценарии_расчёт!$K98,"")</f>
        <v/>
      </c>
      <c r="C126" s="35" t="str">
        <f>IF(Сценарии_расчёт!$D98=1,Сценарии_расчёт!$L98,"")</f>
        <v/>
      </c>
      <c r="D126" s="35" t="str">
        <f>IF(Сценарии_расчёт!$D98=1,Сценарии_расчёт!$W98,"")</f>
        <v/>
      </c>
      <c r="E126" s="35" t="str">
        <f>IF(Сценарии_расчёт!$D98=1,Сценарии_расчёт!$X98,"")</f>
        <v/>
      </c>
      <c r="G126" s="50" t="str">
        <f>IF(Сценарии_расчёт!$D98=1,Сценарии_расчёт!$B98,"")</f>
        <v/>
      </c>
      <c r="H126" s="35" t="str">
        <f>IF(Сценарии_расчёт!$D98=1,Сценарии_расчёт!$AH98,"")</f>
        <v/>
      </c>
      <c r="I126" s="35" t="str">
        <f>IF(Сценарии_расчёт!$D98=1,Сценарии_расчёт!$AI98,"")</f>
        <v/>
      </c>
      <c r="J126" s="35" t="str">
        <f>IF(Сценарии_расчёт!$D98=1,Сценарии_расчёт!$AT98,"")</f>
        <v/>
      </c>
      <c r="K126" s="35" t="str">
        <f>IF(Сценарии_расчёт!$D98=1,Сценарии_расчёт!$AU98,"")</f>
        <v/>
      </c>
      <c r="M126" s="50" t="str">
        <f>IF(Сценарии_расчёт!$D98=1,Сценарии_расчёт!$B98,"")</f>
        <v/>
      </c>
      <c r="N126" s="35" t="str">
        <f>IF(Сценарии_расчёт!$D98=1,Сценарии_расчёт!$BE98,"")</f>
        <v/>
      </c>
      <c r="O126" s="35" t="str">
        <f>IF(Сценарии_расчёт!$D98=1,Сценарии_расчёт!$BF98,"")</f>
        <v/>
      </c>
      <c r="P126" s="35" t="str">
        <f>IF(Сценарии_расчёт!$D98=1,Сценарии_расчёт!$BQ98,"")</f>
        <v/>
      </c>
      <c r="Q126" s="35" t="str">
        <f>IF(Сценарии_расчёт!$D98=1,Сценарии_расчёт!$BR98,"")</f>
        <v/>
      </c>
    </row>
    <row r="127" spans="1:17" x14ac:dyDescent="0.2">
      <c r="A127" s="50" t="str">
        <f>IF(Сценарии_расчёт!$D99=1,Сценарии_расчёт!$B99,"")</f>
        <v/>
      </c>
      <c r="B127" s="35" t="str">
        <f>IF(Сценарии_расчёт!$D99=1,Сценарии_расчёт!$K99,"")</f>
        <v/>
      </c>
      <c r="C127" s="35" t="str">
        <f>IF(Сценарии_расчёт!$D99=1,Сценарии_расчёт!$L99,"")</f>
        <v/>
      </c>
      <c r="D127" s="35" t="str">
        <f>IF(Сценарии_расчёт!$D99=1,Сценарии_расчёт!$W99,"")</f>
        <v/>
      </c>
      <c r="E127" s="35" t="str">
        <f>IF(Сценарии_расчёт!$D99=1,Сценарии_расчёт!$X99,"")</f>
        <v/>
      </c>
      <c r="G127" s="50" t="str">
        <f>IF(Сценарии_расчёт!$D99=1,Сценарии_расчёт!$B99,"")</f>
        <v/>
      </c>
      <c r="H127" s="35" t="str">
        <f>IF(Сценарии_расчёт!$D99=1,Сценарии_расчёт!$AH99,"")</f>
        <v/>
      </c>
      <c r="I127" s="35" t="str">
        <f>IF(Сценарии_расчёт!$D99=1,Сценарии_расчёт!$AI99,"")</f>
        <v/>
      </c>
      <c r="J127" s="35" t="str">
        <f>IF(Сценарии_расчёт!$D99=1,Сценарии_расчёт!$AT99,"")</f>
        <v/>
      </c>
      <c r="K127" s="35" t="str">
        <f>IF(Сценарии_расчёт!$D99=1,Сценарии_расчёт!$AU99,"")</f>
        <v/>
      </c>
      <c r="M127" s="50" t="str">
        <f>IF(Сценарии_расчёт!$D99=1,Сценарии_расчёт!$B99,"")</f>
        <v/>
      </c>
      <c r="N127" s="35" t="str">
        <f>IF(Сценарии_расчёт!$D99=1,Сценарии_расчёт!$BE99,"")</f>
        <v/>
      </c>
      <c r="O127" s="35" t="str">
        <f>IF(Сценарии_расчёт!$D99=1,Сценарии_расчёт!$BF99,"")</f>
        <v/>
      </c>
      <c r="P127" s="35" t="str">
        <f>IF(Сценарии_расчёт!$D99=1,Сценарии_расчёт!$BQ99,"")</f>
        <v/>
      </c>
      <c r="Q127" s="35" t="str">
        <f>IF(Сценарии_расчёт!$D99=1,Сценарии_расчёт!$BR99,"")</f>
        <v/>
      </c>
    </row>
    <row r="128" spans="1:17" x14ac:dyDescent="0.2">
      <c r="A128" s="50" t="str">
        <f>IF(Сценарии_расчёт!$D100=1,Сценарии_расчёт!$B100,"")</f>
        <v/>
      </c>
      <c r="B128" s="35" t="str">
        <f>IF(Сценарии_расчёт!$D100=1,Сценарии_расчёт!$K100,"")</f>
        <v/>
      </c>
      <c r="C128" s="35" t="str">
        <f>IF(Сценарии_расчёт!$D100=1,Сценарии_расчёт!$L100,"")</f>
        <v/>
      </c>
      <c r="D128" s="35" t="str">
        <f>IF(Сценарии_расчёт!$D100=1,Сценарии_расчёт!$W100,"")</f>
        <v/>
      </c>
      <c r="E128" s="35" t="str">
        <f>IF(Сценарии_расчёт!$D100=1,Сценарии_расчёт!$X100,"")</f>
        <v/>
      </c>
      <c r="G128" s="50" t="str">
        <f>IF(Сценарии_расчёт!$D100=1,Сценарии_расчёт!$B100,"")</f>
        <v/>
      </c>
      <c r="H128" s="35" t="str">
        <f>IF(Сценарии_расчёт!$D100=1,Сценарии_расчёт!$AH100,"")</f>
        <v/>
      </c>
      <c r="I128" s="35" t="str">
        <f>IF(Сценарии_расчёт!$D100=1,Сценарии_расчёт!$AI100,"")</f>
        <v/>
      </c>
      <c r="J128" s="35" t="str">
        <f>IF(Сценарии_расчёт!$D100=1,Сценарии_расчёт!$AT100,"")</f>
        <v/>
      </c>
      <c r="K128" s="35" t="str">
        <f>IF(Сценарии_расчёт!$D100=1,Сценарии_расчёт!$AU100,"")</f>
        <v/>
      </c>
      <c r="M128" s="50" t="str">
        <f>IF(Сценарии_расчёт!$D100=1,Сценарии_расчёт!$B100,"")</f>
        <v/>
      </c>
      <c r="N128" s="35" t="str">
        <f>IF(Сценарии_расчёт!$D100=1,Сценарии_расчёт!$BE100,"")</f>
        <v/>
      </c>
      <c r="O128" s="35" t="str">
        <f>IF(Сценарии_расчёт!$D100=1,Сценарии_расчёт!$BF100,"")</f>
        <v/>
      </c>
      <c r="P128" s="35" t="str">
        <f>IF(Сценарии_расчёт!$D100=1,Сценарии_расчёт!$BQ100,"")</f>
        <v/>
      </c>
      <c r="Q128" s="35" t="str">
        <f>IF(Сценарии_расчёт!$D100=1,Сценарии_расчёт!$BR100,"")</f>
        <v/>
      </c>
    </row>
    <row r="129" spans="1:17" x14ac:dyDescent="0.2">
      <c r="A129" s="50" t="str">
        <f>IF(Сценарии_расчёт!$D101=1,Сценарии_расчёт!$B101,"")</f>
        <v/>
      </c>
      <c r="B129" s="35" t="str">
        <f>IF(Сценарии_расчёт!$D101=1,Сценарии_расчёт!$K101,"")</f>
        <v/>
      </c>
      <c r="C129" s="35" t="str">
        <f>IF(Сценарии_расчёт!$D101=1,Сценарии_расчёт!$L101,"")</f>
        <v/>
      </c>
      <c r="D129" s="35" t="str">
        <f>IF(Сценарии_расчёт!$D101=1,Сценарии_расчёт!$W101,"")</f>
        <v/>
      </c>
      <c r="E129" s="35" t="str">
        <f>IF(Сценарии_расчёт!$D101=1,Сценарии_расчёт!$X101,"")</f>
        <v/>
      </c>
      <c r="G129" s="50" t="str">
        <f>IF(Сценарии_расчёт!$D101=1,Сценарии_расчёт!$B101,"")</f>
        <v/>
      </c>
      <c r="H129" s="35" t="str">
        <f>IF(Сценарии_расчёт!$D101=1,Сценарии_расчёт!$AH101,"")</f>
        <v/>
      </c>
      <c r="I129" s="35" t="str">
        <f>IF(Сценарии_расчёт!$D101=1,Сценарии_расчёт!$AI101,"")</f>
        <v/>
      </c>
      <c r="J129" s="35" t="str">
        <f>IF(Сценарии_расчёт!$D101=1,Сценарии_расчёт!$AT101,"")</f>
        <v/>
      </c>
      <c r="K129" s="35" t="str">
        <f>IF(Сценарии_расчёт!$D101=1,Сценарии_расчёт!$AU101,"")</f>
        <v/>
      </c>
      <c r="M129" s="50" t="str">
        <f>IF(Сценарии_расчёт!$D101=1,Сценарии_расчёт!$B101,"")</f>
        <v/>
      </c>
      <c r="N129" s="35" t="str">
        <f>IF(Сценарии_расчёт!$D101=1,Сценарии_расчёт!$BE101,"")</f>
        <v/>
      </c>
      <c r="O129" s="35" t="str">
        <f>IF(Сценарии_расчёт!$D101=1,Сценарии_расчёт!$BF101,"")</f>
        <v/>
      </c>
      <c r="P129" s="35" t="str">
        <f>IF(Сценарии_расчёт!$D101=1,Сценарии_расчёт!$BQ101,"")</f>
        <v/>
      </c>
      <c r="Q129" s="35" t="str">
        <f>IF(Сценарии_расчёт!$D101=1,Сценарии_расчёт!$BR101,"")</f>
        <v/>
      </c>
    </row>
    <row r="130" spans="1:17" x14ac:dyDescent="0.2">
      <c r="A130" s="50" t="str">
        <f>IF(Сценарии_расчёт!$D102=1,Сценарии_расчёт!$B102,"")</f>
        <v/>
      </c>
      <c r="B130" s="35" t="str">
        <f>IF(Сценарии_расчёт!$D102=1,Сценарии_расчёт!$K102,"")</f>
        <v/>
      </c>
      <c r="C130" s="35" t="str">
        <f>IF(Сценарии_расчёт!$D102=1,Сценарии_расчёт!$L102,"")</f>
        <v/>
      </c>
      <c r="D130" s="35" t="str">
        <f>IF(Сценарии_расчёт!$D102=1,Сценарии_расчёт!$W102,"")</f>
        <v/>
      </c>
      <c r="E130" s="35" t="str">
        <f>IF(Сценарии_расчёт!$D102=1,Сценарии_расчёт!$X102,"")</f>
        <v/>
      </c>
      <c r="G130" s="50" t="str">
        <f>IF(Сценарии_расчёт!$D102=1,Сценарии_расчёт!$B102,"")</f>
        <v/>
      </c>
      <c r="H130" s="35" t="str">
        <f>IF(Сценарии_расчёт!$D102=1,Сценарии_расчёт!$AH102,"")</f>
        <v/>
      </c>
      <c r="I130" s="35" t="str">
        <f>IF(Сценарии_расчёт!$D102=1,Сценарии_расчёт!$AI102,"")</f>
        <v/>
      </c>
      <c r="J130" s="35" t="str">
        <f>IF(Сценарии_расчёт!$D102=1,Сценарии_расчёт!$AT102,"")</f>
        <v/>
      </c>
      <c r="K130" s="35" t="str">
        <f>IF(Сценарии_расчёт!$D102=1,Сценарии_расчёт!$AU102,"")</f>
        <v/>
      </c>
      <c r="M130" s="50" t="str">
        <f>IF(Сценарии_расчёт!$D102=1,Сценарии_расчёт!$B102,"")</f>
        <v/>
      </c>
      <c r="N130" s="35" t="str">
        <f>IF(Сценарии_расчёт!$D102=1,Сценарии_расчёт!$BE102,"")</f>
        <v/>
      </c>
      <c r="O130" s="35" t="str">
        <f>IF(Сценарии_расчёт!$D102=1,Сценарии_расчёт!$BF102,"")</f>
        <v/>
      </c>
      <c r="P130" s="35" t="str">
        <f>IF(Сценарии_расчёт!$D102=1,Сценарии_расчёт!$BQ102,"")</f>
        <v/>
      </c>
      <c r="Q130" s="35" t="str">
        <f>IF(Сценарии_расчёт!$D102=1,Сценарии_расчёт!$BR102,"")</f>
        <v/>
      </c>
    </row>
    <row r="131" spans="1:17" x14ac:dyDescent="0.2">
      <c r="A131" s="50" t="str">
        <f>IF(Сценарии_расчёт!$D103=1,Сценарии_расчёт!$B103,"")</f>
        <v/>
      </c>
      <c r="B131" s="35" t="str">
        <f>IF(Сценарии_расчёт!$D103=1,Сценарии_расчёт!$K103,"")</f>
        <v/>
      </c>
      <c r="C131" s="35" t="str">
        <f>IF(Сценарии_расчёт!$D103=1,Сценарии_расчёт!$L103,"")</f>
        <v/>
      </c>
      <c r="D131" s="35" t="str">
        <f>IF(Сценарии_расчёт!$D103=1,Сценарии_расчёт!$W103,"")</f>
        <v/>
      </c>
      <c r="E131" s="35" t="str">
        <f>IF(Сценарии_расчёт!$D103=1,Сценарии_расчёт!$X103,"")</f>
        <v/>
      </c>
      <c r="G131" s="50" t="str">
        <f>IF(Сценарии_расчёт!$D103=1,Сценарии_расчёт!$B103,"")</f>
        <v/>
      </c>
      <c r="H131" s="35" t="str">
        <f>IF(Сценарии_расчёт!$D103=1,Сценарии_расчёт!$AH103,"")</f>
        <v/>
      </c>
      <c r="I131" s="35" t="str">
        <f>IF(Сценарии_расчёт!$D103=1,Сценарии_расчёт!$AI103,"")</f>
        <v/>
      </c>
      <c r="J131" s="35" t="str">
        <f>IF(Сценарии_расчёт!$D103=1,Сценарии_расчёт!$AT103,"")</f>
        <v/>
      </c>
      <c r="K131" s="35" t="str">
        <f>IF(Сценарии_расчёт!$D103=1,Сценарии_расчёт!$AU103,"")</f>
        <v/>
      </c>
      <c r="M131" s="50" t="str">
        <f>IF(Сценарии_расчёт!$D103=1,Сценарии_расчёт!$B103,"")</f>
        <v/>
      </c>
      <c r="N131" s="35" t="str">
        <f>IF(Сценарии_расчёт!$D103=1,Сценарии_расчёт!$BE103,"")</f>
        <v/>
      </c>
      <c r="O131" s="35" t="str">
        <f>IF(Сценарии_расчёт!$D103=1,Сценарии_расчёт!$BF103,"")</f>
        <v/>
      </c>
      <c r="P131" s="35" t="str">
        <f>IF(Сценарии_расчёт!$D103=1,Сценарии_расчёт!$BQ103,"")</f>
        <v/>
      </c>
      <c r="Q131" s="35" t="str">
        <f>IF(Сценарии_расчёт!$D103=1,Сценарии_расчёт!$BR103,"")</f>
        <v/>
      </c>
    </row>
    <row r="132" spans="1:17" x14ac:dyDescent="0.2">
      <c r="A132" s="50" t="str">
        <f>IF(Сценарии_расчёт!$D104=1,Сценарии_расчёт!$B104,"")</f>
        <v/>
      </c>
      <c r="B132" s="35" t="str">
        <f>IF(Сценарии_расчёт!$D104=1,Сценарии_расчёт!$K104,"")</f>
        <v/>
      </c>
      <c r="C132" s="35" t="str">
        <f>IF(Сценарии_расчёт!$D104=1,Сценарии_расчёт!$L104,"")</f>
        <v/>
      </c>
      <c r="D132" s="35" t="str">
        <f>IF(Сценарии_расчёт!$D104=1,Сценарии_расчёт!$W104,"")</f>
        <v/>
      </c>
      <c r="E132" s="35" t="str">
        <f>IF(Сценарии_расчёт!$D104=1,Сценарии_расчёт!$X104,"")</f>
        <v/>
      </c>
      <c r="G132" s="50" t="str">
        <f>IF(Сценарии_расчёт!$D104=1,Сценарии_расчёт!$B104,"")</f>
        <v/>
      </c>
      <c r="H132" s="35" t="str">
        <f>IF(Сценарии_расчёт!$D104=1,Сценарии_расчёт!$AH104,"")</f>
        <v/>
      </c>
      <c r="I132" s="35" t="str">
        <f>IF(Сценарии_расчёт!$D104=1,Сценарии_расчёт!$AI104,"")</f>
        <v/>
      </c>
      <c r="J132" s="35" t="str">
        <f>IF(Сценарии_расчёт!$D104=1,Сценарии_расчёт!$AT104,"")</f>
        <v/>
      </c>
      <c r="K132" s="35" t="str">
        <f>IF(Сценарии_расчёт!$D104=1,Сценарии_расчёт!$AU104,"")</f>
        <v/>
      </c>
      <c r="M132" s="50" t="str">
        <f>IF(Сценарии_расчёт!$D104=1,Сценарии_расчёт!$B104,"")</f>
        <v/>
      </c>
      <c r="N132" s="35" t="str">
        <f>IF(Сценарии_расчёт!$D104=1,Сценарии_расчёт!$BE104,"")</f>
        <v/>
      </c>
      <c r="O132" s="35" t="str">
        <f>IF(Сценарии_расчёт!$D104=1,Сценарии_расчёт!$BF104,"")</f>
        <v/>
      </c>
      <c r="P132" s="35" t="str">
        <f>IF(Сценарии_расчёт!$D104=1,Сценарии_расчёт!$BQ104,"")</f>
        <v/>
      </c>
      <c r="Q132" s="35" t="str">
        <f>IF(Сценарии_расчёт!$D104=1,Сценарии_расчёт!$BR104,"")</f>
        <v/>
      </c>
    </row>
    <row r="133" spans="1:17" x14ac:dyDescent="0.2">
      <c r="A133" s="50" t="str">
        <f>IF(Сценарии_расчёт!$D105=1,Сценарии_расчёт!$B105,"")</f>
        <v/>
      </c>
      <c r="B133" s="35" t="str">
        <f>IF(Сценарии_расчёт!$D105=1,Сценарии_расчёт!$K105,"")</f>
        <v/>
      </c>
      <c r="C133" s="35" t="str">
        <f>IF(Сценарии_расчёт!$D105=1,Сценарии_расчёт!$L105,"")</f>
        <v/>
      </c>
      <c r="D133" s="35" t="str">
        <f>IF(Сценарии_расчёт!$D105=1,Сценарии_расчёт!$W105,"")</f>
        <v/>
      </c>
      <c r="E133" s="35" t="str">
        <f>IF(Сценарии_расчёт!$D105=1,Сценарии_расчёт!$X105,"")</f>
        <v/>
      </c>
      <c r="G133" s="50" t="str">
        <f>IF(Сценарии_расчёт!$D105=1,Сценарии_расчёт!$B105,"")</f>
        <v/>
      </c>
      <c r="H133" s="35" t="str">
        <f>IF(Сценарии_расчёт!$D105=1,Сценарии_расчёт!$AH105,"")</f>
        <v/>
      </c>
      <c r="I133" s="35" t="str">
        <f>IF(Сценарии_расчёт!$D105=1,Сценарии_расчёт!$AI105,"")</f>
        <v/>
      </c>
      <c r="J133" s="35" t="str">
        <f>IF(Сценарии_расчёт!$D105=1,Сценарии_расчёт!$AT105,"")</f>
        <v/>
      </c>
      <c r="K133" s="35" t="str">
        <f>IF(Сценарии_расчёт!$D105=1,Сценарии_расчёт!$AU105,"")</f>
        <v/>
      </c>
      <c r="M133" s="50" t="str">
        <f>IF(Сценарии_расчёт!$D105=1,Сценарии_расчёт!$B105,"")</f>
        <v/>
      </c>
      <c r="N133" s="35" t="str">
        <f>IF(Сценарии_расчёт!$D105=1,Сценарии_расчёт!$BE105,"")</f>
        <v/>
      </c>
      <c r="O133" s="35" t="str">
        <f>IF(Сценарии_расчёт!$D105=1,Сценарии_расчёт!$BF105,"")</f>
        <v/>
      </c>
      <c r="P133" s="35" t="str">
        <f>IF(Сценарии_расчёт!$D105=1,Сценарии_расчёт!$BQ105,"")</f>
        <v/>
      </c>
      <c r="Q133" s="35" t="str">
        <f>IF(Сценарии_расчёт!$D105=1,Сценарии_расчёт!$BR105,"")</f>
        <v/>
      </c>
    </row>
    <row r="134" spans="1:17" x14ac:dyDescent="0.2">
      <c r="A134" s="50" t="str">
        <f>IF(Сценарии_расчёт!$D106=1,Сценарии_расчёт!$B106,"")</f>
        <v/>
      </c>
      <c r="B134" s="35" t="str">
        <f>IF(Сценарии_расчёт!$D106=1,Сценарии_расчёт!$K106,"")</f>
        <v/>
      </c>
      <c r="C134" s="35" t="str">
        <f>IF(Сценарии_расчёт!$D106=1,Сценарии_расчёт!$L106,"")</f>
        <v/>
      </c>
      <c r="D134" s="35" t="str">
        <f>IF(Сценарии_расчёт!$D106=1,Сценарии_расчёт!$W106,"")</f>
        <v/>
      </c>
      <c r="E134" s="35" t="str">
        <f>IF(Сценарии_расчёт!$D106=1,Сценарии_расчёт!$X106,"")</f>
        <v/>
      </c>
      <c r="G134" s="50" t="str">
        <f>IF(Сценарии_расчёт!$D106=1,Сценарии_расчёт!$B106,"")</f>
        <v/>
      </c>
      <c r="H134" s="35" t="str">
        <f>IF(Сценарии_расчёт!$D106=1,Сценарии_расчёт!$AH106,"")</f>
        <v/>
      </c>
      <c r="I134" s="35" t="str">
        <f>IF(Сценарии_расчёт!$D106=1,Сценарии_расчёт!$AI106,"")</f>
        <v/>
      </c>
      <c r="J134" s="35" t="str">
        <f>IF(Сценарии_расчёт!$D106=1,Сценарии_расчёт!$AT106,"")</f>
        <v/>
      </c>
      <c r="K134" s="35" t="str">
        <f>IF(Сценарии_расчёт!$D106=1,Сценарии_расчёт!$AU106,"")</f>
        <v/>
      </c>
      <c r="M134" s="50" t="str">
        <f>IF(Сценарии_расчёт!$D106=1,Сценарии_расчёт!$B106,"")</f>
        <v/>
      </c>
      <c r="N134" s="35" t="str">
        <f>IF(Сценарии_расчёт!$D106=1,Сценарии_расчёт!$BE106,"")</f>
        <v/>
      </c>
      <c r="O134" s="35" t="str">
        <f>IF(Сценарии_расчёт!$D106=1,Сценарии_расчёт!$BF106,"")</f>
        <v/>
      </c>
      <c r="P134" s="35" t="str">
        <f>IF(Сценарии_расчёт!$D106=1,Сценарии_расчёт!$BQ106,"")</f>
        <v/>
      </c>
      <c r="Q134" s="35" t="str">
        <f>IF(Сценарии_расчёт!$D106=1,Сценарии_расчёт!$BR106,"")</f>
        <v/>
      </c>
    </row>
    <row r="135" spans="1:17" x14ac:dyDescent="0.2">
      <c r="A135" s="50" t="str">
        <f>IF(Сценарии_расчёт!$D107=1,Сценарии_расчёт!$B107,"")</f>
        <v/>
      </c>
      <c r="B135" s="35" t="str">
        <f>IF(Сценарии_расчёт!$D107=1,Сценарии_расчёт!$K107,"")</f>
        <v/>
      </c>
      <c r="C135" s="35" t="str">
        <f>IF(Сценарии_расчёт!$D107=1,Сценарии_расчёт!$L107,"")</f>
        <v/>
      </c>
      <c r="D135" s="35" t="str">
        <f>IF(Сценарии_расчёт!$D107=1,Сценарии_расчёт!$W107,"")</f>
        <v/>
      </c>
      <c r="E135" s="35" t="str">
        <f>IF(Сценарии_расчёт!$D107=1,Сценарии_расчёт!$X107,"")</f>
        <v/>
      </c>
      <c r="G135" s="50" t="str">
        <f>IF(Сценарии_расчёт!$D107=1,Сценарии_расчёт!$B107,"")</f>
        <v/>
      </c>
      <c r="H135" s="35" t="str">
        <f>IF(Сценарии_расчёт!$D107=1,Сценарии_расчёт!$AH107,"")</f>
        <v/>
      </c>
      <c r="I135" s="35" t="str">
        <f>IF(Сценарии_расчёт!$D107=1,Сценарии_расчёт!$AI107,"")</f>
        <v/>
      </c>
      <c r="J135" s="35" t="str">
        <f>IF(Сценарии_расчёт!$D107=1,Сценарии_расчёт!$AT107,"")</f>
        <v/>
      </c>
      <c r="K135" s="35" t="str">
        <f>IF(Сценарии_расчёт!$D107=1,Сценарии_расчёт!$AU107,"")</f>
        <v/>
      </c>
      <c r="M135" s="50" t="str">
        <f>IF(Сценарии_расчёт!$D107=1,Сценарии_расчёт!$B107,"")</f>
        <v/>
      </c>
      <c r="N135" s="35" t="str">
        <f>IF(Сценарии_расчёт!$D107=1,Сценарии_расчёт!$BE107,"")</f>
        <v/>
      </c>
      <c r="O135" s="35" t="str">
        <f>IF(Сценарии_расчёт!$D107=1,Сценарии_расчёт!$BF107,"")</f>
        <v/>
      </c>
      <c r="P135" s="35" t="str">
        <f>IF(Сценарии_расчёт!$D107=1,Сценарии_расчёт!$BQ107,"")</f>
        <v/>
      </c>
      <c r="Q135" s="35" t="str">
        <f>IF(Сценарии_расчёт!$D107=1,Сценарии_расчёт!$BR107,"")</f>
        <v/>
      </c>
    </row>
    <row r="136" spans="1:17" x14ac:dyDescent="0.2">
      <c r="A136" s="50" t="str">
        <f>IF(Сценарии_расчёт!$D108=1,Сценарии_расчёт!$B108,"")</f>
        <v/>
      </c>
      <c r="B136" s="35" t="str">
        <f>IF(Сценарии_расчёт!$D108=1,Сценарии_расчёт!$K108,"")</f>
        <v/>
      </c>
      <c r="C136" s="35" t="str">
        <f>IF(Сценарии_расчёт!$D108=1,Сценарии_расчёт!$L108,"")</f>
        <v/>
      </c>
      <c r="D136" s="35" t="str">
        <f>IF(Сценарии_расчёт!$D108=1,Сценарии_расчёт!$W108,"")</f>
        <v/>
      </c>
      <c r="E136" s="35" t="str">
        <f>IF(Сценарии_расчёт!$D108=1,Сценарии_расчёт!$X108,"")</f>
        <v/>
      </c>
      <c r="G136" s="50" t="str">
        <f>IF(Сценарии_расчёт!$D108=1,Сценарии_расчёт!$B108,"")</f>
        <v/>
      </c>
      <c r="H136" s="35" t="str">
        <f>IF(Сценарии_расчёт!$D108=1,Сценарии_расчёт!$AH108,"")</f>
        <v/>
      </c>
      <c r="I136" s="35" t="str">
        <f>IF(Сценарии_расчёт!$D108=1,Сценарии_расчёт!$AI108,"")</f>
        <v/>
      </c>
      <c r="J136" s="35" t="str">
        <f>IF(Сценарии_расчёт!$D108=1,Сценарии_расчёт!$AT108,"")</f>
        <v/>
      </c>
      <c r="K136" s="35" t="str">
        <f>IF(Сценарии_расчёт!$D108=1,Сценарии_расчёт!$AU108,"")</f>
        <v/>
      </c>
      <c r="M136" s="50" t="str">
        <f>IF(Сценарии_расчёт!$D108=1,Сценарии_расчёт!$B108,"")</f>
        <v/>
      </c>
      <c r="N136" s="35" t="str">
        <f>IF(Сценарии_расчёт!$D108=1,Сценарии_расчёт!$BE108,"")</f>
        <v/>
      </c>
      <c r="O136" s="35" t="str">
        <f>IF(Сценарии_расчёт!$D108=1,Сценарии_расчёт!$BF108,"")</f>
        <v/>
      </c>
      <c r="P136" s="35" t="str">
        <f>IF(Сценарии_расчёт!$D108=1,Сценарии_расчёт!$BQ108,"")</f>
        <v/>
      </c>
      <c r="Q136" s="35" t="str">
        <f>IF(Сценарии_расчёт!$D108=1,Сценарии_расчёт!$BR108,"")</f>
        <v/>
      </c>
    </row>
    <row r="137" spans="1:17" x14ac:dyDescent="0.2">
      <c r="A137" s="50" t="str">
        <f>IF(Сценарии_расчёт!$D109=1,Сценарии_расчёт!$B109,"")</f>
        <v/>
      </c>
      <c r="B137" s="35" t="str">
        <f>IF(Сценарии_расчёт!$D109=1,Сценарии_расчёт!$K109,"")</f>
        <v/>
      </c>
      <c r="C137" s="35" t="str">
        <f>IF(Сценарии_расчёт!$D109=1,Сценарии_расчёт!$L109,"")</f>
        <v/>
      </c>
      <c r="D137" s="35" t="str">
        <f>IF(Сценарии_расчёт!$D109=1,Сценарии_расчёт!$W109,"")</f>
        <v/>
      </c>
      <c r="E137" s="35" t="str">
        <f>IF(Сценарии_расчёт!$D109=1,Сценарии_расчёт!$X109,"")</f>
        <v/>
      </c>
      <c r="G137" s="50" t="str">
        <f>IF(Сценарии_расчёт!$D109=1,Сценарии_расчёт!$B109,"")</f>
        <v/>
      </c>
      <c r="H137" s="35" t="str">
        <f>IF(Сценарии_расчёт!$D109=1,Сценарии_расчёт!$AH109,"")</f>
        <v/>
      </c>
      <c r="I137" s="35" t="str">
        <f>IF(Сценарии_расчёт!$D109=1,Сценарии_расчёт!$AI109,"")</f>
        <v/>
      </c>
      <c r="J137" s="35" t="str">
        <f>IF(Сценарии_расчёт!$D109=1,Сценарии_расчёт!$AT109,"")</f>
        <v/>
      </c>
      <c r="K137" s="35" t="str">
        <f>IF(Сценарии_расчёт!$D109=1,Сценарии_расчёт!$AU109,"")</f>
        <v/>
      </c>
      <c r="M137" s="50" t="str">
        <f>IF(Сценарии_расчёт!$D109=1,Сценарии_расчёт!$B109,"")</f>
        <v/>
      </c>
      <c r="N137" s="35" t="str">
        <f>IF(Сценарии_расчёт!$D109=1,Сценарии_расчёт!$BE109,"")</f>
        <v/>
      </c>
      <c r="O137" s="35" t="str">
        <f>IF(Сценарии_расчёт!$D109=1,Сценарии_расчёт!$BF109,"")</f>
        <v/>
      </c>
      <c r="P137" s="35" t="str">
        <f>IF(Сценарии_расчёт!$D109=1,Сценарии_расчёт!$BQ109,"")</f>
        <v/>
      </c>
      <c r="Q137" s="35" t="str">
        <f>IF(Сценарии_расчёт!$D109=1,Сценарии_расчёт!$BR109,"")</f>
        <v/>
      </c>
    </row>
    <row r="138" spans="1:17" x14ac:dyDescent="0.2">
      <c r="A138" s="50" t="str">
        <f>IF(Сценарии_расчёт!$D110=1,Сценарии_расчёт!$B110,"")</f>
        <v/>
      </c>
      <c r="B138" s="35" t="str">
        <f>IF(Сценарии_расчёт!$D110=1,Сценарии_расчёт!$K110,"")</f>
        <v/>
      </c>
      <c r="C138" s="35" t="str">
        <f>IF(Сценарии_расчёт!$D110=1,Сценарии_расчёт!$L110,"")</f>
        <v/>
      </c>
      <c r="D138" s="35" t="str">
        <f>IF(Сценарии_расчёт!$D110=1,Сценарии_расчёт!$W110,"")</f>
        <v/>
      </c>
      <c r="E138" s="35" t="str">
        <f>IF(Сценарии_расчёт!$D110=1,Сценарии_расчёт!$X110,"")</f>
        <v/>
      </c>
      <c r="G138" s="50" t="str">
        <f>IF(Сценарии_расчёт!$D110=1,Сценарии_расчёт!$B110,"")</f>
        <v/>
      </c>
      <c r="H138" s="35" t="str">
        <f>IF(Сценарии_расчёт!$D110=1,Сценарии_расчёт!$AH110,"")</f>
        <v/>
      </c>
      <c r="I138" s="35" t="str">
        <f>IF(Сценарии_расчёт!$D110=1,Сценарии_расчёт!$AI110,"")</f>
        <v/>
      </c>
      <c r="J138" s="35" t="str">
        <f>IF(Сценарии_расчёт!$D110=1,Сценарии_расчёт!$AT110,"")</f>
        <v/>
      </c>
      <c r="K138" s="35" t="str">
        <f>IF(Сценарии_расчёт!$D110=1,Сценарии_расчёт!$AU110,"")</f>
        <v/>
      </c>
      <c r="M138" s="50" t="str">
        <f>IF(Сценарии_расчёт!$D110=1,Сценарии_расчёт!$B110,"")</f>
        <v/>
      </c>
      <c r="N138" s="35" t="str">
        <f>IF(Сценарии_расчёт!$D110=1,Сценарии_расчёт!$BE110,"")</f>
        <v/>
      </c>
      <c r="O138" s="35" t="str">
        <f>IF(Сценарии_расчёт!$D110=1,Сценарии_расчёт!$BF110,"")</f>
        <v/>
      </c>
      <c r="P138" s="35" t="str">
        <f>IF(Сценарии_расчёт!$D110=1,Сценарии_расчёт!$BQ110,"")</f>
        <v/>
      </c>
      <c r="Q138" s="35" t="str">
        <f>IF(Сценарии_расчёт!$D110=1,Сценарии_расчёт!$BR110,"")</f>
        <v/>
      </c>
    </row>
    <row r="139" spans="1:17" x14ac:dyDescent="0.2">
      <c r="A139" s="50" t="str">
        <f>IF(Сценарии_расчёт!$D111=1,Сценарии_расчёт!$B111,"")</f>
        <v/>
      </c>
      <c r="B139" s="35" t="str">
        <f>IF(Сценарии_расчёт!$D111=1,Сценарии_расчёт!$K111,"")</f>
        <v/>
      </c>
      <c r="C139" s="35" t="str">
        <f>IF(Сценарии_расчёт!$D111=1,Сценарии_расчёт!$L111,"")</f>
        <v/>
      </c>
      <c r="D139" s="35" t="str">
        <f>IF(Сценарии_расчёт!$D111=1,Сценарии_расчёт!$W111,"")</f>
        <v/>
      </c>
      <c r="E139" s="35" t="str">
        <f>IF(Сценарии_расчёт!$D111=1,Сценарии_расчёт!$X111,"")</f>
        <v/>
      </c>
      <c r="G139" s="50" t="str">
        <f>IF(Сценарии_расчёт!$D111=1,Сценарии_расчёт!$B111,"")</f>
        <v/>
      </c>
      <c r="H139" s="35" t="str">
        <f>IF(Сценарии_расчёт!$D111=1,Сценарии_расчёт!$AH111,"")</f>
        <v/>
      </c>
      <c r="I139" s="35" t="str">
        <f>IF(Сценарии_расчёт!$D111=1,Сценарии_расчёт!$AI111,"")</f>
        <v/>
      </c>
      <c r="J139" s="35" t="str">
        <f>IF(Сценарии_расчёт!$D111=1,Сценарии_расчёт!$AT111,"")</f>
        <v/>
      </c>
      <c r="K139" s="35" t="str">
        <f>IF(Сценарии_расчёт!$D111=1,Сценарии_расчёт!$AU111,"")</f>
        <v/>
      </c>
      <c r="M139" s="50" t="str">
        <f>IF(Сценарии_расчёт!$D111=1,Сценарии_расчёт!$B111,"")</f>
        <v/>
      </c>
      <c r="N139" s="35" t="str">
        <f>IF(Сценарии_расчёт!$D111=1,Сценарии_расчёт!$BE111,"")</f>
        <v/>
      </c>
      <c r="O139" s="35" t="str">
        <f>IF(Сценарии_расчёт!$D111=1,Сценарии_расчёт!$BF111,"")</f>
        <v/>
      </c>
      <c r="P139" s="35" t="str">
        <f>IF(Сценарии_расчёт!$D111=1,Сценарии_расчёт!$BQ111,"")</f>
        <v/>
      </c>
      <c r="Q139" s="35" t="str">
        <f>IF(Сценарии_расчёт!$D111=1,Сценарии_расчёт!$BR111,"")</f>
        <v/>
      </c>
    </row>
    <row r="140" spans="1:17" x14ac:dyDescent="0.2">
      <c r="A140" s="50" t="str">
        <f>IF(Сценарии_расчёт!$D112=1,Сценарии_расчёт!$B112,"")</f>
        <v/>
      </c>
      <c r="B140" s="35" t="str">
        <f>IF(Сценарии_расчёт!$D112=1,Сценарии_расчёт!$K112,"")</f>
        <v/>
      </c>
      <c r="C140" s="35" t="str">
        <f>IF(Сценарии_расчёт!$D112=1,Сценарии_расчёт!$L112,"")</f>
        <v/>
      </c>
      <c r="D140" s="35" t="str">
        <f>IF(Сценарии_расчёт!$D112=1,Сценарии_расчёт!$W112,"")</f>
        <v/>
      </c>
      <c r="E140" s="35" t="str">
        <f>IF(Сценарии_расчёт!$D112=1,Сценарии_расчёт!$X112,"")</f>
        <v/>
      </c>
      <c r="G140" s="50" t="str">
        <f>IF(Сценарии_расчёт!$D112=1,Сценарии_расчёт!$B112,"")</f>
        <v/>
      </c>
      <c r="H140" s="35" t="str">
        <f>IF(Сценарии_расчёт!$D112=1,Сценарии_расчёт!$AH112,"")</f>
        <v/>
      </c>
      <c r="I140" s="35" t="str">
        <f>IF(Сценарии_расчёт!$D112=1,Сценарии_расчёт!$AI112,"")</f>
        <v/>
      </c>
      <c r="J140" s="35" t="str">
        <f>IF(Сценарии_расчёт!$D112=1,Сценарии_расчёт!$AT112,"")</f>
        <v/>
      </c>
      <c r="K140" s="35" t="str">
        <f>IF(Сценарии_расчёт!$D112=1,Сценарии_расчёт!$AU112,"")</f>
        <v/>
      </c>
      <c r="M140" s="50" t="str">
        <f>IF(Сценарии_расчёт!$D112=1,Сценарии_расчёт!$B112,"")</f>
        <v/>
      </c>
      <c r="N140" s="35" t="str">
        <f>IF(Сценарии_расчёт!$D112=1,Сценарии_расчёт!$BE112,"")</f>
        <v/>
      </c>
      <c r="O140" s="35" t="str">
        <f>IF(Сценарии_расчёт!$D112=1,Сценарии_расчёт!$BF112,"")</f>
        <v/>
      </c>
      <c r="P140" s="35" t="str">
        <f>IF(Сценарии_расчёт!$D112=1,Сценарии_расчёт!$BQ112,"")</f>
        <v/>
      </c>
      <c r="Q140" s="35" t="str">
        <f>IF(Сценарии_расчёт!$D112=1,Сценарии_расчёт!$BR112,"")</f>
        <v/>
      </c>
    </row>
    <row r="141" spans="1:17" x14ac:dyDescent="0.2">
      <c r="A141" s="50" t="str">
        <f>IF(Сценарии_расчёт!$D113=1,Сценарии_расчёт!$B113,"")</f>
        <v/>
      </c>
      <c r="B141" s="35" t="str">
        <f>IF(Сценарии_расчёт!$D113=1,Сценарии_расчёт!$K113,"")</f>
        <v/>
      </c>
      <c r="C141" s="35" t="str">
        <f>IF(Сценарии_расчёт!$D113=1,Сценарии_расчёт!$L113,"")</f>
        <v/>
      </c>
      <c r="D141" s="35" t="str">
        <f>IF(Сценарии_расчёт!$D113=1,Сценарии_расчёт!$W113,"")</f>
        <v/>
      </c>
      <c r="E141" s="35" t="str">
        <f>IF(Сценарии_расчёт!$D113=1,Сценарии_расчёт!$X113,"")</f>
        <v/>
      </c>
      <c r="G141" s="50" t="str">
        <f>IF(Сценарии_расчёт!$D113=1,Сценарии_расчёт!$B113,"")</f>
        <v/>
      </c>
      <c r="H141" s="35" t="str">
        <f>IF(Сценарии_расчёт!$D113=1,Сценарии_расчёт!$AH113,"")</f>
        <v/>
      </c>
      <c r="I141" s="35" t="str">
        <f>IF(Сценарии_расчёт!$D113=1,Сценарии_расчёт!$AI113,"")</f>
        <v/>
      </c>
      <c r="J141" s="35" t="str">
        <f>IF(Сценарии_расчёт!$D113=1,Сценарии_расчёт!$AT113,"")</f>
        <v/>
      </c>
      <c r="K141" s="35" t="str">
        <f>IF(Сценарии_расчёт!$D113=1,Сценарии_расчёт!$AU113,"")</f>
        <v/>
      </c>
      <c r="M141" s="50" t="str">
        <f>IF(Сценарии_расчёт!$D113=1,Сценарии_расчёт!$B113,"")</f>
        <v/>
      </c>
      <c r="N141" s="35" t="str">
        <f>IF(Сценарии_расчёт!$D113=1,Сценарии_расчёт!$BE113,"")</f>
        <v/>
      </c>
      <c r="O141" s="35" t="str">
        <f>IF(Сценарии_расчёт!$D113=1,Сценарии_расчёт!$BF113,"")</f>
        <v/>
      </c>
      <c r="P141" s="35" t="str">
        <f>IF(Сценарии_расчёт!$D113=1,Сценарии_расчёт!$BQ113,"")</f>
        <v/>
      </c>
      <c r="Q141" s="35" t="str">
        <f>IF(Сценарии_расчёт!$D113=1,Сценарии_расчёт!$BR113,"")</f>
        <v/>
      </c>
    </row>
    <row r="142" spans="1:17" x14ac:dyDescent="0.2">
      <c r="A142" s="50" t="str">
        <f>IF(Сценарии_расчёт!$D114=1,Сценарии_расчёт!$B114,"")</f>
        <v/>
      </c>
      <c r="B142" s="35" t="str">
        <f>IF(Сценарии_расчёт!$D114=1,Сценарии_расчёт!$K114,"")</f>
        <v/>
      </c>
      <c r="C142" s="35" t="str">
        <f>IF(Сценарии_расчёт!$D114=1,Сценарии_расчёт!$L114,"")</f>
        <v/>
      </c>
      <c r="D142" s="35" t="str">
        <f>IF(Сценарии_расчёт!$D114=1,Сценарии_расчёт!$W114,"")</f>
        <v/>
      </c>
      <c r="E142" s="35" t="str">
        <f>IF(Сценарии_расчёт!$D114=1,Сценарии_расчёт!$X114,"")</f>
        <v/>
      </c>
      <c r="G142" s="50" t="str">
        <f>IF(Сценарии_расчёт!$D114=1,Сценарии_расчёт!$B114,"")</f>
        <v/>
      </c>
      <c r="H142" s="35" t="str">
        <f>IF(Сценарии_расчёт!$D114=1,Сценарии_расчёт!$AH114,"")</f>
        <v/>
      </c>
      <c r="I142" s="35" t="str">
        <f>IF(Сценарии_расчёт!$D114=1,Сценарии_расчёт!$AI114,"")</f>
        <v/>
      </c>
      <c r="J142" s="35" t="str">
        <f>IF(Сценарии_расчёт!$D114=1,Сценарии_расчёт!$AT114,"")</f>
        <v/>
      </c>
      <c r="K142" s="35" t="str">
        <f>IF(Сценарии_расчёт!$D114=1,Сценарии_расчёт!$AU114,"")</f>
        <v/>
      </c>
      <c r="M142" s="50" t="str">
        <f>IF(Сценарии_расчёт!$D114=1,Сценарии_расчёт!$B114,"")</f>
        <v/>
      </c>
      <c r="N142" s="35" t="str">
        <f>IF(Сценарии_расчёт!$D114=1,Сценарии_расчёт!$BE114,"")</f>
        <v/>
      </c>
      <c r="O142" s="35" t="str">
        <f>IF(Сценарии_расчёт!$D114=1,Сценарии_расчёт!$BF114,"")</f>
        <v/>
      </c>
      <c r="P142" s="35" t="str">
        <f>IF(Сценарии_расчёт!$D114=1,Сценарии_расчёт!$BQ114,"")</f>
        <v/>
      </c>
      <c r="Q142" s="35" t="str">
        <f>IF(Сценарии_расчёт!$D114=1,Сценарии_расчёт!$BR114,"")</f>
        <v/>
      </c>
    </row>
    <row r="143" spans="1:17" x14ac:dyDescent="0.2">
      <c r="A143" s="50" t="str">
        <f>IF(Сценарии_расчёт!$D115=1,Сценарии_расчёт!$B115,"")</f>
        <v/>
      </c>
      <c r="B143" s="35" t="str">
        <f>IF(Сценарии_расчёт!$D115=1,Сценарии_расчёт!$K115,"")</f>
        <v/>
      </c>
      <c r="C143" s="35" t="str">
        <f>IF(Сценарии_расчёт!$D115=1,Сценарии_расчёт!$L115,"")</f>
        <v/>
      </c>
      <c r="D143" s="35" t="str">
        <f>IF(Сценарии_расчёт!$D115=1,Сценарии_расчёт!$W115,"")</f>
        <v/>
      </c>
      <c r="E143" s="35" t="str">
        <f>IF(Сценарии_расчёт!$D115=1,Сценарии_расчёт!$X115,"")</f>
        <v/>
      </c>
      <c r="G143" s="50" t="str">
        <f>IF(Сценарии_расчёт!$D115=1,Сценарии_расчёт!$B115,"")</f>
        <v/>
      </c>
      <c r="H143" s="35" t="str">
        <f>IF(Сценарии_расчёт!$D115=1,Сценарии_расчёт!$AH115,"")</f>
        <v/>
      </c>
      <c r="I143" s="35" t="str">
        <f>IF(Сценарии_расчёт!$D115=1,Сценарии_расчёт!$AI115,"")</f>
        <v/>
      </c>
      <c r="J143" s="35" t="str">
        <f>IF(Сценарии_расчёт!$D115=1,Сценарии_расчёт!$AT115,"")</f>
        <v/>
      </c>
      <c r="K143" s="35" t="str">
        <f>IF(Сценарии_расчёт!$D115=1,Сценарии_расчёт!$AU115,"")</f>
        <v/>
      </c>
      <c r="M143" s="50" t="str">
        <f>IF(Сценарии_расчёт!$D115=1,Сценарии_расчёт!$B115,"")</f>
        <v/>
      </c>
      <c r="N143" s="35" t="str">
        <f>IF(Сценарии_расчёт!$D115=1,Сценарии_расчёт!$BE115,"")</f>
        <v/>
      </c>
      <c r="O143" s="35" t="str">
        <f>IF(Сценарии_расчёт!$D115=1,Сценарии_расчёт!$BF115,"")</f>
        <v/>
      </c>
      <c r="P143" s="35" t="str">
        <f>IF(Сценарии_расчёт!$D115=1,Сценарии_расчёт!$BQ115,"")</f>
        <v/>
      </c>
      <c r="Q143" s="35" t="str">
        <f>IF(Сценарии_расчёт!$D115=1,Сценарии_расчёт!$BR115,"")</f>
        <v/>
      </c>
    </row>
    <row r="144" spans="1:17" x14ac:dyDescent="0.2">
      <c r="A144" s="50" t="str">
        <f>IF(Сценарии_расчёт!$D116=1,Сценарии_расчёт!$B116,"")</f>
        <v/>
      </c>
      <c r="B144" s="35" t="str">
        <f>IF(Сценарии_расчёт!$D116=1,Сценарии_расчёт!$K116,"")</f>
        <v/>
      </c>
      <c r="C144" s="35" t="str">
        <f>IF(Сценарии_расчёт!$D116=1,Сценарии_расчёт!$L116,"")</f>
        <v/>
      </c>
      <c r="D144" s="35" t="str">
        <f>IF(Сценарии_расчёт!$D116=1,Сценарии_расчёт!$W116,"")</f>
        <v/>
      </c>
      <c r="E144" s="35" t="str">
        <f>IF(Сценарии_расчёт!$D116=1,Сценарии_расчёт!$X116,"")</f>
        <v/>
      </c>
      <c r="G144" s="50" t="str">
        <f>IF(Сценарии_расчёт!$D116=1,Сценарии_расчёт!$B116,"")</f>
        <v/>
      </c>
      <c r="H144" s="35" t="str">
        <f>IF(Сценарии_расчёт!$D116=1,Сценарии_расчёт!$AH116,"")</f>
        <v/>
      </c>
      <c r="I144" s="35" t="str">
        <f>IF(Сценарии_расчёт!$D116=1,Сценарии_расчёт!$AI116,"")</f>
        <v/>
      </c>
      <c r="J144" s="35" t="str">
        <f>IF(Сценарии_расчёт!$D116=1,Сценарии_расчёт!$AT116,"")</f>
        <v/>
      </c>
      <c r="K144" s="35" t="str">
        <f>IF(Сценарии_расчёт!$D116=1,Сценарии_расчёт!$AU116,"")</f>
        <v/>
      </c>
      <c r="M144" s="50" t="str">
        <f>IF(Сценарии_расчёт!$D116=1,Сценарии_расчёт!$B116,"")</f>
        <v/>
      </c>
      <c r="N144" s="35" t="str">
        <f>IF(Сценарии_расчёт!$D116=1,Сценарии_расчёт!$BE116,"")</f>
        <v/>
      </c>
      <c r="O144" s="35" t="str">
        <f>IF(Сценарии_расчёт!$D116=1,Сценарии_расчёт!$BF116,"")</f>
        <v/>
      </c>
      <c r="P144" s="35" t="str">
        <f>IF(Сценарии_расчёт!$D116=1,Сценарии_расчёт!$BQ116,"")</f>
        <v/>
      </c>
      <c r="Q144" s="35" t="str">
        <f>IF(Сценарии_расчёт!$D116=1,Сценарии_расчёт!$BR116,"")</f>
        <v/>
      </c>
    </row>
    <row r="145" spans="1:17" x14ac:dyDescent="0.2">
      <c r="A145" s="50" t="str">
        <f>IF(Сценарии_расчёт!$D117=1,Сценарии_расчёт!$B117,"")</f>
        <v/>
      </c>
      <c r="B145" s="35" t="str">
        <f>IF(Сценарии_расчёт!$D117=1,Сценарии_расчёт!$K117,"")</f>
        <v/>
      </c>
      <c r="C145" s="35" t="str">
        <f>IF(Сценарии_расчёт!$D117=1,Сценарии_расчёт!$L117,"")</f>
        <v/>
      </c>
      <c r="D145" s="35" t="str">
        <f>IF(Сценарии_расчёт!$D117=1,Сценарии_расчёт!$W117,"")</f>
        <v/>
      </c>
      <c r="E145" s="35" t="str">
        <f>IF(Сценарии_расчёт!$D117=1,Сценарии_расчёт!$X117,"")</f>
        <v/>
      </c>
      <c r="G145" s="50" t="str">
        <f>IF(Сценарии_расчёт!$D117=1,Сценарии_расчёт!$B117,"")</f>
        <v/>
      </c>
      <c r="H145" s="35" t="str">
        <f>IF(Сценарии_расчёт!$D117=1,Сценарии_расчёт!$AH117,"")</f>
        <v/>
      </c>
      <c r="I145" s="35" t="str">
        <f>IF(Сценарии_расчёт!$D117=1,Сценарии_расчёт!$AI117,"")</f>
        <v/>
      </c>
      <c r="J145" s="35" t="str">
        <f>IF(Сценарии_расчёт!$D117=1,Сценарии_расчёт!$AT117,"")</f>
        <v/>
      </c>
      <c r="K145" s="35" t="str">
        <f>IF(Сценарии_расчёт!$D117=1,Сценарии_расчёт!$AU117,"")</f>
        <v/>
      </c>
      <c r="M145" s="50" t="str">
        <f>IF(Сценарии_расчёт!$D117=1,Сценарии_расчёт!$B117,"")</f>
        <v/>
      </c>
      <c r="N145" s="35" t="str">
        <f>IF(Сценарии_расчёт!$D117=1,Сценарии_расчёт!$BE117,"")</f>
        <v/>
      </c>
      <c r="O145" s="35" t="str">
        <f>IF(Сценарии_расчёт!$D117=1,Сценарии_расчёт!$BF117,"")</f>
        <v/>
      </c>
      <c r="P145" s="35" t="str">
        <f>IF(Сценарии_расчёт!$D117=1,Сценарии_расчёт!$BQ117,"")</f>
        <v/>
      </c>
      <c r="Q145" s="35" t="str">
        <f>IF(Сценарии_расчёт!$D117=1,Сценарии_расчёт!$BR117,"")</f>
        <v/>
      </c>
    </row>
    <row r="146" spans="1:17" x14ac:dyDescent="0.2">
      <c r="A146" s="50" t="str">
        <f>IF(Сценарии_расчёт!$D118=1,Сценарии_расчёт!$B118,"")</f>
        <v/>
      </c>
      <c r="B146" s="35" t="str">
        <f>IF(Сценарии_расчёт!$D118=1,Сценарии_расчёт!$K118,"")</f>
        <v/>
      </c>
      <c r="C146" s="35" t="str">
        <f>IF(Сценарии_расчёт!$D118=1,Сценарии_расчёт!$L118,"")</f>
        <v/>
      </c>
      <c r="D146" s="35" t="str">
        <f>IF(Сценарии_расчёт!$D118=1,Сценарии_расчёт!$W118,"")</f>
        <v/>
      </c>
      <c r="E146" s="35" t="str">
        <f>IF(Сценарии_расчёт!$D118=1,Сценарии_расчёт!$X118,"")</f>
        <v/>
      </c>
      <c r="G146" s="50" t="str">
        <f>IF(Сценарии_расчёт!$D118=1,Сценарии_расчёт!$B118,"")</f>
        <v/>
      </c>
      <c r="H146" s="35" t="str">
        <f>IF(Сценарии_расчёт!$D118=1,Сценарии_расчёт!$AH118,"")</f>
        <v/>
      </c>
      <c r="I146" s="35" t="str">
        <f>IF(Сценарии_расчёт!$D118=1,Сценарии_расчёт!$AI118,"")</f>
        <v/>
      </c>
      <c r="J146" s="35" t="str">
        <f>IF(Сценарии_расчёт!$D118=1,Сценарии_расчёт!$AT118,"")</f>
        <v/>
      </c>
      <c r="K146" s="35" t="str">
        <f>IF(Сценарии_расчёт!$D118=1,Сценарии_расчёт!$AU118,"")</f>
        <v/>
      </c>
      <c r="M146" s="50" t="str">
        <f>IF(Сценарии_расчёт!$D118=1,Сценарии_расчёт!$B118,"")</f>
        <v/>
      </c>
      <c r="N146" s="35" t="str">
        <f>IF(Сценарии_расчёт!$D118=1,Сценарии_расчёт!$BE118,"")</f>
        <v/>
      </c>
      <c r="O146" s="35" t="str">
        <f>IF(Сценарии_расчёт!$D118=1,Сценарии_расчёт!$BF118,"")</f>
        <v/>
      </c>
      <c r="P146" s="35" t="str">
        <f>IF(Сценарии_расчёт!$D118=1,Сценарии_расчёт!$BQ118,"")</f>
        <v/>
      </c>
      <c r="Q146" s="35" t="str">
        <f>IF(Сценарии_расчёт!$D118=1,Сценарии_расчёт!$BR118,"")</f>
        <v/>
      </c>
    </row>
    <row r="147" spans="1:17" x14ac:dyDescent="0.2">
      <c r="A147" s="50" t="str">
        <f>IF(Сценарии_расчёт!$D119=1,Сценарии_расчёт!$B119,"")</f>
        <v/>
      </c>
      <c r="B147" s="35" t="str">
        <f>IF(Сценарии_расчёт!$D119=1,Сценарии_расчёт!$K119,"")</f>
        <v/>
      </c>
      <c r="C147" s="35" t="str">
        <f>IF(Сценарии_расчёт!$D119=1,Сценарии_расчёт!$L119,"")</f>
        <v/>
      </c>
      <c r="D147" s="35" t="str">
        <f>IF(Сценарии_расчёт!$D119=1,Сценарии_расчёт!$W119,"")</f>
        <v/>
      </c>
      <c r="E147" s="35" t="str">
        <f>IF(Сценарии_расчёт!$D119=1,Сценарии_расчёт!$X119,"")</f>
        <v/>
      </c>
      <c r="G147" s="50" t="str">
        <f>IF(Сценарии_расчёт!$D119=1,Сценарии_расчёт!$B119,"")</f>
        <v/>
      </c>
      <c r="H147" s="35" t="str">
        <f>IF(Сценарии_расчёт!$D119=1,Сценарии_расчёт!$AH119,"")</f>
        <v/>
      </c>
      <c r="I147" s="35" t="str">
        <f>IF(Сценарии_расчёт!$D119=1,Сценарии_расчёт!$AI119,"")</f>
        <v/>
      </c>
      <c r="J147" s="35" t="str">
        <f>IF(Сценарии_расчёт!$D119=1,Сценарии_расчёт!$AT119,"")</f>
        <v/>
      </c>
      <c r="K147" s="35" t="str">
        <f>IF(Сценарии_расчёт!$D119=1,Сценарии_расчёт!$AU119,"")</f>
        <v/>
      </c>
      <c r="M147" s="50" t="str">
        <f>IF(Сценарии_расчёт!$D119=1,Сценарии_расчёт!$B119,"")</f>
        <v/>
      </c>
      <c r="N147" s="35" t="str">
        <f>IF(Сценарии_расчёт!$D119=1,Сценарии_расчёт!$BE119,"")</f>
        <v/>
      </c>
      <c r="O147" s="35" t="str">
        <f>IF(Сценарии_расчёт!$D119=1,Сценарии_расчёт!$BF119,"")</f>
        <v/>
      </c>
      <c r="P147" s="35" t="str">
        <f>IF(Сценарии_расчёт!$D119=1,Сценарии_расчёт!$BQ119,"")</f>
        <v/>
      </c>
      <c r="Q147" s="35" t="str">
        <f>IF(Сценарии_расчёт!$D119=1,Сценарии_расчёт!$BR119,"")</f>
        <v/>
      </c>
    </row>
    <row r="148" spans="1:17" x14ac:dyDescent="0.2">
      <c r="A148" s="50" t="str">
        <f>IF(Сценарии_расчёт!$D120=1,Сценарии_расчёт!$B120,"")</f>
        <v/>
      </c>
      <c r="B148" s="35" t="str">
        <f>IF(Сценарии_расчёт!$D120=1,Сценарии_расчёт!$K120,"")</f>
        <v/>
      </c>
      <c r="C148" s="35" t="str">
        <f>IF(Сценарии_расчёт!$D120=1,Сценарии_расчёт!$L120,"")</f>
        <v/>
      </c>
      <c r="D148" s="35" t="str">
        <f>IF(Сценарии_расчёт!$D120=1,Сценарии_расчёт!$W120,"")</f>
        <v/>
      </c>
      <c r="E148" s="35" t="str">
        <f>IF(Сценарии_расчёт!$D120=1,Сценарии_расчёт!$X120,"")</f>
        <v/>
      </c>
      <c r="G148" s="50" t="str">
        <f>IF(Сценарии_расчёт!$D120=1,Сценарии_расчёт!$B120,"")</f>
        <v/>
      </c>
      <c r="H148" s="35" t="str">
        <f>IF(Сценарии_расчёт!$D120=1,Сценарии_расчёт!$AH120,"")</f>
        <v/>
      </c>
      <c r="I148" s="35" t="str">
        <f>IF(Сценарии_расчёт!$D120=1,Сценарии_расчёт!$AI120,"")</f>
        <v/>
      </c>
      <c r="J148" s="35" t="str">
        <f>IF(Сценарии_расчёт!$D120=1,Сценарии_расчёт!$AT120,"")</f>
        <v/>
      </c>
      <c r="K148" s="35" t="str">
        <f>IF(Сценарии_расчёт!$D120=1,Сценарии_расчёт!$AU120,"")</f>
        <v/>
      </c>
      <c r="M148" s="50" t="str">
        <f>IF(Сценарии_расчёт!$D120=1,Сценарии_расчёт!$B120,"")</f>
        <v/>
      </c>
      <c r="N148" s="35" t="str">
        <f>IF(Сценарии_расчёт!$D120=1,Сценарии_расчёт!$BE120,"")</f>
        <v/>
      </c>
      <c r="O148" s="35" t="str">
        <f>IF(Сценарии_расчёт!$D120=1,Сценарии_расчёт!$BF120,"")</f>
        <v/>
      </c>
      <c r="P148" s="35" t="str">
        <f>IF(Сценарии_расчёт!$D120=1,Сценарии_расчёт!$BQ120,"")</f>
        <v/>
      </c>
      <c r="Q148" s="35" t="str">
        <f>IF(Сценарии_расчёт!$D120=1,Сценарии_расчёт!$BR120,"")</f>
        <v/>
      </c>
    </row>
    <row r="149" spans="1:17" x14ac:dyDescent="0.2">
      <c r="A149" s="50" t="str">
        <f>IF(Сценарии_расчёт!$D121=1,Сценарии_расчёт!$B121,"")</f>
        <v/>
      </c>
      <c r="B149" s="35" t="str">
        <f>IF(Сценарии_расчёт!$D121=1,Сценарии_расчёт!$K121,"")</f>
        <v/>
      </c>
      <c r="C149" s="35" t="str">
        <f>IF(Сценарии_расчёт!$D121=1,Сценарии_расчёт!$L121,"")</f>
        <v/>
      </c>
      <c r="D149" s="35" t="str">
        <f>IF(Сценарии_расчёт!$D121=1,Сценарии_расчёт!$W121,"")</f>
        <v/>
      </c>
      <c r="E149" s="35" t="str">
        <f>IF(Сценарии_расчёт!$D121=1,Сценарии_расчёт!$X121,"")</f>
        <v/>
      </c>
      <c r="G149" s="50" t="str">
        <f>IF(Сценарии_расчёт!$D121=1,Сценарии_расчёт!$B121,"")</f>
        <v/>
      </c>
      <c r="H149" s="35" t="str">
        <f>IF(Сценарии_расчёт!$D121=1,Сценарии_расчёт!$AH121,"")</f>
        <v/>
      </c>
      <c r="I149" s="35" t="str">
        <f>IF(Сценарии_расчёт!$D121=1,Сценарии_расчёт!$AI121,"")</f>
        <v/>
      </c>
      <c r="J149" s="35" t="str">
        <f>IF(Сценарии_расчёт!$D121=1,Сценарии_расчёт!$AT121,"")</f>
        <v/>
      </c>
      <c r="K149" s="35" t="str">
        <f>IF(Сценарии_расчёт!$D121=1,Сценарии_расчёт!$AU121,"")</f>
        <v/>
      </c>
      <c r="M149" s="50" t="str">
        <f>IF(Сценарии_расчёт!$D121=1,Сценарии_расчёт!$B121,"")</f>
        <v/>
      </c>
      <c r="N149" s="35" t="str">
        <f>IF(Сценарии_расчёт!$D121=1,Сценарии_расчёт!$BE121,"")</f>
        <v/>
      </c>
      <c r="O149" s="35" t="str">
        <f>IF(Сценарии_расчёт!$D121=1,Сценарии_расчёт!$BF121,"")</f>
        <v/>
      </c>
      <c r="P149" s="35" t="str">
        <f>IF(Сценарии_расчёт!$D121=1,Сценарии_расчёт!$BQ121,"")</f>
        <v/>
      </c>
      <c r="Q149" s="35" t="str">
        <f>IF(Сценарии_расчёт!$D121=1,Сценарии_расчёт!$BR121,"")</f>
        <v/>
      </c>
    </row>
    <row r="150" spans="1:17" x14ac:dyDescent="0.2">
      <c r="A150" s="50" t="str">
        <f>IF(Сценарии_расчёт!$D122=1,Сценарии_расчёт!$B122,"")</f>
        <v/>
      </c>
      <c r="B150" s="35" t="str">
        <f>IF(Сценарии_расчёт!$D122=1,Сценарии_расчёт!$K122,"")</f>
        <v/>
      </c>
      <c r="C150" s="35" t="str">
        <f>IF(Сценарии_расчёт!$D122=1,Сценарии_расчёт!$L122,"")</f>
        <v/>
      </c>
      <c r="D150" s="35" t="str">
        <f>IF(Сценарии_расчёт!$D122=1,Сценарии_расчёт!$W122,"")</f>
        <v/>
      </c>
      <c r="E150" s="35" t="str">
        <f>IF(Сценарии_расчёт!$D122=1,Сценарии_расчёт!$X122,"")</f>
        <v/>
      </c>
      <c r="G150" s="50" t="str">
        <f>IF(Сценарии_расчёт!$D122=1,Сценарии_расчёт!$B122,"")</f>
        <v/>
      </c>
      <c r="H150" s="35" t="str">
        <f>IF(Сценарии_расчёт!$D122=1,Сценарии_расчёт!$AH122,"")</f>
        <v/>
      </c>
      <c r="I150" s="35" t="str">
        <f>IF(Сценарии_расчёт!$D122=1,Сценарии_расчёт!$AI122,"")</f>
        <v/>
      </c>
      <c r="J150" s="35" t="str">
        <f>IF(Сценарии_расчёт!$D122=1,Сценарии_расчёт!$AT122,"")</f>
        <v/>
      </c>
      <c r="K150" s="35" t="str">
        <f>IF(Сценарии_расчёт!$D122=1,Сценарии_расчёт!$AU122,"")</f>
        <v/>
      </c>
      <c r="M150" s="50" t="str">
        <f>IF(Сценарии_расчёт!$D122=1,Сценарии_расчёт!$B122,"")</f>
        <v/>
      </c>
      <c r="N150" s="35" t="str">
        <f>IF(Сценарии_расчёт!$D122=1,Сценарии_расчёт!$BE122,"")</f>
        <v/>
      </c>
      <c r="O150" s="35" t="str">
        <f>IF(Сценарии_расчёт!$D122=1,Сценарии_расчёт!$BF122,"")</f>
        <v/>
      </c>
      <c r="P150" s="35" t="str">
        <f>IF(Сценарии_расчёт!$D122=1,Сценарии_расчёт!$BQ122,"")</f>
        <v/>
      </c>
      <c r="Q150" s="35" t="str">
        <f>IF(Сценарии_расчёт!$D122=1,Сценарии_расчёт!$BR122,"")</f>
        <v/>
      </c>
    </row>
    <row r="151" spans="1:17" x14ac:dyDescent="0.2">
      <c r="A151" s="50" t="str">
        <f>IF(Сценарии_расчёт!$D123=1,Сценарии_расчёт!$B123,"")</f>
        <v/>
      </c>
      <c r="B151" s="35" t="str">
        <f>IF(Сценарии_расчёт!$D123=1,Сценарии_расчёт!$K123,"")</f>
        <v/>
      </c>
      <c r="C151" s="35" t="str">
        <f>IF(Сценарии_расчёт!$D123=1,Сценарии_расчёт!$L123,"")</f>
        <v/>
      </c>
      <c r="D151" s="35" t="str">
        <f>IF(Сценарии_расчёт!$D123=1,Сценарии_расчёт!$W123,"")</f>
        <v/>
      </c>
      <c r="E151" s="35" t="str">
        <f>IF(Сценарии_расчёт!$D123=1,Сценарии_расчёт!$X123,"")</f>
        <v/>
      </c>
      <c r="G151" s="50" t="str">
        <f>IF(Сценарии_расчёт!$D123=1,Сценарии_расчёт!$B123,"")</f>
        <v/>
      </c>
      <c r="H151" s="35" t="str">
        <f>IF(Сценарии_расчёт!$D123=1,Сценарии_расчёт!$AH123,"")</f>
        <v/>
      </c>
      <c r="I151" s="35" t="str">
        <f>IF(Сценарии_расчёт!$D123=1,Сценарии_расчёт!$AI123,"")</f>
        <v/>
      </c>
      <c r="J151" s="35" t="str">
        <f>IF(Сценарии_расчёт!$D123=1,Сценарии_расчёт!$AT123,"")</f>
        <v/>
      </c>
      <c r="K151" s="35" t="str">
        <f>IF(Сценарии_расчёт!$D123=1,Сценарии_расчёт!$AU123,"")</f>
        <v/>
      </c>
      <c r="M151" s="50" t="str">
        <f>IF(Сценарии_расчёт!$D123=1,Сценарии_расчёт!$B123,"")</f>
        <v/>
      </c>
      <c r="N151" s="35" t="str">
        <f>IF(Сценарии_расчёт!$D123=1,Сценарии_расчёт!$BE123,"")</f>
        <v/>
      </c>
      <c r="O151" s="35" t="str">
        <f>IF(Сценарии_расчёт!$D123=1,Сценарии_расчёт!$BF123,"")</f>
        <v/>
      </c>
      <c r="P151" s="35" t="str">
        <f>IF(Сценарии_расчёт!$D123=1,Сценарии_расчёт!$BQ123,"")</f>
        <v/>
      </c>
      <c r="Q151" s="35" t="str">
        <f>IF(Сценарии_расчёт!$D123=1,Сценарии_расчёт!$BR123,"")</f>
        <v/>
      </c>
    </row>
    <row r="152" spans="1:17" x14ac:dyDescent="0.2">
      <c r="A152" s="50" t="str">
        <f>IF(Сценарии_расчёт!$D124=1,Сценарии_расчёт!$B124,"")</f>
        <v/>
      </c>
      <c r="B152" s="35" t="str">
        <f>IF(Сценарии_расчёт!$D124=1,Сценарии_расчёт!$K124,"")</f>
        <v/>
      </c>
      <c r="C152" s="35" t="str">
        <f>IF(Сценарии_расчёт!$D124=1,Сценарии_расчёт!$L124,"")</f>
        <v/>
      </c>
      <c r="D152" s="35" t="str">
        <f>IF(Сценарии_расчёт!$D124=1,Сценарии_расчёт!$W124,"")</f>
        <v/>
      </c>
      <c r="E152" s="35" t="str">
        <f>IF(Сценарии_расчёт!$D124=1,Сценарии_расчёт!$X124,"")</f>
        <v/>
      </c>
      <c r="G152" s="50" t="str">
        <f>IF(Сценарии_расчёт!$D124=1,Сценарии_расчёт!$B124,"")</f>
        <v/>
      </c>
      <c r="H152" s="35" t="str">
        <f>IF(Сценарии_расчёт!$D124=1,Сценарии_расчёт!$AH124,"")</f>
        <v/>
      </c>
      <c r="I152" s="35" t="str">
        <f>IF(Сценарии_расчёт!$D124=1,Сценарии_расчёт!$AI124,"")</f>
        <v/>
      </c>
      <c r="J152" s="35" t="str">
        <f>IF(Сценарии_расчёт!$D124=1,Сценарии_расчёт!$AT124,"")</f>
        <v/>
      </c>
      <c r="K152" s="35" t="str">
        <f>IF(Сценарии_расчёт!$D124=1,Сценарии_расчёт!$AU124,"")</f>
        <v/>
      </c>
      <c r="M152" s="50" t="str">
        <f>IF(Сценарии_расчёт!$D124=1,Сценарии_расчёт!$B124,"")</f>
        <v/>
      </c>
      <c r="N152" s="35" t="str">
        <f>IF(Сценарии_расчёт!$D124=1,Сценарии_расчёт!$BE124,"")</f>
        <v/>
      </c>
      <c r="O152" s="35" t="str">
        <f>IF(Сценарии_расчёт!$D124=1,Сценарии_расчёт!$BF124,"")</f>
        <v/>
      </c>
      <c r="P152" s="35" t="str">
        <f>IF(Сценарии_расчёт!$D124=1,Сценарии_расчёт!$BQ124,"")</f>
        <v/>
      </c>
      <c r="Q152" s="35" t="str">
        <f>IF(Сценарии_расчёт!$D124=1,Сценарии_расчёт!$BR124,"")</f>
        <v/>
      </c>
    </row>
    <row r="153" spans="1:17" x14ac:dyDescent="0.2">
      <c r="A153" s="50" t="str">
        <f>IF(Сценарии_расчёт!$D125=1,Сценарии_расчёт!$B125,"")</f>
        <v/>
      </c>
      <c r="B153" s="35" t="str">
        <f>IF(Сценарии_расчёт!$D125=1,Сценарии_расчёт!$K125,"")</f>
        <v/>
      </c>
      <c r="C153" s="35" t="str">
        <f>IF(Сценарии_расчёт!$D125=1,Сценарии_расчёт!$L125,"")</f>
        <v/>
      </c>
      <c r="D153" s="35" t="str">
        <f>IF(Сценарии_расчёт!$D125=1,Сценарии_расчёт!$W125,"")</f>
        <v/>
      </c>
      <c r="E153" s="35" t="str">
        <f>IF(Сценарии_расчёт!$D125=1,Сценарии_расчёт!$X125,"")</f>
        <v/>
      </c>
      <c r="G153" s="50" t="str">
        <f>IF(Сценарии_расчёт!$D125=1,Сценарии_расчёт!$B125,"")</f>
        <v/>
      </c>
      <c r="H153" s="35" t="str">
        <f>IF(Сценарии_расчёт!$D125=1,Сценарии_расчёт!$AH125,"")</f>
        <v/>
      </c>
      <c r="I153" s="35" t="str">
        <f>IF(Сценарии_расчёт!$D125=1,Сценарии_расчёт!$AI125,"")</f>
        <v/>
      </c>
      <c r="J153" s="35" t="str">
        <f>IF(Сценарии_расчёт!$D125=1,Сценарии_расчёт!$AT125,"")</f>
        <v/>
      </c>
      <c r="K153" s="35" t="str">
        <f>IF(Сценарии_расчёт!$D125=1,Сценарии_расчёт!$AU125,"")</f>
        <v/>
      </c>
      <c r="M153" s="50" t="str">
        <f>IF(Сценарии_расчёт!$D125=1,Сценарии_расчёт!$B125,"")</f>
        <v/>
      </c>
      <c r="N153" s="35" t="str">
        <f>IF(Сценарии_расчёт!$D125=1,Сценарии_расчёт!$BE125,"")</f>
        <v/>
      </c>
      <c r="O153" s="35" t="str">
        <f>IF(Сценарии_расчёт!$D125=1,Сценарии_расчёт!$BF125,"")</f>
        <v/>
      </c>
      <c r="P153" s="35" t="str">
        <f>IF(Сценарии_расчёт!$D125=1,Сценарии_расчёт!$BQ125,"")</f>
        <v/>
      </c>
      <c r="Q153" s="35" t="str">
        <f>IF(Сценарии_расчёт!$D125=1,Сценарии_расчёт!$BR125,"")</f>
        <v/>
      </c>
    </row>
    <row r="154" spans="1:17" x14ac:dyDescent="0.2">
      <c r="A154" s="50" t="str">
        <f>IF(Сценарии_расчёт!$D126=1,Сценарии_расчёт!$B126,"")</f>
        <v/>
      </c>
      <c r="B154" s="35" t="str">
        <f>IF(Сценарии_расчёт!$D126=1,Сценарии_расчёт!$K126,"")</f>
        <v/>
      </c>
      <c r="C154" s="35" t="str">
        <f>IF(Сценарии_расчёт!$D126=1,Сценарии_расчёт!$L126,"")</f>
        <v/>
      </c>
      <c r="D154" s="35" t="str">
        <f>IF(Сценарии_расчёт!$D126=1,Сценарии_расчёт!$W126,"")</f>
        <v/>
      </c>
      <c r="E154" s="35" t="str">
        <f>IF(Сценарии_расчёт!$D126=1,Сценарии_расчёт!$X126,"")</f>
        <v/>
      </c>
      <c r="G154" s="50" t="str">
        <f>IF(Сценарии_расчёт!$D126=1,Сценарии_расчёт!$B126,"")</f>
        <v/>
      </c>
      <c r="H154" s="35" t="str">
        <f>IF(Сценарии_расчёт!$D126=1,Сценарии_расчёт!$AH126,"")</f>
        <v/>
      </c>
      <c r="I154" s="35" t="str">
        <f>IF(Сценарии_расчёт!$D126=1,Сценарии_расчёт!$AI126,"")</f>
        <v/>
      </c>
      <c r="J154" s="35" t="str">
        <f>IF(Сценарии_расчёт!$D126=1,Сценарии_расчёт!$AT126,"")</f>
        <v/>
      </c>
      <c r="K154" s="35" t="str">
        <f>IF(Сценарии_расчёт!$D126=1,Сценарии_расчёт!$AU126,"")</f>
        <v/>
      </c>
      <c r="M154" s="50" t="str">
        <f>IF(Сценарии_расчёт!$D126=1,Сценарии_расчёт!$B126,"")</f>
        <v/>
      </c>
      <c r="N154" s="35" t="str">
        <f>IF(Сценарии_расчёт!$D126=1,Сценарии_расчёт!$BE126,"")</f>
        <v/>
      </c>
      <c r="O154" s="35" t="str">
        <f>IF(Сценарии_расчёт!$D126=1,Сценарии_расчёт!$BF126,"")</f>
        <v/>
      </c>
      <c r="P154" s="35" t="str">
        <f>IF(Сценарии_расчёт!$D126=1,Сценарии_расчёт!$BQ126,"")</f>
        <v/>
      </c>
      <c r="Q154" s="35" t="str">
        <f>IF(Сценарии_расчёт!$D126=1,Сценарии_расчёт!$BR126,"")</f>
        <v/>
      </c>
    </row>
    <row r="155" spans="1:17" x14ac:dyDescent="0.2">
      <c r="A155" s="50" t="str">
        <f>IF(Сценарии_расчёт!$D127=1,Сценарии_расчёт!$B127,"")</f>
        <v/>
      </c>
      <c r="B155" s="35" t="str">
        <f>IF(Сценарии_расчёт!$D127=1,Сценарии_расчёт!$K127,"")</f>
        <v/>
      </c>
      <c r="C155" s="35" t="str">
        <f>IF(Сценарии_расчёт!$D127=1,Сценарии_расчёт!$L127,"")</f>
        <v/>
      </c>
      <c r="D155" s="35" t="str">
        <f>IF(Сценарии_расчёт!$D127=1,Сценарии_расчёт!$W127,"")</f>
        <v/>
      </c>
      <c r="E155" s="35" t="str">
        <f>IF(Сценарии_расчёт!$D127=1,Сценарии_расчёт!$X127,"")</f>
        <v/>
      </c>
      <c r="G155" s="50" t="str">
        <f>IF(Сценарии_расчёт!$D127=1,Сценарии_расчёт!$B127,"")</f>
        <v/>
      </c>
      <c r="H155" s="35" t="str">
        <f>IF(Сценарии_расчёт!$D127=1,Сценарии_расчёт!$AH127,"")</f>
        <v/>
      </c>
      <c r="I155" s="35" t="str">
        <f>IF(Сценарии_расчёт!$D127=1,Сценарии_расчёт!$AI127,"")</f>
        <v/>
      </c>
      <c r="J155" s="35" t="str">
        <f>IF(Сценарии_расчёт!$D127=1,Сценарии_расчёт!$AT127,"")</f>
        <v/>
      </c>
      <c r="K155" s="35" t="str">
        <f>IF(Сценарии_расчёт!$D127=1,Сценарии_расчёт!$AU127,"")</f>
        <v/>
      </c>
      <c r="M155" s="50" t="str">
        <f>IF(Сценарии_расчёт!$D127=1,Сценарии_расчёт!$B127,"")</f>
        <v/>
      </c>
      <c r="N155" s="35" t="str">
        <f>IF(Сценарии_расчёт!$D127=1,Сценарии_расчёт!$BE127,"")</f>
        <v/>
      </c>
      <c r="O155" s="35" t="str">
        <f>IF(Сценарии_расчёт!$D127=1,Сценарии_расчёт!$BF127,"")</f>
        <v/>
      </c>
      <c r="P155" s="35" t="str">
        <f>IF(Сценарии_расчёт!$D127=1,Сценарии_расчёт!$BQ127,"")</f>
        <v/>
      </c>
      <c r="Q155" s="35" t="str">
        <f>IF(Сценарии_расчёт!$D127=1,Сценарии_расчёт!$BR127,"")</f>
        <v/>
      </c>
    </row>
    <row r="156" spans="1:17" x14ac:dyDescent="0.2">
      <c r="A156" s="50" t="str">
        <f>IF(Сценарии_расчёт!$D128=1,Сценарии_расчёт!$B128,"")</f>
        <v/>
      </c>
      <c r="B156" s="35" t="str">
        <f>IF(Сценарии_расчёт!$D128=1,Сценарии_расчёт!$K128,"")</f>
        <v/>
      </c>
      <c r="C156" s="35" t="str">
        <f>IF(Сценарии_расчёт!$D128=1,Сценарии_расчёт!$L128,"")</f>
        <v/>
      </c>
      <c r="D156" s="35" t="str">
        <f>IF(Сценарии_расчёт!$D128=1,Сценарии_расчёт!$W128,"")</f>
        <v/>
      </c>
      <c r="E156" s="35" t="str">
        <f>IF(Сценарии_расчёт!$D128=1,Сценарии_расчёт!$X128,"")</f>
        <v/>
      </c>
      <c r="G156" s="50" t="str">
        <f>IF(Сценарии_расчёт!$D128=1,Сценарии_расчёт!$B128,"")</f>
        <v/>
      </c>
      <c r="H156" s="35" t="str">
        <f>IF(Сценарии_расчёт!$D128=1,Сценарии_расчёт!$AH128,"")</f>
        <v/>
      </c>
      <c r="I156" s="35" t="str">
        <f>IF(Сценарии_расчёт!$D128=1,Сценарии_расчёт!$AI128,"")</f>
        <v/>
      </c>
      <c r="J156" s="35" t="str">
        <f>IF(Сценарии_расчёт!$D128=1,Сценарии_расчёт!$AT128,"")</f>
        <v/>
      </c>
      <c r="K156" s="35" t="str">
        <f>IF(Сценарии_расчёт!$D128=1,Сценарии_расчёт!$AU128,"")</f>
        <v/>
      </c>
      <c r="M156" s="50" t="str">
        <f>IF(Сценарии_расчёт!$D128=1,Сценарии_расчёт!$B128,"")</f>
        <v/>
      </c>
      <c r="N156" s="35" t="str">
        <f>IF(Сценарии_расчёт!$D128=1,Сценарии_расчёт!$BE128,"")</f>
        <v/>
      </c>
      <c r="O156" s="35" t="str">
        <f>IF(Сценарии_расчёт!$D128=1,Сценарии_расчёт!$BF128,"")</f>
        <v/>
      </c>
      <c r="P156" s="35" t="str">
        <f>IF(Сценарии_расчёт!$D128=1,Сценарии_расчёт!$BQ128,"")</f>
        <v/>
      </c>
      <c r="Q156" s="35" t="str">
        <f>IF(Сценарии_расчёт!$D128=1,Сценарии_расчёт!$BR128,"")</f>
        <v/>
      </c>
    </row>
    <row r="157" spans="1:17" x14ac:dyDescent="0.2">
      <c r="A157" s="50" t="str">
        <f>IF(Сценарии_расчёт!$D129=1,Сценарии_расчёт!$B129,"")</f>
        <v/>
      </c>
      <c r="B157" s="35" t="str">
        <f>IF(Сценарии_расчёт!$D129=1,Сценарии_расчёт!$K129,"")</f>
        <v/>
      </c>
      <c r="C157" s="35" t="str">
        <f>IF(Сценарии_расчёт!$D129=1,Сценарии_расчёт!$L129,"")</f>
        <v/>
      </c>
      <c r="D157" s="35" t="str">
        <f>IF(Сценарии_расчёт!$D129=1,Сценарии_расчёт!$W129,"")</f>
        <v/>
      </c>
      <c r="E157" s="35" t="str">
        <f>IF(Сценарии_расчёт!$D129=1,Сценарии_расчёт!$X129,"")</f>
        <v/>
      </c>
      <c r="G157" s="50" t="str">
        <f>IF(Сценарии_расчёт!$D129=1,Сценарии_расчёт!$B129,"")</f>
        <v/>
      </c>
      <c r="H157" s="35" t="str">
        <f>IF(Сценарии_расчёт!$D129=1,Сценарии_расчёт!$AH129,"")</f>
        <v/>
      </c>
      <c r="I157" s="35" t="str">
        <f>IF(Сценарии_расчёт!$D129=1,Сценарии_расчёт!$AI129,"")</f>
        <v/>
      </c>
      <c r="J157" s="35" t="str">
        <f>IF(Сценарии_расчёт!$D129=1,Сценарии_расчёт!$AT129,"")</f>
        <v/>
      </c>
      <c r="K157" s="35" t="str">
        <f>IF(Сценарии_расчёт!$D129=1,Сценарии_расчёт!$AU129,"")</f>
        <v/>
      </c>
      <c r="M157" s="50" t="str">
        <f>IF(Сценарии_расчёт!$D129=1,Сценарии_расчёт!$B129,"")</f>
        <v/>
      </c>
      <c r="N157" s="35" t="str">
        <f>IF(Сценарии_расчёт!$D129=1,Сценарии_расчёт!$BE129,"")</f>
        <v/>
      </c>
      <c r="O157" s="35" t="str">
        <f>IF(Сценарии_расчёт!$D129=1,Сценарии_расчёт!$BF129,"")</f>
        <v/>
      </c>
      <c r="P157" s="35" t="str">
        <f>IF(Сценарии_расчёт!$D129=1,Сценарии_расчёт!$BQ129,"")</f>
        <v/>
      </c>
      <c r="Q157" s="35" t="str">
        <f>IF(Сценарии_расчёт!$D129=1,Сценарии_расчёт!$BR129,"")</f>
        <v/>
      </c>
    </row>
    <row r="158" spans="1:17" x14ac:dyDescent="0.2">
      <c r="A158" s="50" t="str">
        <f>IF(Сценарии_расчёт!$D130=1,Сценарии_расчёт!$B130,"")</f>
        <v/>
      </c>
      <c r="B158" s="35" t="str">
        <f>IF(Сценарии_расчёт!$D130=1,Сценарии_расчёт!$K130,"")</f>
        <v/>
      </c>
      <c r="C158" s="35" t="str">
        <f>IF(Сценарии_расчёт!$D130=1,Сценарии_расчёт!$L130,"")</f>
        <v/>
      </c>
      <c r="D158" s="35" t="str">
        <f>IF(Сценарии_расчёт!$D130=1,Сценарии_расчёт!$W130,"")</f>
        <v/>
      </c>
      <c r="E158" s="35" t="str">
        <f>IF(Сценарии_расчёт!$D130=1,Сценарии_расчёт!$X130,"")</f>
        <v/>
      </c>
      <c r="G158" s="50" t="str">
        <f>IF(Сценарии_расчёт!$D130=1,Сценарии_расчёт!$B130,"")</f>
        <v/>
      </c>
      <c r="H158" s="35" t="str">
        <f>IF(Сценарии_расчёт!$D130=1,Сценарии_расчёт!$AH130,"")</f>
        <v/>
      </c>
      <c r="I158" s="35" t="str">
        <f>IF(Сценарии_расчёт!$D130=1,Сценарии_расчёт!$AI130,"")</f>
        <v/>
      </c>
      <c r="J158" s="35" t="str">
        <f>IF(Сценарии_расчёт!$D130=1,Сценарии_расчёт!$AT130,"")</f>
        <v/>
      </c>
      <c r="K158" s="35" t="str">
        <f>IF(Сценарии_расчёт!$D130=1,Сценарии_расчёт!$AU130,"")</f>
        <v/>
      </c>
      <c r="M158" s="50" t="str">
        <f>IF(Сценарии_расчёт!$D130=1,Сценарии_расчёт!$B130,"")</f>
        <v/>
      </c>
      <c r="N158" s="35" t="str">
        <f>IF(Сценарии_расчёт!$D130=1,Сценарии_расчёт!$BE130,"")</f>
        <v/>
      </c>
      <c r="O158" s="35" t="str">
        <f>IF(Сценарии_расчёт!$D130=1,Сценарии_расчёт!$BF130,"")</f>
        <v/>
      </c>
      <c r="P158" s="35" t="str">
        <f>IF(Сценарии_расчёт!$D130=1,Сценарии_расчёт!$BQ130,"")</f>
        <v/>
      </c>
      <c r="Q158" s="35" t="str">
        <f>IF(Сценарии_расчёт!$D130=1,Сценарии_расчёт!$BR130,"")</f>
        <v/>
      </c>
    </row>
    <row r="159" spans="1:17" x14ac:dyDescent="0.2">
      <c r="A159" s="50" t="str">
        <f>IF(Сценарии_расчёт!$D131=1,Сценарии_расчёт!$B131,"")</f>
        <v/>
      </c>
      <c r="B159" s="35" t="str">
        <f>IF(Сценарии_расчёт!$D131=1,Сценарии_расчёт!$K131,"")</f>
        <v/>
      </c>
      <c r="C159" s="35" t="str">
        <f>IF(Сценарии_расчёт!$D131=1,Сценарии_расчёт!$L131,"")</f>
        <v/>
      </c>
      <c r="D159" s="35" t="str">
        <f>IF(Сценарии_расчёт!$D131=1,Сценарии_расчёт!$W131,"")</f>
        <v/>
      </c>
      <c r="E159" s="35" t="str">
        <f>IF(Сценарии_расчёт!$D131=1,Сценарии_расчёт!$X131,"")</f>
        <v/>
      </c>
      <c r="G159" s="50" t="str">
        <f>IF(Сценарии_расчёт!$D131=1,Сценарии_расчёт!$B131,"")</f>
        <v/>
      </c>
      <c r="H159" s="35" t="str">
        <f>IF(Сценарии_расчёт!$D131=1,Сценарии_расчёт!$AH131,"")</f>
        <v/>
      </c>
      <c r="I159" s="35" t="str">
        <f>IF(Сценарии_расчёт!$D131=1,Сценарии_расчёт!$AI131,"")</f>
        <v/>
      </c>
      <c r="J159" s="35" t="str">
        <f>IF(Сценарии_расчёт!$D131=1,Сценарии_расчёт!$AT131,"")</f>
        <v/>
      </c>
      <c r="K159" s="35" t="str">
        <f>IF(Сценарии_расчёт!$D131=1,Сценарии_расчёт!$AU131,"")</f>
        <v/>
      </c>
      <c r="M159" s="50" t="str">
        <f>IF(Сценарии_расчёт!$D131=1,Сценарии_расчёт!$B131,"")</f>
        <v/>
      </c>
      <c r="N159" s="35" t="str">
        <f>IF(Сценарии_расчёт!$D131=1,Сценарии_расчёт!$BE131,"")</f>
        <v/>
      </c>
      <c r="O159" s="35" t="str">
        <f>IF(Сценарии_расчёт!$D131=1,Сценарии_расчёт!$BF131,"")</f>
        <v/>
      </c>
      <c r="P159" s="35" t="str">
        <f>IF(Сценарии_расчёт!$D131=1,Сценарии_расчёт!$BQ131,"")</f>
        <v/>
      </c>
      <c r="Q159" s="35" t="str">
        <f>IF(Сценарии_расчёт!$D131=1,Сценарии_расчёт!$BR131,"")</f>
        <v/>
      </c>
    </row>
    <row r="160" spans="1:17" x14ac:dyDescent="0.2">
      <c r="A160" s="50" t="str">
        <f>IF(Сценарии_расчёт!$D132=1,Сценарии_расчёт!$B132,"")</f>
        <v/>
      </c>
      <c r="B160" s="35" t="str">
        <f>IF(Сценарии_расчёт!$D132=1,Сценарии_расчёт!$K132,"")</f>
        <v/>
      </c>
      <c r="C160" s="35" t="str">
        <f>IF(Сценарии_расчёт!$D132=1,Сценарии_расчёт!$L132,"")</f>
        <v/>
      </c>
      <c r="D160" s="35" t="str">
        <f>IF(Сценарии_расчёт!$D132=1,Сценарии_расчёт!$W132,"")</f>
        <v/>
      </c>
      <c r="E160" s="35" t="str">
        <f>IF(Сценарии_расчёт!$D132=1,Сценарии_расчёт!$X132,"")</f>
        <v/>
      </c>
      <c r="G160" s="50" t="str">
        <f>IF(Сценарии_расчёт!$D132=1,Сценарии_расчёт!$B132,"")</f>
        <v/>
      </c>
      <c r="H160" s="35" t="str">
        <f>IF(Сценарии_расчёт!$D132=1,Сценарии_расчёт!$AH132,"")</f>
        <v/>
      </c>
      <c r="I160" s="35" t="str">
        <f>IF(Сценарии_расчёт!$D132=1,Сценарии_расчёт!$AI132,"")</f>
        <v/>
      </c>
      <c r="J160" s="35" t="str">
        <f>IF(Сценарии_расчёт!$D132=1,Сценарии_расчёт!$AT132,"")</f>
        <v/>
      </c>
      <c r="K160" s="35" t="str">
        <f>IF(Сценарии_расчёт!$D132=1,Сценарии_расчёт!$AU132,"")</f>
        <v/>
      </c>
      <c r="M160" s="50" t="str">
        <f>IF(Сценарии_расчёт!$D132=1,Сценарии_расчёт!$B132,"")</f>
        <v/>
      </c>
      <c r="N160" s="35" t="str">
        <f>IF(Сценарии_расчёт!$D132=1,Сценарии_расчёт!$BE132,"")</f>
        <v/>
      </c>
      <c r="O160" s="35" t="str">
        <f>IF(Сценарии_расчёт!$D132=1,Сценарии_расчёт!$BF132,"")</f>
        <v/>
      </c>
      <c r="P160" s="35" t="str">
        <f>IF(Сценарии_расчёт!$D132=1,Сценарии_расчёт!$BQ132,"")</f>
        <v/>
      </c>
      <c r="Q160" s="35" t="str">
        <f>IF(Сценарии_расчёт!$D132=1,Сценарии_расчёт!$BR132,"")</f>
        <v/>
      </c>
    </row>
    <row r="161" spans="1:17" x14ac:dyDescent="0.2">
      <c r="A161" s="50" t="str">
        <f>IF(Сценарии_расчёт!$D133=1,Сценарии_расчёт!$B133,"")</f>
        <v/>
      </c>
      <c r="B161" s="35" t="str">
        <f>IF(Сценарии_расчёт!$D133=1,Сценарии_расчёт!$K133,"")</f>
        <v/>
      </c>
      <c r="C161" s="35" t="str">
        <f>IF(Сценарии_расчёт!$D133=1,Сценарии_расчёт!$L133,"")</f>
        <v/>
      </c>
      <c r="D161" s="35" t="str">
        <f>IF(Сценарии_расчёт!$D133=1,Сценарии_расчёт!$W133,"")</f>
        <v/>
      </c>
      <c r="E161" s="35" t="str">
        <f>IF(Сценарии_расчёт!$D133=1,Сценарии_расчёт!$X133,"")</f>
        <v/>
      </c>
      <c r="G161" s="50" t="str">
        <f>IF(Сценарии_расчёт!$D133=1,Сценарии_расчёт!$B133,"")</f>
        <v/>
      </c>
      <c r="H161" s="35" t="str">
        <f>IF(Сценарии_расчёт!$D133=1,Сценарии_расчёт!$AH133,"")</f>
        <v/>
      </c>
      <c r="I161" s="35" t="str">
        <f>IF(Сценарии_расчёт!$D133=1,Сценарии_расчёт!$AI133,"")</f>
        <v/>
      </c>
      <c r="J161" s="35" t="str">
        <f>IF(Сценарии_расчёт!$D133=1,Сценарии_расчёт!$AT133,"")</f>
        <v/>
      </c>
      <c r="K161" s="35" t="str">
        <f>IF(Сценарии_расчёт!$D133=1,Сценарии_расчёт!$AU133,"")</f>
        <v/>
      </c>
      <c r="M161" s="50" t="str">
        <f>IF(Сценарии_расчёт!$D133=1,Сценарии_расчёт!$B133,"")</f>
        <v/>
      </c>
      <c r="N161" s="35" t="str">
        <f>IF(Сценарии_расчёт!$D133=1,Сценарии_расчёт!$BE133,"")</f>
        <v/>
      </c>
      <c r="O161" s="35" t="str">
        <f>IF(Сценарии_расчёт!$D133=1,Сценарии_расчёт!$BF133,"")</f>
        <v/>
      </c>
      <c r="P161" s="35" t="str">
        <f>IF(Сценарии_расчёт!$D133=1,Сценарии_расчёт!$BQ133,"")</f>
        <v/>
      </c>
      <c r="Q161" s="35" t="str">
        <f>IF(Сценарии_расчёт!$D133=1,Сценарии_расчёт!$BR133,"")</f>
        <v/>
      </c>
    </row>
    <row r="162" spans="1:17" x14ac:dyDescent="0.2">
      <c r="A162" s="50" t="str">
        <f>IF(Сценарии_расчёт!$D134=1,Сценарии_расчёт!$B134,"")</f>
        <v/>
      </c>
      <c r="B162" s="35" t="str">
        <f>IF(Сценарии_расчёт!$D134=1,Сценарии_расчёт!$K134,"")</f>
        <v/>
      </c>
      <c r="C162" s="35" t="str">
        <f>IF(Сценарии_расчёт!$D134=1,Сценарии_расчёт!$L134,"")</f>
        <v/>
      </c>
      <c r="D162" s="35" t="str">
        <f>IF(Сценарии_расчёт!$D134=1,Сценарии_расчёт!$W134,"")</f>
        <v/>
      </c>
      <c r="E162" s="35" t="str">
        <f>IF(Сценарии_расчёт!$D134=1,Сценарии_расчёт!$X134,"")</f>
        <v/>
      </c>
      <c r="G162" s="50" t="str">
        <f>IF(Сценарии_расчёт!$D134=1,Сценарии_расчёт!$B134,"")</f>
        <v/>
      </c>
      <c r="H162" s="35" t="str">
        <f>IF(Сценарии_расчёт!$D134=1,Сценарии_расчёт!$AH134,"")</f>
        <v/>
      </c>
      <c r="I162" s="35" t="str">
        <f>IF(Сценарии_расчёт!$D134=1,Сценарии_расчёт!$AI134,"")</f>
        <v/>
      </c>
      <c r="J162" s="35" t="str">
        <f>IF(Сценарии_расчёт!$D134=1,Сценарии_расчёт!$AT134,"")</f>
        <v/>
      </c>
      <c r="K162" s="35" t="str">
        <f>IF(Сценарии_расчёт!$D134=1,Сценарии_расчёт!$AU134,"")</f>
        <v/>
      </c>
      <c r="M162" s="50" t="str">
        <f>IF(Сценарии_расчёт!$D134=1,Сценарии_расчёт!$B134,"")</f>
        <v/>
      </c>
      <c r="N162" s="35" t="str">
        <f>IF(Сценарии_расчёт!$D134=1,Сценарии_расчёт!$BE134,"")</f>
        <v/>
      </c>
      <c r="O162" s="35" t="str">
        <f>IF(Сценарии_расчёт!$D134=1,Сценарии_расчёт!$BF134,"")</f>
        <v/>
      </c>
      <c r="P162" s="35" t="str">
        <f>IF(Сценарии_расчёт!$D134=1,Сценарии_расчёт!$BQ134,"")</f>
        <v/>
      </c>
      <c r="Q162" s="35" t="str">
        <f>IF(Сценарии_расчёт!$D134=1,Сценарии_расчёт!$BR134,"")</f>
        <v/>
      </c>
    </row>
    <row r="163" spans="1:17" x14ac:dyDescent="0.2">
      <c r="A163" s="50" t="str">
        <f>IF(Сценарии_расчёт!$D135=1,Сценарии_расчёт!$B135,"")</f>
        <v/>
      </c>
      <c r="B163" s="35" t="str">
        <f>IF(Сценарии_расчёт!$D135=1,Сценарии_расчёт!$K135,"")</f>
        <v/>
      </c>
      <c r="C163" s="35" t="str">
        <f>IF(Сценарии_расчёт!$D135=1,Сценарии_расчёт!$L135,"")</f>
        <v/>
      </c>
      <c r="D163" s="35" t="str">
        <f>IF(Сценарии_расчёт!$D135=1,Сценарии_расчёт!$W135,"")</f>
        <v/>
      </c>
      <c r="E163" s="35" t="str">
        <f>IF(Сценарии_расчёт!$D135=1,Сценарии_расчёт!$X135,"")</f>
        <v/>
      </c>
      <c r="G163" s="50" t="str">
        <f>IF(Сценарии_расчёт!$D135=1,Сценарии_расчёт!$B135,"")</f>
        <v/>
      </c>
      <c r="H163" s="35" t="str">
        <f>IF(Сценарии_расчёт!$D135=1,Сценарии_расчёт!$AH135,"")</f>
        <v/>
      </c>
      <c r="I163" s="35" t="str">
        <f>IF(Сценарии_расчёт!$D135=1,Сценарии_расчёт!$AI135,"")</f>
        <v/>
      </c>
      <c r="J163" s="35" t="str">
        <f>IF(Сценарии_расчёт!$D135=1,Сценарии_расчёт!$AT135,"")</f>
        <v/>
      </c>
      <c r="K163" s="35" t="str">
        <f>IF(Сценарии_расчёт!$D135=1,Сценарии_расчёт!$AU135,"")</f>
        <v/>
      </c>
      <c r="M163" s="50" t="str">
        <f>IF(Сценарии_расчёт!$D135=1,Сценарии_расчёт!$B135,"")</f>
        <v/>
      </c>
      <c r="N163" s="35" t="str">
        <f>IF(Сценарии_расчёт!$D135=1,Сценарии_расчёт!$BE135,"")</f>
        <v/>
      </c>
      <c r="O163" s="35" t="str">
        <f>IF(Сценарии_расчёт!$D135=1,Сценарии_расчёт!$BF135,"")</f>
        <v/>
      </c>
      <c r="P163" s="35" t="str">
        <f>IF(Сценарии_расчёт!$D135=1,Сценарии_расчёт!$BQ135,"")</f>
        <v/>
      </c>
      <c r="Q163" s="35" t="str">
        <f>IF(Сценарии_расчёт!$D135=1,Сценарии_расчёт!$BR135,"")</f>
        <v/>
      </c>
    </row>
    <row r="164" spans="1:17" x14ac:dyDescent="0.2">
      <c r="A164" s="50" t="str">
        <f>IF(Сценарии_расчёт!$D136=1,Сценарии_расчёт!$B136,"")</f>
        <v/>
      </c>
      <c r="B164" s="35" t="str">
        <f>IF(Сценарии_расчёт!$D136=1,Сценарии_расчёт!$K136,"")</f>
        <v/>
      </c>
      <c r="C164" s="35" t="str">
        <f>IF(Сценарии_расчёт!$D136=1,Сценарии_расчёт!$L136,"")</f>
        <v/>
      </c>
      <c r="D164" s="35" t="str">
        <f>IF(Сценарии_расчёт!$D136=1,Сценарии_расчёт!$W136,"")</f>
        <v/>
      </c>
      <c r="E164" s="35" t="str">
        <f>IF(Сценарии_расчёт!$D136=1,Сценарии_расчёт!$X136,"")</f>
        <v/>
      </c>
      <c r="G164" s="50" t="str">
        <f>IF(Сценарии_расчёт!$D136=1,Сценарии_расчёт!$B136,"")</f>
        <v/>
      </c>
      <c r="H164" s="35" t="str">
        <f>IF(Сценарии_расчёт!$D136=1,Сценарии_расчёт!$AH136,"")</f>
        <v/>
      </c>
      <c r="I164" s="35" t="str">
        <f>IF(Сценарии_расчёт!$D136=1,Сценарии_расчёт!$AI136,"")</f>
        <v/>
      </c>
      <c r="J164" s="35" t="str">
        <f>IF(Сценарии_расчёт!$D136=1,Сценарии_расчёт!$AT136,"")</f>
        <v/>
      </c>
      <c r="K164" s="35" t="str">
        <f>IF(Сценарии_расчёт!$D136=1,Сценарии_расчёт!$AU136,"")</f>
        <v/>
      </c>
      <c r="M164" s="50" t="str">
        <f>IF(Сценарии_расчёт!$D136=1,Сценарии_расчёт!$B136,"")</f>
        <v/>
      </c>
      <c r="N164" s="35" t="str">
        <f>IF(Сценарии_расчёт!$D136=1,Сценарии_расчёт!$BE136,"")</f>
        <v/>
      </c>
      <c r="O164" s="35" t="str">
        <f>IF(Сценарии_расчёт!$D136=1,Сценарии_расчёт!$BF136,"")</f>
        <v/>
      </c>
      <c r="P164" s="35" t="str">
        <f>IF(Сценарии_расчёт!$D136=1,Сценарии_расчёт!$BQ136,"")</f>
        <v/>
      </c>
      <c r="Q164" s="35" t="str">
        <f>IF(Сценарии_расчёт!$D136=1,Сценарии_расчёт!$BR136,"")</f>
        <v/>
      </c>
    </row>
    <row r="165" spans="1:17" x14ac:dyDescent="0.2">
      <c r="A165" s="50" t="str">
        <f>IF(Сценарии_расчёт!$D137=1,Сценарии_расчёт!$B137,"")</f>
        <v/>
      </c>
      <c r="B165" s="35" t="str">
        <f>IF(Сценарии_расчёт!$D137=1,Сценарии_расчёт!$K137,"")</f>
        <v/>
      </c>
      <c r="C165" s="35" t="str">
        <f>IF(Сценарии_расчёт!$D137=1,Сценарии_расчёт!$L137,"")</f>
        <v/>
      </c>
      <c r="D165" s="35" t="str">
        <f>IF(Сценарии_расчёт!$D137=1,Сценарии_расчёт!$W137,"")</f>
        <v/>
      </c>
      <c r="E165" s="35" t="str">
        <f>IF(Сценарии_расчёт!$D137=1,Сценарии_расчёт!$X137,"")</f>
        <v/>
      </c>
      <c r="G165" s="50" t="str">
        <f>IF(Сценарии_расчёт!$D137=1,Сценарии_расчёт!$B137,"")</f>
        <v/>
      </c>
      <c r="H165" s="35" t="str">
        <f>IF(Сценарии_расчёт!$D137=1,Сценарии_расчёт!$AH137,"")</f>
        <v/>
      </c>
      <c r="I165" s="35" t="str">
        <f>IF(Сценарии_расчёт!$D137=1,Сценарии_расчёт!$AI137,"")</f>
        <v/>
      </c>
      <c r="J165" s="35" t="str">
        <f>IF(Сценарии_расчёт!$D137=1,Сценарии_расчёт!$AT137,"")</f>
        <v/>
      </c>
      <c r="K165" s="35" t="str">
        <f>IF(Сценарии_расчёт!$D137=1,Сценарии_расчёт!$AU137,"")</f>
        <v/>
      </c>
      <c r="M165" s="50" t="str">
        <f>IF(Сценарии_расчёт!$D137=1,Сценарии_расчёт!$B137,"")</f>
        <v/>
      </c>
      <c r="N165" s="35" t="str">
        <f>IF(Сценарии_расчёт!$D137=1,Сценарии_расчёт!$BE137,"")</f>
        <v/>
      </c>
      <c r="O165" s="35" t="str">
        <f>IF(Сценарии_расчёт!$D137=1,Сценарии_расчёт!$BF137,"")</f>
        <v/>
      </c>
      <c r="P165" s="35" t="str">
        <f>IF(Сценарии_расчёт!$D137=1,Сценарии_расчёт!$BQ137,"")</f>
        <v/>
      </c>
      <c r="Q165" s="35" t="str">
        <f>IF(Сценарии_расчёт!$D137=1,Сценарии_расчёт!$BR137,"")</f>
        <v/>
      </c>
    </row>
    <row r="166" spans="1:17" x14ac:dyDescent="0.2">
      <c r="A166" s="50" t="str">
        <f>IF(Сценарии_расчёт!$D138=1,Сценарии_расчёт!$B138,"")</f>
        <v/>
      </c>
      <c r="B166" s="35" t="str">
        <f>IF(Сценарии_расчёт!$D138=1,Сценарии_расчёт!$K138,"")</f>
        <v/>
      </c>
      <c r="C166" s="35" t="str">
        <f>IF(Сценарии_расчёт!$D138=1,Сценарии_расчёт!$L138,"")</f>
        <v/>
      </c>
      <c r="D166" s="35" t="str">
        <f>IF(Сценарии_расчёт!$D138=1,Сценарии_расчёт!$W138,"")</f>
        <v/>
      </c>
      <c r="E166" s="35" t="str">
        <f>IF(Сценарии_расчёт!$D138=1,Сценарии_расчёт!$X138,"")</f>
        <v/>
      </c>
      <c r="G166" s="50" t="str">
        <f>IF(Сценарии_расчёт!$D138=1,Сценарии_расчёт!$B138,"")</f>
        <v/>
      </c>
      <c r="H166" s="35" t="str">
        <f>IF(Сценарии_расчёт!$D138=1,Сценарии_расчёт!$AH138,"")</f>
        <v/>
      </c>
      <c r="I166" s="35" t="str">
        <f>IF(Сценарии_расчёт!$D138=1,Сценарии_расчёт!$AI138,"")</f>
        <v/>
      </c>
      <c r="J166" s="35" t="str">
        <f>IF(Сценарии_расчёт!$D138=1,Сценарии_расчёт!$AT138,"")</f>
        <v/>
      </c>
      <c r="K166" s="35" t="str">
        <f>IF(Сценарии_расчёт!$D138=1,Сценарии_расчёт!$AU138,"")</f>
        <v/>
      </c>
      <c r="M166" s="50" t="str">
        <f>IF(Сценарии_расчёт!$D138=1,Сценарии_расчёт!$B138,"")</f>
        <v/>
      </c>
      <c r="N166" s="35" t="str">
        <f>IF(Сценарии_расчёт!$D138=1,Сценарии_расчёт!$BE138,"")</f>
        <v/>
      </c>
      <c r="O166" s="35" t="str">
        <f>IF(Сценарии_расчёт!$D138=1,Сценарии_расчёт!$BF138,"")</f>
        <v/>
      </c>
      <c r="P166" s="35" t="str">
        <f>IF(Сценарии_расчёт!$D138=1,Сценарии_расчёт!$BQ138,"")</f>
        <v/>
      </c>
      <c r="Q166" s="35" t="str">
        <f>IF(Сценарии_расчёт!$D138=1,Сценарии_расчёт!$BR138,"")</f>
        <v/>
      </c>
    </row>
    <row r="167" spans="1:17" x14ac:dyDescent="0.2">
      <c r="A167" s="50" t="str">
        <f>IF(Сценарии_расчёт!$D139=1,Сценарии_расчёт!$B139,"")</f>
        <v/>
      </c>
      <c r="B167" s="35" t="str">
        <f>IF(Сценарии_расчёт!$D139=1,Сценарии_расчёт!$K139,"")</f>
        <v/>
      </c>
      <c r="C167" s="35" t="str">
        <f>IF(Сценарии_расчёт!$D139=1,Сценарии_расчёт!$L139,"")</f>
        <v/>
      </c>
      <c r="D167" s="35" t="str">
        <f>IF(Сценарии_расчёт!$D139=1,Сценарии_расчёт!$W139,"")</f>
        <v/>
      </c>
      <c r="E167" s="35" t="str">
        <f>IF(Сценарии_расчёт!$D139=1,Сценарии_расчёт!$X139,"")</f>
        <v/>
      </c>
      <c r="G167" s="50" t="str">
        <f>IF(Сценарии_расчёт!$D139=1,Сценарии_расчёт!$B139,"")</f>
        <v/>
      </c>
      <c r="H167" s="35" t="str">
        <f>IF(Сценарии_расчёт!$D139=1,Сценарии_расчёт!$AH139,"")</f>
        <v/>
      </c>
      <c r="I167" s="35" t="str">
        <f>IF(Сценарии_расчёт!$D139=1,Сценарии_расчёт!$AI139,"")</f>
        <v/>
      </c>
      <c r="J167" s="35" t="str">
        <f>IF(Сценарии_расчёт!$D139=1,Сценарии_расчёт!$AT139,"")</f>
        <v/>
      </c>
      <c r="K167" s="35" t="str">
        <f>IF(Сценарии_расчёт!$D139=1,Сценарии_расчёт!$AU139,"")</f>
        <v/>
      </c>
      <c r="M167" s="50" t="str">
        <f>IF(Сценарии_расчёт!$D139=1,Сценарии_расчёт!$B139,"")</f>
        <v/>
      </c>
      <c r="N167" s="35" t="str">
        <f>IF(Сценарии_расчёт!$D139=1,Сценарии_расчёт!$BE139,"")</f>
        <v/>
      </c>
      <c r="O167" s="35" t="str">
        <f>IF(Сценарии_расчёт!$D139=1,Сценарии_расчёт!$BF139,"")</f>
        <v/>
      </c>
      <c r="P167" s="35" t="str">
        <f>IF(Сценарии_расчёт!$D139=1,Сценарии_расчёт!$BQ139,"")</f>
        <v/>
      </c>
      <c r="Q167" s="35" t="str">
        <f>IF(Сценарии_расчёт!$D139=1,Сценарии_расчёт!$BR139,"")</f>
        <v/>
      </c>
    </row>
    <row r="168" spans="1:17" x14ac:dyDescent="0.2">
      <c r="A168" s="50" t="str">
        <f>IF(Сценарии_расчёт!$D140=1,Сценарии_расчёт!$B140,"")</f>
        <v/>
      </c>
      <c r="B168" s="35" t="str">
        <f>IF(Сценарии_расчёт!$D140=1,Сценарии_расчёт!$K140,"")</f>
        <v/>
      </c>
      <c r="C168" s="35" t="str">
        <f>IF(Сценарии_расчёт!$D140=1,Сценарии_расчёт!$L140,"")</f>
        <v/>
      </c>
      <c r="D168" s="35" t="str">
        <f>IF(Сценарии_расчёт!$D140=1,Сценарии_расчёт!$W140,"")</f>
        <v/>
      </c>
      <c r="E168" s="35" t="str">
        <f>IF(Сценарии_расчёт!$D140=1,Сценарии_расчёт!$X140,"")</f>
        <v/>
      </c>
      <c r="G168" s="50" t="str">
        <f>IF(Сценарии_расчёт!$D140=1,Сценарии_расчёт!$B140,"")</f>
        <v/>
      </c>
      <c r="H168" s="35" t="str">
        <f>IF(Сценарии_расчёт!$D140=1,Сценарии_расчёт!$AH140,"")</f>
        <v/>
      </c>
      <c r="I168" s="35" t="str">
        <f>IF(Сценарии_расчёт!$D140=1,Сценарии_расчёт!$AI140,"")</f>
        <v/>
      </c>
      <c r="J168" s="35" t="str">
        <f>IF(Сценарии_расчёт!$D140=1,Сценарии_расчёт!$AT140,"")</f>
        <v/>
      </c>
      <c r="K168" s="35" t="str">
        <f>IF(Сценарии_расчёт!$D140=1,Сценарии_расчёт!$AU140,"")</f>
        <v/>
      </c>
      <c r="M168" s="50" t="str">
        <f>IF(Сценарии_расчёт!$D140=1,Сценарии_расчёт!$B140,"")</f>
        <v/>
      </c>
      <c r="N168" s="35" t="str">
        <f>IF(Сценарии_расчёт!$D140=1,Сценарии_расчёт!$BE140,"")</f>
        <v/>
      </c>
      <c r="O168" s="35" t="str">
        <f>IF(Сценарии_расчёт!$D140=1,Сценарии_расчёт!$BF140,"")</f>
        <v/>
      </c>
      <c r="P168" s="35" t="str">
        <f>IF(Сценарии_расчёт!$D140=1,Сценарии_расчёт!$BQ140,"")</f>
        <v/>
      </c>
      <c r="Q168" s="35" t="str">
        <f>IF(Сценарии_расчёт!$D140=1,Сценарии_расчёт!$BR140,"")</f>
        <v/>
      </c>
    </row>
    <row r="169" spans="1:17" x14ac:dyDescent="0.2">
      <c r="A169" s="50" t="str">
        <f>IF(Сценарии_расчёт!$D141=1,Сценарии_расчёт!$B141,"")</f>
        <v/>
      </c>
      <c r="B169" s="35" t="str">
        <f>IF(Сценарии_расчёт!$D141=1,Сценарии_расчёт!$K141,"")</f>
        <v/>
      </c>
      <c r="C169" s="35" t="str">
        <f>IF(Сценарии_расчёт!$D141=1,Сценарии_расчёт!$L141,"")</f>
        <v/>
      </c>
      <c r="D169" s="35" t="str">
        <f>IF(Сценарии_расчёт!$D141=1,Сценарии_расчёт!$W141,"")</f>
        <v/>
      </c>
      <c r="E169" s="35" t="str">
        <f>IF(Сценарии_расчёт!$D141=1,Сценарии_расчёт!$X141,"")</f>
        <v/>
      </c>
      <c r="G169" s="50" t="str">
        <f>IF(Сценарии_расчёт!$D141=1,Сценарии_расчёт!$B141,"")</f>
        <v/>
      </c>
      <c r="H169" s="35" t="str">
        <f>IF(Сценарии_расчёт!$D141=1,Сценарии_расчёт!$AH141,"")</f>
        <v/>
      </c>
      <c r="I169" s="35" t="str">
        <f>IF(Сценарии_расчёт!$D141=1,Сценарии_расчёт!$AI141,"")</f>
        <v/>
      </c>
      <c r="J169" s="35" t="str">
        <f>IF(Сценарии_расчёт!$D141=1,Сценарии_расчёт!$AT141,"")</f>
        <v/>
      </c>
      <c r="K169" s="35" t="str">
        <f>IF(Сценарии_расчёт!$D141=1,Сценарии_расчёт!$AU141,"")</f>
        <v/>
      </c>
      <c r="M169" s="50" t="str">
        <f>IF(Сценарии_расчёт!$D141=1,Сценарии_расчёт!$B141,"")</f>
        <v/>
      </c>
      <c r="N169" s="35" t="str">
        <f>IF(Сценарии_расчёт!$D141=1,Сценарии_расчёт!$BE141,"")</f>
        <v/>
      </c>
      <c r="O169" s="35" t="str">
        <f>IF(Сценарии_расчёт!$D141=1,Сценарии_расчёт!$BF141,"")</f>
        <v/>
      </c>
      <c r="P169" s="35" t="str">
        <f>IF(Сценарии_расчёт!$D141=1,Сценарии_расчёт!$BQ141,"")</f>
        <v/>
      </c>
      <c r="Q169" s="35" t="str">
        <f>IF(Сценарии_расчёт!$D141=1,Сценарии_расчёт!$BR141,"")</f>
        <v/>
      </c>
    </row>
    <row r="170" spans="1:17" x14ac:dyDescent="0.2">
      <c r="A170" s="50" t="str">
        <f>IF(Сценарии_расчёт!$D142=1,Сценарии_расчёт!$B142,"")</f>
        <v/>
      </c>
      <c r="B170" s="35" t="str">
        <f>IF(Сценарии_расчёт!$D142=1,Сценарии_расчёт!$K142,"")</f>
        <v/>
      </c>
      <c r="C170" s="35" t="str">
        <f>IF(Сценарии_расчёт!$D142=1,Сценарии_расчёт!$L142,"")</f>
        <v/>
      </c>
      <c r="D170" s="35" t="str">
        <f>IF(Сценарии_расчёт!$D142=1,Сценарии_расчёт!$W142,"")</f>
        <v/>
      </c>
      <c r="E170" s="35" t="str">
        <f>IF(Сценарии_расчёт!$D142=1,Сценарии_расчёт!$X142,"")</f>
        <v/>
      </c>
      <c r="G170" s="50" t="str">
        <f>IF(Сценарии_расчёт!$D142=1,Сценарии_расчёт!$B142,"")</f>
        <v/>
      </c>
      <c r="H170" s="35" t="str">
        <f>IF(Сценарии_расчёт!$D142=1,Сценарии_расчёт!$AH142,"")</f>
        <v/>
      </c>
      <c r="I170" s="35" t="str">
        <f>IF(Сценарии_расчёт!$D142=1,Сценарии_расчёт!$AI142,"")</f>
        <v/>
      </c>
      <c r="J170" s="35" t="str">
        <f>IF(Сценарии_расчёт!$D142=1,Сценарии_расчёт!$AT142,"")</f>
        <v/>
      </c>
      <c r="K170" s="35" t="str">
        <f>IF(Сценарии_расчёт!$D142=1,Сценарии_расчёт!$AU142,"")</f>
        <v/>
      </c>
      <c r="M170" s="50" t="str">
        <f>IF(Сценарии_расчёт!$D142=1,Сценарии_расчёт!$B142,"")</f>
        <v/>
      </c>
      <c r="N170" s="35" t="str">
        <f>IF(Сценарии_расчёт!$D142=1,Сценарии_расчёт!$BE142,"")</f>
        <v/>
      </c>
      <c r="O170" s="35" t="str">
        <f>IF(Сценарии_расчёт!$D142=1,Сценарии_расчёт!$BF142,"")</f>
        <v/>
      </c>
      <c r="P170" s="35" t="str">
        <f>IF(Сценарии_расчёт!$D142=1,Сценарии_расчёт!$BQ142,"")</f>
        <v/>
      </c>
      <c r="Q170" s="35" t="str">
        <f>IF(Сценарии_расчёт!$D142=1,Сценарии_расчёт!$BR142,"")</f>
        <v/>
      </c>
    </row>
    <row r="171" spans="1:17" x14ac:dyDescent="0.2">
      <c r="A171" s="50" t="str">
        <f>IF(Сценарии_расчёт!$D143=1,Сценарии_расчёт!$B143,"")</f>
        <v/>
      </c>
      <c r="B171" s="35" t="str">
        <f>IF(Сценарии_расчёт!$D143=1,Сценарии_расчёт!$K143,"")</f>
        <v/>
      </c>
      <c r="C171" s="35" t="str">
        <f>IF(Сценарии_расчёт!$D143=1,Сценарии_расчёт!$L143,"")</f>
        <v/>
      </c>
      <c r="D171" s="35" t="str">
        <f>IF(Сценарии_расчёт!$D143=1,Сценарии_расчёт!$W143,"")</f>
        <v/>
      </c>
      <c r="E171" s="35" t="str">
        <f>IF(Сценарии_расчёт!$D143=1,Сценарии_расчёт!$X143,"")</f>
        <v/>
      </c>
      <c r="G171" s="50" t="str">
        <f>IF(Сценарии_расчёт!$D143=1,Сценарии_расчёт!$B143,"")</f>
        <v/>
      </c>
      <c r="H171" s="35" t="str">
        <f>IF(Сценарии_расчёт!$D143=1,Сценарии_расчёт!$AH143,"")</f>
        <v/>
      </c>
      <c r="I171" s="35" t="str">
        <f>IF(Сценарии_расчёт!$D143=1,Сценарии_расчёт!$AI143,"")</f>
        <v/>
      </c>
      <c r="J171" s="35" t="str">
        <f>IF(Сценарии_расчёт!$D143=1,Сценарии_расчёт!$AT143,"")</f>
        <v/>
      </c>
      <c r="K171" s="35" t="str">
        <f>IF(Сценарии_расчёт!$D143=1,Сценарии_расчёт!$AU143,"")</f>
        <v/>
      </c>
      <c r="M171" s="50" t="str">
        <f>IF(Сценарии_расчёт!$D143=1,Сценарии_расчёт!$B143,"")</f>
        <v/>
      </c>
      <c r="N171" s="35" t="str">
        <f>IF(Сценарии_расчёт!$D143=1,Сценарии_расчёт!$BE143,"")</f>
        <v/>
      </c>
      <c r="O171" s="35" t="str">
        <f>IF(Сценарии_расчёт!$D143=1,Сценарии_расчёт!$BF143,"")</f>
        <v/>
      </c>
      <c r="P171" s="35" t="str">
        <f>IF(Сценарии_расчёт!$D143=1,Сценарии_расчёт!$BQ143,"")</f>
        <v/>
      </c>
      <c r="Q171" s="35" t="str">
        <f>IF(Сценарии_расчёт!$D143=1,Сценарии_расчёт!$BR143,"")</f>
        <v/>
      </c>
    </row>
    <row r="172" spans="1:17" x14ac:dyDescent="0.2">
      <c r="A172" s="50" t="str">
        <f>IF(Сценарии_расчёт!$D144=1,Сценарии_расчёт!$B144,"")</f>
        <v/>
      </c>
      <c r="B172" s="35" t="str">
        <f>IF(Сценарии_расчёт!$D144=1,Сценарии_расчёт!$K144,"")</f>
        <v/>
      </c>
      <c r="C172" s="35" t="str">
        <f>IF(Сценарии_расчёт!$D144=1,Сценарии_расчёт!$L144,"")</f>
        <v/>
      </c>
      <c r="D172" s="35" t="str">
        <f>IF(Сценарии_расчёт!$D144=1,Сценарии_расчёт!$W144,"")</f>
        <v/>
      </c>
      <c r="E172" s="35" t="str">
        <f>IF(Сценарии_расчёт!$D144=1,Сценарии_расчёт!$X144,"")</f>
        <v/>
      </c>
      <c r="G172" s="50" t="str">
        <f>IF(Сценарии_расчёт!$D144=1,Сценарии_расчёт!$B144,"")</f>
        <v/>
      </c>
      <c r="H172" s="35" t="str">
        <f>IF(Сценарии_расчёт!$D144=1,Сценарии_расчёт!$AH144,"")</f>
        <v/>
      </c>
      <c r="I172" s="35" t="str">
        <f>IF(Сценарии_расчёт!$D144=1,Сценарии_расчёт!$AI144,"")</f>
        <v/>
      </c>
      <c r="J172" s="35" t="str">
        <f>IF(Сценарии_расчёт!$D144=1,Сценарии_расчёт!$AT144,"")</f>
        <v/>
      </c>
      <c r="K172" s="35" t="str">
        <f>IF(Сценарии_расчёт!$D144=1,Сценарии_расчёт!$AU144,"")</f>
        <v/>
      </c>
      <c r="M172" s="50" t="str">
        <f>IF(Сценарии_расчёт!$D144=1,Сценарии_расчёт!$B144,"")</f>
        <v/>
      </c>
      <c r="N172" s="35" t="str">
        <f>IF(Сценарии_расчёт!$D144=1,Сценарии_расчёт!$BE144,"")</f>
        <v/>
      </c>
      <c r="O172" s="35" t="str">
        <f>IF(Сценарии_расчёт!$D144=1,Сценарии_расчёт!$BF144,"")</f>
        <v/>
      </c>
      <c r="P172" s="35" t="str">
        <f>IF(Сценарии_расчёт!$D144=1,Сценарии_расчёт!$BQ144,"")</f>
        <v/>
      </c>
      <c r="Q172" s="35" t="str">
        <f>IF(Сценарии_расчёт!$D144=1,Сценарии_расчёт!$BR144,"")</f>
        <v/>
      </c>
    </row>
    <row r="173" spans="1:17" x14ac:dyDescent="0.2">
      <c r="A173" s="50" t="str">
        <f>IF(Сценарии_расчёт!$D145=1,Сценарии_расчёт!$B145,"")</f>
        <v/>
      </c>
      <c r="B173" s="35" t="str">
        <f>IF(Сценарии_расчёт!$D145=1,Сценарии_расчёт!$K145,"")</f>
        <v/>
      </c>
      <c r="C173" s="35" t="str">
        <f>IF(Сценарии_расчёт!$D145=1,Сценарии_расчёт!$L145,"")</f>
        <v/>
      </c>
      <c r="D173" s="35" t="str">
        <f>IF(Сценарии_расчёт!$D145=1,Сценарии_расчёт!$W145,"")</f>
        <v/>
      </c>
      <c r="E173" s="35" t="str">
        <f>IF(Сценарии_расчёт!$D145=1,Сценарии_расчёт!$X145,"")</f>
        <v/>
      </c>
      <c r="G173" s="50" t="str">
        <f>IF(Сценарии_расчёт!$D145=1,Сценарии_расчёт!$B145,"")</f>
        <v/>
      </c>
      <c r="H173" s="35" t="str">
        <f>IF(Сценарии_расчёт!$D145=1,Сценарии_расчёт!$AH145,"")</f>
        <v/>
      </c>
      <c r="I173" s="35" t="str">
        <f>IF(Сценарии_расчёт!$D145=1,Сценарии_расчёт!$AI145,"")</f>
        <v/>
      </c>
      <c r="J173" s="35" t="str">
        <f>IF(Сценарии_расчёт!$D145=1,Сценарии_расчёт!$AT145,"")</f>
        <v/>
      </c>
      <c r="K173" s="35" t="str">
        <f>IF(Сценарии_расчёт!$D145=1,Сценарии_расчёт!$AU145,"")</f>
        <v/>
      </c>
      <c r="M173" s="50" t="str">
        <f>IF(Сценарии_расчёт!$D145=1,Сценарии_расчёт!$B145,"")</f>
        <v/>
      </c>
      <c r="N173" s="35" t="str">
        <f>IF(Сценарии_расчёт!$D145=1,Сценарии_расчёт!$BE145,"")</f>
        <v/>
      </c>
      <c r="O173" s="35" t="str">
        <f>IF(Сценарии_расчёт!$D145=1,Сценарии_расчёт!$BF145,"")</f>
        <v/>
      </c>
      <c r="P173" s="35" t="str">
        <f>IF(Сценарии_расчёт!$D145=1,Сценарии_расчёт!$BQ145,"")</f>
        <v/>
      </c>
      <c r="Q173" s="35" t="str">
        <f>IF(Сценарии_расчёт!$D145=1,Сценарии_расчёт!$BR145,"")</f>
        <v/>
      </c>
    </row>
    <row r="174" spans="1:17" x14ac:dyDescent="0.2">
      <c r="A174" s="50" t="str">
        <f>IF(Сценарии_расчёт!$D146=1,Сценарии_расчёт!$B146,"")</f>
        <v/>
      </c>
      <c r="B174" s="35" t="str">
        <f>IF(Сценарии_расчёт!$D146=1,Сценарии_расчёт!$K146,"")</f>
        <v/>
      </c>
      <c r="C174" s="35" t="str">
        <f>IF(Сценарии_расчёт!$D146=1,Сценарии_расчёт!$L146,"")</f>
        <v/>
      </c>
      <c r="D174" s="35" t="str">
        <f>IF(Сценарии_расчёт!$D146=1,Сценарии_расчёт!$W146,"")</f>
        <v/>
      </c>
      <c r="E174" s="35" t="str">
        <f>IF(Сценарии_расчёт!$D146=1,Сценарии_расчёт!$X146,"")</f>
        <v/>
      </c>
      <c r="G174" s="50" t="str">
        <f>IF(Сценарии_расчёт!$D146=1,Сценарии_расчёт!$B146,"")</f>
        <v/>
      </c>
      <c r="H174" s="35" t="str">
        <f>IF(Сценарии_расчёт!$D146=1,Сценарии_расчёт!$AH146,"")</f>
        <v/>
      </c>
      <c r="I174" s="35" t="str">
        <f>IF(Сценарии_расчёт!$D146=1,Сценарии_расчёт!$AI146,"")</f>
        <v/>
      </c>
      <c r="J174" s="35" t="str">
        <f>IF(Сценарии_расчёт!$D146=1,Сценарии_расчёт!$AT146,"")</f>
        <v/>
      </c>
      <c r="K174" s="35" t="str">
        <f>IF(Сценарии_расчёт!$D146=1,Сценарии_расчёт!$AU146,"")</f>
        <v/>
      </c>
      <c r="M174" s="50" t="str">
        <f>IF(Сценарии_расчёт!$D146=1,Сценарии_расчёт!$B146,"")</f>
        <v/>
      </c>
      <c r="N174" s="35" t="str">
        <f>IF(Сценарии_расчёт!$D146=1,Сценарии_расчёт!$BE146,"")</f>
        <v/>
      </c>
      <c r="O174" s="35" t="str">
        <f>IF(Сценарии_расчёт!$D146=1,Сценарии_расчёт!$BF146,"")</f>
        <v/>
      </c>
      <c r="P174" s="35" t="str">
        <f>IF(Сценарии_расчёт!$D146=1,Сценарии_расчёт!$BQ146,"")</f>
        <v/>
      </c>
      <c r="Q174" s="35" t="str">
        <f>IF(Сценарии_расчёт!$D146=1,Сценарии_расчёт!$BR146,"")</f>
        <v/>
      </c>
    </row>
    <row r="175" spans="1:17" x14ac:dyDescent="0.2">
      <c r="A175" s="50" t="str">
        <f>IF(Сценарии_расчёт!$D147=1,Сценарии_расчёт!$B147,"")</f>
        <v/>
      </c>
      <c r="B175" s="35" t="str">
        <f>IF(Сценарии_расчёт!$D147=1,Сценарии_расчёт!$K147,"")</f>
        <v/>
      </c>
      <c r="C175" s="35" t="str">
        <f>IF(Сценарии_расчёт!$D147=1,Сценарии_расчёт!$L147,"")</f>
        <v/>
      </c>
      <c r="D175" s="35" t="str">
        <f>IF(Сценарии_расчёт!$D147=1,Сценарии_расчёт!$W147,"")</f>
        <v/>
      </c>
      <c r="E175" s="35" t="str">
        <f>IF(Сценарии_расчёт!$D147=1,Сценарии_расчёт!$X147,"")</f>
        <v/>
      </c>
      <c r="G175" s="50" t="str">
        <f>IF(Сценарии_расчёт!$D147=1,Сценарии_расчёт!$B147,"")</f>
        <v/>
      </c>
      <c r="H175" s="35" t="str">
        <f>IF(Сценарии_расчёт!$D147=1,Сценарии_расчёт!$AH147,"")</f>
        <v/>
      </c>
      <c r="I175" s="35" t="str">
        <f>IF(Сценарии_расчёт!$D147=1,Сценарии_расчёт!$AI147,"")</f>
        <v/>
      </c>
      <c r="J175" s="35" t="str">
        <f>IF(Сценарии_расчёт!$D147=1,Сценарии_расчёт!$AT147,"")</f>
        <v/>
      </c>
      <c r="K175" s="35" t="str">
        <f>IF(Сценарии_расчёт!$D147=1,Сценарии_расчёт!$AU147,"")</f>
        <v/>
      </c>
      <c r="M175" s="50" t="str">
        <f>IF(Сценарии_расчёт!$D147=1,Сценарии_расчёт!$B147,"")</f>
        <v/>
      </c>
      <c r="N175" s="35" t="str">
        <f>IF(Сценарии_расчёт!$D147=1,Сценарии_расчёт!$BE147,"")</f>
        <v/>
      </c>
      <c r="O175" s="35" t="str">
        <f>IF(Сценарии_расчёт!$D147=1,Сценарии_расчёт!$BF147,"")</f>
        <v/>
      </c>
      <c r="P175" s="35" t="str">
        <f>IF(Сценарии_расчёт!$D147=1,Сценарии_расчёт!$BQ147,"")</f>
        <v/>
      </c>
      <c r="Q175" s="35" t="str">
        <f>IF(Сценарии_расчёт!$D147=1,Сценарии_расчёт!$BR147,"")</f>
        <v/>
      </c>
    </row>
    <row r="176" spans="1:17" x14ac:dyDescent="0.2">
      <c r="A176" s="50" t="str">
        <f>IF(Сценарии_расчёт!$D148=1,Сценарии_расчёт!$B148,"")</f>
        <v/>
      </c>
      <c r="B176" s="35" t="str">
        <f>IF(Сценарии_расчёт!$D148=1,Сценарии_расчёт!$K148,"")</f>
        <v/>
      </c>
      <c r="C176" s="35" t="str">
        <f>IF(Сценарии_расчёт!$D148=1,Сценарии_расчёт!$L148,"")</f>
        <v/>
      </c>
      <c r="D176" s="35" t="str">
        <f>IF(Сценарии_расчёт!$D148=1,Сценарии_расчёт!$W148,"")</f>
        <v/>
      </c>
      <c r="E176" s="35" t="str">
        <f>IF(Сценарии_расчёт!$D148=1,Сценарии_расчёт!$X148,"")</f>
        <v/>
      </c>
      <c r="G176" s="50" t="str">
        <f>IF(Сценарии_расчёт!$D148=1,Сценарии_расчёт!$B148,"")</f>
        <v/>
      </c>
      <c r="H176" s="35" t="str">
        <f>IF(Сценарии_расчёт!$D148=1,Сценарии_расчёт!$AH148,"")</f>
        <v/>
      </c>
      <c r="I176" s="35" t="str">
        <f>IF(Сценарии_расчёт!$D148=1,Сценарии_расчёт!$AI148,"")</f>
        <v/>
      </c>
      <c r="J176" s="35" t="str">
        <f>IF(Сценарии_расчёт!$D148=1,Сценарии_расчёт!$AT148,"")</f>
        <v/>
      </c>
      <c r="K176" s="35" t="str">
        <f>IF(Сценарии_расчёт!$D148=1,Сценарии_расчёт!$AU148,"")</f>
        <v/>
      </c>
      <c r="M176" s="50" t="str">
        <f>IF(Сценарии_расчёт!$D148=1,Сценарии_расчёт!$B148,"")</f>
        <v/>
      </c>
      <c r="N176" s="35" t="str">
        <f>IF(Сценарии_расчёт!$D148=1,Сценарии_расчёт!$BE148,"")</f>
        <v/>
      </c>
      <c r="O176" s="35" t="str">
        <f>IF(Сценарии_расчёт!$D148=1,Сценарии_расчёт!$BF148,"")</f>
        <v/>
      </c>
      <c r="P176" s="35" t="str">
        <f>IF(Сценарии_расчёт!$D148=1,Сценарии_расчёт!$BQ148,"")</f>
        <v/>
      </c>
      <c r="Q176" s="35" t="str">
        <f>IF(Сценарии_расчёт!$D148=1,Сценарии_расчёт!$BR148,"")</f>
        <v/>
      </c>
    </row>
    <row r="177" spans="1:17" x14ac:dyDescent="0.2">
      <c r="A177" s="50" t="str">
        <f>IF(Сценарии_расчёт!$D149=1,Сценарии_расчёт!$B149,"")</f>
        <v/>
      </c>
      <c r="B177" s="35" t="str">
        <f>IF(Сценарии_расчёт!$D149=1,Сценарии_расчёт!$K149,"")</f>
        <v/>
      </c>
      <c r="C177" s="35" t="str">
        <f>IF(Сценарии_расчёт!$D149=1,Сценарии_расчёт!$L149,"")</f>
        <v/>
      </c>
      <c r="D177" s="35" t="str">
        <f>IF(Сценарии_расчёт!$D149=1,Сценарии_расчёт!$W149,"")</f>
        <v/>
      </c>
      <c r="E177" s="35" t="str">
        <f>IF(Сценарии_расчёт!$D149=1,Сценарии_расчёт!$X149,"")</f>
        <v/>
      </c>
      <c r="G177" s="50" t="str">
        <f>IF(Сценарии_расчёт!$D149=1,Сценарии_расчёт!$B149,"")</f>
        <v/>
      </c>
      <c r="H177" s="35" t="str">
        <f>IF(Сценарии_расчёт!$D149=1,Сценарии_расчёт!$AH149,"")</f>
        <v/>
      </c>
      <c r="I177" s="35" t="str">
        <f>IF(Сценарии_расчёт!$D149=1,Сценарии_расчёт!$AI149,"")</f>
        <v/>
      </c>
      <c r="J177" s="35" t="str">
        <f>IF(Сценарии_расчёт!$D149=1,Сценарии_расчёт!$AT149,"")</f>
        <v/>
      </c>
      <c r="K177" s="35" t="str">
        <f>IF(Сценарии_расчёт!$D149=1,Сценарии_расчёт!$AU149,"")</f>
        <v/>
      </c>
      <c r="M177" s="50" t="str">
        <f>IF(Сценарии_расчёт!$D149=1,Сценарии_расчёт!$B149,"")</f>
        <v/>
      </c>
      <c r="N177" s="35" t="str">
        <f>IF(Сценарии_расчёт!$D149=1,Сценарии_расчёт!$BE149,"")</f>
        <v/>
      </c>
      <c r="O177" s="35" t="str">
        <f>IF(Сценарии_расчёт!$D149=1,Сценарии_расчёт!$BF149,"")</f>
        <v/>
      </c>
      <c r="P177" s="35" t="str">
        <f>IF(Сценарии_расчёт!$D149=1,Сценарии_расчёт!$BQ149,"")</f>
        <v/>
      </c>
      <c r="Q177" s="35" t="str">
        <f>IF(Сценарии_расчёт!$D149=1,Сценарии_расчёт!$BR149,"")</f>
        <v/>
      </c>
    </row>
    <row r="178" spans="1:17" x14ac:dyDescent="0.2">
      <c r="A178" s="50" t="str">
        <f>IF(Сценарии_расчёт!$D150=1,Сценарии_расчёт!$B150,"")</f>
        <v/>
      </c>
      <c r="B178" s="35" t="str">
        <f>IF(Сценарии_расчёт!$D150=1,Сценарии_расчёт!$K150,"")</f>
        <v/>
      </c>
      <c r="C178" s="35" t="str">
        <f>IF(Сценарии_расчёт!$D150=1,Сценарии_расчёт!$L150,"")</f>
        <v/>
      </c>
      <c r="D178" s="35" t="str">
        <f>IF(Сценарии_расчёт!$D150=1,Сценарии_расчёт!$W150,"")</f>
        <v/>
      </c>
      <c r="E178" s="35" t="str">
        <f>IF(Сценарии_расчёт!$D150=1,Сценарии_расчёт!$X150,"")</f>
        <v/>
      </c>
      <c r="G178" s="50" t="str">
        <f>IF(Сценарии_расчёт!$D150=1,Сценарии_расчёт!$B150,"")</f>
        <v/>
      </c>
      <c r="H178" s="35" t="str">
        <f>IF(Сценарии_расчёт!$D150=1,Сценарии_расчёт!$AH150,"")</f>
        <v/>
      </c>
      <c r="I178" s="35" t="str">
        <f>IF(Сценарии_расчёт!$D150=1,Сценарии_расчёт!$AI150,"")</f>
        <v/>
      </c>
      <c r="J178" s="35" t="str">
        <f>IF(Сценарии_расчёт!$D150=1,Сценарии_расчёт!$AT150,"")</f>
        <v/>
      </c>
      <c r="K178" s="35" t="str">
        <f>IF(Сценарии_расчёт!$D150=1,Сценарии_расчёт!$AU150,"")</f>
        <v/>
      </c>
      <c r="M178" s="50" t="str">
        <f>IF(Сценарии_расчёт!$D150=1,Сценарии_расчёт!$B150,"")</f>
        <v/>
      </c>
      <c r="N178" s="35" t="str">
        <f>IF(Сценарии_расчёт!$D150=1,Сценарии_расчёт!$BE150,"")</f>
        <v/>
      </c>
      <c r="O178" s="35" t="str">
        <f>IF(Сценарии_расчёт!$D150=1,Сценарии_расчёт!$BF150,"")</f>
        <v/>
      </c>
      <c r="P178" s="35" t="str">
        <f>IF(Сценарии_расчёт!$D150=1,Сценарии_расчёт!$BQ150,"")</f>
        <v/>
      </c>
      <c r="Q178" s="35" t="str">
        <f>IF(Сценарии_расчёт!$D150=1,Сценарии_расчёт!$BR150,"")</f>
        <v/>
      </c>
    </row>
    <row r="179" spans="1:17" x14ac:dyDescent="0.2">
      <c r="A179" s="50" t="str">
        <f>IF(Сценарии_расчёт!$D151=1,Сценарии_расчёт!$B151,"")</f>
        <v/>
      </c>
      <c r="B179" s="35" t="str">
        <f>IF(Сценарии_расчёт!$D151=1,Сценарии_расчёт!$K151,"")</f>
        <v/>
      </c>
      <c r="C179" s="35" t="str">
        <f>IF(Сценарии_расчёт!$D151=1,Сценарии_расчёт!$L151,"")</f>
        <v/>
      </c>
      <c r="D179" s="35" t="str">
        <f>IF(Сценарии_расчёт!$D151=1,Сценарии_расчёт!$W151,"")</f>
        <v/>
      </c>
      <c r="E179" s="35" t="str">
        <f>IF(Сценарии_расчёт!$D151=1,Сценарии_расчёт!$X151,"")</f>
        <v/>
      </c>
      <c r="G179" s="50" t="str">
        <f>IF(Сценарии_расчёт!$D151=1,Сценарии_расчёт!$B151,"")</f>
        <v/>
      </c>
      <c r="H179" s="35" t="str">
        <f>IF(Сценарии_расчёт!$D151=1,Сценарии_расчёт!$AH151,"")</f>
        <v/>
      </c>
      <c r="I179" s="35" t="str">
        <f>IF(Сценарии_расчёт!$D151=1,Сценарии_расчёт!$AI151,"")</f>
        <v/>
      </c>
      <c r="J179" s="35" t="str">
        <f>IF(Сценарии_расчёт!$D151=1,Сценарии_расчёт!$AT151,"")</f>
        <v/>
      </c>
      <c r="K179" s="35" t="str">
        <f>IF(Сценарии_расчёт!$D151=1,Сценарии_расчёт!$AU151,"")</f>
        <v/>
      </c>
      <c r="M179" s="50" t="str">
        <f>IF(Сценарии_расчёт!$D151=1,Сценарии_расчёт!$B151,"")</f>
        <v/>
      </c>
      <c r="N179" s="35" t="str">
        <f>IF(Сценарии_расчёт!$D151=1,Сценарии_расчёт!$BE151,"")</f>
        <v/>
      </c>
      <c r="O179" s="35" t="str">
        <f>IF(Сценарии_расчёт!$D151=1,Сценарии_расчёт!$BF151,"")</f>
        <v/>
      </c>
      <c r="P179" s="35" t="str">
        <f>IF(Сценарии_расчёт!$D151=1,Сценарии_расчёт!$BQ151,"")</f>
        <v/>
      </c>
      <c r="Q179" s="35" t="str">
        <f>IF(Сценарии_расчёт!$D151=1,Сценарии_расчёт!$BR151,"")</f>
        <v/>
      </c>
    </row>
    <row r="180" spans="1:17" x14ac:dyDescent="0.2">
      <c r="A180" s="50" t="str">
        <f>IF(Сценарии_расчёт!$D152=1,Сценарии_расчёт!$B152,"")</f>
        <v/>
      </c>
      <c r="B180" s="35" t="str">
        <f>IF(Сценарии_расчёт!$D152=1,Сценарии_расчёт!$K152,"")</f>
        <v/>
      </c>
      <c r="C180" s="35" t="str">
        <f>IF(Сценарии_расчёт!$D152=1,Сценарии_расчёт!$L152,"")</f>
        <v/>
      </c>
      <c r="D180" s="35" t="str">
        <f>IF(Сценарии_расчёт!$D152=1,Сценарии_расчёт!$W152,"")</f>
        <v/>
      </c>
      <c r="E180" s="35" t="str">
        <f>IF(Сценарии_расчёт!$D152=1,Сценарии_расчёт!$X152,"")</f>
        <v/>
      </c>
      <c r="G180" s="50" t="str">
        <f>IF(Сценарии_расчёт!$D152=1,Сценарии_расчёт!$B152,"")</f>
        <v/>
      </c>
      <c r="H180" s="35" t="str">
        <f>IF(Сценарии_расчёт!$D152=1,Сценарии_расчёт!$AH152,"")</f>
        <v/>
      </c>
      <c r="I180" s="35" t="str">
        <f>IF(Сценарии_расчёт!$D152=1,Сценарии_расчёт!$AI152,"")</f>
        <v/>
      </c>
      <c r="J180" s="35" t="str">
        <f>IF(Сценарии_расчёт!$D152=1,Сценарии_расчёт!$AT152,"")</f>
        <v/>
      </c>
      <c r="K180" s="35" t="str">
        <f>IF(Сценарии_расчёт!$D152=1,Сценарии_расчёт!$AU152,"")</f>
        <v/>
      </c>
      <c r="M180" s="50" t="str">
        <f>IF(Сценарии_расчёт!$D152=1,Сценарии_расчёт!$B152,"")</f>
        <v/>
      </c>
      <c r="N180" s="35" t="str">
        <f>IF(Сценарии_расчёт!$D152=1,Сценарии_расчёт!$BE152,"")</f>
        <v/>
      </c>
      <c r="O180" s="35" t="str">
        <f>IF(Сценарии_расчёт!$D152=1,Сценарии_расчёт!$BF152,"")</f>
        <v/>
      </c>
      <c r="P180" s="35" t="str">
        <f>IF(Сценарии_расчёт!$D152=1,Сценарии_расчёт!$BQ152,"")</f>
        <v/>
      </c>
      <c r="Q180" s="35" t="str">
        <f>IF(Сценарии_расчёт!$D152=1,Сценарии_расчёт!$BR152,"")</f>
        <v/>
      </c>
    </row>
    <row r="181" spans="1:17" x14ac:dyDescent="0.2">
      <c r="A181" s="50" t="str">
        <f>IF(Сценарии_расчёт!$D153=1,Сценарии_расчёт!$B153,"")</f>
        <v/>
      </c>
      <c r="B181" s="35" t="str">
        <f>IF(Сценарии_расчёт!$D153=1,Сценарии_расчёт!$K153,"")</f>
        <v/>
      </c>
      <c r="C181" s="35" t="str">
        <f>IF(Сценарии_расчёт!$D153=1,Сценарии_расчёт!$L153,"")</f>
        <v/>
      </c>
      <c r="D181" s="35" t="str">
        <f>IF(Сценарии_расчёт!$D153=1,Сценарии_расчёт!$W153,"")</f>
        <v/>
      </c>
      <c r="E181" s="35" t="str">
        <f>IF(Сценарии_расчёт!$D153=1,Сценарии_расчёт!$X153,"")</f>
        <v/>
      </c>
      <c r="G181" s="50" t="str">
        <f>IF(Сценарии_расчёт!$D153=1,Сценарии_расчёт!$B153,"")</f>
        <v/>
      </c>
      <c r="H181" s="35" t="str">
        <f>IF(Сценарии_расчёт!$D153=1,Сценарии_расчёт!$AH153,"")</f>
        <v/>
      </c>
      <c r="I181" s="35" t="str">
        <f>IF(Сценарии_расчёт!$D153=1,Сценарии_расчёт!$AI153,"")</f>
        <v/>
      </c>
      <c r="J181" s="35" t="str">
        <f>IF(Сценарии_расчёт!$D153=1,Сценарии_расчёт!$AT153,"")</f>
        <v/>
      </c>
      <c r="K181" s="35" t="str">
        <f>IF(Сценарии_расчёт!$D153=1,Сценарии_расчёт!$AU153,"")</f>
        <v/>
      </c>
      <c r="M181" s="50" t="str">
        <f>IF(Сценарии_расчёт!$D153=1,Сценарии_расчёт!$B153,"")</f>
        <v/>
      </c>
      <c r="N181" s="35" t="str">
        <f>IF(Сценарии_расчёт!$D153=1,Сценарии_расчёт!$BE153,"")</f>
        <v/>
      </c>
      <c r="O181" s="35" t="str">
        <f>IF(Сценарии_расчёт!$D153=1,Сценарии_расчёт!$BF153,"")</f>
        <v/>
      </c>
      <c r="P181" s="35" t="str">
        <f>IF(Сценарии_расчёт!$D153=1,Сценарии_расчёт!$BQ153,"")</f>
        <v/>
      </c>
      <c r="Q181" s="35" t="str">
        <f>IF(Сценарии_расчёт!$D153=1,Сценарии_расчёт!$BR153,"")</f>
        <v/>
      </c>
    </row>
    <row r="182" spans="1:17" x14ac:dyDescent="0.2">
      <c r="A182" s="50" t="str">
        <f>IF(Сценарии_расчёт!$D154=1,Сценарии_расчёт!$B154,"")</f>
        <v/>
      </c>
      <c r="B182" s="35" t="str">
        <f>IF(Сценарии_расчёт!$D154=1,Сценарии_расчёт!$K154,"")</f>
        <v/>
      </c>
      <c r="C182" s="35" t="str">
        <f>IF(Сценарии_расчёт!$D154=1,Сценарии_расчёт!$L154,"")</f>
        <v/>
      </c>
      <c r="D182" s="35" t="str">
        <f>IF(Сценарии_расчёт!$D154=1,Сценарии_расчёт!$W154,"")</f>
        <v/>
      </c>
      <c r="E182" s="35" t="str">
        <f>IF(Сценарии_расчёт!$D154=1,Сценарии_расчёт!$X154,"")</f>
        <v/>
      </c>
      <c r="G182" s="50" t="str">
        <f>IF(Сценарии_расчёт!$D154=1,Сценарии_расчёт!$B154,"")</f>
        <v/>
      </c>
      <c r="H182" s="35" t="str">
        <f>IF(Сценарии_расчёт!$D154=1,Сценарии_расчёт!$AH154,"")</f>
        <v/>
      </c>
      <c r="I182" s="35" t="str">
        <f>IF(Сценарии_расчёт!$D154=1,Сценарии_расчёт!$AI154,"")</f>
        <v/>
      </c>
      <c r="J182" s="35" t="str">
        <f>IF(Сценарии_расчёт!$D154=1,Сценарии_расчёт!$AT154,"")</f>
        <v/>
      </c>
      <c r="K182" s="35" t="str">
        <f>IF(Сценарии_расчёт!$D154=1,Сценарии_расчёт!$AU154,"")</f>
        <v/>
      </c>
      <c r="M182" s="50" t="str">
        <f>IF(Сценарии_расчёт!$D154=1,Сценарии_расчёт!$B154,"")</f>
        <v/>
      </c>
      <c r="N182" s="35" t="str">
        <f>IF(Сценарии_расчёт!$D154=1,Сценарии_расчёт!$BE154,"")</f>
        <v/>
      </c>
      <c r="O182" s="35" t="str">
        <f>IF(Сценарии_расчёт!$D154=1,Сценарии_расчёт!$BF154,"")</f>
        <v/>
      </c>
      <c r="P182" s="35" t="str">
        <f>IF(Сценарии_расчёт!$D154=1,Сценарии_расчёт!$BQ154,"")</f>
        <v/>
      </c>
      <c r="Q182" s="35" t="str">
        <f>IF(Сценарии_расчёт!$D154=1,Сценарии_расчёт!$BR154,"")</f>
        <v/>
      </c>
    </row>
    <row r="183" spans="1:17" x14ac:dyDescent="0.2">
      <c r="A183" s="50" t="str">
        <f>IF(Сценарии_расчёт!$D155=1,Сценарии_расчёт!$B155,"")</f>
        <v/>
      </c>
      <c r="B183" s="35" t="str">
        <f>IF(Сценарии_расчёт!$D155=1,Сценарии_расчёт!$K155,"")</f>
        <v/>
      </c>
      <c r="C183" s="35" t="str">
        <f>IF(Сценарии_расчёт!$D155=1,Сценарии_расчёт!$L155,"")</f>
        <v/>
      </c>
      <c r="D183" s="35" t="str">
        <f>IF(Сценарии_расчёт!$D155=1,Сценарии_расчёт!$W155,"")</f>
        <v/>
      </c>
      <c r="E183" s="35" t="str">
        <f>IF(Сценарии_расчёт!$D155=1,Сценарии_расчёт!$X155,"")</f>
        <v/>
      </c>
      <c r="G183" s="50" t="str">
        <f>IF(Сценарии_расчёт!$D155=1,Сценарии_расчёт!$B155,"")</f>
        <v/>
      </c>
      <c r="H183" s="35" t="str">
        <f>IF(Сценарии_расчёт!$D155=1,Сценарии_расчёт!$AH155,"")</f>
        <v/>
      </c>
      <c r="I183" s="35" t="str">
        <f>IF(Сценарии_расчёт!$D155=1,Сценарии_расчёт!$AI155,"")</f>
        <v/>
      </c>
      <c r="J183" s="35" t="str">
        <f>IF(Сценарии_расчёт!$D155=1,Сценарии_расчёт!$AT155,"")</f>
        <v/>
      </c>
      <c r="K183" s="35" t="str">
        <f>IF(Сценарии_расчёт!$D155=1,Сценарии_расчёт!$AU155,"")</f>
        <v/>
      </c>
      <c r="M183" s="50" t="str">
        <f>IF(Сценарии_расчёт!$D155=1,Сценарии_расчёт!$B155,"")</f>
        <v/>
      </c>
      <c r="N183" s="35" t="str">
        <f>IF(Сценарии_расчёт!$D155=1,Сценарии_расчёт!$BE155,"")</f>
        <v/>
      </c>
      <c r="O183" s="35" t="str">
        <f>IF(Сценарии_расчёт!$D155=1,Сценарии_расчёт!$BF155,"")</f>
        <v/>
      </c>
      <c r="P183" s="35" t="str">
        <f>IF(Сценарии_расчёт!$D155=1,Сценарии_расчёт!$BQ155,"")</f>
        <v/>
      </c>
      <c r="Q183" s="35" t="str">
        <f>IF(Сценарии_расчёт!$D155=1,Сценарии_расчёт!$BR155,"")</f>
        <v/>
      </c>
    </row>
    <row r="184" spans="1:17" x14ac:dyDescent="0.2">
      <c r="A184" s="50" t="str">
        <f>IF(Сценарии_расчёт!$D156=1,Сценарии_расчёт!$B156,"")</f>
        <v/>
      </c>
      <c r="B184" s="35" t="str">
        <f>IF(Сценарии_расчёт!$D156=1,Сценарии_расчёт!$K156,"")</f>
        <v/>
      </c>
      <c r="C184" s="35" t="str">
        <f>IF(Сценарии_расчёт!$D156=1,Сценарии_расчёт!$L156,"")</f>
        <v/>
      </c>
      <c r="D184" s="35" t="str">
        <f>IF(Сценарии_расчёт!$D156=1,Сценарии_расчёт!$W156,"")</f>
        <v/>
      </c>
      <c r="E184" s="35" t="str">
        <f>IF(Сценарии_расчёт!$D156=1,Сценарии_расчёт!$X156,"")</f>
        <v/>
      </c>
      <c r="G184" s="50" t="str">
        <f>IF(Сценарии_расчёт!$D156=1,Сценарии_расчёт!$B156,"")</f>
        <v/>
      </c>
      <c r="H184" s="35" t="str">
        <f>IF(Сценарии_расчёт!$D156=1,Сценарии_расчёт!$AH156,"")</f>
        <v/>
      </c>
      <c r="I184" s="35" t="str">
        <f>IF(Сценарии_расчёт!$D156=1,Сценарии_расчёт!$AI156,"")</f>
        <v/>
      </c>
      <c r="J184" s="35" t="str">
        <f>IF(Сценарии_расчёт!$D156=1,Сценарии_расчёт!$AT156,"")</f>
        <v/>
      </c>
      <c r="K184" s="35" t="str">
        <f>IF(Сценарии_расчёт!$D156=1,Сценарии_расчёт!$AU156,"")</f>
        <v/>
      </c>
      <c r="M184" s="50" t="str">
        <f>IF(Сценарии_расчёт!$D156=1,Сценарии_расчёт!$B156,"")</f>
        <v/>
      </c>
      <c r="N184" s="35" t="str">
        <f>IF(Сценарии_расчёт!$D156=1,Сценарии_расчёт!$BE156,"")</f>
        <v/>
      </c>
      <c r="O184" s="35" t="str">
        <f>IF(Сценарии_расчёт!$D156=1,Сценарии_расчёт!$BF156,"")</f>
        <v/>
      </c>
      <c r="P184" s="35" t="str">
        <f>IF(Сценарии_расчёт!$D156=1,Сценарии_расчёт!$BQ156,"")</f>
        <v/>
      </c>
      <c r="Q184" s="35" t="str">
        <f>IF(Сценарии_расчёт!$D156=1,Сценарии_расчёт!$BR156,"")</f>
        <v/>
      </c>
    </row>
    <row r="185" spans="1:17" x14ac:dyDescent="0.2">
      <c r="A185" s="50" t="str">
        <f>IF(Сценарии_расчёт!$D157=1,Сценарии_расчёт!$B157,"")</f>
        <v/>
      </c>
      <c r="B185" s="35" t="str">
        <f>IF(Сценарии_расчёт!$D157=1,Сценарии_расчёт!$K157,"")</f>
        <v/>
      </c>
      <c r="C185" s="35" t="str">
        <f>IF(Сценарии_расчёт!$D157=1,Сценарии_расчёт!$L157,"")</f>
        <v/>
      </c>
      <c r="D185" s="35" t="str">
        <f>IF(Сценарии_расчёт!$D157=1,Сценарии_расчёт!$W157,"")</f>
        <v/>
      </c>
      <c r="E185" s="35" t="str">
        <f>IF(Сценарии_расчёт!$D157=1,Сценарии_расчёт!$X157,"")</f>
        <v/>
      </c>
      <c r="G185" s="50" t="str">
        <f>IF(Сценарии_расчёт!$D157=1,Сценарии_расчёт!$B157,"")</f>
        <v/>
      </c>
      <c r="H185" s="35" t="str">
        <f>IF(Сценарии_расчёт!$D157=1,Сценарии_расчёт!$AH157,"")</f>
        <v/>
      </c>
      <c r="I185" s="35" t="str">
        <f>IF(Сценарии_расчёт!$D157=1,Сценарии_расчёт!$AI157,"")</f>
        <v/>
      </c>
      <c r="J185" s="35" t="str">
        <f>IF(Сценарии_расчёт!$D157=1,Сценарии_расчёт!$AT157,"")</f>
        <v/>
      </c>
      <c r="K185" s="35" t="str">
        <f>IF(Сценарии_расчёт!$D157=1,Сценарии_расчёт!$AU157,"")</f>
        <v/>
      </c>
      <c r="M185" s="50" t="str">
        <f>IF(Сценарии_расчёт!$D157=1,Сценарии_расчёт!$B157,"")</f>
        <v/>
      </c>
      <c r="N185" s="35" t="str">
        <f>IF(Сценарии_расчёт!$D157=1,Сценарии_расчёт!$BE157,"")</f>
        <v/>
      </c>
      <c r="O185" s="35" t="str">
        <f>IF(Сценарии_расчёт!$D157=1,Сценарии_расчёт!$BF157,"")</f>
        <v/>
      </c>
      <c r="P185" s="35" t="str">
        <f>IF(Сценарии_расчёт!$D157=1,Сценарии_расчёт!$BQ157,"")</f>
        <v/>
      </c>
      <c r="Q185" s="35" t="str">
        <f>IF(Сценарии_расчёт!$D157=1,Сценарии_расчёт!$BR157,"")</f>
        <v/>
      </c>
    </row>
    <row r="186" spans="1:17" x14ac:dyDescent="0.2">
      <c r="A186" s="50" t="str">
        <f>IF(Сценарии_расчёт!$D158=1,Сценарии_расчёт!$B158,"")</f>
        <v/>
      </c>
      <c r="B186" s="35" t="str">
        <f>IF(Сценарии_расчёт!$D158=1,Сценарии_расчёт!$K158,"")</f>
        <v/>
      </c>
      <c r="C186" s="35" t="str">
        <f>IF(Сценарии_расчёт!$D158=1,Сценарии_расчёт!$L158,"")</f>
        <v/>
      </c>
      <c r="D186" s="35" t="str">
        <f>IF(Сценарии_расчёт!$D158=1,Сценарии_расчёт!$W158,"")</f>
        <v/>
      </c>
      <c r="E186" s="35" t="str">
        <f>IF(Сценарии_расчёт!$D158=1,Сценарии_расчёт!$X158,"")</f>
        <v/>
      </c>
      <c r="G186" s="50" t="str">
        <f>IF(Сценарии_расчёт!$D158=1,Сценарии_расчёт!$B158,"")</f>
        <v/>
      </c>
      <c r="H186" s="35" t="str">
        <f>IF(Сценарии_расчёт!$D158=1,Сценарии_расчёт!$AH158,"")</f>
        <v/>
      </c>
      <c r="I186" s="35" t="str">
        <f>IF(Сценарии_расчёт!$D158=1,Сценарии_расчёт!$AI158,"")</f>
        <v/>
      </c>
      <c r="J186" s="35" t="str">
        <f>IF(Сценарии_расчёт!$D158=1,Сценарии_расчёт!$AT158,"")</f>
        <v/>
      </c>
      <c r="K186" s="35" t="str">
        <f>IF(Сценарии_расчёт!$D158=1,Сценарии_расчёт!$AU158,"")</f>
        <v/>
      </c>
      <c r="M186" s="50" t="str">
        <f>IF(Сценарии_расчёт!$D158=1,Сценарии_расчёт!$B158,"")</f>
        <v/>
      </c>
      <c r="N186" s="35" t="str">
        <f>IF(Сценарии_расчёт!$D158=1,Сценарии_расчёт!$BE158,"")</f>
        <v/>
      </c>
      <c r="O186" s="35" t="str">
        <f>IF(Сценарии_расчёт!$D158=1,Сценарии_расчёт!$BF158,"")</f>
        <v/>
      </c>
      <c r="P186" s="35" t="str">
        <f>IF(Сценарии_расчёт!$D158=1,Сценарии_расчёт!$BQ158,"")</f>
        <v/>
      </c>
      <c r="Q186" s="35" t="str">
        <f>IF(Сценарии_расчёт!$D158=1,Сценарии_расчёт!$BR158,"")</f>
        <v/>
      </c>
    </row>
    <row r="187" spans="1:17" x14ac:dyDescent="0.2">
      <c r="A187" s="50" t="str">
        <f>IF(Сценарии_расчёт!$D159=1,Сценарии_расчёт!$B159,"")</f>
        <v/>
      </c>
      <c r="B187" s="35" t="str">
        <f>IF(Сценарии_расчёт!$D159=1,Сценарии_расчёт!$K159,"")</f>
        <v/>
      </c>
      <c r="C187" s="35" t="str">
        <f>IF(Сценарии_расчёт!$D159=1,Сценарии_расчёт!$L159,"")</f>
        <v/>
      </c>
      <c r="D187" s="35" t="str">
        <f>IF(Сценарии_расчёт!$D159=1,Сценарии_расчёт!$W159,"")</f>
        <v/>
      </c>
      <c r="E187" s="35" t="str">
        <f>IF(Сценарии_расчёт!$D159=1,Сценарии_расчёт!$X159,"")</f>
        <v/>
      </c>
      <c r="G187" s="50" t="str">
        <f>IF(Сценарии_расчёт!$D159=1,Сценарии_расчёт!$B159,"")</f>
        <v/>
      </c>
      <c r="H187" s="35" t="str">
        <f>IF(Сценарии_расчёт!$D159=1,Сценарии_расчёт!$AH159,"")</f>
        <v/>
      </c>
      <c r="I187" s="35" t="str">
        <f>IF(Сценарии_расчёт!$D159=1,Сценарии_расчёт!$AI159,"")</f>
        <v/>
      </c>
      <c r="J187" s="35" t="str">
        <f>IF(Сценарии_расчёт!$D159=1,Сценарии_расчёт!$AT159,"")</f>
        <v/>
      </c>
      <c r="K187" s="35" t="str">
        <f>IF(Сценарии_расчёт!$D159=1,Сценарии_расчёт!$AU159,"")</f>
        <v/>
      </c>
      <c r="M187" s="50" t="str">
        <f>IF(Сценарии_расчёт!$D159=1,Сценарии_расчёт!$B159,"")</f>
        <v/>
      </c>
      <c r="N187" s="35" t="str">
        <f>IF(Сценарии_расчёт!$D159=1,Сценарии_расчёт!$BE159,"")</f>
        <v/>
      </c>
      <c r="O187" s="35" t="str">
        <f>IF(Сценарии_расчёт!$D159=1,Сценарии_расчёт!$BF159,"")</f>
        <v/>
      </c>
      <c r="P187" s="35" t="str">
        <f>IF(Сценарии_расчёт!$D159=1,Сценарии_расчёт!$BQ159,"")</f>
        <v/>
      </c>
      <c r="Q187" s="35" t="str">
        <f>IF(Сценарии_расчёт!$D159=1,Сценарии_расчёт!$BR159,"")</f>
        <v/>
      </c>
    </row>
    <row r="188" spans="1:17" x14ac:dyDescent="0.2">
      <c r="A188" s="50" t="str">
        <f>IF(Сценарии_расчёт!$D160=1,Сценарии_расчёт!$B160,"")</f>
        <v/>
      </c>
      <c r="B188" s="35" t="str">
        <f>IF(Сценарии_расчёт!$D160=1,Сценарии_расчёт!$K160,"")</f>
        <v/>
      </c>
      <c r="C188" s="35" t="str">
        <f>IF(Сценарии_расчёт!$D160=1,Сценарии_расчёт!$L160,"")</f>
        <v/>
      </c>
      <c r="D188" s="35" t="str">
        <f>IF(Сценарии_расчёт!$D160=1,Сценарии_расчёт!$W160,"")</f>
        <v/>
      </c>
      <c r="E188" s="35" t="str">
        <f>IF(Сценарии_расчёт!$D160=1,Сценарии_расчёт!$X160,"")</f>
        <v/>
      </c>
      <c r="G188" s="50" t="str">
        <f>IF(Сценарии_расчёт!$D160=1,Сценарии_расчёт!$B160,"")</f>
        <v/>
      </c>
      <c r="H188" s="35" t="str">
        <f>IF(Сценарии_расчёт!$D160=1,Сценарии_расчёт!$AH160,"")</f>
        <v/>
      </c>
      <c r="I188" s="35" t="str">
        <f>IF(Сценарии_расчёт!$D160=1,Сценарии_расчёт!$AI160,"")</f>
        <v/>
      </c>
      <c r="J188" s="35" t="str">
        <f>IF(Сценарии_расчёт!$D160=1,Сценарии_расчёт!$AT160,"")</f>
        <v/>
      </c>
      <c r="K188" s="35" t="str">
        <f>IF(Сценарии_расчёт!$D160=1,Сценарии_расчёт!$AU160,"")</f>
        <v/>
      </c>
      <c r="M188" s="50" t="str">
        <f>IF(Сценарии_расчёт!$D160=1,Сценарии_расчёт!$B160,"")</f>
        <v/>
      </c>
      <c r="N188" s="35" t="str">
        <f>IF(Сценарии_расчёт!$D160=1,Сценарии_расчёт!$BE160,"")</f>
        <v/>
      </c>
      <c r="O188" s="35" t="str">
        <f>IF(Сценарии_расчёт!$D160=1,Сценарии_расчёт!$BF160,"")</f>
        <v/>
      </c>
      <c r="P188" s="35" t="str">
        <f>IF(Сценарии_расчёт!$D160=1,Сценарии_расчёт!$BQ160,"")</f>
        <v/>
      </c>
      <c r="Q188" s="35" t="str">
        <f>IF(Сценарии_расчёт!$D160=1,Сценарии_расчёт!$BR160,"")</f>
        <v/>
      </c>
    </row>
    <row r="189" spans="1:17" x14ac:dyDescent="0.2">
      <c r="A189" s="50" t="str">
        <f>IF(Сценарии_расчёт!$D161=1,Сценарии_расчёт!$B161,"")</f>
        <v/>
      </c>
      <c r="B189" s="35" t="str">
        <f>IF(Сценарии_расчёт!$D161=1,Сценарии_расчёт!$K161,"")</f>
        <v/>
      </c>
      <c r="C189" s="35" t="str">
        <f>IF(Сценарии_расчёт!$D161=1,Сценарии_расчёт!$L161,"")</f>
        <v/>
      </c>
      <c r="D189" s="35" t="str">
        <f>IF(Сценарии_расчёт!$D161=1,Сценарии_расчёт!$W161,"")</f>
        <v/>
      </c>
      <c r="E189" s="35" t="str">
        <f>IF(Сценарии_расчёт!$D161=1,Сценарии_расчёт!$X161,"")</f>
        <v/>
      </c>
      <c r="G189" s="50" t="str">
        <f>IF(Сценарии_расчёт!$D161=1,Сценарии_расчёт!$B161,"")</f>
        <v/>
      </c>
      <c r="H189" s="35" t="str">
        <f>IF(Сценарии_расчёт!$D161=1,Сценарии_расчёт!$AH161,"")</f>
        <v/>
      </c>
      <c r="I189" s="35" t="str">
        <f>IF(Сценарии_расчёт!$D161=1,Сценарии_расчёт!$AI161,"")</f>
        <v/>
      </c>
      <c r="J189" s="35" t="str">
        <f>IF(Сценарии_расчёт!$D161=1,Сценарии_расчёт!$AT161,"")</f>
        <v/>
      </c>
      <c r="K189" s="35" t="str">
        <f>IF(Сценарии_расчёт!$D161=1,Сценарии_расчёт!$AU161,"")</f>
        <v/>
      </c>
      <c r="M189" s="50" t="str">
        <f>IF(Сценарии_расчёт!$D161=1,Сценарии_расчёт!$B161,"")</f>
        <v/>
      </c>
      <c r="N189" s="35" t="str">
        <f>IF(Сценарии_расчёт!$D161=1,Сценарии_расчёт!$BE161,"")</f>
        <v/>
      </c>
      <c r="O189" s="35" t="str">
        <f>IF(Сценарии_расчёт!$D161=1,Сценарии_расчёт!$BF161,"")</f>
        <v/>
      </c>
      <c r="P189" s="35" t="str">
        <f>IF(Сценарии_расчёт!$D161=1,Сценарии_расчёт!$BQ161,"")</f>
        <v/>
      </c>
      <c r="Q189" s="35" t="str">
        <f>IF(Сценарии_расчёт!$D161=1,Сценарии_расчёт!$BR161,"")</f>
        <v/>
      </c>
    </row>
    <row r="190" spans="1:17" x14ac:dyDescent="0.2">
      <c r="A190" s="50" t="str">
        <f>IF(Сценарии_расчёт!$D162=1,Сценарии_расчёт!$B162,"")</f>
        <v/>
      </c>
      <c r="B190" s="35" t="str">
        <f>IF(Сценарии_расчёт!$D162=1,Сценарии_расчёт!$K162,"")</f>
        <v/>
      </c>
      <c r="C190" s="35" t="str">
        <f>IF(Сценарии_расчёт!$D162=1,Сценарии_расчёт!$L162,"")</f>
        <v/>
      </c>
      <c r="D190" s="35" t="str">
        <f>IF(Сценарии_расчёт!$D162=1,Сценарии_расчёт!$W162,"")</f>
        <v/>
      </c>
      <c r="E190" s="35" t="str">
        <f>IF(Сценарии_расчёт!$D162=1,Сценарии_расчёт!$X162,"")</f>
        <v/>
      </c>
      <c r="G190" s="50" t="str">
        <f>IF(Сценарии_расчёт!$D162=1,Сценарии_расчёт!$B162,"")</f>
        <v/>
      </c>
      <c r="H190" s="35" t="str">
        <f>IF(Сценарии_расчёт!$D162=1,Сценарии_расчёт!$AH162,"")</f>
        <v/>
      </c>
      <c r="I190" s="35" t="str">
        <f>IF(Сценарии_расчёт!$D162=1,Сценарии_расчёт!$AI162,"")</f>
        <v/>
      </c>
      <c r="J190" s="35" t="str">
        <f>IF(Сценарии_расчёт!$D162=1,Сценарии_расчёт!$AT162,"")</f>
        <v/>
      </c>
      <c r="K190" s="35" t="str">
        <f>IF(Сценарии_расчёт!$D162=1,Сценарии_расчёт!$AU162,"")</f>
        <v/>
      </c>
      <c r="M190" s="50" t="str">
        <f>IF(Сценарии_расчёт!$D162=1,Сценарии_расчёт!$B162,"")</f>
        <v/>
      </c>
      <c r="N190" s="35" t="str">
        <f>IF(Сценарии_расчёт!$D162=1,Сценарии_расчёт!$BE162,"")</f>
        <v/>
      </c>
      <c r="O190" s="35" t="str">
        <f>IF(Сценарии_расчёт!$D162=1,Сценарии_расчёт!$BF162,"")</f>
        <v/>
      </c>
      <c r="P190" s="35" t="str">
        <f>IF(Сценарии_расчёт!$D162=1,Сценарии_расчёт!$BQ162,"")</f>
        <v/>
      </c>
      <c r="Q190" s="35" t="str">
        <f>IF(Сценарии_расчёт!$D162=1,Сценарии_расчёт!$BR162,"")</f>
        <v/>
      </c>
    </row>
    <row r="191" spans="1:17" x14ac:dyDescent="0.2">
      <c r="A191" s="50" t="str">
        <f>IF(Сценарии_расчёт!$D163=1,Сценарии_расчёт!$B163,"")</f>
        <v/>
      </c>
      <c r="B191" s="35" t="str">
        <f>IF(Сценарии_расчёт!$D163=1,Сценарии_расчёт!$K163,"")</f>
        <v/>
      </c>
      <c r="C191" s="35" t="str">
        <f>IF(Сценарии_расчёт!$D163=1,Сценарии_расчёт!$L163,"")</f>
        <v/>
      </c>
      <c r="D191" s="35" t="str">
        <f>IF(Сценарии_расчёт!$D163=1,Сценарии_расчёт!$W163,"")</f>
        <v/>
      </c>
      <c r="E191" s="35" t="str">
        <f>IF(Сценарии_расчёт!$D163=1,Сценарии_расчёт!$X163,"")</f>
        <v/>
      </c>
      <c r="G191" s="50" t="str">
        <f>IF(Сценарии_расчёт!$D163=1,Сценарии_расчёт!$B163,"")</f>
        <v/>
      </c>
      <c r="H191" s="35" t="str">
        <f>IF(Сценарии_расчёт!$D163=1,Сценарии_расчёт!$AH163,"")</f>
        <v/>
      </c>
      <c r="I191" s="35" t="str">
        <f>IF(Сценарии_расчёт!$D163=1,Сценарии_расчёт!$AI163,"")</f>
        <v/>
      </c>
      <c r="J191" s="35" t="str">
        <f>IF(Сценарии_расчёт!$D163=1,Сценарии_расчёт!$AT163,"")</f>
        <v/>
      </c>
      <c r="K191" s="35" t="str">
        <f>IF(Сценарии_расчёт!$D163=1,Сценарии_расчёт!$AU163,"")</f>
        <v/>
      </c>
      <c r="M191" s="50" t="str">
        <f>IF(Сценарии_расчёт!$D163=1,Сценарии_расчёт!$B163,"")</f>
        <v/>
      </c>
      <c r="N191" s="35" t="str">
        <f>IF(Сценарии_расчёт!$D163=1,Сценарии_расчёт!$BE163,"")</f>
        <v/>
      </c>
      <c r="O191" s="35" t="str">
        <f>IF(Сценарии_расчёт!$D163=1,Сценарии_расчёт!$BF163,"")</f>
        <v/>
      </c>
      <c r="P191" s="35" t="str">
        <f>IF(Сценарии_расчёт!$D163=1,Сценарии_расчёт!$BQ163,"")</f>
        <v/>
      </c>
      <c r="Q191" s="35" t="str">
        <f>IF(Сценарии_расчёт!$D163=1,Сценарии_расчёт!$BR163,"")</f>
        <v/>
      </c>
    </row>
    <row r="192" spans="1:17" x14ac:dyDescent="0.2">
      <c r="A192" s="50" t="str">
        <f>IF(Сценарии_расчёт!$D164=1,Сценарии_расчёт!$B164,"")</f>
        <v/>
      </c>
      <c r="B192" s="35" t="str">
        <f>IF(Сценарии_расчёт!$D164=1,Сценарии_расчёт!$K164,"")</f>
        <v/>
      </c>
      <c r="C192" s="35" t="str">
        <f>IF(Сценарии_расчёт!$D164=1,Сценарии_расчёт!$L164,"")</f>
        <v/>
      </c>
      <c r="D192" s="35" t="str">
        <f>IF(Сценарии_расчёт!$D164=1,Сценарии_расчёт!$W164,"")</f>
        <v/>
      </c>
      <c r="E192" s="35" t="str">
        <f>IF(Сценарии_расчёт!$D164=1,Сценарии_расчёт!$X164,"")</f>
        <v/>
      </c>
      <c r="G192" s="50" t="str">
        <f>IF(Сценарии_расчёт!$D164=1,Сценарии_расчёт!$B164,"")</f>
        <v/>
      </c>
      <c r="H192" s="35" t="str">
        <f>IF(Сценарии_расчёт!$D164=1,Сценарии_расчёт!$AH164,"")</f>
        <v/>
      </c>
      <c r="I192" s="35" t="str">
        <f>IF(Сценарии_расчёт!$D164=1,Сценарии_расчёт!$AI164,"")</f>
        <v/>
      </c>
      <c r="J192" s="35" t="str">
        <f>IF(Сценарии_расчёт!$D164=1,Сценарии_расчёт!$AT164,"")</f>
        <v/>
      </c>
      <c r="K192" s="35" t="str">
        <f>IF(Сценарии_расчёт!$D164=1,Сценарии_расчёт!$AU164,"")</f>
        <v/>
      </c>
      <c r="M192" s="50" t="str">
        <f>IF(Сценарии_расчёт!$D164=1,Сценарии_расчёт!$B164,"")</f>
        <v/>
      </c>
      <c r="N192" s="35" t="str">
        <f>IF(Сценарии_расчёт!$D164=1,Сценарии_расчёт!$BE164,"")</f>
        <v/>
      </c>
      <c r="O192" s="35" t="str">
        <f>IF(Сценарии_расчёт!$D164=1,Сценарии_расчёт!$BF164,"")</f>
        <v/>
      </c>
      <c r="P192" s="35" t="str">
        <f>IF(Сценарии_расчёт!$D164=1,Сценарии_расчёт!$BQ164,"")</f>
        <v/>
      </c>
      <c r="Q192" s="35" t="str">
        <f>IF(Сценарии_расчёт!$D164=1,Сценарии_расчёт!$BR164,"")</f>
        <v/>
      </c>
    </row>
    <row r="193" spans="1:17" x14ac:dyDescent="0.2">
      <c r="A193" s="50" t="str">
        <f>IF(Сценарии_расчёт!$D165=1,Сценарии_расчёт!$B165,"")</f>
        <v/>
      </c>
      <c r="B193" s="35" t="str">
        <f>IF(Сценарии_расчёт!$D165=1,Сценарии_расчёт!$K165,"")</f>
        <v/>
      </c>
      <c r="C193" s="35" t="str">
        <f>IF(Сценарии_расчёт!$D165=1,Сценарии_расчёт!$L165,"")</f>
        <v/>
      </c>
      <c r="D193" s="35" t="str">
        <f>IF(Сценарии_расчёт!$D165=1,Сценарии_расчёт!$W165,"")</f>
        <v/>
      </c>
      <c r="E193" s="35" t="str">
        <f>IF(Сценарии_расчёт!$D165=1,Сценарии_расчёт!$X165,"")</f>
        <v/>
      </c>
      <c r="G193" s="50" t="str">
        <f>IF(Сценарии_расчёт!$D165=1,Сценарии_расчёт!$B165,"")</f>
        <v/>
      </c>
      <c r="H193" s="35" t="str">
        <f>IF(Сценарии_расчёт!$D165=1,Сценарии_расчёт!$AH165,"")</f>
        <v/>
      </c>
      <c r="I193" s="35" t="str">
        <f>IF(Сценарии_расчёт!$D165=1,Сценарии_расчёт!$AI165,"")</f>
        <v/>
      </c>
      <c r="J193" s="35" t="str">
        <f>IF(Сценарии_расчёт!$D165=1,Сценарии_расчёт!$AT165,"")</f>
        <v/>
      </c>
      <c r="K193" s="35" t="str">
        <f>IF(Сценарии_расчёт!$D165=1,Сценарии_расчёт!$AU165,"")</f>
        <v/>
      </c>
      <c r="M193" s="50" t="str">
        <f>IF(Сценарии_расчёт!$D165=1,Сценарии_расчёт!$B165,"")</f>
        <v/>
      </c>
      <c r="N193" s="35" t="str">
        <f>IF(Сценарии_расчёт!$D165=1,Сценарии_расчёт!$BE165,"")</f>
        <v/>
      </c>
      <c r="O193" s="35" t="str">
        <f>IF(Сценарии_расчёт!$D165=1,Сценарии_расчёт!$BF165,"")</f>
        <v/>
      </c>
      <c r="P193" s="35" t="str">
        <f>IF(Сценарии_расчёт!$D165=1,Сценарии_расчёт!$BQ165,"")</f>
        <v/>
      </c>
      <c r="Q193" s="35" t="str">
        <f>IF(Сценарии_расчёт!$D165=1,Сценарии_расчёт!$BR165,"")</f>
        <v/>
      </c>
    </row>
    <row r="194" spans="1:17" x14ac:dyDescent="0.2">
      <c r="A194" s="50" t="str">
        <f>IF(Сценарии_расчёт!$D166=1,Сценарии_расчёт!$B166,"")</f>
        <v/>
      </c>
      <c r="B194" s="35" t="str">
        <f>IF(Сценарии_расчёт!$D166=1,Сценарии_расчёт!$K166,"")</f>
        <v/>
      </c>
      <c r="C194" s="35" t="str">
        <f>IF(Сценарии_расчёт!$D166=1,Сценарии_расчёт!$L166,"")</f>
        <v/>
      </c>
      <c r="D194" s="35" t="str">
        <f>IF(Сценарии_расчёт!$D166=1,Сценарии_расчёт!$W166,"")</f>
        <v/>
      </c>
      <c r="E194" s="35" t="str">
        <f>IF(Сценарии_расчёт!$D166=1,Сценарии_расчёт!$X166,"")</f>
        <v/>
      </c>
      <c r="G194" s="50" t="str">
        <f>IF(Сценарии_расчёт!$D166=1,Сценарии_расчёт!$B166,"")</f>
        <v/>
      </c>
      <c r="H194" s="35" t="str">
        <f>IF(Сценарии_расчёт!$D166=1,Сценарии_расчёт!$AH166,"")</f>
        <v/>
      </c>
      <c r="I194" s="35" t="str">
        <f>IF(Сценарии_расчёт!$D166=1,Сценарии_расчёт!$AI166,"")</f>
        <v/>
      </c>
      <c r="J194" s="35" t="str">
        <f>IF(Сценарии_расчёт!$D166=1,Сценарии_расчёт!$AT166,"")</f>
        <v/>
      </c>
      <c r="K194" s="35" t="str">
        <f>IF(Сценарии_расчёт!$D166=1,Сценарии_расчёт!$AU166,"")</f>
        <v/>
      </c>
      <c r="M194" s="50" t="str">
        <f>IF(Сценарии_расчёт!$D166=1,Сценарии_расчёт!$B166,"")</f>
        <v/>
      </c>
      <c r="N194" s="35" t="str">
        <f>IF(Сценарии_расчёт!$D166=1,Сценарии_расчёт!$BE166,"")</f>
        <v/>
      </c>
      <c r="O194" s="35" t="str">
        <f>IF(Сценарии_расчёт!$D166=1,Сценарии_расчёт!$BF166,"")</f>
        <v/>
      </c>
      <c r="P194" s="35" t="str">
        <f>IF(Сценарии_расчёт!$D166=1,Сценарии_расчёт!$BQ166,"")</f>
        <v/>
      </c>
      <c r="Q194" s="35" t="str">
        <f>IF(Сценарии_расчёт!$D166=1,Сценарии_расчёт!$BR166,"")</f>
        <v/>
      </c>
    </row>
    <row r="195" spans="1:17" x14ac:dyDescent="0.2">
      <c r="A195" s="50" t="str">
        <f>IF(Сценарии_расчёт!$D167=1,Сценарии_расчёт!$B167,"")</f>
        <v/>
      </c>
      <c r="B195" s="35" t="str">
        <f>IF(Сценарии_расчёт!$D167=1,Сценарии_расчёт!$K167,"")</f>
        <v/>
      </c>
      <c r="C195" s="35" t="str">
        <f>IF(Сценарии_расчёт!$D167=1,Сценарии_расчёт!$L167,"")</f>
        <v/>
      </c>
      <c r="D195" s="35" t="str">
        <f>IF(Сценарии_расчёт!$D167=1,Сценарии_расчёт!$W167,"")</f>
        <v/>
      </c>
      <c r="E195" s="35" t="str">
        <f>IF(Сценарии_расчёт!$D167=1,Сценарии_расчёт!$X167,"")</f>
        <v/>
      </c>
      <c r="G195" s="50" t="str">
        <f>IF(Сценарии_расчёт!$D167=1,Сценарии_расчёт!$B167,"")</f>
        <v/>
      </c>
      <c r="H195" s="35" t="str">
        <f>IF(Сценарии_расчёт!$D167=1,Сценарии_расчёт!$AH167,"")</f>
        <v/>
      </c>
      <c r="I195" s="35" t="str">
        <f>IF(Сценарии_расчёт!$D167=1,Сценарии_расчёт!$AI167,"")</f>
        <v/>
      </c>
      <c r="J195" s="35" t="str">
        <f>IF(Сценарии_расчёт!$D167=1,Сценарии_расчёт!$AT167,"")</f>
        <v/>
      </c>
      <c r="K195" s="35" t="str">
        <f>IF(Сценарии_расчёт!$D167=1,Сценарии_расчёт!$AU167,"")</f>
        <v/>
      </c>
      <c r="M195" s="50" t="str">
        <f>IF(Сценарии_расчёт!$D167=1,Сценарии_расчёт!$B167,"")</f>
        <v/>
      </c>
      <c r="N195" s="35" t="str">
        <f>IF(Сценарии_расчёт!$D167=1,Сценарии_расчёт!$BE167,"")</f>
        <v/>
      </c>
      <c r="O195" s="35" t="str">
        <f>IF(Сценарии_расчёт!$D167=1,Сценарии_расчёт!$BF167,"")</f>
        <v/>
      </c>
      <c r="P195" s="35" t="str">
        <f>IF(Сценарии_расчёт!$D167=1,Сценарии_расчёт!$BQ167,"")</f>
        <v/>
      </c>
      <c r="Q195" s="35" t="str">
        <f>IF(Сценарии_расчёт!$D167=1,Сценарии_расчёт!$BR167,"")</f>
        <v/>
      </c>
    </row>
    <row r="196" spans="1:17" x14ac:dyDescent="0.2">
      <c r="A196" s="50" t="str">
        <f>IF(Сценарии_расчёт!$D168=1,Сценарии_расчёт!$B168,"")</f>
        <v/>
      </c>
      <c r="B196" s="35" t="str">
        <f>IF(Сценарии_расчёт!$D168=1,Сценарии_расчёт!$K168,"")</f>
        <v/>
      </c>
      <c r="C196" s="35" t="str">
        <f>IF(Сценарии_расчёт!$D168=1,Сценарии_расчёт!$L168,"")</f>
        <v/>
      </c>
      <c r="D196" s="35" t="str">
        <f>IF(Сценарии_расчёт!$D168=1,Сценарии_расчёт!$W168,"")</f>
        <v/>
      </c>
      <c r="E196" s="35" t="str">
        <f>IF(Сценарии_расчёт!$D168=1,Сценарии_расчёт!$X168,"")</f>
        <v/>
      </c>
      <c r="G196" s="50" t="str">
        <f>IF(Сценарии_расчёт!$D168=1,Сценарии_расчёт!$B168,"")</f>
        <v/>
      </c>
      <c r="H196" s="35" t="str">
        <f>IF(Сценарии_расчёт!$D168=1,Сценарии_расчёт!$AH168,"")</f>
        <v/>
      </c>
      <c r="I196" s="35" t="str">
        <f>IF(Сценарии_расчёт!$D168=1,Сценарии_расчёт!$AI168,"")</f>
        <v/>
      </c>
      <c r="J196" s="35" t="str">
        <f>IF(Сценарии_расчёт!$D168=1,Сценарии_расчёт!$AT168,"")</f>
        <v/>
      </c>
      <c r="K196" s="35" t="str">
        <f>IF(Сценарии_расчёт!$D168=1,Сценарии_расчёт!$AU168,"")</f>
        <v/>
      </c>
      <c r="M196" s="50" t="str">
        <f>IF(Сценарии_расчёт!$D168=1,Сценарии_расчёт!$B168,"")</f>
        <v/>
      </c>
      <c r="N196" s="35" t="str">
        <f>IF(Сценарии_расчёт!$D168=1,Сценарии_расчёт!$BE168,"")</f>
        <v/>
      </c>
      <c r="O196" s="35" t="str">
        <f>IF(Сценарии_расчёт!$D168=1,Сценарии_расчёт!$BF168,"")</f>
        <v/>
      </c>
      <c r="P196" s="35" t="str">
        <f>IF(Сценарии_расчёт!$D168=1,Сценарии_расчёт!$BQ168,"")</f>
        <v/>
      </c>
      <c r="Q196" s="35" t="str">
        <f>IF(Сценарии_расчёт!$D168=1,Сценарии_расчёт!$BR168,"")</f>
        <v/>
      </c>
    </row>
    <row r="197" spans="1:17" x14ac:dyDescent="0.2">
      <c r="A197" s="50" t="str">
        <f>IF(Сценарии_расчёт!$D169=1,Сценарии_расчёт!$B169,"")</f>
        <v/>
      </c>
      <c r="B197" s="35" t="str">
        <f>IF(Сценарии_расчёт!$D169=1,Сценарии_расчёт!$K169,"")</f>
        <v/>
      </c>
      <c r="C197" s="35" t="str">
        <f>IF(Сценарии_расчёт!$D169=1,Сценарии_расчёт!$L169,"")</f>
        <v/>
      </c>
      <c r="D197" s="35" t="str">
        <f>IF(Сценарии_расчёт!$D169=1,Сценарии_расчёт!$W169,"")</f>
        <v/>
      </c>
      <c r="E197" s="35" t="str">
        <f>IF(Сценарии_расчёт!$D169=1,Сценарии_расчёт!$X169,"")</f>
        <v/>
      </c>
      <c r="G197" s="50" t="str">
        <f>IF(Сценарии_расчёт!$D169=1,Сценарии_расчёт!$B169,"")</f>
        <v/>
      </c>
      <c r="H197" s="35" t="str">
        <f>IF(Сценарии_расчёт!$D169=1,Сценарии_расчёт!$AH169,"")</f>
        <v/>
      </c>
      <c r="I197" s="35" t="str">
        <f>IF(Сценарии_расчёт!$D169=1,Сценарии_расчёт!$AI169,"")</f>
        <v/>
      </c>
      <c r="J197" s="35" t="str">
        <f>IF(Сценарии_расчёт!$D169=1,Сценарии_расчёт!$AT169,"")</f>
        <v/>
      </c>
      <c r="K197" s="35" t="str">
        <f>IF(Сценарии_расчёт!$D169=1,Сценарии_расчёт!$AU169,"")</f>
        <v/>
      </c>
      <c r="M197" s="50" t="str">
        <f>IF(Сценарии_расчёт!$D169=1,Сценарии_расчёт!$B169,"")</f>
        <v/>
      </c>
      <c r="N197" s="35" t="str">
        <f>IF(Сценарии_расчёт!$D169=1,Сценарии_расчёт!$BE169,"")</f>
        <v/>
      </c>
      <c r="O197" s="35" t="str">
        <f>IF(Сценарии_расчёт!$D169=1,Сценарии_расчёт!$BF169,"")</f>
        <v/>
      </c>
      <c r="P197" s="35" t="str">
        <f>IF(Сценарии_расчёт!$D169=1,Сценарии_расчёт!$BQ169,"")</f>
        <v/>
      </c>
      <c r="Q197" s="35" t="str">
        <f>IF(Сценарии_расчёт!$D169=1,Сценарии_расчёт!$BR169,"")</f>
        <v/>
      </c>
    </row>
    <row r="198" spans="1:17" x14ac:dyDescent="0.2">
      <c r="A198" s="50" t="str">
        <f>IF(Сценарии_расчёт!$D170=1,Сценарии_расчёт!$B170,"")</f>
        <v/>
      </c>
      <c r="B198" s="35" t="str">
        <f>IF(Сценарии_расчёт!$D170=1,Сценарии_расчёт!$K170,"")</f>
        <v/>
      </c>
      <c r="C198" s="35" t="str">
        <f>IF(Сценарии_расчёт!$D170=1,Сценарии_расчёт!$L170,"")</f>
        <v/>
      </c>
      <c r="D198" s="35" t="str">
        <f>IF(Сценарии_расчёт!$D170=1,Сценарии_расчёт!$W170,"")</f>
        <v/>
      </c>
      <c r="E198" s="35" t="str">
        <f>IF(Сценарии_расчёт!$D170=1,Сценарии_расчёт!$X170,"")</f>
        <v/>
      </c>
      <c r="G198" s="50" t="str">
        <f>IF(Сценарии_расчёт!$D170=1,Сценарии_расчёт!$B170,"")</f>
        <v/>
      </c>
      <c r="H198" s="35" t="str">
        <f>IF(Сценарии_расчёт!$D170=1,Сценарии_расчёт!$AH170,"")</f>
        <v/>
      </c>
      <c r="I198" s="35" t="str">
        <f>IF(Сценарии_расчёт!$D170=1,Сценарии_расчёт!$AI170,"")</f>
        <v/>
      </c>
      <c r="J198" s="35" t="str">
        <f>IF(Сценарии_расчёт!$D170=1,Сценарии_расчёт!$AT170,"")</f>
        <v/>
      </c>
      <c r="K198" s="35" t="str">
        <f>IF(Сценарии_расчёт!$D170=1,Сценарии_расчёт!$AU170,"")</f>
        <v/>
      </c>
      <c r="M198" s="50" t="str">
        <f>IF(Сценарии_расчёт!$D170=1,Сценарии_расчёт!$B170,"")</f>
        <v/>
      </c>
      <c r="N198" s="35" t="str">
        <f>IF(Сценарии_расчёт!$D170=1,Сценарии_расчёт!$BE170,"")</f>
        <v/>
      </c>
      <c r="O198" s="35" t="str">
        <f>IF(Сценарии_расчёт!$D170=1,Сценарии_расчёт!$BF170,"")</f>
        <v/>
      </c>
      <c r="P198" s="35" t="str">
        <f>IF(Сценарии_расчёт!$D170=1,Сценарии_расчёт!$BQ170,"")</f>
        <v/>
      </c>
      <c r="Q198" s="35" t="str">
        <f>IF(Сценарии_расчёт!$D170=1,Сценарии_расчёт!$BR170,"")</f>
        <v/>
      </c>
    </row>
    <row r="199" spans="1:17" x14ac:dyDescent="0.2">
      <c r="A199" s="50" t="str">
        <f>IF(Сценарии_расчёт!$D171=1,Сценарии_расчёт!$B171,"")</f>
        <v/>
      </c>
      <c r="B199" s="35" t="str">
        <f>IF(Сценарии_расчёт!$D171=1,Сценарии_расчёт!$K171,"")</f>
        <v/>
      </c>
      <c r="C199" s="35" t="str">
        <f>IF(Сценарии_расчёт!$D171=1,Сценарии_расчёт!$L171,"")</f>
        <v/>
      </c>
      <c r="D199" s="35" t="str">
        <f>IF(Сценарии_расчёт!$D171=1,Сценарии_расчёт!$W171,"")</f>
        <v/>
      </c>
      <c r="E199" s="35" t="str">
        <f>IF(Сценарии_расчёт!$D171=1,Сценарии_расчёт!$X171,"")</f>
        <v/>
      </c>
      <c r="G199" s="50" t="str">
        <f>IF(Сценарии_расчёт!$D171=1,Сценарии_расчёт!$B171,"")</f>
        <v/>
      </c>
      <c r="H199" s="35" t="str">
        <f>IF(Сценарии_расчёт!$D171=1,Сценарии_расчёт!$AH171,"")</f>
        <v/>
      </c>
      <c r="I199" s="35" t="str">
        <f>IF(Сценарии_расчёт!$D171=1,Сценарии_расчёт!$AI171,"")</f>
        <v/>
      </c>
      <c r="J199" s="35" t="str">
        <f>IF(Сценарии_расчёт!$D171=1,Сценарии_расчёт!$AT171,"")</f>
        <v/>
      </c>
      <c r="K199" s="35" t="str">
        <f>IF(Сценарии_расчёт!$D171=1,Сценарии_расчёт!$AU171,"")</f>
        <v/>
      </c>
      <c r="M199" s="50" t="str">
        <f>IF(Сценарии_расчёт!$D171=1,Сценарии_расчёт!$B171,"")</f>
        <v/>
      </c>
      <c r="N199" s="35" t="str">
        <f>IF(Сценарии_расчёт!$D171=1,Сценарии_расчёт!$BE171,"")</f>
        <v/>
      </c>
      <c r="O199" s="35" t="str">
        <f>IF(Сценарии_расчёт!$D171=1,Сценарии_расчёт!$BF171,"")</f>
        <v/>
      </c>
      <c r="P199" s="35" t="str">
        <f>IF(Сценарии_расчёт!$D171=1,Сценарии_расчёт!$BQ171,"")</f>
        <v/>
      </c>
      <c r="Q199" s="35" t="str">
        <f>IF(Сценарии_расчёт!$D171=1,Сценарии_расчёт!$BR171,"")</f>
        <v/>
      </c>
    </row>
    <row r="200" spans="1:17" x14ac:dyDescent="0.2">
      <c r="A200" s="50" t="str">
        <f>IF(Сценарии_расчёт!$D172=1,Сценарии_расчёт!$B172,"")</f>
        <v/>
      </c>
      <c r="B200" s="35" t="str">
        <f>IF(Сценарии_расчёт!$D172=1,Сценарии_расчёт!$K172,"")</f>
        <v/>
      </c>
      <c r="C200" s="35" t="str">
        <f>IF(Сценарии_расчёт!$D172=1,Сценарии_расчёт!$L172,"")</f>
        <v/>
      </c>
      <c r="D200" s="35" t="str">
        <f>IF(Сценарии_расчёт!$D172=1,Сценарии_расчёт!$W172,"")</f>
        <v/>
      </c>
      <c r="E200" s="35" t="str">
        <f>IF(Сценарии_расчёт!$D172=1,Сценарии_расчёт!$X172,"")</f>
        <v/>
      </c>
      <c r="G200" s="50" t="str">
        <f>IF(Сценарии_расчёт!$D172=1,Сценарии_расчёт!$B172,"")</f>
        <v/>
      </c>
      <c r="H200" s="35" t="str">
        <f>IF(Сценарии_расчёт!$D172=1,Сценарии_расчёт!$AH172,"")</f>
        <v/>
      </c>
      <c r="I200" s="35" t="str">
        <f>IF(Сценарии_расчёт!$D172=1,Сценарии_расчёт!$AI172,"")</f>
        <v/>
      </c>
      <c r="J200" s="35" t="str">
        <f>IF(Сценарии_расчёт!$D172=1,Сценарии_расчёт!$AT172,"")</f>
        <v/>
      </c>
      <c r="K200" s="35" t="str">
        <f>IF(Сценарии_расчёт!$D172=1,Сценарии_расчёт!$AU172,"")</f>
        <v/>
      </c>
      <c r="M200" s="50" t="str">
        <f>IF(Сценарии_расчёт!$D172=1,Сценарии_расчёт!$B172,"")</f>
        <v/>
      </c>
      <c r="N200" s="35" t="str">
        <f>IF(Сценарии_расчёт!$D172=1,Сценарии_расчёт!$BE172,"")</f>
        <v/>
      </c>
      <c r="O200" s="35" t="str">
        <f>IF(Сценарии_расчёт!$D172=1,Сценарии_расчёт!$BF172,"")</f>
        <v/>
      </c>
      <c r="P200" s="35" t="str">
        <f>IF(Сценарии_расчёт!$D172=1,Сценарии_расчёт!$BQ172,"")</f>
        <v/>
      </c>
      <c r="Q200" s="35" t="str">
        <f>IF(Сценарии_расчёт!$D172=1,Сценарии_расчёт!$BR172,"")</f>
        <v/>
      </c>
    </row>
    <row r="201" spans="1:17" x14ac:dyDescent="0.2">
      <c r="A201" s="50" t="str">
        <f>IF(Сценарии_расчёт!$D173=1,Сценарии_расчёт!$B173,"")</f>
        <v/>
      </c>
      <c r="B201" s="35" t="str">
        <f>IF(Сценарии_расчёт!$D173=1,Сценарии_расчёт!$K173,"")</f>
        <v/>
      </c>
      <c r="C201" s="35" t="str">
        <f>IF(Сценарии_расчёт!$D173=1,Сценарии_расчёт!$L173,"")</f>
        <v/>
      </c>
      <c r="D201" s="35" t="str">
        <f>IF(Сценарии_расчёт!$D173=1,Сценарии_расчёт!$W173,"")</f>
        <v/>
      </c>
      <c r="E201" s="35" t="str">
        <f>IF(Сценарии_расчёт!$D173=1,Сценарии_расчёт!$X173,"")</f>
        <v/>
      </c>
      <c r="G201" s="50" t="str">
        <f>IF(Сценарии_расчёт!$D173=1,Сценарии_расчёт!$B173,"")</f>
        <v/>
      </c>
      <c r="H201" s="35" t="str">
        <f>IF(Сценарии_расчёт!$D173=1,Сценарии_расчёт!$AH173,"")</f>
        <v/>
      </c>
      <c r="I201" s="35" t="str">
        <f>IF(Сценарии_расчёт!$D173=1,Сценарии_расчёт!$AI173,"")</f>
        <v/>
      </c>
      <c r="J201" s="35" t="str">
        <f>IF(Сценарии_расчёт!$D173=1,Сценарии_расчёт!$AT173,"")</f>
        <v/>
      </c>
      <c r="K201" s="35" t="str">
        <f>IF(Сценарии_расчёт!$D173=1,Сценарии_расчёт!$AU173,"")</f>
        <v/>
      </c>
      <c r="M201" s="50" t="str">
        <f>IF(Сценарии_расчёт!$D173=1,Сценарии_расчёт!$B173,"")</f>
        <v/>
      </c>
      <c r="N201" s="35" t="str">
        <f>IF(Сценарии_расчёт!$D173=1,Сценарии_расчёт!$BE173,"")</f>
        <v/>
      </c>
      <c r="O201" s="35" t="str">
        <f>IF(Сценарии_расчёт!$D173=1,Сценарии_расчёт!$BF173,"")</f>
        <v/>
      </c>
      <c r="P201" s="35" t="str">
        <f>IF(Сценарии_расчёт!$D173=1,Сценарии_расчёт!$BQ173,"")</f>
        <v/>
      </c>
      <c r="Q201" s="35" t="str">
        <f>IF(Сценарии_расчёт!$D173=1,Сценарии_расчёт!$BR173,"")</f>
        <v/>
      </c>
    </row>
    <row r="202" spans="1:17" x14ac:dyDescent="0.2">
      <c r="A202" s="50" t="str">
        <f>IF(Сценарии_расчёт!$D174=1,Сценарии_расчёт!$B174,"")</f>
        <v/>
      </c>
      <c r="B202" s="35" t="str">
        <f>IF(Сценарии_расчёт!$D174=1,Сценарии_расчёт!$K174,"")</f>
        <v/>
      </c>
      <c r="C202" s="35" t="str">
        <f>IF(Сценарии_расчёт!$D174=1,Сценарии_расчёт!$L174,"")</f>
        <v/>
      </c>
      <c r="D202" s="35" t="str">
        <f>IF(Сценарии_расчёт!$D174=1,Сценарии_расчёт!$W174,"")</f>
        <v/>
      </c>
      <c r="E202" s="35" t="str">
        <f>IF(Сценарии_расчёт!$D174=1,Сценарии_расчёт!$X174,"")</f>
        <v/>
      </c>
      <c r="G202" s="50" t="str">
        <f>IF(Сценарии_расчёт!$D174=1,Сценарии_расчёт!$B174,"")</f>
        <v/>
      </c>
      <c r="H202" s="35" t="str">
        <f>IF(Сценарии_расчёт!$D174=1,Сценарии_расчёт!$AH174,"")</f>
        <v/>
      </c>
      <c r="I202" s="35" t="str">
        <f>IF(Сценарии_расчёт!$D174=1,Сценарии_расчёт!$AI174,"")</f>
        <v/>
      </c>
      <c r="J202" s="35" t="str">
        <f>IF(Сценарии_расчёт!$D174=1,Сценарии_расчёт!$AT174,"")</f>
        <v/>
      </c>
      <c r="K202" s="35" t="str">
        <f>IF(Сценарии_расчёт!$D174=1,Сценарии_расчёт!$AU174,"")</f>
        <v/>
      </c>
      <c r="M202" s="50" t="str">
        <f>IF(Сценарии_расчёт!$D174=1,Сценарии_расчёт!$B174,"")</f>
        <v/>
      </c>
      <c r="N202" s="35" t="str">
        <f>IF(Сценарии_расчёт!$D174=1,Сценарии_расчёт!$BE174,"")</f>
        <v/>
      </c>
      <c r="O202" s="35" t="str">
        <f>IF(Сценарии_расчёт!$D174=1,Сценарии_расчёт!$BF174,"")</f>
        <v/>
      </c>
      <c r="P202" s="35" t="str">
        <f>IF(Сценарии_расчёт!$D174=1,Сценарии_расчёт!$BQ174,"")</f>
        <v/>
      </c>
      <c r="Q202" s="35" t="str">
        <f>IF(Сценарии_расчёт!$D174=1,Сценарии_расчёт!$BR174,"")</f>
        <v/>
      </c>
    </row>
    <row r="203" spans="1:17" x14ac:dyDescent="0.2">
      <c r="A203" s="50" t="str">
        <f>IF(Сценарии_расчёт!$D175=1,Сценарии_расчёт!$B175,"")</f>
        <v/>
      </c>
      <c r="B203" s="35" t="str">
        <f>IF(Сценарии_расчёт!$D175=1,Сценарии_расчёт!$K175,"")</f>
        <v/>
      </c>
      <c r="C203" s="35" t="str">
        <f>IF(Сценарии_расчёт!$D175=1,Сценарии_расчёт!$L175,"")</f>
        <v/>
      </c>
      <c r="D203" s="35" t="str">
        <f>IF(Сценарии_расчёт!$D175=1,Сценарии_расчёт!$W175,"")</f>
        <v/>
      </c>
      <c r="E203" s="35" t="str">
        <f>IF(Сценарии_расчёт!$D175=1,Сценарии_расчёт!$X175,"")</f>
        <v/>
      </c>
      <c r="G203" s="50" t="str">
        <f>IF(Сценарии_расчёт!$D175=1,Сценарии_расчёт!$B175,"")</f>
        <v/>
      </c>
      <c r="H203" s="35" t="str">
        <f>IF(Сценарии_расчёт!$D175=1,Сценарии_расчёт!$AH175,"")</f>
        <v/>
      </c>
      <c r="I203" s="35" t="str">
        <f>IF(Сценарии_расчёт!$D175=1,Сценарии_расчёт!$AI175,"")</f>
        <v/>
      </c>
      <c r="J203" s="35" t="str">
        <f>IF(Сценарии_расчёт!$D175=1,Сценарии_расчёт!$AT175,"")</f>
        <v/>
      </c>
      <c r="K203" s="35" t="str">
        <f>IF(Сценарии_расчёт!$D175=1,Сценарии_расчёт!$AU175,"")</f>
        <v/>
      </c>
      <c r="M203" s="50" t="str">
        <f>IF(Сценарии_расчёт!$D175=1,Сценарии_расчёт!$B175,"")</f>
        <v/>
      </c>
      <c r="N203" s="35" t="str">
        <f>IF(Сценарии_расчёт!$D175=1,Сценарии_расчёт!$BE175,"")</f>
        <v/>
      </c>
      <c r="O203" s="35" t="str">
        <f>IF(Сценарии_расчёт!$D175=1,Сценарии_расчёт!$BF175,"")</f>
        <v/>
      </c>
      <c r="P203" s="35" t="str">
        <f>IF(Сценарии_расчёт!$D175=1,Сценарии_расчёт!$BQ175,"")</f>
        <v/>
      </c>
      <c r="Q203" s="35" t="str">
        <f>IF(Сценарии_расчёт!$D175=1,Сценарии_расчёт!$BR175,"")</f>
        <v/>
      </c>
    </row>
    <row r="204" spans="1:17" x14ac:dyDescent="0.2">
      <c r="A204" s="50" t="str">
        <f>IF(Сценарии_расчёт!$D176=1,Сценарии_расчёт!$B176,"")</f>
        <v/>
      </c>
      <c r="B204" s="35" t="str">
        <f>IF(Сценарии_расчёт!$D176=1,Сценарии_расчёт!$K176,"")</f>
        <v/>
      </c>
      <c r="C204" s="35" t="str">
        <f>IF(Сценарии_расчёт!$D176=1,Сценарии_расчёт!$L176,"")</f>
        <v/>
      </c>
      <c r="D204" s="35" t="str">
        <f>IF(Сценарии_расчёт!$D176=1,Сценарии_расчёт!$W176,"")</f>
        <v/>
      </c>
      <c r="E204" s="35" t="str">
        <f>IF(Сценарии_расчёт!$D176=1,Сценарии_расчёт!$X176,"")</f>
        <v/>
      </c>
      <c r="G204" s="50" t="str">
        <f>IF(Сценарии_расчёт!$D176=1,Сценарии_расчёт!$B176,"")</f>
        <v/>
      </c>
      <c r="H204" s="35" t="str">
        <f>IF(Сценарии_расчёт!$D176=1,Сценарии_расчёт!$AH176,"")</f>
        <v/>
      </c>
      <c r="I204" s="35" t="str">
        <f>IF(Сценарии_расчёт!$D176=1,Сценарии_расчёт!$AI176,"")</f>
        <v/>
      </c>
      <c r="J204" s="35" t="str">
        <f>IF(Сценарии_расчёт!$D176=1,Сценарии_расчёт!$AT176,"")</f>
        <v/>
      </c>
      <c r="K204" s="35" t="str">
        <f>IF(Сценарии_расчёт!$D176=1,Сценарии_расчёт!$AU176,"")</f>
        <v/>
      </c>
      <c r="M204" s="50" t="str">
        <f>IF(Сценарии_расчёт!$D176=1,Сценарии_расчёт!$B176,"")</f>
        <v/>
      </c>
      <c r="N204" s="35" t="str">
        <f>IF(Сценарии_расчёт!$D176=1,Сценарии_расчёт!$BE176,"")</f>
        <v/>
      </c>
      <c r="O204" s="35" t="str">
        <f>IF(Сценарии_расчёт!$D176=1,Сценарии_расчёт!$BF176,"")</f>
        <v/>
      </c>
      <c r="P204" s="35" t="str">
        <f>IF(Сценарии_расчёт!$D176=1,Сценарии_расчёт!$BQ176,"")</f>
        <v/>
      </c>
      <c r="Q204" s="35" t="str">
        <f>IF(Сценарии_расчёт!$D176=1,Сценарии_расчёт!$BR176,"")</f>
        <v/>
      </c>
    </row>
    <row r="205" spans="1:17" x14ac:dyDescent="0.2">
      <c r="A205" s="50" t="str">
        <f>IF(Сценарии_расчёт!$D177=1,Сценарии_расчёт!$B177,"")</f>
        <v/>
      </c>
      <c r="B205" s="35" t="str">
        <f>IF(Сценарии_расчёт!$D177=1,Сценарии_расчёт!$K177,"")</f>
        <v/>
      </c>
      <c r="C205" s="35" t="str">
        <f>IF(Сценарии_расчёт!$D177=1,Сценарии_расчёт!$L177,"")</f>
        <v/>
      </c>
      <c r="D205" s="35" t="str">
        <f>IF(Сценарии_расчёт!$D177=1,Сценарии_расчёт!$W177,"")</f>
        <v/>
      </c>
      <c r="E205" s="35" t="str">
        <f>IF(Сценарии_расчёт!$D177=1,Сценарии_расчёт!$X177,"")</f>
        <v/>
      </c>
      <c r="G205" s="50" t="str">
        <f>IF(Сценарии_расчёт!$D177=1,Сценарии_расчёт!$B177,"")</f>
        <v/>
      </c>
      <c r="H205" s="35" t="str">
        <f>IF(Сценарии_расчёт!$D177=1,Сценарии_расчёт!$AH177,"")</f>
        <v/>
      </c>
      <c r="I205" s="35" t="str">
        <f>IF(Сценарии_расчёт!$D177=1,Сценарии_расчёт!$AI177,"")</f>
        <v/>
      </c>
      <c r="J205" s="35" t="str">
        <f>IF(Сценарии_расчёт!$D177=1,Сценарии_расчёт!$AT177,"")</f>
        <v/>
      </c>
      <c r="K205" s="35" t="str">
        <f>IF(Сценарии_расчёт!$D177=1,Сценарии_расчёт!$AU177,"")</f>
        <v/>
      </c>
      <c r="M205" s="50" t="str">
        <f>IF(Сценарии_расчёт!$D177=1,Сценарии_расчёт!$B177,"")</f>
        <v/>
      </c>
      <c r="N205" s="35" t="str">
        <f>IF(Сценарии_расчёт!$D177=1,Сценарии_расчёт!$BE177,"")</f>
        <v/>
      </c>
      <c r="O205" s="35" t="str">
        <f>IF(Сценарии_расчёт!$D177=1,Сценарии_расчёт!$BF177,"")</f>
        <v/>
      </c>
      <c r="P205" s="35" t="str">
        <f>IF(Сценарии_расчёт!$D177=1,Сценарии_расчёт!$BQ177,"")</f>
        <v/>
      </c>
      <c r="Q205" s="35" t="str">
        <f>IF(Сценарии_расчёт!$D177=1,Сценарии_расчёт!$BR177,"")</f>
        <v/>
      </c>
    </row>
    <row r="206" spans="1:17" x14ac:dyDescent="0.2">
      <c r="A206" s="50" t="str">
        <f>IF(Сценарии_расчёт!$D178=1,Сценарии_расчёт!$B178,"")</f>
        <v/>
      </c>
      <c r="B206" s="35" t="str">
        <f>IF(Сценарии_расчёт!$D178=1,Сценарии_расчёт!$K178,"")</f>
        <v/>
      </c>
      <c r="C206" s="35" t="str">
        <f>IF(Сценарии_расчёт!$D178=1,Сценарии_расчёт!$L178,"")</f>
        <v/>
      </c>
      <c r="D206" s="35" t="str">
        <f>IF(Сценарии_расчёт!$D178=1,Сценарии_расчёт!$W178,"")</f>
        <v/>
      </c>
      <c r="E206" s="35" t="str">
        <f>IF(Сценарии_расчёт!$D178=1,Сценарии_расчёт!$X178,"")</f>
        <v/>
      </c>
      <c r="G206" s="50" t="str">
        <f>IF(Сценарии_расчёт!$D178=1,Сценарии_расчёт!$B178,"")</f>
        <v/>
      </c>
      <c r="H206" s="35" t="str">
        <f>IF(Сценарии_расчёт!$D178=1,Сценарии_расчёт!$AH178,"")</f>
        <v/>
      </c>
      <c r="I206" s="35" t="str">
        <f>IF(Сценарии_расчёт!$D178=1,Сценарии_расчёт!$AI178,"")</f>
        <v/>
      </c>
      <c r="J206" s="35" t="str">
        <f>IF(Сценарии_расчёт!$D178=1,Сценарии_расчёт!$AT178,"")</f>
        <v/>
      </c>
      <c r="K206" s="35" t="str">
        <f>IF(Сценарии_расчёт!$D178=1,Сценарии_расчёт!$AU178,"")</f>
        <v/>
      </c>
      <c r="M206" s="50" t="str">
        <f>IF(Сценарии_расчёт!$D178=1,Сценарии_расчёт!$B178,"")</f>
        <v/>
      </c>
      <c r="N206" s="35" t="str">
        <f>IF(Сценарии_расчёт!$D178=1,Сценарии_расчёт!$BE178,"")</f>
        <v/>
      </c>
      <c r="O206" s="35" t="str">
        <f>IF(Сценарии_расчёт!$D178=1,Сценарии_расчёт!$BF178,"")</f>
        <v/>
      </c>
      <c r="P206" s="35" t="str">
        <f>IF(Сценарии_расчёт!$D178=1,Сценарии_расчёт!$BQ178,"")</f>
        <v/>
      </c>
      <c r="Q206" s="35" t="str">
        <f>IF(Сценарии_расчёт!$D178=1,Сценарии_расчёт!$BR178,"")</f>
        <v/>
      </c>
    </row>
    <row r="207" spans="1:17" x14ac:dyDescent="0.2">
      <c r="A207" s="50" t="str">
        <f>IF(Сценарии_расчёт!$D179=1,Сценарии_расчёт!$B179,"")</f>
        <v/>
      </c>
      <c r="B207" s="35" t="str">
        <f>IF(Сценарии_расчёт!$D179=1,Сценарии_расчёт!$K179,"")</f>
        <v/>
      </c>
      <c r="C207" s="35" t="str">
        <f>IF(Сценарии_расчёт!$D179=1,Сценарии_расчёт!$L179,"")</f>
        <v/>
      </c>
      <c r="D207" s="35" t="str">
        <f>IF(Сценарии_расчёт!$D179=1,Сценарии_расчёт!$W179,"")</f>
        <v/>
      </c>
      <c r="E207" s="35" t="str">
        <f>IF(Сценарии_расчёт!$D179=1,Сценарии_расчёт!$X179,"")</f>
        <v/>
      </c>
      <c r="G207" s="50" t="str">
        <f>IF(Сценарии_расчёт!$D179=1,Сценарии_расчёт!$B179,"")</f>
        <v/>
      </c>
      <c r="H207" s="35" t="str">
        <f>IF(Сценарии_расчёт!$D179=1,Сценарии_расчёт!$AH179,"")</f>
        <v/>
      </c>
      <c r="I207" s="35" t="str">
        <f>IF(Сценарии_расчёт!$D179=1,Сценарии_расчёт!$AI179,"")</f>
        <v/>
      </c>
      <c r="J207" s="35" t="str">
        <f>IF(Сценарии_расчёт!$D179=1,Сценарии_расчёт!$AT179,"")</f>
        <v/>
      </c>
      <c r="K207" s="35" t="str">
        <f>IF(Сценарии_расчёт!$D179=1,Сценарии_расчёт!$AU179,"")</f>
        <v/>
      </c>
      <c r="M207" s="50" t="str">
        <f>IF(Сценарии_расчёт!$D179=1,Сценарии_расчёт!$B179,"")</f>
        <v/>
      </c>
      <c r="N207" s="35" t="str">
        <f>IF(Сценарии_расчёт!$D179=1,Сценарии_расчёт!$BE179,"")</f>
        <v/>
      </c>
      <c r="O207" s="35" t="str">
        <f>IF(Сценарии_расчёт!$D179=1,Сценарии_расчёт!$BF179,"")</f>
        <v/>
      </c>
      <c r="P207" s="35" t="str">
        <f>IF(Сценарии_расчёт!$D179=1,Сценарии_расчёт!$BQ179,"")</f>
        <v/>
      </c>
      <c r="Q207" s="35" t="str">
        <f>IF(Сценарии_расчёт!$D179=1,Сценарии_расчёт!$BR179,"")</f>
        <v/>
      </c>
    </row>
    <row r="208" spans="1:17" x14ac:dyDescent="0.2">
      <c r="A208" s="50" t="str">
        <f>IF(Сценарии_расчёт!$D180=1,Сценарии_расчёт!$B180,"")</f>
        <v/>
      </c>
      <c r="B208" s="35" t="str">
        <f>IF(Сценарии_расчёт!$D180=1,Сценарии_расчёт!$K180,"")</f>
        <v/>
      </c>
      <c r="C208" s="35" t="str">
        <f>IF(Сценарии_расчёт!$D180=1,Сценарии_расчёт!$L180,"")</f>
        <v/>
      </c>
      <c r="D208" s="35" t="str">
        <f>IF(Сценарии_расчёт!$D180=1,Сценарии_расчёт!$W180,"")</f>
        <v/>
      </c>
      <c r="E208" s="35" t="str">
        <f>IF(Сценарии_расчёт!$D180=1,Сценарии_расчёт!$X180,"")</f>
        <v/>
      </c>
      <c r="G208" s="50" t="str">
        <f>IF(Сценарии_расчёт!$D180=1,Сценарии_расчёт!$B180,"")</f>
        <v/>
      </c>
      <c r="H208" s="35" t="str">
        <f>IF(Сценарии_расчёт!$D180=1,Сценарии_расчёт!$AH180,"")</f>
        <v/>
      </c>
      <c r="I208" s="35" t="str">
        <f>IF(Сценарии_расчёт!$D180=1,Сценарии_расчёт!$AI180,"")</f>
        <v/>
      </c>
      <c r="J208" s="35" t="str">
        <f>IF(Сценарии_расчёт!$D180=1,Сценарии_расчёт!$AT180,"")</f>
        <v/>
      </c>
      <c r="K208" s="35" t="str">
        <f>IF(Сценарии_расчёт!$D180=1,Сценарии_расчёт!$AU180,"")</f>
        <v/>
      </c>
      <c r="M208" s="50" t="str">
        <f>IF(Сценарии_расчёт!$D180=1,Сценарии_расчёт!$B180,"")</f>
        <v/>
      </c>
      <c r="N208" s="35" t="str">
        <f>IF(Сценарии_расчёт!$D180=1,Сценарии_расчёт!$BE180,"")</f>
        <v/>
      </c>
      <c r="O208" s="35" t="str">
        <f>IF(Сценарии_расчёт!$D180=1,Сценарии_расчёт!$BF180,"")</f>
        <v/>
      </c>
      <c r="P208" s="35" t="str">
        <f>IF(Сценарии_расчёт!$D180=1,Сценарии_расчёт!$BQ180,"")</f>
        <v/>
      </c>
      <c r="Q208" s="35" t="str">
        <f>IF(Сценарии_расчёт!$D180=1,Сценарии_расчёт!$BR180,"")</f>
        <v/>
      </c>
    </row>
    <row r="209" spans="1:17" x14ac:dyDescent="0.2">
      <c r="A209" s="50" t="str">
        <f>IF(Сценарии_расчёт!$D181=1,Сценарии_расчёт!$B181,"")</f>
        <v/>
      </c>
      <c r="B209" s="35" t="str">
        <f>IF(Сценарии_расчёт!$D181=1,Сценарии_расчёт!$K181,"")</f>
        <v/>
      </c>
      <c r="C209" s="35" t="str">
        <f>IF(Сценарии_расчёт!$D181=1,Сценарии_расчёт!$L181,"")</f>
        <v/>
      </c>
      <c r="D209" s="35" t="str">
        <f>IF(Сценарии_расчёт!$D181=1,Сценарии_расчёт!$W181,"")</f>
        <v/>
      </c>
      <c r="E209" s="35" t="str">
        <f>IF(Сценарии_расчёт!$D181=1,Сценарии_расчёт!$X181,"")</f>
        <v/>
      </c>
      <c r="G209" s="50" t="str">
        <f>IF(Сценарии_расчёт!$D181=1,Сценарии_расчёт!$B181,"")</f>
        <v/>
      </c>
      <c r="H209" s="35" t="str">
        <f>IF(Сценарии_расчёт!$D181=1,Сценарии_расчёт!$AH181,"")</f>
        <v/>
      </c>
      <c r="I209" s="35" t="str">
        <f>IF(Сценарии_расчёт!$D181=1,Сценарии_расчёт!$AI181,"")</f>
        <v/>
      </c>
      <c r="J209" s="35" t="str">
        <f>IF(Сценарии_расчёт!$D181=1,Сценарии_расчёт!$AT181,"")</f>
        <v/>
      </c>
      <c r="K209" s="35" t="str">
        <f>IF(Сценарии_расчёт!$D181=1,Сценарии_расчёт!$AU181,"")</f>
        <v/>
      </c>
      <c r="M209" s="50" t="str">
        <f>IF(Сценарии_расчёт!$D181=1,Сценарии_расчёт!$B181,"")</f>
        <v/>
      </c>
      <c r="N209" s="35" t="str">
        <f>IF(Сценарии_расчёт!$D181=1,Сценарии_расчёт!$BE181,"")</f>
        <v/>
      </c>
      <c r="O209" s="35" t="str">
        <f>IF(Сценарии_расчёт!$D181=1,Сценарии_расчёт!$BF181,"")</f>
        <v/>
      </c>
      <c r="P209" s="35" t="str">
        <f>IF(Сценарии_расчёт!$D181=1,Сценарии_расчёт!$BQ181,"")</f>
        <v/>
      </c>
      <c r="Q209" s="35" t="str">
        <f>IF(Сценарии_расчёт!$D181=1,Сценарии_расчёт!$BR181,"")</f>
        <v/>
      </c>
    </row>
    <row r="210" spans="1:17" x14ac:dyDescent="0.2">
      <c r="A210" s="50" t="str">
        <f>IF(Сценарии_расчёт!$D182=1,Сценарии_расчёт!$B182,"")</f>
        <v/>
      </c>
      <c r="B210" s="35" t="str">
        <f>IF(Сценарии_расчёт!$D182=1,Сценарии_расчёт!$K182,"")</f>
        <v/>
      </c>
      <c r="C210" s="35" t="str">
        <f>IF(Сценарии_расчёт!$D182=1,Сценарии_расчёт!$L182,"")</f>
        <v/>
      </c>
      <c r="D210" s="35" t="str">
        <f>IF(Сценарии_расчёт!$D182=1,Сценарии_расчёт!$W182,"")</f>
        <v/>
      </c>
      <c r="E210" s="35" t="str">
        <f>IF(Сценарии_расчёт!$D182=1,Сценарии_расчёт!$X182,"")</f>
        <v/>
      </c>
      <c r="G210" s="50" t="str">
        <f>IF(Сценарии_расчёт!$D182=1,Сценарии_расчёт!$B182,"")</f>
        <v/>
      </c>
      <c r="H210" s="35" t="str">
        <f>IF(Сценарии_расчёт!$D182=1,Сценарии_расчёт!$AH182,"")</f>
        <v/>
      </c>
      <c r="I210" s="35" t="str">
        <f>IF(Сценарии_расчёт!$D182=1,Сценарии_расчёт!$AI182,"")</f>
        <v/>
      </c>
      <c r="J210" s="35" t="str">
        <f>IF(Сценарии_расчёт!$D182=1,Сценарии_расчёт!$AT182,"")</f>
        <v/>
      </c>
      <c r="K210" s="35" t="str">
        <f>IF(Сценарии_расчёт!$D182=1,Сценарии_расчёт!$AU182,"")</f>
        <v/>
      </c>
      <c r="M210" s="50" t="str">
        <f>IF(Сценарии_расчёт!$D182=1,Сценарии_расчёт!$B182,"")</f>
        <v/>
      </c>
      <c r="N210" s="35" t="str">
        <f>IF(Сценарии_расчёт!$D182=1,Сценарии_расчёт!$BE182,"")</f>
        <v/>
      </c>
      <c r="O210" s="35" t="str">
        <f>IF(Сценарии_расчёт!$D182=1,Сценарии_расчёт!$BF182,"")</f>
        <v/>
      </c>
      <c r="P210" s="35" t="str">
        <f>IF(Сценарии_расчёт!$D182=1,Сценарии_расчёт!$BQ182,"")</f>
        <v/>
      </c>
      <c r="Q210" s="35" t="str">
        <f>IF(Сценарии_расчёт!$D182=1,Сценарии_расчёт!$BR182,"")</f>
        <v/>
      </c>
    </row>
    <row r="211" spans="1:17" x14ac:dyDescent="0.2">
      <c r="A211" s="50" t="str">
        <f>IF(Сценарии_расчёт!$D183=1,Сценарии_расчёт!$B183,"")</f>
        <v/>
      </c>
      <c r="B211" s="35" t="str">
        <f>IF(Сценарии_расчёт!$D183=1,Сценарии_расчёт!$K183,"")</f>
        <v/>
      </c>
      <c r="C211" s="35" t="str">
        <f>IF(Сценарии_расчёт!$D183=1,Сценарии_расчёт!$L183,"")</f>
        <v/>
      </c>
      <c r="D211" s="35" t="str">
        <f>IF(Сценарии_расчёт!$D183=1,Сценарии_расчёт!$W183,"")</f>
        <v/>
      </c>
      <c r="E211" s="35" t="str">
        <f>IF(Сценарии_расчёт!$D183=1,Сценарии_расчёт!$X183,"")</f>
        <v/>
      </c>
      <c r="G211" s="50" t="str">
        <f>IF(Сценарии_расчёт!$D183=1,Сценарии_расчёт!$B183,"")</f>
        <v/>
      </c>
      <c r="H211" s="35" t="str">
        <f>IF(Сценарии_расчёт!$D183=1,Сценарии_расчёт!$AH183,"")</f>
        <v/>
      </c>
      <c r="I211" s="35" t="str">
        <f>IF(Сценарии_расчёт!$D183=1,Сценарии_расчёт!$AI183,"")</f>
        <v/>
      </c>
      <c r="J211" s="35" t="str">
        <f>IF(Сценарии_расчёт!$D183=1,Сценарии_расчёт!$AT183,"")</f>
        <v/>
      </c>
      <c r="K211" s="35" t="str">
        <f>IF(Сценарии_расчёт!$D183=1,Сценарии_расчёт!$AU183,"")</f>
        <v/>
      </c>
      <c r="M211" s="50" t="str">
        <f>IF(Сценарии_расчёт!$D183=1,Сценарии_расчёт!$B183,"")</f>
        <v/>
      </c>
      <c r="N211" s="35" t="str">
        <f>IF(Сценарии_расчёт!$D183=1,Сценарии_расчёт!$BE183,"")</f>
        <v/>
      </c>
      <c r="O211" s="35" t="str">
        <f>IF(Сценарии_расчёт!$D183=1,Сценарии_расчёт!$BF183,"")</f>
        <v/>
      </c>
      <c r="P211" s="35" t="str">
        <f>IF(Сценарии_расчёт!$D183=1,Сценарии_расчёт!$BQ183,"")</f>
        <v/>
      </c>
      <c r="Q211" s="35" t="str">
        <f>IF(Сценарии_расчёт!$D183=1,Сценарии_расчёт!$BR183,"")</f>
        <v/>
      </c>
    </row>
    <row r="212" spans="1:17" x14ac:dyDescent="0.2">
      <c r="A212" s="50" t="str">
        <f>IF(Сценарии_расчёт!$D184=1,Сценарии_расчёт!$B184,"")</f>
        <v/>
      </c>
      <c r="B212" s="35" t="str">
        <f>IF(Сценарии_расчёт!$D184=1,Сценарии_расчёт!$K184,"")</f>
        <v/>
      </c>
      <c r="C212" s="35" t="str">
        <f>IF(Сценарии_расчёт!$D184=1,Сценарии_расчёт!$L184,"")</f>
        <v/>
      </c>
      <c r="D212" s="35" t="str">
        <f>IF(Сценарии_расчёт!$D184=1,Сценарии_расчёт!$W184,"")</f>
        <v/>
      </c>
      <c r="E212" s="35" t="str">
        <f>IF(Сценарии_расчёт!$D184=1,Сценарии_расчёт!$X184,"")</f>
        <v/>
      </c>
      <c r="G212" s="50" t="str">
        <f>IF(Сценарии_расчёт!$D184=1,Сценарии_расчёт!$B184,"")</f>
        <v/>
      </c>
      <c r="H212" s="35" t="str">
        <f>IF(Сценарии_расчёт!$D184=1,Сценарии_расчёт!$AH184,"")</f>
        <v/>
      </c>
      <c r="I212" s="35" t="str">
        <f>IF(Сценарии_расчёт!$D184=1,Сценарии_расчёт!$AI184,"")</f>
        <v/>
      </c>
      <c r="J212" s="35" t="str">
        <f>IF(Сценарии_расчёт!$D184=1,Сценарии_расчёт!$AT184,"")</f>
        <v/>
      </c>
      <c r="K212" s="35" t="str">
        <f>IF(Сценарии_расчёт!$D184=1,Сценарии_расчёт!$AU184,"")</f>
        <v/>
      </c>
      <c r="M212" s="50" t="str">
        <f>IF(Сценарии_расчёт!$D184=1,Сценарии_расчёт!$B184,"")</f>
        <v/>
      </c>
      <c r="N212" s="35" t="str">
        <f>IF(Сценарии_расчёт!$D184=1,Сценарии_расчёт!$BE184,"")</f>
        <v/>
      </c>
      <c r="O212" s="35" t="str">
        <f>IF(Сценарии_расчёт!$D184=1,Сценарии_расчёт!$BF184,"")</f>
        <v/>
      </c>
      <c r="P212" s="35" t="str">
        <f>IF(Сценарии_расчёт!$D184=1,Сценарии_расчёт!$BQ184,"")</f>
        <v/>
      </c>
      <c r="Q212" s="35" t="str">
        <f>IF(Сценарии_расчёт!$D184=1,Сценарии_расчёт!$BR184,"")</f>
        <v/>
      </c>
    </row>
    <row r="213" spans="1:17" x14ac:dyDescent="0.2">
      <c r="A213" s="50" t="str">
        <f>IF(Сценарии_расчёт!$D185=1,Сценарии_расчёт!$B185,"")</f>
        <v/>
      </c>
      <c r="B213" s="35" t="str">
        <f>IF(Сценарии_расчёт!$D185=1,Сценарии_расчёт!$K185,"")</f>
        <v/>
      </c>
      <c r="C213" s="35" t="str">
        <f>IF(Сценарии_расчёт!$D185=1,Сценарии_расчёт!$L185,"")</f>
        <v/>
      </c>
      <c r="D213" s="35" t="str">
        <f>IF(Сценарии_расчёт!$D185=1,Сценарии_расчёт!$W185,"")</f>
        <v/>
      </c>
      <c r="E213" s="35" t="str">
        <f>IF(Сценарии_расчёт!$D185=1,Сценарии_расчёт!$X185,"")</f>
        <v/>
      </c>
      <c r="G213" s="50" t="str">
        <f>IF(Сценарии_расчёт!$D185=1,Сценарии_расчёт!$B185,"")</f>
        <v/>
      </c>
      <c r="H213" s="35" t="str">
        <f>IF(Сценарии_расчёт!$D185=1,Сценарии_расчёт!$AH185,"")</f>
        <v/>
      </c>
      <c r="I213" s="35" t="str">
        <f>IF(Сценарии_расчёт!$D185=1,Сценарии_расчёт!$AI185,"")</f>
        <v/>
      </c>
      <c r="J213" s="35" t="str">
        <f>IF(Сценарии_расчёт!$D185=1,Сценарии_расчёт!$AT185,"")</f>
        <v/>
      </c>
      <c r="K213" s="35" t="str">
        <f>IF(Сценарии_расчёт!$D185=1,Сценарии_расчёт!$AU185,"")</f>
        <v/>
      </c>
      <c r="M213" s="50" t="str">
        <f>IF(Сценарии_расчёт!$D185=1,Сценарии_расчёт!$B185,"")</f>
        <v/>
      </c>
      <c r="N213" s="35" t="str">
        <f>IF(Сценарии_расчёт!$D185=1,Сценарии_расчёт!$BE185,"")</f>
        <v/>
      </c>
      <c r="O213" s="35" t="str">
        <f>IF(Сценарии_расчёт!$D185=1,Сценарии_расчёт!$BF185,"")</f>
        <v/>
      </c>
      <c r="P213" s="35" t="str">
        <f>IF(Сценарии_расчёт!$D185=1,Сценарии_расчёт!$BQ185,"")</f>
        <v/>
      </c>
      <c r="Q213" s="35" t="str">
        <f>IF(Сценарии_расчёт!$D185=1,Сценарии_расчёт!$BR185,"")</f>
        <v/>
      </c>
    </row>
    <row r="214" spans="1:17" x14ac:dyDescent="0.2">
      <c r="A214" s="50" t="str">
        <f>IF(Сценарии_расчёт!$D186=1,Сценарии_расчёт!$B186,"")</f>
        <v/>
      </c>
      <c r="B214" s="35" t="str">
        <f>IF(Сценарии_расчёт!$D186=1,Сценарии_расчёт!$K186,"")</f>
        <v/>
      </c>
      <c r="C214" s="35" t="str">
        <f>IF(Сценарии_расчёт!$D186=1,Сценарии_расчёт!$L186,"")</f>
        <v/>
      </c>
      <c r="D214" s="35" t="str">
        <f>IF(Сценарии_расчёт!$D186=1,Сценарии_расчёт!$W186,"")</f>
        <v/>
      </c>
      <c r="E214" s="35" t="str">
        <f>IF(Сценарии_расчёт!$D186=1,Сценарии_расчёт!$X186,"")</f>
        <v/>
      </c>
      <c r="G214" s="50" t="str">
        <f>IF(Сценарии_расчёт!$D186=1,Сценарии_расчёт!$B186,"")</f>
        <v/>
      </c>
      <c r="H214" s="35" t="str">
        <f>IF(Сценарии_расчёт!$D186=1,Сценарии_расчёт!$AH186,"")</f>
        <v/>
      </c>
      <c r="I214" s="35" t="str">
        <f>IF(Сценарии_расчёт!$D186=1,Сценарии_расчёт!$AI186,"")</f>
        <v/>
      </c>
      <c r="J214" s="35" t="str">
        <f>IF(Сценарии_расчёт!$D186=1,Сценарии_расчёт!$AT186,"")</f>
        <v/>
      </c>
      <c r="K214" s="35" t="str">
        <f>IF(Сценарии_расчёт!$D186=1,Сценарии_расчёт!$AU186,"")</f>
        <v/>
      </c>
      <c r="M214" s="50" t="str">
        <f>IF(Сценарии_расчёт!$D186=1,Сценарии_расчёт!$B186,"")</f>
        <v/>
      </c>
      <c r="N214" s="35" t="str">
        <f>IF(Сценарии_расчёт!$D186=1,Сценарии_расчёт!$BE186,"")</f>
        <v/>
      </c>
      <c r="O214" s="35" t="str">
        <f>IF(Сценарии_расчёт!$D186=1,Сценарии_расчёт!$BF186,"")</f>
        <v/>
      </c>
      <c r="P214" s="35" t="str">
        <f>IF(Сценарии_расчёт!$D186=1,Сценарии_расчёт!$BQ186,"")</f>
        <v/>
      </c>
      <c r="Q214" s="35" t="str">
        <f>IF(Сценарии_расчёт!$D186=1,Сценарии_расчёт!$BR186,"")</f>
        <v/>
      </c>
    </row>
    <row r="215" spans="1:17" x14ac:dyDescent="0.2">
      <c r="A215" s="50" t="str">
        <f>IF(Сценарии_расчёт!$D187=1,Сценарии_расчёт!$B187,"")</f>
        <v/>
      </c>
      <c r="B215" s="35" t="str">
        <f>IF(Сценарии_расчёт!$D187=1,Сценарии_расчёт!$K187,"")</f>
        <v/>
      </c>
      <c r="C215" s="35" t="str">
        <f>IF(Сценарии_расчёт!$D187=1,Сценарии_расчёт!$L187,"")</f>
        <v/>
      </c>
      <c r="D215" s="35" t="str">
        <f>IF(Сценарии_расчёт!$D187=1,Сценарии_расчёт!$W187,"")</f>
        <v/>
      </c>
      <c r="E215" s="35" t="str">
        <f>IF(Сценарии_расчёт!$D187=1,Сценарии_расчёт!$X187,"")</f>
        <v/>
      </c>
      <c r="G215" s="50" t="str">
        <f>IF(Сценарии_расчёт!$D187=1,Сценарии_расчёт!$B187,"")</f>
        <v/>
      </c>
      <c r="H215" s="35" t="str">
        <f>IF(Сценарии_расчёт!$D187=1,Сценарии_расчёт!$AH187,"")</f>
        <v/>
      </c>
      <c r="I215" s="35" t="str">
        <f>IF(Сценарии_расчёт!$D187=1,Сценарии_расчёт!$AI187,"")</f>
        <v/>
      </c>
      <c r="J215" s="35" t="str">
        <f>IF(Сценарии_расчёт!$D187=1,Сценарии_расчёт!$AT187,"")</f>
        <v/>
      </c>
      <c r="K215" s="35" t="str">
        <f>IF(Сценарии_расчёт!$D187=1,Сценарии_расчёт!$AU187,"")</f>
        <v/>
      </c>
      <c r="M215" s="50" t="str">
        <f>IF(Сценарии_расчёт!$D187=1,Сценарии_расчёт!$B187,"")</f>
        <v/>
      </c>
      <c r="N215" s="35" t="str">
        <f>IF(Сценарии_расчёт!$D187=1,Сценарии_расчёт!$BE187,"")</f>
        <v/>
      </c>
      <c r="O215" s="35" t="str">
        <f>IF(Сценарии_расчёт!$D187=1,Сценарии_расчёт!$BF187,"")</f>
        <v/>
      </c>
      <c r="P215" s="35" t="str">
        <f>IF(Сценарии_расчёт!$D187=1,Сценарии_расчёт!$BQ187,"")</f>
        <v/>
      </c>
      <c r="Q215" s="35" t="str">
        <f>IF(Сценарии_расчёт!$D187=1,Сценарии_расчёт!$BR187,"")</f>
        <v/>
      </c>
    </row>
    <row r="216" spans="1:17" x14ac:dyDescent="0.2">
      <c r="A216" s="50" t="str">
        <f>IF(Сценарии_расчёт!$D188=1,Сценарии_расчёт!$B188,"")</f>
        <v/>
      </c>
      <c r="B216" s="35" t="str">
        <f>IF(Сценарии_расчёт!$D188=1,Сценарии_расчёт!$K188,"")</f>
        <v/>
      </c>
      <c r="C216" s="35" t="str">
        <f>IF(Сценарии_расчёт!$D188=1,Сценарии_расчёт!$L188,"")</f>
        <v/>
      </c>
      <c r="D216" s="35" t="str">
        <f>IF(Сценарии_расчёт!$D188=1,Сценарии_расчёт!$W188,"")</f>
        <v/>
      </c>
      <c r="E216" s="35" t="str">
        <f>IF(Сценарии_расчёт!$D188=1,Сценарии_расчёт!$X188,"")</f>
        <v/>
      </c>
      <c r="G216" s="50" t="str">
        <f>IF(Сценарии_расчёт!$D188=1,Сценарии_расчёт!$B188,"")</f>
        <v/>
      </c>
      <c r="H216" s="35" t="str">
        <f>IF(Сценарии_расчёт!$D188=1,Сценарии_расчёт!$AH188,"")</f>
        <v/>
      </c>
      <c r="I216" s="35" t="str">
        <f>IF(Сценарии_расчёт!$D188=1,Сценарии_расчёт!$AI188,"")</f>
        <v/>
      </c>
      <c r="J216" s="35" t="str">
        <f>IF(Сценарии_расчёт!$D188=1,Сценарии_расчёт!$AT188,"")</f>
        <v/>
      </c>
      <c r="K216" s="35" t="str">
        <f>IF(Сценарии_расчёт!$D188=1,Сценарии_расчёт!$AU188,"")</f>
        <v/>
      </c>
      <c r="M216" s="50" t="str">
        <f>IF(Сценарии_расчёт!$D188=1,Сценарии_расчёт!$B188,"")</f>
        <v/>
      </c>
      <c r="N216" s="35" t="str">
        <f>IF(Сценарии_расчёт!$D188=1,Сценарии_расчёт!$BE188,"")</f>
        <v/>
      </c>
      <c r="O216" s="35" t="str">
        <f>IF(Сценарии_расчёт!$D188=1,Сценарии_расчёт!$BF188,"")</f>
        <v/>
      </c>
      <c r="P216" s="35" t="str">
        <f>IF(Сценарии_расчёт!$D188=1,Сценарии_расчёт!$BQ188,"")</f>
        <v/>
      </c>
      <c r="Q216" s="35" t="str">
        <f>IF(Сценарии_расчёт!$D188=1,Сценарии_расчёт!$BR188,"")</f>
        <v/>
      </c>
    </row>
    <row r="217" spans="1:17" x14ac:dyDescent="0.2">
      <c r="A217" s="50" t="str">
        <f>IF(Сценарии_расчёт!$D189=1,Сценарии_расчёт!$B189,"")</f>
        <v/>
      </c>
      <c r="B217" s="35" t="str">
        <f>IF(Сценарии_расчёт!$D189=1,Сценарии_расчёт!$K189,"")</f>
        <v/>
      </c>
      <c r="C217" s="35" t="str">
        <f>IF(Сценарии_расчёт!$D189=1,Сценарии_расчёт!$L189,"")</f>
        <v/>
      </c>
      <c r="D217" s="35" t="str">
        <f>IF(Сценарии_расчёт!$D189=1,Сценарии_расчёт!$W189,"")</f>
        <v/>
      </c>
      <c r="E217" s="35" t="str">
        <f>IF(Сценарии_расчёт!$D189=1,Сценарии_расчёт!$X189,"")</f>
        <v/>
      </c>
      <c r="G217" s="50" t="str">
        <f>IF(Сценарии_расчёт!$D189=1,Сценарии_расчёт!$B189,"")</f>
        <v/>
      </c>
      <c r="H217" s="35" t="str">
        <f>IF(Сценарии_расчёт!$D189=1,Сценарии_расчёт!$AH189,"")</f>
        <v/>
      </c>
      <c r="I217" s="35" t="str">
        <f>IF(Сценарии_расчёт!$D189=1,Сценарии_расчёт!$AI189,"")</f>
        <v/>
      </c>
      <c r="J217" s="35" t="str">
        <f>IF(Сценарии_расчёт!$D189=1,Сценарии_расчёт!$AT189,"")</f>
        <v/>
      </c>
      <c r="K217" s="35" t="str">
        <f>IF(Сценарии_расчёт!$D189=1,Сценарии_расчёт!$AU189,"")</f>
        <v/>
      </c>
      <c r="M217" s="50" t="str">
        <f>IF(Сценарии_расчёт!$D189=1,Сценарии_расчёт!$B189,"")</f>
        <v/>
      </c>
      <c r="N217" s="35" t="str">
        <f>IF(Сценарии_расчёт!$D189=1,Сценарии_расчёт!$BE189,"")</f>
        <v/>
      </c>
      <c r="O217" s="35" t="str">
        <f>IF(Сценарии_расчёт!$D189=1,Сценарии_расчёт!$BF189,"")</f>
        <v/>
      </c>
      <c r="P217" s="35" t="str">
        <f>IF(Сценарии_расчёт!$D189=1,Сценарии_расчёт!$BQ189,"")</f>
        <v/>
      </c>
      <c r="Q217" s="35" t="str">
        <f>IF(Сценарии_расчёт!$D189=1,Сценарии_расчёт!$BR189,"")</f>
        <v/>
      </c>
    </row>
    <row r="218" spans="1:17" x14ac:dyDescent="0.2">
      <c r="A218" s="50" t="str">
        <f>IF(Сценарии_расчёт!$D190=1,Сценарии_расчёт!$B190,"")</f>
        <v/>
      </c>
      <c r="B218" s="35" t="str">
        <f>IF(Сценарии_расчёт!$D190=1,Сценарии_расчёт!$K190,"")</f>
        <v/>
      </c>
      <c r="C218" s="35" t="str">
        <f>IF(Сценарии_расчёт!$D190=1,Сценарии_расчёт!$L190,"")</f>
        <v/>
      </c>
      <c r="D218" s="35" t="str">
        <f>IF(Сценарии_расчёт!$D190=1,Сценарии_расчёт!$W190,"")</f>
        <v/>
      </c>
      <c r="E218" s="35" t="str">
        <f>IF(Сценарии_расчёт!$D190=1,Сценарии_расчёт!$X190,"")</f>
        <v/>
      </c>
      <c r="G218" s="50" t="str">
        <f>IF(Сценарии_расчёт!$D190=1,Сценарии_расчёт!$B190,"")</f>
        <v/>
      </c>
      <c r="H218" s="35" t="str">
        <f>IF(Сценарии_расчёт!$D190=1,Сценарии_расчёт!$AH190,"")</f>
        <v/>
      </c>
      <c r="I218" s="35" t="str">
        <f>IF(Сценарии_расчёт!$D190=1,Сценарии_расчёт!$AI190,"")</f>
        <v/>
      </c>
      <c r="J218" s="35" t="str">
        <f>IF(Сценарии_расчёт!$D190=1,Сценарии_расчёт!$AT190,"")</f>
        <v/>
      </c>
      <c r="K218" s="35" t="str">
        <f>IF(Сценарии_расчёт!$D190=1,Сценарии_расчёт!$AU190,"")</f>
        <v/>
      </c>
      <c r="M218" s="50" t="str">
        <f>IF(Сценарии_расчёт!$D190=1,Сценарии_расчёт!$B190,"")</f>
        <v/>
      </c>
      <c r="N218" s="35" t="str">
        <f>IF(Сценарии_расчёт!$D190=1,Сценарии_расчёт!$BE190,"")</f>
        <v/>
      </c>
      <c r="O218" s="35" t="str">
        <f>IF(Сценарии_расчёт!$D190=1,Сценарии_расчёт!$BF190,"")</f>
        <v/>
      </c>
      <c r="P218" s="35" t="str">
        <f>IF(Сценарии_расчёт!$D190=1,Сценарии_расчёт!$BQ190,"")</f>
        <v/>
      </c>
      <c r="Q218" s="35" t="str">
        <f>IF(Сценарии_расчёт!$D190=1,Сценарии_расчёт!$BR190,"")</f>
        <v/>
      </c>
    </row>
    <row r="219" spans="1:17" x14ac:dyDescent="0.2">
      <c r="A219" s="50" t="str">
        <f>IF(Сценарии_расчёт!$D191=1,Сценарии_расчёт!$B191,"")</f>
        <v/>
      </c>
      <c r="B219" s="35" t="str">
        <f>IF(Сценарии_расчёт!$D191=1,Сценарии_расчёт!$K191,"")</f>
        <v/>
      </c>
      <c r="C219" s="35" t="str">
        <f>IF(Сценарии_расчёт!$D191=1,Сценарии_расчёт!$L191,"")</f>
        <v/>
      </c>
      <c r="D219" s="35" t="str">
        <f>IF(Сценарии_расчёт!$D191=1,Сценарии_расчёт!$W191,"")</f>
        <v/>
      </c>
      <c r="E219" s="35" t="str">
        <f>IF(Сценарии_расчёт!$D191=1,Сценарии_расчёт!$X191,"")</f>
        <v/>
      </c>
      <c r="G219" s="50" t="str">
        <f>IF(Сценарии_расчёт!$D191=1,Сценарии_расчёт!$B191,"")</f>
        <v/>
      </c>
      <c r="H219" s="35" t="str">
        <f>IF(Сценарии_расчёт!$D191=1,Сценарии_расчёт!$AH191,"")</f>
        <v/>
      </c>
      <c r="I219" s="35" t="str">
        <f>IF(Сценарии_расчёт!$D191=1,Сценарии_расчёт!$AI191,"")</f>
        <v/>
      </c>
      <c r="J219" s="35" t="str">
        <f>IF(Сценарии_расчёт!$D191=1,Сценарии_расчёт!$AT191,"")</f>
        <v/>
      </c>
      <c r="K219" s="35" t="str">
        <f>IF(Сценарии_расчёт!$D191=1,Сценарии_расчёт!$AU191,"")</f>
        <v/>
      </c>
      <c r="M219" s="50" t="str">
        <f>IF(Сценарии_расчёт!$D191=1,Сценарии_расчёт!$B191,"")</f>
        <v/>
      </c>
      <c r="N219" s="35" t="str">
        <f>IF(Сценарии_расчёт!$D191=1,Сценарии_расчёт!$BE191,"")</f>
        <v/>
      </c>
      <c r="O219" s="35" t="str">
        <f>IF(Сценарии_расчёт!$D191=1,Сценарии_расчёт!$BF191,"")</f>
        <v/>
      </c>
      <c r="P219" s="35" t="str">
        <f>IF(Сценарии_расчёт!$D191=1,Сценарии_расчёт!$BQ191,"")</f>
        <v/>
      </c>
      <c r="Q219" s="35" t="str">
        <f>IF(Сценарии_расчёт!$D191=1,Сценарии_расчёт!$BR191,"")</f>
        <v/>
      </c>
    </row>
    <row r="220" spans="1:17" x14ac:dyDescent="0.2">
      <c r="A220" s="50" t="str">
        <f>IF(Сценарии_расчёт!$D192=1,Сценарии_расчёт!$B192,"")</f>
        <v/>
      </c>
      <c r="B220" s="35" t="str">
        <f>IF(Сценарии_расчёт!$D192=1,Сценарии_расчёт!$K192,"")</f>
        <v/>
      </c>
      <c r="C220" s="35" t="str">
        <f>IF(Сценарии_расчёт!$D192=1,Сценарии_расчёт!$L192,"")</f>
        <v/>
      </c>
      <c r="D220" s="35" t="str">
        <f>IF(Сценарии_расчёт!$D192=1,Сценарии_расчёт!$W192,"")</f>
        <v/>
      </c>
      <c r="E220" s="35" t="str">
        <f>IF(Сценарии_расчёт!$D192=1,Сценарии_расчёт!$X192,"")</f>
        <v/>
      </c>
      <c r="G220" s="50" t="str">
        <f>IF(Сценарии_расчёт!$D192=1,Сценарии_расчёт!$B192,"")</f>
        <v/>
      </c>
      <c r="H220" s="35" t="str">
        <f>IF(Сценарии_расчёт!$D192=1,Сценарии_расчёт!$AH192,"")</f>
        <v/>
      </c>
      <c r="I220" s="35" t="str">
        <f>IF(Сценарии_расчёт!$D192=1,Сценарии_расчёт!$AI192,"")</f>
        <v/>
      </c>
      <c r="J220" s="35" t="str">
        <f>IF(Сценарии_расчёт!$D192=1,Сценарии_расчёт!$AT192,"")</f>
        <v/>
      </c>
      <c r="K220" s="35" t="str">
        <f>IF(Сценарии_расчёт!$D192=1,Сценарии_расчёт!$AU192,"")</f>
        <v/>
      </c>
      <c r="M220" s="50" t="str">
        <f>IF(Сценарии_расчёт!$D192=1,Сценарии_расчёт!$B192,"")</f>
        <v/>
      </c>
      <c r="N220" s="35" t="str">
        <f>IF(Сценарии_расчёт!$D192=1,Сценарии_расчёт!$BE192,"")</f>
        <v/>
      </c>
      <c r="O220" s="35" t="str">
        <f>IF(Сценарии_расчёт!$D192=1,Сценарии_расчёт!$BF192,"")</f>
        <v/>
      </c>
      <c r="P220" s="35" t="str">
        <f>IF(Сценарии_расчёт!$D192=1,Сценарии_расчёт!$BQ192,"")</f>
        <v/>
      </c>
      <c r="Q220" s="35" t="str">
        <f>IF(Сценарии_расчёт!$D192=1,Сценарии_расчёт!$BR192,"")</f>
        <v/>
      </c>
    </row>
    <row r="221" spans="1:17" x14ac:dyDescent="0.2">
      <c r="A221" s="50" t="str">
        <f>IF(Сценарии_расчёт!$D193=1,Сценарии_расчёт!$B193,"")</f>
        <v/>
      </c>
      <c r="B221" s="35" t="str">
        <f>IF(Сценарии_расчёт!$D193=1,Сценарии_расчёт!$K193,"")</f>
        <v/>
      </c>
      <c r="C221" s="35" t="str">
        <f>IF(Сценарии_расчёт!$D193=1,Сценарии_расчёт!$L193,"")</f>
        <v/>
      </c>
      <c r="D221" s="35" t="str">
        <f>IF(Сценарии_расчёт!$D193=1,Сценарии_расчёт!$W193,"")</f>
        <v/>
      </c>
      <c r="E221" s="35" t="str">
        <f>IF(Сценарии_расчёт!$D193=1,Сценарии_расчёт!$X193,"")</f>
        <v/>
      </c>
      <c r="G221" s="50" t="str">
        <f>IF(Сценарии_расчёт!$D193=1,Сценарии_расчёт!$B193,"")</f>
        <v/>
      </c>
      <c r="H221" s="35" t="str">
        <f>IF(Сценарии_расчёт!$D193=1,Сценарии_расчёт!$AH193,"")</f>
        <v/>
      </c>
      <c r="I221" s="35" t="str">
        <f>IF(Сценарии_расчёт!$D193=1,Сценарии_расчёт!$AI193,"")</f>
        <v/>
      </c>
      <c r="J221" s="35" t="str">
        <f>IF(Сценарии_расчёт!$D193=1,Сценарии_расчёт!$AT193,"")</f>
        <v/>
      </c>
      <c r="K221" s="35" t="str">
        <f>IF(Сценарии_расчёт!$D193=1,Сценарии_расчёт!$AU193,"")</f>
        <v/>
      </c>
      <c r="M221" s="50" t="str">
        <f>IF(Сценарии_расчёт!$D193=1,Сценарии_расчёт!$B193,"")</f>
        <v/>
      </c>
      <c r="N221" s="35" t="str">
        <f>IF(Сценарии_расчёт!$D193=1,Сценарии_расчёт!$BE193,"")</f>
        <v/>
      </c>
      <c r="O221" s="35" t="str">
        <f>IF(Сценарии_расчёт!$D193=1,Сценарии_расчёт!$BF193,"")</f>
        <v/>
      </c>
      <c r="P221" s="35" t="str">
        <f>IF(Сценарии_расчёт!$D193=1,Сценарии_расчёт!$BQ193,"")</f>
        <v/>
      </c>
      <c r="Q221" s="35" t="str">
        <f>IF(Сценарии_расчёт!$D193=1,Сценарии_расчёт!$BR193,"")</f>
        <v/>
      </c>
    </row>
    <row r="222" spans="1:17" x14ac:dyDescent="0.2">
      <c r="A222" s="50" t="str">
        <f>IF(Сценарии_расчёт!$D194=1,Сценарии_расчёт!$B194,"")</f>
        <v/>
      </c>
      <c r="B222" s="35" t="str">
        <f>IF(Сценарии_расчёт!$D194=1,Сценарии_расчёт!$K194,"")</f>
        <v/>
      </c>
      <c r="C222" s="35" t="str">
        <f>IF(Сценарии_расчёт!$D194=1,Сценарии_расчёт!$L194,"")</f>
        <v/>
      </c>
      <c r="D222" s="35" t="str">
        <f>IF(Сценарии_расчёт!$D194=1,Сценарии_расчёт!$W194,"")</f>
        <v/>
      </c>
      <c r="E222" s="35" t="str">
        <f>IF(Сценарии_расчёт!$D194=1,Сценарии_расчёт!$X194,"")</f>
        <v/>
      </c>
      <c r="G222" s="50" t="str">
        <f>IF(Сценарии_расчёт!$D194=1,Сценарии_расчёт!$B194,"")</f>
        <v/>
      </c>
      <c r="H222" s="35" t="str">
        <f>IF(Сценарии_расчёт!$D194=1,Сценарии_расчёт!$AH194,"")</f>
        <v/>
      </c>
      <c r="I222" s="35" t="str">
        <f>IF(Сценарии_расчёт!$D194=1,Сценарии_расчёт!$AI194,"")</f>
        <v/>
      </c>
      <c r="J222" s="35" t="str">
        <f>IF(Сценарии_расчёт!$D194=1,Сценарии_расчёт!$AT194,"")</f>
        <v/>
      </c>
      <c r="K222" s="35" t="str">
        <f>IF(Сценарии_расчёт!$D194=1,Сценарии_расчёт!$AU194,"")</f>
        <v/>
      </c>
      <c r="M222" s="50" t="str">
        <f>IF(Сценарии_расчёт!$D194=1,Сценарии_расчёт!$B194,"")</f>
        <v/>
      </c>
      <c r="N222" s="35" t="str">
        <f>IF(Сценарии_расчёт!$D194=1,Сценарии_расчёт!$BE194,"")</f>
        <v/>
      </c>
      <c r="O222" s="35" t="str">
        <f>IF(Сценарии_расчёт!$D194=1,Сценарии_расчёт!$BF194,"")</f>
        <v/>
      </c>
      <c r="P222" s="35" t="str">
        <f>IF(Сценарии_расчёт!$D194=1,Сценарии_расчёт!$BQ194,"")</f>
        <v/>
      </c>
      <c r="Q222" s="35" t="str">
        <f>IF(Сценарии_расчёт!$D194=1,Сценарии_расчёт!$BR194,"")</f>
        <v/>
      </c>
    </row>
  </sheetData>
  <mergeCells count="7">
    <mergeCell ref="A1:Q1"/>
    <mergeCell ref="A2:Q2"/>
    <mergeCell ref="A3:D3"/>
    <mergeCell ref="A11:D11"/>
    <mergeCell ref="A28:E28"/>
    <mergeCell ref="G28:K28"/>
    <mergeCell ref="M28:Q2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A2546-E88B-2942-90E7-4F5D6EAD5580}">
  <dimension ref="A1:BK362"/>
  <sheetViews>
    <sheetView showGridLines="0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baseColWidth="10" defaultRowHeight="16" x14ac:dyDescent="0.2"/>
  <sheetData>
    <row r="1" spans="1:63" ht="34" customHeight="1" x14ac:dyDescent="0.2">
      <c r="A1" s="20" t="s">
        <v>200</v>
      </c>
      <c r="B1" s="20" t="s">
        <v>195</v>
      </c>
      <c r="C1" s="20" t="s">
        <v>107</v>
      </c>
      <c r="D1" s="20" t="s">
        <v>201</v>
      </c>
      <c r="E1" s="20" t="s">
        <v>202</v>
      </c>
      <c r="F1" s="20" t="s">
        <v>203</v>
      </c>
      <c r="G1" s="20" t="s">
        <v>204</v>
      </c>
      <c r="H1" s="20" t="s">
        <v>205</v>
      </c>
      <c r="I1" s="20" t="s">
        <v>206</v>
      </c>
      <c r="J1" s="20" t="s">
        <v>98</v>
      </c>
      <c r="K1" s="20" t="s">
        <v>207</v>
      </c>
      <c r="L1" s="20" t="s">
        <v>208</v>
      </c>
      <c r="M1" s="20" t="s">
        <v>209</v>
      </c>
      <c r="N1" s="20" t="s">
        <v>210</v>
      </c>
      <c r="O1" s="20" t="s">
        <v>28</v>
      </c>
      <c r="P1" s="20" t="s">
        <v>211</v>
      </c>
      <c r="Q1" s="20" t="s">
        <v>212</v>
      </c>
      <c r="R1" s="20" t="s">
        <v>213</v>
      </c>
      <c r="S1" s="20" t="s">
        <v>32</v>
      </c>
      <c r="T1" s="20" t="s">
        <v>214</v>
      </c>
      <c r="U1" s="20" t="s">
        <v>215</v>
      </c>
      <c r="V1" s="20" t="s">
        <v>216</v>
      </c>
      <c r="W1" s="20" t="s">
        <v>217</v>
      </c>
      <c r="X1" s="20" t="s">
        <v>167</v>
      </c>
      <c r="Y1" s="20" t="s">
        <v>218</v>
      </c>
      <c r="Z1" s="20" t="s">
        <v>219</v>
      </c>
      <c r="AA1" s="20" t="s">
        <v>220</v>
      </c>
      <c r="AB1" s="20" t="s">
        <v>642</v>
      </c>
      <c r="AC1" s="20" t="s">
        <v>221</v>
      </c>
      <c r="AD1" s="20" t="s">
        <v>222</v>
      </c>
      <c r="AE1" s="20" t="s">
        <v>223</v>
      </c>
      <c r="AF1" s="20" t="s">
        <v>224</v>
      </c>
      <c r="AG1" s="20" t="s">
        <v>225</v>
      </c>
      <c r="AH1" s="20" t="s">
        <v>226</v>
      </c>
      <c r="AI1" s="20" t="s">
        <v>227</v>
      </c>
      <c r="AJ1" s="20" t="s">
        <v>228</v>
      </c>
      <c r="AK1" s="20" t="s">
        <v>229</v>
      </c>
      <c r="AL1" s="20" t="s">
        <v>230</v>
      </c>
      <c r="AM1" s="20" t="s">
        <v>231</v>
      </c>
      <c r="AN1" s="20" t="s">
        <v>232</v>
      </c>
      <c r="AO1" s="20" t="s">
        <v>233</v>
      </c>
      <c r="AP1" s="20" t="s">
        <v>234</v>
      </c>
      <c r="AQ1" s="20" t="s">
        <v>235</v>
      </c>
      <c r="AR1" s="20" t="s">
        <v>236</v>
      </c>
      <c r="AS1" s="20" t="s">
        <v>237</v>
      </c>
      <c r="AT1" s="20" t="s">
        <v>238</v>
      </c>
      <c r="AU1" s="20" t="s">
        <v>239</v>
      </c>
      <c r="AV1" s="20" t="s">
        <v>240</v>
      </c>
      <c r="AW1" s="20" t="s">
        <v>241</v>
      </c>
      <c r="AX1" s="20" t="s">
        <v>242</v>
      </c>
      <c r="AY1" s="20" t="s">
        <v>243</v>
      </c>
      <c r="AZ1" s="20" t="s">
        <v>244</v>
      </c>
      <c r="BA1" s="20" t="s">
        <v>245</v>
      </c>
      <c r="BB1" s="20" t="s">
        <v>246</v>
      </c>
      <c r="BC1" s="20" t="s">
        <v>247</v>
      </c>
      <c r="BD1" s="20" t="s">
        <v>248</v>
      </c>
      <c r="BE1" s="20" t="s">
        <v>249</v>
      </c>
      <c r="BF1" s="20" t="s">
        <v>250</v>
      </c>
      <c r="BG1" s="20" t="s">
        <v>251</v>
      </c>
      <c r="BH1" s="20" t="s">
        <v>252</v>
      </c>
      <c r="BI1" s="20" t="s">
        <v>585</v>
      </c>
      <c r="BJ1" s="20" t="s">
        <v>586</v>
      </c>
      <c r="BK1" s="20" t="s">
        <v>587</v>
      </c>
    </row>
    <row r="2" spans="1:63" x14ac:dyDescent="0.2">
      <c r="A2">
        <v>1</v>
      </c>
      <c r="B2" t="str">
        <f>IF('Исходные данные'!$B$9="","",EDATE(DATE(YEAR('Исходные данные'!$B$9),MONTH('Исходные данные'!$B$9),1),A2-1))</f>
        <v/>
      </c>
      <c r="C2" t="str">
        <f t="shared" ref="C2:C33" si="0">IF(B2="","",EOMONTH(B2,0))</f>
        <v/>
      </c>
      <c r="D2" t="str">
        <f>IF(B2="","",IF('Исходные данные'!$B$91&lt;&gt;"",IF(AND(YEAR(B2)=YEAR('Исходные данные'!$B$91),MONTH(B2)=MONTH('Исходные данные'!$B$91)),'Исходные данные'!$B$91,IF('Исходные данные'!$B$13&lt;&gt;"",IF(AND(YEAR(B2)=YEAR('Исходные данные'!$B$13),MONTH(B2)=MONTH('Исходные данные'!$B$13)),'Исходные данные'!$B$13,IF('Исходные данные'!$B$26&lt;&gt;"",IF(AND(YEAR(B2)=YEAR('Исходные данные'!$B$26),MONTH(B2)=MONTH('Исходные данные'!$B$26)),'Исходные данные'!$B$26,IF(A2=1,'Исходные данные'!$B$9,C2)),IF(A2=1,'Исходные данные'!$B$9,C2))),IF('Исходные данные'!$B$26&lt;&gt;"",IF(AND(YEAR(B2)=YEAR('Исходные данные'!$B$26),MONTH(B2)=MONTH('Исходные данные'!$B$26)),'Исходные данные'!$B$26,IF(A2=1,'Исходные данные'!$B$9,C2)),IF(A2=1,'Исходные данные'!$B$9,C2)))),IF('Исходные данные'!$B$13&lt;&gt;"",IF(AND(YEAR(B2)=YEAR('Исходные данные'!$B$13),MONTH(B2)=MONTH('Исходные данные'!$B$13)),'Исходные данные'!$B$13,IF('Исходные данные'!$B$26&lt;&gt;"",IF(AND(YEAR(B2)=YEAR('Исходные данные'!$B$26),MONTH(B2)=MONTH('Исходные данные'!$B$26)),'Исходные данные'!$B$26,IF(A2=1,'Исходные данные'!$B$9,C2)),IF(A2=1,'Исходные данные'!$B$9,C2))),IF('Исходные данные'!$B$26&lt;&gt;"",IF(AND(YEAR(B2)=YEAR('Исходные данные'!$B$26),MONTH(B2)=MONTH('Исходные данные'!$B$26)),'Исходные данные'!$B$26,IF(A2=1,'Исходные данные'!$B$9,C2)),IF(A2=1,'Исходные данные'!$B$9,C2)))))</f>
        <v/>
      </c>
      <c r="E2">
        <f>IF(OR(B2="",'Исходные данные'!$B$91=""),0,--(B2&lt;=DATE(YEAR('Исходные данные'!$B$91),MONTH('Исходные данные'!$B$91),1)))</f>
        <v>0</v>
      </c>
      <c r="F2">
        <f>IF(OR(B2="",'Исходные данные'!$B$30="",C2&lt;'Исходные данные'!$B$30),0,DATEDIF(DATE(YEAR('Исходные данные'!$B$30),MONTH('Исходные данные'!$B$30),1),B2,"m")+1)</f>
        <v>0</v>
      </c>
      <c r="G2">
        <f t="shared" ref="G2:G33" si="1">IF(F2=0,0,1+INT((F2-1)/12))</f>
        <v>0</v>
      </c>
      <c r="H2">
        <f>IF(F2=0,0,IF(G2=1,N('Исходные данные'!$B$31),IF(G2=2,N('Исходные данные'!$B$32),IF(G2=3,N('Исходные данные'!$B$33),N('Исходные данные'!$B$33)*(1+N('Исходные данные'!$B$34))^(G2-3)))))</f>
        <v>0</v>
      </c>
      <c r="I2">
        <f>IF(OR(F2=0,N('Исходные данные'!$B$5)=0,H2=0),0,'Исходные данные'!$B$5*H2*IF(AND(B2&lt;='Исходные данные'!$B$30,C2&gt;='Исходные данные'!$B$30),(C2-'Исходные данные'!$B$30+1)/DAY(C2),1))</f>
        <v>0</v>
      </c>
      <c r="J2">
        <f>IF(AND(F2&gt;0,F2&lt;=N('Исходные данные'!$B$37)),-I2,0)</f>
        <v>0</v>
      </c>
      <c r="K2">
        <f>IF(OR(F2=0,F2&lt;=N('Исходные данные'!$B$37)),0,-(I2+J2)*N('Исходные данные'!$B$38))</f>
        <v>0</v>
      </c>
      <c r="L2">
        <f t="shared" ref="L2:L33" si="2">I2+J2+K2</f>
        <v>0</v>
      </c>
      <c r="M2">
        <f>IF('Исходные данные'!$B$51="Да",L2*N('Исходные данные'!$B$52),0)</f>
        <v>0</v>
      </c>
      <c r="N2">
        <f t="shared" ref="N2:N33" si="3">L2+M2</f>
        <v>0</v>
      </c>
      <c r="O2">
        <f>IF(OR(B2="",IF('Исходные данные'!$B$45="",'Исходные данные'!$B$10,'Исходные данные'!$B$45)="",C2&lt;IF('Исходные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данные'!$B$45)),1),B2,"m")/12))*IF(AND(B2&lt;=IF('Исходные данные'!$B$45="",'Исходные данные'!$B$10,'Исходные данные'!$B$45),C2&gt;=IF('Исходные данные'!$B$45="",'Исходные данные'!$B$10,'Исходные данные'!$B$45)),(C2-IF('Исходные данные'!$B$45="",'Исходные данные'!$B$10,'Исходные данные'!$B$45)+1)/DAY(C2),1)*IF('Исходные данные'!$B$43="Без НДС",1+N('Исходные данные'!$B$44),1))</f>
        <v>0</v>
      </c>
      <c r="P2">
        <f>IF('Исходные данные'!$B$51="Да",-O2*N('Исходные данные'!$B$44)/(1+N('Исходные данные'!$B$44)),0)</f>
        <v>0</v>
      </c>
      <c r="Q2">
        <f>IF('Исходные данные'!$B$35="Да",-O2,0)</f>
        <v>0</v>
      </c>
      <c r="R2">
        <f>IF(AND('Исходные данные'!$B$51="Да",Q2&gt;0),Q2*N('Исходные данные'!$B$52)/(1+N('Исходные данные'!$B$52)),0)</f>
        <v>0</v>
      </c>
      <c r="S2">
        <f>IF(OR(B2="",IF('Исходные данные'!$B$45="",'Исходные данные'!$B$10,'Исходные данные'!$B$45)="",C2&lt;IF('Исходные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данные'!$B$45)),1),B2,"m")/12))*IF(AND(B2&lt;=IF('Исходные данные'!$B$45="",'Исходные данные'!$B$10,'Исходные данные'!$B$45),C2&gt;=IF('Исходные данные'!$B$45="",'Исходные данные'!$B$10,'Исходные данные'!$B$45)),(C2-IF('Исходные данные'!$B$45="",'Исходные данные'!$B$10,'Исходные данные'!$B$45)+1)/DAY(C2),1)*IF('Исходные данные'!$B$43="Без НДС",1+N('Исходные данные'!$B$44),1))</f>
        <v>0</v>
      </c>
      <c r="T2">
        <f>IF('Исходные данные'!$B$51="Да",-S2*N('Исходные данные'!$B$44)/(1+N('Исходные данные'!$B$44)),0)</f>
        <v>0</v>
      </c>
      <c r="U2">
        <f>IF('Исходные данные'!$B$36="Да",-S2,0)</f>
        <v>0</v>
      </c>
      <c r="V2">
        <f>IF(AND('Исходные данные'!$B$51="Да",U2&gt;0),U2*N('Исходные данные'!$B$52)/(1+N('Исходные данные'!$B$52)),0)</f>
        <v>0</v>
      </c>
      <c r="W2">
        <f>IF(OR(B2="",IF('Исходные данные'!$B$69="",'Исходные данные'!$B$10,'Исходные данные'!$B$69)="",C2&lt;IF('Исходные данные'!$B$69="",'Исходные данные'!$B$10,'Исходные данные'!$B$69)),0,-N('Исходные данные'!$B$16)*N('Исходные данные'!$B$68)*N('Исходные данные'!$B$67)/12*IF(AND(B2&lt;=IF('Исходные данные'!$B$69="",'Исходные данные'!$B$10,'Исходные данные'!$B$69),C2&gt;=IF('Исходные данные'!$B$69="",'Исходные данные'!$B$10,'Исходные данные'!$B$69)),(C2-IF('Исходные данные'!$B$69="",'Исходные данные'!$B$10,'Исходные данные'!$B$69)+1)/DAY(C2),1))</f>
        <v>0</v>
      </c>
      <c r="X2">
        <f>IF(OR(B2="",IF('Исходные данные'!$B$76="",'Исходные данные'!$B$10,'Исходные данные'!$B$76)="",C2&lt;IF('Исходные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данные'!$B$76)),1),B2,"m")/12))*IF(AND(B2&lt;=IF('Исходные данные'!$B$76="",'Исходные данные'!$B$10,'Исходные данные'!$B$76),C2&gt;=IF('Исходные данные'!$B$76="",'Исходные данные'!$B$10,'Исходные данные'!$B$76)),(C2-IF('Исходные данные'!$B$76="",'Исходные данные'!$B$10,'Исходные данные'!$B$76)+1)/DAY(C2),1))</f>
        <v>0</v>
      </c>
      <c r="Y2">
        <f t="shared" ref="Y2:Y33" si="4">L2+(Q2-R2)+(U2-V2)+(O2+P2)+(S2+T2)+W2+X2</f>
        <v>0</v>
      </c>
      <c r="Z2">
        <f>IF(OR(B2="",N('Исходные данные'!$B$19)=0),0,-SUMIFS('Исходные данные'!$I$6:$I$186,'Исходные данные'!$F$6:$F$186,B2)*N('Исходные данные'!$B$17)/N('Исходные данные'!$B$19))</f>
        <v>0</v>
      </c>
      <c r="AA2">
        <f>IF(OR(B2="",N('Исходные данные'!$B$19)=0),0,-SUMIFS('Исходные данные'!$I$6:$I$186,'Исходные данные'!$F$6:$F$186,B2)*N('Исходные данные'!$B$18)/N('Исходные данные'!$B$19))</f>
        <v>0</v>
      </c>
      <c r="AB2">
        <f>IF(OR(B2="",'Исходные данные'!$B$13=""),0,IF(AND(YEAR(B2)=YEAR('Исходные данные'!$B$13),MONTH(B2)=MONTH('Исходные данные'!$B$13)),-N('Исходные данные'!$B$11),0))</f>
        <v>0</v>
      </c>
      <c r="AC2">
        <f>IF(A2=1,-N('Исходные данные'!$B$19)*N('Исходные данные'!$B$72),0)</f>
        <v>0</v>
      </c>
      <c r="AD2">
        <f>IF(OR(B2="",'Исходные данные'!$B$22&lt;&gt;"Да",'Исходные данные'!$B$26=""),0,IF(AND(YEAR(B2)=YEAR('Исходные данные'!$B$26),MONTH(B2)=MONTH('Исходные данные'!$B$26)),N('Исходные данные'!$B$23),0))</f>
        <v>0</v>
      </c>
      <c r="AE2">
        <f>0</f>
        <v>0</v>
      </c>
      <c r="AF2">
        <f>IF(OR('Исходные данные'!$B$22&lt;&gt;"Да",'Исходные данные'!$B$26="",C2&lt;'Исходные данные'!$B$26),0,DATEDIF(DATE(YEAR('Исходные данные'!$B$26),MONTH('Исходные данные'!$B$26),1),B2,"m")+1)</f>
        <v>0</v>
      </c>
      <c r="AG2">
        <f>IF(OR(AF2&lt;1,AF2&gt;N('Исходные данные'!$B$25),AE2+AD2&lt;=0),0,-(AE2+AD2)*N('Исходные данные'!$B$24)*IF(AF2=1,C2-'Исходные данные'!$B$26+1,DAY(C2))/365)</f>
        <v>0</v>
      </c>
      <c r="AH2">
        <f>IF(OR(AF2&lt;1,AF2&gt;N('Исходные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данные'!$B$25)-AG2))</f>
        <v>0</v>
      </c>
      <c r="AI2">
        <f>IF(OR('Исходные данные'!$B$22&lt;&gt;"Да",AE2+AD2&lt;=0),0,IF(AND('Исходные данные'!$B$91&lt;&gt;"",B2&lt;&gt;"",YEAR(B2)=YEAR('Исходные данные'!$B$91),MONTH(B2)=MONTH('Исходные данные'!$B$91)),-(AE2+AD2),IF(OR(AF2&lt;1,AF2&gt;N('Исходные данные'!$B$25)),0,IF('Исходные данные'!$B$27="Равными долями",-MIN(AE2+AD2,N('Исходные данные'!$B$23)/N('Исходные данные'!$B$25)),-MIN(AE2+AD2,IF(AF2=N('Исходные данные'!$B$25),AE2+AD2,MAX(0,AH2+AG2)))))))</f>
        <v>0</v>
      </c>
      <c r="AJ2">
        <f t="shared" ref="AJ2:AJ33" si="5">AG2+AI2</f>
        <v>0</v>
      </c>
      <c r="AK2">
        <f t="shared" ref="AK2:AK33" si="6">MAX(0,AE2+AD2+AI2)</f>
        <v>0</v>
      </c>
      <c r="AL2">
        <f>IF(OR(B2="",'Исходные данные'!$B$51&lt;&gt;"Да",'Исходные данные'!$B$61=""),0,IF(AND(YEAR(B2)=YEAR('Исходные данные'!$B$61),MONTH(B2)=MONTH('Исходные данные'!$B$61)),N('Исходные данные'!$B$18)*N('Исходные данные'!$B$62),0))</f>
        <v>0</v>
      </c>
      <c r="AM2">
        <f>0</f>
        <v>0</v>
      </c>
      <c r="AN2">
        <f t="shared" ref="AN2:AN33" si="7">M2+R2+V2</f>
        <v>0</v>
      </c>
      <c r="AO2">
        <f t="shared" ref="AO2:AO33" si="8">P2+T2</f>
        <v>0</v>
      </c>
      <c r="AP2">
        <f>IF('Исходные данные'!$B$51="Да",-MAX(0,AN2-AO2-AM2),0)</f>
        <v>0</v>
      </c>
      <c r="AQ2">
        <f>IF('Исходные данные'!$B$51="Да",MAX(0,AM2+AO2-AN2),0)</f>
        <v>0</v>
      </c>
      <c r="AR2">
        <f>IF('Исходные данные'!$B$53="Выручка",MAX(0,L2+(Q2-R2)+(U2-V2)),IF('Исходные данные'!$B$53="Прибыль до налога",MAX(0,L2+(Q2-R2)+(U2-V2)+N('Исходные данные'!$B$54)*((O2+P2)+(S2+T2)+W2+X2)+IF('Исходные данные'!$B$55="Да",AG2,0)-N('Исходные данные'!$B$56)/12),IF('Исходные данные'!$B$53="Пользовательская база",MAX(0,N('Исходные данные'!$B$57)/12),0)))</f>
        <v>0</v>
      </c>
      <c r="AS2">
        <f>IF(E2=1,-AR2*N('Исходные данные'!$B$50),0)</f>
        <v>0</v>
      </c>
      <c r="AT2">
        <f t="shared" ref="AT2:AT33" si="9">IF(B2="",0,SUMIFS($Y$2:$Y$194,$B$2:$B$194,"&gt;"&amp;B2,$B$2:$B$194,"&lt;="&amp;EDATE(B2,12)))</f>
        <v>0</v>
      </c>
      <c r="AU2">
        <f>IF(OR(B2="",N('Исходные данные'!$B$80)&lt;=0,'Исходные данные'!$B$88=""),0,MAX(0,IF('Исходные данные'!$B$88="Последние 12 месяцев",SUMIFS($Y$2:$Y$194,$B$2:$B$194,"&gt;="&amp;EDATE(B2,-11),$B$2:$B$194,"&lt;="&amp;B2),IF('Исходные данные'!$B$88="Пользовательский NOI",N('Исходные данные'!$B$89),AT2))/N('Исходные данные'!$B$80)*(1+N('Исходные данные'!$B$81))))</f>
        <v>0</v>
      </c>
      <c r="AV2">
        <f>IF(OR(E2&lt;&gt;1,B2="",'Исходные данные'!$B$91=""),0,IF(AND(YEAR(B2)=YEAR('Исходные данные'!$B$91),MONTH(B2)=MONTH('Исходные данные'!$B$91)),AU2,0))</f>
        <v>0</v>
      </c>
      <c r="AW2">
        <f>-AV2*N('Исходные данные'!$B$73)</f>
        <v>0</v>
      </c>
      <c r="AX2">
        <f>IF(AV2=0,0,-N('Исходные данные'!$B$87)-IF('Исходные данные'!$B$82="Да",IF('Исходные данные'!$B$84="С выручки",AV2,IF('Исходные данные'!$B$84="С прибыли",MAX(0,AV2+AW2-IF('Исходные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">
        <f t="shared" ref="AY2:AY33" si="10">AV2+AW2+AX2</f>
        <v>0</v>
      </c>
      <c r="AZ2">
        <f t="shared" ref="AZ2:AZ33" si="11">Z2+AA2+AB2+AC2+AD2+AI2+AG2+O2+Q2+S2+U2+W2+X2+AL2</f>
        <v>0</v>
      </c>
      <c r="BA2">
        <f t="shared" ref="BA2:BA33" si="12">IF(E2=1,AZ2+N2+AP2+AS2+AY2,0)</f>
        <v>0</v>
      </c>
      <c r="BB2" t="str">
        <f>IF(E2=1,BA2,"")</f>
        <v/>
      </c>
      <c r="BC2">
        <f>IF(OR(E2=0,'Исходные данные'!$B$9="",'Исходные данные'!$B$90=""),0,BA2/(1+'Исходные данные'!$B$90)^((D2-'Исходные данные'!$B$9)/365))</f>
        <v>0</v>
      </c>
      <c r="BD2">
        <f>0</f>
        <v>0</v>
      </c>
      <c r="BE2">
        <f t="shared" ref="BE2:BE33" si="13">IF(E2=1,N2+O2+Q2+S2+U2+W2+X2+AP2+AS2,0)</f>
        <v>0</v>
      </c>
      <c r="BF2">
        <f t="shared" ref="BF2:BF33" si="14">Y2</f>
        <v>0</v>
      </c>
      <c r="BG2">
        <f t="shared" ref="BG2:BG33" si="15">IF(E2=1,Y2+AG2+AS2+Z2+AA2+AB2+AC2+AL2+AY2,0)</f>
        <v>0</v>
      </c>
      <c r="BH2">
        <f t="shared" ref="BH2:BH33" si="16">--AND(Z2&lt;=0,AA2&lt;=0,AB2&lt;=0,AC2&lt;=0,AD2&gt;=0,AI2&lt;=0,AG2&lt;=0,O2&lt;=0,Q2&gt;=0,S2&lt;=0,U2&gt;=0,W2&lt;=0,X2&lt;=0,AL2&gt;=0,AP2&lt;=0,AS2&lt;=0,AV2&gt;=0,AW2&lt;=0,AX2&lt;=0,AK2&gt;=-0.01)</f>
        <v>1</v>
      </c>
      <c r="BI2">
        <f>AZ2+N2+AP2-AR2*N('Исходные данные'!$B$50)</f>
        <v>0</v>
      </c>
      <c r="BJ2">
        <f>BI2</f>
        <v>0</v>
      </c>
      <c r="BK2">
        <f>0</f>
        <v>0</v>
      </c>
    </row>
    <row r="3" spans="1:63" x14ac:dyDescent="0.2">
      <c r="A3">
        <v>2</v>
      </c>
      <c r="B3" t="str">
        <f>IF('Исходные данные'!$B$9="","",EDATE(DATE(YEAR('Исходные данные'!$B$9),MONTH('Исходные данные'!$B$9),1),A3-1))</f>
        <v/>
      </c>
      <c r="C3" t="str">
        <f t="shared" si="0"/>
        <v/>
      </c>
      <c r="D3" t="str">
        <f>IF(B3="","",IF('Исходные данные'!$B$91&lt;&gt;"",IF(AND(YEAR(B3)=YEAR('Исходные данные'!$B$91),MONTH(B3)=MONTH('Исходные данные'!$B$91)),'Исходные данные'!$B$91,IF('Исходные данные'!$B$13&lt;&gt;"",IF(AND(YEAR(B3)=YEAR('Исходные данные'!$B$13),MONTH(B3)=MONTH('Исходные данные'!$B$13)),'Исходные данные'!$B$13,IF('Исходные данные'!$B$26&lt;&gt;"",IF(AND(YEAR(B3)=YEAR('Исходные данные'!$B$26),MONTH(B3)=MONTH('Исходные данные'!$B$26)),'Исходные данные'!$B$26,IF(A3=1,'Исходные данные'!$B$9,C3)),IF(A3=1,'Исходные данные'!$B$9,C3))),IF('Исходные данные'!$B$26&lt;&gt;"",IF(AND(YEAR(B3)=YEAR('Исходные данные'!$B$26),MONTH(B3)=MONTH('Исходные данные'!$B$26)),'Исходные данные'!$B$26,IF(A3=1,'Исходные данные'!$B$9,C3)),IF(A3=1,'Исходные данные'!$B$9,C3)))),IF('Исходные данные'!$B$13&lt;&gt;"",IF(AND(YEAR(B3)=YEAR('Исходные данные'!$B$13),MONTH(B3)=MONTH('Исходные данные'!$B$13)),'Исходные данные'!$B$13,IF('Исходные данные'!$B$26&lt;&gt;"",IF(AND(YEAR(B3)=YEAR('Исходные данные'!$B$26),MONTH(B3)=MONTH('Исходные данные'!$B$26)),'Исходные данные'!$B$26,IF(A3=1,'Исходные данные'!$B$9,C3)),IF(A3=1,'Исходные данные'!$B$9,C3))),IF('Исходные данные'!$B$26&lt;&gt;"",IF(AND(YEAR(B3)=YEAR('Исходные данные'!$B$26),MONTH(B3)=MONTH('Исходные данные'!$B$26)),'Исходные данные'!$B$26,IF(A3=1,'Исходные данные'!$B$9,C3)),IF(A3=1,'Исходные данные'!$B$9,C3)))))</f>
        <v/>
      </c>
      <c r="E3">
        <f>IF(OR(B3="",'Исходные данные'!$B$91=""),0,--(B3&lt;=DATE(YEAR('Исходные данные'!$B$91),MONTH('Исходные данные'!$B$91),1)))</f>
        <v>0</v>
      </c>
      <c r="F3">
        <f>IF(OR(B3="",'Исходные данные'!$B$30="",C3&lt;'Исходные данные'!$B$30),0,DATEDIF(DATE(YEAR('Исходные данные'!$B$30),MONTH('Исходные данные'!$B$30),1),B3,"m")+1)</f>
        <v>0</v>
      </c>
      <c r="G3">
        <f t="shared" si="1"/>
        <v>0</v>
      </c>
      <c r="H3">
        <f>IF(F3=0,0,IF(G3=1,N('Исходные данные'!$B$31),IF(G3=2,N('Исходные данные'!$B$32),IF(G3=3,N('Исходные данные'!$B$33),N('Исходные данные'!$B$33)*(1+N('Исходные данные'!$B$34))^(G3-3)))))</f>
        <v>0</v>
      </c>
      <c r="I3">
        <f>IF(OR(F3=0,N('Исходные данные'!$B$5)=0,H3=0),0,'Исходные данные'!$B$5*H3*IF(AND(B3&lt;='Исходные данные'!$B$30,C3&gt;='Исходные данные'!$B$30),(C3-'Исходные данные'!$B$30+1)/DAY(C3),1))</f>
        <v>0</v>
      </c>
      <c r="J3">
        <f>IF(AND(F3&gt;0,F3&lt;=N('Исходные данные'!$B$37)),-I3,0)</f>
        <v>0</v>
      </c>
      <c r="K3">
        <f>IF(OR(F3=0,F3&lt;=N('Исходные данные'!$B$37)),0,-(I3+J3)*N('Исходные данные'!$B$38))</f>
        <v>0</v>
      </c>
      <c r="L3">
        <f t="shared" si="2"/>
        <v>0</v>
      </c>
      <c r="M3">
        <f>IF('Исходные данные'!$B$51="Да",L3*N('Исходные данные'!$B$52),0)</f>
        <v>0</v>
      </c>
      <c r="N3">
        <f t="shared" si="3"/>
        <v>0</v>
      </c>
      <c r="O3">
        <f>IF(OR(B3="",IF('Исходные данные'!$B$45="",'Исходные данные'!$B$10,'Исходные данные'!$B$45)="",C3&lt;IF('Исходные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данные'!$B$45)),1),B3,"m")/12))*IF(AND(B3&lt;=IF('Исходные данные'!$B$45="",'Исходные данные'!$B$10,'Исходные данные'!$B$45),C3&gt;=IF('Исходные данные'!$B$45="",'Исходные данные'!$B$10,'Исходные данные'!$B$45)),(C3-IF('Исходные данные'!$B$45="",'Исходные данные'!$B$10,'Исходные данные'!$B$45)+1)/DAY(C3),1)*IF('Исходные данные'!$B$43="Без НДС",1+N('Исходные данные'!$B$44),1))</f>
        <v>0</v>
      </c>
      <c r="P3">
        <f>IF('Исходные данные'!$B$51="Да",-O3*N('Исходные данные'!$B$44)/(1+N('Исходные данные'!$B$44)),0)</f>
        <v>0</v>
      </c>
      <c r="Q3">
        <f>IF('Исходные данные'!$B$35="Да",-O3,0)</f>
        <v>0</v>
      </c>
      <c r="R3">
        <f>IF(AND('Исходные данные'!$B$51="Да",Q3&gt;0),Q3*N('Исходные данные'!$B$52)/(1+N('Исходные данные'!$B$52)),0)</f>
        <v>0</v>
      </c>
      <c r="S3">
        <f>IF(OR(B3="",IF('Исходные данные'!$B$45="",'Исходные данные'!$B$10,'Исходные данные'!$B$45)="",C3&lt;IF('Исходные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данные'!$B$45)),1),B3,"m")/12))*IF(AND(B3&lt;=IF('Исходные данные'!$B$45="",'Исходные данные'!$B$10,'Исходные данные'!$B$45),C3&gt;=IF('Исходные данные'!$B$45="",'Исходные данные'!$B$10,'Исходные данные'!$B$45)),(C3-IF('Исходные данные'!$B$45="",'Исходные данные'!$B$10,'Исходные данные'!$B$45)+1)/DAY(C3),1)*IF('Исходные данные'!$B$43="Без НДС",1+N('Исходные данные'!$B$44),1))</f>
        <v>0</v>
      </c>
      <c r="T3">
        <f>IF('Исходные данные'!$B$51="Да",-S3*N('Исходные данные'!$B$44)/(1+N('Исходные данные'!$B$44)),0)</f>
        <v>0</v>
      </c>
      <c r="U3">
        <f>IF('Исходные данные'!$B$36="Да",-S3,0)</f>
        <v>0</v>
      </c>
      <c r="V3">
        <f>IF(AND('Исходные данные'!$B$51="Да",U3&gt;0),U3*N('Исходные данные'!$B$52)/(1+N('Исходные данные'!$B$52)),0)</f>
        <v>0</v>
      </c>
      <c r="W3">
        <f>IF(OR(B3="",IF('Исходные данные'!$B$69="",'Исходные данные'!$B$10,'Исходные данные'!$B$69)="",C3&lt;IF('Исходные данные'!$B$69="",'Исходные данные'!$B$10,'Исходные данные'!$B$69)),0,-N('Исходные данные'!$B$16)*N('Исходные данные'!$B$68)*N('Исходные данные'!$B$67)/12*IF(AND(B3&lt;=IF('Исходные данные'!$B$69="",'Исходные данные'!$B$10,'Исходные данные'!$B$69),C3&gt;=IF('Исходные данные'!$B$69="",'Исходные данные'!$B$10,'Исходные данные'!$B$69)),(C3-IF('Исходные данные'!$B$69="",'Исходные данные'!$B$10,'Исходные данные'!$B$69)+1)/DAY(C3),1))</f>
        <v>0</v>
      </c>
      <c r="X3">
        <f>IF(OR(B3="",IF('Исходные данные'!$B$76="",'Исходные данные'!$B$10,'Исходные данные'!$B$76)="",C3&lt;IF('Исходные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данные'!$B$76)),1),B3,"m")/12))*IF(AND(B3&lt;=IF('Исходные данные'!$B$76="",'Исходные данные'!$B$10,'Исходные данные'!$B$76),C3&gt;=IF('Исходные данные'!$B$76="",'Исходные данные'!$B$10,'Исходные данные'!$B$76)),(C3-IF('Исходные данные'!$B$76="",'Исходные данные'!$B$10,'Исходные данные'!$B$76)+1)/DAY(C3),1))</f>
        <v>0</v>
      </c>
      <c r="Y3">
        <f t="shared" si="4"/>
        <v>0</v>
      </c>
      <c r="Z3">
        <f>IF(OR(B3="",N('Исходные данные'!$B$19)=0),0,-SUMIFS('Исходные данные'!$I$6:$I$186,'Исходные данные'!$F$6:$F$186,B3)*N('Исходные данные'!$B$17)/N('Исходные данные'!$B$19))</f>
        <v>0</v>
      </c>
      <c r="AA3">
        <f>IF(OR(B3="",N('Исходные данные'!$B$19)=0),0,-SUMIFS('Исходные данные'!$I$6:$I$186,'Исходные данные'!$F$6:$F$186,B3)*N('Исходные данные'!$B$18)/N('Исходные данные'!$B$19))</f>
        <v>0</v>
      </c>
      <c r="AB3">
        <f>IF(OR(B3="",'Исходные данные'!$B$13=""),0,IF(AND(YEAR(B3)=YEAR('Исходные данные'!$B$13),MONTH(B3)=MONTH('Исходные данные'!$B$13)),-N('Исходные данные'!$B$11),0))</f>
        <v>0</v>
      </c>
      <c r="AC3">
        <f>IF(A3=1,-N('Исходные данные'!$B$19)*N('Исходные данные'!$B$72),0)</f>
        <v>0</v>
      </c>
      <c r="AD3">
        <f>IF(OR(B3="",'Исходные данные'!$B$22&lt;&gt;"Да",'Исходные данные'!$B$26=""),0,IF(AND(YEAR(B3)=YEAR('Исходные данные'!$B$26),MONTH(B3)=MONTH('Исходные данные'!$B$26)),N('Исходные данные'!$B$23),0))</f>
        <v>0</v>
      </c>
      <c r="AE3">
        <f t="shared" ref="AE3:AE34" si="17">AK2</f>
        <v>0</v>
      </c>
      <c r="AF3">
        <f>IF(OR('Исходные данные'!$B$22&lt;&gt;"Да",'Исходные данные'!$B$26="",C3&lt;'Исходные данные'!$B$26),0,DATEDIF(DATE(YEAR('Исходные данные'!$B$26),MONTH('Исходные данные'!$B$26),1),B3,"m")+1)</f>
        <v>0</v>
      </c>
      <c r="AG3">
        <f>IF(OR(AF3&lt;1,AF3&gt;N('Исходные данные'!$B$25),AE3+AD3&lt;=0),0,-(AE3+AD3)*N('Исходные данные'!$B$24)*IF(AF3=1,C3-'Исходные данные'!$B$26+1,DAY(C3))/365)</f>
        <v>0</v>
      </c>
      <c r="AH3">
        <f>IF(OR(AF3&lt;1,AF3&gt;N('Исходные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данные'!$B$25)-AG3))</f>
        <v>0</v>
      </c>
      <c r="AI3">
        <f>IF(OR('Исходные данные'!$B$22&lt;&gt;"Да",AE3+AD3&lt;=0),0,IF(AND('Исходные данные'!$B$91&lt;&gt;"",B3&lt;&gt;"",YEAR(B3)=YEAR('Исходные данные'!$B$91),MONTH(B3)=MONTH('Исходные данные'!$B$91)),-(AE3+AD3),IF(OR(AF3&lt;1,AF3&gt;N('Исходные данные'!$B$25)),0,IF('Исходные данные'!$B$27="Равными долями",-MIN(AE3+AD3,N('Исходные данные'!$B$23)/N('Исходные данные'!$B$25)),-MIN(AE3+AD3,IF(AF3=N('Исходные данные'!$B$25),AE3+AD3,MAX(0,AH3+AG3)))))))</f>
        <v>0</v>
      </c>
      <c r="AJ3">
        <f t="shared" si="5"/>
        <v>0</v>
      </c>
      <c r="AK3">
        <f t="shared" si="6"/>
        <v>0</v>
      </c>
      <c r="AL3">
        <f>IF(OR(B3="",'Исходные данные'!$B$51&lt;&gt;"Да",'Исходные данные'!$B$61=""),0,IF(AND(YEAR(B3)=YEAR('Исходные данные'!$B$61),MONTH(B3)=MONTH('Исходные данные'!$B$61)),N('Исходные данные'!$B$18)*N('Исходные данные'!$B$62),0))</f>
        <v>0</v>
      </c>
      <c r="AM3">
        <f t="shared" ref="AM3:AM34" si="18">AQ2</f>
        <v>0</v>
      </c>
      <c r="AN3">
        <f t="shared" si="7"/>
        <v>0</v>
      </c>
      <c r="AO3">
        <f t="shared" si="8"/>
        <v>0</v>
      </c>
      <c r="AP3">
        <f>IF('Исходные данные'!$B$51="Да",-MAX(0,AN3-AO3-AM3),0)</f>
        <v>0</v>
      </c>
      <c r="AQ3">
        <f>IF('Исходные данные'!$B$51="Да",MAX(0,AM3+AO3-AN3),0)</f>
        <v>0</v>
      </c>
      <c r="AR3">
        <f>IF('Исходные данные'!$B$53="Выручка",MAX(0,L3+(Q3-R3)+(U3-V3)),IF('Исходные данные'!$B$53="Прибыль до налога",MAX(0,L3+(Q3-R3)+(U3-V3)+N('Исходные данные'!$B$54)*((O3+P3)+(S3+T3)+W3+X3)+IF('Исходные данные'!$B$55="Да",AG3,0)-N('Исходные данные'!$B$56)/12),IF('Исходные данные'!$B$53="Пользовательская база",MAX(0,N('Исходные данные'!$B$57)/12),0)))</f>
        <v>0</v>
      </c>
      <c r="AS3">
        <f>IF(E3=1,-AR3*N('Исходные данные'!$B$50),0)</f>
        <v>0</v>
      </c>
      <c r="AT3">
        <f t="shared" si="9"/>
        <v>0</v>
      </c>
      <c r="AU3">
        <f>IF(OR(B3="",N('Исходные данные'!$B$80)&lt;=0,'Исходные данные'!$B$88=""),0,MAX(0,IF('Исходные данные'!$B$88="Последние 12 месяцев",SUMIFS($Y$2:$Y$194,$B$2:$B$194,"&gt;="&amp;EDATE(B3,-11),$B$2:$B$194,"&lt;="&amp;B3),IF('Исходные данные'!$B$88="Пользовательский NOI",N('Исходные данные'!$B$89),AT3))/N('Исходные данные'!$B$80)*(1+N('Исходные данные'!$B$81))))</f>
        <v>0</v>
      </c>
      <c r="AV3">
        <f>IF(OR(E3&lt;&gt;1,B3="",'Исходные данные'!$B$91=""),0,IF(AND(YEAR(B3)=YEAR('Исходные данные'!$B$91),MONTH(B3)=MONTH('Исходные данные'!$B$91)),AU3,0))</f>
        <v>0</v>
      </c>
      <c r="AW3">
        <f>-AV3*N('Исходные данные'!$B$73)</f>
        <v>0</v>
      </c>
      <c r="AX3">
        <f>IF(AV3=0,0,-N('Исходные данные'!$B$87)-IF('Исходные данные'!$B$82="Да",IF('Исходные данные'!$B$84="С выручки",AV3,IF('Исходные данные'!$B$84="С прибыли",MAX(0,AV3+AW3-IF('Исходные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">
        <f t="shared" si="10"/>
        <v>0</v>
      </c>
      <c r="AZ3">
        <f t="shared" si="11"/>
        <v>0</v>
      </c>
      <c r="BA3">
        <f t="shared" si="12"/>
        <v>0</v>
      </c>
      <c r="BB3" t="str">
        <f t="shared" ref="BB3:BB34" si="19">IF(E3=1,BB2+BA3,"")</f>
        <v/>
      </c>
      <c r="BC3">
        <f>IF(OR(E3=0,'Исходные данные'!$B$9="",'Исходные данные'!$B$90=""),0,BA3/(1+'Исходные данные'!$B$90)^((D3-'Исходные данные'!$B$9)/365))</f>
        <v>0</v>
      </c>
      <c r="BD3">
        <f>IF(AND(E3=1,BB3&gt;=0,BB2&lt;0,MIN($BB$2:BB3)&lt;0),1,0)</f>
        <v>0</v>
      </c>
      <c r="BE3">
        <f t="shared" si="13"/>
        <v>0</v>
      </c>
      <c r="BF3">
        <f t="shared" si="14"/>
        <v>0</v>
      </c>
      <c r="BG3">
        <f t="shared" si="15"/>
        <v>0</v>
      </c>
      <c r="BH3">
        <f t="shared" si="16"/>
        <v>1</v>
      </c>
      <c r="BI3">
        <f>AZ3+N3+AP3-AR3*N('Исходные данные'!$B$50)</f>
        <v>0</v>
      </c>
      <c r="BJ3">
        <f>BJ2+BI3</f>
        <v>0</v>
      </c>
      <c r="BK3">
        <f>IF(AND(BJ3&gt;=0,BJ2&lt;0,MIN($BJ$2:BJ3)&lt;0),1,0)</f>
        <v>0</v>
      </c>
    </row>
    <row r="4" spans="1:63" x14ac:dyDescent="0.2">
      <c r="A4">
        <v>3</v>
      </c>
      <c r="B4" t="str">
        <f>IF('Исходные данные'!$B$9="","",EDATE(DATE(YEAR('Исходные данные'!$B$9),MONTH('Исходные данные'!$B$9),1),A4-1))</f>
        <v/>
      </c>
      <c r="C4" t="str">
        <f t="shared" si="0"/>
        <v/>
      </c>
      <c r="D4" t="str">
        <f>IF(B4="","",IF('Исходные данные'!$B$91&lt;&gt;"",IF(AND(YEAR(B4)=YEAR('Исходные данные'!$B$91),MONTH(B4)=MONTH('Исходные данные'!$B$91)),'Исходные данные'!$B$91,IF('Исходные данные'!$B$13&lt;&gt;"",IF(AND(YEAR(B4)=YEAR('Исходные данные'!$B$13),MONTH(B4)=MONTH('Исходные данные'!$B$13)),'Исходные данные'!$B$13,IF('Исходные данные'!$B$26&lt;&gt;"",IF(AND(YEAR(B4)=YEAR('Исходные данные'!$B$26),MONTH(B4)=MONTH('Исходные данные'!$B$26)),'Исходные данные'!$B$26,IF(A4=1,'Исходные данные'!$B$9,C4)),IF(A4=1,'Исходные данные'!$B$9,C4))),IF('Исходные данные'!$B$26&lt;&gt;"",IF(AND(YEAR(B4)=YEAR('Исходные данные'!$B$26),MONTH(B4)=MONTH('Исходные данные'!$B$26)),'Исходные данные'!$B$26,IF(A4=1,'Исходные данные'!$B$9,C4)),IF(A4=1,'Исходные данные'!$B$9,C4)))),IF('Исходные данные'!$B$13&lt;&gt;"",IF(AND(YEAR(B4)=YEAR('Исходные данные'!$B$13),MONTH(B4)=MONTH('Исходные данные'!$B$13)),'Исходные данные'!$B$13,IF('Исходные данные'!$B$26&lt;&gt;"",IF(AND(YEAR(B4)=YEAR('Исходные данные'!$B$26),MONTH(B4)=MONTH('Исходные данные'!$B$26)),'Исходные данные'!$B$26,IF(A4=1,'Исходные данные'!$B$9,C4)),IF(A4=1,'Исходные данные'!$B$9,C4))),IF('Исходные данные'!$B$26&lt;&gt;"",IF(AND(YEAR(B4)=YEAR('Исходные данные'!$B$26),MONTH(B4)=MONTH('Исходные данные'!$B$26)),'Исходные данные'!$B$26,IF(A4=1,'Исходные данные'!$B$9,C4)),IF(A4=1,'Исходные данные'!$B$9,C4)))))</f>
        <v/>
      </c>
      <c r="E4">
        <f>IF(OR(B4="",'Исходные данные'!$B$91=""),0,--(B4&lt;=DATE(YEAR('Исходные данные'!$B$91),MONTH('Исходные данные'!$B$91),1)))</f>
        <v>0</v>
      </c>
      <c r="F4">
        <f>IF(OR(B4="",'Исходные данные'!$B$30="",C4&lt;'Исходные данные'!$B$30),0,DATEDIF(DATE(YEAR('Исходные данные'!$B$30),MONTH('Исходные данные'!$B$30),1),B4,"m")+1)</f>
        <v>0</v>
      </c>
      <c r="G4">
        <f t="shared" si="1"/>
        <v>0</v>
      </c>
      <c r="H4">
        <f>IF(F4=0,0,IF(G4=1,N('Исходные данные'!$B$31),IF(G4=2,N('Исходные данные'!$B$32),IF(G4=3,N('Исходные данные'!$B$33),N('Исходные данные'!$B$33)*(1+N('Исходные данные'!$B$34))^(G4-3)))))</f>
        <v>0</v>
      </c>
      <c r="I4">
        <f>IF(OR(F4=0,N('Исходные данные'!$B$5)=0,H4=0),0,'Исходные данные'!$B$5*H4*IF(AND(B4&lt;='Исходные данные'!$B$30,C4&gt;='Исходные данные'!$B$30),(C4-'Исходные данные'!$B$30+1)/DAY(C4),1))</f>
        <v>0</v>
      </c>
      <c r="J4">
        <f>IF(AND(F4&gt;0,F4&lt;=N('Исходные данные'!$B$37)),-I4,0)</f>
        <v>0</v>
      </c>
      <c r="K4">
        <f>IF(OR(F4=0,F4&lt;=N('Исходные данные'!$B$37)),0,-(I4+J4)*N('Исходные данные'!$B$38))</f>
        <v>0</v>
      </c>
      <c r="L4">
        <f t="shared" si="2"/>
        <v>0</v>
      </c>
      <c r="M4">
        <f>IF('Исходные данные'!$B$51="Да",L4*N('Исходные данные'!$B$52),0)</f>
        <v>0</v>
      </c>
      <c r="N4">
        <f t="shared" si="3"/>
        <v>0</v>
      </c>
      <c r="O4">
        <f>IF(OR(B4="",IF('Исходные данные'!$B$45="",'Исходные данные'!$B$10,'Исходные данные'!$B$45)="",C4&lt;IF('Исходные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данные'!$B$45)),1),B4,"m")/12))*IF(AND(B4&lt;=IF('Исходные данные'!$B$45="",'Исходные данные'!$B$10,'Исходные данные'!$B$45),C4&gt;=IF('Исходные данные'!$B$45="",'Исходные данные'!$B$10,'Исходные данные'!$B$45)),(C4-IF('Исходные данные'!$B$45="",'Исходные данные'!$B$10,'Исходные данные'!$B$45)+1)/DAY(C4),1)*IF('Исходные данные'!$B$43="Без НДС",1+N('Исходные данные'!$B$44),1))</f>
        <v>0</v>
      </c>
      <c r="P4">
        <f>IF('Исходные данные'!$B$51="Да",-O4*N('Исходные данные'!$B$44)/(1+N('Исходные данные'!$B$44)),0)</f>
        <v>0</v>
      </c>
      <c r="Q4">
        <f>IF('Исходные данные'!$B$35="Да",-O4,0)</f>
        <v>0</v>
      </c>
      <c r="R4">
        <f>IF(AND('Исходные данные'!$B$51="Да",Q4&gt;0),Q4*N('Исходные данные'!$B$52)/(1+N('Исходные данные'!$B$52)),0)</f>
        <v>0</v>
      </c>
      <c r="S4">
        <f>IF(OR(B4="",IF('Исходные данные'!$B$45="",'Исходные данные'!$B$10,'Исходные данные'!$B$45)="",C4&lt;IF('Исходные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данные'!$B$45)),1),B4,"m")/12))*IF(AND(B4&lt;=IF('Исходные данные'!$B$45="",'Исходные данные'!$B$10,'Исходные данные'!$B$45),C4&gt;=IF('Исходные данные'!$B$45="",'Исходные данные'!$B$10,'Исходные данные'!$B$45)),(C4-IF('Исходные данные'!$B$45="",'Исходные данные'!$B$10,'Исходные данные'!$B$45)+1)/DAY(C4),1)*IF('Исходные данные'!$B$43="Без НДС",1+N('Исходные данные'!$B$44),1))</f>
        <v>0</v>
      </c>
      <c r="T4">
        <f>IF('Исходные данные'!$B$51="Да",-S4*N('Исходные данные'!$B$44)/(1+N('Исходные данные'!$B$44)),0)</f>
        <v>0</v>
      </c>
      <c r="U4">
        <f>IF('Исходные данные'!$B$36="Да",-S4,0)</f>
        <v>0</v>
      </c>
      <c r="V4">
        <f>IF(AND('Исходные данные'!$B$51="Да",U4&gt;0),U4*N('Исходные данные'!$B$52)/(1+N('Исходные данные'!$B$52)),0)</f>
        <v>0</v>
      </c>
      <c r="W4">
        <f>IF(OR(B4="",IF('Исходные данные'!$B$69="",'Исходные данные'!$B$10,'Исходные данные'!$B$69)="",C4&lt;IF('Исходные данные'!$B$69="",'Исходные данные'!$B$10,'Исходные данные'!$B$69)),0,-N('Исходные данные'!$B$16)*N('Исходные данные'!$B$68)*N('Исходные данные'!$B$67)/12*IF(AND(B4&lt;=IF('Исходные данные'!$B$69="",'Исходные данные'!$B$10,'Исходные данные'!$B$69),C4&gt;=IF('Исходные данные'!$B$69="",'Исходные данные'!$B$10,'Исходные данные'!$B$69)),(C4-IF('Исходные данные'!$B$69="",'Исходные данные'!$B$10,'Исходные данные'!$B$69)+1)/DAY(C4),1))</f>
        <v>0</v>
      </c>
      <c r="X4">
        <f>IF(OR(B4="",IF('Исходные данные'!$B$76="",'Исходные данные'!$B$10,'Исходные данные'!$B$76)="",C4&lt;IF('Исходные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данные'!$B$76)),1),B4,"m")/12))*IF(AND(B4&lt;=IF('Исходные данные'!$B$76="",'Исходные данные'!$B$10,'Исходные данные'!$B$76),C4&gt;=IF('Исходные данные'!$B$76="",'Исходные данные'!$B$10,'Исходные данные'!$B$76)),(C4-IF('Исходные данные'!$B$76="",'Исходные данные'!$B$10,'Исходные данные'!$B$76)+1)/DAY(C4),1))</f>
        <v>0</v>
      </c>
      <c r="Y4">
        <f t="shared" si="4"/>
        <v>0</v>
      </c>
      <c r="Z4">
        <f>IF(OR(B4="",N('Исходные данные'!$B$19)=0),0,-SUMIFS('Исходные данные'!$I$6:$I$186,'Исходные данные'!$F$6:$F$186,B4)*N('Исходные данные'!$B$17)/N('Исходные данные'!$B$19))</f>
        <v>0</v>
      </c>
      <c r="AA4">
        <f>IF(OR(B4="",N('Исходные данные'!$B$19)=0),0,-SUMIFS('Исходные данные'!$I$6:$I$186,'Исходные данные'!$F$6:$F$186,B4)*N('Исходные данные'!$B$18)/N('Исходные данные'!$B$19))</f>
        <v>0</v>
      </c>
      <c r="AB4">
        <f>IF(OR(B4="",'Исходные данные'!$B$13=""),0,IF(AND(YEAR(B4)=YEAR('Исходные данные'!$B$13),MONTH(B4)=MONTH('Исходные данные'!$B$13)),-N('Исходные данные'!$B$11),0))</f>
        <v>0</v>
      </c>
      <c r="AC4">
        <f>IF(A4=1,-N('Исходные данные'!$B$19)*N('Исходные данные'!$B$72),0)</f>
        <v>0</v>
      </c>
      <c r="AD4">
        <f>IF(OR(B4="",'Исходные данные'!$B$22&lt;&gt;"Да",'Исходные данные'!$B$26=""),0,IF(AND(YEAR(B4)=YEAR('Исходные данные'!$B$26),MONTH(B4)=MONTH('Исходные данные'!$B$26)),N('Исходные данные'!$B$23),0))</f>
        <v>0</v>
      </c>
      <c r="AE4">
        <f t="shared" si="17"/>
        <v>0</v>
      </c>
      <c r="AF4">
        <f>IF(OR('Исходные данные'!$B$22&lt;&gt;"Да",'Исходные данные'!$B$26="",C4&lt;'Исходные данные'!$B$26),0,DATEDIF(DATE(YEAR('Исходные данные'!$B$26),MONTH('Исходные данные'!$B$26),1),B4,"m")+1)</f>
        <v>0</v>
      </c>
      <c r="AG4">
        <f>IF(OR(AF4&lt;1,AF4&gt;N('Исходные данные'!$B$25),AE4+AD4&lt;=0),0,-(AE4+AD4)*N('Исходные данные'!$B$24)*IF(AF4=1,C4-'Исходные данные'!$B$26+1,DAY(C4))/365)</f>
        <v>0</v>
      </c>
      <c r="AH4">
        <f>IF(OR(AF4&lt;1,AF4&gt;N('Исходные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данные'!$B$25)-AG4))</f>
        <v>0</v>
      </c>
      <c r="AI4">
        <f>IF(OR('Исходные данные'!$B$22&lt;&gt;"Да",AE4+AD4&lt;=0),0,IF(AND('Исходные данные'!$B$91&lt;&gt;"",B4&lt;&gt;"",YEAR(B4)=YEAR('Исходные данные'!$B$91),MONTH(B4)=MONTH('Исходные данные'!$B$91)),-(AE4+AD4),IF(OR(AF4&lt;1,AF4&gt;N('Исходные данные'!$B$25)),0,IF('Исходные данные'!$B$27="Равными долями",-MIN(AE4+AD4,N('Исходные данные'!$B$23)/N('Исходные данные'!$B$25)),-MIN(AE4+AD4,IF(AF4=N('Исходные данные'!$B$25),AE4+AD4,MAX(0,AH4+AG4)))))))</f>
        <v>0</v>
      </c>
      <c r="AJ4">
        <f t="shared" si="5"/>
        <v>0</v>
      </c>
      <c r="AK4">
        <f t="shared" si="6"/>
        <v>0</v>
      </c>
      <c r="AL4">
        <f>IF(OR(B4="",'Исходные данные'!$B$51&lt;&gt;"Да",'Исходные данные'!$B$61=""),0,IF(AND(YEAR(B4)=YEAR('Исходные данные'!$B$61),MONTH(B4)=MONTH('Исходные данные'!$B$61)),N('Исходные данные'!$B$18)*N('Исходные данные'!$B$62),0))</f>
        <v>0</v>
      </c>
      <c r="AM4">
        <f t="shared" si="18"/>
        <v>0</v>
      </c>
      <c r="AN4">
        <f t="shared" si="7"/>
        <v>0</v>
      </c>
      <c r="AO4">
        <f t="shared" si="8"/>
        <v>0</v>
      </c>
      <c r="AP4">
        <f>IF('Исходные данные'!$B$51="Да",-MAX(0,AN4-AO4-AM4),0)</f>
        <v>0</v>
      </c>
      <c r="AQ4">
        <f>IF('Исходные данные'!$B$51="Да",MAX(0,AM4+AO4-AN4),0)</f>
        <v>0</v>
      </c>
      <c r="AR4">
        <f>IF('Исходные данные'!$B$53="Выручка",MAX(0,L4+(Q4-R4)+(U4-V4)),IF('Исходные данные'!$B$53="Прибыль до налога",MAX(0,L4+(Q4-R4)+(U4-V4)+N('Исходные данные'!$B$54)*((O4+P4)+(S4+T4)+W4+X4)+IF('Исходные данные'!$B$55="Да",AG4,0)-N('Исходные данные'!$B$56)/12),IF('Исходные данные'!$B$53="Пользовательская база",MAX(0,N('Исходные данные'!$B$57)/12),0)))</f>
        <v>0</v>
      </c>
      <c r="AS4">
        <f>IF(E4=1,-AR4*N('Исходные данные'!$B$50),0)</f>
        <v>0</v>
      </c>
      <c r="AT4">
        <f t="shared" si="9"/>
        <v>0</v>
      </c>
      <c r="AU4">
        <f>IF(OR(B4="",N('Исходные данные'!$B$80)&lt;=0,'Исходные данные'!$B$88=""),0,MAX(0,IF('Исходные данные'!$B$88="Последние 12 месяцев",SUMIFS($Y$2:$Y$194,$B$2:$B$194,"&gt;="&amp;EDATE(B4,-11),$B$2:$B$194,"&lt;="&amp;B4),IF('Исходные данные'!$B$88="Пользовательский NOI",N('Исходные данные'!$B$89),AT4))/N('Исходные данные'!$B$80)*(1+N('Исходные данные'!$B$81))))</f>
        <v>0</v>
      </c>
      <c r="AV4">
        <f>IF(OR(E4&lt;&gt;1,B4="",'Исходные данные'!$B$91=""),0,IF(AND(YEAR(B4)=YEAR('Исходные данные'!$B$91),MONTH(B4)=MONTH('Исходные данные'!$B$91)),AU4,0))</f>
        <v>0</v>
      </c>
      <c r="AW4">
        <f>-AV4*N('Исходные данные'!$B$73)</f>
        <v>0</v>
      </c>
      <c r="AX4">
        <f>IF(AV4=0,0,-N('Исходные данные'!$B$87)-IF('Исходные данные'!$B$82="Да",IF('Исходные данные'!$B$84="С выручки",AV4,IF('Исходные данные'!$B$84="С прибыли",MAX(0,AV4+AW4-IF('Исходные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4">
        <f t="shared" si="10"/>
        <v>0</v>
      </c>
      <c r="AZ4">
        <f t="shared" si="11"/>
        <v>0</v>
      </c>
      <c r="BA4">
        <f t="shared" si="12"/>
        <v>0</v>
      </c>
      <c r="BB4" t="str">
        <f t="shared" si="19"/>
        <v/>
      </c>
      <c r="BC4">
        <f>IF(OR(E4=0,'Исходные данные'!$B$9="",'Исходные данные'!$B$90=""),0,BA4/(1+'Исходные данные'!$B$90)^((D4-'Исходные данные'!$B$9)/365))</f>
        <v>0</v>
      </c>
      <c r="BD4">
        <f>IF(AND(E4=1,BB4&gt;=0,BB3&lt;0,MIN($BB$2:BB4)&lt;0),1,0)</f>
        <v>0</v>
      </c>
      <c r="BE4">
        <f t="shared" si="13"/>
        <v>0</v>
      </c>
      <c r="BF4">
        <f t="shared" si="14"/>
        <v>0</v>
      </c>
      <c r="BG4">
        <f t="shared" si="15"/>
        <v>0</v>
      </c>
      <c r="BH4">
        <f t="shared" si="16"/>
        <v>1</v>
      </c>
      <c r="BI4">
        <f>AZ4+N4+AP4-AR4*N('Исходные данные'!$B$50)</f>
        <v>0</v>
      </c>
      <c r="BJ4">
        <f t="shared" ref="BJ4:BJ67" si="20">BJ3+BI4</f>
        <v>0</v>
      </c>
      <c r="BK4">
        <f>IF(AND(BJ4&gt;=0,BJ3&lt;0,MIN($BJ$2:BJ4)&lt;0),1,0)</f>
        <v>0</v>
      </c>
    </row>
    <row r="5" spans="1:63" x14ac:dyDescent="0.2">
      <c r="A5">
        <v>4</v>
      </c>
      <c r="B5" t="str">
        <f>IF('Исходные данные'!$B$9="","",EDATE(DATE(YEAR('Исходные данные'!$B$9),MONTH('Исходные данные'!$B$9),1),A5-1))</f>
        <v/>
      </c>
      <c r="C5" t="str">
        <f t="shared" si="0"/>
        <v/>
      </c>
      <c r="D5" t="str">
        <f>IF(B5="","",IF('Исходные данные'!$B$91&lt;&gt;"",IF(AND(YEAR(B5)=YEAR('Исходные данные'!$B$91),MONTH(B5)=MONTH('Исходные данные'!$B$91)),'Исходные данные'!$B$91,IF('Исходные данные'!$B$13&lt;&gt;"",IF(AND(YEAR(B5)=YEAR('Исходные данные'!$B$13),MONTH(B5)=MONTH('Исходные данные'!$B$13)),'Исходные данные'!$B$13,IF('Исходные данные'!$B$26&lt;&gt;"",IF(AND(YEAR(B5)=YEAR('Исходные данные'!$B$26),MONTH(B5)=MONTH('Исходные данные'!$B$26)),'Исходные данные'!$B$26,IF(A5=1,'Исходные данные'!$B$9,C5)),IF(A5=1,'Исходные данные'!$B$9,C5))),IF('Исходные данные'!$B$26&lt;&gt;"",IF(AND(YEAR(B5)=YEAR('Исходные данные'!$B$26),MONTH(B5)=MONTH('Исходные данные'!$B$26)),'Исходные данные'!$B$26,IF(A5=1,'Исходные данные'!$B$9,C5)),IF(A5=1,'Исходные данные'!$B$9,C5)))),IF('Исходные данные'!$B$13&lt;&gt;"",IF(AND(YEAR(B5)=YEAR('Исходные данные'!$B$13),MONTH(B5)=MONTH('Исходные данные'!$B$13)),'Исходные данные'!$B$13,IF('Исходные данные'!$B$26&lt;&gt;"",IF(AND(YEAR(B5)=YEAR('Исходные данные'!$B$26),MONTH(B5)=MONTH('Исходные данные'!$B$26)),'Исходные данные'!$B$26,IF(A5=1,'Исходные данные'!$B$9,C5)),IF(A5=1,'Исходные данные'!$B$9,C5))),IF('Исходные данные'!$B$26&lt;&gt;"",IF(AND(YEAR(B5)=YEAR('Исходные данные'!$B$26),MONTH(B5)=MONTH('Исходные данные'!$B$26)),'Исходные данные'!$B$26,IF(A5=1,'Исходные данные'!$B$9,C5)),IF(A5=1,'Исходные данные'!$B$9,C5)))))</f>
        <v/>
      </c>
      <c r="E5">
        <f>IF(OR(B5="",'Исходные данные'!$B$91=""),0,--(B5&lt;=DATE(YEAR('Исходные данные'!$B$91),MONTH('Исходные данные'!$B$91),1)))</f>
        <v>0</v>
      </c>
      <c r="F5">
        <f>IF(OR(B5="",'Исходные данные'!$B$30="",C5&lt;'Исходные данные'!$B$30),0,DATEDIF(DATE(YEAR('Исходные данные'!$B$30),MONTH('Исходные данные'!$B$30),1),B5,"m")+1)</f>
        <v>0</v>
      </c>
      <c r="G5">
        <f t="shared" si="1"/>
        <v>0</v>
      </c>
      <c r="H5">
        <f>IF(F5=0,0,IF(G5=1,N('Исходные данные'!$B$31),IF(G5=2,N('Исходные данные'!$B$32),IF(G5=3,N('Исходные данные'!$B$33),N('Исходные данные'!$B$33)*(1+N('Исходные данные'!$B$34))^(G5-3)))))</f>
        <v>0</v>
      </c>
      <c r="I5">
        <f>IF(OR(F5=0,N('Исходные данные'!$B$5)=0,H5=0),0,'Исходные данные'!$B$5*H5*IF(AND(B5&lt;='Исходные данные'!$B$30,C5&gt;='Исходные данные'!$B$30),(C5-'Исходные данные'!$B$30+1)/DAY(C5),1))</f>
        <v>0</v>
      </c>
      <c r="J5">
        <f>IF(AND(F5&gt;0,F5&lt;=N('Исходные данные'!$B$37)),-I5,0)</f>
        <v>0</v>
      </c>
      <c r="K5">
        <f>IF(OR(F5=0,F5&lt;=N('Исходные данные'!$B$37)),0,-(I5+J5)*N('Исходные данные'!$B$38))</f>
        <v>0</v>
      </c>
      <c r="L5">
        <f t="shared" si="2"/>
        <v>0</v>
      </c>
      <c r="M5">
        <f>IF('Исходные данные'!$B$51="Да",L5*N('Исходные данные'!$B$52),0)</f>
        <v>0</v>
      </c>
      <c r="N5">
        <f t="shared" si="3"/>
        <v>0</v>
      </c>
      <c r="O5">
        <f>IF(OR(B5="",IF('Исходные данные'!$B$45="",'Исходные данные'!$B$10,'Исходные данные'!$B$45)="",C5&lt;IF('Исходные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данные'!$B$45)),1),B5,"m")/12))*IF(AND(B5&lt;=IF('Исходные данные'!$B$45="",'Исходные данные'!$B$10,'Исходные данные'!$B$45),C5&gt;=IF('Исходные данные'!$B$45="",'Исходные данные'!$B$10,'Исходные данные'!$B$45)),(C5-IF('Исходные данные'!$B$45="",'Исходные данные'!$B$10,'Исходные данные'!$B$45)+1)/DAY(C5),1)*IF('Исходные данные'!$B$43="Без НДС",1+N('Исходные данные'!$B$44),1))</f>
        <v>0</v>
      </c>
      <c r="P5">
        <f>IF('Исходные данные'!$B$51="Да",-O5*N('Исходные данные'!$B$44)/(1+N('Исходные данные'!$B$44)),0)</f>
        <v>0</v>
      </c>
      <c r="Q5">
        <f>IF('Исходные данные'!$B$35="Да",-O5,0)</f>
        <v>0</v>
      </c>
      <c r="R5">
        <f>IF(AND('Исходные данные'!$B$51="Да",Q5&gt;0),Q5*N('Исходные данные'!$B$52)/(1+N('Исходные данные'!$B$52)),0)</f>
        <v>0</v>
      </c>
      <c r="S5">
        <f>IF(OR(B5="",IF('Исходные данные'!$B$45="",'Исходные данные'!$B$10,'Исходные данные'!$B$45)="",C5&lt;IF('Исходные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данные'!$B$45)),1),B5,"m")/12))*IF(AND(B5&lt;=IF('Исходные данные'!$B$45="",'Исходные данные'!$B$10,'Исходные данные'!$B$45),C5&gt;=IF('Исходные данные'!$B$45="",'Исходные данные'!$B$10,'Исходные данные'!$B$45)),(C5-IF('Исходные данные'!$B$45="",'Исходные данные'!$B$10,'Исходные данные'!$B$45)+1)/DAY(C5),1)*IF('Исходные данные'!$B$43="Без НДС",1+N('Исходные данные'!$B$44),1))</f>
        <v>0</v>
      </c>
      <c r="T5">
        <f>IF('Исходные данные'!$B$51="Да",-S5*N('Исходные данные'!$B$44)/(1+N('Исходные данные'!$B$44)),0)</f>
        <v>0</v>
      </c>
      <c r="U5">
        <f>IF('Исходные данные'!$B$36="Да",-S5,0)</f>
        <v>0</v>
      </c>
      <c r="V5">
        <f>IF(AND('Исходные данные'!$B$51="Да",U5&gt;0),U5*N('Исходные данные'!$B$52)/(1+N('Исходные данные'!$B$52)),0)</f>
        <v>0</v>
      </c>
      <c r="W5">
        <f>IF(OR(B5="",IF('Исходные данные'!$B$69="",'Исходные данные'!$B$10,'Исходные данные'!$B$69)="",C5&lt;IF('Исходные данные'!$B$69="",'Исходные данные'!$B$10,'Исходные данные'!$B$69)),0,-N('Исходные данные'!$B$16)*N('Исходные данные'!$B$68)*N('Исходные данные'!$B$67)/12*IF(AND(B5&lt;=IF('Исходные данные'!$B$69="",'Исходные данные'!$B$10,'Исходные данные'!$B$69),C5&gt;=IF('Исходные данные'!$B$69="",'Исходные данные'!$B$10,'Исходные данные'!$B$69)),(C5-IF('Исходные данные'!$B$69="",'Исходные данные'!$B$10,'Исходные данные'!$B$69)+1)/DAY(C5),1))</f>
        <v>0</v>
      </c>
      <c r="X5">
        <f>IF(OR(B5="",IF('Исходные данные'!$B$76="",'Исходные данные'!$B$10,'Исходные данные'!$B$76)="",C5&lt;IF('Исходные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данные'!$B$76)),1),B5,"m")/12))*IF(AND(B5&lt;=IF('Исходные данные'!$B$76="",'Исходные данные'!$B$10,'Исходные данные'!$B$76),C5&gt;=IF('Исходные данные'!$B$76="",'Исходные данные'!$B$10,'Исходные данные'!$B$76)),(C5-IF('Исходные данные'!$B$76="",'Исходные данные'!$B$10,'Исходные данные'!$B$76)+1)/DAY(C5),1))</f>
        <v>0</v>
      </c>
      <c r="Y5">
        <f t="shared" si="4"/>
        <v>0</v>
      </c>
      <c r="Z5">
        <f>IF(OR(B5="",N('Исходные данные'!$B$19)=0),0,-SUMIFS('Исходные данные'!$I$6:$I$186,'Исходные данные'!$F$6:$F$186,B5)*N('Исходные данные'!$B$17)/N('Исходные данные'!$B$19))</f>
        <v>0</v>
      </c>
      <c r="AA5">
        <f>IF(OR(B5="",N('Исходные данные'!$B$19)=0),0,-SUMIFS('Исходные данные'!$I$6:$I$186,'Исходные данные'!$F$6:$F$186,B5)*N('Исходные данные'!$B$18)/N('Исходные данные'!$B$19))</f>
        <v>0</v>
      </c>
      <c r="AB5">
        <f>IF(OR(B5="",'Исходные данные'!$B$13=""),0,IF(AND(YEAR(B5)=YEAR('Исходные данные'!$B$13),MONTH(B5)=MONTH('Исходные данные'!$B$13)),-N('Исходные данные'!$B$11),0))</f>
        <v>0</v>
      </c>
      <c r="AC5">
        <f>IF(A5=1,-N('Исходные данные'!$B$19)*N('Исходные данные'!$B$72),0)</f>
        <v>0</v>
      </c>
      <c r="AD5">
        <f>IF(OR(B5="",'Исходные данные'!$B$22&lt;&gt;"Да",'Исходные данные'!$B$26=""),0,IF(AND(YEAR(B5)=YEAR('Исходные данные'!$B$26),MONTH(B5)=MONTH('Исходные данные'!$B$26)),N('Исходные данные'!$B$23),0))</f>
        <v>0</v>
      </c>
      <c r="AE5">
        <f t="shared" si="17"/>
        <v>0</v>
      </c>
      <c r="AF5">
        <f>IF(OR('Исходные данные'!$B$22&lt;&gt;"Да",'Исходные данные'!$B$26="",C5&lt;'Исходные данные'!$B$26),0,DATEDIF(DATE(YEAR('Исходные данные'!$B$26),MONTH('Исходные данные'!$B$26),1),B5,"m")+1)</f>
        <v>0</v>
      </c>
      <c r="AG5">
        <f>IF(OR(AF5&lt;1,AF5&gt;N('Исходные данные'!$B$25),AE5+AD5&lt;=0),0,-(AE5+AD5)*N('Исходные данные'!$B$24)*IF(AF5=1,C5-'Исходные данные'!$B$26+1,DAY(C5))/365)</f>
        <v>0</v>
      </c>
      <c r="AH5">
        <f>IF(OR(AF5&lt;1,AF5&gt;N('Исходные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данные'!$B$25)-AG5))</f>
        <v>0</v>
      </c>
      <c r="AI5">
        <f>IF(OR('Исходные данные'!$B$22&lt;&gt;"Да",AE5+AD5&lt;=0),0,IF(AND('Исходные данные'!$B$91&lt;&gt;"",B5&lt;&gt;"",YEAR(B5)=YEAR('Исходные данные'!$B$91),MONTH(B5)=MONTH('Исходные данные'!$B$91)),-(AE5+AD5),IF(OR(AF5&lt;1,AF5&gt;N('Исходные данные'!$B$25)),0,IF('Исходные данные'!$B$27="Равными долями",-MIN(AE5+AD5,N('Исходные данные'!$B$23)/N('Исходные данные'!$B$25)),-MIN(AE5+AD5,IF(AF5=N('Исходные данные'!$B$25),AE5+AD5,MAX(0,AH5+AG5)))))))</f>
        <v>0</v>
      </c>
      <c r="AJ5">
        <f t="shared" si="5"/>
        <v>0</v>
      </c>
      <c r="AK5">
        <f t="shared" si="6"/>
        <v>0</v>
      </c>
      <c r="AL5">
        <f>IF(OR(B5="",'Исходные данные'!$B$51&lt;&gt;"Да",'Исходные данные'!$B$61=""),0,IF(AND(YEAR(B5)=YEAR('Исходные данные'!$B$61),MONTH(B5)=MONTH('Исходные данные'!$B$61)),N('Исходные данные'!$B$18)*N('Исходные данные'!$B$62),0))</f>
        <v>0</v>
      </c>
      <c r="AM5">
        <f t="shared" si="18"/>
        <v>0</v>
      </c>
      <c r="AN5">
        <f t="shared" si="7"/>
        <v>0</v>
      </c>
      <c r="AO5">
        <f t="shared" si="8"/>
        <v>0</v>
      </c>
      <c r="AP5">
        <f>IF('Исходные данные'!$B$51="Да",-MAX(0,AN5-AO5-AM5),0)</f>
        <v>0</v>
      </c>
      <c r="AQ5">
        <f>IF('Исходные данные'!$B$51="Да",MAX(0,AM5+AO5-AN5),0)</f>
        <v>0</v>
      </c>
      <c r="AR5">
        <f>IF('Исходные данные'!$B$53="Выручка",MAX(0,L5+(Q5-R5)+(U5-V5)),IF('Исходные данные'!$B$53="Прибыль до налога",MAX(0,L5+(Q5-R5)+(U5-V5)+N('Исходные данные'!$B$54)*((O5+P5)+(S5+T5)+W5+X5)+IF('Исходные данные'!$B$55="Да",AG5,0)-N('Исходные данные'!$B$56)/12),IF('Исходные данные'!$B$53="Пользовательская база",MAX(0,N('Исходные данные'!$B$57)/12),0)))</f>
        <v>0</v>
      </c>
      <c r="AS5">
        <f>IF(E5=1,-AR5*N('Исходные данные'!$B$50),0)</f>
        <v>0</v>
      </c>
      <c r="AT5">
        <f t="shared" si="9"/>
        <v>0</v>
      </c>
      <c r="AU5">
        <f>IF(OR(B5="",N('Исходные данные'!$B$80)&lt;=0,'Исходные данные'!$B$88=""),0,MAX(0,IF('Исходные данные'!$B$88="Последние 12 месяцев",SUMIFS($Y$2:$Y$194,$B$2:$B$194,"&gt;="&amp;EDATE(B5,-11),$B$2:$B$194,"&lt;="&amp;B5),IF('Исходные данные'!$B$88="Пользовательский NOI",N('Исходные данные'!$B$89),AT5))/N('Исходные данные'!$B$80)*(1+N('Исходные данные'!$B$81))))</f>
        <v>0</v>
      </c>
      <c r="AV5">
        <f>IF(OR(E5&lt;&gt;1,B5="",'Исходные данные'!$B$91=""),0,IF(AND(YEAR(B5)=YEAR('Исходные данные'!$B$91),MONTH(B5)=MONTH('Исходные данные'!$B$91)),AU5,0))</f>
        <v>0</v>
      </c>
      <c r="AW5">
        <f>-AV5*N('Исходные данные'!$B$73)</f>
        <v>0</v>
      </c>
      <c r="AX5">
        <f>IF(AV5=0,0,-N('Исходные данные'!$B$87)-IF('Исходные данные'!$B$82="Да",IF('Исходные данные'!$B$84="С выручки",AV5,IF('Исходные данные'!$B$84="С прибыли",MAX(0,AV5+AW5-IF('Исходные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5">
        <f t="shared" si="10"/>
        <v>0</v>
      </c>
      <c r="AZ5">
        <f t="shared" si="11"/>
        <v>0</v>
      </c>
      <c r="BA5">
        <f t="shared" si="12"/>
        <v>0</v>
      </c>
      <c r="BB5" t="str">
        <f t="shared" si="19"/>
        <v/>
      </c>
      <c r="BC5">
        <f>IF(OR(E5=0,'Исходные данные'!$B$9="",'Исходные данные'!$B$90=""),0,BA5/(1+'Исходные данные'!$B$90)^((D5-'Исходные данные'!$B$9)/365))</f>
        <v>0</v>
      </c>
      <c r="BD5">
        <f>IF(AND(E5=1,BB5&gt;=0,BB4&lt;0,MIN($BB$2:BB5)&lt;0),1,0)</f>
        <v>0</v>
      </c>
      <c r="BE5">
        <f t="shared" si="13"/>
        <v>0</v>
      </c>
      <c r="BF5">
        <f t="shared" si="14"/>
        <v>0</v>
      </c>
      <c r="BG5">
        <f t="shared" si="15"/>
        <v>0</v>
      </c>
      <c r="BH5">
        <f t="shared" si="16"/>
        <v>1</v>
      </c>
      <c r="BI5">
        <f>AZ5+N5+AP5-AR5*N('Исходные данные'!$B$50)</f>
        <v>0</v>
      </c>
      <c r="BJ5">
        <f t="shared" si="20"/>
        <v>0</v>
      </c>
      <c r="BK5">
        <f>IF(AND(BJ5&gt;=0,BJ4&lt;0,MIN($BJ$2:BJ5)&lt;0),1,0)</f>
        <v>0</v>
      </c>
    </row>
    <row r="6" spans="1:63" x14ac:dyDescent="0.2">
      <c r="A6">
        <v>5</v>
      </c>
      <c r="B6" t="str">
        <f>IF('Исходные данные'!$B$9="","",EDATE(DATE(YEAR('Исходные данные'!$B$9),MONTH('Исходные данные'!$B$9),1),A6-1))</f>
        <v/>
      </c>
      <c r="C6" t="str">
        <f t="shared" si="0"/>
        <v/>
      </c>
      <c r="D6" t="str">
        <f>IF(B6="","",IF('Исходные данные'!$B$91&lt;&gt;"",IF(AND(YEAR(B6)=YEAR('Исходные данные'!$B$91),MONTH(B6)=MONTH('Исходные данные'!$B$91)),'Исходные данные'!$B$91,IF('Исходные данные'!$B$13&lt;&gt;"",IF(AND(YEAR(B6)=YEAR('Исходные данные'!$B$13),MONTH(B6)=MONTH('Исходные данные'!$B$13)),'Исходные данные'!$B$13,IF('Исходные данные'!$B$26&lt;&gt;"",IF(AND(YEAR(B6)=YEAR('Исходные данные'!$B$26),MONTH(B6)=MONTH('Исходные данные'!$B$26)),'Исходные данные'!$B$26,IF(A6=1,'Исходные данные'!$B$9,C6)),IF(A6=1,'Исходные данные'!$B$9,C6))),IF('Исходные данные'!$B$26&lt;&gt;"",IF(AND(YEAR(B6)=YEAR('Исходные данные'!$B$26),MONTH(B6)=MONTH('Исходные данные'!$B$26)),'Исходные данные'!$B$26,IF(A6=1,'Исходные данные'!$B$9,C6)),IF(A6=1,'Исходные данные'!$B$9,C6)))),IF('Исходные данные'!$B$13&lt;&gt;"",IF(AND(YEAR(B6)=YEAR('Исходные данные'!$B$13),MONTH(B6)=MONTH('Исходные данные'!$B$13)),'Исходные данные'!$B$13,IF('Исходные данные'!$B$26&lt;&gt;"",IF(AND(YEAR(B6)=YEAR('Исходные данные'!$B$26),MONTH(B6)=MONTH('Исходные данные'!$B$26)),'Исходные данные'!$B$26,IF(A6=1,'Исходные данные'!$B$9,C6)),IF(A6=1,'Исходные данные'!$B$9,C6))),IF('Исходные данные'!$B$26&lt;&gt;"",IF(AND(YEAR(B6)=YEAR('Исходные данные'!$B$26),MONTH(B6)=MONTH('Исходные данные'!$B$26)),'Исходные данные'!$B$26,IF(A6=1,'Исходные данные'!$B$9,C6)),IF(A6=1,'Исходные данные'!$B$9,C6)))))</f>
        <v/>
      </c>
      <c r="E6">
        <f>IF(OR(B6="",'Исходные данные'!$B$91=""),0,--(B6&lt;=DATE(YEAR('Исходные данные'!$B$91),MONTH('Исходные данные'!$B$91),1)))</f>
        <v>0</v>
      </c>
      <c r="F6">
        <f>IF(OR(B6="",'Исходные данные'!$B$30="",C6&lt;'Исходные данные'!$B$30),0,DATEDIF(DATE(YEAR('Исходные данные'!$B$30),MONTH('Исходные данные'!$B$30),1),B6,"m")+1)</f>
        <v>0</v>
      </c>
      <c r="G6">
        <f t="shared" si="1"/>
        <v>0</v>
      </c>
      <c r="H6">
        <f>IF(F6=0,0,IF(G6=1,N('Исходные данные'!$B$31),IF(G6=2,N('Исходные данные'!$B$32),IF(G6=3,N('Исходные данные'!$B$33),N('Исходные данные'!$B$33)*(1+N('Исходные данные'!$B$34))^(G6-3)))))</f>
        <v>0</v>
      </c>
      <c r="I6">
        <f>IF(OR(F6=0,N('Исходные данные'!$B$5)=0,H6=0),0,'Исходные данные'!$B$5*H6*IF(AND(B6&lt;='Исходные данные'!$B$30,C6&gt;='Исходные данные'!$B$30),(C6-'Исходные данные'!$B$30+1)/DAY(C6),1))</f>
        <v>0</v>
      </c>
      <c r="J6">
        <f>IF(AND(F6&gt;0,F6&lt;=N('Исходные данные'!$B$37)),-I6,0)</f>
        <v>0</v>
      </c>
      <c r="K6">
        <f>IF(OR(F6=0,F6&lt;=N('Исходные данные'!$B$37)),0,-(I6+J6)*N('Исходные данные'!$B$38))</f>
        <v>0</v>
      </c>
      <c r="L6">
        <f t="shared" si="2"/>
        <v>0</v>
      </c>
      <c r="M6">
        <f>IF('Исходные данные'!$B$51="Да",L6*N('Исходные данные'!$B$52),0)</f>
        <v>0</v>
      </c>
      <c r="N6">
        <f t="shared" si="3"/>
        <v>0</v>
      </c>
      <c r="O6">
        <f>IF(OR(B6="",IF('Исходные данные'!$B$45="",'Исходные данные'!$B$10,'Исходные данные'!$B$45)="",C6&lt;IF('Исходные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данные'!$B$45)),1),B6,"m")/12))*IF(AND(B6&lt;=IF('Исходные данные'!$B$45="",'Исходные данные'!$B$10,'Исходные данные'!$B$45),C6&gt;=IF('Исходные данные'!$B$45="",'Исходные данные'!$B$10,'Исходные данные'!$B$45)),(C6-IF('Исходные данные'!$B$45="",'Исходные данные'!$B$10,'Исходные данные'!$B$45)+1)/DAY(C6),1)*IF('Исходные данные'!$B$43="Без НДС",1+N('Исходные данные'!$B$44),1))</f>
        <v>0</v>
      </c>
      <c r="P6">
        <f>IF('Исходные данные'!$B$51="Да",-O6*N('Исходные данные'!$B$44)/(1+N('Исходные данные'!$B$44)),0)</f>
        <v>0</v>
      </c>
      <c r="Q6">
        <f>IF('Исходные данные'!$B$35="Да",-O6,0)</f>
        <v>0</v>
      </c>
      <c r="R6">
        <f>IF(AND('Исходные данные'!$B$51="Да",Q6&gt;0),Q6*N('Исходные данные'!$B$52)/(1+N('Исходные данные'!$B$52)),0)</f>
        <v>0</v>
      </c>
      <c r="S6">
        <f>IF(OR(B6="",IF('Исходные данные'!$B$45="",'Исходные данные'!$B$10,'Исходные данные'!$B$45)="",C6&lt;IF('Исходные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данные'!$B$45)),1),B6,"m")/12))*IF(AND(B6&lt;=IF('Исходные данные'!$B$45="",'Исходные данные'!$B$10,'Исходные данные'!$B$45),C6&gt;=IF('Исходные данные'!$B$45="",'Исходные данные'!$B$10,'Исходные данные'!$B$45)),(C6-IF('Исходные данные'!$B$45="",'Исходные данные'!$B$10,'Исходные данные'!$B$45)+1)/DAY(C6),1)*IF('Исходные данные'!$B$43="Без НДС",1+N('Исходные данные'!$B$44),1))</f>
        <v>0</v>
      </c>
      <c r="T6">
        <f>IF('Исходные данные'!$B$51="Да",-S6*N('Исходные данные'!$B$44)/(1+N('Исходные данные'!$B$44)),0)</f>
        <v>0</v>
      </c>
      <c r="U6">
        <f>IF('Исходные данные'!$B$36="Да",-S6,0)</f>
        <v>0</v>
      </c>
      <c r="V6">
        <f>IF(AND('Исходные данные'!$B$51="Да",U6&gt;0),U6*N('Исходные данные'!$B$52)/(1+N('Исходные данные'!$B$52)),0)</f>
        <v>0</v>
      </c>
      <c r="W6">
        <f>IF(OR(B6="",IF('Исходные данные'!$B$69="",'Исходные данные'!$B$10,'Исходные данные'!$B$69)="",C6&lt;IF('Исходные данные'!$B$69="",'Исходные данные'!$B$10,'Исходные данные'!$B$69)),0,-N('Исходные данные'!$B$16)*N('Исходные данные'!$B$68)*N('Исходные данные'!$B$67)/12*IF(AND(B6&lt;=IF('Исходные данные'!$B$69="",'Исходные данные'!$B$10,'Исходные данные'!$B$69),C6&gt;=IF('Исходные данные'!$B$69="",'Исходные данные'!$B$10,'Исходные данные'!$B$69)),(C6-IF('Исходные данные'!$B$69="",'Исходные данные'!$B$10,'Исходные данные'!$B$69)+1)/DAY(C6),1))</f>
        <v>0</v>
      </c>
      <c r="X6">
        <f>IF(OR(B6="",IF('Исходные данные'!$B$76="",'Исходные данные'!$B$10,'Исходные данные'!$B$76)="",C6&lt;IF('Исходные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данные'!$B$76)),1),B6,"m")/12))*IF(AND(B6&lt;=IF('Исходные данные'!$B$76="",'Исходные данные'!$B$10,'Исходные данные'!$B$76),C6&gt;=IF('Исходные данные'!$B$76="",'Исходные данные'!$B$10,'Исходные данные'!$B$76)),(C6-IF('Исходные данные'!$B$76="",'Исходные данные'!$B$10,'Исходные данные'!$B$76)+1)/DAY(C6),1))</f>
        <v>0</v>
      </c>
      <c r="Y6">
        <f t="shared" si="4"/>
        <v>0</v>
      </c>
      <c r="Z6">
        <f>IF(OR(B6="",N('Исходные данные'!$B$19)=0),0,-SUMIFS('Исходные данные'!$I$6:$I$186,'Исходные данные'!$F$6:$F$186,B6)*N('Исходные данные'!$B$17)/N('Исходные данные'!$B$19))</f>
        <v>0</v>
      </c>
      <c r="AA6">
        <f>IF(OR(B6="",N('Исходные данные'!$B$19)=0),0,-SUMIFS('Исходные данные'!$I$6:$I$186,'Исходные данные'!$F$6:$F$186,B6)*N('Исходные данные'!$B$18)/N('Исходные данные'!$B$19))</f>
        <v>0</v>
      </c>
      <c r="AB6">
        <f>IF(OR(B6="",'Исходные данные'!$B$13=""),0,IF(AND(YEAR(B6)=YEAR('Исходные данные'!$B$13),MONTH(B6)=MONTH('Исходные данные'!$B$13)),-N('Исходные данные'!$B$11),0))</f>
        <v>0</v>
      </c>
      <c r="AC6">
        <f>IF(A6=1,-N('Исходные данные'!$B$19)*N('Исходные данные'!$B$72),0)</f>
        <v>0</v>
      </c>
      <c r="AD6">
        <f>IF(OR(B6="",'Исходные данные'!$B$22&lt;&gt;"Да",'Исходные данные'!$B$26=""),0,IF(AND(YEAR(B6)=YEAR('Исходные данные'!$B$26),MONTH(B6)=MONTH('Исходные данные'!$B$26)),N('Исходные данные'!$B$23),0))</f>
        <v>0</v>
      </c>
      <c r="AE6">
        <f t="shared" si="17"/>
        <v>0</v>
      </c>
      <c r="AF6">
        <f>IF(OR('Исходные данные'!$B$22&lt;&gt;"Да",'Исходные данные'!$B$26="",C6&lt;'Исходные данные'!$B$26),0,DATEDIF(DATE(YEAR('Исходные данные'!$B$26),MONTH('Исходные данные'!$B$26),1),B6,"m")+1)</f>
        <v>0</v>
      </c>
      <c r="AG6">
        <f>IF(OR(AF6&lt;1,AF6&gt;N('Исходные данные'!$B$25),AE6+AD6&lt;=0),0,-(AE6+AD6)*N('Исходные данные'!$B$24)*IF(AF6=1,C6-'Исходные данные'!$B$26+1,DAY(C6))/365)</f>
        <v>0</v>
      </c>
      <c r="AH6">
        <f>IF(OR(AF6&lt;1,AF6&gt;N('Исходные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данные'!$B$25)-AG6))</f>
        <v>0</v>
      </c>
      <c r="AI6">
        <f>IF(OR('Исходные данные'!$B$22&lt;&gt;"Да",AE6+AD6&lt;=0),0,IF(AND('Исходные данные'!$B$91&lt;&gt;"",B6&lt;&gt;"",YEAR(B6)=YEAR('Исходные данные'!$B$91),MONTH(B6)=MONTH('Исходные данные'!$B$91)),-(AE6+AD6),IF(OR(AF6&lt;1,AF6&gt;N('Исходные данные'!$B$25)),0,IF('Исходные данные'!$B$27="Равными долями",-MIN(AE6+AD6,N('Исходные данные'!$B$23)/N('Исходные данные'!$B$25)),-MIN(AE6+AD6,IF(AF6=N('Исходные данные'!$B$25),AE6+AD6,MAX(0,AH6+AG6)))))))</f>
        <v>0</v>
      </c>
      <c r="AJ6">
        <f t="shared" si="5"/>
        <v>0</v>
      </c>
      <c r="AK6">
        <f t="shared" si="6"/>
        <v>0</v>
      </c>
      <c r="AL6">
        <f>IF(OR(B6="",'Исходные данные'!$B$51&lt;&gt;"Да",'Исходные данные'!$B$61=""),0,IF(AND(YEAR(B6)=YEAR('Исходные данные'!$B$61),MONTH(B6)=MONTH('Исходные данные'!$B$61)),N('Исходные данные'!$B$18)*N('Исходные данные'!$B$62),0))</f>
        <v>0</v>
      </c>
      <c r="AM6">
        <f t="shared" si="18"/>
        <v>0</v>
      </c>
      <c r="AN6">
        <f t="shared" si="7"/>
        <v>0</v>
      </c>
      <c r="AO6">
        <f t="shared" si="8"/>
        <v>0</v>
      </c>
      <c r="AP6">
        <f>IF('Исходные данные'!$B$51="Да",-MAX(0,AN6-AO6-AM6),0)</f>
        <v>0</v>
      </c>
      <c r="AQ6">
        <f>IF('Исходные данные'!$B$51="Да",MAX(0,AM6+AO6-AN6),0)</f>
        <v>0</v>
      </c>
      <c r="AR6">
        <f>IF('Исходные данные'!$B$53="Выручка",MAX(0,L6+(Q6-R6)+(U6-V6)),IF('Исходные данные'!$B$53="Прибыль до налога",MAX(0,L6+(Q6-R6)+(U6-V6)+N('Исходные данные'!$B$54)*((O6+P6)+(S6+T6)+W6+X6)+IF('Исходные данные'!$B$55="Да",AG6,0)-N('Исходные данные'!$B$56)/12),IF('Исходные данные'!$B$53="Пользовательская база",MAX(0,N('Исходные данные'!$B$57)/12),0)))</f>
        <v>0</v>
      </c>
      <c r="AS6">
        <f>IF(E6=1,-AR6*N('Исходные данные'!$B$50),0)</f>
        <v>0</v>
      </c>
      <c r="AT6">
        <f t="shared" si="9"/>
        <v>0</v>
      </c>
      <c r="AU6">
        <f>IF(OR(B6="",N('Исходные данные'!$B$80)&lt;=0,'Исходные данные'!$B$88=""),0,MAX(0,IF('Исходные данные'!$B$88="Последние 12 месяцев",SUMIFS($Y$2:$Y$194,$B$2:$B$194,"&gt;="&amp;EDATE(B6,-11),$B$2:$B$194,"&lt;="&amp;B6),IF('Исходные данные'!$B$88="Пользовательский NOI",N('Исходные данные'!$B$89),AT6))/N('Исходные данные'!$B$80)*(1+N('Исходные данные'!$B$81))))</f>
        <v>0</v>
      </c>
      <c r="AV6">
        <f>IF(OR(E6&lt;&gt;1,B6="",'Исходные данные'!$B$91=""),0,IF(AND(YEAR(B6)=YEAR('Исходные данные'!$B$91),MONTH(B6)=MONTH('Исходные данные'!$B$91)),AU6,0))</f>
        <v>0</v>
      </c>
      <c r="AW6">
        <f>-AV6*N('Исходные данные'!$B$73)</f>
        <v>0</v>
      </c>
      <c r="AX6">
        <f>IF(AV6=0,0,-N('Исходные данные'!$B$87)-IF('Исходные данные'!$B$82="Да",IF('Исходные данные'!$B$84="С выручки",AV6,IF('Исходные данные'!$B$84="С прибыли",MAX(0,AV6+AW6-IF('Исходные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6">
        <f t="shared" si="10"/>
        <v>0</v>
      </c>
      <c r="AZ6">
        <f t="shared" si="11"/>
        <v>0</v>
      </c>
      <c r="BA6">
        <f t="shared" si="12"/>
        <v>0</v>
      </c>
      <c r="BB6" t="str">
        <f t="shared" si="19"/>
        <v/>
      </c>
      <c r="BC6">
        <f>IF(OR(E6=0,'Исходные данные'!$B$9="",'Исходные данные'!$B$90=""),0,BA6/(1+'Исходные данные'!$B$90)^((D6-'Исходные данные'!$B$9)/365))</f>
        <v>0</v>
      </c>
      <c r="BD6">
        <f>IF(AND(E6=1,BB6&gt;=0,BB5&lt;0,MIN($BB$2:BB6)&lt;0),1,0)</f>
        <v>0</v>
      </c>
      <c r="BE6">
        <f t="shared" si="13"/>
        <v>0</v>
      </c>
      <c r="BF6">
        <f t="shared" si="14"/>
        <v>0</v>
      </c>
      <c r="BG6">
        <f t="shared" si="15"/>
        <v>0</v>
      </c>
      <c r="BH6">
        <f t="shared" si="16"/>
        <v>1</v>
      </c>
      <c r="BI6">
        <f>AZ6+N6+AP6-AR6*N('Исходные данные'!$B$50)</f>
        <v>0</v>
      </c>
      <c r="BJ6">
        <f t="shared" si="20"/>
        <v>0</v>
      </c>
      <c r="BK6">
        <f>IF(AND(BJ6&gt;=0,BJ5&lt;0,MIN($BJ$2:BJ6)&lt;0),1,0)</f>
        <v>0</v>
      </c>
    </row>
    <row r="7" spans="1:63" x14ac:dyDescent="0.2">
      <c r="A7">
        <v>6</v>
      </c>
      <c r="B7" t="str">
        <f>IF('Исходные данные'!$B$9="","",EDATE(DATE(YEAR('Исходные данные'!$B$9),MONTH('Исходные данные'!$B$9),1),A7-1))</f>
        <v/>
      </c>
      <c r="C7" t="str">
        <f t="shared" si="0"/>
        <v/>
      </c>
      <c r="D7" t="str">
        <f>IF(B7="","",IF('Исходные данные'!$B$91&lt;&gt;"",IF(AND(YEAR(B7)=YEAR('Исходные данные'!$B$91),MONTH(B7)=MONTH('Исходные данные'!$B$91)),'Исходные данные'!$B$91,IF('Исходные данные'!$B$13&lt;&gt;"",IF(AND(YEAR(B7)=YEAR('Исходные данные'!$B$13),MONTH(B7)=MONTH('Исходные данные'!$B$13)),'Исходные данные'!$B$13,IF('Исходные данные'!$B$26&lt;&gt;"",IF(AND(YEAR(B7)=YEAR('Исходные данные'!$B$26),MONTH(B7)=MONTH('Исходные данные'!$B$26)),'Исходные данные'!$B$26,IF(A7=1,'Исходные данные'!$B$9,C7)),IF(A7=1,'Исходные данные'!$B$9,C7))),IF('Исходные данные'!$B$26&lt;&gt;"",IF(AND(YEAR(B7)=YEAR('Исходные данные'!$B$26),MONTH(B7)=MONTH('Исходные данные'!$B$26)),'Исходные данные'!$B$26,IF(A7=1,'Исходные данные'!$B$9,C7)),IF(A7=1,'Исходные данные'!$B$9,C7)))),IF('Исходные данные'!$B$13&lt;&gt;"",IF(AND(YEAR(B7)=YEAR('Исходные данные'!$B$13),MONTH(B7)=MONTH('Исходные данные'!$B$13)),'Исходные данные'!$B$13,IF('Исходные данные'!$B$26&lt;&gt;"",IF(AND(YEAR(B7)=YEAR('Исходные данные'!$B$26),MONTH(B7)=MONTH('Исходные данные'!$B$26)),'Исходные данные'!$B$26,IF(A7=1,'Исходные данные'!$B$9,C7)),IF(A7=1,'Исходные данные'!$B$9,C7))),IF('Исходные данные'!$B$26&lt;&gt;"",IF(AND(YEAR(B7)=YEAR('Исходные данные'!$B$26),MONTH(B7)=MONTH('Исходные данные'!$B$26)),'Исходные данные'!$B$26,IF(A7=1,'Исходные данные'!$B$9,C7)),IF(A7=1,'Исходные данные'!$B$9,C7)))))</f>
        <v/>
      </c>
      <c r="E7">
        <f>IF(OR(B7="",'Исходные данные'!$B$91=""),0,--(B7&lt;=DATE(YEAR('Исходные данные'!$B$91),MONTH('Исходные данные'!$B$91),1)))</f>
        <v>0</v>
      </c>
      <c r="F7">
        <f>IF(OR(B7="",'Исходные данные'!$B$30="",C7&lt;'Исходные данные'!$B$30),0,DATEDIF(DATE(YEAR('Исходные данные'!$B$30),MONTH('Исходные данные'!$B$30),1),B7,"m")+1)</f>
        <v>0</v>
      </c>
      <c r="G7">
        <f t="shared" si="1"/>
        <v>0</v>
      </c>
      <c r="H7">
        <f>IF(F7=0,0,IF(G7=1,N('Исходные данные'!$B$31),IF(G7=2,N('Исходные данные'!$B$32),IF(G7=3,N('Исходные данные'!$B$33),N('Исходные данные'!$B$33)*(1+N('Исходные данные'!$B$34))^(G7-3)))))</f>
        <v>0</v>
      </c>
      <c r="I7">
        <f>IF(OR(F7=0,N('Исходные данные'!$B$5)=0,H7=0),0,'Исходные данные'!$B$5*H7*IF(AND(B7&lt;='Исходные данные'!$B$30,C7&gt;='Исходные данные'!$B$30),(C7-'Исходные данные'!$B$30+1)/DAY(C7),1))</f>
        <v>0</v>
      </c>
      <c r="J7">
        <f>IF(AND(F7&gt;0,F7&lt;=N('Исходные данные'!$B$37)),-I7,0)</f>
        <v>0</v>
      </c>
      <c r="K7">
        <f>IF(OR(F7=0,F7&lt;=N('Исходные данные'!$B$37)),0,-(I7+J7)*N('Исходные данные'!$B$38))</f>
        <v>0</v>
      </c>
      <c r="L7">
        <f t="shared" si="2"/>
        <v>0</v>
      </c>
      <c r="M7">
        <f>IF('Исходные данные'!$B$51="Да",L7*N('Исходные данные'!$B$52),0)</f>
        <v>0</v>
      </c>
      <c r="N7">
        <f t="shared" si="3"/>
        <v>0</v>
      </c>
      <c r="O7">
        <f>IF(OR(B7="",IF('Исходные данные'!$B$45="",'Исходные данные'!$B$10,'Исходные данные'!$B$45)="",C7&lt;IF('Исходные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данные'!$B$45)),1),B7,"m")/12))*IF(AND(B7&lt;=IF('Исходные данные'!$B$45="",'Исходные данные'!$B$10,'Исходные данные'!$B$45),C7&gt;=IF('Исходные данные'!$B$45="",'Исходные данные'!$B$10,'Исходные данные'!$B$45)),(C7-IF('Исходные данные'!$B$45="",'Исходные данные'!$B$10,'Исходные данные'!$B$45)+1)/DAY(C7),1)*IF('Исходные данные'!$B$43="Без НДС",1+N('Исходные данные'!$B$44),1))</f>
        <v>0</v>
      </c>
      <c r="P7">
        <f>IF('Исходные данные'!$B$51="Да",-O7*N('Исходные данные'!$B$44)/(1+N('Исходные данные'!$B$44)),0)</f>
        <v>0</v>
      </c>
      <c r="Q7">
        <f>IF('Исходные данные'!$B$35="Да",-O7,0)</f>
        <v>0</v>
      </c>
      <c r="R7">
        <f>IF(AND('Исходные данные'!$B$51="Да",Q7&gt;0),Q7*N('Исходные данные'!$B$52)/(1+N('Исходные данные'!$B$52)),0)</f>
        <v>0</v>
      </c>
      <c r="S7">
        <f>IF(OR(B7="",IF('Исходные данные'!$B$45="",'Исходные данные'!$B$10,'Исходные данные'!$B$45)="",C7&lt;IF('Исходные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данные'!$B$45)),1),B7,"m")/12))*IF(AND(B7&lt;=IF('Исходные данные'!$B$45="",'Исходные данные'!$B$10,'Исходные данные'!$B$45),C7&gt;=IF('Исходные данные'!$B$45="",'Исходные данные'!$B$10,'Исходные данные'!$B$45)),(C7-IF('Исходные данные'!$B$45="",'Исходные данные'!$B$10,'Исходные данные'!$B$45)+1)/DAY(C7),1)*IF('Исходные данные'!$B$43="Без НДС",1+N('Исходные данные'!$B$44),1))</f>
        <v>0</v>
      </c>
      <c r="T7">
        <f>IF('Исходные данные'!$B$51="Да",-S7*N('Исходные данные'!$B$44)/(1+N('Исходные данные'!$B$44)),0)</f>
        <v>0</v>
      </c>
      <c r="U7">
        <f>IF('Исходные данные'!$B$36="Да",-S7,0)</f>
        <v>0</v>
      </c>
      <c r="V7">
        <f>IF(AND('Исходные данные'!$B$51="Да",U7&gt;0),U7*N('Исходные данные'!$B$52)/(1+N('Исходные данные'!$B$52)),0)</f>
        <v>0</v>
      </c>
      <c r="W7">
        <f>IF(OR(B7="",IF('Исходные данные'!$B$69="",'Исходные данные'!$B$10,'Исходные данные'!$B$69)="",C7&lt;IF('Исходные данные'!$B$69="",'Исходные данные'!$B$10,'Исходные данные'!$B$69)),0,-N('Исходные данные'!$B$16)*N('Исходные данные'!$B$68)*N('Исходные данные'!$B$67)/12*IF(AND(B7&lt;=IF('Исходные данные'!$B$69="",'Исходные данные'!$B$10,'Исходные данные'!$B$69),C7&gt;=IF('Исходные данные'!$B$69="",'Исходные данные'!$B$10,'Исходные данные'!$B$69)),(C7-IF('Исходные данные'!$B$69="",'Исходные данные'!$B$10,'Исходные данные'!$B$69)+1)/DAY(C7),1))</f>
        <v>0</v>
      </c>
      <c r="X7">
        <f>IF(OR(B7="",IF('Исходные данные'!$B$76="",'Исходные данные'!$B$10,'Исходные данные'!$B$76)="",C7&lt;IF('Исходные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данные'!$B$76)),1),B7,"m")/12))*IF(AND(B7&lt;=IF('Исходные данные'!$B$76="",'Исходные данные'!$B$10,'Исходные данные'!$B$76),C7&gt;=IF('Исходные данные'!$B$76="",'Исходные данные'!$B$10,'Исходные данные'!$B$76)),(C7-IF('Исходные данные'!$B$76="",'Исходные данные'!$B$10,'Исходные данные'!$B$76)+1)/DAY(C7),1))</f>
        <v>0</v>
      </c>
      <c r="Y7">
        <f t="shared" si="4"/>
        <v>0</v>
      </c>
      <c r="Z7">
        <f>IF(OR(B7="",N('Исходные данные'!$B$19)=0),0,-SUMIFS('Исходные данные'!$I$6:$I$186,'Исходные данные'!$F$6:$F$186,B7)*N('Исходные данные'!$B$17)/N('Исходные данные'!$B$19))</f>
        <v>0</v>
      </c>
      <c r="AA7">
        <f>IF(OR(B7="",N('Исходные данные'!$B$19)=0),0,-SUMIFS('Исходные данные'!$I$6:$I$186,'Исходные данные'!$F$6:$F$186,B7)*N('Исходные данные'!$B$18)/N('Исходные данные'!$B$19))</f>
        <v>0</v>
      </c>
      <c r="AB7">
        <f>IF(OR(B7="",'Исходные данные'!$B$13=""),0,IF(AND(YEAR(B7)=YEAR('Исходные данные'!$B$13),MONTH(B7)=MONTH('Исходные данные'!$B$13)),-N('Исходные данные'!$B$11),0))</f>
        <v>0</v>
      </c>
      <c r="AC7">
        <f>IF(A7=1,-N('Исходные данные'!$B$19)*N('Исходные данные'!$B$72),0)</f>
        <v>0</v>
      </c>
      <c r="AD7">
        <f>IF(OR(B7="",'Исходные данные'!$B$22&lt;&gt;"Да",'Исходные данные'!$B$26=""),0,IF(AND(YEAR(B7)=YEAR('Исходные данные'!$B$26),MONTH(B7)=MONTH('Исходные данные'!$B$26)),N('Исходные данные'!$B$23),0))</f>
        <v>0</v>
      </c>
      <c r="AE7">
        <f t="shared" si="17"/>
        <v>0</v>
      </c>
      <c r="AF7">
        <f>IF(OR('Исходные данные'!$B$22&lt;&gt;"Да",'Исходные данные'!$B$26="",C7&lt;'Исходные данные'!$B$26),0,DATEDIF(DATE(YEAR('Исходные данные'!$B$26),MONTH('Исходные данные'!$B$26),1),B7,"m")+1)</f>
        <v>0</v>
      </c>
      <c r="AG7">
        <f>IF(OR(AF7&lt;1,AF7&gt;N('Исходные данные'!$B$25),AE7+AD7&lt;=0),0,-(AE7+AD7)*N('Исходные данные'!$B$24)*IF(AF7=1,C7-'Исходные данные'!$B$26+1,DAY(C7))/365)</f>
        <v>0</v>
      </c>
      <c r="AH7">
        <f>IF(OR(AF7&lt;1,AF7&gt;N('Исходные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данные'!$B$25)-AG7))</f>
        <v>0</v>
      </c>
      <c r="AI7">
        <f>IF(OR('Исходные данные'!$B$22&lt;&gt;"Да",AE7+AD7&lt;=0),0,IF(AND('Исходные данные'!$B$91&lt;&gt;"",B7&lt;&gt;"",YEAR(B7)=YEAR('Исходные данные'!$B$91),MONTH(B7)=MONTH('Исходные данные'!$B$91)),-(AE7+AD7),IF(OR(AF7&lt;1,AF7&gt;N('Исходные данные'!$B$25)),0,IF('Исходные данные'!$B$27="Равными долями",-MIN(AE7+AD7,N('Исходные данные'!$B$23)/N('Исходные данные'!$B$25)),-MIN(AE7+AD7,IF(AF7=N('Исходные данные'!$B$25),AE7+AD7,MAX(0,AH7+AG7)))))))</f>
        <v>0</v>
      </c>
      <c r="AJ7">
        <f t="shared" si="5"/>
        <v>0</v>
      </c>
      <c r="AK7">
        <f t="shared" si="6"/>
        <v>0</v>
      </c>
      <c r="AL7">
        <f>IF(OR(B7="",'Исходные данные'!$B$51&lt;&gt;"Да",'Исходные данные'!$B$61=""),0,IF(AND(YEAR(B7)=YEAR('Исходные данные'!$B$61),MONTH(B7)=MONTH('Исходные данные'!$B$61)),N('Исходные данные'!$B$18)*N('Исходные данные'!$B$62),0))</f>
        <v>0</v>
      </c>
      <c r="AM7">
        <f t="shared" si="18"/>
        <v>0</v>
      </c>
      <c r="AN7">
        <f t="shared" si="7"/>
        <v>0</v>
      </c>
      <c r="AO7">
        <f t="shared" si="8"/>
        <v>0</v>
      </c>
      <c r="AP7">
        <f>IF('Исходные данные'!$B$51="Да",-MAX(0,AN7-AO7-AM7),0)</f>
        <v>0</v>
      </c>
      <c r="AQ7">
        <f>IF('Исходные данные'!$B$51="Да",MAX(0,AM7+AO7-AN7),0)</f>
        <v>0</v>
      </c>
      <c r="AR7">
        <f>IF('Исходные данные'!$B$53="Выручка",MAX(0,L7+(Q7-R7)+(U7-V7)),IF('Исходные данные'!$B$53="Прибыль до налога",MAX(0,L7+(Q7-R7)+(U7-V7)+N('Исходные данные'!$B$54)*((O7+P7)+(S7+T7)+W7+X7)+IF('Исходные данные'!$B$55="Да",AG7,0)-N('Исходные данные'!$B$56)/12),IF('Исходные данные'!$B$53="Пользовательская база",MAX(0,N('Исходные данные'!$B$57)/12),0)))</f>
        <v>0</v>
      </c>
      <c r="AS7">
        <f>IF(E7=1,-AR7*N('Исходные данные'!$B$50),0)</f>
        <v>0</v>
      </c>
      <c r="AT7">
        <f t="shared" si="9"/>
        <v>0</v>
      </c>
      <c r="AU7">
        <f>IF(OR(B7="",N('Исходные данные'!$B$80)&lt;=0,'Исходные данные'!$B$88=""),0,MAX(0,IF('Исходные данные'!$B$88="Последние 12 месяцев",SUMIFS($Y$2:$Y$194,$B$2:$B$194,"&gt;="&amp;EDATE(B7,-11),$B$2:$B$194,"&lt;="&amp;B7),IF('Исходные данные'!$B$88="Пользовательский NOI",N('Исходные данные'!$B$89),AT7))/N('Исходные данные'!$B$80)*(1+N('Исходные данные'!$B$81))))</f>
        <v>0</v>
      </c>
      <c r="AV7">
        <f>IF(OR(E7&lt;&gt;1,B7="",'Исходные данные'!$B$91=""),0,IF(AND(YEAR(B7)=YEAR('Исходные данные'!$B$91),MONTH(B7)=MONTH('Исходные данные'!$B$91)),AU7,0))</f>
        <v>0</v>
      </c>
      <c r="AW7">
        <f>-AV7*N('Исходные данные'!$B$73)</f>
        <v>0</v>
      </c>
      <c r="AX7">
        <f>IF(AV7=0,0,-N('Исходные данные'!$B$87)-IF('Исходные данные'!$B$82="Да",IF('Исходные данные'!$B$84="С выручки",AV7,IF('Исходные данные'!$B$84="С прибыли",MAX(0,AV7+AW7-IF('Исходные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7">
        <f t="shared" si="10"/>
        <v>0</v>
      </c>
      <c r="AZ7">
        <f t="shared" si="11"/>
        <v>0</v>
      </c>
      <c r="BA7">
        <f t="shared" si="12"/>
        <v>0</v>
      </c>
      <c r="BB7" t="str">
        <f t="shared" si="19"/>
        <v/>
      </c>
      <c r="BC7">
        <f>IF(OR(E7=0,'Исходные данные'!$B$9="",'Исходные данные'!$B$90=""),0,BA7/(1+'Исходные данные'!$B$90)^((D7-'Исходные данные'!$B$9)/365))</f>
        <v>0</v>
      </c>
      <c r="BD7">
        <f>IF(AND(E7=1,BB7&gt;=0,BB6&lt;0,MIN($BB$2:BB7)&lt;0),1,0)</f>
        <v>0</v>
      </c>
      <c r="BE7">
        <f t="shared" si="13"/>
        <v>0</v>
      </c>
      <c r="BF7">
        <f t="shared" si="14"/>
        <v>0</v>
      </c>
      <c r="BG7">
        <f t="shared" si="15"/>
        <v>0</v>
      </c>
      <c r="BH7">
        <f t="shared" si="16"/>
        <v>1</v>
      </c>
      <c r="BI7">
        <f>AZ7+N7+AP7-AR7*N('Исходные данные'!$B$50)</f>
        <v>0</v>
      </c>
      <c r="BJ7">
        <f t="shared" si="20"/>
        <v>0</v>
      </c>
      <c r="BK7">
        <f>IF(AND(BJ7&gt;=0,BJ6&lt;0,MIN($BJ$2:BJ7)&lt;0),1,0)</f>
        <v>0</v>
      </c>
    </row>
    <row r="8" spans="1:63" x14ac:dyDescent="0.2">
      <c r="A8">
        <v>7</v>
      </c>
      <c r="B8" t="str">
        <f>IF('Исходные данные'!$B$9="","",EDATE(DATE(YEAR('Исходные данные'!$B$9),MONTH('Исходные данные'!$B$9),1),A8-1))</f>
        <v/>
      </c>
      <c r="C8" t="str">
        <f t="shared" si="0"/>
        <v/>
      </c>
      <c r="D8" t="str">
        <f>IF(B8="","",IF('Исходные данные'!$B$91&lt;&gt;"",IF(AND(YEAR(B8)=YEAR('Исходные данные'!$B$91),MONTH(B8)=MONTH('Исходные данные'!$B$91)),'Исходные данные'!$B$91,IF('Исходные данные'!$B$13&lt;&gt;"",IF(AND(YEAR(B8)=YEAR('Исходные данные'!$B$13),MONTH(B8)=MONTH('Исходные данные'!$B$13)),'Исходные данные'!$B$13,IF('Исходные данные'!$B$26&lt;&gt;"",IF(AND(YEAR(B8)=YEAR('Исходные данные'!$B$26),MONTH(B8)=MONTH('Исходные данные'!$B$26)),'Исходные данные'!$B$26,IF(A8=1,'Исходные данные'!$B$9,C8)),IF(A8=1,'Исходные данные'!$B$9,C8))),IF('Исходные данные'!$B$26&lt;&gt;"",IF(AND(YEAR(B8)=YEAR('Исходные данные'!$B$26),MONTH(B8)=MONTH('Исходные данные'!$B$26)),'Исходные данные'!$B$26,IF(A8=1,'Исходные данные'!$B$9,C8)),IF(A8=1,'Исходные данные'!$B$9,C8)))),IF('Исходные данные'!$B$13&lt;&gt;"",IF(AND(YEAR(B8)=YEAR('Исходные данные'!$B$13),MONTH(B8)=MONTH('Исходные данные'!$B$13)),'Исходные данные'!$B$13,IF('Исходные данные'!$B$26&lt;&gt;"",IF(AND(YEAR(B8)=YEAR('Исходные данные'!$B$26),MONTH(B8)=MONTH('Исходные данные'!$B$26)),'Исходные данные'!$B$26,IF(A8=1,'Исходные данные'!$B$9,C8)),IF(A8=1,'Исходные данные'!$B$9,C8))),IF('Исходные данные'!$B$26&lt;&gt;"",IF(AND(YEAR(B8)=YEAR('Исходные данные'!$B$26),MONTH(B8)=MONTH('Исходные данные'!$B$26)),'Исходные данные'!$B$26,IF(A8=1,'Исходные данные'!$B$9,C8)),IF(A8=1,'Исходные данные'!$B$9,C8)))))</f>
        <v/>
      </c>
      <c r="E8">
        <f>IF(OR(B8="",'Исходные данные'!$B$91=""),0,--(B8&lt;=DATE(YEAR('Исходные данные'!$B$91),MONTH('Исходные данные'!$B$91),1)))</f>
        <v>0</v>
      </c>
      <c r="F8">
        <f>IF(OR(B8="",'Исходные данные'!$B$30="",C8&lt;'Исходные данные'!$B$30),0,DATEDIF(DATE(YEAR('Исходные данные'!$B$30),MONTH('Исходные данные'!$B$30),1),B8,"m")+1)</f>
        <v>0</v>
      </c>
      <c r="G8">
        <f t="shared" si="1"/>
        <v>0</v>
      </c>
      <c r="H8">
        <f>IF(F8=0,0,IF(G8=1,N('Исходные данные'!$B$31),IF(G8=2,N('Исходные данные'!$B$32),IF(G8=3,N('Исходные данные'!$B$33),N('Исходные данные'!$B$33)*(1+N('Исходные данные'!$B$34))^(G8-3)))))</f>
        <v>0</v>
      </c>
      <c r="I8">
        <f>IF(OR(F8=0,N('Исходные данные'!$B$5)=0,H8=0),0,'Исходные данные'!$B$5*H8*IF(AND(B8&lt;='Исходные данные'!$B$30,C8&gt;='Исходные данные'!$B$30),(C8-'Исходные данные'!$B$30+1)/DAY(C8),1))</f>
        <v>0</v>
      </c>
      <c r="J8">
        <f>IF(AND(F8&gt;0,F8&lt;=N('Исходные данные'!$B$37)),-I8,0)</f>
        <v>0</v>
      </c>
      <c r="K8">
        <f>IF(OR(F8=0,F8&lt;=N('Исходные данные'!$B$37)),0,-(I8+J8)*N('Исходные данные'!$B$38))</f>
        <v>0</v>
      </c>
      <c r="L8">
        <f t="shared" si="2"/>
        <v>0</v>
      </c>
      <c r="M8">
        <f>IF('Исходные данные'!$B$51="Да",L8*N('Исходные данные'!$B$52),0)</f>
        <v>0</v>
      </c>
      <c r="N8">
        <f t="shared" si="3"/>
        <v>0</v>
      </c>
      <c r="O8">
        <f>IF(OR(B8="",IF('Исходные данные'!$B$45="",'Исходные данные'!$B$10,'Исходные данные'!$B$45)="",C8&lt;IF('Исходные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данные'!$B$45)),1),B8,"m")/12))*IF(AND(B8&lt;=IF('Исходные данные'!$B$45="",'Исходные данные'!$B$10,'Исходные данные'!$B$45),C8&gt;=IF('Исходные данные'!$B$45="",'Исходные данные'!$B$10,'Исходные данные'!$B$45)),(C8-IF('Исходные данные'!$B$45="",'Исходные данные'!$B$10,'Исходные данные'!$B$45)+1)/DAY(C8),1)*IF('Исходные данные'!$B$43="Без НДС",1+N('Исходные данные'!$B$44),1))</f>
        <v>0</v>
      </c>
      <c r="P8">
        <f>IF('Исходные данные'!$B$51="Да",-O8*N('Исходные данные'!$B$44)/(1+N('Исходные данные'!$B$44)),0)</f>
        <v>0</v>
      </c>
      <c r="Q8">
        <f>IF('Исходные данные'!$B$35="Да",-O8,0)</f>
        <v>0</v>
      </c>
      <c r="R8">
        <f>IF(AND('Исходные данные'!$B$51="Да",Q8&gt;0),Q8*N('Исходные данные'!$B$52)/(1+N('Исходные данные'!$B$52)),0)</f>
        <v>0</v>
      </c>
      <c r="S8">
        <f>IF(OR(B8="",IF('Исходные данные'!$B$45="",'Исходные данные'!$B$10,'Исходные данные'!$B$45)="",C8&lt;IF('Исходные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данные'!$B$45)),1),B8,"m")/12))*IF(AND(B8&lt;=IF('Исходные данные'!$B$45="",'Исходные данные'!$B$10,'Исходные данные'!$B$45),C8&gt;=IF('Исходные данные'!$B$45="",'Исходные данные'!$B$10,'Исходные данные'!$B$45)),(C8-IF('Исходные данные'!$B$45="",'Исходные данные'!$B$10,'Исходные данные'!$B$45)+1)/DAY(C8),1)*IF('Исходные данные'!$B$43="Без НДС",1+N('Исходные данные'!$B$44),1))</f>
        <v>0</v>
      </c>
      <c r="T8">
        <f>IF('Исходные данные'!$B$51="Да",-S8*N('Исходные данные'!$B$44)/(1+N('Исходные данные'!$B$44)),0)</f>
        <v>0</v>
      </c>
      <c r="U8">
        <f>IF('Исходные данные'!$B$36="Да",-S8,0)</f>
        <v>0</v>
      </c>
      <c r="V8">
        <f>IF(AND('Исходные данные'!$B$51="Да",U8&gt;0),U8*N('Исходные данные'!$B$52)/(1+N('Исходные данные'!$B$52)),0)</f>
        <v>0</v>
      </c>
      <c r="W8">
        <f>IF(OR(B8="",IF('Исходные данные'!$B$69="",'Исходные данные'!$B$10,'Исходные данные'!$B$69)="",C8&lt;IF('Исходные данные'!$B$69="",'Исходные данные'!$B$10,'Исходные данные'!$B$69)),0,-N('Исходные данные'!$B$16)*N('Исходные данные'!$B$68)*N('Исходные данные'!$B$67)/12*IF(AND(B8&lt;=IF('Исходные данные'!$B$69="",'Исходные данные'!$B$10,'Исходные данные'!$B$69),C8&gt;=IF('Исходные данные'!$B$69="",'Исходные данные'!$B$10,'Исходные данные'!$B$69)),(C8-IF('Исходные данные'!$B$69="",'Исходные данные'!$B$10,'Исходные данные'!$B$69)+1)/DAY(C8),1))</f>
        <v>0</v>
      </c>
      <c r="X8">
        <f>IF(OR(B8="",IF('Исходные данные'!$B$76="",'Исходные данные'!$B$10,'Исходные данные'!$B$76)="",C8&lt;IF('Исходные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данные'!$B$76)),1),B8,"m")/12))*IF(AND(B8&lt;=IF('Исходные данные'!$B$76="",'Исходные данные'!$B$10,'Исходные данные'!$B$76),C8&gt;=IF('Исходные данные'!$B$76="",'Исходные данные'!$B$10,'Исходные данные'!$B$76)),(C8-IF('Исходные данные'!$B$76="",'Исходные данные'!$B$10,'Исходные данные'!$B$76)+1)/DAY(C8),1))</f>
        <v>0</v>
      </c>
      <c r="Y8">
        <f t="shared" si="4"/>
        <v>0</v>
      </c>
      <c r="Z8">
        <f>IF(OR(B8="",N('Исходные данные'!$B$19)=0),0,-SUMIFS('Исходные данные'!$I$6:$I$186,'Исходные данные'!$F$6:$F$186,B8)*N('Исходные данные'!$B$17)/N('Исходные данные'!$B$19))</f>
        <v>0</v>
      </c>
      <c r="AA8">
        <f>IF(OR(B8="",N('Исходные данные'!$B$19)=0),0,-SUMIFS('Исходные данные'!$I$6:$I$186,'Исходные данные'!$F$6:$F$186,B8)*N('Исходные данные'!$B$18)/N('Исходные данные'!$B$19))</f>
        <v>0</v>
      </c>
      <c r="AB8">
        <f>IF(OR(B8="",'Исходные данные'!$B$13=""),0,IF(AND(YEAR(B8)=YEAR('Исходные данные'!$B$13),MONTH(B8)=MONTH('Исходные данные'!$B$13)),-N('Исходные данные'!$B$11),0))</f>
        <v>0</v>
      </c>
      <c r="AC8">
        <f>IF(A8=1,-N('Исходные данные'!$B$19)*N('Исходные данные'!$B$72),0)</f>
        <v>0</v>
      </c>
      <c r="AD8">
        <f>IF(OR(B8="",'Исходные данные'!$B$22&lt;&gt;"Да",'Исходные данные'!$B$26=""),0,IF(AND(YEAR(B8)=YEAR('Исходные данные'!$B$26),MONTH(B8)=MONTH('Исходные данные'!$B$26)),N('Исходные данные'!$B$23),0))</f>
        <v>0</v>
      </c>
      <c r="AE8">
        <f t="shared" si="17"/>
        <v>0</v>
      </c>
      <c r="AF8">
        <f>IF(OR('Исходные данные'!$B$22&lt;&gt;"Да",'Исходные данные'!$B$26="",C8&lt;'Исходные данные'!$B$26),0,DATEDIF(DATE(YEAR('Исходные данные'!$B$26),MONTH('Исходные данные'!$B$26),1),B8,"m")+1)</f>
        <v>0</v>
      </c>
      <c r="AG8">
        <f>IF(OR(AF8&lt;1,AF8&gt;N('Исходные данные'!$B$25),AE8+AD8&lt;=0),0,-(AE8+AD8)*N('Исходные данные'!$B$24)*IF(AF8=1,C8-'Исходные данные'!$B$26+1,DAY(C8))/365)</f>
        <v>0</v>
      </c>
      <c r="AH8">
        <f>IF(OR(AF8&lt;1,AF8&gt;N('Исходные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данные'!$B$25)-AG8))</f>
        <v>0</v>
      </c>
      <c r="AI8">
        <f>IF(OR('Исходные данные'!$B$22&lt;&gt;"Да",AE8+AD8&lt;=0),0,IF(AND('Исходные данные'!$B$91&lt;&gt;"",B8&lt;&gt;"",YEAR(B8)=YEAR('Исходные данные'!$B$91),MONTH(B8)=MONTH('Исходные данные'!$B$91)),-(AE8+AD8),IF(OR(AF8&lt;1,AF8&gt;N('Исходные данные'!$B$25)),0,IF('Исходные данные'!$B$27="Равными долями",-MIN(AE8+AD8,N('Исходные данные'!$B$23)/N('Исходные данные'!$B$25)),-MIN(AE8+AD8,IF(AF8=N('Исходные данные'!$B$25),AE8+AD8,MAX(0,AH8+AG8)))))))</f>
        <v>0</v>
      </c>
      <c r="AJ8">
        <f t="shared" si="5"/>
        <v>0</v>
      </c>
      <c r="AK8">
        <f t="shared" si="6"/>
        <v>0</v>
      </c>
      <c r="AL8">
        <f>IF(OR(B8="",'Исходные данные'!$B$51&lt;&gt;"Да",'Исходные данные'!$B$61=""),0,IF(AND(YEAR(B8)=YEAR('Исходные данные'!$B$61),MONTH(B8)=MONTH('Исходные данные'!$B$61)),N('Исходные данные'!$B$18)*N('Исходные данные'!$B$62),0))</f>
        <v>0</v>
      </c>
      <c r="AM8">
        <f t="shared" si="18"/>
        <v>0</v>
      </c>
      <c r="AN8">
        <f t="shared" si="7"/>
        <v>0</v>
      </c>
      <c r="AO8">
        <f t="shared" si="8"/>
        <v>0</v>
      </c>
      <c r="AP8">
        <f>IF('Исходные данные'!$B$51="Да",-MAX(0,AN8-AO8-AM8),0)</f>
        <v>0</v>
      </c>
      <c r="AQ8">
        <f>IF('Исходные данные'!$B$51="Да",MAX(0,AM8+AO8-AN8),0)</f>
        <v>0</v>
      </c>
      <c r="AR8">
        <f>IF('Исходные данные'!$B$53="Выручка",MAX(0,L8+(Q8-R8)+(U8-V8)),IF('Исходные данные'!$B$53="Прибыль до налога",MAX(0,L8+(Q8-R8)+(U8-V8)+N('Исходные данные'!$B$54)*((O8+P8)+(S8+T8)+W8+X8)+IF('Исходные данные'!$B$55="Да",AG8,0)-N('Исходные данные'!$B$56)/12),IF('Исходные данные'!$B$53="Пользовательская база",MAX(0,N('Исходные данные'!$B$57)/12),0)))</f>
        <v>0</v>
      </c>
      <c r="AS8">
        <f>IF(E8=1,-AR8*N('Исходные данные'!$B$50),0)</f>
        <v>0</v>
      </c>
      <c r="AT8">
        <f t="shared" si="9"/>
        <v>0</v>
      </c>
      <c r="AU8">
        <f>IF(OR(B8="",N('Исходные данные'!$B$80)&lt;=0,'Исходные данные'!$B$88=""),0,MAX(0,IF('Исходные данные'!$B$88="Последние 12 месяцев",SUMIFS($Y$2:$Y$194,$B$2:$B$194,"&gt;="&amp;EDATE(B8,-11),$B$2:$B$194,"&lt;="&amp;B8),IF('Исходные данные'!$B$88="Пользовательский NOI",N('Исходные данные'!$B$89),AT8))/N('Исходные данные'!$B$80)*(1+N('Исходные данные'!$B$81))))</f>
        <v>0</v>
      </c>
      <c r="AV8">
        <f>IF(OR(E8&lt;&gt;1,B8="",'Исходные данные'!$B$91=""),0,IF(AND(YEAR(B8)=YEAR('Исходные данные'!$B$91),MONTH(B8)=MONTH('Исходные данные'!$B$91)),AU8,0))</f>
        <v>0</v>
      </c>
      <c r="AW8">
        <f>-AV8*N('Исходные данные'!$B$73)</f>
        <v>0</v>
      </c>
      <c r="AX8">
        <f>IF(AV8=0,0,-N('Исходные данные'!$B$87)-IF('Исходные данные'!$B$82="Да",IF('Исходные данные'!$B$84="С выручки",AV8,IF('Исходные данные'!$B$84="С прибыли",MAX(0,AV8+AW8-IF('Исходные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8">
        <f t="shared" si="10"/>
        <v>0</v>
      </c>
      <c r="AZ8">
        <f t="shared" si="11"/>
        <v>0</v>
      </c>
      <c r="BA8">
        <f t="shared" si="12"/>
        <v>0</v>
      </c>
      <c r="BB8" t="str">
        <f t="shared" si="19"/>
        <v/>
      </c>
      <c r="BC8">
        <f>IF(OR(E8=0,'Исходные данные'!$B$9="",'Исходные данные'!$B$90=""),0,BA8/(1+'Исходные данные'!$B$90)^((D8-'Исходные данные'!$B$9)/365))</f>
        <v>0</v>
      </c>
      <c r="BD8">
        <f>IF(AND(E8=1,BB8&gt;=0,BB7&lt;0,MIN($BB$2:BB8)&lt;0),1,0)</f>
        <v>0</v>
      </c>
      <c r="BE8">
        <f t="shared" si="13"/>
        <v>0</v>
      </c>
      <c r="BF8">
        <f t="shared" si="14"/>
        <v>0</v>
      </c>
      <c r="BG8">
        <f t="shared" si="15"/>
        <v>0</v>
      </c>
      <c r="BH8">
        <f t="shared" si="16"/>
        <v>1</v>
      </c>
      <c r="BI8">
        <f>AZ8+N8+AP8-AR8*N('Исходные данные'!$B$50)</f>
        <v>0</v>
      </c>
      <c r="BJ8">
        <f t="shared" si="20"/>
        <v>0</v>
      </c>
      <c r="BK8">
        <f>IF(AND(BJ8&gt;=0,BJ7&lt;0,MIN($BJ$2:BJ8)&lt;0),1,0)</f>
        <v>0</v>
      </c>
    </row>
    <row r="9" spans="1:63" x14ac:dyDescent="0.2">
      <c r="A9">
        <v>8</v>
      </c>
      <c r="B9" t="str">
        <f>IF('Исходные данные'!$B$9="","",EDATE(DATE(YEAR('Исходные данные'!$B$9),MONTH('Исходные данные'!$B$9),1),A9-1))</f>
        <v/>
      </c>
      <c r="C9" t="str">
        <f t="shared" si="0"/>
        <v/>
      </c>
      <c r="D9" t="str">
        <f>IF(B9="","",IF('Исходные данные'!$B$91&lt;&gt;"",IF(AND(YEAR(B9)=YEAR('Исходные данные'!$B$91),MONTH(B9)=MONTH('Исходные данные'!$B$91)),'Исходные данные'!$B$91,IF('Исходные данные'!$B$13&lt;&gt;"",IF(AND(YEAR(B9)=YEAR('Исходные данные'!$B$13),MONTH(B9)=MONTH('Исходные данные'!$B$13)),'Исходные данные'!$B$13,IF('Исходные данные'!$B$26&lt;&gt;"",IF(AND(YEAR(B9)=YEAR('Исходные данные'!$B$26),MONTH(B9)=MONTH('Исходные данные'!$B$26)),'Исходные данные'!$B$26,IF(A9=1,'Исходные данные'!$B$9,C9)),IF(A9=1,'Исходные данные'!$B$9,C9))),IF('Исходные данные'!$B$26&lt;&gt;"",IF(AND(YEAR(B9)=YEAR('Исходные данные'!$B$26),MONTH(B9)=MONTH('Исходные данные'!$B$26)),'Исходные данные'!$B$26,IF(A9=1,'Исходные данные'!$B$9,C9)),IF(A9=1,'Исходные данные'!$B$9,C9)))),IF('Исходные данные'!$B$13&lt;&gt;"",IF(AND(YEAR(B9)=YEAR('Исходные данные'!$B$13),MONTH(B9)=MONTH('Исходные данные'!$B$13)),'Исходные данные'!$B$13,IF('Исходные данные'!$B$26&lt;&gt;"",IF(AND(YEAR(B9)=YEAR('Исходные данные'!$B$26),MONTH(B9)=MONTH('Исходные данные'!$B$26)),'Исходные данные'!$B$26,IF(A9=1,'Исходные данные'!$B$9,C9)),IF(A9=1,'Исходные данные'!$B$9,C9))),IF('Исходные данные'!$B$26&lt;&gt;"",IF(AND(YEAR(B9)=YEAR('Исходные данные'!$B$26),MONTH(B9)=MONTH('Исходные данные'!$B$26)),'Исходные данные'!$B$26,IF(A9=1,'Исходные данные'!$B$9,C9)),IF(A9=1,'Исходные данные'!$B$9,C9)))))</f>
        <v/>
      </c>
      <c r="E9">
        <f>IF(OR(B9="",'Исходные данные'!$B$91=""),0,--(B9&lt;=DATE(YEAR('Исходные данные'!$B$91),MONTH('Исходные данные'!$B$91),1)))</f>
        <v>0</v>
      </c>
      <c r="F9">
        <f>IF(OR(B9="",'Исходные данные'!$B$30="",C9&lt;'Исходные данные'!$B$30),0,DATEDIF(DATE(YEAR('Исходные данные'!$B$30),MONTH('Исходные данные'!$B$30),1),B9,"m")+1)</f>
        <v>0</v>
      </c>
      <c r="G9">
        <f t="shared" si="1"/>
        <v>0</v>
      </c>
      <c r="H9">
        <f>IF(F9=0,0,IF(G9=1,N('Исходные данные'!$B$31),IF(G9=2,N('Исходные данные'!$B$32),IF(G9=3,N('Исходные данные'!$B$33),N('Исходные данные'!$B$33)*(1+N('Исходные данные'!$B$34))^(G9-3)))))</f>
        <v>0</v>
      </c>
      <c r="I9">
        <f>IF(OR(F9=0,N('Исходные данные'!$B$5)=0,H9=0),0,'Исходные данные'!$B$5*H9*IF(AND(B9&lt;='Исходные данные'!$B$30,C9&gt;='Исходные данные'!$B$30),(C9-'Исходные данные'!$B$30+1)/DAY(C9),1))</f>
        <v>0</v>
      </c>
      <c r="J9">
        <f>IF(AND(F9&gt;0,F9&lt;=N('Исходные данные'!$B$37)),-I9,0)</f>
        <v>0</v>
      </c>
      <c r="K9">
        <f>IF(OR(F9=0,F9&lt;=N('Исходные данные'!$B$37)),0,-(I9+J9)*N('Исходные данные'!$B$38))</f>
        <v>0</v>
      </c>
      <c r="L9">
        <f t="shared" si="2"/>
        <v>0</v>
      </c>
      <c r="M9">
        <f>IF('Исходные данные'!$B$51="Да",L9*N('Исходные данные'!$B$52),0)</f>
        <v>0</v>
      </c>
      <c r="N9">
        <f t="shared" si="3"/>
        <v>0</v>
      </c>
      <c r="O9">
        <f>IF(OR(B9="",IF('Исходные данные'!$B$45="",'Исходные данные'!$B$10,'Исходные данные'!$B$45)="",C9&lt;IF('Исходные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данные'!$B$45)),1),B9,"m")/12))*IF(AND(B9&lt;=IF('Исходные данные'!$B$45="",'Исходные данные'!$B$10,'Исходные данные'!$B$45),C9&gt;=IF('Исходные данные'!$B$45="",'Исходные данные'!$B$10,'Исходные данные'!$B$45)),(C9-IF('Исходные данные'!$B$45="",'Исходные данные'!$B$10,'Исходные данные'!$B$45)+1)/DAY(C9),1)*IF('Исходные данные'!$B$43="Без НДС",1+N('Исходные данные'!$B$44),1))</f>
        <v>0</v>
      </c>
      <c r="P9">
        <f>IF('Исходные данные'!$B$51="Да",-O9*N('Исходные данные'!$B$44)/(1+N('Исходные данные'!$B$44)),0)</f>
        <v>0</v>
      </c>
      <c r="Q9">
        <f>IF('Исходные данные'!$B$35="Да",-O9,0)</f>
        <v>0</v>
      </c>
      <c r="R9">
        <f>IF(AND('Исходные данные'!$B$51="Да",Q9&gt;0),Q9*N('Исходные данные'!$B$52)/(1+N('Исходные данные'!$B$52)),0)</f>
        <v>0</v>
      </c>
      <c r="S9">
        <f>IF(OR(B9="",IF('Исходные данные'!$B$45="",'Исходные данные'!$B$10,'Исходные данные'!$B$45)="",C9&lt;IF('Исходные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данные'!$B$45)),1),B9,"m")/12))*IF(AND(B9&lt;=IF('Исходные данные'!$B$45="",'Исходные данные'!$B$10,'Исходные данные'!$B$45),C9&gt;=IF('Исходные данные'!$B$45="",'Исходные данные'!$B$10,'Исходные данные'!$B$45)),(C9-IF('Исходные данные'!$B$45="",'Исходные данные'!$B$10,'Исходные данные'!$B$45)+1)/DAY(C9),1)*IF('Исходные данные'!$B$43="Без НДС",1+N('Исходные данные'!$B$44),1))</f>
        <v>0</v>
      </c>
      <c r="T9">
        <f>IF('Исходные данные'!$B$51="Да",-S9*N('Исходные данные'!$B$44)/(1+N('Исходные данные'!$B$44)),0)</f>
        <v>0</v>
      </c>
      <c r="U9">
        <f>IF('Исходные данные'!$B$36="Да",-S9,0)</f>
        <v>0</v>
      </c>
      <c r="V9">
        <f>IF(AND('Исходные данные'!$B$51="Да",U9&gt;0),U9*N('Исходные данные'!$B$52)/(1+N('Исходные данные'!$B$52)),0)</f>
        <v>0</v>
      </c>
      <c r="W9">
        <f>IF(OR(B9="",IF('Исходные данные'!$B$69="",'Исходные данные'!$B$10,'Исходные данные'!$B$69)="",C9&lt;IF('Исходные данные'!$B$69="",'Исходные данные'!$B$10,'Исходные данные'!$B$69)),0,-N('Исходные данные'!$B$16)*N('Исходные данные'!$B$68)*N('Исходные данные'!$B$67)/12*IF(AND(B9&lt;=IF('Исходные данные'!$B$69="",'Исходные данные'!$B$10,'Исходные данные'!$B$69),C9&gt;=IF('Исходные данные'!$B$69="",'Исходные данные'!$B$10,'Исходные данные'!$B$69)),(C9-IF('Исходные данные'!$B$69="",'Исходные данные'!$B$10,'Исходные данные'!$B$69)+1)/DAY(C9),1))</f>
        <v>0</v>
      </c>
      <c r="X9">
        <f>IF(OR(B9="",IF('Исходные данные'!$B$76="",'Исходные данные'!$B$10,'Исходные данные'!$B$76)="",C9&lt;IF('Исходные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данные'!$B$76)),1),B9,"m")/12))*IF(AND(B9&lt;=IF('Исходные данные'!$B$76="",'Исходные данные'!$B$10,'Исходные данные'!$B$76),C9&gt;=IF('Исходные данные'!$B$76="",'Исходные данные'!$B$10,'Исходные данные'!$B$76)),(C9-IF('Исходные данные'!$B$76="",'Исходные данные'!$B$10,'Исходные данные'!$B$76)+1)/DAY(C9),1))</f>
        <v>0</v>
      </c>
      <c r="Y9">
        <f t="shared" si="4"/>
        <v>0</v>
      </c>
      <c r="Z9">
        <f>IF(OR(B9="",N('Исходные данные'!$B$19)=0),0,-SUMIFS('Исходные данные'!$I$6:$I$186,'Исходные данные'!$F$6:$F$186,B9)*N('Исходные данные'!$B$17)/N('Исходные данные'!$B$19))</f>
        <v>0</v>
      </c>
      <c r="AA9">
        <f>IF(OR(B9="",N('Исходные данные'!$B$19)=0),0,-SUMIFS('Исходные данные'!$I$6:$I$186,'Исходные данные'!$F$6:$F$186,B9)*N('Исходные данные'!$B$18)/N('Исходные данные'!$B$19))</f>
        <v>0</v>
      </c>
      <c r="AB9">
        <f>IF(OR(B9="",'Исходные данные'!$B$13=""),0,IF(AND(YEAR(B9)=YEAR('Исходные данные'!$B$13),MONTH(B9)=MONTH('Исходные данные'!$B$13)),-N('Исходные данные'!$B$11),0))</f>
        <v>0</v>
      </c>
      <c r="AC9">
        <f>IF(A9=1,-N('Исходные данные'!$B$19)*N('Исходные данные'!$B$72),0)</f>
        <v>0</v>
      </c>
      <c r="AD9">
        <f>IF(OR(B9="",'Исходные данные'!$B$22&lt;&gt;"Да",'Исходные данные'!$B$26=""),0,IF(AND(YEAR(B9)=YEAR('Исходные данные'!$B$26),MONTH(B9)=MONTH('Исходные данные'!$B$26)),N('Исходные данные'!$B$23),0))</f>
        <v>0</v>
      </c>
      <c r="AE9">
        <f t="shared" si="17"/>
        <v>0</v>
      </c>
      <c r="AF9">
        <f>IF(OR('Исходные данные'!$B$22&lt;&gt;"Да",'Исходные данные'!$B$26="",C9&lt;'Исходные данные'!$B$26),0,DATEDIF(DATE(YEAR('Исходные данные'!$B$26),MONTH('Исходные данные'!$B$26),1),B9,"m")+1)</f>
        <v>0</v>
      </c>
      <c r="AG9">
        <f>IF(OR(AF9&lt;1,AF9&gt;N('Исходные данные'!$B$25),AE9+AD9&lt;=0),0,-(AE9+AD9)*N('Исходные данные'!$B$24)*IF(AF9=1,C9-'Исходные данные'!$B$26+1,DAY(C9))/365)</f>
        <v>0</v>
      </c>
      <c r="AH9">
        <f>IF(OR(AF9&lt;1,AF9&gt;N('Исходные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данные'!$B$25)-AG9))</f>
        <v>0</v>
      </c>
      <c r="AI9">
        <f>IF(OR('Исходные данные'!$B$22&lt;&gt;"Да",AE9+AD9&lt;=0),0,IF(AND('Исходные данные'!$B$91&lt;&gt;"",B9&lt;&gt;"",YEAR(B9)=YEAR('Исходные данные'!$B$91),MONTH(B9)=MONTH('Исходные данные'!$B$91)),-(AE9+AD9),IF(OR(AF9&lt;1,AF9&gt;N('Исходные данные'!$B$25)),0,IF('Исходные данные'!$B$27="Равными долями",-MIN(AE9+AD9,N('Исходные данные'!$B$23)/N('Исходные данные'!$B$25)),-MIN(AE9+AD9,IF(AF9=N('Исходные данные'!$B$25),AE9+AD9,MAX(0,AH9+AG9)))))))</f>
        <v>0</v>
      </c>
      <c r="AJ9">
        <f t="shared" si="5"/>
        <v>0</v>
      </c>
      <c r="AK9">
        <f t="shared" si="6"/>
        <v>0</v>
      </c>
      <c r="AL9">
        <f>IF(OR(B9="",'Исходные данные'!$B$51&lt;&gt;"Да",'Исходные данные'!$B$61=""),0,IF(AND(YEAR(B9)=YEAR('Исходные данные'!$B$61),MONTH(B9)=MONTH('Исходные данные'!$B$61)),N('Исходные данные'!$B$18)*N('Исходные данные'!$B$62),0))</f>
        <v>0</v>
      </c>
      <c r="AM9">
        <f t="shared" si="18"/>
        <v>0</v>
      </c>
      <c r="AN9">
        <f t="shared" si="7"/>
        <v>0</v>
      </c>
      <c r="AO9">
        <f t="shared" si="8"/>
        <v>0</v>
      </c>
      <c r="AP9">
        <f>IF('Исходные данные'!$B$51="Да",-MAX(0,AN9-AO9-AM9),0)</f>
        <v>0</v>
      </c>
      <c r="AQ9">
        <f>IF('Исходные данные'!$B$51="Да",MAX(0,AM9+AO9-AN9),0)</f>
        <v>0</v>
      </c>
      <c r="AR9">
        <f>IF('Исходные данные'!$B$53="Выручка",MAX(0,L9+(Q9-R9)+(U9-V9)),IF('Исходные данные'!$B$53="Прибыль до налога",MAX(0,L9+(Q9-R9)+(U9-V9)+N('Исходные данные'!$B$54)*((O9+P9)+(S9+T9)+W9+X9)+IF('Исходные данные'!$B$55="Да",AG9,0)-N('Исходные данные'!$B$56)/12),IF('Исходные данные'!$B$53="Пользовательская база",MAX(0,N('Исходные данные'!$B$57)/12),0)))</f>
        <v>0</v>
      </c>
      <c r="AS9">
        <f>IF(E9=1,-AR9*N('Исходные данные'!$B$50),0)</f>
        <v>0</v>
      </c>
      <c r="AT9">
        <f t="shared" si="9"/>
        <v>0</v>
      </c>
      <c r="AU9">
        <f>IF(OR(B9="",N('Исходные данные'!$B$80)&lt;=0,'Исходные данные'!$B$88=""),0,MAX(0,IF('Исходные данные'!$B$88="Последние 12 месяцев",SUMIFS($Y$2:$Y$194,$B$2:$B$194,"&gt;="&amp;EDATE(B9,-11),$B$2:$B$194,"&lt;="&amp;B9),IF('Исходные данные'!$B$88="Пользовательский NOI",N('Исходные данные'!$B$89),AT9))/N('Исходные данные'!$B$80)*(1+N('Исходные данные'!$B$81))))</f>
        <v>0</v>
      </c>
      <c r="AV9">
        <f>IF(OR(E9&lt;&gt;1,B9="",'Исходные данные'!$B$91=""),0,IF(AND(YEAR(B9)=YEAR('Исходные данные'!$B$91),MONTH(B9)=MONTH('Исходные данные'!$B$91)),AU9,0))</f>
        <v>0</v>
      </c>
      <c r="AW9">
        <f>-AV9*N('Исходные данные'!$B$73)</f>
        <v>0</v>
      </c>
      <c r="AX9">
        <f>IF(AV9=0,0,-N('Исходные данные'!$B$87)-IF('Исходные данные'!$B$82="Да",IF('Исходные данные'!$B$84="С выручки",AV9,IF('Исходные данные'!$B$84="С прибыли",MAX(0,AV9+AW9-IF('Исходные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9">
        <f t="shared" si="10"/>
        <v>0</v>
      </c>
      <c r="AZ9">
        <f t="shared" si="11"/>
        <v>0</v>
      </c>
      <c r="BA9">
        <f t="shared" si="12"/>
        <v>0</v>
      </c>
      <c r="BB9" t="str">
        <f t="shared" si="19"/>
        <v/>
      </c>
      <c r="BC9">
        <f>IF(OR(E9=0,'Исходные данные'!$B$9="",'Исходные данные'!$B$90=""),0,BA9/(1+'Исходные данные'!$B$90)^((D9-'Исходные данные'!$B$9)/365))</f>
        <v>0</v>
      </c>
      <c r="BD9">
        <f>IF(AND(E9=1,BB9&gt;=0,BB8&lt;0,MIN($BB$2:BB9)&lt;0),1,0)</f>
        <v>0</v>
      </c>
      <c r="BE9">
        <f t="shared" si="13"/>
        <v>0</v>
      </c>
      <c r="BF9">
        <f t="shared" si="14"/>
        <v>0</v>
      </c>
      <c r="BG9">
        <f t="shared" si="15"/>
        <v>0</v>
      </c>
      <c r="BH9">
        <f t="shared" si="16"/>
        <v>1</v>
      </c>
      <c r="BI9">
        <f>AZ9+N9+AP9-AR9*N('Исходные данные'!$B$50)</f>
        <v>0</v>
      </c>
      <c r="BJ9">
        <f t="shared" si="20"/>
        <v>0</v>
      </c>
      <c r="BK9">
        <f>IF(AND(BJ9&gt;=0,BJ8&lt;0,MIN($BJ$2:BJ9)&lt;0),1,0)</f>
        <v>0</v>
      </c>
    </row>
    <row r="10" spans="1:63" x14ac:dyDescent="0.2">
      <c r="A10">
        <v>9</v>
      </c>
      <c r="B10" t="str">
        <f>IF('Исходные данные'!$B$9="","",EDATE(DATE(YEAR('Исходные данные'!$B$9),MONTH('Исходные данные'!$B$9),1),A10-1))</f>
        <v/>
      </c>
      <c r="C10" t="str">
        <f t="shared" si="0"/>
        <v/>
      </c>
      <c r="D10" t="str">
        <f>IF(B10="","",IF('Исходные данные'!$B$91&lt;&gt;"",IF(AND(YEAR(B10)=YEAR('Исходные данные'!$B$91),MONTH(B10)=MONTH('Исходные данные'!$B$91)),'Исходные данные'!$B$91,IF('Исходные данные'!$B$13&lt;&gt;"",IF(AND(YEAR(B10)=YEAR('Исходные данные'!$B$13),MONTH(B10)=MONTH('Исходные данные'!$B$13)),'Исходные данные'!$B$13,IF('Исходные данные'!$B$26&lt;&gt;"",IF(AND(YEAR(B10)=YEAR('Исходные данные'!$B$26),MONTH(B10)=MONTH('Исходные данные'!$B$26)),'Исходные данные'!$B$26,IF(A10=1,'Исходные данные'!$B$9,C10)),IF(A10=1,'Исходные данные'!$B$9,C10))),IF('Исходные данные'!$B$26&lt;&gt;"",IF(AND(YEAR(B10)=YEAR('Исходные данные'!$B$26),MONTH(B10)=MONTH('Исходные данные'!$B$26)),'Исходные данные'!$B$26,IF(A10=1,'Исходные данные'!$B$9,C10)),IF(A10=1,'Исходные данные'!$B$9,C10)))),IF('Исходные данные'!$B$13&lt;&gt;"",IF(AND(YEAR(B10)=YEAR('Исходные данные'!$B$13),MONTH(B10)=MONTH('Исходные данные'!$B$13)),'Исходные данные'!$B$13,IF('Исходные данные'!$B$26&lt;&gt;"",IF(AND(YEAR(B10)=YEAR('Исходные данные'!$B$26),MONTH(B10)=MONTH('Исходные данные'!$B$26)),'Исходные данные'!$B$26,IF(A10=1,'Исходные данные'!$B$9,C10)),IF(A10=1,'Исходные данные'!$B$9,C10))),IF('Исходные данные'!$B$26&lt;&gt;"",IF(AND(YEAR(B10)=YEAR('Исходные данные'!$B$26),MONTH(B10)=MONTH('Исходные данные'!$B$26)),'Исходные данные'!$B$26,IF(A10=1,'Исходные данные'!$B$9,C10)),IF(A10=1,'Исходные данные'!$B$9,C10)))))</f>
        <v/>
      </c>
      <c r="E10">
        <f>IF(OR(B10="",'Исходные данные'!$B$91=""),0,--(B10&lt;=DATE(YEAR('Исходные данные'!$B$91),MONTH('Исходные данные'!$B$91),1)))</f>
        <v>0</v>
      </c>
      <c r="F10">
        <f>IF(OR(B10="",'Исходные данные'!$B$30="",C10&lt;'Исходные данные'!$B$30),0,DATEDIF(DATE(YEAR('Исходные данные'!$B$30),MONTH('Исходные данные'!$B$30),1),B10,"m")+1)</f>
        <v>0</v>
      </c>
      <c r="G10">
        <f t="shared" si="1"/>
        <v>0</v>
      </c>
      <c r="H10">
        <f>IF(F10=0,0,IF(G10=1,N('Исходные данные'!$B$31),IF(G10=2,N('Исходные данные'!$B$32),IF(G10=3,N('Исходные данные'!$B$33),N('Исходные данные'!$B$33)*(1+N('Исходные данные'!$B$34))^(G10-3)))))</f>
        <v>0</v>
      </c>
      <c r="I10">
        <f>IF(OR(F10=0,N('Исходные данные'!$B$5)=0,H10=0),0,'Исходные данные'!$B$5*H10*IF(AND(B10&lt;='Исходные данные'!$B$30,C10&gt;='Исходные данные'!$B$30),(C10-'Исходные данные'!$B$30+1)/DAY(C10),1))</f>
        <v>0</v>
      </c>
      <c r="J10">
        <f>IF(AND(F10&gt;0,F10&lt;=N('Исходные данные'!$B$37)),-I10,0)</f>
        <v>0</v>
      </c>
      <c r="K10">
        <f>IF(OR(F10=0,F10&lt;=N('Исходные данные'!$B$37)),0,-(I10+J10)*N('Исходные данные'!$B$38))</f>
        <v>0</v>
      </c>
      <c r="L10">
        <f t="shared" si="2"/>
        <v>0</v>
      </c>
      <c r="M10">
        <f>IF('Исходные данные'!$B$51="Да",L10*N('Исходные данные'!$B$52),0)</f>
        <v>0</v>
      </c>
      <c r="N10">
        <f t="shared" si="3"/>
        <v>0</v>
      </c>
      <c r="O10">
        <f>IF(OR(B10="",IF('Исходные данные'!$B$45="",'Исходные данные'!$B$10,'Исходные данные'!$B$45)="",C10&lt;IF('Исходные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данные'!$B$45)),1),B10,"m")/12))*IF(AND(B10&lt;=IF('Исходные данные'!$B$45="",'Исходные данные'!$B$10,'Исходные данные'!$B$45),C10&gt;=IF('Исходные данные'!$B$45="",'Исходные данные'!$B$10,'Исходные данные'!$B$45)),(C10-IF('Исходные данные'!$B$45="",'Исходные данные'!$B$10,'Исходные данные'!$B$45)+1)/DAY(C10),1)*IF('Исходные данные'!$B$43="Без НДС",1+N('Исходные данные'!$B$44),1))</f>
        <v>0</v>
      </c>
      <c r="P10">
        <f>IF('Исходные данные'!$B$51="Да",-O10*N('Исходные данные'!$B$44)/(1+N('Исходные данные'!$B$44)),0)</f>
        <v>0</v>
      </c>
      <c r="Q10">
        <f>IF('Исходные данные'!$B$35="Да",-O10,0)</f>
        <v>0</v>
      </c>
      <c r="R10">
        <f>IF(AND('Исходные данные'!$B$51="Да",Q10&gt;0),Q10*N('Исходные данные'!$B$52)/(1+N('Исходные данные'!$B$52)),0)</f>
        <v>0</v>
      </c>
      <c r="S10">
        <f>IF(OR(B10="",IF('Исходные данные'!$B$45="",'Исходные данные'!$B$10,'Исходные данные'!$B$45)="",C10&lt;IF('Исходные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данные'!$B$45)),1),B10,"m")/12))*IF(AND(B10&lt;=IF('Исходные данные'!$B$45="",'Исходные данные'!$B$10,'Исходные данные'!$B$45),C10&gt;=IF('Исходные данные'!$B$45="",'Исходные данные'!$B$10,'Исходные данные'!$B$45)),(C10-IF('Исходные данные'!$B$45="",'Исходные данные'!$B$10,'Исходные данные'!$B$45)+1)/DAY(C10),1)*IF('Исходные данные'!$B$43="Без НДС",1+N('Исходные данные'!$B$44),1))</f>
        <v>0</v>
      </c>
      <c r="T10">
        <f>IF('Исходные данные'!$B$51="Да",-S10*N('Исходные данные'!$B$44)/(1+N('Исходные данные'!$B$44)),0)</f>
        <v>0</v>
      </c>
      <c r="U10">
        <f>IF('Исходные данные'!$B$36="Да",-S10,0)</f>
        <v>0</v>
      </c>
      <c r="V10">
        <f>IF(AND('Исходные данные'!$B$51="Да",U10&gt;0),U10*N('Исходные данные'!$B$52)/(1+N('Исходные данные'!$B$52)),0)</f>
        <v>0</v>
      </c>
      <c r="W10">
        <f>IF(OR(B10="",IF('Исходные данные'!$B$69="",'Исходные данные'!$B$10,'Исходные данные'!$B$69)="",C10&lt;IF('Исходные данные'!$B$69="",'Исходные данные'!$B$10,'Исходные данные'!$B$69)),0,-N('Исходные данные'!$B$16)*N('Исходные данные'!$B$68)*N('Исходные данные'!$B$67)/12*IF(AND(B10&lt;=IF('Исходные данные'!$B$69="",'Исходные данные'!$B$10,'Исходные данные'!$B$69),C10&gt;=IF('Исходные данные'!$B$69="",'Исходные данные'!$B$10,'Исходные данные'!$B$69)),(C10-IF('Исходные данные'!$B$69="",'Исходные данные'!$B$10,'Исходные данные'!$B$69)+1)/DAY(C10),1))</f>
        <v>0</v>
      </c>
      <c r="X10">
        <f>IF(OR(B10="",IF('Исходные данные'!$B$76="",'Исходные данные'!$B$10,'Исходные данные'!$B$76)="",C10&lt;IF('Исходные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данные'!$B$76)),1),B10,"m")/12))*IF(AND(B10&lt;=IF('Исходные данные'!$B$76="",'Исходные данные'!$B$10,'Исходные данные'!$B$76),C10&gt;=IF('Исходные данные'!$B$76="",'Исходные данные'!$B$10,'Исходные данные'!$B$76)),(C10-IF('Исходные данные'!$B$76="",'Исходные данные'!$B$10,'Исходные данные'!$B$76)+1)/DAY(C10),1))</f>
        <v>0</v>
      </c>
      <c r="Y10">
        <f t="shared" si="4"/>
        <v>0</v>
      </c>
      <c r="Z10">
        <f>IF(OR(B10="",N('Исходные данные'!$B$19)=0),0,-SUMIFS('Исходные данные'!$I$6:$I$186,'Исходные данные'!$F$6:$F$186,B10)*N('Исходные данные'!$B$17)/N('Исходные данные'!$B$19))</f>
        <v>0</v>
      </c>
      <c r="AA10">
        <f>IF(OR(B10="",N('Исходные данные'!$B$19)=0),0,-SUMIFS('Исходные данные'!$I$6:$I$186,'Исходные данные'!$F$6:$F$186,B10)*N('Исходные данные'!$B$18)/N('Исходные данные'!$B$19))</f>
        <v>0</v>
      </c>
      <c r="AB10">
        <f>IF(OR(B10="",'Исходные данные'!$B$13=""),0,IF(AND(YEAR(B10)=YEAR('Исходные данные'!$B$13),MONTH(B10)=MONTH('Исходные данные'!$B$13)),-N('Исходные данные'!$B$11),0))</f>
        <v>0</v>
      </c>
      <c r="AC10">
        <f>IF(A10=1,-N('Исходные данные'!$B$19)*N('Исходные данные'!$B$72),0)</f>
        <v>0</v>
      </c>
      <c r="AD10">
        <f>IF(OR(B10="",'Исходные данные'!$B$22&lt;&gt;"Да",'Исходные данные'!$B$26=""),0,IF(AND(YEAR(B10)=YEAR('Исходные данные'!$B$26),MONTH(B10)=MONTH('Исходные данные'!$B$26)),N('Исходные данные'!$B$23),0))</f>
        <v>0</v>
      </c>
      <c r="AE10">
        <f t="shared" si="17"/>
        <v>0</v>
      </c>
      <c r="AF10">
        <f>IF(OR('Исходные данные'!$B$22&lt;&gt;"Да",'Исходные данные'!$B$26="",C10&lt;'Исходные данные'!$B$26),0,DATEDIF(DATE(YEAR('Исходные данные'!$B$26),MONTH('Исходные данные'!$B$26),1),B10,"m")+1)</f>
        <v>0</v>
      </c>
      <c r="AG10">
        <f>IF(OR(AF10&lt;1,AF10&gt;N('Исходные данные'!$B$25),AE10+AD10&lt;=0),0,-(AE10+AD10)*N('Исходные данные'!$B$24)*IF(AF10=1,C10-'Исходные данные'!$B$26+1,DAY(C10))/365)</f>
        <v>0</v>
      </c>
      <c r="AH10">
        <f>IF(OR(AF10&lt;1,AF10&gt;N('Исходные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данные'!$B$25)-AG10))</f>
        <v>0</v>
      </c>
      <c r="AI10">
        <f>IF(OR('Исходные данные'!$B$22&lt;&gt;"Да",AE10+AD10&lt;=0),0,IF(AND('Исходные данные'!$B$91&lt;&gt;"",B10&lt;&gt;"",YEAR(B10)=YEAR('Исходные данные'!$B$91),MONTH(B10)=MONTH('Исходные данные'!$B$91)),-(AE10+AD10),IF(OR(AF10&lt;1,AF10&gt;N('Исходные данные'!$B$25)),0,IF('Исходные данные'!$B$27="Равными долями",-MIN(AE10+AD10,N('Исходные данные'!$B$23)/N('Исходные данные'!$B$25)),-MIN(AE10+AD10,IF(AF10=N('Исходные данные'!$B$25),AE10+AD10,MAX(0,AH10+AG10)))))))</f>
        <v>0</v>
      </c>
      <c r="AJ10">
        <f t="shared" si="5"/>
        <v>0</v>
      </c>
      <c r="AK10">
        <f t="shared" si="6"/>
        <v>0</v>
      </c>
      <c r="AL10">
        <f>IF(OR(B10="",'Исходные данные'!$B$51&lt;&gt;"Да",'Исходные данные'!$B$61=""),0,IF(AND(YEAR(B10)=YEAR('Исходные данные'!$B$61),MONTH(B10)=MONTH('Исходные данные'!$B$61)),N('Исходные данные'!$B$18)*N('Исходные данные'!$B$62),0))</f>
        <v>0</v>
      </c>
      <c r="AM10">
        <f t="shared" si="18"/>
        <v>0</v>
      </c>
      <c r="AN10">
        <f t="shared" si="7"/>
        <v>0</v>
      </c>
      <c r="AO10">
        <f t="shared" si="8"/>
        <v>0</v>
      </c>
      <c r="AP10">
        <f>IF('Исходные данные'!$B$51="Да",-MAX(0,AN10-AO10-AM10),0)</f>
        <v>0</v>
      </c>
      <c r="AQ10">
        <f>IF('Исходные данные'!$B$51="Да",MAX(0,AM10+AO10-AN10),0)</f>
        <v>0</v>
      </c>
      <c r="AR10">
        <f>IF('Исходные данные'!$B$53="Выручка",MAX(0,L10+(Q10-R10)+(U10-V10)),IF('Исходные данные'!$B$53="Прибыль до налога",MAX(0,L10+(Q10-R10)+(U10-V10)+N('Исходные данные'!$B$54)*((O10+P10)+(S10+T10)+W10+X10)+IF('Исходные данные'!$B$55="Да",AG10,0)-N('Исходные данные'!$B$56)/12),IF('Исходные данные'!$B$53="Пользовательская база",MAX(0,N('Исходные данные'!$B$57)/12),0)))</f>
        <v>0</v>
      </c>
      <c r="AS10">
        <f>IF(E10=1,-AR10*N('Исходные данные'!$B$50),0)</f>
        <v>0</v>
      </c>
      <c r="AT10">
        <f t="shared" si="9"/>
        <v>0</v>
      </c>
      <c r="AU10">
        <f>IF(OR(B10="",N('Исходные данные'!$B$80)&lt;=0,'Исходные данные'!$B$88=""),0,MAX(0,IF('Исходные данные'!$B$88="Последние 12 месяцев",SUMIFS($Y$2:$Y$194,$B$2:$B$194,"&gt;="&amp;EDATE(B10,-11),$B$2:$B$194,"&lt;="&amp;B10),IF('Исходные данные'!$B$88="Пользовательский NOI",N('Исходные данные'!$B$89),AT10))/N('Исходные данные'!$B$80)*(1+N('Исходные данные'!$B$81))))</f>
        <v>0</v>
      </c>
      <c r="AV10">
        <f>IF(OR(E10&lt;&gt;1,B10="",'Исходные данные'!$B$91=""),0,IF(AND(YEAR(B10)=YEAR('Исходные данные'!$B$91),MONTH(B10)=MONTH('Исходные данные'!$B$91)),AU10,0))</f>
        <v>0</v>
      </c>
      <c r="AW10">
        <f>-AV10*N('Исходные данные'!$B$73)</f>
        <v>0</v>
      </c>
      <c r="AX10">
        <f>IF(AV10=0,0,-N('Исходные данные'!$B$87)-IF('Исходные данные'!$B$82="Да",IF('Исходные данные'!$B$84="С выручки",AV10,IF('Исходные данные'!$B$84="С прибыли",MAX(0,AV10+AW10-IF('Исходные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0">
        <f t="shared" si="10"/>
        <v>0</v>
      </c>
      <c r="AZ10">
        <f t="shared" si="11"/>
        <v>0</v>
      </c>
      <c r="BA10">
        <f t="shared" si="12"/>
        <v>0</v>
      </c>
      <c r="BB10" t="str">
        <f t="shared" si="19"/>
        <v/>
      </c>
      <c r="BC10">
        <f>IF(OR(E10=0,'Исходные данные'!$B$9="",'Исходные данные'!$B$90=""),0,BA10/(1+'Исходные данные'!$B$90)^((D10-'Исходные данные'!$B$9)/365))</f>
        <v>0</v>
      </c>
      <c r="BD10">
        <f>IF(AND(E10=1,BB10&gt;=0,BB9&lt;0,MIN($BB$2:BB10)&lt;0),1,0)</f>
        <v>0</v>
      </c>
      <c r="BE10">
        <f t="shared" si="13"/>
        <v>0</v>
      </c>
      <c r="BF10">
        <f t="shared" si="14"/>
        <v>0</v>
      </c>
      <c r="BG10">
        <f t="shared" si="15"/>
        <v>0</v>
      </c>
      <c r="BH10">
        <f t="shared" si="16"/>
        <v>1</v>
      </c>
      <c r="BI10">
        <f>AZ10+N10+AP10-AR10*N('Исходные данные'!$B$50)</f>
        <v>0</v>
      </c>
      <c r="BJ10">
        <f t="shared" si="20"/>
        <v>0</v>
      </c>
      <c r="BK10">
        <f>IF(AND(BJ10&gt;=0,BJ9&lt;0,MIN($BJ$2:BJ10)&lt;0),1,0)</f>
        <v>0</v>
      </c>
    </row>
    <row r="11" spans="1:63" x14ac:dyDescent="0.2">
      <c r="A11">
        <v>10</v>
      </c>
      <c r="B11" t="str">
        <f>IF('Исходные данные'!$B$9="","",EDATE(DATE(YEAR('Исходные данные'!$B$9),MONTH('Исходные данные'!$B$9),1),A11-1))</f>
        <v/>
      </c>
      <c r="C11" t="str">
        <f t="shared" si="0"/>
        <v/>
      </c>
      <c r="D11" t="str">
        <f>IF(B11="","",IF('Исходные данные'!$B$91&lt;&gt;"",IF(AND(YEAR(B11)=YEAR('Исходные данные'!$B$91),MONTH(B11)=MONTH('Исходные данные'!$B$91)),'Исходные данные'!$B$91,IF('Исходные данные'!$B$13&lt;&gt;"",IF(AND(YEAR(B11)=YEAR('Исходные данные'!$B$13),MONTH(B11)=MONTH('Исходные данные'!$B$13)),'Исходные данные'!$B$13,IF('Исходные данные'!$B$26&lt;&gt;"",IF(AND(YEAR(B11)=YEAR('Исходные данные'!$B$26),MONTH(B11)=MONTH('Исходные данные'!$B$26)),'Исходные данные'!$B$26,IF(A11=1,'Исходные данные'!$B$9,C11)),IF(A11=1,'Исходные данные'!$B$9,C11))),IF('Исходные данные'!$B$26&lt;&gt;"",IF(AND(YEAR(B11)=YEAR('Исходные данные'!$B$26),MONTH(B11)=MONTH('Исходные данные'!$B$26)),'Исходные данные'!$B$26,IF(A11=1,'Исходные данные'!$B$9,C11)),IF(A11=1,'Исходные данные'!$B$9,C11)))),IF('Исходные данные'!$B$13&lt;&gt;"",IF(AND(YEAR(B11)=YEAR('Исходные данные'!$B$13),MONTH(B11)=MONTH('Исходные данные'!$B$13)),'Исходные данные'!$B$13,IF('Исходные данные'!$B$26&lt;&gt;"",IF(AND(YEAR(B11)=YEAR('Исходные данные'!$B$26),MONTH(B11)=MONTH('Исходные данные'!$B$26)),'Исходные данные'!$B$26,IF(A11=1,'Исходные данные'!$B$9,C11)),IF(A11=1,'Исходные данные'!$B$9,C11))),IF('Исходные данные'!$B$26&lt;&gt;"",IF(AND(YEAR(B11)=YEAR('Исходные данные'!$B$26),MONTH(B11)=MONTH('Исходные данные'!$B$26)),'Исходные данные'!$B$26,IF(A11=1,'Исходные данные'!$B$9,C11)),IF(A11=1,'Исходные данные'!$B$9,C11)))))</f>
        <v/>
      </c>
      <c r="E11">
        <f>IF(OR(B11="",'Исходные данные'!$B$91=""),0,--(B11&lt;=DATE(YEAR('Исходные данные'!$B$91),MONTH('Исходные данные'!$B$91),1)))</f>
        <v>0</v>
      </c>
      <c r="F11">
        <f>IF(OR(B11="",'Исходные данные'!$B$30="",C11&lt;'Исходные данные'!$B$30),0,DATEDIF(DATE(YEAR('Исходные данные'!$B$30),MONTH('Исходные данные'!$B$30),1),B11,"m")+1)</f>
        <v>0</v>
      </c>
      <c r="G11">
        <f t="shared" si="1"/>
        <v>0</v>
      </c>
      <c r="H11">
        <f>IF(F11=0,0,IF(G11=1,N('Исходные данные'!$B$31),IF(G11=2,N('Исходные данные'!$B$32),IF(G11=3,N('Исходные данные'!$B$33),N('Исходные данные'!$B$33)*(1+N('Исходные данные'!$B$34))^(G11-3)))))</f>
        <v>0</v>
      </c>
      <c r="I11">
        <f>IF(OR(F11=0,N('Исходные данные'!$B$5)=0,H11=0),0,'Исходные данные'!$B$5*H11*IF(AND(B11&lt;='Исходные данные'!$B$30,C11&gt;='Исходные данные'!$B$30),(C11-'Исходные данные'!$B$30+1)/DAY(C11),1))</f>
        <v>0</v>
      </c>
      <c r="J11">
        <f>IF(AND(F11&gt;0,F11&lt;=N('Исходные данные'!$B$37)),-I11,0)</f>
        <v>0</v>
      </c>
      <c r="K11">
        <f>IF(OR(F11=0,F11&lt;=N('Исходные данные'!$B$37)),0,-(I11+J11)*N('Исходные данные'!$B$38))</f>
        <v>0</v>
      </c>
      <c r="L11">
        <f t="shared" si="2"/>
        <v>0</v>
      </c>
      <c r="M11">
        <f>IF('Исходные данные'!$B$51="Да",L11*N('Исходные данные'!$B$52),0)</f>
        <v>0</v>
      </c>
      <c r="N11">
        <f t="shared" si="3"/>
        <v>0</v>
      </c>
      <c r="O11">
        <f>IF(OR(B11="",IF('Исходные данные'!$B$45="",'Исходные данные'!$B$10,'Исходные данные'!$B$45)="",C11&lt;IF('Исходные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данные'!$B$45)),1),B11,"m")/12))*IF(AND(B11&lt;=IF('Исходные данные'!$B$45="",'Исходные данные'!$B$10,'Исходные данные'!$B$45),C11&gt;=IF('Исходные данные'!$B$45="",'Исходные данные'!$B$10,'Исходные данные'!$B$45)),(C11-IF('Исходные данные'!$B$45="",'Исходные данные'!$B$10,'Исходные данные'!$B$45)+1)/DAY(C11),1)*IF('Исходные данные'!$B$43="Без НДС",1+N('Исходные данные'!$B$44),1))</f>
        <v>0</v>
      </c>
      <c r="P11">
        <f>IF('Исходные данные'!$B$51="Да",-O11*N('Исходные данные'!$B$44)/(1+N('Исходные данные'!$B$44)),0)</f>
        <v>0</v>
      </c>
      <c r="Q11">
        <f>IF('Исходные данные'!$B$35="Да",-O11,0)</f>
        <v>0</v>
      </c>
      <c r="R11">
        <f>IF(AND('Исходные данные'!$B$51="Да",Q11&gt;0),Q11*N('Исходные данные'!$B$52)/(1+N('Исходные данные'!$B$52)),0)</f>
        <v>0</v>
      </c>
      <c r="S11">
        <f>IF(OR(B11="",IF('Исходные данные'!$B$45="",'Исходные данные'!$B$10,'Исходные данные'!$B$45)="",C11&lt;IF('Исходные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данные'!$B$45)),1),B11,"m")/12))*IF(AND(B11&lt;=IF('Исходные данные'!$B$45="",'Исходные данные'!$B$10,'Исходные данные'!$B$45),C11&gt;=IF('Исходные данные'!$B$45="",'Исходные данные'!$B$10,'Исходные данные'!$B$45)),(C11-IF('Исходные данные'!$B$45="",'Исходные данные'!$B$10,'Исходные данные'!$B$45)+1)/DAY(C11),1)*IF('Исходные данные'!$B$43="Без НДС",1+N('Исходные данные'!$B$44),1))</f>
        <v>0</v>
      </c>
      <c r="T11">
        <f>IF('Исходные данные'!$B$51="Да",-S11*N('Исходные данные'!$B$44)/(1+N('Исходные данные'!$B$44)),0)</f>
        <v>0</v>
      </c>
      <c r="U11">
        <f>IF('Исходные данные'!$B$36="Да",-S11,0)</f>
        <v>0</v>
      </c>
      <c r="V11">
        <f>IF(AND('Исходные данные'!$B$51="Да",U11&gt;0),U11*N('Исходные данные'!$B$52)/(1+N('Исходные данные'!$B$52)),0)</f>
        <v>0</v>
      </c>
      <c r="W11">
        <f>IF(OR(B11="",IF('Исходные данные'!$B$69="",'Исходные данные'!$B$10,'Исходные данные'!$B$69)="",C11&lt;IF('Исходные данные'!$B$69="",'Исходные данные'!$B$10,'Исходные данные'!$B$69)),0,-N('Исходные данные'!$B$16)*N('Исходные данные'!$B$68)*N('Исходные данные'!$B$67)/12*IF(AND(B11&lt;=IF('Исходные данные'!$B$69="",'Исходные данные'!$B$10,'Исходные данные'!$B$69),C11&gt;=IF('Исходные данные'!$B$69="",'Исходные данные'!$B$10,'Исходные данные'!$B$69)),(C11-IF('Исходные данные'!$B$69="",'Исходные данные'!$B$10,'Исходные данные'!$B$69)+1)/DAY(C11),1))</f>
        <v>0</v>
      </c>
      <c r="X11">
        <f>IF(OR(B11="",IF('Исходные данные'!$B$76="",'Исходные данные'!$B$10,'Исходные данные'!$B$76)="",C11&lt;IF('Исходные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данные'!$B$76)),1),B11,"m")/12))*IF(AND(B11&lt;=IF('Исходные данные'!$B$76="",'Исходные данные'!$B$10,'Исходные данные'!$B$76),C11&gt;=IF('Исходные данные'!$B$76="",'Исходные данные'!$B$10,'Исходные данные'!$B$76)),(C11-IF('Исходные данные'!$B$76="",'Исходные данные'!$B$10,'Исходные данные'!$B$76)+1)/DAY(C11),1))</f>
        <v>0</v>
      </c>
      <c r="Y11">
        <f t="shared" si="4"/>
        <v>0</v>
      </c>
      <c r="Z11">
        <f>IF(OR(B11="",N('Исходные данные'!$B$19)=0),0,-SUMIFS('Исходные данные'!$I$6:$I$186,'Исходные данные'!$F$6:$F$186,B11)*N('Исходные данные'!$B$17)/N('Исходные данные'!$B$19))</f>
        <v>0</v>
      </c>
      <c r="AA11">
        <f>IF(OR(B11="",N('Исходные данные'!$B$19)=0),0,-SUMIFS('Исходные данные'!$I$6:$I$186,'Исходные данные'!$F$6:$F$186,B11)*N('Исходные данные'!$B$18)/N('Исходные данные'!$B$19))</f>
        <v>0</v>
      </c>
      <c r="AB11">
        <f>IF(OR(B11="",'Исходные данные'!$B$13=""),0,IF(AND(YEAR(B11)=YEAR('Исходные данные'!$B$13),MONTH(B11)=MONTH('Исходные данные'!$B$13)),-N('Исходные данные'!$B$11),0))</f>
        <v>0</v>
      </c>
      <c r="AC11">
        <f>IF(A11=1,-N('Исходные данные'!$B$19)*N('Исходные данные'!$B$72),0)</f>
        <v>0</v>
      </c>
      <c r="AD11">
        <f>IF(OR(B11="",'Исходные данные'!$B$22&lt;&gt;"Да",'Исходные данные'!$B$26=""),0,IF(AND(YEAR(B11)=YEAR('Исходные данные'!$B$26),MONTH(B11)=MONTH('Исходные данные'!$B$26)),N('Исходные данные'!$B$23),0))</f>
        <v>0</v>
      </c>
      <c r="AE11">
        <f t="shared" si="17"/>
        <v>0</v>
      </c>
      <c r="AF11">
        <f>IF(OR('Исходные данные'!$B$22&lt;&gt;"Да",'Исходные данные'!$B$26="",C11&lt;'Исходные данные'!$B$26),0,DATEDIF(DATE(YEAR('Исходные данные'!$B$26),MONTH('Исходные данные'!$B$26),1),B11,"m")+1)</f>
        <v>0</v>
      </c>
      <c r="AG11">
        <f>IF(OR(AF11&lt;1,AF11&gt;N('Исходные данные'!$B$25),AE11+AD11&lt;=0),0,-(AE11+AD11)*N('Исходные данные'!$B$24)*IF(AF11=1,C11-'Исходные данные'!$B$26+1,DAY(C11))/365)</f>
        <v>0</v>
      </c>
      <c r="AH11">
        <f>IF(OR(AF11&lt;1,AF11&gt;N('Исходные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данные'!$B$25)-AG11))</f>
        <v>0</v>
      </c>
      <c r="AI11">
        <f>IF(OR('Исходные данные'!$B$22&lt;&gt;"Да",AE11+AD11&lt;=0),0,IF(AND('Исходные данные'!$B$91&lt;&gt;"",B11&lt;&gt;"",YEAR(B11)=YEAR('Исходные данные'!$B$91),MONTH(B11)=MONTH('Исходные данные'!$B$91)),-(AE11+AD11),IF(OR(AF11&lt;1,AF11&gt;N('Исходные данные'!$B$25)),0,IF('Исходные данные'!$B$27="Равными долями",-MIN(AE11+AD11,N('Исходные данные'!$B$23)/N('Исходные данные'!$B$25)),-MIN(AE11+AD11,IF(AF11=N('Исходные данные'!$B$25),AE11+AD11,MAX(0,AH11+AG11)))))))</f>
        <v>0</v>
      </c>
      <c r="AJ11">
        <f t="shared" si="5"/>
        <v>0</v>
      </c>
      <c r="AK11">
        <f t="shared" si="6"/>
        <v>0</v>
      </c>
      <c r="AL11">
        <f>IF(OR(B11="",'Исходные данные'!$B$51&lt;&gt;"Да",'Исходные данные'!$B$61=""),0,IF(AND(YEAR(B11)=YEAR('Исходные данные'!$B$61),MONTH(B11)=MONTH('Исходные данные'!$B$61)),N('Исходные данные'!$B$18)*N('Исходные данные'!$B$62),0))</f>
        <v>0</v>
      </c>
      <c r="AM11">
        <f t="shared" si="18"/>
        <v>0</v>
      </c>
      <c r="AN11">
        <f t="shared" si="7"/>
        <v>0</v>
      </c>
      <c r="AO11">
        <f t="shared" si="8"/>
        <v>0</v>
      </c>
      <c r="AP11">
        <f>IF('Исходные данные'!$B$51="Да",-MAX(0,AN11-AO11-AM11),0)</f>
        <v>0</v>
      </c>
      <c r="AQ11">
        <f>IF('Исходные данные'!$B$51="Да",MAX(0,AM11+AO11-AN11),0)</f>
        <v>0</v>
      </c>
      <c r="AR11">
        <f>IF('Исходные данные'!$B$53="Выручка",MAX(0,L11+(Q11-R11)+(U11-V11)),IF('Исходные данные'!$B$53="Прибыль до налога",MAX(0,L11+(Q11-R11)+(U11-V11)+N('Исходные данные'!$B$54)*((O11+P11)+(S11+T11)+W11+X11)+IF('Исходные данные'!$B$55="Да",AG11,0)-N('Исходные данные'!$B$56)/12),IF('Исходные данные'!$B$53="Пользовательская база",MAX(0,N('Исходные данные'!$B$57)/12),0)))</f>
        <v>0</v>
      </c>
      <c r="AS11">
        <f>IF(E11=1,-AR11*N('Исходные данные'!$B$50),0)</f>
        <v>0</v>
      </c>
      <c r="AT11">
        <f t="shared" si="9"/>
        <v>0</v>
      </c>
      <c r="AU11">
        <f>IF(OR(B11="",N('Исходные данные'!$B$80)&lt;=0,'Исходные данные'!$B$88=""),0,MAX(0,IF('Исходные данные'!$B$88="Последние 12 месяцев",SUMIFS($Y$2:$Y$194,$B$2:$B$194,"&gt;="&amp;EDATE(B11,-11),$B$2:$B$194,"&lt;="&amp;B11),IF('Исходные данные'!$B$88="Пользовательский NOI",N('Исходные данные'!$B$89),AT11))/N('Исходные данные'!$B$80)*(1+N('Исходные данные'!$B$81))))</f>
        <v>0</v>
      </c>
      <c r="AV11">
        <f>IF(OR(E11&lt;&gt;1,B11="",'Исходные данные'!$B$91=""),0,IF(AND(YEAR(B11)=YEAR('Исходные данные'!$B$91),MONTH(B11)=MONTH('Исходные данные'!$B$91)),AU11,0))</f>
        <v>0</v>
      </c>
      <c r="AW11">
        <f>-AV11*N('Исходные данные'!$B$73)</f>
        <v>0</v>
      </c>
      <c r="AX11">
        <f>IF(AV11=0,0,-N('Исходные данные'!$B$87)-IF('Исходные данные'!$B$82="Да",IF('Исходные данные'!$B$84="С выручки",AV11,IF('Исходные данные'!$B$84="С прибыли",MAX(0,AV11+AW11-IF('Исходные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1">
        <f t="shared" si="10"/>
        <v>0</v>
      </c>
      <c r="AZ11">
        <f t="shared" si="11"/>
        <v>0</v>
      </c>
      <c r="BA11">
        <f t="shared" si="12"/>
        <v>0</v>
      </c>
      <c r="BB11" t="str">
        <f t="shared" si="19"/>
        <v/>
      </c>
      <c r="BC11">
        <f>IF(OR(E11=0,'Исходные данные'!$B$9="",'Исходные данные'!$B$90=""),0,BA11/(1+'Исходные данные'!$B$90)^((D11-'Исходные данные'!$B$9)/365))</f>
        <v>0</v>
      </c>
      <c r="BD11">
        <f>IF(AND(E11=1,BB11&gt;=0,BB10&lt;0,MIN($BB$2:BB11)&lt;0),1,0)</f>
        <v>0</v>
      </c>
      <c r="BE11">
        <f t="shared" si="13"/>
        <v>0</v>
      </c>
      <c r="BF11">
        <f t="shared" si="14"/>
        <v>0</v>
      </c>
      <c r="BG11">
        <f t="shared" si="15"/>
        <v>0</v>
      </c>
      <c r="BH11">
        <f t="shared" si="16"/>
        <v>1</v>
      </c>
      <c r="BI11">
        <f>AZ11+N11+AP11-AR11*N('Исходные данные'!$B$50)</f>
        <v>0</v>
      </c>
      <c r="BJ11">
        <f t="shared" si="20"/>
        <v>0</v>
      </c>
      <c r="BK11">
        <f>IF(AND(BJ11&gt;=0,BJ10&lt;0,MIN($BJ$2:BJ11)&lt;0),1,0)</f>
        <v>0</v>
      </c>
    </row>
    <row r="12" spans="1:63" x14ac:dyDescent="0.2">
      <c r="A12">
        <v>11</v>
      </c>
      <c r="B12" t="str">
        <f>IF('Исходные данные'!$B$9="","",EDATE(DATE(YEAR('Исходные данные'!$B$9),MONTH('Исходные данные'!$B$9),1),A12-1))</f>
        <v/>
      </c>
      <c r="C12" t="str">
        <f t="shared" si="0"/>
        <v/>
      </c>
      <c r="D12" t="str">
        <f>IF(B12="","",IF('Исходные данные'!$B$91&lt;&gt;"",IF(AND(YEAR(B12)=YEAR('Исходные данные'!$B$91),MONTH(B12)=MONTH('Исходные данные'!$B$91)),'Исходные данные'!$B$91,IF('Исходные данные'!$B$13&lt;&gt;"",IF(AND(YEAR(B12)=YEAR('Исходные данные'!$B$13),MONTH(B12)=MONTH('Исходные данные'!$B$13)),'Исходные данные'!$B$13,IF('Исходные данные'!$B$26&lt;&gt;"",IF(AND(YEAR(B12)=YEAR('Исходные данные'!$B$26),MONTH(B12)=MONTH('Исходные данные'!$B$26)),'Исходные данные'!$B$26,IF(A12=1,'Исходные данные'!$B$9,C12)),IF(A12=1,'Исходные данные'!$B$9,C12))),IF('Исходные данные'!$B$26&lt;&gt;"",IF(AND(YEAR(B12)=YEAR('Исходные данные'!$B$26),MONTH(B12)=MONTH('Исходные данные'!$B$26)),'Исходные данные'!$B$26,IF(A12=1,'Исходные данные'!$B$9,C12)),IF(A12=1,'Исходные данные'!$B$9,C12)))),IF('Исходные данные'!$B$13&lt;&gt;"",IF(AND(YEAR(B12)=YEAR('Исходные данные'!$B$13),MONTH(B12)=MONTH('Исходные данные'!$B$13)),'Исходные данные'!$B$13,IF('Исходные данные'!$B$26&lt;&gt;"",IF(AND(YEAR(B12)=YEAR('Исходные данные'!$B$26),MONTH(B12)=MONTH('Исходные данные'!$B$26)),'Исходные данные'!$B$26,IF(A12=1,'Исходные данные'!$B$9,C12)),IF(A12=1,'Исходные данные'!$B$9,C12))),IF('Исходные данные'!$B$26&lt;&gt;"",IF(AND(YEAR(B12)=YEAR('Исходные данные'!$B$26),MONTH(B12)=MONTH('Исходные данные'!$B$26)),'Исходные данные'!$B$26,IF(A12=1,'Исходные данные'!$B$9,C12)),IF(A12=1,'Исходные данные'!$B$9,C12)))))</f>
        <v/>
      </c>
      <c r="E12">
        <f>IF(OR(B12="",'Исходные данные'!$B$91=""),0,--(B12&lt;=DATE(YEAR('Исходные данные'!$B$91),MONTH('Исходные данные'!$B$91),1)))</f>
        <v>0</v>
      </c>
      <c r="F12">
        <f>IF(OR(B12="",'Исходные данные'!$B$30="",C12&lt;'Исходные данные'!$B$30),0,DATEDIF(DATE(YEAR('Исходные данные'!$B$30),MONTH('Исходные данные'!$B$30),1),B12,"m")+1)</f>
        <v>0</v>
      </c>
      <c r="G12">
        <f t="shared" si="1"/>
        <v>0</v>
      </c>
      <c r="H12">
        <f>IF(F12=0,0,IF(G12=1,N('Исходные данные'!$B$31),IF(G12=2,N('Исходные данные'!$B$32),IF(G12=3,N('Исходные данные'!$B$33),N('Исходные данные'!$B$33)*(1+N('Исходные данные'!$B$34))^(G12-3)))))</f>
        <v>0</v>
      </c>
      <c r="I12">
        <f>IF(OR(F12=0,N('Исходные данные'!$B$5)=0,H12=0),0,'Исходные данные'!$B$5*H12*IF(AND(B12&lt;='Исходные данные'!$B$30,C12&gt;='Исходные данные'!$B$30),(C12-'Исходные данные'!$B$30+1)/DAY(C12),1))</f>
        <v>0</v>
      </c>
      <c r="J12">
        <f>IF(AND(F12&gt;0,F12&lt;=N('Исходные данные'!$B$37)),-I12,0)</f>
        <v>0</v>
      </c>
      <c r="K12">
        <f>IF(OR(F12=0,F12&lt;=N('Исходные данные'!$B$37)),0,-(I12+J12)*N('Исходные данные'!$B$38))</f>
        <v>0</v>
      </c>
      <c r="L12">
        <f t="shared" si="2"/>
        <v>0</v>
      </c>
      <c r="M12">
        <f>IF('Исходные данные'!$B$51="Да",L12*N('Исходные данные'!$B$52),0)</f>
        <v>0</v>
      </c>
      <c r="N12">
        <f t="shared" si="3"/>
        <v>0</v>
      </c>
      <c r="O12">
        <f>IF(OR(B12="",IF('Исходные данные'!$B$45="",'Исходные данные'!$B$10,'Исходные данные'!$B$45)="",C12&lt;IF('Исходные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данные'!$B$45)),1),B12,"m")/12))*IF(AND(B12&lt;=IF('Исходные данные'!$B$45="",'Исходные данные'!$B$10,'Исходные данные'!$B$45),C12&gt;=IF('Исходные данные'!$B$45="",'Исходные данные'!$B$10,'Исходные данные'!$B$45)),(C12-IF('Исходные данные'!$B$45="",'Исходные данные'!$B$10,'Исходные данные'!$B$45)+1)/DAY(C12),1)*IF('Исходные данные'!$B$43="Без НДС",1+N('Исходные данные'!$B$44),1))</f>
        <v>0</v>
      </c>
      <c r="P12">
        <f>IF('Исходные данные'!$B$51="Да",-O12*N('Исходные данные'!$B$44)/(1+N('Исходные данные'!$B$44)),0)</f>
        <v>0</v>
      </c>
      <c r="Q12">
        <f>IF('Исходные данные'!$B$35="Да",-O12,0)</f>
        <v>0</v>
      </c>
      <c r="R12">
        <f>IF(AND('Исходные данные'!$B$51="Да",Q12&gt;0),Q12*N('Исходные данные'!$B$52)/(1+N('Исходные данные'!$B$52)),0)</f>
        <v>0</v>
      </c>
      <c r="S12">
        <f>IF(OR(B12="",IF('Исходные данные'!$B$45="",'Исходные данные'!$B$10,'Исходные данные'!$B$45)="",C12&lt;IF('Исходные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данные'!$B$45)),1),B12,"m")/12))*IF(AND(B12&lt;=IF('Исходные данные'!$B$45="",'Исходные данные'!$B$10,'Исходные данные'!$B$45),C12&gt;=IF('Исходные данные'!$B$45="",'Исходные данные'!$B$10,'Исходные данные'!$B$45)),(C12-IF('Исходные данные'!$B$45="",'Исходные данные'!$B$10,'Исходные данные'!$B$45)+1)/DAY(C12),1)*IF('Исходные данные'!$B$43="Без НДС",1+N('Исходные данные'!$B$44),1))</f>
        <v>0</v>
      </c>
      <c r="T12">
        <f>IF('Исходные данные'!$B$51="Да",-S12*N('Исходные данные'!$B$44)/(1+N('Исходные данные'!$B$44)),0)</f>
        <v>0</v>
      </c>
      <c r="U12">
        <f>IF('Исходные данные'!$B$36="Да",-S12,0)</f>
        <v>0</v>
      </c>
      <c r="V12">
        <f>IF(AND('Исходные данные'!$B$51="Да",U12&gt;0),U12*N('Исходные данные'!$B$52)/(1+N('Исходные данные'!$B$52)),0)</f>
        <v>0</v>
      </c>
      <c r="W12">
        <f>IF(OR(B12="",IF('Исходные данные'!$B$69="",'Исходные данные'!$B$10,'Исходные данные'!$B$69)="",C12&lt;IF('Исходные данные'!$B$69="",'Исходные данные'!$B$10,'Исходные данные'!$B$69)),0,-N('Исходные данные'!$B$16)*N('Исходные данные'!$B$68)*N('Исходные данные'!$B$67)/12*IF(AND(B12&lt;=IF('Исходные данные'!$B$69="",'Исходные данные'!$B$10,'Исходные данные'!$B$69),C12&gt;=IF('Исходные данные'!$B$69="",'Исходные данные'!$B$10,'Исходные данные'!$B$69)),(C12-IF('Исходные данные'!$B$69="",'Исходные данные'!$B$10,'Исходные данные'!$B$69)+1)/DAY(C12),1))</f>
        <v>0</v>
      </c>
      <c r="X12">
        <f>IF(OR(B12="",IF('Исходные данные'!$B$76="",'Исходные данные'!$B$10,'Исходные данные'!$B$76)="",C12&lt;IF('Исходные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данные'!$B$76)),1),B12,"m")/12))*IF(AND(B12&lt;=IF('Исходные данные'!$B$76="",'Исходные данные'!$B$10,'Исходные данные'!$B$76),C12&gt;=IF('Исходные данные'!$B$76="",'Исходные данные'!$B$10,'Исходные данные'!$B$76)),(C12-IF('Исходные данные'!$B$76="",'Исходные данные'!$B$10,'Исходные данные'!$B$76)+1)/DAY(C12),1))</f>
        <v>0</v>
      </c>
      <c r="Y12">
        <f t="shared" si="4"/>
        <v>0</v>
      </c>
      <c r="Z12">
        <f>IF(OR(B12="",N('Исходные данные'!$B$19)=0),0,-SUMIFS('Исходные данные'!$I$6:$I$186,'Исходные данные'!$F$6:$F$186,B12)*N('Исходные данные'!$B$17)/N('Исходные данные'!$B$19))</f>
        <v>0</v>
      </c>
      <c r="AA12">
        <f>IF(OR(B12="",N('Исходные данные'!$B$19)=0),0,-SUMIFS('Исходные данные'!$I$6:$I$186,'Исходные данные'!$F$6:$F$186,B12)*N('Исходные данные'!$B$18)/N('Исходные данные'!$B$19))</f>
        <v>0</v>
      </c>
      <c r="AB12">
        <f>IF(OR(B12="",'Исходные данные'!$B$13=""),0,IF(AND(YEAR(B12)=YEAR('Исходные данные'!$B$13),MONTH(B12)=MONTH('Исходные данные'!$B$13)),-N('Исходные данные'!$B$11),0))</f>
        <v>0</v>
      </c>
      <c r="AC12">
        <f>IF(A12=1,-N('Исходные данные'!$B$19)*N('Исходные данные'!$B$72),0)</f>
        <v>0</v>
      </c>
      <c r="AD12">
        <f>IF(OR(B12="",'Исходные данные'!$B$22&lt;&gt;"Да",'Исходные данные'!$B$26=""),0,IF(AND(YEAR(B12)=YEAR('Исходные данные'!$B$26),MONTH(B12)=MONTH('Исходные данные'!$B$26)),N('Исходные данные'!$B$23),0))</f>
        <v>0</v>
      </c>
      <c r="AE12">
        <f t="shared" si="17"/>
        <v>0</v>
      </c>
      <c r="AF12">
        <f>IF(OR('Исходные данные'!$B$22&lt;&gt;"Да",'Исходные данные'!$B$26="",C12&lt;'Исходные данные'!$B$26),0,DATEDIF(DATE(YEAR('Исходные данные'!$B$26),MONTH('Исходные данные'!$B$26),1),B12,"m")+1)</f>
        <v>0</v>
      </c>
      <c r="AG12">
        <f>IF(OR(AF12&lt;1,AF12&gt;N('Исходные данные'!$B$25),AE12+AD12&lt;=0),0,-(AE12+AD12)*N('Исходные данные'!$B$24)*IF(AF12=1,C12-'Исходные данные'!$B$26+1,DAY(C12))/365)</f>
        <v>0</v>
      </c>
      <c r="AH12">
        <f>IF(OR(AF12&lt;1,AF12&gt;N('Исходные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данные'!$B$25)-AG12))</f>
        <v>0</v>
      </c>
      <c r="AI12">
        <f>IF(OR('Исходные данные'!$B$22&lt;&gt;"Да",AE12+AD12&lt;=0),0,IF(AND('Исходные данные'!$B$91&lt;&gt;"",B12&lt;&gt;"",YEAR(B12)=YEAR('Исходные данные'!$B$91),MONTH(B12)=MONTH('Исходные данные'!$B$91)),-(AE12+AD12),IF(OR(AF12&lt;1,AF12&gt;N('Исходные данные'!$B$25)),0,IF('Исходные данные'!$B$27="Равными долями",-MIN(AE12+AD12,N('Исходные данные'!$B$23)/N('Исходные данные'!$B$25)),-MIN(AE12+AD12,IF(AF12=N('Исходные данные'!$B$25),AE12+AD12,MAX(0,AH12+AG12)))))))</f>
        <v>0</v>
      </c>
      <c r="AJ12">
        <f t="shared" si="5"/>
        <v>0</v>
      </c>
      <c r="AK12">
        <f t="shared" si="6"/>
        <v>0</v>
      </c>
      <c r="AL12">
        <f>IF(OR(B12="",'Исходные данные'!$B$51&lt;&gt;"Да",'Исходные данные'!$B$61=""),0,IF(AND(YEAR(B12)=YEAR('Исходные данные'!$B$61),MONTH(B12)=MONTH('Исходные данные'!$B$61)),N('Исходные данные'!$B$18)*N('Исходные данные'!$B$62),0))</f>
        <v>0</v>
      </c>
      <c r="AM12">
        <f t="shared" si="18"/>
        <v>0</v>
      </c>
      <c r="AN12">
        <f t="shared" si="7"/>
        <v>0</v>
      </c>
      <c r="AO12">
        <f t="shared" si="8"/>
        <v>0</v>
      </c>
      <c r="AP12">
        <f>IF('Исходные данные'!$B$51="Да",-MAX(0,AN12-AO12-AM12),0)</f>
        <v>0</v>
      </c>
      <c r="AQ12">
        <f>IF('Исходные данные'!$B$51="Да",MAX(0,AM12+AO12-AN12),0)</f>
        <v>0</v>
      </c>
      <c r="AR12">
        <f>IF('Исходные данные'!$B$53="Выручка",MAX(0,L12+(Q12-R12)+(U12-V12)),IF('Исходные данные'!$B$53="Прибыль до налога",MAX(0,L12+(Q12-R12)+(U12-V12)+N('Исходные данные'!$B$54)*((O12+P12)+(S12+T12)+W12+X12)+IF('Исходные данные'!$B$55="Да",AG12,0)-N('Исходные данные'!$B$56)/12),IF('Исходные данные'!$B$53="Пользовательская база",MAX(0,N('Исходные данные'!$B$57)/12),0)))</f>
        <v>0</v>
      </c>
      <c r="AS12">
        <f>IF(E12=1,-AR12*N('Исходные данные'!$B$50),0)</f>
        <v>0</v>
      </c>
      <c r="AT12">
        <f t="shared" si="9"/>
        <v>0</v>
      </c>
      <c r="AU12">
        <f>IF(OR(B12="",N('Исходные данные'!$B$80)&lt;=0,'Исходные данные'!$B$88=""),0,MAX(0,IF('Исходные данные'!$B$88="Последние 12 месяцев",SUMIFS($Y$2:$Y$194,$B$2:$B$194,"&gt;="&amp;EDATE(B12,-11),$B$2:$B$194,"&lt;="&amp;B12),IF('Исходные данные'!$B$88="Пользовательский NOI",N('Исходные данные'!$B$89),AT12))/N('Исходные данные'!$B$80)*(1+N('Исходные данные'!$B$81))))</f>
        <v>0</v>
      </c>
      <c r="AV12">
        <f>IF(OR(E12&lt;&gt;1,B12="",'Исходные данные'!$B$91=""),0,IF(AND(YEAR(B12)=YEAR('Исходные данные'!$B$91),MONTH(B12)=MONTH('Исходные данные'!$B$91)),AU12,0))</f>
        <v>0</v>
      </c>
      <c r="AW12">
        <f>-AV12*N('Исходные данные'!$B$73)</f>
        <v>0</v>
      </c>
      <c r="AX12">
        <f>IF(AV12=0,0,-N('Исходные данные'!$B$87)-IF('Исходные данные'!$B$82="Да",IF('Исходные данные'!$B$84="С выручки",AV12,IF('Исходные данные'!$B$84="С прибыли",MAX(0,AV12+AW12-IF('Исходные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2">
        <f t="shared" si="10"/>
        <v>0</v>
      </c>
      <c r="AZ12">
        <f t="shared" si="11"/>
        <v>0</v>
      </c>
      <c r="BA12">
        <f t="shared" si="12"/>
        <v>0</v>
      </c>
      <c r="BB12" t="str">
        <f t="shared" si="19"/>
        <v/>
      </c>
      <c r="BC12">
        <f>IF(OR(E12=0,'Исходные данные'!$B$9="",'Исходные данные'!$B$90=""),0,BA12/(1+'Исходные данные'!$B$90)^((D12-'Исходные данные'!$B$9)/365))</f>
        <v>0</v>
      </c>
      <c r="BD12">
        <f>IF(AND(E12=1,BB12&gt;=0,BB11&lt;0,MIN($BB$2:BB12)&lt;0),1,0)</f>
        <v>0</v>
      </c>
      <c r="BE12">
        <f t="shared" si="13"/>
        <v>0</v>
      </c>
      <c r="BF12">
        <f t="shared" si="14"/>
        <v>0</v>
      </c>
      <c r="BG12">
        <f t="shared" si="15"/>
        <v>0</v>
      </c>
      <c r="BH12">
        <f t="shared" si="16"/>
        <v>1</v>
      </c>
      <c r="BI12">
        <f>AZ12+N12+AP12-AR12*N('Исходные данные'!$B$50)</f>
        <v>0</v>
      </c>
      <c r="BJ12">
        <f t="shared" si="20"/>
        <v>0</v>
      </c>
      <c r="BK12">
        <f>IF(AND(BJ12&gt;=0,BJ11&lt;0,MIN($BJ$2:BJ12)&lt;0),1,0)</f>
        <v>0</v>
      </c>
    </row>
    <row r="13" spans="1:63" x14ac:dyDescent="0.2">
      <c r="A13">
        <v>12</v>
      </c>
      <c r="B13" t="str">
        <f>IF('Исходные данные'!$B$9="","",EDATE(DATE(YEAR('Исходные данные'!$B$9),MONTH('Исходные данные'!$B$9),1),A13-1))</f>
        <v/>
      </c>
      <c r="C13" t="str">
        <f t="shared" si="0"/>
        <v/>
      </c>
      <c r="D13" t="str">
        <f>IF(B13="","",IF('Исходные данные'!$B$91&lt;&gt;"",IF(AND(YEAR(B13)=YEAR('Исходные данные'!$B$91),MONTH(B13)=MONTH('Исходные данные'!$B$91)),'Исходные данные'!$B$91,IF('Исходные данные'!$B$13&lt;&gt;"",IF(AND(YEAR(B13)=YEAR('Исходные данные'!$B$13),MONTH(B13)=MONTH('Исходные данные'!$B$13)),'Исходные данные'!$B$13,IF('Исходные данные'!$B$26&lt;&gt;"",IF(AND(YEAR(B13)=YEAR('Исходные данные'!$B$26),MONTH(B13)=MONTH('Исходные данные'!$B$26)),'Исходные данные'!$B$26,IF(A13=1,'Исходные данные'!$B$9,C13)),IF(A13=1,'Исходные данные'!$B$9,C13))),IF('Исходные данные'!$B$26&lt;&gt;"",IF(AND(YEAR(B13)=YEAR('Исходные данные'!$B$26),MONTH(B13)=MONTH('Исходные данные'!$B$26)),'Исходные данные'!$B$26,IF(A13=1,'Исходные данные'!$B$9,C13)),IF(A13=1,'Исходные данные'!$B$9,C13)))),IF('Исходные данные'!$B$13&lt;&gt;"",IF(AND(YEAR(B13)=YEAR('Исходные данные'!$B$13),MONTH(B13)=MONTH('Исходные данные'!$B$13)),'Исходные данные'!$B$13,IF('Исходные данные'!$B$26&lt;&gt;"",IF(AND(YEAR(B13)=YEAR('Исходные данные'!$B$26),MONTH(B13)=MONTH('Исходные данные'!$B$26)),'Исходные данные'!$B$26,IF(A13=1,'Исходные данные'!$B$9,C13)),IF(A13=1,'Исходные данные'!$B$9,C13))),IF('Исходные данные'!$B$26&lt;&gt;"",IF(AND(YEAR(B13)=YEAR('Исходные данные'!$B$26),MONTH(B13)=MONTH('Исходные данные'!$B$26)),'Исходные данные'!$B$26,IF(A13=1,'Исходные данные'!$B$9,C13)),IF(A13=1,'Исходные данные'!$B$9,C13)))))</f>
        <v/>
      </c>
      <c r="E13">
        <f>IF(OR(B13="",'Исходные данные'!$B$91=""),0,--(B13&lt;=DATE(YEAR('Исходные данные'!$B$91),MONTH('Исходные данные'!$B$91),1)))</f>
        <v>0</v>
      </c>
      <c r="F13">
        <f>IF(OR(B13="",'Исходные данные'!$B$30="",C13&lt;'Исходные данные'!$B$30),0,DATEDIF(DATE(YEAR('Исходные данные'!$B$30),MONTH('Исходные данные'!$B$30),1),B13,"m")+1)</f>
        <v>0</v>
      </c>
      <c r="G13">
        <f t="shared" si="1"/>
        <v>0</v>
      </c>
      <c r="H13">
        <f>IF(F13=0,0,IF(G13=1,N('Исходные данные'!$B$31),IF(G13=2,N('Исходные данные'!$B$32),IF(G13=3,N('Исходные данные'!$B$33),N('Исходные данные'!$B$33)*(1+N('Исходные данные'!$B$34))^(G13-3)))))</f>
        <v>0</v>
      </c>
      <c r="I13">
        <f>IF(OR(F13=0,N('Исходные данные'!$B$5)=0,H13=0),0,'Исходные данные'!$B$5*H13*IF(AND(B13&lt;='Исходные данные'!$B$30,C13&gt;='Исходные данные'!$B$30),(C13-'Исходные данные'!$B$30+1)/DAY(C13),1))</f>
        <v>0</v>
      </c>
      <c r="J13">
        <f>IF(AND(F13&gt;0,F13&lt;=N('Исходные данные'!$B$37)),-I13,0)</f>
        <v>0</v>
      </c>
      <c r="K13">
        <f>IF(OR(F13=0,F13&lt;=N('Исходные данные'!$B$37)),0,-(I13+J13)*N('Исходные данные'!$B$38))</f>
        <v>0</v>
      </c>
      <c r="L13">
        <f t="shared" si="2"/>
        <v>0</v>
      </c>
      <c r="M13">
        <f>IF('Исходные данные'!$B$51="Да",L13*N('Исходные данные'!$B$52),0)</f>
        <v>0</v>
      </c>
      <c r="N13">
        <f t="shared" si="3"/>
        <v>0</v>
      </c>
      <c r="O13">
        <f>IF(OR(B13="",IF('Исходные данные'!$B$45="",'Исходные данные'!$B$10,'Исходные данные'!$B$45)="",C13&lt;IF('Исходные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данные'!$B$45)),1),B13,"m")/12))*IF(AND(B13&lt;=IF('Исходные данные'!$B$45="",'Исходные данные'!$B$10,'Исходные данные'!$B$45),C13&gt;=IF('Исходные данные'!$B$45="",'Исходные данные'!$B$10,'Исходные данные'!$B$45)),(C13-IF('Исходные данные'!$B$45="",'Исходные данные'!$B$10,'Исходные данные'!$B$45)+1)/DAY(C13),1)*IF('Исходные данные'!$B$43="Без НДС",1+N('Исходные данные'!$B$44),1))</f>
        <v>0</v>
      </c>
      <c r="P13">
        <f>IF('Исходные данные'!$B$51="Да",-O13*N('Исходные данные'!$B$44)/(1+N('Исходные данные'!$B$44)),0)</f>
        <v>0</v>
      </c>
      <c r="Q13">
        <f>IF('Исходные данные'!$B$35="Да",-O13,0)</f>
        <v>0</v>
      </c>
      <c r="R13">
        <f>IF(AND('Исходные данные'!$B$51="Да",Q13&gt;0),Q13*N('Исходные данные'!$B$52)/(1+N('Исходные данные'!$B$52)),0)</f>
        <v>0</v>
      </c>
      <c r="S13">
        <f>IF(OR(B13="",IF('Исходные данные'!$B$45="",'Исходные данные'!$B$10,'Исходные данные'!$B$45)="",C13&lt;IF('Исходные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данные'!$B$45)),1),B13,"m")/12))*IF(AND(B13&lt;=IF('Исходные данные'!$B$45="",'Исходные данные'!$B$10,'Исходные данные'!$B$45),C13&gt;=IF('Исходные данные'!$B$45="",'Исходные данные'!$B$10,'Исходные данные'!$B$45)),(C13-IF('Исходные данные'!$B$45="",'Исходные данные'!$B$10,'Исходные данные'!$B$45)+1)/DAY(C13),1)*IF('Исходные данные'!$B$43="Без НДС",1+N('Исходные данные'!$B$44),1))</f>
        <v>0</v>
      </c>
      <c r="T13">
        <f>IF('Исходные данные'!$B$51="Да",-S13*N('Исходные данные'!$B$44)/(1+N('Исходные данные'!$B$44)),0)</f>
        <v>0</v>
      </c>
      <c r="U13">
        <f>IF('Исходные данные'!$B$36="Да",-S13,0)</f>
        <v>0</v>
      </c>
      <c r="V13">
        <f>IF(AND('Исходные данные'!$B$51="Да",U13&gt;0),U13*N('Исходные данные'!$B$52)/(1+N('Исходные данные'!$B$52)),0)</f>
        <v>0</v>
      </c>
      <c r="W13">
        <f>IF(OR(B13="",IF('Исходные данные'!$B$69="",'Исходные данные'!$B$10,'Исходные данные'!$B$69)="",C13&lt;IF('Исходные данные'!$B$69="",'Исходные данные'!$B$10,'Исходные данные'!$B$69)),0,-N('Исходные данные'!$B$16)*N('Исходные данные'!$B$68)*N('Исходные данные'!$B$67)/12*IF(AND(B13&lt;=IF('Исходные данные'!$B$69="",'Исходные данные'!$B$10,'Исходные данные'!$B$69),C13&gt;=IF('Исходные данные'!$B$69="",'Исходные данные'!$B$10,'Исходные данные'!$B$69)),(C13-IF('Исходные данные'!$B$69="",'Исходные данные'!$B$10,'Исходные данные'!$B$69)+1)/DAY(C13),1))</f>
        <v>0</v>
      </c>
      <c r="X13">
        <f>IF(OR(B13="",IF('Исходные данные'!$B$76="",'Исходные данные'!$B$10,'Исходные данные'!$B$76)="",C13&lt;IF('Исходные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данные'!$B$76)),1),B13,"m")/12))*IF(AND(B13&lt;=IF('Исходные данные'!$B$76="",'Исходные данные'!$B$10,'Исходные данные'!$B$76),C13&gt;=IF('Исходные данные'!$B$76="",'Исходные данные'!$B$10,'Исходные данные'!$B$76)),(C13-IF('Исходные данные'!$B$76="",'Исходные данные'!$B$10,'Исходные данные'!$B$76)+1)/DAY(C13),1))</f>
        <v>0</v>
      </c>
      <c r="Y13">
        <f t="shared" si="4"/>
        <v>0</v>
      </c>
      <c r="Z13">
        <f>IF(OR(B13="",N('Исходные данные'!$B$19)=0),0,-SUMIFS('Исходные данные'!$I$6:$I$186,'Исходные данные'!$F$6:$F$186,B13)*N('Исходные данные'!$B$17)/N('Исходные данные'!$B$19))</f>
        <v>0</v>
      </c>
      <c r="AA13">
        <f>IF(OR(B13="",N('Исходные данные'!$B$19)=0),0,-SUMIFS('Исходные данные'!$I$6:$I$186,'Исходные данные'!$F$6:$F$186,B13)*N('Исходные данные'!$B$18)/N('Исходные данные'!$B$19))</f>
        <v>0</v>
      </c>
      <c r="AB13">
        <f>IF(OR(B13="",'Исходные данные'!$B$13=""),0,IF(AND(YEAR(B13)=YEAR('Исходные данные'!$B$13),MONTH(B13)=MONTH('Исходные данные'!$B$13)),-N('Исходные данные'!$B$11),0))</f>
        <v>0</v>
      </c>
      <c r="AC13">
        <f>IF(A13=1,-N('Исходные данные'!$B$19)*N('Исходные данные'!$B$72),0)</f>
        <v>0</v>
      </c>
      <c r="AD13">
        <f>IF(OR(B13="",'Исходные данные'!$B$22&lt;&gt;"Да",'Исходные данные'!$B$26=""),0,IF(AND(YEAR(B13)=YEAR('Исходные данные'!$B$26),MONTH(B13)=MONTH('Исходные данные'!$B$26)),N('Исходные данные'!$B$23),0))</f>
        <v>0</v>
      </c>
      <c r="AE13">
        <f t="shared" si="17"/>
        <v>0</v>
      </c>
      <c r="AF13">
        <f>IF(OR('Исходные данные'!$B$22&lt;&gt;"Да",'Исходные данные'!$B$26="",C13&lt;'Исходные данные'!$B$26),0,DATEDIF(DATE(YEAR('Исходные данные'!$B$26),MONTH('Исходные данные'!$B$26),1),B13,"m")+1)</f>
        <v>0</v>
      </c>
      <c r="AG13">
        <f>IF(OR(AF13&lt;1,AF13&gt;N('Исходные данные'!$B$25),AE13+AD13&lt;=0),0,-(AE13+AD13)*N('Исходные данные'!$B$24)*IF(AF13=1,C13-'Исходные данные'!$B$26+1,DAY(C13))/365)</f>
        <v>0</v>
      </c>
      <c r="AH13">
        <f>IF(OR(AF13&lt;1,AF13&gt;N('Исходные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данные'!$B$25)-AG13))</f>
        <v>0</v>
      </c>
      <c r="AI13">
        <f>IF(OR('Исходные данные'!$B$22&lt;&gt;"Да",AE13+AD13&lt;=0),0,IF(AND('Исходные данные'!$B$91&lt;&gt;"",B13&lt;&gt;"",YEAR(B13)=YEAR('Исходные данные'!$B$91),MONTH(B13)=MONTH('Исходные данные'!$B$91)),-(AE13+AD13),IF(OR(AF13&lt;1,AF13&gt;N('Исходные данные'!$B$25)),0,IF('Исходные данные'!$B$27="Равными долями",-MIN(AE13+AD13,N('Исходные данные'!$B$23)/N('Исходные данные'!$B$25)),-MIN(AE13+AD13,IF(AF13=N('Исходные данные'!$B$25),AE13+AD13,MAX(0,AH13+AG13)))))))</f>
        <v>0</v>
      </c>
      <c r="AJ13">
        <f t="shared" si="5"/>
        <v>0</v>
      </c>
      <c r="AK13">
        <f t="shared" si="6"/>
        <v>0</v>
      </c>
      <c r="AL13">
        <f>IF(OR(B13="",'Исходные данные'!$B$51&lt;&gt;"Да",'Исходные данные'!$B$61=""),0,IF(AND(YEAR(B13)=YEAR('Исходные данные'!$B$61),MONTH(B13)=MONTH('Исходные данные'!$B$61)),N('Исходные данные'!$B$18)*N('Исходные данные'!$B$62),0))</f>
        <v>0</v>
      </c>
      <c r="AM13">
        <f t="shared" si="18"/>
        <v>0</v>
      </c>
      <c r="AN13">
        <f t="shared" si="7"/>
        <v>0</v>
      </c>
      <c r="AO13">
        <f t="shared" si="8"/>
        <v>0</v>
      </c>
      <c r="AP13">
        <f>IF('Исходные данные'!$B$51="Да",-MAX(0,AN13-AO13-AM13),0)</f>
        <v>0</v>
      </c>
      <c r="AQ13">
        <f>IF('Исходные данные'!$B$51="Да",MAX(0,AM13+AO13-AN13),0)</f>
        <v>0</v>
      </c>
      <c r="AR13">
        <f>IF('Исходные данные'!$B$53="Выручка",MAX(0,L13+(Q13-R13)+(U13-V13)),IF('Исходные данные'!$B$53="Прибыль до налога",MAX(0,L13+(Q13-R13)+(U13-V13)+N('Исходные данные'!$B$54)*((O13+P13)+(S13+T13)+W13+X13)+IF('Исходные данные'!$B$55="Да",AG13,0)-N('Исходные данные'!$B$56)/12),IF('Исходные данные'!$B$53="Пользовательская база",MAX(0,N('Исходные данные'!$B$57)/12),0)))</f>
        <v>0</v>
      </c>
      <c r="AS13">
        <f>IF(E13=1,-AR13*N('Исходные данные'!$B$50),0)</f>
        <v>0</v>
      </c>
      <c r="AT13">
        <f t="shared" si="9"/>
        <v>0</v>
      </c>
      <c r="AU13">
        <f>IF(OR(B13="",N('Исходные данные'!$B$80)&lt;=0,'Исходные данные'!$B$88=""),0,MAX(0,IF('Исходные данные'!$B$88="Последние 12 месяцев",SUMIFS($Y$2:$Y$194,$B$2:$B$194,"&gt;="&amp;EDATE(B13,-11),$B$2:$B$194,"&lt;="&amp;B13),IF('Исходные данные'!$B$88="Пользовательский NOI",N('Исходные данные'!$B$89),AT13))/N('Исходные данные'!$B$80)*(1+N('Исходные данные'!$B$81))))</f>
        <v>0</v>
      </c>
      <c r="AV13">
        <f>IF(OR(E13&lt;&gt;1,B13="",'Исходные данные'!$B$91=""),0,IF(AND(YEAR(B13)=YEAR('Исходные данные'!$B$91),MONTH(B13)=MONTH('Исходные данные'!$B$91)),AU13,0))</f>
        <v>0</v>
      </c>
      <c r="AW13">
        <f>-AV13*N('Исходные данные'!$B$73)</f>
        <v>0</v>
      </c>
      <c r="AX13">
        <f>IF(AV13=0,0,-N('Исходные данные'!$B$87)-IF('Исходные данные'!$B$82="Да",IF('Исходные данные'!$B$84="С выручки",AV13,IF('Исходные данные'!$B$84="С прибыли",MAX(0,AV13+AW13-IF('Исходные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3">
        <f t="shared" si="10"/>
        <v>0</v>
      </c>
      <c r="AZ13">
        <f t="shared" si="11"/>
        <v>0</v>
      </c>
      <c r="BA13">
        <f t="shared" si="12"/>
        <v>0</v>
      </c>
      <c r="BB13" t="str">
        <f t="shared" si="19"/>
        <v/>
      </c>
      <c r="BC13">
        <f>IF(OR(E13=0,'Исходные данные'!$B$9="",'Исходные данные'!$B$90=""),0,BA13/(1+'Исходные данные'!$B$90)^((D13-'Исходные данные'!$B$9)/365))</f>
        <v>0</v>
      </c>
      <c r="BD13">
        <f>IF(AND(E13=1,BB13&gt;=0,BB12&lt;0,MIN($BB$2:BB13)&lt;0),1,0)</f>
        <v>0</v>
      </c>
      <c r="BE13">
        <f t="shared" si="13"/>
        <v>0</v>
      </c>
      <c r="BF13">
        <f t="shared" si="14"/>
        <v>0</v>
      </c>
      <c r="BG13">
        <f t="shared" si="15"/>
        <v>0</v>
      </c>
      <c r="BH13">
        <f t="shared" si="16"/>
        <v>1</v>
      </c>
      <c r="BI13">
        <f>AZ13+N13+AP13-AR13*N('Исходные данные'!$B$50)</f>
        <v>0</v>
      </c>
      <c r="BJ13">
        <f t="shared" si="20"/>
        <v>0</v>
      </c>
      <c r="BK13">
        <f>IF(AND(BJ13&gt;=0,BJ12&lt;0,MIN($BJ$2:BJ13)&lt;0),1,0)</f>
        <v>0</v>
      </c>
    </row>
    <row r="14" spans="1:63" x14ac:dyDescent="0.2">
      <c r="A14">
        <v>13</v>
      </c>
      <c r="B14" t="str">
        <f>IF('Исходные данные'!$B$9="","",EDATE(DATE(YEAR('Исходные данные'!$B$9),MONTH('Исходные данные'!$B$9),1),A14-1))</f>
        <v/>
      </c>
      <c r="C14" t="str">
        <f t="shared" si="0"/>
        <v/>
      </c>
      <c r="D14" t="str">
        <f>IF(B14="","",IF('Исходные данные'!$B$91&lt;&gt;"",IF(AND(YEAR(B14)=YEAR('Исходные данные'!$B$91),MONTH(B14)=MONTH('Исходные данные'!$B$91)),'Исходные данные'!$B$91,IF('Исходные данные'!$B$13&lt;&gt;"",IF(AND(YEAR(B14)=YEAR('Исходные данные'!$B$13),MONTH(B14)=MONTH('Исходные данные'!$B$13)),'Исходные данные'!$B$13,IF('Исходные данные'!$B$26&lt;&gt;"",IF(AND(YEAR(B14)=YEAR('Исходные данные'!$B$26),MONTH(B14)=MONTH('Исходные данные'!$B$26)),'Исходные данные'!$B$26,IF(A14=1,'Исходные данные'!$B$9,C14)),IF(A14=1,'Исходные данные'!$B$9,C14))),IF('Исходные данные'!$B$26&lt;&gt;"",IF(AND(YEAR(B14)=YEAR('Исходные данные'!$B$26),MONTH(B14)=MONTH('Исходные данные'!$B$26)),'Исходные данные'!$B$26,IF(A14=1,'Исходные данные'!$B$9,C14)),IF(A14=1,'Исходные данные'!$B$9,C14)))),IF('Исходные данные'!$B$13&lt;&gt;"",IF(AND(YEAR(B14)=YEAR('Исходные данные'!$B$13),MONTH(B14)=MONTH('Исходные данные'!$B$13)),'Исходные данные'!$B$13,IF('Исходные данные'!$B$26&lt;&gt;"",IF(AND(YEAR(B14)=YEAR('Исходные данные'!$B$26),MONTH(B14)=MONTH('Исходные данные'!$B$26)),'Исходные данные'!$B$26,IF(A14=1,'Исходные данные'!$B$9,C14)),IF(A14=1,'Исходные данные'!$B$9,C14))),IF('Исходные данные'!$B$26&lt;&gt;"",IF(AND(YEAR(B14)=YEAR('Исходные данные'!$B$26),MONTH(B14)=MONTH('Исходные данные'!$B$26)),'Исходные данные'!$B$26,IF(A14=1,'Исходные данные'!$B$9,C14)),IF(A14=1,'Исходные данные'!$B$9,C14)))))</f>
        <v/>
      </c>
      <c r="E14">
        <f>IF(OR(B14="",'Исходные данные'!$B$91=""),0,--(B14&lt;=DATE(YEAR('Исходные данные'!$B$91),MONTH('Исходные данные'!$B$91),1)))</f>
        <v>0</v>
      </c>
      <c r="F14">
        <f>IF(OR(B14="",'Исходные данные'!$B$30="",C14&lt;'Исходные данные'!$B$30),0,DATEDIF(DATE(YEAR('Исходные данные'!$B$30),MONTH('Исходные данные'!$B$30),1),B14,"m")+1)</f>
        <v>0</v>
      </c>
      <c r="G14">
        <f t="shared" si="1"/>
        <v>0</v>
      </c>
      <c r="H14">
        <f>IF(F14=0,0,IF(G14=1,N('Исходные данные'!$B$31),IF(G14=2,N('Исходные данные'!$B$32),IF(G14=3,N('Исходные данные'!$B$33),N('Исходные данные'!$B$33)*(1+N('Исходные данные'!$B$34))^(G14-3)))))</f>
        <v>0</v>
      </c>
      <c r="I14">
        <f>IF(OR(F14=0,N('Исходные данные'!$B$5)=0,H14=0),0,'Исходные данные'!$B$5*H14*IF(AND(B14&lt;='Исходные данные'!$B$30,C14&gt;='Исходные данные'!$B$30),(C14-'Исходные данные'!$B$30+1)/DAY(C14),1))</f>
        <v>0</v>
      </c>
      <c r="J14">
        <f>IF(AND(F14&gt;0,F14&lt;=N('Исходные данные'!$B$37)),-I14,0)</f>
        <v>0</v>
      </c>
      <c r="K14">
        <f>IF(OR(F14=0,F14&lt;=N('Исходные данные'!$B$37)),0,-(I14+J14)*N('Исходные данные'!$B$38))</f>
        <v>0</v>
      </c>
      <c r="L14">
        <f t="shared" si="2"/>
        <v>0</v>
      </c>
      <c r="M14">
        <f>IF('Исходные данные'!$B$51="Да",L14*N('Исходные данные'!$B$52),0)</f>
        <v>0</v>
      </c>
      <c r="N14">
        <f t="shared" si="3"/>
        <v>0</v>
      </c>
      <c r="O14">
        <f>IF(OR(B14="",IF('Исходные данные'!$B$45="",'Исходные данные'!$B$10,'Исходные данные'!$B$45)="",C14&lt;IF('Исходные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данные'!$B$45)),1),B14,"m")/12))*IF(AND(B14&lt;=IF('Исходные данные'!$B$45="",'Исходные данные'!$B$10,'Исходные данные'!$B$45),C14&gt;=IF('Исходные данные'!$B$45="",'Исходные данные'!$B$10,'Исходные данные'!$B$45)),(C14-IF('Исходные данные'!$B$45="",'Исходные данные'!$B$10,'Исходные данные'!$B$45)+1)/DAY(C14),1)*IF('Исходные данные'!$B$43="Без НДС",1+N('Исходные данные'!$B$44),1))</f>
        <v>0</v>
      </c>
      <c r="P14">
        <f>IF('Исходные данные'!$B$51="Да",-O14*N('Исходные данные'!$B$44)/(1+N('Исходные данные'!$B$44)),0)</f>
        <v>0</v>
      </c>
      <c r="Q14">
        <f>IF('Исходные данные'!$B$35="Да",-O14,0)</f>
        <v>0</v>
      </c>
      <c r="R14">
        <f>IF(AND('Исходные данные'!$B$51="Да",Q14&gt;0),Q14*N('Исходные данные'!$B$52)/(1+N('Исходные данные'!$B$52)),0)</f>
        <v>0</v>
      </c>
      <c r="S14">
        <f>IF(OR(B14="",IF('Исходные данные'!$B$45="",'Исходные данные'!$B$10,'Исходные данные'!$B$45)="",C14&lt;IF('Исходные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данные'!$B$45)),1),B14,"m")/12))*IF(AND(B14&lt;=IF('Исходные данные'!$B$45="",'Исходные данные'!$B$10,'Исходные данные'!$B$45),C14&gt;=IF('Исходные данные'!$B$45="",'Исходные данные'!$B$10,'Исходные данные'!$B$45)),(C14-IF('Исходные данные'!$B$45="",'Исходные данные'!$B$10,'Исходные данные'!$B$45)+1)/DAY(C14),1)*IF('Исходные данные'!$B$43="Без НДС",1+N('Исходные данные'!$B$44),1))</f>
        <v>0</v>
      </c>
      <c r="T14">
        <f>IF('Исходные данные'!$B$51="Да",-S14*N('Исходные данные'!$B$44)/(1+N('Исходные данные'!$B$44)),0)</f>
        <v>0</v>
      </c>
      <c r="U14">
        <f>IF('Исходные данные'!$B$36="Да",-S14,0)</f>
        <v>0</v>
      </c>
      <c r="V14">
        <f>IF(AND('Исходные данные'!$B$51="Да",U14&gt;0),U14*N('Исходные данные'!$B$52)/(1+N('Исходные данные'!$B$52)),0)</f>
        <v>0</v>
      </c>
      <c r="W14">
        <f>IF(OR(B14="",IF('Исходные данные'!$B$69="",'Исходные данные'!$B$10,'Исходные данные'!$B$69)="",C14&lt;IF('Исходные данные'!$B$69="",'Исходные данные'!$B$10,'Исходные данные'!$B$69)),0,-N('Исходные данные'!$B$16)*N('Исходные данные'!$B$68)*N('Исходные данные'!$B$67)/12*IF(AND(B14&lt;=IF('Исходные данные'!$B$69="",'Исходные данные'!$B$10,'Исходные данные'!$B$69),C14&gt;=IF('Исходные данные'!$B$69="",'Исходные данные'!$B$10,'Исходные данные'!$B$69)),(C14-IF('Исходные данные'!$B$69="",'Исходные данные'!$B$10,'Исходные данные'!$B$69)+1)/DAY(C14),1))</f>
        <v>0</v>
      </c>
      <c r="X14">
        <f>IF(OR(B14="",IF('Исходные данные'!$B$76="",'Исходные данные'!$B$10,'Исходные данные'!$B$76)="",C14&lt;IF('Исходные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данные'!$B$76)),1),B14,"m")/12))*IF(AND(B14&lt;=IF('Исходные данные'!$B$76="",'Исходные данные'!$B$10,'Исходные данные'!$B$76),C14&gt;=IF('Исходные данные'!$B$76="",'Исходные данные'!$B$10,'Исходные данные'!$B$76)),(C14-IF('Исходные данные'!$B$76="",'Исходные данные'!$B$10,'Исходные данные'!$B$76)+1)/DAY(C14),1))</f>
        <v>0</v>
      </c>
      <c r="Y14">
        <f t="shared" si="4"/>
        <v>0</v>
      </c>
      <c r="Z14">
        <f>IF(OR(B14="",N('Исходные данные'!$B$19)=0),0,-SUMIFS('Исходные данные'!$I$6:$I$186,'Исходные данные'!$F$6:$F$186,B14)*N('Исходные данные'!$B$17)/N('Исходные данные'!$B$19))</f>
        <v>0</v>
      </c>
      <c r="AA14">
        <f>IF(OR(B14="",N('Исходные данные'!$B$19)=0),0,-SUMIFS('Исходные данные'!$I$6:$I$186,'Исходные данные'!$F$6:$F$186,B14)*N('Исходные данные'!$B$18)/N('Исходные данные'!$B$19))</f>
        <v>0</v>
      </c>
      <c r="AB14">
        <f>IF(OR(B14="",'Исходные данные'!$B$13=""),0,IF(AND(YEAR(B14)=YEAR('Исходные данные'!$B$13),MONTH(B14)=MONTH('Исходные данные'!$B$13)),-N('Исходные данные'!$B$11),0))</f>
        <v>0</v>
      </c>
      <c r="AC14">
        <f>IF(A14=1,-N('Исходные данные'!$B$19)*N('Исходные данные'!$B$72),0)</f>
        <v>0</v>
      </c>
      <c r="AD14">
        <f>IF(OR(B14="",'Исходные данные'!$B$22&lt;&gt;"Да",'Исходные данные'!$B$26=""),0,IF(AND(YEAR(B14)=YEAR('Исходные данные'!$B$26),MONTH(B14)=MONTH('Исходные данные'!$B$26)),N('Исходные данные'!$B$23),0))</f>
        <v>0</v>
      </c>
      <c r="AE14">
        <f t="shared" si="17"/>
        <v>0</v>
      </c>
      <c r="AF14">
        <f>IF(OR('Исходные данные'!$B$22&lt;&gt;"Да",'Исходные данные'!$B$26="",C14&lt;'Исходные данные'!$B$26),0,DATEDIF(DATE(YEAR('Исходные данные'!$B$26),MONTH('Исходные данные'!$B$26),1),B14,"m")+1)</f>
        <v>0</v>
      </c>
      <c r="AG14">
        <f>IF(OR(AF14&lt;1,AF14&gt;N('Исходные данные'!$B$25),AE14+AD14&lt;=0),0,-(AE14+AD14)*N('Исходные данные'!$B$24)*IF(AF14=1,C14-'Исходные данные'!$B$26+1,DAY(C14))/365)</f>
        <v>0</v>
      </c>
      <c r="AH14">
        <f>IF(OR(AF14&lt;1,AF14&gt;N('Исходные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данные'!$B$25)-AG14))</f>
        <v>0</v>
      </c>
      <c r="AI14">
        <f>IF(OR('Исходные данные'!$B$22&lt;&gt;"Да",AE14+AD14&lt;=0),0,IF(AND('Исходные данные'!$B$91&lt;&gt;"",B14&lt;&gt;"",YEAR(B14)=YEAR('Исходные данные'!$B$91),MONTH(B14)=MONTH('Исходные данные'!$B$91)),-(AE14+AD14),IF(OR(AF14&lt;1,AF14&gt;N('Исходные данные'!$B$25)),0,IF('Исходные данные'!$B$27="Равными долями",-MIN(AE14+AD14,N('Исходные данные'!$B$23)/N('Исходные данные'!$B$25)),-MIN(AE14+AD14,IF(AF14=N('Исходные данные'!$B$25),AE14+AD14,MAX(0,AH14+AG14)))))))</f>
        <v>0</v>
      </c>
      <c r="AJ14">
        <f t="shared" si="5"/>
        <v>0</v>
      </c>
      <c r="AK14">
        <f t="shared" si="6"/>
        <v>0</v>
      </c>
      <c r="AL14">
        <f>IF(OR(B14="",'Исходные данные'!$B$51&lt;&gt;"Да",'Исходные данные'!$B$61=""),0,IF(AND(YEAR(B14)=YEAR('Исходные данные'!$B$61),MONTH(B14)=MONTH('Исходные данные'!$B$61)),N('Исходные данные'!$B$18)*N('Исходные данные'!$B$62),0))</f>
        <v>0</v>
      </c>
      <c r="AM14">
        <f t="shared" si="18"/>
        <v>0</v>
      </c>
      <c r="AN14">
        <f t="shared" si="7"/>
        <v>0</v>
      </c>
      <c r="AO14">
        <f t="shared" si="8"/>
        <v>0</v>
      </c>
      <c r="AP14">
        <f>IF('Исходные данные'!$B$51="Да",-MAX(0,AN14-AO14-AM14),0)</f>
        <v>0</v>
      </c>
      <c r="AQ14">
        <f>IF('Исходные данные'!$B$51="Да",MAX(0,AM14+AO14-AN14),0)</f>
        <v>0</v>
      </c>
      <c r="AR14">
        <f>IF('Исходные данные'!$B$53="Выручка",MAX(0,L14+(Q14-R14)+(U14-V14)),IF('Исходные данные'!$B$53="Прибыль до налога",MAX(0,L14+(Q14-R14)+(U14-V14)+N('Исходные данные'!$B$54)*((O14+P14)+(S14+T14)+W14+X14)+IF('Исходные данные'!$B$55="Да",AG14,0)-N('Исходные данные'!$B$56)/12),IF('Исходные данные'!$B$53="Пользовательская база",MAX(0,N('Исходные данные'!$B$57)/12),0)))</f>
        <v>0</v>
      </c>
      <c r="AS14">
        <f>IF(E14=1,-AR14*N('Исходные данные'!$B$50),0)</f>
        <v>0</v>
      </c>
      <c r="AT14">
        <f t="shared" si="9"/>
        <v>0</v>
      </c>
      <c r="AU14">
        <f>IF(OR(B14="",N('Исходные данные'!$B$80)&lt;=0,'Исходные данные'!$B$88=""),0,MAX(0,IF('Исходные данные'!$B$88="Последние 12 месяцев",SUMIFS($Y$2:$Y$194,$B$2:$B$194,"&gt;="&amp;EDATE(B14,-11),$B$2:$B$194,"&lt;="&amp;B14),IF('Исходные данные'!$B$88="Пользовательский NOI",N('Исходные данные'!$B$89),AT14))/N('Исходные данные'!$B$80)*(1+N('Исходные данные'!$B$81))))</f>
        <v>0</v>
      </c>
      <c r="AV14">
        <f>IF(OR(E14&lt;&gt;1,B14="",'Исходные данные'!$B$91=""),0,IF(AND(YEAR(B14)=YEAR('Исходные данные'!$B$91),MONTH(B14)=MONTH('Исходные данные'!$B$91)),AU14,0))</f>
        <v>0</v>
      </c>
      <c r="AW14">
        <f>-AV14*N('Исходные данные'!$B$73)</f>
        <v>0</v>
      </c>
      <c r="AX14">
        <f>IF(AV14=0,0,-N('Исходные данные'!$B$87)-IF('Исходные данные'!$B$82="Да",IF('Исходные данные'!$B$84="С выручки",AV14,IF('Исходные данные'!$B$84="С прибыли",MAX(0,AV14+AW14-IF('Исходные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4">
        <f t="shared" si="10"/>
        <v>0</v>
      </c>
      <c r="AZ14">
        <f t="shared" si="11"/>
        <v>0</v>
      </c>
      <c r="BA14">
        <f t="shared" si="12"/>
        <v>0</v>
      </c>
      <c r="BB14" t="str">
        <f t="shared" si="19"/>
        <v/>
      </c>
      <c r="BC14">
        <f>IF(OR(E14=0,'Исходные данные'!$B$9="",'Исходные данные'!$B$90=""),0,BA14/(1+'Исходные данные'!$B$90)^((D14-'Исходные данные'!$B$9)/365))</f>
        <v>0</v>
      </c>
      <c r="BD14">
        <f>IF(AND(E14=1,BB14&gt;=0,BB13&lt;0,MIN($BB$2:BB14)&lt;0),1,0)</f>
        <v>0</v>
      </c>
      <c r="BE14">
        <f t="shared" si="13"/>
        <v>0</v>
      </c>
      <c r="BF14">
        <f t="shared" si="14"/>
        <v>0</v>
      </c>
      <c r="BG14">
        <f t="shared" si="15"/>
        <v>0</v>
      </c>
      <c r="BH14">
        <f t="shared" si="16"/>
        <v>1</v>
      </c>
      <c r="BI14">
        <f>AZ14+N14+AP14-AR14*N('Исходные данные'!$B$50)</f>
        <v>0</v>
      </c>
      <c r="BJ14">
        <f t="shared" si="20"/>
        <v>0</v>
      </c>
      <c r="BK14">
        <f>IF(AND(BJ14&gt;=0,BJ13&lt;0,MIN($BJ$2:BJ14)&lt;0),1,0)</f>
        <v>0</v>
      </c>
    </row>
    <row r="15" spans="1:63" x14ac:dyDescent="0.2">
      <c r="A15">
        <v>14</v>
      </c>
      <c r="B15" t="str">
        <f>IF('Исходные данные'!$B$9="","",EDATE(DATE(YEAR('Исходные данные'!$B$9),MONTH('Исходные данные'!$B$9),1),A15-1))</f>
        <v/>
      </c>
      <c r="C15" t="str">
        <f t="shared" si="0"/>
        <v/>
      </c>
      <c r="D15" t="str">
        <f>IF(B15="","",IF('Исходные данные'!$B$91&lt;&gt;"",IF(AND(YEAR(B15)=YEAR('Исходные данные'!$B$91),MONTH(B15)=MONTH('Исходные данные'!$B$91)),'Исходные данные'!$B$91,IF('Исходные данные'!$B$13&lt;&gt;"",IF(AND(YEAR(B15)=YEAR('Исходные данные'!$B$13),MONTH(B15)=MONTH('Исходные данные'!$B$13)),'Исходные данные'!$B$13,IF('Исходные данные'!$B$26&lt;&gt;"",IF(AND(YEAR(B15)=YEAR('Исходные данные'!$B$26),MONTH(B15)=MONTH('Исходные данные'!$B$26)),'Исходные данные'!$B$26,IF(A15=1,'Исходные данные'!$B$9,C15)),IF(A15=1,'Исходные данные'!$B$9,C15))),IF('Исходные данные'!$B$26&lt;&gt;"",IF(AND(YEAR(B15)=YEAR('Исходные данные'!$B$26),MONTH(B15)=MONTH('Исходные данные'!$B$26)),'Исходные данные'!$B$26,IF(A15=1,'Исходные данные'!$B$9,C15)),IF(A15=1,'Исходные данные'!$B$9,C15)))),IF('Исходные данные'!$B$13&lt;&gt;"",IF(AND(YEAR(B15)=YEAR('Исходные данные'!$B$13),MONTH(B15)=MONTH('Исходные данные'!$B$13)),'Исходные данные'!$B$13,IF('Исходные данные'!$B$26&lt;&gt;"",IF(AND(YEAR(B15)=YEAR('Исходные данные'!$B$26),MONTH(B15)=MONTH('Исходные данные'!$B$26)),'Исходные данные'!$B$26,IF(A15=1,'Исходные данные'!$B$9,C15)),IF(A15=1,'Исходные данные'!$B$9,C15))),IF('Исходные данные'!$B$26&lt;&gt;"",IF(AND(YEAR(B15)=YEAR('Исходные данные'!$B$26),MONTH(B15)=MONTH('Исходные данные'!$B$26)),'Исходные данные'!$B$26,IF(A15=1,'Исходные данные'!$B$9,C15)),IF(A15=1,'Исходные данные'!$B$9,C15)))))</f>
        <v/>
      </c>
      <c r="E15">
        <f>IF(OR(B15="",'Исходные данные'!$B$91=""),0,--(B15&lt;=DATE(YEAR('Исходные данные'!$B$91),MONTH('Исходные данные'!$B$91),1)))</f>
        <v>0</v>
      </c>
      <c r="F15">
        <f>IF(OR(B15="",'Исходные данные'!$B$30="",C15&lt;'Исходные данные'!$B$30),0,DATEDIF(DATE(YEAR('Исходные данные'!$B$30),MONTH('Исходные данные'!$B$30),1),B15,"m")+1)</f>
        <v>0</v>
      </c>
      <c r="G15">
        <f t="shared" si="1"/>
        <v>0</v>
      </c>
      <c r="H15">
        <f>IF(F15=0,0,IF(G15=1,N('Исходные данные'!$B$31),IF(G15=2,N('Исходные данные'!$B$32),IF(G15=3,N('Исходные данные'!$B$33),N('Исходные данные'!$B$33)*(1+N('Исходные данные'!$B$34))^(G15-3)))))</f>
        <v>0</v>
      </c>
      <c r="I15">
        <f>IF(OR(F15=0,N('Исходные данные'!$B$5)=0,H15=0),0,'Исходные данные'!$B$5*H15*IF(AND(B15&lt;='Исходные данные'!$B$30,C15&gt;='Исходные данные'!$B$30),(C15-'Исходные данные'!$B$30+1)/DAY(C15),1))</f>
        <v>0</v>
      </c>
      <c r="J15">
        <f>IF(AND(F15&gt;0,F15&lt;=N('Исходные данные'!$B$37)),-I15,0)</f>
        <v>0</v>
      </c>
      <c r="K15">
        <f>IF(OR(F15=0,F15&lt;=N('Исходные данные'!$B$37)),0,-(I15+J15)*N('Исходные данные'!$B$38))</f>
        <v>0</v>
      </c>
      <c r="L15">
        <f t="shared" si="2"/>
        <v>0</v>
      </c>
      <c r="M15">
        <f>IF('Исходные данные'!$B$51="Да",L15*N('Исходные данные'!$B$52),0)</f>
        <v>0</v>
      </c>
      <c r="N15">
        <f t="shared" si="3"/>
        <v>0</v>
      </c>
      <c r="O15">
        <f>IF(OR(B15="",IF('Исходные данные'!$B$45="",'Исходные данные'!$B$10,'Исходные данные'!$B$45)="",C15&lt;IF('Исходные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данные'!$B$45)),1),B15,"m")/12))*IF(AND(B15&lt;=IF('Исходные данные'!$B$45="",'Исходные данные'!$B$10,'Исходные данные'!$B$45),C15&gt;=IF('Исходные данные'!$B$45="",'Исходные данные'!$B$10,'Исходные данные'!$B$45)),(C15-IF('Исходные данные'!$B$45="",'Исходные данные'!$B$10,'Исходные данные'!$B$45)+1)/DAY(C15),1)*IF('Исходные данные'!$B$43="Без НДС",1+N('Исходные данные'!$B$44),1))</f>
        <v>0</v>
      </c>
      <c r="P15">
        <f>IF('Исходные данные'!$B$51="Да",-O15*N('Исходные данные'!$B$44)/(1+N('Исходные данные'!$B$44)),0)</f>
        <v>0</v>
      </c>
      <c r="Q15">
        <f>IF('Исходные данные'!$B$35="Да",-O15,0)</f>
        <v>0</v>
      </c>
      <c r="R15">
        <f>IF(AND('Исходные данные'!$B$51="Да",Q15&gt;0),Q15*N('Исходные данные'!$B$52)/(1+N('Исходные данные'!$B$52)),0)</f>
        <v>0</v>
      </c>
      <c r="S15">
        <f>IF(OR(B15="",IF('Исходные данные'!$B$45="",'Исходные данные'!$B$10,'Исходные данные'!$B$45)="",C15&lt;IF('Исходные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данные'!$B$45)),1),B15,"m")/12))*IF(AND(B15&lt;=IF('Исходные данные'!$B$45="",'Исходные данные'!$B$10,'Исходные данные'!$B$45),C15&gt;=IF('Исходные данные'!$B$45="",'Исходные данные'!$B$10,'Исходные данные'!$B$45)),(C15-IF('Исходные данные'!$B$45="",'Исходные данные'!$B$10,'Исходные данные'!$B$45)+1)/DAY(C15),1)*IF('Исходные данные'!$B$43="Без НДС",1+N('Исходные данные'!$B$44),1))</f>
        <v>0</v>
      </c>
      <c r="T15">
        <f>IF('Исходные данные'!$B$51="Да",-S15*N('Исходные данные'!$B$44)/(1+N('Исходные данные'!$B$44)),0)</f>
        <v>0</v>
      </c>
      <c r="U15">
        <f>IF('Исходные данные'!$B$36="Да",-S15,0)</f>
        <v>0</v>
      </c>
      <c r="V15">
        <f>IF(AND('Исходные данные'!$B$51="Да",U15&gt;0),U15*N('Исходные данные'!$B$52)/(1+N('Исходные данные'!$B$52)),0)</f>
        <v>0</v>
      </c>
      <c r="W15">
        <f>IF(OR(B15="",IF('Исходные данные'!$B$69="",'Исходные данные'!$B$10,'Исходные данные'!$B$69)="",C15&lt;IF('Исходные данные'!$B$69="",'Исходные данные'!$B$10,'Исходные данные'!$B$69)),0,-N('Исходные данные'!$B$16)*N('Исходные данные'!$B$68)*N('Исходные данные'!$B$67)/12*IF(AND(B15&lt;=IF('Исходные данные'!$B$69="",'Исходные данные'!$B$10,'Исходные данные'!$B$69),C15&gt;=IF('Исходные данные'!$B$69="",'Исходные данные'!$B$10,'Исходные данные'!$B$69)),(C15-IF('Исходные данные'!$B$69="",'Исходные данные'!$B$10,'Исходные данные'!$B$69)+1)/DAY(C15),1))</f>
        <v>0</v>
      </c>
      <c r="X15">
        <f>IF(OR(B15="",IF('Исходные данные'!$B$76="",'Исходные данные'!$B$10,'Исходные данные'!$B$76)="",C15&lt;IF('Исходные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данные'!$B$76)),1),B15,"m")/12))*IF(AND(B15&lt;=IF('Исходные данные'!$B$76="",'Исходные данные'!$B$10,'Исходные данные'!$B$76),C15&gt;=IF('Исходные данные'!$B$76="",'Исходные данные'!$B$10,'Исходные данные'!$B$76)),(C15-IF('Исходные данные'!$B$76="",'Исходные данные'!$B$10,'Исходные данные'!$B$76)+1)/DAY(C15),1))</f>
        <v>0</v>
      </c>
      <c r="Y15">
        <f t="shared" si="4"/>
        <v>0</v>
      </c>
      <c r="Z15">
        <f>IF(OR(B15="",N('Исходные данные'!$B$19)=0),0,-SUMIFS('Исходные данные'!$I$6:$I$186,'Исходные данные'!$F$6:$F$186,B15)*N('Исходные данные'!$B$17)/N('Исходные данные'!$B$19))</f>
        <v>0</v>
      </c>
      <c r="AA15">
        <f>IF(OR(B15="",N('Исходные данные'!$B$19)=0),0,-SUMIFS('Исходные данные'!$I$6:$I$186,'Исходные данные'!$F$6:$F$186,B15)*N('Исходные данные'!$B$18)/N('Исходные данные'!$B$19))</f>
        <v>0</v>
      </c>
      <c r="AB15">
        <f>IF(OR(B15="",'Исходные данные'!$B$13=""),0,IF(AND(YEAR(B15)=YEAR('Исходные данные'!$B$13),MONTH(B15)=MONTH('Исходные данные'!$B$13)),-N('Исходные данные'!$B$11),0))</f>
        <v>0</v>
      </c>
      <c r="AC15">
        <f>IF(A15=1,-N('Исходные данные'!$B$19)*N('Исходные данные'!$B$72),0)</f>
        <v>0</v>
      </c>
      <c r="AD15">
        <f>IF(OR(B15="",'Исходные данные'!$B$22&lt;&gt;"Да",'Исходные данные'!$B$26=""),0,IF(AND(YEAR(B15)=YEAR('Исходные данные'!$B$26),MONTH(B15)=MONTH('Исходные данные'!$B$26)),N('Исходные данные'!$B$23),0))</f>
        <v>0</v>
      </c>
      <c r="AE15">
        <f t="shared" si="17"/>
        <v>0</v>
      </c>
      <c r="AF15">
        <f>IF(OR('Исходные данные'!$B$22&lt;&gt;"Да",'Исходные данные'!$B$26="",C15&lt;'Исходные данные'!$B$26),0,DATEDIF(DATE(YEAR('Исходные данные'!$B$26),MONTH('Исходные данные'!$B$26),1),B15,"m")+1)</f>
        <v>0</v>
      </c>
      <c r="AG15">
        <f>IF(OR(AF15&lt;1,AF15&gt;N('Исходные данные'!$B$25),AE15+AD15&lt;=0),0,-(AE15+AD15)*N('Исходные данные'!$B$24)*IF(AF15=1,C15-'Исходные данные'!$B$26+1,DAY(C15))/365)</f>
        <v>0</v>
      </c>
      <c r="AH15">
        <f>IF(OR(AF15&lt;1,AF15&gt;N('Исходные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данные'!$B$25)-AG15))</f>
        <v>0</v>
      </c>
      <c r="AI15">
        <f>IF(OR('Исходные данные'!$B$22&lt;&gt;"Да",AE15+AD15&lt;=0),0,IF(AND('Исходные данные'!$B$91&lt;&gt;"",B15&lt;&gt;"",YEAR(B15)=YEAR('Исходные данные'!$B$91),MONTH(B15)=MONTH('Исходные данные'!$B$91)),-(AE15+AD15),IF(OR(AF15&lt;1,AF15&gt;N('Исходные данные'!$B$25)),0,IF('Исходные данные'!$B$27="Равными долями",-MIN(AE15+AD15,N('Исходные данные'!$B$23)/N('Исходные данные'!$B$25)),-MIN(AE15+AD15,IF(AF15=N('Исходные данные'!$B$25),AE15+AD15,MAX(0,AH15+AG15)))))))</f>
        <v>0</v>
      </c>
      <c r="AJ15">
        <f t="shared" si="5"/>
        <v>0</v>
      </c>
      <c r="AK15">
        <f t="shared" si="6"/>
        <v>0</v>
      </c>
      <c r="AL15">
        <f>IF(OR(B15="",'Исходные данные'!$B$51&lt;&gt;"Да",'Исходные данные'!$B$61=""),0,IF(AND(YEAR(B15)=YEAR('Исходные данные'!$B$61),MONTH(B15)=MONTH('Исходные данные'!$B$61)),N('Исходные данные'!$B$18)*N('Исходные данные'!$B$62),0))</f>
        <v>0</v>
      </c>
      <c r="AM15">
        <f t="shared" si="18"/>
        <v>0</v>
      </c>
      <c r="AN15">
        <f t="shared" si="7"/>
        <v>0</v>
      </c>
      <c r="AO15">
        <f t="shared" si="8"/>
        <v>0</v>
      </c>
      <c r="AP15">
        <f>IF('Исходные данные'!$B$51="Да",-MAX(0,AN15-AO15-AM15),0)</f>
        <v>0</v>
      </c>
      <c r="AQ15">
        <f>IF('Исходные данные'!$B$51="Да",MAX(0,AM15+AO15-AN15),0)</f>
        <v>0</v>
      </c>
      <c r="AR15">
        <f>IF('Исходные данные'!$B$53="Выручка",MAX(0,L15+(Q15-R15)+(U15-V15)),IF('Исходные данные'!$B$53="Прибыль до налога",MAX(0,L15+(Q15-R15)+(U15-V15)+N('Исходные данные'!$B$54)*((O15+P15)+(S15+T15)+W15+X15)+IF('Исходные данные'!$B$55="Да",AG15,0)-N('Исходные данные'!$B$56)/12),IF('Исходные данные'!$B$53="Пользовательская база",MAX(0,N('Исходные данные'!$B$57)/12),0)))</f>
        <v>0</v>
      </c>
      <c r="AS15">
        <f>IF(E15=1,-AR15*N('Исходные данные'!$B$50),0)</f>
        <v>0</v>
      </c>
      <c r="AT15">
        <f t="shared" si="9"/>
        <v>0</v>
      </c>
      <c r="AU15">
        <f>IF(OR(B15="",N('Исходные данные'!$B$80)&lt;=0,'Исходные данные'!$B$88=""),0,MAX(0,IF('Исходные данные'!$B$88="Последние 12 месяцев",SUMIFS($Y$2:$Y$194,$B$2:$B$194,"&gt;="&amp;EDATE(B15,-11),$B$2:$B$194,"&lt;="&amp;B15),IF('Исходные данные'!$B$88="Пользовательский NOI",N('Исходные данные'!$B$89),AT15))/N('Исходные данные'!$B$80)*(1+N('Исходные данные'!$B$81))))</f>
        <v>0</v>
      </c>
      <c r="AV15">
        <f>IF(OR(E15&lt;&gt;1,B15="",'Исходные данные'!$B$91=""),0,IF(AND(YEAR(B15)=YEAR('Исходные данные'!$B$91),MONTH(B15)=MONTH('Исходные данные'!$B$91)),AU15,0))</f>
        <v>0</v>
      </c>
      <c r="AW15">
        <f>-AV15*N('Исходные данные'!$B$73)</f>
        <v>0</v>
      </c>
      <c r="AX15">
        <f>IF(AV15=0,0,-N('Исходные данные'!$B$87)-IF('Исходные данные'!$B$82="Да",IF('Исходные данные'!$B$84="С выручки",AV15,IF('Исходные данные'!$B$84="С прибыли",MAX(0,AV15+AW15-IF('Исходные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5">
        <f t="shared" si="10"/>
        <v>0</v>
      </c>
      <c r="AZ15">
        <f t="shared" si="11"/>
        <v>0</v>
      </c>
      <c r="BA15">
        <f t="shared" si="12"/>
        <v>0</v>
      </c>
      <c r="BB15" t="str">
        <f t="shared" si="19"/>
        <v/>
      </c>
      <c r="BC15">
        <f>IF(OR(E15=0,'Исходные данные'!$B$9="",'Исходные данные'!$B$90=""),0,BA15/(1+'Исходные данные'!$B$90)^((D15-'Исходные данные'!$B$9)/365))</f>
        <v>0</v>
      </c>
      <c r="BD15">
        <f>IF(AND(E15=1,BB15&gt;=0,BB14&lt;0,MIN($BB$2:BB15)&lt;0),1,0)</f>
        <v>0</v>
      </c>
      <c r="BE15">
        <f t="shared" si="13"/>
        <v>0</v>
      </c>
      <c r="BF15">
        <f t="shared" si="14"/>
        <v>0</v>
      </c>
      <c r="BG15">
        <f t="shared" si="15"/>
        <v>0</v>
      </c>
      <c r="BH15">
        <f t="shared" si="16"/>
        <v>1</v>
      </c>
      <c r="BI15">
        <f>AZ15+N15+AP15-AR15*N('Исходные данные'!$B$50)</f>
        <v>0</v>
      </c>
      <c r="BJ15">
        <f t="shared" si="20"/>
        <v>0</v>
      </c>
      <c r="BK15">
        <f>IF(AND(BJ15&gt;=0,BJ14&lt;0,MIN($BJ$2:BJ15)&lt;0),1,0)</f>
        <v>0</v>
      </c>
    </row>
    <row r="16" spans="1:63" x14ac:dyDescent="0.2">
      <c r="A16">
        <v>15</v>
      </c>
      <c r="B16" t="str">
        <f>IF('Исходные данные'!$B$9="","",EDATE(DATE(YEAR('Исходные данные'!$B$9),MONTH('Исходные данные'!$B$9),1),A16-1))</f>
        <v/>
      </c>
      <c r="C16" t="str">
        <f t="shared" si="0"/>
        <v/>
      </c>
      <c r="D16" t="str">
        <f>IF(B16="","",IF('Исходные данные'!$B$91&lt;&gt;"",IF(AND(YEAR(B16)=YEAR('Исходные данные'!$B$91),MONTH(B16)=MONTH('Исходные данные'!$B$91)),'Исходные данные'!$B$91,IF('Исходные данные'!$B$13&lt;&gt;"",IF(AND(YEAR(B16)=YEAR('Исходные данные'!$B$13),MONTH(B16)=MONTH('Исходные данные'!$B$13)),'Исходные данные'!$B$13,IF('Исходные данные'!$B$26&lt;&gt;"",IF(AND(YEAR(B16)=YEAR('Исходные данные'!$B$26),MONTH(B16)=MONTH('Исходные данные'!$B$26)),'Исходные данные'!$B$26,IF(A16=1,'Исходные данные'!$B$9,C16)),IF(A16=1,'Исходные данные'!$B$9,C16))),IF('Исходные данные'!$B$26&lt;&gt;"",IF(AND(YEAR(B16)=YEAR('Исходные данные'!$B$26),MONTH(B16)=MONTH('Исходные данные'!$B$26)),'Исходные данные'!$B$26,IF(A16=1,'Исходные данные'!$B$9,C16)),IF(A16=1,'Исходные данные'!$B$9,C16)))),IF('Исходные данные'!$B$13&lt;&gt;"",IF(AND(YEAR(B16)=YEAR('Исходные данные'!$B$13),MONTH(B16)=MONTH('Исходные данные'!$B$13)),'Исходные данные'!$B$13,IF('Исходные данные'!$B$26&lt;&gt;"",IF(AND(YEAR(B16)=YEAR('Исходные данные'!$B$26),MONTH(B16)=MONTH('Исходные данные'!$B$26)),'Исходные данные'!$B$26,IF(A16=1,'Исходные данные'!$B$9,C16)),IF(A16=1,'Исходные данные'!$B$9,C16))),IF('Исходные данные'!$B$26&lt;&gt;"",IF(AND(YEAR(B16)=YEAR('Исходные данные'!$B$26),MONTH(B16)=MONTH('Исходные данные'!$B$26)),'Исходные данные'!$B$26,IF(A16=1,'Исходные данные'!$B$9,C16)),IF(A16=1,'Исходные данные'!$B$9,C16)))))</f>
        <v/>
      </c>
      <c r="E16">
        <f>IF(OR(B16="",'Исходные данные'!$B$91=""),0,--(B16&lt;=DATE(YEAR('Исходные данные'!$B$91),MONTH('Исходные данные'!$B$91),1)))</f>
        <v>0</v>
      </c>
      <c r="F16">
        <f>IF(OR(B16="",'Исходные данные'!$B$30="",C16&lt;'Исходные данные'!$B$30),0,DATEDIF(DATE(YEAR('Исходные данные'!$B$30),MONTH('Исходные данные'!$B$30),1),B16,"m")+1)</f>
        <v>0</v>
      </c>
      <c r="G16">
        <f t="shared" si="1"/>
        <v>0</v>
      </c>
      <c r="H16">
        <f>IF(F16=0,0,IF(G16=1,N('Исходные данные'!$B$31),IF(G16=2,N('Исходные данные'!$B$32),IF(G16=3,N('Исходные данные'!$B$33),N('Исходные данные'!$B$33)*(1+N('Исходные данные'!$B$34))^(G16-3)))))</f>
        <v>0</v>
      </c>
      <c r="I16">
        <f>IF(OR(F16=0,N('Исходные данные'!$B$5)=0,H16=0),0,'Исходные данные'!$B$5*H16*IF(AND(B16&lt;='Исходные данные'!$B$30,C16&gt;='Исходные данные'!$B$30),(C16-'Исходные данные'!$B$30+1)/DAY(C16),1))</f>
        <v>0</v>
      </c>
      <c r="J16">
        <f>IF(AND(F16&gt;0,F16&lt;=N('Исходные данные'!$B$37)),-I16,0)</f>
        <v>0</v>
      </c>
      <c r="K16">
        <f>IF(OR(F16=0,F16&lt;=N('Исходные данные'!$B$37)),0,-(I16+J16)*N('Исходные данные'!$B$38))</f>
        <v>0</v>
      </c>
      <c r="L16">
        <f t="shared" si="2"/>
        <v>0</v>
      </c>
      <c r="M16">
        <f>IF('Исходные данные'!$B$51="Да",L16*N('Исходные данные'!$B$52),0)</f>
        <v>0</v>
      </c>
      <c r="N16">
        <f t="shared" si="3"/>
        <v>0</v>
      </c>
      <c r="O16">
        <f>IF(OR(B16="",IF('Исходные данные'!$B$45="",'Исходные данные'!$B$10,'Исходные данные'!$B$45)="",C16&lt;IF('Исходные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данные'!$B$45)),1),B16,"m")/12))*IF(AND(B16&lt;=IF('Исходные данные'!$B$45="",'Исходные данные'!$B$10,'Исходные данные'!$B$45),C16&gt;=IF('Исходные данные'!$B$45="",'Исходные данные'!$B$10,'Исходные данные'!$B$45)),(C16-IF('Исходные данные'!$B$45="",'Исходные данные'!$B$10,'Исходные данные'!$B$45)+1)/DAY(C16),1)*IF('Исходные данные'!$B$43="Без НДС",1+N('Исходные данные'!$B$44),1))</f>
        <v>0</v>
      </c>
      <c r="P16">
        <f>IF('Исходные данные'!$B$51="Да",-O16*N('Исходные данные'!$B$44)/(1+N('Исходные данные'!$B$44)),0)</f>
        <v>0</v>
      </c>
      <c r="Q16">
        <f>IF('Исходные данные'!$B$35="Да",-O16,0)</f>
        <v>0</v>
      </c>
      <c r="R16">
        <f>IF(AND('Исходные данные'!$B$51="Да",Q16&gt;0),Q16*N('Исходные данные'!$B$52)/(1+N('Исходные данные'!$B$52)),0)</f>
        <v>0</v>
      </c>
      <c r="S16">
        <f>IF(OR(B16="",IF('Исходные данные'!$B$45="",'Исходные данные'!$B$10,'Исходные данные'!$B$45)="",C16&lt;IF('Исходные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данные'!$B$45)),1),B16,"m")/12))*IF(AND(B16&lt;=IF('Исходные данные'!$B$45="",'Исходные данные'!$B$10,'Исходные данные'!$B$45),C16&gt;=IF('Исходные данные'!$B$45="",'Исходные данные'!$B$10,'Исходные данные'!$B$45)),(C16-IF('Исходные данные'!$B$45="",'Исходные данные'!$B$10,'Исходные данные'!$B$45)+1)/DAY(C16),1)*IF('Исходные данные'!$B$43="Без НДС",1+N('Исходные данные'!$B$44),1))</f>
        <v>0</v>
      </c>
      <c r="T16">
        <f>IF('Исходные данные'!$B$51="Да",-S16*N('Исходные данные'!$B$44)/(1+N('Исходные данные'!$B$44)),0)</f>
        <v>0</v>
      </c>
      <c r="U16">
        <f>IF('Исходные данные'!$B$36="Да",-S16,0)</f>
        <v>0</v>
      </c>
      <c r="V16">
        <f>IF(AND('Исходные данные'!$B$51="Да",U16&gt;0),U16*N('Исходные данные'!$B$52)/(1+N('Исходные данные'!$B$52)),0)</f>
        <v>0</v>
      </c>
      <c r="W16">
        <f>IF(OR(B16="",IF('Исходные данные'!$B$69="",'Исходные данные'!$B$10,'Исходные данные'!$B$69)="",C16&lt;IF('Исходные данные'!$B$69="",'Исходные данные'!$B$10,'Исходные данные'!$B$69)),0,-N('Исходные данные'!$B$16)*N('Исходные данные'!$B$68)*N('Исходные данные'!$B$67)/12*IF(AND(B16&lt;=IF('Исходные данные'!$B$69="",'Исходные данные'!$B$10,'Исходные данные'!$B$69),C16&gt;=IF('Исходные данные'!$B$69="",'Исходные данные'!$B$10,'Исходные данные'!$B$69)),(C16-IF('Исходные данные'!$B$69="",'Исходные данные'!$B$10,'Исходные данные'!$B$69)+1)/DAY(C16),1))</f>
        <v>0</v>
      </c>
      <c r="X16">
        <f>IF(OR(B16="",IF('Исходные данные'!$B$76="",'Исходные данные'!$B$10,'Исходные данные'!$B$76)="",C16&lt;IF('Исходные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данные'!$B$76)),1),B16,"m")/12))*IF(AND(B16&lt;=IF('Исходные данные'!$B$76="",'Исходные данные'!$B$10,'Исходные данные'!$B$76),C16&gt;=IF('Исходные данные'!$B$76="",'Исходные данные'!$B$10,'Исходные данные'!$B$76)),(C16-IF('Исходные данные'!$B$76="",'Исходные данные'!$B$10,'Исходные данные'!$B$76)+1)/DAY(C16),1))</f>
        <v>0</v>
      </c>
      <c r="Y16">
        <f t="shared" si="4"/>
        <v>0</v>
      </c>
      <c r="Z16">
        <f>IF(OR(B16="",N('Исходные данные'!$B$19)=0),0,-SUMIFS('Исходные данные'!$I$6:$I$186,'Исходные данные'!$F$6:$F$186,B16)*N('Исходные данные'!$B$17)/N('Исходные данные'!$B$19))</f>
        <v>0</v>
      </c>
      <c r="AA16">
        <f>IF(OR(B16="",N('Исходные данные'!$B$19)=0),0,-SUMIFS('Исходные данные'!$I$6:$I$186,'Исходные данные'!$F$6:$F$186,B16)*N('Исходные данные'!$B$18)/N('Исходные данные'!$B$19))</f>
        <v>0</v>
      </c>
      <c r="AB16">
        <f>IF(OR(B16="",'Исходные данные'!$B$13=""),0,IF(AND(YEAR(B16)=YEAR('Исходные данные'!$B$13),MONTH(B16)=MONTH('Исходные данные'!$B$13)),-N('Исходные данные'!$B$11),0))</f>
        <v>0</v>
      </c>
      <c r="AC16">
        <f>IF(A16=1,-N('Исходные данные'!$B$19)*N('Исходные данные'!$B$72),0)</f>
        <v>0</v>
      </c>
      <c r="AD16">
        <f>IF(OR(B16="",'Исходные данные'!$B$22&lt;&gt;"Да",'Исходные данные'!$B$26=""),0,IF(AND(YEAR(B16)=YEAR('Исходные данные'!$B$26),MONTH(B16)=MONTH('Исходные данные'!$B$26)),N('Исходные данные'!$B$23),0))</f>
        <v>0</v>
      </c>
      <c r="AE16">
        <f t="shared" si="17"/>
        <v>0</v>
      </c>
      <c r="AF16">
        <f>IF(OR('Исходные данные'!$B$22&lt;&gt;"Да",'Исходные данные'!$B$26="",C16&lt;'Исходные данные'!$B$26),0,DATEDIF(DATE(YEAR('Исходные данные'!$B$26),MONTH('Исходные данные'!$B$26),1),B16,"m")+1)</f>
        <v>0</v>
      </c>
      <c r="AG16">
        <f>IF(OR(AF16&lt;1,AF16&gt;N('Исходные данные'!$B$25),AE16+AD16&lt;=0),0,-(AE16+AD16)*N('Исходные данные'!$B$24)*IF(AF16=1,C16-'Исходные данные'!$B$26+1,DAY(C16))/365)</f>
        <v>0</v>
      </c>
      <c r="AH16">
        <f>IF(OR(AF16&lt;1,AF16&gt;N('Исходные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данные'!$B$25)-AG16))</f>
        <v>0</v>
      </c>
      <c r="AI16">
        <f>IF(OR('Исходные данные'!$B$22&lt;&gt;"Да",AE16+AD16&lt;=0),0,IF(AND('Исходные данные'!$B$91&lt;&gt;"",B16&lt;&gt;"",YEAR(B16)=YEAR('Исходные данные'!$B$91),MONTH(B16)=MONTH('Исходные данные'!$B$91)),-(AE16+AD16),IF(OR(AF16&lt;1,AF16&gt;N('Исходные данные'!$B$25)),0,IF('Исходные данные'!$B$27="Равными долями",-MIN(AE16+AD16,N('Исходные данные'!$B$23)/N('Исходные данные'!$B$25)),-MIN(AE16+AD16,IF(AF16=N('Исходные данные'!$B$25),AE16+AD16,MAX(0,AH16+AG16)))))))</f>
        <v>0</v>
      </c>
      <c r="AJ16">
        <f t="shared" si="5"/>
        <v>0</v>
      </c>
      <c r="AK16">
        <f t="shared" si="6"/>
        <v>0</v>
      </c>
      <c r="AL16">
        <f>IF(OR(B16="",'Исходные данные'!$B$51&lt;&gt;"Да",'Исходные данные'!$B$61=""),0,IF(AND(YEAR(B16)=YEAR('Исходные данные'!$B$61),MONTH(B16)=MONTH('Исходные данные'!$B$61)),N('Исходные данные'!$B$18)*N('Исходные данные'!$B$62),0))</f>
        <v>0</v>
      </c>
      <c r="AM16">
        <f t="shared" si="18"/>
        <v>0</v>
      </c>
      <c r="AN16">
        <f t="shared" si="7"/>
        <v>0</v>
      </c>
      <c r="AO16">
        <f t="shared" si="8"/>
        <v>0</v>
      </c>
      <c r="AP16">
        <f>IF('Исходные данные'!$B$51="Да",-MAX(0,AN16-AO16-AM16),0)</f>
        <v>0</v>
      </c>
      <c r="AQ16">
        <f>IF('Исходные данные'!$B$51="Да",MAX(0,AM16+AO16-AN16),0)</f>
        <v>0</v>
      </c>
      <c r="AR16">
        <f>IF('Исходные данные'!$B$53="Выручка",MAX(0,L16+(Q16-R16)+(U16-V16)),IF('Исходные данные'!$B$53="Прибыль до налога",MAX(0,L16+(Q16-R16)+(U16-V16)+N('Исходные данные'!$B$54)*((O16+P16)+(S16+T16)+W16+X16)+IF('Исходные данные'!$B$55="Да",AG16,0)-N('Исходные данные'!$B$56)/12),IF('Исходные данные'!$B$53="Пользовательская база",MAX(0,N('Исходные данные'!$B$57)/12),0)))</f>
        <v>0</v>
      </c>
      <c r="AS16">
        <f>IF(E16=1,-AR16*N('Исходные данные'!$B$50),0)</f>
        <v>0</v>
      </c>
      <c r="AT16">
        <f t="shared" si="9"/>
        <v>0</v>
      </c>
      <c r="AU16">
        <f>IF(OR(B16="",N('Исходные данные'!$B$80)&lt;=0,'Исходные данные'!$B$88=""),0,MAX(0,IF('Исходные данные'!$B$88="Последние 12 месяцев",SUMIFS($Y$2:$Y$194,$B$2:$B$194,"&gt;="&amp;EDATE(B16,-11),$B$2:$B$194,"&lt;="&amp;B16),IF('Исходные данные'!$B$88="Пользовательский NOI",N('Исходные данные'!$B$89),AT16))/N('Исходные данные'!$B$80)*(1+N('Исходные данные'!$B$81))))</f>
        <v>0</v>
      </c>
      <c r="AV16">
        <f>IF(OR(E16&lt;&gt;1,B16="",'Исходные данные'!$B$91=""),0,IF(AND(YEAR(B16)=YEAR('Исходные данные'!$B$91),MONTH(B16)=MONTH('Исходные данные'!$B$91)),AU16,0))</f>
        <v>0</v>
      </c>
      <c r="AW16">
        <f>-AV16*N('Исходные данные'!$B$73)</f>
        <v>0</v>
      </c>
      <c r="AX16">
        <f>IF(AV16=0,0,-N('Исходные данные'!$B$87)-IF('Исходные данные'!$B$82="Да",IF('Исходные данные'!$B$84="С выручки",AV16,IF('Исходные данные'!$B$84="С прибыли",MAX(0,AV16+AW16-IF('Исходные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6">
        <f t="shared" si="10"/>
        <v>0</v>
      </c>
      <c r="AZ16">
        <f t="shared" si="11"/>
        <v>0</v>
      </c>
      <c r="BA16">
        <f t="shared" si="12"/>
        <v>0</v>
      </c>
      <c r="BB16" t="str">
        <f t="shared" si="19"/>
        <v/>
      </c>
      <c r="BC16">
        <f>IF(OR(E16=0,'Исходные данные'!$B$9="",'Исходные данные'!$B$90=""),0,BA16/(1+'Исходные данные'!$B$90)^((D16-'Исходные данные'!$B$9)/365))</f>
        <v>0</v>
      </c>
      <c r="BD16">
        <f>IF(AND(E16=1,BB16&gt;=0,BB15&lt;0,MIN($BB$2:BB16)&lt;0),1,0)</f>
        <v>0</v>
      </c>
      <c r="BE16">
        <f t="shared" si="13"/>
        <v>0</v>
      </c>
      <c r="BF16">
        <f t="shared" si="14"/>
        <v>0</v>
      </c>
      <c r="BG16">
        <f t="shared" si="15"/>
        <v>0</v>
      </c>
      <c r="BH16">
        <f t="shared" si="16"/>
        <v>1</v>
      </c>
      <c r="BI16">
        <f>AZ16+N16+AP16-AR16*N('Исходные данные'!$B$50)</f>
        <v>0</v>
      </c>
      <c r="BJ16">
        <f t="shared" si="20"/>
        <v>0</v>
      </c>
      <c r="BK16">
        <f>IF(AND(BJ16&gt;=0,BJ15&lt;0,MIN($BJ$2:BJ16)&lt;0),1,0)</f>
        <v>0</v>
      </c>
    </row>
    <row r="17" spans="1:63" x14ac:dyDescent="0.2">
      <c r="A17">
        <v>16</v>
      </c>
      <c r="B17" t="str">
        <f>IF('Исходные данные'!$B$9="","",EDATE(DATE(YEAR('Исходные данные'!$B$9),MONTH('Исходные данные'!$B$9),1),A17-1))</f>
        <v/>
      </c>
      <c r="C17" t="str">
        <f t="shared" si="0"/>
        <v/>
      </c>
      <c r="D17" t="str">
        <f>IF(B17="","",IF('Исходные данные'!$B$91&lt;&gt;"",IF(AND(YEAR(B17)=YEAR('Исходные данные'!$B$91),MONTH(B17)=MONTH('Исходные данные'!$B$91)),'Исходные данные'!$B$91,IF('Исходные данные'!$B$13&lt;&gt;"",IF(AND(YEAR(B17)=YEAR('Исходные данные'!$B$13),MONTH(B17)=MONTH('Исходные данные'!$B$13)),'Исходные данные'!$B$13,IF('Исходные данные'!$B$26&lt;&gt;"",IF(AND(YEAR(B17)=YEAR('Исходные данные'!$B$26),MONTH(B17)=MONTH('Исходные данные'!$B$26)),'Исходные данные'!$B$26,IF(A17=1,'Исходные данные'!$B$9,C17)),IF(A17=1,'Исходные данные'!$B$9,C17))),IF('Исходные данные'!$B$26&lt;&gt;"",IF(AND(YEAR(B17)=YEAR('Исходные данные'!$B$26),MONTH(B17)=MONTH('Исходные данные'!$B$26)),'Исходные данные'!$B$26,IF(A17=1,'Исходные данные'!$B$9,C17)),IF(A17=1,'Исходные данные'!$B$9,C17)))),IF('Исходные данные'!$B$13&lt;&gt;"",IF(AND(YEAR(B17)=YEAR('Исходные данные'!$B$13),MONTH(B17)=MONTH('Исходные данные'!$B$13)),'Исходные данные'!$B$13,IF('Исходные данные'!$B$26&lt;&gt;"",IF(AND(YEAR(B17)=YEAR('Исходные данные'!$B$26),MONTH(B17)=MONTH('Исходные данные'!$B$26)),'Исходные данные'!$B$26,IF(A17=1,'Исходные данные'!$B$9,C17)),IF(A17=1,'Исходные данные'!$B$9,C17))),IF('Исходные данные'!$B$26&lt;&gt;"",IF(AND(YEAR(B17)=YEAR('Исходные данные'!$B$26),MONTH(B17)=MONTH('Исходные данные'!$B$26)),'Исходные данные'!$B$26,IF(A17=1,'Исходные данные'!$B$9,C17)),IF(A17=1,'Исходные данные'!$B$9,C17)))))</f>
        <v/>
      </c>
      <c r="E17">
        <f>IF(OR(B17="",'Исходные данные'!$B$91=""),0,--(B17&lt;=DATE(YEAR('Исходные данные'!$B$91),MONTH('Исходные данные'!$B$91),1)))</f>
        <v>0</v>
      </c>
      <c r="F17">
        <f>IF(OR(B17="",'Исходные данные'!$B$30="",C17&lt;'Исходные данные'!$B$30),0,DATEDIF(DATE(YEAR('Исходные данные'!$B$30),MONTH('Исходные данные'!$B$30),1),B17,"m")+1)</f>
        <v>0</v>
      </c>
      <c r="G17">
        <f t="shared" si="1"/>
        <v>0</v>
      </c>
      <c r="H17">
        <f>IF(F17=0,0,IF(G17=1,N('Исходные данные'!$B$31),IF(G17=2,N('Исходные данные'!$B$32),IF(G17=3,N('Исходные данные'!$B$33),N('Исходные данные'!$B$33)*(1+N('Исходные данные'!$B$34))^(G17-3)))))</f>
        <v>0</v>
      </c>
      <c r="I17">
        <f>IF(OR(F17=0,N('Исходные данные'!$B$5)=0,H17=0),0,'Исходные данные'!$B$5*H17*IF(AND(B17&lt;='Исходные данные'!$B$30,C17&gt;='Исходные данные'!$B$30),(C17-'Исходные данные'!$B$30+1)/DAY(C17),1))</f>
        <v>0</v>
      </c>
      <c r="J17">
        <f>IF(AND(F17&gt;0,F17&lt;=N('Исходные данные'!$B$37)),-I17,0)</f>
        <v>0</v>
      </c>
      <c r="K17">
        <f>IF(OR(F17=0,F17&lt;=N('Исходные данные'!$B$37)),0,-(I17+J17)*N('Исходные данные'!$B$38))</f>
        <v>0</v>
      </c>
      <c r="L17">
        <f t="shared" si="2"/>
        <v>0</v>
      </c>
      <c r="M17">
        <f>IF('Исходные данные'!$B$51="Да",L17*N('Исходные данные'!$B$52),0)</f>
        <v>0</v>
      </c>
      <c r="N17">
        <f t="shared" si="3"/>
        <v>0</v>
      </c>
      <c r="O17">
        <f>IF(OR(B17="",IF('Исходные данные'!$B$45="",'Исходные данные'!$B$10,'Исходные данные'!$B$45)="",C17&lt;IF('Исходные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данные'!$B$45)),1),B17,"m")/12))*IF(AND(B17&lt;=IF('Исходные данные'!$B$45="",'Исходные данные'!$B$10,'Исходные данные'!$B$45),C17&gt;=IF('Исходные данные'!$B$45="",'Исходные данные'!$B$10,'Исходные данные'!$B$45)),(C17-IF('Исходные данные'!$B$45="",'Исходные данные'!$B$10,'Исходные данные'!$B$45)+1)/DAY(C17),1)*IF('Исходные данные'!$B$43="Без НДС",1+N('Исходные данные'!$B$44),1))</f>
        <v>0</v>
      </c>
      <c r="P17">
        <f>IF('Исходные данные'!$B$51="Да",-O17*N('Исходные данные'!$B$44)/(1+N('Исходные данные'!$B$44)),0)</f>
        <v>0</v>
      </c>
      <c r="Q17">
        <f>IF('Исходные данные'!$B$35="Да",-O17,0)</f>
        <v>0</v>
      </c>
      <c r="R17">
        <f>IF(AND('Исходные данные'!$B$51="Да",Q17&gt;0),Q17*N('Исходные данные'!$B$52)/(1+N('Исходные данные'!$B$52)),0)</f>
        <v>0</v>
      </c>
      <c r="S17">
        <f>IF(OR(B17="",IF('Исходные данные'!$B$45="",'Исходные данные'!$B$10,'Исходные данные'!$B$45)="",C17&lt;IF('Исходные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данные'!$B$45)),1),B17,"m")/12))*IF(AND(B17&lt;=IF('Исходные данные'!$B$45="",'Исходные данные'!$B$10,'Исходные данные'!$B$45),C17&gt;=IF('Исходные данные'!$B$45="",'Исходные данные'!$B$10,'Исходные данные'!$B$45)),(C17-IF('Исходные данные'!$B$45="",'Исходные данные'!$B$10,'Исходные данные'!$B$45)+1)/DAY(C17),1)*IF('Исходные данные'!$B$43="Без НДС",1+N('Исходные данные'!$B$44),1))</f>
        <v>0</v>
      </c>
      <c r="T17">
        <f>IF('Исходные данные'!$B$51="Да",-S17*N('Исходные данные'!$B$44)/(1+N('Исходные данные'!$B$44)),0)</f>
        <v>0</v>
      </c>
      <c r="U17">
        <f>IF('Исходные данные'!$B$36="Да",-S17,0)</f>
        <v>0</v>
      </c>
      <c r="V17">
        <f>IF(AND('Исходные данные'!$B$51="Да",U17&gt;0),U17*N('Исходные данные'!$B$52)/(1+N('Исходные данные'!$B$52)),0)</f>
        <v>0</v>
      </c>
      <c r="W17">
        <f>IF(OR(B17="",IF('Исходные данные'!$B$69="",'Исходные данные'!$B$10,'Исходные данные'!$B$69)="",C17&lt;IF('Исходные данные'!$B$69="",'Исходные данные'!$B$10,'Исходные данные'!$B$69)),0,-N('Исходные данные'!$B$16)*N('Исходные данные'!$B$68)*N('Исходные данные'!$B$67)/12*IF(AND(B17&lt;=IF('Исходные данные'!$B$69="",'Исходные данные'!$B$10,'Исходные данные'!$B$69),C17&gt;=IF('Исходные данные'!$B$69="",'Исходные данные'!$B$10,'Исходные данные'!$B$69)),(C17-IF('Исходные данные'!$B$69="",'Исходные данные'!$B$10,'Исходные данные'!$B$69)+1)/DAY(C17),1))</f>
        <v>0</v>
      </c>
      <c r="X17">
        <f>IF(OR(B17="",IF('Исходные данные'!$B$76="",'Исходные данные'!$B$10,'Исходные данные'!$B$76)="",C17&lt;IF('Исходные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данные'!$B$76)),1),B17,"m")/12))*IF(AND(B17&lt;=IF('Исходные данные'!$B$76="",'Исходные данные'!$B$10,'Исходные данные'!$B$76),C17&gt;=IF('Исходные данные'!$B$76="",'Исходные данные'!$B$10,'Исходные данные'!$B$76)),(C17-IF('Исходные данные'!$B$76="",'Исходные данные'!$B$10,'Исходные данные'!$B$76)+1)/DAY(C17),1))</f>
        <v>0</v>
      </c>
      <c r="Y17">
        <f t="shared" si="4"/>
        <v>0</v>
      </c>
      <c r="Z17">
        <f>IF(OR(B17="",N('Исходные данные'!$B$19)=0),0,-SUMIFS('Исходные данные'!$I$6:$I$186,'Исходные данные'!$F$6:$F$186,B17)*N('Исходные данные'!$B$17)/N('Исходные данные'!$B$19))</f>
        <v>0</v>
      </c>
      <c r="AA17">
        <f>IF(OR(B17="",N('Исходные данные'!$B$19)=0),0,-SUMIFS('Исходные данные'!$I$6:$I$186,'Исходные данные'!$F$6:$F$186,B17)*N('Исходные данные'!$B$18)/N('Исходные данные'!$B$19))</f>
        <v>0</v>
      </c>
      <c r="AB17">
        <f>IF(OR(B17="",'Исходные данные'!$B$13=""),0,IF(AND(YEAR(B17)=YEAR('Исходные данные'!$B$13),MONTH(B17)=MONTH('Исходные данные'!$B$13)),-N('Исходные данные'!$B$11),0))</f>
        <v>0</v>
      </c>
      <c r="AC17">
        <f>IF(A17=1,-N('Исходные данные'!$B$19)*N('Исходные данные'!$B$72),0)</f>
        <v>0</v>
      </c>
      <c r="AD17">
        <f>IF(OR(B17="",'Исходные данные'!$B$22&lt;&gt;"Да",'Исходные данные'!$B$26=""),0,IF(AND(YEAR(B17)=YEAR('Исходные данные'!$B$26),MONTH(B17)=MONTH('Исходные данные'!$B$26)),N('Исходные данные'!$B$23),0))</f>
        <v>0</v>
      </c>
      <c r="AE17">
        <f t="shared" si="17"/>
        <v>0</v>
      </c>
      <c r="AF17">
        <f>IF(OR('Исходные данные'!$B$22&lt;&gt;"Да",'Исходные данные'!$B$26="",C17&lt;'Исходные данные'!$B$26),0,DATEDIF(DATE(YEAR('Исходные данные'!$B$26),MONTH('Исходные данные'!$B$26),1),B17,"m")+1)</f>
        <v>0</v>
      </c>
      <c r="AG17">
        <f>IF(OR(AF17&lt;1,AF17&gt;N('Исходные данные'!$B$25),AE17+AD17&lt;=0),0,-(AE17+AD17)*N('Исходные данные'!$B$24)*IF(AF17=1,C17-'Исходные данные'!$B$26+1,DAY(C17))/365)</f>
        <v>0</v>
      </c>
      <c r="AH17">
        <f>IF(OR(AF17&lt;1,AF17&gt;N('Исходные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данные'!$B$25)-AG17))</f>
        <v>0</v>
      </c>
      <c r="AI17">
        <f>IF(OR('Исходные данные'!$B$22&lt;&gt;"Да",AE17+AD17&lt;=0),0,IF(AND('Исходные данные'!$B$91&lt;&gt;"",B17&lt;&gt;"",YEAR(B17)=YEAR('Исходные данные'!$B$91),MONTH(B17)=MONTH('Исходные данные'!$B$91)),-(AE17+AD17),IF(OR(AF17&lt;1,AF17&gt;N('Исходные данные'!$B$25)),0,IF('Исходные данные'!$B$27="Равными долями",-MIN(AE17+AD17,N('Исходные данные'!$B$23)/N('Исходные данные'!$B$25)),-MIN(AE17+AD17,IF(AF17=N('Исходные данные'!$B$25),AE17+AD17,MAX(0,AH17+AG17)))))))</f>
        <v>0</v>
      </c>
      <c r="AJ17">
        <f t="shared" si="5"/>
        <v>0</v>
      </c>
      <c r="AK17">
        <f t="shared" si="6"/>
        <v>0</v>
      </c>
      <c r="AL17">
        <f>IF(OR(B17="",'Исходные данные'!$B$51&lt;&gt;"Да",'Исходные данные'!$B$61=""),0,IF(AND(YEAR(B17)=YEAR('Исходные данные'!$B$61),MONTH(B17)=MONTH('Исходные данные'!$B$61)),N('Исходные данные'!$B$18)*N('Исходные данные'!$B$62),0))</f>
        <v>0</v>
      </c>
      <c r="AM17">
        <f t="shared" si="18"/>
        <v>0</v>
      </c>
      <c r="AN17">
        <f t="shared" si="7"/>
        <v>0</v>
      </c>
      <c r="AO17">
        <f t="shared" si="8"/>
        <v>0</v>
      </c>
      <c r="AP17">
        <f>IF('Исходные данные'!$B$51="Да",-MAX(0,AN17-AO17-AM17),0)</f>
        <v>0</v>
      </c>
      <c r="AQ17">
        <f>IF('Исходные данные'!$B$51="Да",MAX(0,AM17+AO17-AN17),0)</f>
        <v>0</v>
      </c>
      <c r="AR17">
        <f>IF('Исходные данные'!$B$53="Выручка",MAX(0,L17+(Q17-R17)+(U17-V17)),IF('Исходные данные'!$B$53="Прибыль до налога",MAX(0,L17+(Q17-R17)+(U17-V17)+N('Исходные данные'!$B$54)*((O17+P17)+(S17+T17)+W17+X17)+IF('Исходные данные'!$B$55="Да",AG17,0)-N('Исходные данные'!$B$56)/12),IF('Исходные данные'!$B$53="Пользовательская база",MAX(0,N('Исходные данные'!$B$57)/12),0)))</f>
        <v>0</v>
      </c>
      <c r="AS17">
        <f>IF(E17=1,-AR17*N('Исходные данные'!$B$50),0)</f>
        <v>0</v>
      </c>
      <c r="AT17">
        <f t="shared" si="9"/>
        <v>0</v>
      </c>
      <c r="AU17">
        <f>IF(OR(B17="",N('Исходные данные'!$B$80)&lt;=0,'Исходные данные'!$B$88=""),0,MAX(0,IF('Исходные данные'!$B$88="Последние 12 месяцев",SUMIFS($Y$2:$Y$194,$B$2:$B$194,"&gt;="&amp;EDATE(B17,-11),$B$2:$B$194,"&lt;="&amp;B17),IF('Исходные данные'!$B$88="Пользовательский NOI",N('Исходные данные'!$B$89),AT17))/N('Исходные данные'!$B$80)*(1+N('Исходные данные'!$B$81))))</f>
        <v>0</v>
      </c>
      <c r="AV17">
        <f>IF(OR(E17&lt;&gt;1,B17="",'Исходные данные'!$B$91=""),0,IF(AND(YEAR(B17)=YEAR('Исходные данные'!$B$91),MONTH(B17)=MONTH('Исходные данные'!$B$91)),AU17,0))</f>
        <v>0</v>
      </c>
      <c r="AW17">
        <f>-AV17*N('Исходные данные'!$B$73)</f>
        <v>0</v>
      </c>
      <c r="AX17">
        <f>IF(AV17=0,0,-N('Исходные данные'!$B$87)-IF('Исходные данные'!$B$82="Да",IF('Исходные данные'!$B$84="С выручки",AV17,IF('Исходные данные'!$B$84="С прибыли",MAX(0,AV17+AW17-IF('Исходные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7">
        <f t="shared" si="10"/>
        <v>0</v>
      </c>
      <c r="AZ17">
        <f t="shared" si="11"/>
        <v>0</v>
      </c>
      <c r="BA17">
        <f t="shared" si="12"/>
        <v>0</v>
      </c>
      <c r="BB17" t="str">
        <f t="shared" si="19"/>
        <v/>
      </c>
      <c r="BC17">
        <f>IF(OR(E17=0,'Исходные данные'!$B$9="",'Исходные данные'!$B$90=""),0,BA17/(1+'Исходные данные'!$B$90)^((D17-'Исходные данные'!$B$9)/365))</f>
        <v>0</v>
      </c>
      <c r="BD17">
        <f>IF(AND(E17=1,BB17&gt;=0,BB16&lt;0,MIN($BB$2:BB17)&lt;0),1,0)</f>
        <v>0</v>
      </c>
      <c r="BE17">
        <f t="shared" si="13"/>
        <v>0</v>
      </c>
      <c r="BF17">
        <f t="shared" si="14"/>
        <v>0</v>
      </c>
      <c r="BG17">
        <f t="shared" si="15"/>
        <v>0</v>
      </c>
      <c r="BH17">
        <f t="shared" si="16"/>
        <v>1</v>
      </c>
      <c r="BI17">
        <f>AZ17+N17+AP17-AR17*N('Исходные данные'!$B$50)</f>
        <v>0</v>
      </c>
      <c r="BJ17">
        <f t="shared" si="20"/>
        <v>0</v>
      </c>
      <c r="BK17">
        <f>IF(AND(BJ17&gt;=0,BJ16&lt;0,MIN($BJ$2:BJ17)&lt;0),1,0)</f>
        <v>0</v>
      </c>
    </row>
    <row r="18" spans="1:63" x14ac:dyDescent="0.2">
      <c r="A18">
        <v>17</v>
      </c>
      <c r="B18" t="str">
        <f>IF('Исходные данные'!$B$9="","",EDATE(DATE(YEAR('Исходные данные'!$B$9),MONTH('Исходные данные'!$B$9),1),A18-1))</f>
        <v/>
      </c>
      <c r="C18" t="str">
        <f t="shared" si="0"/>
        <v/>
      </c>
      <c r="D18" t="str">
        <f>IF(B18="","",IF('Исходные данные'!$B$91&lt;&gt;"",IF(AND(YEAR(B18)=YEAR('Исходные данные'!$B$91),MONTH(B18)=MONTH('Исходные данные'!$B$91)),'Исходные данные'!$B$91,IF('Исходные данные'!$B$13&lt;&gt;"",IF(AND(YEAR(B18)=YEAR('Исходные данные'!$B$13),MONTH(B18)=MONTH('Исходные данные'!$B$13)),'Исходные данные'!$B$13,IF('Исходные данные'!$B$26&lt;&gt;"",IF(AND(YEAR(B18)=YEAR('Исходные данные'!$B$26),MONTH(B18)=MONTH('Исходные данные'!$B$26)),'Исходные данные'!$B$26,IF(A18=1,'Исходные данные'!$B$9,C18)),IF(A18=1,'Исходные данные'!$B$9,C18))),IF('Исходные данные'!$B$26&lt;&gt;"",IF(AND(YEAR(B18)=YEAR('Исходные данные'!$B$26),MONTH(B18)=MONTH('Исходные данные'!$B$26)),'Исходные данные'!$B$26,IF(A18=1,'Исходные данные'!$B$9,C18)),IF(A18=1,'Исходные данные'!$B$9,C18)))),IF('Исходные данные'!$B$13&lt;&gt;"",IF(AND(YEAR(B18)=YEAR('Исходные данные'!$B$13),MONTH(B18)=MONTH('Исходные данные'!$B$13)),'Исходные данные'!$B$13,IF('Исходные данные'!$B$26&lt;&gt;"",IF(AND(YEAR(B18)=YEAR('Исходные данные'!$B$26),MONTH(B18)=MONTH('Исходные данные'!$B$26)),'Исходные данные'!$B$26,IF(A18=1,'Исходные данные'!$B$9,C18)),IF(A18=1,'Исходные данные'!$B$9,C18))),IF('Исходные данные'!$B$26&lt;&gt;"",IF(AND(YEAR(B18)=YEAR('Исходные данные'!$B$26),MONTH(B18)=MONTH('Исходные данные'!$B$26)),'Исходные данные'!$B$26,IF(A18=1,'Исходные данные'!$B$9,C18)),IF(A18=1,'Исходные данные'!$B$9,C18)))))</f>
        <v/>
      </c>
      <c r="E18">
        <f>IF(OR(B18="",'Исходные данные'!$B$91=""),0,--(B18&lt;=DATE(YEAR('Исходные данные'!$B$91),MONTH('Исходные данные'!$B$91),1)))</f>
        <v>0</v>
      </c>
      <c r="F18">
        <f>IF(OR(B18="",'Исходные данные'!$B$30="",C18&lt;'Исходные данные'!$B$30),0,DATEDIF(DATE(YEAR('Исходные данные'!$B$30),MONTH('Исходные данные'!$B$30),1),B18,"m")+1)</f>
        <v>0</v>
      </c>
      <c r="G18">
        <f t="shared" si="1"/>
        <v>0</v>
      </c>
      <c r="H18">
        <f>IF(F18=0,0,IF(G18=1,N('Исходные данные'!$B$31),IF(G18=2,N('Исходные данные'!$B$32),IF(G18=3,N('Исходные данные'!$B$33),N('Исходные данные'!$B$33)*(1+N('Исходные данные'!$B$34))^(G18-3)))))</f>
        <v>0</v>
      </c>
      <c r="I18">
        <f>IF(OR(F18=0,N('Исходные данные'!$B$5)=0,H18=0),0,'Исходные данные'!$B$5*H18*IF(AND(B18&lt;='Исходные данные'!$B$30,C18&gt;='Исходные данные'!$B$30),(C18-'Исходные данные'!$B$30+1)/DAY(C18),1))</f>
        <v>0</v>
      </c>
      <c r="J18">
        <f>IF(AND(F18&gt;0,F18&lt;=N('Исходные данные'!$B$37)),-I18,0)</f>
        <v>0</v>
      </c>
      <c r="K18">
        <f>IF(OR(F18=0,F18&lt;=N('Исходные данные'!$B$37)),0,-(I18+J18)*N('Исходные данные'!$B$38))</f>
        <v>0</v>
      </c>
      <c r="L18">
        <f t="shared" si="2"/>
        <v>0</v>
      </c>
      <c r="M18">
        <f>IF('Исходные данные'!$B$51="Да",L18*N('Исходные данные'!$B$52),0)</f>
        <v>0</v>
      </c>
      <c r="N18">
        <f t="shared" si="3"/>
        <v>0</v>
      </c>
      <c r="O18">
        <f>IF(OR(B18="",IF('Исходные данные'!$B$45="",'Исходные данные'!$B$10,'Исходные данные'!$B$45)="",C18&lt;IF('Исходные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данные'!$B$45)),1),B18,"m")/12))*IF(AND(B18&lt;=IF('Исходные данные'!$B$45="",'Исходные данные'!$B$10,'Исходные данные'!$B$45),C18&gt;=IF('Исходные данные'!$B$45="",'Исходные данные'!$B$10,'Исходные данные'!$B$45)),(C18-IF('Исходные данные'!$B$45="",'Исходные данные'!$B$10,'Исходные данные'!$B$45)+1)/DAY(C18),1)*IF('Исходные данные'!$B$43="Без НДС",1+N('Исходные данные'!$B$44),1))</f>
        <v>0</v>
      </c>
      <c r="P18">
        <f>IF('Исходные данные'!$B$51="Да",-O18*N('Исходные данные'!$B$44)/(1+N('Исходные данные'!$B$44)),0)</f>
        <v>0</v>
      </c>
      <c r="Q18">
        <f>IF('Исходные данные'!$B$35="Да",-O18,0)</f>
        <v>0</v>
      </c>
      <c r="R18">
        <f>IF(AND('Исходные данные'!$B$51="Да",Q18&gt;0),Q18*N('Исходные данные'!$B$52)/(1+N('Исходные данные'!$B$52)),0)</f>
        <v>0</v>
      </c>
      <c r="S18">
        <f>IF(OR(B18="",IF('Исходные данные'!$B$45="",'Исходные данные'!$B$10,'Исходные данные'!$B$45)="",C18&lt;IF('Исходные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данные'!$B$45)),1),B18,"m")/12))*IF(AND(B18&lt;=IF('Исходные данные'!$B$45="",'Исходные данные'!$B$10,'Исходные данные'!$B$45),C18&gt;=IF('Исходные данные'!$B$45="",'Исходные данные'!$B$10,'Исходные данные'!$B$45)),(C18-IF('Исходные данные'!$B$45="",'Исходные данные'!$B$10,'Исходные данные'!$B$45)+1)/DAY(C18),1)*IF('Исходные данные'!$B$43="Без НДС",1+N('Исходные данные'!$B$44),1))</f>
        <v>0</v>
      </c>
      <c r="T18">
        <f>IF('Исходные данные'!$B$51="Да",-S18*N('Исходные данные'!$B$44)/(1+N('Исходные данные'!$B$44)),0)</f>
        <v>0</v>
      </c>
      <c r="U18">
        <f>IF('Исходные данные'!$B$36="Да",-S18,0)</f>
        <v>0</v>
      </c>
      <c r="V18">
        <f>IF(AND('Исходные данные'!$B$51="Да",U18&gt;0),U18*N('Исходные данные'!$B$52)/(1+N('Исходные данные'!$B$52)),0)</f>
        <v>0</v>
      </c>
      <c r="W18">
        <f>IF(OR(B18="",IF('Исходные данные'!$B$69="",'Исходные данные'!$B$10,'Исходные данные'!$B$69)="",C18&lt;IF('Исходные данные'!$B$69="",'Исходные данные'!$B$10,'Исходные данные'!$B$69)),0,-N('Исходные данные'!$B$16)*N('Исходные данные'!$B$68)*N('Исходные данные'!$B$67)/12*IF(AND(B18&lt;=IF('Исходные данные'!$B$69="",'Исходные данные'!$B$10,'Исходные данные'!$B$69),C18&gt;=IF('Исходные данные'!$B$69="",'Исходные данные'!$B$10,'Исходные данные'!$B$69)),(C18-IF('Исходные данные'!$B$69="",'Исходные данные'!$B$10,'Исходные данные'!$B$69)+1)/DAY(C18),1))</f>
        <v>0</v>
      </c>
      <c r="X18">
        <f>IF(OR(B18="",IF('Исходные данные'!$B$76="",'Исходные данные'!$B$10,'Исходные данные'!$B$76)="",C18&lt;IF('Исходные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данные'!$B$76)),1),B18,"m")/12))*IF(AND(B18&lt;=IF('Исходные данные'!$B$76="",'Исходные данные'!$B$10,'Исходные данные'!$B$76),C18&gt;=IF('Исходные данные'!$B$76="",'Исходные данные'!$B$10,'Исходные данные'!$B$76)),(C18-IF('Исходные данные'!$B$76="",'Исходные данные'!$B$10,'Исходные данные'!$B$76)+1)/DAY(C18),1))</f>
        <v>0</v>
      </c>
      <c r="Y18">
        <f t="shared" si="4"/>
        <v>0</v>
      </c>
      <c r="Z18">
        <f>IF(OR(B18="",N('Исходные данные'!$B$19)=0),0,-SUMIFS('Исходные данные'!$I$6:$I$186,'Исходные данные'!$F$6:$F$186,B18)*N('Исходные данные'!$B$17)/N('Исходные данные'!$B$19))</f>
        <v>0</v>
      </c>
      <c r="AA18">
        <f>IF(OR(B18="",N('Исходные данные'!$B$19)=0),0,-SUMIFS('Исходные данные'!$I$6:$I$186,'Исходные данные'!$F$6:$F$186,B18)*N('Исходные данные'!$B$18)/N('Исходные данные'!$B$19))</f>
        <v>0</v>
      </c>
      <c r="AB18">
        <f>IF(OR(B18="",'Исходные данные'!$B$13=""),0,IF(AND(YEAR(B18)=YEAR('Исходные данные'!$B$13),MONTH(B18)=MONTH('Исходные данные'!$B$13)),-N('Исходные данные'!$B$11),0))</f>
        <v>0</v>
      </c>
      <c r="AC18">
        <f>IF(A18=1,-N('Исходные данные'!$B$19)*N('Исходные данные'!$B$72),0)</f>
        <v>0</v>
      </c>
      <c r="AD18">
        <f>IF(OR(B18="",'Исходные данные'!$B$22&lt;&gt;"Да",'Исходные данные'!$B$26=""),0,IF(AND(YEAR(B18)=YEAR('Исходные данные'!$B$26),MONTH(B18)=MONTH('Исходные данные'!$B$26)),N('Исходные данные'!$B$23),0))</f>
        <v>0</v>
      </c>
      <c r="AE18">
        <f t="shared" si="17"/>
        <v>0</v>
      </c>
      <c r="AF18">
        <f>IF(OR('Исходные данные'!$B$22&lt;&gt;"Да",'Исходные данные'!$B$26="",C18&lt;'Исходные данные'!$B$26),0,DATEDIF(DATE(YEAR('Исходные данные'!$B$26),MONTH('Исходные данные'!$B$26),1),B18,"m")+1)</f>
        <v>0</v>
      </c>
      <c r="AG18">
        <f>IF(OR(AF18&lt;1,AF18&gt;N('Исходные данные'!$B$25),AE18+AD18&lt;=0),0,-(AE18+AD18)*N('Исходные данные'!$B$24)*IF(AF18=1,C18-'Исходные данные'!$B$26+1,DAY(C18))/365)</f>
        <v>0</v>
      </c>
      <c r="AH18">
        <f>IF(OR(AF18&lt;1,AF18&gt;N('Исходные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данные'!$B$25)-AG18))</f>
        <v>0</v>
      </c>
      <c r="AI18">
        <f>IF(OR('Исходные данные'!$B$22&lt;&gt;"Да",AE18+AD18&lt;=0),0,IF(AND('Исходные данные'!$B$91&lt;&gt;"",B18&lt;&gt;"",YEAR(B18)=YEAR('Исходные данные'!$B$91),MONTH(B18)=MONTH('Исходные данные'!$B$91)),-(AE18+AD18),IF(OR(AF18&lt;1,AF18&gt;N('Исходные данные'!$B$25)),0,IF('Исходные данные'!$B$27="Равными долями",-MIN(AE18+AD18,N('Исходные данные'!$B$23)/N('Исходные данные'!$B$25)),-MIN(AE18+AD18,IF(AF18=N('Исходные данные'!$B$25),AE18+AD18,MAX(0,AH18+AG18)))))))</f>
        <v>0</v>
      </c>
      <c r="AJ18">
        <f t="shared" si="5"/>
        <v>0</v>
      </c>
      <c r="AK18">
        <f t="shared" si="6"/>
        <v>0</v>
      </c>
      <c r="AL18">
        <f>IF(OR(B18="",'Исходные данные'!$B$51&lt;&gt;"Да",'Исходные данные'!$B$61=""),0,IF(AND(YEAR(B18)=YEAR('Исходные данные'!$B$61),MONTH(B18)=MONTH('Исходные данные'!$B$61)),N('Исходные данные'!$B$18)*N('Исходные данные'!$B$62),0))</f>
        <v>0</v>
      </c>
      <c r="AM18">
        <f t="shared" si="18"/>
        <v>0</v>
      </c>
      <c r="AN18">
        <f t="shared" si="7"/>
        <v>0</v>
      </c>
      <c r="AO18">
        <f t="shared" si="8"/>
        <v>0</v>
      </c>
      <c r="AP18">
        <f>IF('Исходные данные'!$B$51="Да",-MAX(0,AN18-AO18-AM18),0)</f>
        <v>0</v>
      </c>
      <c r="AQ18">
        <f>IF('Исходные данные'!$B$51="Да",MAX(0,AM18+AO18-AN18),0)</f>
        <v>0</v>
      </c>
      <c r="AR18">
        <f>IF('Исходные данные'!$B$53="Выручка",MAX(0,L18+(Q18-R18)+(U18-V18)),IF('Исходные данные'!$B$53="Прибыль до налога",MAX(0,L18+(Q18-R18)+(U18-V18)+N('Исходные данные'!$B$54)*((O18+P18)+(S18+T18)+W18+X18)+IF('Исходные данные'!$B$55="Да",AG18,0)-N('Исходные данные'!$B$56)/12),IF('Исходные данные'!$B$53="Пользовательская база",MAX(0,N('Исходные данные'!$B$57)/12),0)))</f>
        <v>0</v>
      </c>
      <c r="AS18">
        <f>IF(E18=1,-AR18*N('Исходные данные'!$B$50),0)</f>
        <v>0</v>
      </c>
      <c r="AT18">
        <f t="shared" si="9"/>
        <v>0</v>
      </c>
      <c r="AU18">
        <f>IF(OR(B18="",N('Исходные данные'!$B$80)&lt;=0,'Исходные данные'!$B$88=""),0,MAX(0,IF('Исходные данные'!$B$88="Последние 12 месяцев",SUMIFS($Y$2:$Y$194,$B$2:$B$194,"&gt;="&amp;EDATE(B18,-11),$B$2:$B$194,"&lt;="&amp;B18),IF('Исходные данные'!$B$88="Пользовательский NOI",N('Исходные данные'!$B$89),AT18))/N('Исходные данные'!$B$80)*(1+N('Исходные данные'!$B$81))))</f>
        <v>0</v>
      </c>
      <c r="AV18">
        <f>IF(OR(E18&lt;&gt;1,B18="",'Исходные данные'!$B$91=""),0,IF(AND(YEAR(B18)=YEAR('Исходные данные'!$B$91),MONTH(B18)=MONTH('Исходные данные'!$B$91)),AU18,0))</f>
        <v>0</v>
      </c>
      <c r="AW18">
        <f>-AV18*N('Исходные данные'!$B$73)</f>
        <v>0</v>
      </c>
      <c r="AX18">
        <f>IF(AV18=0,0,-N('Исходные данные'!$B$87)-IF('Исходные данные'!$B$82="Да",IF('Исходные данные'!$B$84="С выручки",AV18,IF('Исходные данные'!$B$84="С прибыли",MAX(0,AV18+AW18-IF('Исходные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8">
        <f t="shared" si="10"/>
        <v>0</v>
      </c>
      <c r="AZ18">
        <f t="shared" si="11"/>
        <v>0</v>
      </c>
      <c r="BA18">
        <f t="shared" si="12"/>
        <v>0</v>
      </c>
      <c r="BB18" t="str">
        <f t="shared" si="19"/>
        <v/>
      </c>
      <c r="BC18">
        <f>IF(OR(E18=0,'Исходные данные'!$B$9="",'Исходные данные'!$B$90=""),0,BA18/(1+'Исходные данные'!$B$90)^((D18-'Исходные данные'!$B$9)/365))</f>
        <v>0</v>
      </c>
      <c r="BD18">
        <f>IF(AND(E18=1,BB18&gt;=0,BB17&lt;0,MIN($BB$2:BB18)&lt;0),1,0)</f>
        <v>0</v>
      </c>
      <c r="BE18">
        <f t="shared" si="13"/>
        <v>0</v>
      </c>
      <c r="BF18">
        <f t="shared" si="14"/>
        <v>0</v>
      </c>
      <c r="BG18">
        <f t="shared" si="15"/>
        <v>0</v>
      </c>
      <c r="BH18">
        <f t="shared" si="16"/>
        <v>1</v>
      </c>
      <c r="BI18">
        <f>AZ18+N18+AP18-AR18*N('Исходные данные'!$B$50)</f>
        <v>0</v>
      </c>
      <c r="BJ18">
        <f t="shared" si="20"/>
        <v>0</v>
      </c>
      <c r="BK18">
        <f>IF(AND(BJ18&gt;=0,BJ17&lt;0,MIN($BJ$2:BJ18)&lt;0),1,0)</f>
        <v>0</v>
      </c>
    </row>
    <row r="19" spans="1:63" x14ac:dyDescent="0.2">
      <c r="A19">
        <v>18</v>
      </c>
      <c r="B19" t="str">
        <f>IF('Исходные данные'!$B$9="","",EDATE(DATE(YEAR('Исходные данные'!$B$9),MONTH('Исходные данные'!$B$9),1),A19-1))</f>
        <v/>
      </c>
      <c r="C19" t="str">
        <f t="shared" si="0"/>
        <v/>
      </c>
      <c r="D19" t="str">
        <f>IF(B19="","",IF('Исходные данные'!$B$91&lt;&gt;"",IF(AND(YEAR(B19)=YEAR('Исходные данные'!$B$91),MONTH(B19)=MONTH('Исходные данные'!$B$91)),'Исходные данные'!$B$91,IF('Исходные данные'!$B$13&lt;&gt;"",IF(AND(YEAR(B19)=YEAR('Исходные данные'!$B$13),MONTH(B19)=MONTH('Исходные данные'!$B$13)),'Исходные данные'!$B$13,IF('Исходные данные'!$B$26&lt;&gt;"",IF(AND(YEAR(B19)=YEAR('Исходные данные'!$B$26),MONTH(B19)=MONTH('Исходные данные'!$B$26)),'Исходные данные'!$B$26,IF(A19=1,'Исходные данные'!$B$9,C19)),IF(A19=1,'Исходные данные'!$B$9,C19))),IF('Исходные данные'!$B$26&lt;&gt;"",IF(AND(YEAR(B19)=YEAR('Исходные данные'!$B$26),MONTH(B19)=MONTH('Исходные данные'!$B$26)),'Исходные данные'!$B$26,IF(A19=1,'Исходные данные'!$B$9,C19)),IF(A19=1,'Исходные данные'!$B$9,C19)))),IF('Исходные данные'!$B$13&lt;&gt;"",IF(AND(YEAR(B19)=YEAR('Исходные данные'!$B$13),MONTH(B19)=MONTH('Исходные данные'!$B$13)),'Исходные данные'!$B$13,IF('Исходные данные'!$B$26&lt;&gt;"",IF(AND(YEAR(B19)=YEAR('Исходные данные'!$B$26),MONTH(B19)=MONTH('Исходные данные'!$B$26)),'Исходные данные'!$B$26,IF(A19=1,'Исходные данные'!$B$9,C19)),IF(A19=1,'Исходные данные'!$B$9,C19))),IF('Исходные данные'!$B$26&lt;&gt;"",IF(AND(YEAR(B19)=YEAR('Исходные данные'!$B$26),MONTH(B19)=MONTH('Исходные данные'!$B$26)),'Исходные данные'!$B$26,IF(A19=1,'Исходные данные'!$B$9,C19)),IF(A19=1,'Исходные данные'!$B$9,C19)))))</f>
        <v/>
      </c>
      <c r="E19">
        <f>IF(OR(B19="",'Исходные данные'!$B$91=""),0,--(B19&lt;=DATE(YEAR('Исходные данные'!$B$91),MONTH('Исходные данные'!$B$91),1)))</f>
        <v>0</v>
      </c>
      <c r="F19">
        <f>IF(OR(B19="",'Исходные данные'!$B$30="",C19&lt;'Исходные данные'!$B$30),0,DATEDIF(DATE(YEAR('Исходные данные'!$B$30),MONTH('Исходные данные'!$B$30),1),B19,"m")+1)</f>
        <v>0</v>
      </c>
      <c r="G19">
        <f t="shared" si="1"/>
        <v>0</v>
      </c>
      <c r="H19">
        <f>IF(F19=0,0,IF(G19=1,N('Исходные данные'!$B$31),IF(G19=2,N('Исходные данные'!$B$32),IF(G19=3,N('Исходные данные'!$B$33),N('Исходные данные'!$B$33)*(1+N('Исходные данные'!$B$34))^(G19-3)))))</f>
        <v>0</v>
      </c>
      <c r="I19">
        <f>IF(OR(F19=0,N('Исходные данные'!$B$5)=0,H19=0),0,'Исходные данные'!$B$5*H19*IF(AND(B19&lt;='Исходные данные'!$B$30,C19&gt;='Исходные данные'!$B$30),(C19-'Исходные данные'!$B$30+1)/DAY(C19),1))</f>
        <v>0</v>
      </c>
      <c r="J19">
        <f>IF(AND(F19&gt;0,F19&lt;=N('Исходные данные'!$B$37)),-I19,0)</f>
        <v>0</v>
      </c>
      <c r="K19">
        <f>IF(OR(F19=0,F19&lt;=N('Исходные данные'!$B$37)),0,-(I19+J19)*N('Исходные данные'!$B$38))</f>
        <v>0</v>
      </c>
      <c r="L19">
        <f t="shared" si="2"/>
        <v>0</v>
      </c>
      <c r="M19">
        <f>IF('Исходные данные'!$B$51="Да",L19*N('Исходные данные'!$B$52),0)</f>
        <v>0</v>
      </c>
      <c r="N19">
        <f t="shared" si="3"/>
        <v>0</v>
      </c>
      <c r="O19">
        <f>IF(OR(B19="",IF('Исходные данные'!$B$45="",'Исходные данные'!$B$10,'Исходные данные'!$B$45)="",C19&lt;IF('Исходные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данные'!$B$45)),1),B19,"m")/12))*IF(AND(B19&lt;=IF('Исходные данные'!$B$45="",'Исходные данные'!$B$10,'Исходные данные'!$B$45),C19&gt;=IF('Исходные данные'!$B$45="",'Исходные данные'!$B$10,'Исходные данные'!$B$45)),(C19-IF('Исходные данные'!$B$45="",'Исходные данные'!$B$10,'Исходные данные'!$B$45)+1)/DAY(C19),1)*IF('Исходные данные'!$B$43="Без НДС",1+N('Исходные данные'!$B$44),1))</f>
        <v>0</v>
      </c>
      <c r="P19">
        <f>IF('Исходные данные'!$B$51="Да",-O19*N('Исходные данные'!$B$44)/(1+N('Исходные данные'!$B$44)),0)</f>
        <v>0</v>
      </c>
      <c r="Q19">
        <f>IF('Исходные данные'!$B$35="Да",-O19,0)</f>
        <v>0</v>
      </c>
      <c r="R19">
        <f>IF(AND('Исходные данные'!$B$51="Да",Q19&gt;0),Q19*N('Исходные данные'!$B$52)/(1+N('Исходные данные'!$B$52)),0)</f>
        <v>0</v>
      </c>
      <c r="S19">
        <f>IF(OR(B19="",IF('Исходные данные'!$B$45="",'Исходные данные'!$B$10,'Исходные данные'!$B$45)="",C19&lt;IF('Исходные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данные'!$B$45)),1),B19,"m")/12))*IF(AND(B19&lt;=IF('Исходные данные'!$B$45="",'Исходные данные'!$B$10,'Исходные данные'!$B$45),C19&gt;=IF('Исходные данные'!$B$45="",'Исходные данные'!$B$10,'Исходные данные'!$B$45)),(C19-IF('Исходные данные'!$B$45="",'Исходные данные'!$B$10,'Исходные данные'!$B$45)+1)/DAY(C19),1)*IF('Исходные данные'!$B$43="Без НДС",1+N('Исходные данные'!$B$44),1))</f>
        <v>0</v>
      </c>
      <c r="T19">
        <f>IF('Исходные данные'!$B$51="Да",-S19*N('Исходные данные'!$B$44)/(1+N('Исходные данные'!$B$44)),0)</f>
        <v>0</v>
      </c>
      <c r="U19">
        <f>IF('Исходные данные'!$B$36="Да",-S19,0)</f>
        <v>0</v>
      </c>
      <c r="V19">
        <f>IF(AND('Исходные данные'!$B$51="Да",U19&gt;0),U19*N('Исходные данные'!$B$52)/(1+N('Исходные данные'!$B$52)),0)</f>
        <v>0</v>
      </c>
      <c r="W19">
        <f>IF(OR(B19="",IF('Исходные данные'!$B$69="",'Исходные данные'!$B$10,'Исходные данные'!$B$69)="",C19&lt;IF('Исходные данные'!$B$69="",'Исходные данные'!$B$10,'Исходные данные'!$B$69)),0,-N('Исходные данные'!$B$16)*N('Исходные данные'!$B$68)*N('Исходные данные'!$B$67)/12*IF(AND(B19&lt;=IF('Исходные данные'!$B$69="",'Исходные данные'!$B$10,'Исходные данные'!$B$69),C19&gt;=IF('Исходные данные'!$B$69="",'Исходные данные'!$B$10,'Исходные данные'!$B$69)),(C19-IF('Исходные данные'!$B$69="",'Исходные данные'!$B$10,'Исходные данные'!$B$69)+1)/DAY(C19),1))</f>
        <v>0</v>
      </c>
      <c r="X19">
        <f>IF(OR(B19="",IF('Исходные данные'!$B$76="",'Исходные данные'!$B$10,'Исходные данные'!$B$76)="",C19&lt;IF('Исходные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данные'!$B$76)),1),B19,"m")/12))*IF(AND(B19&lt;=IF('Исходные данные'!$B$76="",'Исходные данные'!$B$10,'Исходные данные'!$B$76),C19&gt;=IF('Исходные данные'!$B$76="",'Исходные данные'!$B$10,'Исходные данные'!$B$76)),(C19-IF('Исходные данные'!$B$76="",'Исходные данные'!$B$10,'Исходные данные'!$B$76)+1)/DAY(C19),1))</f>
        <v>0</v>
      </c>
      <c r="Y19">
        <f t="shared" si="4"/>
        <v>0</v>
      </c>
      <c r="Z19">
        <f>IF(OR(B19="",N('Исходные данные'!$B$19)=0),0,-SUMIFS('Исходные данные'!$I$6:$I$186,'Исходные данные'!$F$6:$F$186,B19)*N('Исходные данные'!$B$17)/N('Исходные данные'!$B$19))</f>
        <v>0</v>
      </c>
      <c r="AA19">
        <f>IF(OR(B19="",N('Исходные данные'!$B$19)=0),0,-SUMIFS('Исходные данные'!$I$6:$I$186,'Исходные данные'!$F$6:$F$186,B19)*N('Исходные данные'!$B$18)/N('Исходные данные'!$B$19))</f>
        <v>0</v>
      </c>
      <c r="AB19">
        <f>IF(OR(B19="",'Исходные данные'!$B$13=""),0,IF(AND(YEAR(B19)=YEAR('Исходные данные'!$B$13),MONTH(B19)=MONTH('Исходные данные'!$B$13)),-N('Исходные данные'!$B$11),0))</f>
        <v>0</v>
      </c>
      <c r="AC19">
        <f>IF(A19=1,-N('Исходные данные'!$B$19)*N('Исходные данные'!$B$72),0)</f>
        <v>0</v>
      </c>
      <c r="AD19">
        <f>IF(OR(B19="",'Исходные данные'!$B$22&lt;&gt;"Да",'Исходные данные'!$B$26=""),0,IF(AND(YEAR(B19)=YEAR('Исходные данные'!$B$26),MONTH(B19)=MONTH('Исходные данные'!$B$26)),N('Исходные данные'!$B$23),0))</f>
        <v>0</v>
      </c>
      <c r="AE19">
        <f t="shared" si="17"/>
        <v>0</v>
      </c>
      <c r="AF19">
        <f>IF(OR('Исходные данные'!$B$22&lt;&gt;"Да",'Исходные данные'!$B$26="",C19&lt;'Исходные данные'!$B$26),0,DATEDIF(DATE(YEAR('Исходные данные'!$B$26),MONTH('Исходные данные'!$B$26),1),B19,"m")+1)</f>
        <v>0</v>
      </c>
      <c r="AG19">
        <f>IF(OR(AF19&lt;1,AF19&gt;N('Исходные данные'!$B$25),AE19+AD19&lt;=0),0,-(AE19+AD19)*N('Исходные данные'!$B$24)*IF(AF19=1,C19-'Исходные данные'!$B$26+1,DAY(C19))/365)</f>
        <v>0</v>
      </c>
      <c r="AH19">
        <f>IF(OR(AF19&lt;1,AF19&gt;N('Исходные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данные'!$B$25)-AG19))</f>
        <v>0</v>
      </c>
      <c r="AI19">
        <f>IF(OR('Исходные данные'!$B$22&lt;&gt;"Да",AE19+AD19&lt;=0),0,IF(AND('Исходные данные'!$B$91&lt;&gt;"",B19&lt;&gt;"",YEAR(B19)=YEAR('Исходные данные'!$B$91),MONTH(B19)=MONTH('Исходные данные'!$B$91)),-(AE19+AD19),IF(OR(AF19&lt;1,AF19&gt;N('Исходные данные'!$B$25)),0,IF('Исходные данные'!$B$27="Равными долями",-MIN(AE19+AD19,N('Исходные данные'!$B$23)/N('Исходные данные'!$B$25)),-MIN(AE19+AD19,IF(AF19=N('Исходные данные'!$B$25),AE19+AD19,MAX(0,AH19+AG19)))))))</f>
        <v>0</v>
      </c>
      <c r="AJ19">
        <f t="shared" si="5"/>
        <v>0</v>
      </c>
      <c r="AK19">
        <f t="shared" si="6"/>
        <v>0</v>
      </c>
      <c r="AL19">
        <f>IF(OR(B19="",'Исходные данные'!$B$51&lt;&gt;"Да",'Исходные данные'!$B$61=""),0,IF(AND(YEAR(B19)=YEAR('Исходные данные'!$B$61),MONTH(B19)=MONTH('Исходные данные'!$B$61)),N('Исходные данные'!$B$18)*N('Исходные данные'!$B$62),0))</f>
        <v>0</v>
      </c>
      <c r="AM19">
        <f t="shared" si="18"/>
        <v>0</v>
      </c>
      <c r="AN19">
        <f t="shared" si="7"/>
        <v>0</v>
      </c>
      <c r="AO19">
        <f t="shared" si="8"/>
        <v>0</v>
      </c>
      <c r="AP19">
        <f>IF('Исходные данные'!$B$51="Да",-MAX(0,AN19-AO19-AM19),0)</f>
        <v>0</v>
      </c>
      <c r="AQ19">
        <f>IF('Исходные данные'!$B$51="Да",MAX(0,AM19+AO19-AN19),0)</f>
        <v>0</v>
      </c>
      <c r="AR19">
        <f>IF('Исходные данные'!$B$53="Выручка",MAX(0,L19+(Q19-R19)+(U19-V19)),IF('Исходные данные'!$B$53="Прибыль до налога",MAX(0,L19+(Q19-R19)+(U19-V19)+N('Исходные данные'!$B$54)*((O19+P19)+(S19+T19)+W19+X19)+IF('Исходные данные'!$B$55="Да",AG19,0)-N('Исходные данные'!$B$56)/12),IF('Исходные данные'!$B$53="Пользовательская база",MAX(0,N('Исходные данные'!$B$57)/12),0)))</f>
        <v>0</v>
      </c>
      <c r="AS19">
        <f>IF(E19=1,-AR19*N('Исходные данные'!$B$50),0)</f>
        <v>0</v>
      </c>
      <c r="AT19">
        <f t="shared" si="9"/>
        <v>0</v>
      </c>
      <c r="AU19">
        <f>IF(OR(B19="",N('Исходные данные'!$B$80)&lt;=0,'Исходные данные'!$B$88=""),0,MAX(0,IF('Исходные данные'!$B$88="Последние 12 месяцев",SUMIFS($Y$2:$Y$194,$B$2:$B$194,"&gt;="&amp;EDATE(B19,-11),$B$2:$B$194,"&lt;="&amp;B19),IF('Исходные данные'!$B$88="Пользовательский NOI",N('Исходные данные'!$B$89),AT19))/N('Исходные данные'!$B$80)*(1+N('Исходные данные'!$B$81))))</f>
        <v>0</v>
      </c>
      <c r="AV19">
        <f>IF(OR(E19&lt;&gt;1,B19="",'Исходные данные'!$B$91=""),0,IF(AND(YEAR(B19)=YEAR('Исходные данные'!$B$91),MONTH(B19)=MONTH('Исходные данные'!$B$91)),AU19,0))</f>
        <v>0</v>
      </c>
      <c r="AW19">
        <f>-AV19*N('Исходные данные'!$B$73)</f>
        <v>0</v>
      </c>
      <c r="AX19">
        <f>IF(AV19=0,0,-N('Исходные данные'!$B$87)-IF('Исходные данные'!$B$82="Да",IF('Исходные данные'!$B$84="С выручки",AV19,IF('Исходные данные'!$B$84="С прибыли",MAX(0,AV19+AW19-IF('Исходные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9">
        <f t="shared" si="10"/>
        <v>0</v>
      </c>
      <c r="AZ19">
        <f t="shared" si="11"/>
        <v>0</v>
      </c>
      <c r="BA19">
        <f t="shared" si="12"/>
        <v>0</v>
      </c>
      <c r="BB19" t="str">
        <f t="shared" si="19"/>
        <v/>
      </c>
      <c r="BC19">
        <f>IF(OR(E19=0,'Исходные данные'!$B$9="",'Исходные данные'!$B$90=""),0,BA19/(1+'Исходные данные'!$B$90)^((D19-'Исходные данные'!$B$9)/365))</f>
        <v>0</v>
      </c>
      <c r="BD19">
        <f>IF(AND(E19=1,BB19&gt;=0,BB18&lt;0,MIN($BB$2:BB19)&lt;0),1,0)</f>
        <v>0</v>
      </c>
      <c r="BE19">
        <f t="shared" si="13"/>
        <v>0</v>
      </c>
      <c r="BF19">
        <f t="shared" si="14"/>
        <v>0</v>
      </c>
      <c r="BG19">
        <f t="shared" si="15"/>
        <v>0</v>
      </c>
      <c r="BH19">
        <f t="shared" si="16"/>
        <v>1</v>
      </c>
      <c r="BI19">
        <f>AZ19+N19+AP19-AR19*N('Исходные данные'!$B$50)</f>
        <v>0</v>
      </c>
      <c r="BJ19">
        <f t="shared" si="20"/>
        <v>0</v>
      </c>
      <c r="BK19">
        <f>IF(AND(BJ19&gt;=0,BJ18&lt;0,MIN($BJ$2:BJ19)&lt;0),1,0)</f>
        <v>0</v>
      </c>
    </row>
    <row r="20" spans="1:63" x14ac:dyDescent="0.2">
      <c r="A20">
        <v>19</v>
      </c>
      <c r="B20" t="str">
        <f>IF('Исходные данные'!$B$9="","",EDATE(DATE(YEAR('Исходные данные'!$B$9),MONTH('Исходные данные'!$B$9),1),A20-1))</f>
        <v/>
      </c>
      <c r="C20" t="str">
        <f t="shared" si="0"/>
        <v/>
      </c>
      <c r="D20" t="str">
        <f>IF(B20="","",IF('Исходные данные'!$B$91&lt;&gt;"",IF(AND(YEAR(B20)=YEAR('Исходные данные'!$B$91),MONTH(B20)=MONTH('Исходные данные'!$B$91)),'Исходные данные'!$B$91,IF('Исходные данные'!$B$13&lt;&gt;"",IF(AND(YEAR(B20)=YEAR('Исходные данные'!$B$13),MONTH(B20)=MONTH('Исходные данные'!$B$13)),'Исходные данные'!$B$13,IF('Исходные данные'!$B$26&lt;&gt;"",IF(AND(YEAR(B20)=YEAR('Исходные данные'!$B$26),MONTH(B20)=MONTH('Исходные данные'!$B$26)),'Исходные данные'!$B$26,IF(A20=1,'Исходные данные'!$B$9,C20)),IF(A20=1,'Исходные данные'!$B$9,C20))),IF('Исходные данные'!$B$26&lt;&gt;"",IF(AND(YEAR(B20)=YEAR('Исходные данные'!$B$26),MONTH(B20)=MONTH('Исходные данные'!$B$26)),'Исходные данные'!$B$26,IF(A20=1,'Исходные данные'!$B$9,C20)),IF(A20=1,'Исходные данные'!$B$9,C20)))),IF('Исходные данные'!$B$13&lt;&gt;"",IF(AND(YEAR(B20)=YEAR('Исходные данные'!$B$13),MONTH(B20)=MONTH('Исходные данные'!$B$13)),'Исходные данные'!$B$13,IF('Исходные данные'!$B$26&lt;&gt;"",IF(AND(YEAR(B20)=YEAR('Исходные данные'!$B$26),MONTH(B20)=MONTH('Исходные данные'!$B$26)),'Исходные данные'!$B$26,IF(A20=1,'Исходные данные'!$B$9,C20)),IF(A20=1,'Исходные данные'!$B$9,C20))),IF('Исходные данные'!$B$26&lt;&gt;"",IF(AND(YEAR(B20)=YEAR('Исходные данные'!$B$26),MONTH(B20)=MONTH('Исходные данные'!$B$26)),'Исходные данные'!$B$26,IF(A20=1,'Исходные данные'!$B$9,C20)),IF(A20=1,'Исходные данные'!$B$9,C20)))))</f>
        <v/>
      </c>
      <c r="E20">
        <f>IF(OR(B20="",'Исходные данные'!$B$91=""),0,--(B20&lt;=DATE(YEAR('Исходные данные'!$B$91),MONTH('Исходные данные'!$B$91),1)))</f>
        <v>0</v>
      </c>
      <c r="F20">
        <f>IF(OR(B20="",'Исходные данные'!$B$30="",C20&lt;'Исходные данные'!$B$30),0,DATEDIF(DATE(YEAR('Исходные данные'!$B$30),MONTH('Исходные данные'!$B$30),1),B20,"m")+1)</f>
        <v>0</v>
      </c>
      <c r="G20">
        <f t="shared" si="1"/>
        <v>0</v>
      </c>
      <c r="H20">
        <f>IF(F20=0,0,IF(G20=1,N('Исходные данные'!$B$31),IF(G20=2,N('Исходные данные'!$B$32),IF(G20=3,N('Исходные данные'!$B$33),N('Исходные данные'!$B$33)*(1+N('Исходные данные'!$B$34))^(G20-3)))))</f>
        <v>0</v>
      </c>
      <c r="I20">
        <f>IF(OR(F20=0,N('Исходные данные'!$B$5)=0,H20=0),0,'Исходные данные'!$B$5*H20*IF(AND(B20&lt;='Исходные данные'!$B$30,C20&gt;='Исходные данные'!$B$30),(C20-'Исходные данные'!$B$30+1)/DAY(C20),1))</f>
        <v>0</v>
      </c>
      <c r="J20">
        <f>IF(AND(F20&gt;0,F20&lt;=N('Исходные данные'!$B$37)),-I20,0)</f>
        <v>0</v>
      </c>
      <c r="K20">
        <f>IF(OR(F20=0,F20&lt;=N('Исходные данные'!$B$37)),0,-(I20+J20)*N('Исходные данные'!$B$38))</f>
        <v>0</v>
      </c>
      <c r="L20">
        <f t="shared" si="2"/>
        <v>0</v>
      </c>
      <c r="M20">
        <f>IF('Исходные данные'!$B$51="Да",L20*N('Исходные данные'!$B$52),0)</f>
        <v>0</v>
      </c>
      <c r="N20">
        <f t="shared" si="3"/>
        <v>0</v>
      </c>
      <c r="O20">
        <f>IF(OR(B20="",IF('Исходные данные'!$B$45="",'Исходные данные'!$B$10,'Исходные данные'!$B$45)="",C20&lt;IF('Исходные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данные'!$B$45)),1),B20,"m")/12))*IF(AND(B20&lt;=IF('Исходные данные'!$B$45="",'Исходные данные'!$B$10,'Исходные данные'!$B$45),C20&gt;=IF('Исходные данные'!$B$45="",'Исходные данные'!$B$10,'Исходные данные'!$B$45)),(C20-IF('Исходные данные'!$B$45="",'Исходные данные'!$B$10,'Исходные данные'!$B$45)+1)/DAY(C20),1)*IF('Исходные данные'!$B$43="Без НДС",1+N('Исходные данные'!$B$44),1))</f>
        <v>0</v>
      </c>
      <c r="P20">
        <f>IF('Исходные данные'!$B$51="Да",-O20*N('Исходные данные'!$B$44)/(1+N('Исходные данные'!$B$44)),0)</f>
        <v>0</v>
      </c>
      <c r="Q20">
        <f>IF('Исходные данные'!$B$35="Да",-O20,0)</f>
        <v>0</v>
      </c>
      <c r="R20">
        <f>IF(AND('Исходные данные'!$B$51="Да",Q20&gt;0),Q20*N('Исходные данные'!$B$52)/(1+N('Исходные данные'!$B$52)),0)</f>
        <v>0</v>
      </c>
      <c r="S20">
        <f>IF(OR(B20="",IF('Исходные данные'!$B$45="",'Исходные данные'!$B$10,'Исходные данные'!$B$45)="",C20&lt;IF('Исходные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данные'!$B$45)),1),B20,"m")/12))*IF(AND(B20&lt;=IF('Исходные данные'!$B$45="",'Исходные данные'!$B$10,'Исходные данные'!$B$45),C20&gt;=IF('Исходные данные'!$B$45="",'Исходные данные'!$B$10,'Исходные данные'!$B$45)),(C20-IF('Исходные данные'!$B$45="",'Исходные данные'!$B$10,'Исходные данные'!$B$45)+1)/DAY(C20),1)*IF('Исходные данные'!$B$43="Без НДС",1+N('Исходные данные'!$B$44),1))</f>
        <v>0</v>
      </c>
      <c r="T20">
        <f>IF('Исходные данные'!$B$51="Да",-S20*N('Исходные данные'!$B$44)/(1+N('Исходные данные'!$B$44)),0)</f>
        <v>0</v>
      </c>
      <c r="U20">
        <f>IF('Исходные данные'!$B$36="Да",-S20,0)</f>
        <v>0</v>
      </c>
      <c r="V20">
        <f>IF(AND('Исходные данные'!$B$51="Да",U20&gt;0),U20*N('Исходные данные'!$B$52)/(1+N('Исходные данные'!$B$52)),0)</f>
        <v>0</v>
      </c>
      <c r="W20">
        <f>IF(OR(B20="",IF('Исходные данные'!$B$69="",'Исходные данные'!$B$10,'Исходные данные'!$B$69)="",C20&lt;IF('Исходные данные'!$B$69="",'Исходные данные'!$B$10,'Исходные данные'!$B$69)),0,-N('Исходные данные'!$B$16)*N('Исходные данные'!$B$68)*N('Исходные данные'!$B$67)/12*IF(AND(B20&lt;=IF('Исходные данные'!$B$69="",'Исходные данные'!$B$10,'Исходные данные'!$B$69),C20&gt;=IF('Исходные данные'!$B$69="",'Исходные данные'!$B$10,'Исходные данные'!$B$69)),(C20-IF('Исходные данные'!$B$69="",'Исходные данные'!$B$10,'Исходные данные'!$B$69)+1)/DAY(C20),1))</f>
        <v>0</v>
      </c>
      <c r="X20">
        <f>IF(OR(B20="",IF('Исходные данные'!$B$76="",'Исходные данные'!$B$10,'Исходные данные'!$B$76)="",C20&lt;IF('Исходные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данные'!$B$76)),1),B20,"m")/12))*IF(AND(B20&lt;=IF('Исходные данные'!$B$76="",'Исходные данные'!$B$10,'Исходные данные'!$B$76),C20&gt;=IF('Исходные данные'!$B$76="",'Исходные данные'!$B$10,'Исходные данные'!$B$76)),(C20-IF('Исходные данные'!$B$76="",'Исходные данные'!$B$10,'Исходные данные'!$B$76)+1)/DAY(C20),1))</f>
        <v>0</v>
      </c>
      <c r="Y20">
        <f t="shared" si="4"/>
        <v>0</v>
      </c>
      <c r="Z20">
        <f>IF(OR(B20="",N('Исходные данные'!$B$19)=0),0,-SUMIFS('Исходные данные'!$I$6:$I$186,'Исходные данные'!$F$6:$F$186,B20)*N('Исходные данные'!$B$17)/N('Исходные данные'!$B$19))</f>
        <v>0</v>
      </c>
      <c r="AA20">
        <f>IF(OR(B20="",N('Исходные данные'!$B$19)=0),0,-SUMIFS('Исходные данные'!$I$6:$I$186,'Исходные данные'!$F$6:$F$186,B20)*N('Исходные данные'!$B$18)/N('Исходные данные'!$B$19))</f>
        <v>0</v>
      </c>
      <c r="AB20">
        <f>IF(OR(B20="",'Исходные данные'!$B$13=""),0,IF(AND(YEAR(B20)=YEAR('Исходные данные'!$B$13),MONTH(B20)=MONTH('Исходные данные'!$B$13)),-N('Исходные данные'!$B$11),0))</f>
        <v>0</v>
      </c>
      <c r="AC20">
        <f>IF(A20=1,-N('Исходные данные'!$B$19)*N('Исходные данные'!$B$72),0)</f>
        <v>0</v>
      </c>
      <c r="AD20">
        <f>IF(OR(B20="",'Исходные данные'!$B$22&lt;&gt;"Да",'Исходные данные'!$B$26=""),0,IF(AND(YEAR(B20)=YEAR('Исходные данные'!$B$26),MONTH(B20)=MONTH('Исходные данные'!$B$26)),N('Исходные данные'!$B$23),0))</f>
        <v>0</v>
      </c>
      <c r="AE20">
        <f t="shared" si="17"/>
        <v>0</v>
      </c>
      <c r="AF20">
        <f>IF(OR('Исходные данные'!$B$22&lt;&gt;"Да",'Исходные данные'!$B$26="",C20&lt;'Исходные данные'!$B$26),0,DATEDIF(DATE(YEAR('Исходные данные'!$B$26),MONTH('Исходные данные'!$B$26),1),B20,"m")+1)</f>
        <v>0</v>
      </c>
      <c r="AG20">
        <f>IF(OR(AF20&lt;1,AF20&gt;N('Исходные данные'!$B$25),AE20+AD20&lt;=0),0,-(AE20+AD20)*N('Исходные данные'!$B$24)*IF(AF20=1,C20-'Исходные данные'!$B$26+1,DAY(C20))/365)</f>
        <v>0</v>
      </c>
      <c r="AH20">
        <f>IF(OR(AF20&lt;1,AF20&gt;N('Исходные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данные'!$B$25)-AG20))</f>
        <v>0</v>
      </c>
      <c r="AI20">
        <f>IF(OR('Исходные данные'!$B$22&lt;&gt;"Да",AE20+AD20&lt;=0),0,IF(AND('Исходные данные'!$B$91&lt;&gt;"",B20&lt;&gt;"",YEAR(B20)=YEAR('Исходные данные'!$B$91),MONTH(B20)=MONTH('Исходные данные'!$B$91)),-(AE20+AD20),IF(OR(AF20&lt;1,AF20&gt;N('Исходные данные'!$B$25)),0,IF('Исходные данные'!$B$27="Равными долями",-MIN(AE20+AD20,N('Исходные данные'!$B$23)/N('Исходные данные'!$B$25)),-MIN(AE20+AD20,IF(AF20=N('Исходные данные'!$B$25),AE20+AD20,MAX(0,AH20+AG20)))))))</f>
        <v>0</v>
      </c>
      <c r="AJ20">
        <f t="shared" si="5"/>
        <v>0</v>
      </c>
      <c r="AK20">
        <f t="shared" si="6"/>
        <v>0</v>
      </c>
      <c r="AL20">
        <f>IF(OR(B20="",'Исходные данные'!$B$51&lt;&gt;"Да",'Исходные данные'!$B$61=""),0,IF(AND(YEAR(B20)=YEAR('Исходные данные'!$B$61),MONTH(B20)=MONTH('Исходные данные'!$B$61)),N('Исходные данные'!$B$18)*N('Исходные данные'!$B$62),0))</f>
        <v>0</v>
      </c>
      <c r="AM20">
        <f t="shared" si="18"/>
        <v>0</v>
      </c>
      <c r="AN20">
        <f t="shared" si="7"/>
        <v>0</v>
      </c>
      <c r="AO20">
        <f t="shared" si="8"/>
        <v>0</v>
      </c>
      <c r="AP20">
        <f>IF('Исходные данные'!$B$51="Да",-MAX(0,AN20-AO20-AM20),0)</f>
        <v>0</v>
      </c>
      <c r="AQ20">
        <f>IF('Исходные данные'!$B$51="Да",MAX(0,AM20+AO20-AN20),0)</f>
        <v>0</v>
      </c>
      <c r="AR20">
        <f>IF('Исходные данные'!$B$53="Выручка",MAX(0,L20+(Q20-R20)+(U20-V20)),IF('Исходные данные'!$B$53="Прибыль до налога",MAX(0,L20+(Q20-R20)+(U20-V20)+N('Исходные данные'!$B$54)*((O20+P20)+(S20+T20)+W20+X20)+IF('Исходные данные'!$B$55="Да",AG20,0)-N('Исходные данные'!$B$56)/12),IF('Исходные данные'!$B$53="Пользовательская база",MAX(0,N('Исходные данные'!$B$57)/12),0)))</f>
        <v>0</v>
      </c>
      <c r="AS20">
        <f>IF(E20=1,-AR20*N('Исходные данные'!$B$50),0)</f>
        <v>0</v>
      </c>
      <c r="AT20">
        <f t="shared" si="9"/>
        <v>0</v>
      </c>
      <c r="AU20">
        <f>IF(OR(B20="",N('Исходные данные'!$B$80)&lt;=0,'Исходные данные'!$B$88=""),0,MAX(0,IF('Исходные данные'!$B$88="Последние 12 месяцев",SUMIFS($Y$2:$Y$194,$B$2:$B$194,"&gt;="&amp;EDATE(B20,-11),$B$2:$B$194,"&lt;="&amp;B20),IF('Исходные данные'!$B$88="Пользовательский NOI",N('Исходные данные'!$B$89),AT20))/N('Исходные данные'!$B$80)*(1+N('Исходные данные'!$B$81))))</f>
        <v>0</v>
      </c>
      <c r="AV20">
        <f>IF(OR(E20&lt;&gt;1,B20="",'Исходные данные'!$B$91=""),0,IF(AND(YEAR(B20)=YEAR('Исходные данные'!$B$91),MONTH(B20)=MONTH('Исходные данные'!$B$91)),AU20,0))</f>
        <v>0</v>
      </c>
      <c r="AW20">
        <f>-AV20*N('Исходные данные'!$B$73)</f>
        <v>0</v>
      </c>
      <c r="AX20">
        <f>IF(AV20=0,0,-N('Исходные данные'!$B$87)-IF('Исходные данные'!$B$82="Да",IF('Исходные данные'!$B$84="С выручки",AV20,IF('Исходные данные'!$B$84="С прибыли",MAX(0,AV20+AW20-IF('Исходные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0">
        <f t="shared" si="10"/>
        <v>0</v>
      </c>
      <c r="AZ20">
        <f t="shared" si="11"/>
        <v>0</v>
      </c>
      <c r="BA20">
        <f t="shared" si="12"/>
        <v>0</v>
      </c>
      <c r="BB20" t="str">
        <f t="shared" si="19"/>
        <v/>
      </c>
      <c r="BC20">
        <f>IF(OR(E20=0,'Исходные данные'!$B$9="",'Исходные данные'!$B$90=""),0,BA20/(1+'Исходные данные'!$B$90)^((D20-'Исходные данные'!$B$9)/365))</f>
        <v>0</v>
      </c>
      <c r="BD20">
        <f>IF(AND(E20=1,BB20&gt;=0,BB19&lt;0,MIN($BB$2:BB20)&lt;0),1,0)</f>
        <v>0</v>
      </c>
      <c r="BE20">
        <f t="shared" si="13"/>
        <v>0</v>
      </c>
      <c r="BF20">
        <f t="shared" si="14"/>
        <v>0</v>
      </c>
      <c r="BG20">
        <f t="shared" si="15"/>
        <v>0</v>
      </c>
      <c r="BH20">
        <f t="shared" si="16"/>
        <v>1</v>
      </c>
      <c r="BI20">
        <f>AZ20+N20+AP20-AR20*N('Исходные данные'!$B$50)</f>
        <v>0</v>
      </c>
      <c r="BJ20">
        <f t="shared" si="20"/>
        <v>0</v>
      </c>
      <c r="BK20">
        <f>IF(AND(BJ20&gt;=0,BJ19&lt;0,MIN($BJ$2:BJ20)&lt;0),1,0)</f>
        <v>0</v>
      </c>
    </row>
    <row r="21" spans="1:63" x14ac:dyDescent="0.2">
      <c r="A21">
        <v>20</v>
      </c>
      <c r="B21" t="str">
        <f>IF('Исходные данные'!$B$9="","",EDATE(DATE(YEAR('Исходные данные'!$B$9),MONTH('Исходные данные'!$B$9),1),A21-1))</f>
        <v/>
      </c>
      <c r="C21" t="str">
        <f t="shared" si="0"/>
        <v/>
      </c>
      <c r="D21" t="str">
        <f>IF(B21="","",IF('Исходные данные'!$B$91&lt;&gt;"",IF(AND(YEAR(B21)=YEAR('Исходные данные'!$B$91),MONTH(B21)=MONTH('Исходные данные'!$B$91)),'Исходные данные'!$B$91,IF('Исходные данные'!$B$13&lt;&gt;"",IF(AND(YEAR(B21)=YEAR('Исходные данные'!$B$13),MONTH(B21)=MONTH('Исходные данные'!$B$13)),'Исходные данные'!$B$13,IF('Исходные данные'!$B$26&lt;&gt;"",IF(AND(YEAR(B21)=YEAR('Исходные данные'!$B$26),MONTH(B21)=MONTH('Исходные данные'!$B$26)),'Исходные данные'!$B$26,IF(A21=1,'Исходные данные'!$B$9,C21)),IF(A21=1,'Исходные данные'!$B$9,C21))),IF('Исходные данные'!$B$26&lt;&gt;"",IF(AND(YEAR(B21)=YEAR('Исходные данные'!$B$26),MONTH(B21)=MONTH('Исходные данные'!$B$26)),'Исходные данные'!$B$26,IF(A21=1,'Исходные данные'!$B$9,C21)),IF(A21=1,'Исходные данные'!$B$9,C21)))),IF('Исходные данные'!$B$13&lt;&gt;"",IF(AND(YEAR(B21)=YEAR('Исходные данные'!$B$13),MONTH(B21)=MONTH('Исходные данные'!$B$13)),'Исходные данные'!$B$13,IF('Исходные данные'!$B$26&lt;&gt;"",IF(AND(YEAR(B21)=YEAR('Исходные данные'!$B$26),MONTH(B21)=MONTH('Исходные данные'!$B$26)),'Исходные данные'!$B$26,IF(A21=1,'Исходные данные'!$B$9,C21)),IF(A21=1,'Исходные данные'!$B$9,C21))),IF('Исходные данные'!$B$26&lt;&gt;"",IF(AND(YEAR(B21)=YEAR('Исходные данные'!$B$26),MONTH(B21)=MONTH('Исходные данные'!$B$26)),'Исходные данные'!$B$26,IF(A21=1,'Исходные данные'!$B$9,C21)),IF(A21=1,'Исходные данные'!$B$9,C21)))))</f>
        <v/>
      </c>
      <c r="E21">
        <f>IF(OR(B21="",'Исходные данные'!$B$91=""),0,--(B21&lt;=DATE(YEAR('Исходные данные'!$B$91),MONTH('Исходные данные'!$B$91),1)))</f>
        <v>0</v>
      </c>
      <c r="F21">
        <f>IF(OR(B21="",'Исходные данные'!$B$30="",C21&lt;'Исходные данные'!$B$30),0,DATEDIF(DATE(YEAR('Исходные данные'!$B$30),MONTH('Исходные данные'!$B$30),1),B21,"m")+1)</f>
        <v>0</v>
      </c>
      <c r="G21">
        <f t="shared" si="1"/>
        <v>0</v>
      </c>
      <c r="H21">
        <f>IF(F21=0,0,IF(G21=1,N('Исходные данные'!$B$31),IF(G21=2,N('Исходные данные'!$B$32),IF(G21=3,N('Исходные данные'!$B$33),N('Исходные данные'!$B$33)*(1+N('Исходные данные'!$B$34))^(G21-3)))))</f>
        <v>0</v>
      </c>
      <c r="I21">
        <f>IF(OR(F21=0,N('Исходные данные'!$B$5)=0,H21=0),0,'Исходные данные'!$B$5*H21*IF(AND(B21&lt;='Исходные данные'!$B$30,C21&gt;='Исходные данные'!$B$30),(C21-'Исходные данные'!$B$30+1)/DAY(C21),1))</f>
        <v>0</v>
      </c>
      <c r="J21">
        <f>IF(AND(F21&gt;0,F21&lt;=N('Исходные данные'!$B$37)),-I21,0)</f>
        <v>0</v>
      </c>
      <c r="K21">
        <f>IF(OR(F21=0,F21&lt;=N('Исходные данные'!$B$37)),0,-(I21+J21)*N('Исходные данные'!$B$38))</f>
        <v>0</v>
      </c>
      <c r="L21">
        <f t="shared" si="2"/>
        <v>0</v>
      </c>
      <c r="M21">
        <f>IF('Исходные данные'!$B$51="Да",L21*N('Исходные данные'!$B$52),0)</f>
        <v>0</v>
      </c>
      <c r="N21">
        <f t="shared" si="3"/>
        <v>0</v>
      </c>
      <c r="O21">
        <f>IF(OR(B21="",IF('Исходные данные'!$B$45="",'Исходные данные'!$B$10,'Исходные данные'!$B$45)="",C21&lt;IF('Исходные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данные'!$B$45)),1),B21,"m")/12))*IF(AND(B21&lt;=IF('Исходные данные'!$B$45="",'Исходные данные'!$B$10,'Исходные данные'!$B$45),C21&gt;=IF('Исходные данные'!$B$45="",'Исходные данные'!$B$10,'Исходные данные'!$B$45)),(C21-IF('Исходные данные'!$B$45="",'Исходные данные'!$B$10,'Исходные данные'!$B$45)+1)/DAY(C21),1)*IF('Исходные данные'!$B$43="Без НДС",1+N('Исходные данные'!$B$44),1))</f>
        <v>0</v>
      </c>
      <c r="P21">
        <f>IF('Исходные данные'!$B$51="Да",-O21*N('Исходные данные'!$B$44)/(1+N('Исходные данные'!$B$44)),0)</f>
        <v>0</v>
      </c>
      <c r="Q21">
        <f>IF('Исходные данные'!$B$35="Да",-O21,0)</f>
        <v>0</v>
      </c>
      <c r="R21">
        <f>IF(AND('Исходные данные'!$B$51="Да",Q21&gt;0),Q21*N('Исходные данные'!$B$52)/(1+N('Исходные данные'!$B$52)),0)</f>
        <v>0</v>
      </c>
      <c r="S21">
        <f>IF(OR(B21="",IF('Исходные данные'!$B$45="",'Исходные данные'!$B$10,'Исходные данные'!$B$45)="",C21&lt;IF('Исходные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данные'!$B$45)),1),B21,"m")/12))*IF(AND(B21&lt;=IF('Исходные данные'!$B$45="",'Исходные данные'!$B$10,'Исходные данные'!$B$45),C21&gt;=IF('Исходные данные'!$B$45="",'Исходные данные'!$B$10,'Исходные данные'!$B$45)),(C21-IF('Исходные данные'!$B$45="",'Исходные данные'!$B$10,'Исходные данные'!$B$45)+1)/DAY(C21),1)*IF('Исходные данные'!$B$43="Без НДС",1+N('Исходные данные'!$B$44),1))</f>
        <v>0</v>
      </c>
      <c r="T21">
        <f>IF('Исходные данные'!$B$51="Да",-S21*N('Исходные данные'!$B$44)/(1+N('Исходные данные'!$B$44)),0)</f>
        <v>0</v>
      </c>
      <c r="U21">
        <f>IF('Исходные данные'!$B$36="Да",-S21,0)</f>
        <v>0</v>
      </c>
      <c r="V21">
        <f>IF(AND('Исходные данные'!$B$51="Да",U21&gt;0),U21*N('Исходные данные'!$B$52)/(1+N('Исходные данные'!$B$52)),0)</f>
        <v>0</v>
      </c>
      <c r="W21">
        <f>IF(OR(B21="",IF('Исходные данные'!$B$69="",'Исходные данные'!$B$10,'Исходные данные'!$B$69)="",C21&lt;IF('Исходные данные'!$B$69="",'Исходные данные'!$B$10,'Исходные данные'!$B$69)),0,-N('Исходные данные'!$B$16)*N('Исходные данные'!$B$68)*N('Исходные данные'!$B$67)/12*IF(AND(B21&lt;=IF('Исходные данные'!$B$69="",'Исходные данные'!$B$10,'Исходные данные'!$B$69),C21&gt;=IF('Исходные данные'!$B$69="",'Исходные данные'!$B$10,'Исходные данные'!$B$69)),(C21-IF('Исходные данные'!$B$69="",'Исходные данные'!$B$10,'Исходные данные'!$B$69)+1)/DAY(C21),1))</f>
        <v>0</v>
      </c>
      <c r="X21">
        <f>IF(OR(B21="",IF('Исходные данные'!$B$76="",'Исходные данные'!$B$10,'Исходные данные'!$B$76)="",C21&lt;IF('Исходные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данные'!$B$76)),1),B21,"m")/12))*IF(AND(B21&lt;=IF('Исходные данные'!$B$76="",'Исходные данные'!$B$10,'Исходные данные'!$B$76),C21&gt;=IF('Исходные данные'!$B$76="",'Исходные данные'!$B$10,'Исходные данные'!$B$76)),(C21-IF('Исходные данные'!$B$76="",'Исходные данные'!$B$10,'Исходные данные'!$B$76)+1)/DAY(C21),1))</f>
        <v>0</v>
      </c>
      <c r="Y21">
        <f t="shared" si="4"/>
        <v>0</v>
      </c>
      <c r="Z21">
        <f>IF(OR(B21="",N('Исходные данные'!$B$19)=0),0,-SUMIFS('Исходные данные'!$I$6:$I$186,'Исходные данные'!$F$6:$F$186,B21)*N('Исходные данные'!$B$17)/N('Исходные данные'!$B$19))</f>
        <v>0</v>
      </c>
      <c r="AA21">
        <f>IF(OR(B21="",N('Исходные данные'!$B$19)=0),0,-SUMIFS('Исходные данные'!$I$6:$I$186,'Исходные данные'!$F$6:$F$186,B21)*N('Исходные данные'!$B$18)/N('Исходные данные'!$B$19))</f>
        <v>0</v>
      </c>
      <c r="AB21">
        <f>IF(OR(B21="",'Исходные данные'!$B$13=""),0,IF(AND(YEAR(B21)=YEAR('Исходные данные'!$B$13),MONTH(B21)=MONTH('Исходные данные'!$B$13)),-N('Исходные данные'!$B$11),0))</f>
        <v>0</v>
      </c>
      <c r="AC21">
        <f>IF(A21=1,-N('Исходные данные'!$B$19)*N('Исходные данные'!$B$72),0)</f>
        <v>0</v>
      </c>
      <c r="AD21">
        <f>IF(OR(B21="",'Исходные данные'!$B$22&lt;&gt;"Да",'Исходные данные'!$B$26=""),0,IF(AND(YEAR(B21)=YEAR('Исходные данные'!$B$26),MONTH(B21)=MONTH('Исходные данные'!$B$26)),N('Исходные данные'!$B$23),0))</f>
        <v>0</v>
      </c>
      <c r="AE21">
        <f t="shared" si="17"/>
        <v>0</v>
      </c>
      <c r="AF21">
        <f>IF(OR('Исходные данные'!$B$22&lt;&gt;"Да",'Исходные данные'!$B$26="",C21&lt;'Исходные данные'!$B$26),0,DATEDIF(DATE(YEAR('Исходные данные'!$B$26),MONTH('Исходные данные'!$B$26),1),B21,"m")+1)</f>
        <v>0</v>
      </c>
      <c r="AG21">
        <f>IF(OR(AF21&lt;1,AF21&gt;N('Исходные данные'!$B$25),AE21+AD21&lt;=0),0,-(AE21+AD21)*N('Исходные данные'!$B$24)*IF(AF21=1,C21-'Исходные данные'!$B$26+1,DAY(C21))/365)</f>
        <v>0</v>
      </c>
      <c r="AH21">
        <f>IF(OR(AF21&lt;1,AF21&gt;N('Исходные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данные'!$B$25)-AG21))</f>
        <v>0</v>
      </c>
      <c r="AI21">
        <f>IF(OR('Исходные данные'!$B$22&lt;&gt;"Да",AE21+AD21&lt;=0),0,IF(AND('Исходные данные'!$B$91&lt;&gt;"",B21&lt;&gt;"",YEAR(B21)=YEAR('Исходные данные'!$B$91),MONTH(B21)=MONTH('Исходные данные'!$B$91)),-(AE21+AD21),IF(OR(AF21&lt;1,AF21&gt;N('Исходные данные'!$B$25)),0,IF('Исходные данные'!$B$27="Равными долями",-MIN(AE21+AD21,N('Исходные данные'!$B$23)/N('Исходные данные'!$B$25)),-MIN(AE21+AD21,IF(AF21=N('Исходные данные'!$B$25),AE21+AD21,MAX(0,AH21+AG21)))))))</f>
        <v>0</v>
      </c>
      <c r="AJ21">
        <f t="shared" si="5"/>
        <v>0</v>
      </c>
      <c r="AK21">
        <f t="shared" si="6"/>
        <v>0</v>
      </c>
      <c r="AL21">
        <f>IF(OR(B21="",'Исходные данные'!$B$51&lt;&gt;"Да",'Исходные данные'!$B$61=""),0,IF(AND(YEAR(B21)=YEAR('Исходные данные'!$B$61),MONTH(B21)=MONTH('Исходные данные'!$B$61)),N('Исходные данные'!$B$18)*N('Исходные данные'!$B$62),0))</f>
        <v>0</v>
      </c>
      <c r="AM21">
        <f t="shared" si="18"/>
        <v>0</v>
      </c>
      <c r="AN21">
        <f t="shared" si="7"/>
        <v>0</v>
      </c>
      <c r="AO21">
        <f t="shared" si="8"/>
        <v>0</v>
      </c>
      <c r="AP21">
        <f>IF('Исходные данные'!$B$51="Да",-MAX(0,AN21-AO21-AM21),0)</f>
        <v>0</v>
      </c>
      <c r="AQ21">
        <f>IF('Исходные данные'!$B$51="Да",MAX(0,AM21+AO21-AN21),0)</f>
        <v>0</v>
      </c>
      <c r="AR21">
        <f>IF('Исходные данные'!$B$53="Выручка",MAX(0,L21+(Q21-R21)+(U21-V21)),IF('Исходные данные'!$B$53="Прибыль до налога",MAX(0,L21+(Q21-R21)+(U21-V21)+N('Исходные данные'!$B$54)*((O21+P21)+(S21+T21)+W21+X21)+IF('Исходные данные'!$B$55="Да",AG21,0)-N('Исходные данные'!$B$56)/12),IF('Исходные данные'!$B$53="Пользовательская база",MAX(0,N('Исходные данные'!$B$57)/12),0)))</f>
        <v>0</v>
      </c>
      <c r="AS21">
        <f>IF(E21=1,-AR21*N('Исходные данные'!$B$50),0)</f>
        <v>0</v>
      </c>
      <c r="AT21">
        <f t="shared" si="9"/>
        <v>0</v>
      </c>
      <c r="AU21">
        <f>IF(OR(B21="",N('Исходные данные'!$B$80)&lt;=0,'Исходные данные'!$B$88=""),0,MAX(0,IF('Исходные данные'!$B$88="Последние 12 месяцев",SUMIFS($Y$2:$Y$194,$B$2:$B$194,"&gt;="&amp;EDATE(B21,-11),$B$2:$B$194,"&lt;="&amp;B21),IF('Исходные данные'!$B$88="Пользовательский NOI",N('Исходные данные'!$B$89),AT21))/N('Исходные данные'!$B$80)*(1+N('Исходные данные'!$B$81))))</f>
        <v>0</v>
      </c>
      <c r="AV21">
        <f>IF(OR(E21&lt;&gt;1,B21="",'Исходные данные'!$B$91=""),0,IF(AND(YEAR(B21)=YEAR('Исходные данные'!$B$91),MONTH(B21)=MONTH('Исходные данные'!$B$91)),AU21,0))</f>
        <v>0</v>
      </c>
      <c r="AW21">
        <f>-AV21*N('Исходные данные'!$B$73)</f>
        <v>0</v>
      </c>
      <c r="AX21">
        <f>IF(AV21=0,0,-N('Исходные данные'!$B$87)-IF('Исходные данные'!$B$82="Да",IF('Исходные данные'!$B$84="С выручки",AV21,IF('Исходные данные'!$B$84="С прибыли",MAX(0,AV21+AW21-IF('Исходные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1">
        <f t="shared" si="10"/>
        <v>0</v>
      </c>
      <c r="AZ21">
        <f t="shared" si="11"/>
        <v>0</v>
      </c>
      <c r="BA21">
        <f t="shared" si="12"/>
        <v>0</v>
      </c>
      <c r="BB21" t="str">
        <f t="shared" si="19"/>
        <v/>
      </c>
      <c r="BC21">
        <f>IF(OR(E21=0,'Исходные данные'!$B$9="",'Исходные данные'!$B$90=""),0,BA21/(1+'Исходные данные'!$B$90)^((D21-'Исходные данные'!$B$9)/365))</f>
        <v>0</v>
      </c>
      <c r="BD21">
        <f>IF(AND(E21=1,BB21&gt;=0,BB20&lt;0,MIN($BB$2:BB21)&lt;0),1,0)</f>
        <v>0</v>
      </c>
      <c r="BE21">
        <f t="shared" si="13"/>
        <v>0</v>
      </c>
      <c r="BF21">
        <f t="shared" si="14"/>
        <v>0</v>
      </c>
      <c r="BG21">
        <f t="shared" si="15"/>
        <v>0</v>
      </c>
      <c r="BH21">
        <f t="shared" si="16"/>
        <v>1</v>
      </c>
      <c r="BI21">
        <f>AZ21+N21+AP21-AR21*N('Исходные данные'!$B$50)</f>
        <v>0</v>
      </c>
      <c r="BJ21">
        <f t="shared" si="20"/>
        <v>0</v>
      </c>
      <c r="BK21">
        <f>IF(AND(BJ21&gt;=0,BJ20&lt;0,MIN($BJ$2:BJ21)&lt;0),1,0)</f>
        <v>0</v>
      </c>
    </row>
    <row r="22" spans="1:63" x14ac:dyDescent="0.2">
      <c r="A22">
        <v>21</v>
      </c>
      <c r="B22" t="str">
        <f>IF('Исходные данные'!$B$9="","",EDATE(DATE(YEAR('Исходные данные'!$B$9),MONTH('Исходные данные'!$B$9),1),A22-1))</f>
        <v/>
      </c>
      <c r="C22" t="str">
        <f t="shared" si="0"/>
        <v/>
      </c>
      <c r="D22" t="str">
        <f>IF(B22="","",IF('Исходные данные'!$B$91&lt;&gt;"",IF(AND(YEAR(B22)=YEAR('Исходные данные'!$B$91),MONTH(B22)=MONTH('Исходные данные'!$B$91)),'Исходные данные'!$B$91,IF('Исходные данные'!$B$13&lt;&gt;"",IF(AND(YEAR(B22)=YEAR('Исходные данные'!$B$13),MONTH(B22)=MONTH('Исходные данные'!$B$13)),'Исходные данные'!$B$13,IF('Исходные данные'!$B$26&lt;&gt;"",IF(AND(YEAR(B22)=YEAR('Исходные данные'!$B$26),MONTH(B22)=MONTH('Исходные данные'!$B$26)),'Исходные данные'!$B$26,IF(A22=1,'Исходные данные'!$B$9,C22)),IF(A22=1,'Исходные данные'!$B$9,C22))),IF('Исходные данные'!$B$26&lt;&gt;"",IF(AND(YEAR(B22)=YEAR('Исходные данные'!$B$26),MONTH(B22)=MONTH('Исходные данные'!$B$26)),'Исходные данные'!$B$26,IF(A22=1,'Исходные данные'!$B$9,C22)),IF(A22=1,'Исходные данные'!$B$9,C22)))),IF('Исходные данные'!$B$13&lt;&gt;"",IF(AND(YEAR(B22)=YEAR('Исходные данные'!$B$13),MONTH(B22)=MONTH('Исходные данные'!$B$13)),'Исходные данные'!$B$13,IF('Исходные данные'!$B$26&lt;&gt;"",IF(AND(YEAR(B22)=YEAR('Исходные данные'!$B$26),MONTH(B22)=MONTH('Исходные данные'!$B$26)),'Исходные данные'!$B$26,IF(A22=1,'Исходные данные'!$B$9,C22)),IF(A22=1,'Исходные данные'!$B$9,C22))),IF('Исходные данные'!$B$26&lt;&gt;"",IF(AND(YEAR(B22)=YEAR('Исходные данные'!$B$26),MONTH(B22)=MONTH('Исходные данные'!$B$26)),'Исходные данные'!$B$26,IF(A22=1,'Исходные данные'!$B$9,C22)),IF(A22=1,'Исходные данные'!$B$9,C22)))))</f>
        <v/>
      </c>
      <c r="E22">
        <f>IF(OR(B22="",'Исходные данные'!$B$91=""),0,--(B22&lt;=DATE(YEAR('Исходные данные'!$B$91),MONTH('Исходные данные'!$B$91),1)))</f>
        <v>0</v>
      </c>
      <c r="F22">
        <f>IF(OR(B22="",'Исходные данные'!$B$30="",C22&lt;'Исходные данные'!$B$30),0,DATEDIF(DATE(YEAR('Исходные данные'!$B$30),MONTH('Исходные данные'!$B$30),1),B22,"m")+1)</f>
        <v>0</v>
      </c>
      <c r="G22">
        <f t="shared" si="1"/>
        <v>0</v>
      </c>
      <c r="H22">
        <f>IF(F22=0,0,IF(G22=1,N('Исходные данные'!$B$31),IF(G22=2,N('Исходные данные'!$B$32),IF(G22=3,N('Исходные данные'!$B$33),N('Исходные данные'!$B$33)*(1+N('Исходные данные'!$B$34))^(G22-3)))))</f>
        <v>0</v>
      </c>
      <c r="I22">
        <f>IF(OR(F22=0,N('Исходные данные'!$B$5)=0,H22=0),0,'Исходные данные'!$B$5*H22*IF(AND(B22&lt;='Исходные данные'!$B$30,C22&gt;='Исходные данные'!$B$30),(C22-'Исходные данные'!$B$30+1)/DAY(C22),1))</f>
        <v>0</v>
      </c>
      <c r="J22">
        <f>IF(AND(F22&gt;0,F22&lt;=N('Исходные данные'!$B$37)),-I22,0)</f>
        <v>0</v>
      </c>
      <c r="K22">
        <f>IF(OR(F22=0,F22&lt;=N('Исходные данные'!$B$37)),0,-(I22+J22)*N('Исходные данные'!$B$38))</f>
        <v>0</v>
      </c>
      <c r="L22">
        <f t="shared" si="2"/>
        <v>0</v>
      </c>
      <c r="M22">
        <f>IF('Исходные данные'!$B$51="Да",L22*N('Исходные данные'!$B$52),0)</f>
        <v>0</v>
      </c>
      <c r="N22">
        <f t="shared" si="3"/>
        <v>0</v>
      </c>
      <c r="O22">
        <f>IF(OR(B22="",IF('Исходные данные'!$B$45="",'Исходные данные'!$B$10,'Исходные данные'!$B$45)="",C22&lt;IF('Исходные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данные'!$B$45)),1),B22,"m")/12))*IF(AND(B22&lt;=IF('Исходные данные'!$B$45="",'Исходные данные'!$B$10,'Исходные данные'!$B$45),C22&gt;=IF('Исходные данные'!$B$45="",'Исходные данные'!$B$10,'Исходные данные'!$B$45)),(C22-IF('Исходные данные'!$B$45="",'Исходные данные'!$B$10,'Исходные данные'!$B$45)+1)/DAY(C22),1)*IF('Исходные данные'!$B$43="Без НДС",1+N('Исходные данные'!$B$44),1))</f>
        <v>0</v>
      </c>
      <c r="P22">
        <f>IF('Исходные данные'!$B$51="Да",-O22*N('Исходные данные'!$B$44)/(1+N('Исходные данные'!$B$44)),0)</f>
        <v>0</v>
      </c>
      <c r="Q22">
        <f>IF('Исходные данные'!$B$35="Да",-O22,0)</f>
        <v>0</v>
      </c>
      <c r="R22">
        <f>IF(AND('Исходные данные'!$B$51="Да",Q22&gt;0),Q22*N('Исходные данные'!$B$52)/(1+N('Исходные данные'!$B$52)),0)</f>
        <v>0</v>
      </c>
      <c r="S22">
        <f>IF(OR(B22="",IF('Исходные данные'!$B$45="",'Исходные данные'!$B$10,'Исходные данные'!$B$45)="",C22&lt;IF('Исходные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данные'!$B$45)),1),B22,"m")/12))*IF(AND(B22&lt;=IF('Исходные данные'!$B$45="",'Исходные данные'!$B$10,'Исходные данные'!$B$45),C22&gt;=IF('Исходные данные'!$B$45="",'Исходные данные'!$B$10,'Исходные данные'!$B$45)),(C22-IF('Исходные данные'!$B$45="",'Исходные данные'!$B$10,'Исходные данные'!$B$45)+1)/DAY(C22),1)*IF('Исходные данные'!$B$43="Без НДС",1+N('Исходные данные'!$B$44),1))</f>
        <v>0</v>
      </c>
      <c r="T22">
        <f>IF('Исходные данные'!$B$51="Да",-S22*N('Исходные данные'!$B$44)/(1+N('Исходные данные'!$B$44)),0)</f>
        <v>0</v>
      </c>
      <c r="U22">
        <f>IF('Исходные данные'!$B$36="Да",-S22,0)</f>
        <v>0</v>
      </c>
      <c r="V22">
        <f>IF(AND('Исходные данные'!$B$51="Да",U22&gt;0),U22*N('Исходные данные'!$B$52)/(1+N('Исходные данные'!$B$52)),0)</f>
        <v>0</v>
      </c>
      <c r="W22">
        <f>IF(OR(B22="",IF('Исходные данные'!$B$69="",'Исходные данные'!$B$10,'Исходные данные'!$B$69)="",C22&lt;IF('Исходные данные'!$B$69="",'Исходные данные'!$B$10,'Исходные данные'!$B$69)),0,-N('Исходные данные'!$B$16)*N('Исходные данные'!$B$68)*N('Исходные данные'!$B$67)/12*IF(AND(B22&lt;=IF('Исходные данные'!$B$69="",'Исходные данные'!$B$10,'Исходные данные'!$B$69),C22&gt;=IF('Исходные данные'!$B$69="",'Исходные данные'!$B$10,'Исходные данные'!$B$69)),(C22-IF('Исходные данные'!$B$69="",'Исходные данные'!$B$10,'Исходные данные'!$B$69)+1)/DAY(C22),1))</f>
        <v>0</v>
      </c>
      <c r="X22">
        <f>IF(OR(B22="",IF('Исходные данные'!$B$76="",'Исходные данные'!$B$10,'Исходные данные'!$B$76)="",C22&lt;IF('Исходные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данные'!$B$76)),1),B22,"m")/12))*IF(AND(B22&lt;=IF('Исходные данные'!$B$76="",'Исходные данные'!$B$10,'Исходные данные'!$B$76),C22&gt;=IF('Исходные данные'!$B$76="",'Исходные данные'!$B$10,'Исходные данные'!$B$76)),(C22-IF('Исходные данные'!$B$76="",'Исходные данные'!$B$10,'Исходные данные'!$B$76)+1)/DAY(C22),1))</f>
        <v>0</v>
      </c>
      <c r="Y22">
        <f t="shared" si="4"/>
        <v>0</v>
      </c>
      <c r="Z22">
        <f>IF(OR(B22="",N('Исходные данные'!$B$19)=0),0,-SUMIFS('Исходные данные'!$I$6:$I$186,'Исходные данные'!$F$6:$F$186,B22)*N('Исходные данные'!$B$17)/N('Исходные данные'!$B$19))</f>
        <v>0</v>
      </c>
      <c r="AA22">
        <f>IF(OR(B22="",N('Исходные данные'!$B$19)=0),0,-SUMIFS('Исходные данные'!$I$6:$I$186,'Исходные данные'!$F$6:$F$186,B22)*N('Исходные данные'!$B$18)/N('Исходные данные'!$B$19))</f>
        <v>0</v>
      </c>
      <c r="AB22">
        <f>IF(OR(B22="",'Исходные данные'!$B$13=""),0,IF(AND(YEAR(B22)=YEAR('Исходные данные'!$B$13),MONTH(B22)=MONTH('Исходные данные'!$B$13)),-N('Исходные данные'!$B$11),0))</f>
        <v>0</v>
      </c>
      <c r="AC22">
        <f>IF(A22=1,-N('Исходные данные'!$B$19)*N('Исходные данные'!$B$72),0)</f>
        <v>0</v>
      </c>
      <c r="AD22">
        <f>IF(OR(B22="",'Исходные данные'!$B$22&lt;&gt;"Да",'Исходные данные'!$B$26=""),0,IF(AND(YEAR(B22)=YEAR('Исходные данные'!$B$26),MONTH(B22)=MONTH('Исходные данные'!$B$26)),N('Исходные данные'!$B$23),0))</f>
        <v>0</v>
      </c>
      <c r="AE22">
        <f t="shared" si="17"/>
        <v>0</v>
      </c>
      <c r="AF22">
        <f>IF(OR('Исходные данные'!$B$22&lt;&gt;"Да",'Исходные данные'!$B$26="",C22&lt;'Исходные данные'!$B$26),0,DATEDIF(DATE(YEAR('Исходные данные'!$B$26),MONTH('Исходные данные'!$B$26),1),B22,"m")+1)</f>
        <v>0</v>
      </c>
      <c r="AG22">
        <f>IF(OR(AF22&lt;1,AF22&gt;N('Исходные данные'!$B$25),AE22+AD22&lt;=0),0,-(AE22+AD22)*N('Исходные данные'!$B$24)*IF(AF22=1,C22-'Исходные данные'!$B$26+1,DAY(C22))/365)</f>
        <v>0</v>
      </c>
      <c r="AH22">
        <f>IF(OR(AF22&lt;1,AF22&gt;N('Исходные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данные'!$B$25)-AG22))</f>
        <v>0</v>
      </c>
      <c r="AI22">
        <f>IF(OR('Исходные данные'!$B$22&lt;&gt;"Да",AE22+AD22&lt;=0),0,IF(AND('Исходные данные'!$B$91&lt;&gt;"",B22&lt;&gt;"",YEAR(B22)=YEAR('Исходные данные'!$B$91),MONTH(B22)=MONTH('Исходные данные'!$B$91)),-(AE22+AD22),IF(OR(AF22&lt;1,AF22&gt;N('Исходные данные'!$B$25)),0,IF('Исходные данные'!$B$27="Равными долями",-MIN(AE22+AD22,N('Исходные данные'!$B$23)/N('Исходные данные'!$B$25)),-MIN(AE22+AD22,IF(AF22=N('Исходные данные'!$B$25),AE22+AD22,MAX(0,AH22+AG22)))))))</f>
        <v>0</v>
      </c>
      <c r="AJ22">
        <f t="shared" si="5"/>
        <v>0</v>
      </c>
      <c r="AK22">
        <f t="shared" si="6"/>
        <v>0</v>
      </c>
      <c r="AL22">
        <f>IF(OR(B22="",'Исходные данные'!$B$51&lt;&gt;"Да",'Исходные данные'!$B$61=""),0,IF(AND(YEAR(B22)=YEAR('Исходные данные'!$B$61),MONTH(B22)=MONTH('Исходные данные'!$B$61)),N('Исходные данные'!$B$18)*N('Исходные данные'!$B$62),0))</f>
        <v>0</v>
      </c>
      <c r="AM22">
        <f t="shared" si="18"/>
        <v>0</v>
      </c>
      <c r="AN22">
        <f t="shared" si="7"/>
        <v>0</v>
      </c>
      <c r="AO22">
        <f t="shared" si="8"/>
        <v>0</v>
      </c>
      <c r="AP22">
        <f>IF('Исходные данные'!$B$51="Да",-MAX(0,AN22-AO22-AM22),0)</f>
        <v>0</v>
      </c>
      <c r="AQ22">
        <f>IF('Исходные данные'!$B$51="Да",MAX(0,AM22+AO22-AN22),0)</f>
        <v>0</v>
      </c>
      <c r="AR22">
        <f>IF('Исходные данные'!$B$53="Выручка",MAX(0,L22+(Q22-R22)+(U22-V22)),IF('Исходные данные'!$B$53="Прибыль до налога",MAX(0,L22+(Q22-R22)+(U22-V22)+N('Исходные данные'!$B$54)*((O22+P22)+(S22+T22)+W22+X22)+IF('Исходные данные'!$B$55="Да",AG22,0)-N('Исходные данные'!$B$56)/12),IF('Исходные данные'!$B$53="Пользовательская база",MAX(0,N('Исходные данные'!$B$57)/12),0)))</f>
        <v>0</v>
      </c>
      <c r="AS22">
        <f>IF(E22=1,-AR22*N('Исходные данные'!$B$50),0)</f>
        <v>0</v>
      </c>
      <c r="AT22">
        <f t="shared" si="9"/>
        <v>0</v>
      </c>
      <c r="AU22">
        <f>IF(OR(B22="",N('Исходные данные'!$B$80)&lt;=0,'Исходные данные'!$B$88=""),0,MAX(0,IF('Исходные данные'!$B$88="Последние 12 месяцев",SUMIFS($Y$2:$Y$194,$B$2:$B$194,"&gt;="&amp;EDATE(B22,-11),$B$2:$B$194,"&lt;="&amp;B22),IF('Исходные данные'!$B$88="Пользовательский NOI",N('Исходные данные'!$B$89),AT22))/N('Исходные данные'!$B$80)*(1+N('Исходные данные'!$B$81))))</f>
        <v>0</v>
      </c>
      <c r="AV22">
        <f>IF(OR(E22&lt;&gt;1,B22="",'Исходные данные'!$B$91=""),0,IF(AND(YEAR(B22)=YEAR('Исходные данные'!$B$91),MONTH(B22)=MONTH('Исходные данные'!$B$91)),AU22,0))</f>
        <v>0</v>
      </c>
      <c r="AW22">
        <f>-AV22*N('Исходные данные'!$B$73)</f>
        <v>0</v>
      </c>
      <c r="AX22">
        <f>IF(AV22=0,0,-N('Исходные данные'!$B$87)-IF('Исходные данные'!$B$82="Да",IF('Исходные данные'!$B$84="С выручки",AV22,IF('Исходные данные'!$B$84="С прибыли",MAX(0,AV22+AW22-IF('Исходные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2">
        <f t="shared" si="10"/>
        <v>0</v>
      </c>
      <c r="AZ22">
        <f t="shared" si="11"/>
        <v>0</v>
      </c>
      <c r="BA22">
        <f t="shared" si="12"/>
        <v>0</v>
      </c>
      <c r="BB22" t="str">
        <f t="shared" si="19"/>
        <v/>
      </c>
      <c r="BC22">
        <f>IF(OR(E22=0,'Исходные данные'!$B$9="",'Исходные данные'!$B$90=""),0,BA22/(1+'Исходные данные'!$B$90)^((D22-'Исходные данные'!$B$9)/365))</f>
        <v>0</v>
      </c>
      <c r="BD22">
        <f>IF(AND(E22=1,BB22&gt;=0,BB21&lt;0,MIN($BB$2:BB22)&lt;0),1,0)</f>
        <v>0</v>
      </c>
      <c r="BE22">
        <f t="shared" si="13"/>
        <v>0</v>
      </c>
      <c r="BF22">
        <f t="shared" si="14"/>
        <v>0</v>
      </c>
      <c r="BG22">
        <f t="shared" si="15"/>
        <v>0</v>
      </c>
      <c r="BH22">
        <f t="shared" si="16"/>
        <v>1</v>
      </c>
      <c r="BI22">
        <f>AZ22+N22+AP22-AR22*N('Исходные данные'!$B$50)</f>
        <v>0</v>
      </c>
      <c r="BJ22">
        <f t="shared" si="20"/>
        <v>0</v>
      </c>
      <c r="BK22">
        <f>IF(AND(BJ22&gt;=0,BJ21&lt;0,MIN($BJ$2:BJ22)&lt;0),1,0)</f>
        <v>0</v>
      </c>
    </row>
    <row r="23" spans="1:63" x14ac:dyDescent="0.2">
      <c r="A23">
        <v>22</v>
      </c>
      <c r="B23" t="str">
        <f>IF('Исходные данные'!$B$9="","",EDATE(DATE(YEAR('Исходные данные'!$B$9),MONTH('Исходные данные'!$B$9),1),A23-1))</f>
        <v/>
      </c>
      <c r="C23" t="str">
        <f t="shared" si="0"/>
        <v/>
      </c>
      <c r="D23" t="str">
        <f>IF(B23="","",IF('Исходные данные'!$B$91&lt;&gt;"",IF(AND(YEAR(B23)=YEAR('Исходные данные'!$B$91),MONTH(B23)=MONTH('Исходные данные'!$B$91)),'Исходные данные'!$B$91,IF('Исходные данные'!$B$13&lt;&gt;"",IF(AND(YEAR(B23)=YEAR('Исходные данные'!$B$13),MONTH(B23)=MONTH('Исходные данные'!$B$13)),'Исходные данные'!$B$13,IF('Исходные данные'!$B$26&lt;&gt;"",IF(AND(YEAR(B23)=YEAR('Исходные данные'!$B$26),MONTH(B23)=MONTH('Исходные данные'!$B$26)),'Исходные данные'!$B$26,IF(A23=1,'Исходные данные'!$B$9,C23)),IF(A23=1,'Исходные данные'!$B$9,C23))),IF('Исходные данные'!$B$26&lt;&gt;"",IF(AND(YEAR(B23)=YEAR('Исходные данные'!$B$26),MONTH(B23)=MONTH('Исходные данные'!$B$26)),'Исходные данные'!$B$26,IF(A23=1,'Исходные данные'!$B$9,C23)),IF(A23=1,'Исходные данные'!$B$9,C23)))),IF('Исходные данные'!$B$13&lt;&gt;"",IF(AND(YEAR(B23)=YEAR('Исходные данные'!$B$13),MONTH(B23)=MONTH('Исходные данные'!$B$13)),'Исходные данные'!$B$13,IF('Исходные данные'!$B$26&lt;&gt;"",IF(AND(YEAR(B23)=YEAR('Исходные данные'!$B$26),MONTH(B23)=MONTH('Исходные данные'!$B$26)),'Исходные данные'!$B$26,IF(A23=1,'Исходные данные'!$B$9,C23)),IF(A23=1,'Исходные данные'!$B$9,C23))),IF('Исходные данные'!$B$26&lt;&gt;"",IF(AND(YEAR(B23)=YEAR('Исходные данные'!$B$26),MONTH(B23)=MONTH('Исходные данные'!$B$26)),'Исходные данные'!$B$26,IF(A23=1,'Исходные данные'!$B$9,C23)),IF(A23=1,'Исходные данные'!$B$9,C23)))))</f>
        <v/>
      </c>
      <c r="E23">
        <f>IF(OR(B23="",'Исходные данные'!$B$91=""),0,--(B23&lt;=DATE(YEAR('Исходные данные'!$B$91),MONTH('Исходные данные'!$B$91),1)))</f>
        <v>0</v>
      </c>
      <c r="F23">
        <f>IF(OR(B23="",'Исходные данные'!$B$30="",C23&lt;'Исходные данные'!$B$30),0,DATEDIF(DATE(YEAR('Исходные данные'!$B$30),MONTH('Исходные данные'!$B$30),1),B23,"m")+1)</f>
        <v>0</v>
      </c>
      <c r="G23">
        <f t="shared" si="1"/>
        <v>0</v>
      </c>
      <c r="H23">
        <f>IF(F23=0,0,IF(G23=1,N('Исходные данные'!$B$31),IF(G23=2,N('Исходные данные'!$B$32),IF(G23=3,N('Исходные данные'!$B$33),N('Исходные данные'!$B$33)*(1+N('Исходные данные'!$B$34))^(G23-3)))))</f>
        <v>0</v>
      </c>
      <c r="I23">
        <f>IF(OR(F23=0,N('Исходные данные'!$B$5)=0,H23=0),0,'Исходные данные'!$B$5*H23*IF(AND(B23&lt;='Исходные данные'!$B$30,C23&gt;='Исходные данные'!$B$30),(C23-'Исходные данные'!$B$30+1)/DAY(C23),1))</f>
        <v>0</v>
      </c>
      <c r="J23">
        <f>IF(AND(F23&gt;0,F23&lt;=N('Исходные данные'!$B$37)),-I23,0)</f>
        <v>0</v>
      </c>
      <c r="K23">
        <f>IF(OR(F23=0,F23&lt;=N('Исходные данные'!$B$37)),0,-(I23+J23)*N('Исходные данные'!$B$38))</f>
        <v>0</v>
      </c>
      <c r="L23">
        <f t="shared" si="2"/>
        <v>0</v>
      </c>
      <c r="M23">
        <f>IF('Исходные данные'!$B$51="Да",L23*N('Исходные данные'!$B$52),0)</f>
        <v>0</v>
      </c>
      <c r="N23">
        <f t="shared" si="3"/>
        <v>0</v>
      </c>
      <c r="O23">
        <f>IF(OR(B23="",IF('Исходные данные'!$B$45="",'Исходные данные'!$B$10,'Исходные данные'!$B$45)="",C23&lt;IF('Исходные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данные'!$B$45)),1),B23,"m")/12))*IF(AND(B23&lt;=IF('Исходные данные'!$B$45="",'Исходные данные'!$B$10,'Исходные данные'!$B$45),C23&gt;=IF('Исходные данные'!$B$45="",'Исходные данные'!$B$10,'Исходные данные'!$B$45)),(C23-IF('Исходные данные'!$B$45="",'Исходные данные'!$B$10,'Исходные данные'!$B$45)+1)/DAY(C23),1)*IF('Исходные данные'!$B$43="Без НДС",1+N('Исходные данные'!$B$44),1))</f>
        <v>0</v>
      </c>
      <c r="P23">
        <f>IF('Исходные данные'!$B$51="Да",-O23*N('Исходные данные'!$B$44)/(1+N('Исходные данные'!$B$44)),0)</f>
        <v>0</v>
      </c>
      <c r="Q23">
        <f>IF('Исходные данные'!$B$35="Да",-O23,0)</f>
        <v>0</v>
      </c>
      <c r="R23">
        <f>IF(AND('Исходные данные'!$B$51="Да",Q23&gt;0),Q23*N('Исходные данные'!$B$52)/(1+N('Исходные данные'!$B$52)),0)</f>
        <v>0</v>
      </c>
      <c r="S23">
        <f>IF(OR(B23="",IF('Исходные данные'!$B$45="",'Исходные данные'!$B$10,'Исходные данные'!$B$45)="",C23&lt;IF('Исходные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данные'!$B$45)),1),B23,"m")/12))*IF(AND(B23&lt;=IF('Исходные данные'!$B$45="",'Исходные данные'!$B$10,'Исходные данные'!$B$45),C23&gt;=IF('Исходные данные'!$B$45="",'Исходные данные'!$B$10,'Исходные данные'!$B$45)),(C23-IF('Исходные данные'!$B$45="",'Исходные данные'!$B$10,'Исходные данные'!$B$45)+1)/DAY(C23),1)*IF('Исходные данные'!$B$43="Без НДС",1+N('Исходные данные'!$B$44),1))</f>
        <v>0</v>
      </c>
      <c r="T23">
        <f>IF('Исходные данные'!$B$51="Да",-S23*N('Исходные данные'!$B$44)/(1+N('Исходные данные'!$B$44)),0)</f>
        <v>0</v>
      </c>
      <c r="U23">
        <f>IF('Исходные данные'!$B$36="Да",-S23,0)</f>
        <v>0</v>
      </c>
      <c r="V23">
        <f>IF(AND('Исходные данные'!$B$51="Да",U23&gt;0),U23*N('Исходные данные'!$B$52)/(1+N('Исходные данные'!$B$52)),0)</f>
        <v>0</v>
      </c>
      <c r="W23">
        <f>IF(OR(B23="",IF('Исходные данные'!$B$69="",'Исходные данные'!$B$10,'Исходные данные'!$B$69)="",C23&lt;IF('Исходные данные'!$B$69="",'Исходные данные'!$B$10,'Исходные данные'!$B$69)),0,-N('Исходные данные'!$B$16)*N('Исходные данные'!$B$68)*N('Исходные данные'!$B$67)/12*IF(AND(B23&lt;=IF('Исходные данные'!$B$69="",'Исходные данные'!$B$10,'Исходные данные'!$B$69),C23&gt;=IF('Исходные данные'!$B$69="",'Исходные данные'!$B$10,'Исходные данные'!$B$69)),(C23-IF('Исходные данные'!$B$69="",'Исходные данные'!$B$10,'Исходные данные'!$B$69)+1)/DAY(C23),1))</f>
        <v>0</v>
      </c>
      <c r="X23">
        <f>IF(OR(B23="",IF('Исходные данные'!$B$76="",'Исходные данные'!$B$10,'Исходные данные'!$B$76)="",C23&lt;IF('Исходные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данные'!$B$76)),1),B23,"m")/12))*IF(AND(B23&lt;=IF('Исходные данные'!$B$76="",'Исходные данные'!$B$10,'Исходные данные'!$B$76),C23&gt;=IF('Исходные данные'!$B$76="",'Исходные данные'!$B$10,'Исходные данные'!$B$76)),(C23-IF('Исходные данные'!$B$76="",'Исходные данные'!$B$10,'Исходные данные'!$B$76)+1)/DAY(C23),1))</f>
        <v>0</v>
      </c>
      <c r="Y23">
        <f t="shared" si="4"/>
        <v>0</v>
      </c>
      <c r="Z23">
        <f>IF(OR(B23="",N('Исходные данные'!$B$19)=0),0,-SUMIFS('Исходные данные'!$I$6:$I$186,'Исходные данные'!$F$6:$F$186,B23)*N('Исходные данные'!$B$17)/N('Исходные данные'!$B$19))</f>
        <v>0</v>
      </c>
      <c r="AA23">
        <f>IF(OR(B23="",N('Исходные данные'!$B$19)=0),0,-SUMIFS('Исходные данные'!$I$6:$I$186,'Исходные данные'!$F$6:$F$186,B23)*N('Исходные данные'!$B$18)/N('Исходные данные'!$B$19))</f>
        <v>0</v>
      </c>
      <c r="AB23">
        <f>IF(OR(B23="",'Исходные данные'!$B$13=""),0,IF(AND(YEAR(B23)=YEAR('Исходные данные'!$B$13),MONTH(B23)=MONTH('Исходные данные'!$B$13)),-N('Исходные данные'!$B$11),0))</f>
        <v>0</v>
      </c>
      <c r="AC23">
        <f>IF(A23=1,-N('Исходные данные'!$B$19)*N('Исходные данные'!$B$72),0)</f>
        <v>0</v>
      </c>
      <c r="AD23">
        <f>IF(OR(B23="",'Исходные данные'!$B$22&lt;&gt;"Да",'Исходные данные'!$B$26=""),0,IF(AND(YEAR(B23)=YEAR('Исходные данные'!$B$26),MONTH(B23)=MONTH('Исходные данные'!$B$26)),N('Исходные данные'!$B$23),0))</f>
        <v>0</v>
      </c>
      <c r="AE23">
        <f t="shared" si="17"/>
        <v>0</v>
      </c>
      <c r="AF23">
        <f>IF(OR('Исходные данные'!$B$22&lt;&gt;"Да",'Исходные данные'!$B$26="",C23&lt;'Исходные данные'!$B$26),0,DATEDIF(DATE(YEAR('Исходные данные'!$B$26),MONTH('Исходные данные'!$B$26),1),B23,"m")+1)</f>
        <v>0</v>
      </c>
      <c r="AG23">
        <f>IF(OR(AF23&lt;1,AF23&gt;N('Исходные данные'!$B$25),AE23+AD23&lt;=0),0,-(AE23+AD23)*N('Исходные данные'!$B$24)*IF(AF23=1,C23-'Исходные данные'!$B$26+1,DAY(C23))/365)</f>
        <v>0</v>
      </c>
      <c r="AH23">
        <f>IF(OR(AF23&lt;1,AF23&gt;N('Исходные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данные'!$B$25)-AG23))</f>
        <v>0</v>
      </c>
      <c r="AI23">
        <f>IF(OR('Исходные данные'!$B$22&lt;&gt;"Да",AE23+AD23&lt;=0),0,IF(AND('Исходные данные'!$B$91&lt;&gt;"",B23&lt;&gt;"",YEAR(B23)=YEAR('Исходные данные'!$B$91),MONTH(B23)=MONTH('Исходные данные'!$B$91)),-(AE23+AD23),IF(OR(AF23&lt;1,AF23&gt;N('Исходные данные'!$B$25)),0,IF('Исходные данные'!$B$27="Равными долями",-MIN(AE23+AD23,N('Исходные данные'!$B$23)/N('Исходные данные'!$B$25)),-MIN(AE23+AD23,IF(AF23=N('Исходные данные'!$B$25),AE23+AD23,MAX(0,AH23+AG23)))))))</f>
        <v>0</v>
      </c>
      <c r="AJ23">
        <f t="shared" si="5"/>
        <v>0</v>
      </c>
      <c r="AK23">
        <f t="shared" si="6"/>
        <v>0</v>
      </c>
      <c r="AL23">
        <f>IF(OR(B23="",'Исходные данные'!$B$51&lt;&gt;"Да",'Исходные данные'!$B$61=""),0,IF(AND(YEAR(B23)=YEAR('Исходные данные'!$B$61),MONTH(B23)=MONTH('Исходные данные'!$B$61)),N('Исходные данные'!$B$18)*N('Исходные данные'!$B$62),0))</f>
        <v>0</v>
      </c>
      <c r="AM23">
        <f t="shared" si="18"/>
        <v>0</v>
      </c>
      <c r="AN23">
        <f t="shared" si="7"/>
        <v>0</v>
      </c>
      <c r="AO23">
        <f t="shared" si="8"/>
        <v>0</v>
      </c>
      <c r="AP23">
        <f>IF('Исходные данные'!$B$51="Да",-MAX(0,AN23-AO23-AM23),0)</f>
        <v>0</v>
      </c>
      <c r="AQ23">
        <f>IF('Исходные данные'!$B$51="Да",MAX(0,AM23+AO23-AN23),0)</f>
        <v>0</v>
      </c>
      <c r="AR23">
        <f>IF('Исходные данные'!$B$53="Выручка",MAX(0,L23+(Q23-R23)+(U23-V23)),IF('Исходные данные'!$B$53="Прибыль до налога",MAX(0,L23+(Q23-R23)+(U23-V23)+N('Исходные данные'!$B$54)*((O23+P23)+(S23+T23)+W23+X23)+IF('Исходные данные'!$B$55="Да",AG23,0)-N('Исходные данные'!$B$56)/12),IF('Исходные данные'!$B$53="Пользовательская база",MAX(0,N('Исходные данные'!$B$57)/12),0)))</f>
        <v>0</v>
      </c>
      <c r="AS23">
        <f>IF(E23=1,-AR23*N('Исходные данные'!$B$50),0)</f>
        <v>0</v>
      </c>
      <c r="AT23">
        <f t="shared" si="9"/>
        <v>0</v>
      </c>
      <c r="AU23">
        <f>IF(OR(B23="",N('Исходные данные'!$B$80)&lt;=0,'Исходные данные'!$B$88=""),0,MAX(0,IF('Исходные данные'!$B$88="Последние 12 месяцев",SUMIFS($Y$2:$Y$194,$B$2:$B$194,"&gt;="&amp;EDATE(B23,-11),$B$2:$B$194,"&lt;="&amp;B23),IF('Исходные данные'!$B$88="Пользовательский NOI",N('Исходные данные'!$B$89),AT23))/N('Исходные данные'!$B$80)*(1+N('Исходные данные'!$B$81))))</f>
        <v>0</v>
      </c>
      <c r="AV23">
        <f>IF(OR(E23&lt;&gt;1,B23="",'Исходные данные'!$B$91=""),0,IF(AND(YEAR(B23)=YEAR('Исходные данные'!$B$91),MONTH(B23)=MONTH('Исходные данные'!$B$91)),AU23,0))</f>
        <v>0</v>
      </c>
      <c r="AW23">
        <f>-AV23*N('Исходные данные'!$B$73)</f>
        <v>0</v>
      </c>
      <c r="AX23">
        <f>IF(AV23=0,0,-N('Исходные данные'!$B$87)-IF('Исходные данные'!$B$82="Да",IF('Исходные данные'!$B$84="С выручки",AV23,IF('Исходные данные'!$B$84="С прибыли",MAX(0,AV23+AW23-IF('Исходные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3">
        <f t="shared" si="10"/>
        <v>0</v>
      </c>
      <c r="AZ23">
        <f t="shared" si="11"/>
        <v>0</v>
      </c>
      <c r="BA23">
        <f t="shared" si="12"/>
        <v>0</v>
      </c>
      <c r="BB23" t="str">
        <f t="shared" si="19"/>
        <v/>
      </c>
      <c r="BC23">
        <f>IF(OR(E23=0,'Исходные данные'!$B$9="",'Исходные данные'!$B$90=""),0,BA23/(1+'Исходные данные'!$B$90)^((D23-'Исходные данные'!$B$9)/365))</f>
        <v>0</v>
      </c>
      <c r="BD23">
        <f>IF(AND(E23=1,BB23&gt;=0,BB22&lt;0,MIN($BB$2:BB23)&lt;0),1,0)</f>
        <v>0</v>
      </c>
      <c r="BE23">
        <f t="shared" si="13"/>
        <v>0</v>
      </c>
      <c r="BF23">
        <f t="shared" si="14"/>
        <v>0</v>
      </c>
      <c r="BG23">
        <f t="shared" si="15"/>
        <v>0</v>
      </c>
      <c r="BH23">
        <f t="shared" si="16"/>
        <v>1</v>
      </c>
      <c r="BI23">
        <f>AZ23+N23+AP23-AR23*N('Исходные данные'!$B$50)</f>
        <v>0</v>
      </c>
      <c r="BJ23">
        <f t="shared" si="20"/>
        <v>0</v>
      </c>
      <c r="BK23">
        <f>IF(AND(BJ23&gt;=0,BJ22&lt;0,MIN($BJ$2:BJ23)&lt;0),1,0)</f>
        <v>0</v>
      </c>
    </row>
    <row r="24" spans="1:63" x14ac:dyDescent="0.2">
      <c r="A24">
        <v>23</v>
      </c>
      <c r="B24" t="str">
        <f>IF('Исходные данные'!$B$9="","",EDATE(DATE(YEAR('Исходные данные'!$B$9),MONTH('Исходные данные'!$B$9),1),A24-1))</f>
        <v/>
      </c>
      <c r="C24" t="str">
        <f t="shared" si="0"/>
        <v/>
      </c>
      <c r="D24" t="str">
        <f>IF(B24="","",IF('Исходные данные'!$B$91&lt;&gt;"",IF(AND(YEAR(B24)=YEAR('Исходные данные'!$B$91),MONTH(B24)=MONTH('Исходные данные'!$B$91)),'Исходные данные'!$B$91,IF('Исходные данные'!$B$13&lt;&gt;"",IF(AND(YEAR(B24)=YEAR('Исходные данные'!$B$13),MONTH(B24)=MONTH('Исходные данные'!$B$13)),'Исходные данные'!$B$13,IF('Исходные данные'!$B$26&lt;&gt;"",IF(AND(YEAR(B24)=YEAR('Исходные данные'!$B$26),MONTH(B24)=MONTH('Исходные данные'!$B$26)),'Исходные данные'!$B$26,IF(A24=1,'Исходные данные'!$B$9,C24)),IF(A24=1,'Исходные данные'!$B$9,C24))),IF('Исходные данные'!$B$26&lt;&gt;"",IF(AND(YEAR(B24)=YEAR('Исходные данные'!$B$26),MONTH(B24)=MONTH('Исходные данные'!$B$26)),'Исходные данные'!$B$26,IF(A24=1,'Исходные данные'!$B$9,C24)),IF(A24=1,'Исходные данные'!$B$9,C24)))),IF('Исходные данные'!$B$13&lt;&gt;"",IF(AND(YEAR(B24)=YEAR('Исходные данные'!$B$13),MONTH(B24)=MONTH('Исходные данные'!$B$13)),'Исходные данные'!$B$13,IF('Исходные данные'!$B$26&lt;&gt;"",IF(AND(YEAR(B24)=YEAR('Исходные данные'!$B$26),MONTH(B24)=MONTH('Исходные данные'!$B$26)),'Исходные данные'!$B$26,IF(A24=1,'Исходные данные'!$B$9,C24)),IF(A24=1,'Исходные данные'!$B$9,C24))),IF('Исходные данные'!$B$26&lt;&gt;"",IF(AND(YEAR(B24)=YEAR('Исходные данные'!$B$26),MONTH(B24)=MONTH('Исходные данные'!$B$26)),'Исходные данные'!$B$26,IF(A24=1,'Исходные данные'!$B$9,C24)),IF(A24=1,'Исходные данные'!$B$9,C24)))))</f>
        <v/>
      </c>
      <c r="E24">
        <f>IF(OR(B24="",'Исходные данные'!$B$91=""),0,--(B24&lt;=DATE(YEAR('Исходные данные'!$B$91),MONTH('Исходные данные'!$B$91),1)))</f>
        <v>0</v>
      </c>
      <c r="F24">
        <f>IF(OR(B24="",'Исходные данные'!$B$30="",C24&lt;'Исходные данные'!$B$30),0,DATEDIF(DATE(YEAR('Исходные данные'!$B$30),MONTH('Исходные данные'!$B$30),1),B24,"m")+1)</f>
        <v>0</v>
      </c>
      <c r="G24">
        <f t="shared" si="1"/>
        <v>0</v>
      </c>
      <c r="H24">
        <f>IF(F24=0,0,IF(G24=1,N('Исходные данные'!$B$31),IF(G24=2,N('Исходные данные'!$B$32),IF(G24=3,N('Исходные данные'!$B$33),N('Исходные данные'!$B$33)*(1+N('Исходные данные'!$B$34))^(G24-3)))))</f>
        <v>0</v>
      </c>
      <c r="I24">
        <f>IF(OR(F24=0,N('Исходные данные'!$B$5)=0,H24=0),0,'Исходные данные'!$B$5*H24*IF(AND(B24&lt;='Исходные данные'!$B$30,C24&gt;='Исходные данные'!$B$30),(C24-'Исходные данные'!$B$30+1)/DAY(C24),1))</f>
        <v>0</v>
      </c>
      <c r="J24">
        <f>IF(AND(F24&gt;0,F24&lt;=N('Исходные данные'!$B$37)),-I24,0)</f>
        <v>0</v>
      </c>
      <c r="K24">
        <f>IF(OR(F24=0,F24&lt;=N('Исходные данные'!$B$37)),0,-(I24+J24)*N('Исходные данные'!$B$38))</f>
        <v>0</v>
      </c>
      <c r="L24">
        <f t="shared" si="2"/>
        <v>0</v>
      </c>
      <c r="M24">
        <f>IF('Исходные данные'!$B$51="Да",L24*N('Исходные данные'!$B$52),0)</f>
        <v>0</v>
      </c>
      <c r="N24">
        <f t="shared" si="3"/>
        <v>0</v>
      </c>
      <c r="O24">
        <f>IF(OR(B24="",IF('Исходные данные'!$B$45="",'Исходные данные'!$B$10,'Исходные данные'!$B$45)="",C24&lt;IF('Исходные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данные'!$B$45)),1),B24,"m")/12))*IF(AND(B24&lt;=IF('Исходные данные'!$B$45="",'Исходные данные'!$B$10,'Исходные данные'!$B$45),C24&gt;=IF('Исходные данные'!$B$45="",'Исходные данные'!$B$10,'Исходные данные'!$B$45)),(C24-IF('Исходные данные'!$B$45="",'Исходные данные'!$B$10,'Исходные данные'!$B$45)+1)/DAY(C24),1)*IF('Исходные данные'!$B$43="Без НДС",1+N('Исходные данные'!$B$44),1))</f>
        <v>0</v>
      </c>
      <c r="P24">
        <f>IF('Исходные данные'!$B$51="Да",-O24*N('Исходные данные'!$B$44)/(1+N('Исходные данные'!$B$44)),0)</f>
        <v>0</v>
      </c>
      <c r="Q24">
        <f>IF('Исходные данные'!$B$35="Да",-O24,0)</f>
        <v>0</v>
      </c>
      <c r="R24">
        <f>IF(AND('Исходные данные'!$B$51="Да",Q24&gt;0),Q24*N('Исходные данные'!$B$52)/(1+N('Исходные данные'!$B$52)),0)</f>
        <v>0</v>
      </c>
      <c r="S24">
        <f>IF(OR(B24="",IF('Исходные данные'!$B$45="",'Исходные данные'!$B$10,'Исходные данные'!$B$45)="",C24&lt;IF('Исходные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данные'!$B$45)),1),B24,"m")/12))*IF(AND(B24&lt;=IF('Исходные данные'!$B$45="",'Исходные данные'!$B$10,'Исходные данные'!$B$45),C24&gt;=IF('Исходные данные'!$B$45="",'Исходные данные'!$B$10,'Исходные данные'!$B$45)),(C24-IF('Исходные данные'!$B$45="",'Исходные данные'!$B$10,'Исходные данные'!$B$45)+1)/DAY(C24),1)*IF('Исходные данные'!$B$43="Без НДС",1+N('Исходные данные'!$B$44),1))</f>
        <v>0</v>
      </c>
      <c r="T24">
        <f>IF('Исходные данные'!$B$51="Да",-S24*N('Исходные данные'!$B$44)/(1+N('Исходные данные'!$B$44)),0)</f>
        <v>0</v>
      </c>
      <c r="U24">
        <f>IF('Исходные данные'!$B$36="Да",-S24,0)</f>
        <v>0</v>
      </c>
      <c r="V24">
        <f>IF(AND('Исходные данные'!$B$51="Да",U24&gt;0),U24*N('Исходные данные'!$B$52)/(1+N('Исходные данные'!$B$52)),0)</f>
        <v>0</v>
      </c>
      <c r="W24">
        <f>IF(OR(B24="",IF('Исходные данные'!$B$69="",'Исходные данные'!$B$10,'Исходные данные'!$B$69)="",C24&lt;IF('Исходные данные'!$B$69="",'Исходные данные'!$B$10,'Исходные данные'!$B$69)),0,-N('Исходные данные'!$B$16)*N('Исходные данные'!$B$68)*N('Исходные данные'!$B$67)/12*IF(AND(B24&lt;=IF('Исходные данные'!$B$69="",'Исходные данные'!$B$10,'Исходные данные'!$B$69),C24&gt;=IF('Исходные данные'!$B$69="",'Исходные данные'!$B$10,'Исходные данные'!$B$69)),(C24-IF('Исходные данные'!$B$69="",'Исходные данные'!$B$10,'Исходные данные'!$B$69)+1)/DAY(C24),1))</f>
        <v>0</v>
      </c>
      <c r="X24">
        <f>IF(OR(B24="",IF('Исходные данные'!$B$76="",'Исходные данные'!$B$10,'Исходные данные'!$B$76)="",C24&lt;IF('Исходные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данные'!$B$76)),1),B24,"m")/12))*IF(AND(B24&lt;=IF('Исходные данные'!$B$76="",'Исходные данные'!$B$10,'Исходные данные'!$B$76),C24&gt;=IF('Исходные данные'!$B$76="",'Исходные данные'!$B$10,'Исходные данные'!$B$76)),(C24-IF('Исходные данные'!$B$76="",'Исходные данные'!$B$10,'Исходные данные'!$B$76)+1)/DAY(C24),1))</f>
        <v>0</v>
      </c>
      <c r="Y24">
        <f t="shared" si="4"/>
        <v>0</v>
      </c>
      <c r="Z24">
        <f>IF(OR(B24="",N('Исходные данные'!$B$19)=0),0,-SUMIFS('Исходные данные'!$I$6:$I$186,'Исходные данные'!$F$6:$F$186,B24)*N('Исходные данные'!$B$17)/N('Исходные данные'!$B$19))</f>
        <v>0</v>
      </c>
      <c r="AA24">
        <f>IF(OR(B24="",N('Исходные данные'!$B$19)=0),0,-SUMIFS('Исходные данные'!$I$6:$I$186,'Исходные данные'!$F$6:$F$186,B24)*N('Исходные данные'!$B$18)/N('Исходные данные'!$B$19))</f>
        <v>0</v>
      </c>
      <c r="AB24">
        <f>IF(OR(B24="",'Исходные данные'!$B$13=""),0,IF(AND(YEAR(B24)=YEAR('Исходные данные'!$B$13),MONTH(B24)=MONTH('Исходные данные'!$B$13)),-N('Исходные данные'!$B$11),0))</f>
        <v>0</v>
      </c>
      <c r="AC24">
        <f>IF(A24=1,-N('Исходные данные'!$B$19)*N('Исходные данные'!$B$72),0)</f>
        <v>0</v>
      </c>
      <c r="AD24">
        <f>IF(OR(B24="",'Исходные данные'!$B$22&lt;&gt;"Да",'Исходные данные'!$B$26=""),0,IF(AND(YEAR(B24)=YEAR('Исходные данные'!$B$26),MONTH(B24)=MONTH('Исходные данные'!$B$26)),N('Исходные данные'!$B$23),0))</f>
        <v>0</v>
      </c>
      <c r="AE24">
        <f t="shared" si="17"/>
        <v>0</v>
      </c>
      <c r="AF24">
        <f>IF(OR('Исходные данные'!$B$22&lt;&gt;"Да",'Исходные данные'!$B$26="",C24&lt;'Исходные данные'!$B$26),0,DATEDIF(DATE(YEAR('Исходные данные'!$B$26),MONTH('Исходные данные'!$B$26),1),B24,"m")+1)</f>
        <v>0</v>
      </c>
      <c r="AG24">
        <f>IF(OR(AF24&lt;1,AF24&gt;N('Исходные данные'!$B$25),AE24+AD24&lt;=0),0,-(AE24+AD24)*N('Исходные данные'!$B$24)*IF(AF24=1,C24-'Исходные данные'!$B$26+1,DAY(C24))/365)</f>
        <v>0</v>
      </c>
      <c r="AH24">
        <f>IF(OR(AF24&lt;1,AF24&gt;N('Исходные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данные'!$B$25)-AG24))</f>
        <v>0</v>
      </c>
      <c r="AI24">
        <f>IF(OR('Исходные данные'!$B$22&lt;&gt;"Да",AE24+AD24&lt;=0),0,IF(AND('Исходные данные'!$B$91&lt;&gt;"",B24&lt;&gt;"",YEAR(B24)=YEAR('Исходные данные'!$B$91),MONTH(B24)=MONTH('Исходные данные'!$B$91)),-(AE24+AD24),IF(OR(AF24&lt;1,AF24&gt;N('Исходные данные'!$B$25)),0,IF('Исходные данные'!$B$27="Равными долями",-MIN(AE24+AD24,N('Исходные данные'!$B$23)/N('Исходные данные'!$B$25)),-MIN(AE24+AD24,IF(AF24=N('Исходные данные'!$B$25),AE24+AD24,MAX(0,AH24+AG24)))))))</f>
        <v>0</v>
      </c>
      <c r="AJ24">
        <f t="shared" si="5"/>
        <v>0</v>
      </c>
      <c r="AK24">
        <f t="shared" si="6"/>
        <v>0</v>
      </c>
      <c r="AL24">
        <f>IF(OR(B24="",'Исходные данные'!$B$51&lt;&gt;"Да",'Исходные данные'!$B$61=""),0,IF(AND(YEAR(B24)=YEAR('Исходные данные'!$B$61),MONTH(B24)=MONTH('Исходные данные'!$B$61)),N('Исходные данные'!$B$18)*N('Исходные данные'!$B$62),0))</f>
        <v>0</v>
      </c>
      <c r="AM24">
        <f t="shared" si="18"/>
        <v>0</v>
      </c>
      <c r="AN24">
        <f t="shared" si="7"/>
        <v>0</v>
      </c>
      <c r="AO24">
        <f t="shared" si="8"/>
        <v>0</v>
      </c>
      <c r="AP24">
        <f>IF('Исходные данные'!$B$51="Да",-MAX(0,AN24-AO24-AM24),0)</f>
        <v>0</v>
      </c>
      <c r="AQ24">
        <f>IF('Исходные данные'!$B$51="Да",MAX(0,AM24+AO24-AN24),0)</f>
        <v>0</v>
      </c>
      <c r="AR24">
        <f>IF('Исходные данные'!$B$53="Выручка",MAX(0,L24+(Q24-R24)+(U24-V24)),IF('Исходные данные'!$B$53="Прибыль до налога",MAX(0,L24+(Q24-R24)+(U24-V24)+N('Исходные данные'!$B$54)*((O24+P24)+(S24+T24)+W24+X24)+IF('Исходные данные'!$B$55="Да",AG24,0)-N('Исходные данные'!$B$56)/12),IF('Исходные данные'!$B$53="Пользовательская база",MAX(0,N('Исходные данные'!$B$57)/12),0)))</f>
        <v>0</v>
      </c>
      <c r="AS24">
        <f>IF(E24=1,-AR24*N('Исходные данные'!$B$50),0)</f>
        <v>0</v>
      </c>
      <c r="AT24">
        <f t="shared" si="9"/>
        <v>0</v>
      </c>
      <c r="AU24">
        <f>IF(OR(B24="",N('Исходные данные'!$B$80)&lt;=0,'Исходные данные'!$B$88=""),0,MAX(0,IF('Исходные данные'!$B$88="Последние 12 месяцев",SUMIFS($Y$2:$Y$194,$B$2:$B$194,"&gt;="&amp;EDATE(B24,-11),$B$2:$B$194,"&lt;="&amp;B24),IF('Исходные данные'!$B$88="Пользовательский NOI",N('Исходные данные'!$B$89),AT24))/N('Исходные данные'!$B$80)*(1+N('Исходные данные'!$B$81))))</f>
        <v>0</v>
      </c>
      <c r="AV24">
        <f>IF(OR(E24&lt;&gt;1,B24="",'Исходные данные'!$B$91=""),0,IF(AND(YEAR(B24)=YEAR('Исходные данные'!$B$91),MONTH(B24)=MONTH('Исходные данные'!$B$91)),AU24,0))</f>
        <v>0</v>
      </c>
      <c r="AW24">
        <f>-AV24*N('Исходные данные'!$B$73)</f>
        <v>0</v>
      </c>
      <c r="AX24">
        <f>IF(AV24=0,0,-N('Исходные данные'!$B$87)-IF('Исходные данные'!$B$82="Да",IF('Исходные данные'!$B$84="С выручки",AV24,IF('Исходные данные'!$B$84="С прибыли",MAX(0,AV24+AW24-IF('Исходные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4">
        <f t="shared" si="10"/>
        <v>0</v>
      </c>
      <c r="AZ24">
        <f t="shared" si="11"/>
        <v>0</v>
      </c>
      <c r="BA24">
        <f t="shared" si="12"/>
        <v>0</v>
      </c>
      <c r="BB24" t="str">
        <f t="shared" si="19"/>
        <v/>
      </c>
      <c r="BC24">
        <f>IF(OR(E24=0,'Исходные данные'!$B$9="",'Исходные данные'!$B$90=""),0,BA24/(1+'Исходные данные'!$B$90)^((D24-'Исходные данные'!$B$9)/365))</f>
        <v>0</v>
      </c>
      <c r="BD24">
        <f>IF(AND(E24=1,BB24&gt;=0,BB23&lt;0,MIN($BB$2:BB24)&lt;0),1,0)</f>
        <v>0</v>
      </c>
      <c r="BE24">
        <f t="shared" si="13"/>
        <v>0</v>
      </c>
      <c r="BF24">
        <f t="shared" si="14"/>
        <v>0</v>
      </c>
      <c r="BG24">
        <f t="shared" si="15"/>
        <v>0</v>
      </c>
      <c r="BH24">
        <f t="shared" si="16"/>
        <v>1</v>
      </c>
      <c r="BI24">
        <f>AZ24+N24+AP24-AR24*N('Исходные данные'!$B$50)</f>
        <v>0</v>
      </c>
      <c r="BJ24">
        <f t="shared" si="20"/>
        <v>0</v>
      </c>
      <c r="BK24">
        <f>IF(AND(BJ24&gt;=0,BJ23&lt;0,MIN($BJ$2:BJ24)&lt;0),1,0)</f>
        <v>0</v>
      </c>
    </row>
    <row r="25" spans="1:63" x14ac:dyDescent="0.2">
      <c r="A25">
        <v>24</v>
      </c>
      <c r="B25" t="str">
        <f>IF('Исходные данные'!$B$9="","",EDATE(DATE(YEAR('Исходные данные'!$B$9),MONTH('Исходные данные'!$B$9),1),A25-1))</f>
        <v/>
      </c>
      <c r="C25" t="str">
        <f t="shared" si="0"/>
        <v/>
      </c>
      <c r="D25" t="str">
        <f>IF(B25="","",IF('Исходные данные'!$B$91&lt;&gt;"",IF(AND(YEAR(B25)=YEAR('Исходные данные'!$B$91),MONTH(B25)=MONTH('Исходные данные'!$B$91)),'Исходные данные'!$B$91,IF('Исходные данные'!$B$13&lt;&gt;"",IF(AND(YEAR(B25)=YEAR('Исходные данные'!$B$13),MONTH(B25)=MONTH('Исходные данные'!$B$13)),'Исходные данные'!$B$13,IF('Исходные данные'!$B$26&lt;&gt;"",IF(AND(YEAR(B25)=YEAR('Исходные данные'!$B$26),MONTH(B25)=MONTH('Исходные данные'!$B$26)),'Исходные данные'!$B$26,IF(A25=1,'Исходные данные'!$B$9,C25)),IF(A25=1,'Исходные данные'!$B$9,C25))),IF('Исходные данные'!$B$26&lt;&gt;"",IF(AND(YEAR(B25)=YEAR('Исходные данные'!$B$26),MONTH(B25)=MONTH('Исходные данные'!$B$26)),'Исходные данные'!$B$26,IF(A25=1,'Исходные данные'!$B$9,C25)),IF(A25=1,'Исходные данные'!$B$9,C25)))),IF('Исходные данные'!$B$13&lt;&gt;"",IF(AND(YEAR(B25)=YEAR('Исходные данные'!$B$13),MONTH(B25)=MONTH('Исходные данные'!$B$13)),'Исходные данные'!$B$13,IF('Исходные данные'!$B$26&lt;&gt;"",IF(AND(YEAR(B25)=YEAR('Исходные данные'!$B$26),MONTH(B25)=MONTH('Исходные данные'!$B$26)),'Исходные данные'!$B$26,IF(A25=1,'Исходные данные'!$B$9,C25)),IF(A25=1,'Исходные данные'!$B$9,C25))),IF('Исходные данные'!$B$26&lt;&gt;"",IF(AND(YEAR(B25)=YEAR('Исходные данные'!$B$26),MONTH(B25)=MONTH('Исходные данные'!$B$26)),'Исходные данные'!$B$26,IF(A25=1,'Исходные данные'!$B$9,C25)),IF(A25=1,'Исходные данные'!$B$9,C25)))))</f>
        <v/>
      </c>
      <c r="E25">
        <f>IF(OR(B25="",'Исходные данные'!$B$91=""),0,--(B25&lt;=DATE(YEAR('Исходные данные'!$B$91),MONTH('Исходные данные'!$B$91),1)))</f>
        <v>0</v>
      </c>
      <c r="F25">
        <f>IF(OR(B25="",'Исходные данные'!$B$30="",C25&lt;'Исходные данные'!$B$30),0,DATEDIF(DATE(YEAR('Исходные данные'!$B$30),MONTH('Исходные данные'!$B$30),1),B25,"m")+1)</f>
        <v>0</v>
      </c>
      <c r="G25">
        <f t="shared" si="1"/>
        <v>0</v>
      </c>
      <c r="H25">
        <f>IF(F25=0,0,IF(G25=1,N('Исходные данные'!$B$31),IF(G25=2,N('Исходные данные'!$B$32),IF(G25=3,N('Исходные данные'!$B$33),N('Исходные данные'!$B$33)*(1+N('Исходные данные'!$B$34))^(G25-3)))))</f>
        <v>0</v>
      </c>
      <c r="I25">
        <f>IF(OR(F25=0,N('Исходные данные'!$B$5)=0,H25=0),0,'Исходные данные'!$B$5*H25*IF(AND(B25&lt;='Исходные данные'!$B$30,C25&gt;='Исходные данные'!$B$30),(C25-'Исходные данные'!$B$30+1)/DAY(C25),1))</f>
        <v>0</v>
      </c>
      <c r="J25">
        <f>IF(AND(F25&gt;0,F25&lt;=N('Исходные данные'!$B$37)),-I25,0)</f>
        <v>0</v>
      </c>
      <c r="K25">
        <f>IF(OR(F25=0,F25&lt;=N('Исходные данные'!$B$37)),0,-(I25+J25)*N('Исходные данные'!$B$38))</f>
        <v>0</v>
      </c>
      <c r="L25">
        <f t="shared" si="2"/>
        <v>0</v>
      </c>
      <c r="M25">
        <f>IF('Исходные данные'!$B$51="Да",L25*N('Исходные данные'!$B$52),0)</f>
        <v>0</v>
      </c>
      <c r="N25">
        <f t="shared" si="3"/>
        <v>0</v>
      </c>
      <c r="O25">
        <f>IF(OR(B25="",IF('Исходные данные'!$B$45="",'Исходные данные'!$B$10,'Исходные данные'!$B$45)="",C25&lt;IF('Исходные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данные'!$B$45)),1),B25,"m")/12))*IF(AND(B25&lt;=IF('Исходные данные'!$B$45="",'Исходные данные'!$B$10,'Исходные данные'!$B$45),C25&gt;=IF('Исходные данные'!$B$45="",'Исходные данные'!$B$10,'Исходные данные'!$B$45)),(C25-IF('Исходные данные'!$B$45="",'Исходные данные'!$B$10,'Исходные данные'!$B$45)+1)/DAY(C25),1)*IF('Исходные данные'!$B$43="Без НДС",1+N('Исходные данные'!$B$44),1))</f>
        <v>0</v>
      </c>
      <c r="P25">
        <f>IF('Исходные данные'!$B$51="Да",-O25*N('Исходные данные'!$B$44)/(1+N('Исходные данные'!$B$44)),0)</f>
        <v>0</v>
      </c>
      <c r="Q25">
        <f>IF('Исходные данные'!$B$35="Да",-O25,0)</f>
        <v>0</v>
      </c>
      <c r="R25">
        <f>IF(AND('Исходные данные'!$B$51="Да",Q25&gt;0),Q25*N('Исходные данные'!$B$52)/(1+N('Исходные данные'!$B$52)),0)</f>
        <v>0</v>
      </c>
      <c r="S25">
        <f>IF(OR(B25="",IF('Исходные данные'!$B$45="",'Исходные данные'!$B$10,'Исходные данные'!$B$45)="",C25&lt;IF('Исходные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данные'!$B$45)),1),B25,"m")/12))*IF(AND(B25&lt;=IF('Исходные данные'!$B$45="",'Исходные данные'!$B$10,'Исходные данные'!$B$45),C25&gt;=IF('Исходные данные'!$B$45="",'Исходные данные'!$B$10,'Исходные данные'!$B$45)),(C25-IF('Исходные данные'!$B$45="",'Исходные данные'!$B$10,'Исходные данные'!$B$45)+1)/DAY(C25),1)*IF('Исходные данные'!$B$43="Без НДС",1+N('Исходные данные'!$B$44),1))</f>
        <v>0</v>
      </c>
      <c r="T25">
        <f>IF('Исходные данные'!$B$51="Да",-S25*N('Исходные данные'!$B$44)/(1+N('Исходные данные'!$B$44)),0)</f>
        <v>0</v>
      </c>
      <c r="U25">
        <f>IF('Исходные данные'!$B$36="Да",-S25,0)</f>
        <v>0</v>
      </c>
      <c r="V25">
        <f>IF(AND('Исходные данные'!$B$51="Да",U25&gt;0),U25*N('Исходные данные'!$B$52)/(1+N('Исходные данные'!$B$52)),0)</f>
        <v>0</v>
      </c>
      <c r="W25">
        <f>IF(OR(B25="",IF('Исходные данные'!$B$69="",'Исходные данные'!$B$10,'Исходные данные'!$B$69)="",C25&lt;IF('Исходные данные'!$B$69="",'Исходные данные'!$B$10,'Исходные данные'!$B$69)),0,-N('Исходные данные'!$B$16)*N('Исходные данные'!$B$68)*N('Исходные данные'!$B$67)/12*IF(AND(B25&lt;=IF('Исходные данные'!$B$69="",'Исходные данные'!$B$10,'Исходные данные'!$B$69),C25&gt;=IF('Исходные данные'!$B$69="",'Исходные данные'!$B$10,'Исходные данные'!$B$69)),(C25-IF('Исходные данные'!$B$69="",'Исходные данные'!$B$10,'Исходные данные'!$B$69)+1)/DAY(C25),1))</f>
        <v>0</v>
      </c>
      <c r="X25">
        <f>IF(OR(B25="",IF('Исходные данные'!$B$76="",'Исходные данные'!$B$10,'Исходные данные'!$B$76)="",C25&lt;IF('Исходные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данные'!$B$76)),1),B25,"m")/12))*IF(AND(B25&lt;=IF('Исходные данные'!$B$76="",'Исходные данные'!$B$10,'Исходные данные'!$B$76),C25&gt;=IF('Исходные данные'!$B$76="",'Исходные данные'!$B$10,'Исходные данные'!$B$76)),(C25-IF('Исходные данные'!$B$76="",'Исходные данные'!$B$10,'Исходные данные'!$B$76)+1)/DAY(C25),1))</f>
        <v>0</v>
      </c>
      <c r="Y25">
        <f t="shared" si="4"/>
        <v>0</v>
      </c>
      <c r="Z25">
        <f>IF(OR(B25="",N('Исходные данные'!$B$19)=0),0,-SUMIFS('Исходные данные'!$I$6:$I$186,'Исходные данные'!$F$6:$F$186,B25)*N('Исходные данные'!$B$17)/N('Исходные данные'!$B$19))</f>
        <v>0</v>
      </c>
      <c r="AA25">
        <f>IF(OR(B25="",N('Исходные данные'!$B$19)=0),0,-SUMIFS('Исходные данные'!$I$6:$I$186,'Исходные данные'!$F$6:$F$186,B25)*N('Исходные данные'!$B$18)/N('Исходные данные'!$B$19))</f>
        <v>0</v>
      </c>
      <c r="AB25">
        <f>IF(OR(B25="",'Исходные данные'!$B$13=""),0,IF(AND(YEAR(B25)=YEAR('Исходные данные'!$B$13),MONTH(B25)=MONTH('Исходные данные'!$B$13)),-N('Исходные данные'!$B$11),0))</f>
        <v>0</v>
      </c>
      <c r="AC25">
        <f>IF(A25=1,-N('Исходные данные'!$B$19)*N('Исходные данные'!$B$72),0)</f>
        <v>0</v>
      </c>
      <c r="AD25">
        <f>IF(OR(B25="",'Исходные данные'!$B$22&lt;&gt;"Да",'Исходные данные'!$B$26=""),0,IF(AND(YEAR(B25)=YEAR('Исходные данные'!$B$26),MONTH(B25)=MONTH('Исходные данные'!$B$26)),N('Исходные данные'!$B$23),0))</f>
        <v>0</v>
      </c>
      <c r="AE25">
        <f t="shared" si="17"/>
        <v>0</v>
      </c>
      <c r="AF25">
        <f>IF(OR('Исходные данные'!$B$22&lt;&gt;"Да",'Исходные данные'!$B$26="",C25&lt;'Исходные данные'!$B$26),0,DATEDIF(DATE(YEAR('Исходные данные'!$B$26),MONTH('Исходные данные'!$B$26),1),B25,"m")+1)</f>
        <v>0</v>
      </c>
      <c r="AG25">
        <f>IF(OR(AF25&lt;1,AF25&gt;N('Исходные данные'!$B$25),AE25+AD25&lt;=0),0,-(AE25+AD25)*N('Исходные данные'!$B$24)*IF(AF25=1,C25-'Исходные данные'!$B$26+1,DAY(C25))/365)</f>
        <v>0</v>
      </c>
      <c r="AH25">
        <f>IF(OR(AF25&lt;1,AF25&gt;N('Исходные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данные'!$B$25)-AG25))</f>
        <v>0</v>
      </c>
      <c r="AI25">
        <f>IF(OR('Исходные данные'!$B$22&lt;&gt;"Да",AE25+AD25&lt;=0),0,IF(AND('Исходные данные'!$B$91&lt;&gt;"",B25&lt;&gt;"",YEAR(B25)=YEAR('Исходные данные'!$B$91),MONTH(B25)=MONTH('Исходные данные'!$B$91)),-(AE25+AD25),IF(OR(AF25&lt;1,AF25&gt;N('Исходные данные'!$B$25)),0,IF('Исходные данные'!$B$27="Равными долями",-MIN(AE25+AD25,N('Исходные данные'!$B$23)/N('Исходные данные'!$B$25)),-MIN(AE25+AD25,IF(AF25=N('Исходные данные'!$B$25),AE25+AD25,MAX(0,AH25+AG25)))))))</f>
        <v>0</v>
      </c>
      <c r="AJ25">
        <f t="shared" si="5"/>
        <v>0</v>
      </c>
      <c r="AK25">
        <f t="shared" si="6"/>
        <v>0</v>
      </c>
      <c r="AL25">
        <f>IF(OR(B25="",'Исходные данные'!$B$51&lt;&gt;"Да",'Исходные данные'!$B$61=""),0,IF(AND(YEAR(B25)=YEAR('Исходные данные'!$B$61),MONTH(B25)=MONTH('Исходные данные'!$B$61)),N('Исходные данные'!$B$18)*N('Исходные данные'!$B$62),0))</f>
        <v>0</v>
      </c>
      <c r="AM25">
        <f t="shared" si="18"/>
        <v>0</v>
      </c>
      <c r="AN25">
        <f t="shared" si="7"/>
        <v>0</v>
      </c>
      <c r="AO25">
        <f t="shared" si="8"/>
        <v>0</v>
      </c>
      <c r="AP25">
        <f>IF('Исходные данные'!$B$51="Да",-MAX(0,AN25-AO25-AM25),0)</f>
        <v>0</v>
      </c>
      <c r="AQ25">
        <f>IF('Исходные данные'!$B$51="Да",MAX(0,AM25+AO25-AN25),0)</f>
        <v>0</v>
      </c>
      <c r="AR25">
        <f>IF('Исходные данные'!$B$53="Выручка",MAX(0,L25+(Q25-R25)+(U25-V25)),IF('Исходные данные'!$B$53="Прибыль до налога",MAX(0,L25+(Q25-R25)+(U25-V25)+N('Исходные данные'!$B$54)*((O25+P25)+(S25+T25)+W25+X25)+IF('Исходные данные'!$B$55="Да",AG25,0)-N('Исходные данные'!$B$56)/12),IF('Исходные данные'!$B$53="Пользовательская база",MAX(0,N('Исходные данные'!$B$57)/12),0)))</f>
        <v>0</v>
      </c>
      <c r="AS25">
        <f>IF(E25=1,-AR25*N('Исходные данные'!$B$50),0)</f>
        <v>0</v>
      </c>
      <c r="AT25">
        <f t="shared" si="9"/>
        <v>0</v>
      </c>
      <c r="AU25">
        <f>IF(OR(B25="",N('Исходные данные'!$B$80)&lt;=0,'Исходные данные'!$B$88=""),0,MAX(0,IF('Исходные данные'!$B$88="Последние 12 месяцев",SUMIFS($Y$2:$Y$194,$B$2:$B$194,"&gt;="&amp;EDATE(B25,-11),$B$2:$B$194,"&lt;="&amp;B25),IF('Исходные данные'!$B$88="Пользовательский NOI",N('Исходные данные'!$B$89),AT25))/N('Исходные данные'!$B$80)*(1+N('Исходные данные'!$B$81))))</f>
        <v>0</v>
      </c>
      <c r="AV25">
        <f>IF(OR(E25&lt;&gt;1,B25="",'Исходные данные'!$B$91=""),0,IF(AND(YEAR(B25)=YEAR('Исходные данные'!$B$91),MONTH(B25)=MONTH('Исходные данные'!$B$91)),AU25,0))</f>
        <v>0</v>
      </c>
      <c r="AW25">
        <f>-AV25*N('Исходные данные'!$B$73)</f>
        <v>0</v>
      </c>
      <c r="AX25">
        <f>IF(AV25=0,0,-N('Исходные данные'!$B$87)-IF('Исходные данные'!$B$82="Да",IF('Исходные данные'!$B$84="С выручки",AV25,IF('Исходные данные'!$B$84="С прибыли",MAX(0,AV25+AW25-IF('Исходные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5">
        <f t="shared" si="10"/>
        <v>0</v>
      </c>
      <c r="AZ25">
        <f t="shared" si="11"/>
        <v>0</v>
      </c>
      <c r="BA25">
        <f t="shared" si="12"/>
        <v>0</v>
      </c>
      <c r="BB25" t="str">
        <f t="shared" si="19"/>
        <v/>
      </c>
      <c r="BC25">
        <f>IF(OR(E25=0,'Исходные данные'!$B$9="",'Исходные данные'!$B$90=""),0,BA25/(1+'Исходные данные'!$B$90)^((D25-'Исходные данные'!$B$9)/365))</f>
        <v>0</v>
      </c>
      <c r="BD25">
        <f>IF(AND(E25=1,BB25&gt;=0,BB24&lt;0,MIN($BB$2:BB25)&lt;0),1,0)</f>
        <v>0</v>
      </c>
      <c r="BE25">
        <f t="shared" si="13"/>
        <v>0</v>
      </c>
      <c r="BF25">
        <f t="shared" si="14"/>
        <v>0</v>
      </c>
      <c r="BG25">
        <f t="shared" si="15"/>
        <v>0</v>
      </c>
      <c r="BH25">
        <f t="shared" si="16"/>
        <v>1</v>
      </c>
      <c r="BI25">
        <f>AZ25+N25+AP25-AR25*N('Исходные данные'!$B$50)</f>
        <v>0</v>
      </c>
      <c r="BJ25">
        <f t="shared" si="20"/>
        <v>0</v>
      </c>
      <c r="BK25">
        <f>IF(AND(BJ25&gt;=0,BJ24&lt;0,MIN($BJ$2:BJ25)&lt;0),1,0)</f>
        <v>0</v>
      </c>
    </row>
    <row r="26" spans="1:63" x14ac:dyDescent="0.2">
      <c r="A26">
        <v>25</v>
      </c>
      <c r="B26" t="str">
        <f>IF('Исходные данные'!$B$9="","",EDATE(DATE(YEAR('Исходные данные'!$B$9),MONTH('Исходные данные'!$B$9),1),A26-1))</f>
        <v/>
      </c>
      <c r="C26" t="str">
        <f t="shared" si="0"/>
        <v/>
      </c>
      <c r="D26" t="str">
        <f>IF(B26="","",IF('Исходные данные'!$B$91&lt;&gt;"",IF(AND(YEAR(B26)=YEAR('Исходные данные'!$B$91),MONTH(B26)=MONTH('Исходные данные'!$B$91)),'Исходные данные'!$B$91,IF('Исходные данные'!$B$13&lt;&gt;"",IF(AND(YEAR(B26)=YEAR('Исходные данные'!$B$13),MONTH(B26)=MONTH('Исходные данные'!$B$13)),'Исходные данные'!$B$13,IF('Исходные данные'!$B$26&lt;&gt;"",IF(AND(YEAR(B26)=YEAR('Исходные данные'!$B$26),MONTH(B26)=MONTH('Исходные данные'!$B$26)),'Исходные данные'!$B$26,IF(A26=1,'Исходные данные'!$B$9,C26)),IF(A26=1,'Исходные данные'!$B$9,C26))),IF('Исходные данные'!$B$26&lt;&gt;"",IF(AND(YEAR(B26)=YEAR('Исходные данные'!$B$26),MONTH(B26)=MONTH('Исходные данные'!$B$26)),'Исходные данные'!$B$26,IF(A26=1,'Исходные данные'!$B$9,C26)),IF(A26=1,'Исходные данные'!$B$9,C26)))),IF('Исходные данные'!$B$13&lt;&gt;"",IF(AND(YEAR(B26)=YEAR('Исходные данные'!$B$13),MONTH(B26)=MONTH('Исходные данные'!$B$13)),'Исходные данные'!$B$13,IF('Исходные данные'!$B$26&lt;&gt;"",IF(AND(YEAR(B26)=YEAR('Исходные данные'!$B$26),MONTH(B26)=MONTH('Исходные данные'!$B$26)),'Исходные данные'!$B$26,IF(A26=1,'Исходные данные'!$B$9,C26)),IF(A26=1,'Исходные данные'!$B$9,C26))),IF('Исходные данные'!$B$26&lt;&gt;"",IF(AND(YEAR(B26)=YEAR('Исходные данные'!$B$26),MONTH(B26)=MONTH('Исходные данные'!$B$26)),'Исходные данные'!$B$26,IF(A26=1,'Исходные данные'!$B$9,C26)),IF(A26=1,'Исходные данные'!$B$9,C26)))))</f>
        <v/>
      </c>
      <c r="E26">
        <f>IF(OR(B26="",'Исходные данные'!$B$91=""),0,--(B26&lt;=DATE(YEAR('Исходные данные'!$B$91),MONTH('Исходные данные'!$B$91),1)))</f>
        <v>0</v>
      </c>
      <c r="F26">
        <f>IF(OR(B26="",'Исходные данные'!$B$30="",C26&lt;'Исходные данные'!$B$30),0,DATEDIF(DATE(YEAR('Исходные данные'!$B$30),MONTH('Исходные данные'!$B$30),1),B26,"m")+1)</f>
        <v>0</v>
      </c>
      <c r="G26">
        <f t="shared" si="1"/>
        <v>0</v>
      </c>
      <c r="H26">
        <f>IF(F26=0,0,IF(G26=1,N('Исходные данные'!$B$31),IF(G26=2,N('Исходные данные'!$B$32),IF(G26=3,N('Исходные данные'!$B$33),N('Исходные данные'!$B$33)*(1+N('Исходные данные'!$B$34))^(G26-3)))))</f>
        <v>0</v>
      </c>
      <c r="I26">
        <f>IF(OR(F26=0,N('Исходные данные'!$B$5)=0,H26=0),0,'Исходные данные'!$B$5*H26*IF(AND(B26&lt;='Исходные данные'!$B$30,C26&gt;='Исходные данные'!$B$30),(C26-'Исходные данные'!$B$30+1)/DAY(C26),1))</f>
        <v>0</v>
      </c>
      <c r="J26">
        <f>IF(AND(F26&gt;0,F26&lt;=N('Исходные данные'!$B$37)),-I26,0)</f>
        <v>0</v>
      </c>
      <c r="K26">
        <f>IF(OR(F26=0,F26&lt;=N('Исходные данные'!$B$37)),0,-(I26+J26)*N('Исходные данные'!$B$38))</f>
        <v>0</v>
      </c>
      <c r="L26">
        <f t="shared" si="2"/>
        <v>0</v>
      </c>
      <c r="M26">
        <f>IF('Исходные данные'!$B$51="Да",L26*N('Исходные данные'!$B$52),0)</f>
        <v>0</v>
      </c>
      <c r="N26">
        <f t="shared" si="3"/>
        <v>0</v>
      </c>
      <c r="O26">
        <f>IF(OR(B26="",IF('Исходные данные'!$B$45="",'Исходные данные'!$B$10,'Исходные данные'!$B$45)="",C26&lt;IF('Исходные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данные'!$B$45)),1),B26,"m")/12))*IF(AND(B26&lt;=IF('Исходные данные'!$B$45="",'Исходные данные'!$B$10,'Исходные данные'!$B$45),C26&gt;=IF('Исходные данные'!$B$45="",'Исходные данные'!$B$10,'Исходные данные'!$B$45)),(C26-IF('Исходные данные'!$B$45="",'Исходные данные'!$B$10,'Исходные данные'!$B$45)+1)/DAY(C26),1)*IF('Исходные данные'!$B$43="Без НДС",1+N('Исходные данные'!$B$44),1))</f>
        <v>0</v>
      </c>
      <c r="P26">
        <f>IF('Исходные данные'!$B$51="Да",-O26*N('Исходные данные'!$B$44)/(1+N('Исходные данные'!$B$44)),0)</f>
        <v>0</v>
      </c>
      <c r="Q26">
        <f>IF('Исходные данные'!$B$35="Да",-O26,0)</f>
        <v>0</v>
      </c>
      <c r="R26">
        <f>IF(AND('Исходные данные'!$B$51="Да",Q26&gt;0),Q26*N('Исходные данные'!$B$52)/(1+N('Исходные данные'!$B$52)),0)</f>
        <v>0</v>
      </c>
      <c r="S26">
        <f>IF(OR(B26="",IF('Исходные данные'!$B$45="",'Исходные данные'!$B$10,'Исходные данные'!$B$45)="",C26&lt;IF('Исходные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данные'!$B$45)),1),B26,"m")/12))*IF(AND(B26&lt;=IF('Исходные данные'!$B$45="",'Исходные данные'!$B$10,'Исходные данные'!$B$45),C26&gt;=IF('Исходные данные'!$B$45="",'Исходные данные'!$B$10,'Исходные данные'!$B$45)),(C26-IF('Исходные данные'!$B$45="",'Исходные данные'!$B$10,'Исходные данные'!$B$45)+1)/DAY(C26),1)*IF('Исходные данные'!$B$43="Без НДС",1+N('Исходные данные'!$B$44),1))</f>
        <v>0</v>
      </c>
      <c r="T26">
        <f>IF('Исходные данные'!$B$51="Да",-S26*N('Исходные данные'!$B$44)/(1+N('Исходные данные'!$B$44)),0)</f>
        <v>0</v>
      </c>
      <c r="U26">
        <f>IF('Исходные данные'!$B$36="Да",-S26,0)</f>
        <v>0</v>
      </c>
      <c r="V26">
        <f>IF(AND('Исходные данные'!$B$51="Да",U26&gt;0),U26*N('Исходные данные'!$B$52)/(1+N('Исходные данные'!$B$52)),0)</f>
        <v>0</v>
      </c>
      <c r="W26">
        <f>IF(OR(B26="",IF('Исходные данные'!$B$69="",'Исходные данные'!$B$10,'Исходные данные'!$B$69)="",C26&lt;IF('Исходные данные'!$B$69="",'Исходные данные'!$B$10,'Исходные данные'!$B$69)),0,-N('Исходные данные'!$B$16)*N('Исходные данные'!$B$68)*N('Исходные данные'!$B$67)/12*IF(AND(B26&lt;=IF('Исходные данные'!$B$69="",'Исходные данные'!$B$10,'Исходные данные'!$B$69),C26&gt;=IF('Исходные данные'!$B$69="",'Исходные данные'!$B$10,'Исходные данные'!$B$69)),(C26-IF('Исходные данные'!$B$69="",'Исходные данные'!$B$10,'Исходные данные'!$B$69)+1)/DAY(C26),1))</f>
        <v>0</v>
      </c>
      <c r="X26">
        <f>IF(OR(B26="",IF('Исходные данные'!$B$76="",'Исходные данные'!$B$10,'Исходные данные'!$B$76)="",C26&lt;IF('Исходные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данные'!$B$76)),1),B26,"m")/12))*IF(AND(B26&lt;=IF('Исходные данные'!$B$76="",'Исходные данные'!$B$10,'Исходные данные'!$B$76),C26&gt;=IF('Исходные данные'!$B$76="",'Исходные данные'!$B$10,'Исходные данные'!$B$76)),(C26-IF('Исходные данные'!$B$76="",'Исходные данные'!$B$10,'Исходные данные'!$B$76)+1)/DAY(C26),1))</f>
        <v>0</v>
      </c>
      <c r="Y26">
        <f t="shared" si="4"/>
        <v>0</v>
      </c>
      <c r="Z26">
        <f>IF(OR(B26="",N('Исходные данные'!$B$19)=0),0,-SUMIFS('Исходные данные'!$I$6:$I$186,'Исходные данные'!$F$6:$F$186,B26)*N('Исходные данные'!$B$17)/N('Исходные данные'!$B$19))</f>
        <v>0</v>
      </c>
      <c r="AA26">
        <f>IF(OR(B26="",N('Исходные данные'!$B$19)=0),0,-SUMIFS('Исходные данные'!$I$6:$I$186,'Исходные данные'!$F$6:$F$186,B26)*N('Исходные данные'!$B$18)/N('Исходные данные'!$B$19))</f>
        <v>0</v>
      </c>
      <c r="AB26">
        <f>IF(OR(B26="",'Исходные данные'!$B$13=""),0,IF(AND(YEAR(B26)=YEAR('Исходные данные'!$B$13),MONTH(B26)=MONTH('Исходные данные'!$B$13)),-N('Исходные данные'!$B$11),0))</f>
        <v>0</v>
      </c>
      <c r="AC26">
        <f>IF(A26=1,-N('Исходные данные'!$B$19)*N('Исходные данные'!$B$72),0)</f>
        <v>0</v>
      </c>
      <c r="AD26">
        <f>IF(OR(B26="",'Исходные данные'!$B$22&lt;&gt;"Да",'Исходные данные'!$B$26=""),0,IF(AND(YEAR(B26)=YEAR('Исходные данные'!$B$26),MONTH(B26)=MONTH('Исходные данные'!$B$26)),N('Исходные данные'!$B$23),0))</f>
        <v>0</v>
      </c>
      <c r="AE26">
        <f t="shared" si="17"/>
        <v>0</v>
      </c>
      <c r="AF26">
        <f>IF(OR('Исходные данные'!$B$22&lt;&gt;"Да",'Исходные данные'!$B$26="",C26&lt;'Исходные данные'!$B$26),0,DATEDIF(DATE(YEAR('Исходные данные'!$B$26),MONTH('Исходные данные'!$B$26),1),B26,"m")+1)</f>
        <v>0</v>
      </c>
      <c r="AG26">
        <f>IF(OR(AF26&lt;1,AF26&gt;N('Исходные данные'!$B$25),AE26+AD26&lt;=0),0,-(AE26+AD26)*N('Исходные данные'!$B$24)*IF(AF26=1,C26-'Исходные данные'!$B$26+1,DAY(C26))/365)</f>
        <v>0</v>
      </c>
      <c r="AH26">
        <f>IF(OR(AF26&lt;1,AF26&gt;N('Исходные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данные'!$B$25)-AG26))</f>
        <v>0</v>
      </c>
      <c r="AI26">
        <f>IF(OR('Исходные данные'!$B$22&lt;&gt;"Да",AE26+AD26&lt;=0),0,IF(AND('Исходные данные'!$B$91&lt;&gt;"",B26&lt;&gt;"",YEAR(B26)=YEAR('Исходные данные'!$B$91),MONTH(B26)=MONTH('Исходные данные'!$B$91)),-(AE26+AD26),IF(OR(AF26&lt;1,AF26&gt;N('Исходные данные'!$B$25)),0,IF('Исходные данные'!$B$27="Равными долями",-MIN(AE26+AD26,N('Исходные данные'!$B$23)/N('Исходные данные'!$B$25)),-MIN(AE26+AD26,IF(AF26=N('Исходные данные'!$B$25),AE26+AD26,MAX(0,AH26+AG26)))))))</f>
        <v>0</v>
      </c>
      <c r="AJ26">
        <f t="shared" si="5"/>
        <v>0</v>
      </c>
      <c r="AK26">
        <f t="shared" si="6"/>
        <v>0</v>
      </c>
      <c r="AL26">
        <f>IF(OR(B26="",'Исходные данные'!$B$51&lt;&gt;"Да",'Исходные данные'!$B$61=""),0,IF(AND(YEAR(B26)=YEAR('Исходные данные'!$B$61),MONTH(B26)=MONTH('Исходные данные'!$B$61)),N('Исходные данные'!$B$18)*N('Исходные данные'!$B$62),0))</f>
        <v>0</v>
      </c>
      <c r="AM26">
        <f t="shared" si="18"/>
        <v>0</v>
      </c>
      <c r="AN26">
        <f t="shared" si="7"/>
        <v>0</v>
      </c>
      <c r="AO26">
        <f t="shared" si="8"/>
        <v>0</v>
      </c>
      <c r="AP26">
        <f>IF('Исходные данные'!$B$51="Да",-MAX(0,AN26-AO26-AM26),0)</f>
        <v>0</v>
      </c>
      <c r="AQ26">
        <f>IF('Исходные данные'!$B$51="Да",MAX(0,AM26+AO26-AN26),0)</f>
        <v>0</v>
      </c>
      <c r="AR26">
        <f>IF('Исходные данные'!$B$53="Выручка",MAX(0,L26+(Q26-R26)+(U26-V26)),IF('Исходные данные'!$B$53="Прибыль до налога",MAX(0,L26+(Q26-R26)+(U26-V26)+N('Исходные данные'!$B$54)*((O26+P26)+(S26+T26)+W26+X26)+IF('Исходные данные'!$B$55="Да",AG26,0)-N('Исходные данные'!$B$56)/12),IF('Исходные данные'!$B$53="Пользовательская база",MAX(0,N('Исходные данные'!$B$57)/12),0)))</f>
        <v>0</v>
      </c>
      <c r="AS26">
        <f>IF(E26=1,-AR26*N('Исходные данные'!$B$50),0)</f>
        <v>0</v>
      </c>
      <c r="AT26">
        <f t="shared" si="9"/>
        <v>0</v>
      </c>
      <c r="AU26">
        <f>IF(OR(B26="",N('Исходные данные'!$B$80)&lt;=0,'Исходные данные'!$B$88=""),0,MAX(0,IF('Исходные данные'!$B$88="Последние 12 месяцев",SUMIFS($Y$2:$Y$194,$B$2:$B$194,"&gt;="&amp;EDATE(B26,-11),$B$2:$B$194,"&lt;="&amp;B26),IF('Исходные данные'!$B$88="Пользовательский NOI",N('Исходные данные'!$B$89),AT26))/N('Исходные данные'!$B$80)*(1+N('Исходные данные'!$B$81))))</f>
        <v>0</v>
      </c>
      <c r="AV26">
        <f>IF(OR(E26&lt;&gt;1,B26="",'Исходные данные'!$B$91=""),0,IF(AND(YEAR(B26)=YEAR('Исходные данные'!$B$91),MONTH(B26)=MONTH('Исходные данные'!$B$91)),AU26,0))</f>
        <v>0</v>
      </c>
      <c r="AW26">
        <f>-AV26*N('Исходные данные'!$B$73)</f>
        <v>0</v>
      </c>
      <c r="AX26">
        <f>IF(AV26=0,0,-N('Исходные данные'!$B$87)-IF('Исходные данные'!$B$82="Да",IF('Исходные данные'!$B$84="С выручки",AV26,IF('Исходные данные'!$B$84="С прибыли",MAX(0,AV26+AW26-IF('Исходные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6">
        <f t="shared" si="10"/>
        <v>0</v>
      </c>
      <c r="AZ26">
        <f t="shared" si="11"/>
        <v>0</v>
      </c>
      <c r="BA26">
        <f t="shared" si="12"/>
        <v>0</v>
      </c>
      <c r="BB26" t="str">
        <f t="shared" si="19"/>
        <v/>
      </c>
      <c r="BC26">
        <f>IF(OR(E26=0,'Исходные данные'!$B$9="",'Исходные данные'!$B$90=""),0,BA26/(1+'Исходные данные'!$B$90)^((D26-'Исходные данные'!$B$9)/365))</f>
        <v>0</v>
      </c>
      <c r="BD26">
        <f>IF(AND(E26=1,BB26&gt;=0,BB25&lt;0,MIN($BB$2:BB26)&lt;0),1,0)</f>
        <v>0</v>
      </c>
      <c r="BE26">
        <f t="shared" si="13"/>
        <v>0</v>
      </c>
      <c r="BF26">
        <f t="shared" si="14"/>
        <v>0</v>
      </c>
      <c r="BG26">
        <f t="shared" si="15"/>
        <v>0</v>
      </c>
      <c r="BH26">
        <f t="shared" si="16"/>
        <v>1</v>
      </c>
      <c r="BI26">
        <f>AZ26+N26+AP26-AR26*N('Исходные данные'!$B$50)</f>
        <v>0</v>
      </c>
      <c r="BJ26">
        <f t="shared" si="20"/>
        <v>0</v>
      </c>
      <c r="BK26">
        <f>IF(AND(BJ26&gt;=0,BJ25&lt;0,MIN($BJ$2:BJ26)&lt;0),1,0)</f>
        <v>0</v>
      </c>
    </row>
    <row r="27" spans="1:63" x14ac:dyDescent="0.2">
      <c r="A27">
        <v>26</v>
      </c>
      <c r="B27" t="str">
        <f>IF('Исходные данные'!$B$9="","",EDATE(DATE(YEAR('Исходные данные'!$B$9),MONTH('Исходные данные'!$B$9),1),A27-1))</f>
        <v/>
      </c>
      <c r="C27" t="str">
        <f t="shared" si="0"/>
        <v/>
      </c>
      <c r="D27" t="str">
        <f>IF(B27="","",IF('Исходные данные'!$B$91&lt;&gt;"",IF(AND(YEAR(B27)=YEAR('Исходные данные'!$B$91),MONTH(B27)=MONTH('Исходные данные'!$B$91)),'Исходные данные'!$B$91,IF('Исходные данные'!$B$13&lt;&gt;"",IF(AND(YEAR(B27)=YEAR('Исходные данные'!$B$13),MONTH(B27)=MONTH('Исходные данные'!$B$13)),'Исходные данные'!$B$13,IF('Исходные данные'!$B$26&lt;&gt;"",IF(AND(YEAR(B27)=YEAR('Исходные данные'!$B$26),MONTH(B27)=MONTH('Исходные данные'!$B$26)),'Исходные данные'!$B$26,IF(A27=1,'Исходные данные'!$B$9,C27)),IF(A27=1,'Исходные данные'!$B$9,C27))),IF('Исходные данные'!$B$26&lt;&gt;"",IF(AND(YEAR(B27)=YEAR('Исходные данные'!$B$26),MONTH(B27)=MONTH('Исходные данные'!$B$26)),'Исходные данные'!$B$26,IF(A27=1,'Исходные данные'!$B$9,C27)),IF(A27=1,'Исходные данные'!$B$9,C27)))),IF('Исходные данные'!$B$13&lt;&gt;"",IF(AND(YEAR(B27)=YEAR('Исходные данные'!$B$13),MONTH(B27)=MONTH('Исходные данные'!$B$13)),'Исходные данные'!$B$13,IF('Исходные данные'!$B$26&lt;&gt;"",IF(AND(YEAR(B27)=YEAR('Исходные данные'!$B$26),MONTH(B27)=MONTH('Исходные данные'!$B$26)),'Исходные данные'!$B$26,IF(A27=1,'Исходные данные'!$B$9,C27)),IF(A27=1,'Исходные данные'!$B$9,C27))),IF('Исходные данные'!$B$26&lt;&gt;"",IF(AND(YEAR(B27)=YEAR('Исходные данные'!$B$26),MONTH(B27)=MONTH('Исходные данные'!$B$26)),'Исходные данные'!$B$26,IF(A27=1,'Исходные данные'!$B$9,C27)),IF(A27=1,'Исходные данные'!$B$9,C27)))))</f>
        <v/>
      </c>
      <c r="E27">
        <f>IF(OR(B27="",'Исходные данные'!$B$91=""),0,--(B27&lt;=DATE(YEAR('Исходные данные'!$B$91),MONTH('Исходные данные'!$B$91),1)))</f>
        <v>0</v>
      </c>
      <c r="F27">
        <f>IF(OR(B27="",'Исходные данные'!$B$30="",C27&lt;'Исходные данные'!$B$30),0,DATEDIF(DATE(YEAR('Исходные данные'!$B$30),MONTH('Исходные данные'!$B$30),1),B27,"m")+1)</f>
        <v>0</v>
      </c>
      <c r="G27">
        <f t="shared" si="1"/>
        <v>0</v>
      </c>
      <c r="H27">
        <f>IF(F27=0,0,IF(G27=1,N('Исходные данные'!$B$31),IF(G27=2,N('Исходные данные'!$B$32),IF(G27=3,N('Исходные данные'!$B$33),N('Исходные данные'!$B$33)*(1+N('Исходные данные'!$B$34))^(G27-3)))))</f>
        <v>0</v>
      </c>
      <c r="I27">
        <f>IF(OR(F27=0,N('Исходные данные'!$B$5)=0,H27=0),0,'Исходные данные'!$B$5*H27*IF(AND(B27&lt;='Исходные данные'!$B$30,C27&gt;='Исходные данные'!$B$30),(C27-'Исходные данные'!$B$30+1)/DAY(C27),1))</f>
        <v>0</v>
      </c>
      <c r="J27">
        <f>IF(AND(F27&gt;0,F27&lt;=N('Исходные данные'!$B$37)),-I27,0)</f>
        <v>0</v>
      </c>
      <c r="K27">
        <f>IF(OR(F27=0,F27&lt;=N('Исходные данные'!$B$37)),0,-(I27+J27)*N('Исходные данные'!$B$38))</f>
        <v>0</v>
      </c>
      <c r="L27">
        <f t="shared" si="2"/>
        <v>0</v>
      </c>
      <c r="M27">
        <f>IF('Исходные данные'!$B$51="Да",L27*N('Исходные данные'!$B$52),0)</f>
        <v>0</v>
      </c>
      <c r="N27">
        <f t="shared" si="3"/>
        <v>0</v>
      </c>
      <c r="O27">
        <f>IF(OR(B27="",IF('Исходные данные'!$B$45="",'Исходные данные'!$B$10,'Исходные данные'!$B$45)="",C27&lt;IF('Исходные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данные'!$B$45)),1),B27,"m")/12))*IF(AND(B27&lt;=IF('Исходные данные'!$B$45="",'Исходные данные'!$B$10,'Исходные данные'!$B$45),C27&gt;=IF('Исходные данные'!$B$45="",'Исходные данные'!$B$10,'Исходные данные'!$B$45)),(C27-IF('Исходные данные'!$B$45="",'Исходные данные'!$B$10,'Исходные данные'!$B$45)+1)/DAY(C27),1)*IF('Исходные данные'!$B$43="Без НДС",1+N('Исходные данные'!$B$44),1))</f>
        <v>0</v>
      </c>
      <c r="P27">
        <f>IF('Исходные данные'!$B$51="Да",-O27*N('Исходные данные'!$B$44)/(1+N('Исходные данные'!$B$44)),0)</f>
        <v>0</v>
      </c>
      <c r="Q27">
        <f>IF('Исходные данные'!$B$35="Да",-O27,0)</f>
        <v>0</v>
      </c>
      <c r="R27">
        <f>IF(AND('Исходные данные'!$B$51="Да",Q27&gt;0),Q27*N('Исходные данные'!$B$52)/(1+N('Исходные данные'!$B$52)),0)</f>
        <v>0</v>
      </c>
      <c r="S27">
        <f>IF(OR(B27="",IF('Исходные данные'!$B$45="",'Исходные данные'!$B$10,'Исходные данные'!$B$45)="",C27&lt;IF('Исходные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данные'!$B$45)),1),B27,"m")/12))*IF(AND(B27&lt;=IF('Исходные данные'!$B$45="",'Исходные данные'!$B$10,'Исходные данные'!$B$45),C27&gt;=IF('Исходные данные'!$B$45="",'Исходные данные'!$B$10,'Исходные данные'!$B$45)),(C27-IF('Исходные данные'!$B$45="",'Исходные данные'!$B$10,'Исходные данные'!$B$45)+1)/DAY(C27),1)*IF('Исходные данные'!$B$43="Без НДС",1+N('Исходные данные'!$B$44),1))</f>
        <v>0</v>
      </c>
      <c r="T27">
        <f>IF('Исходные данные'!$B$51="Да",-S27*N('Исходные данные'!$B$44)/(1+N('Исходные данные'!$B$44)),0)</f>
        <v>0</v>
      </c>
      <c r="U27">
        <f>IF('Исходные данные'!$B$36="Да",-S27,0)</f>
        <v>0</v>
      </c>
      <c r="V27">
        <f>IF(AND('Исходные данные'!$B$51="Да",U27&gt;0),U27*N('Исходные данные'!$B$52)/(1+N('Исходные данные'!$B$52)),0)</f>
        <v>0</v>
      </c>
      <c r="W27">
        <f>IF(OR(B27="",IF('Исходные данные'!$B$69="",'Исходные данные'!$B$10,'Исходные данные'!$B$69)="",C27&lt;IF('Исходные данные'!$B$69="",'Исходные данные'!$B$10,'Исходные данные'!$B$69)),0,-N('Исходные данные'!$B$16)*N('Исходные данные'!$B$68)*N('Исходные данные'!$B$67)/12*IF(AND(B27&lt;=IF('Исходные данные'!$B$69="",'Исходные данные'!$B$10,'Исходные данные'!$B$69),C27&gt;=IF('Исходные данные'!$B$69="",'Исходные данные'!$B$10,'Исходные данные'!$B$69)),(C27-IF('Исходные данные'!$B$69="",'Исходные данные'!$B$10,'Исходные данные'!$B$69)+1)/DAY(C27),1))</f>
        <v>0</v>
      </c>
      <c r="X27">
        <f>IF(OR(B27="",IF('Исходные данные'!$B$76="",'Исходные данные'!$B$10,'Исходные данные'!$B$76)="",C27&lt;IF('Исходные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данные'!$B$76)),1),B27,"m")/12))*IF(AND(B27&lt;=IF('Исходные данные'!$B$76="",'Исходные данные'!$B$10,'Исходные данные'!$B$76),C27&gt;=IF('Исходные данные'!$B$76="",'Исходные данные'!$B$10,'Исходные данные'!$B$76)),(C27-IF('Исходные данные'!$B$76="",'Исходные данные'!$B$10,'Исходные данные'!$B$76)+1)/DAY(C27),1))</f>
        <v>0</v>
      </c>
      <c r="Y27">
        <f t="shared" si="4"/>
        <v>0</v>
      </c>
      <c r="Z27">
        <f>IF(OR(B27="",N('Исходные данные'!$B$19)=0),0,-SUMIFS('Исходные данные'!$I$6:$I$186,'Исходные данные'!$F$6:$F$186,B27)*N('Исходные данные'!$B$17)/N('Исходные данные'!$B$19))</f>
        <v>0</v>
      </c>
      <c r="AA27">
        <f>IF(OR(B27="",N('Исходные данные'!$B$19)=0),0,-SUMIFS('Исходные данные'!$I$6:$I$186,'Исходные данные'!$F$6:$F$186,B27)*N('Исходные данные'!$B$18)/N('Исходные данные'!$B$19))</f>
        <v>0</v>
      </c>
      <c r="AB27">
        <f>IF(OR(B27="",'Исходные данные'!$B$13=""),0,IF(AND(YEAR(B27)=YEAR('Исходные данные'!$B$13),MONTH(B27)=MONTH('Исходные данные'!$B$13)),-N('Исходные данные'!$B$11),0))</f>
        <v>0</v>
      </c>
      <c r="AC27">
        <f>IF(A27=1,-N('Исходные данные'!$B$19)*N('Исходные данные'!$B$72),0)</f>
        <v>0</v>
      </c>
      <c r="AD27">
        <f>IF(OR(B27="",'Исходные данные'!$B$22&lt;&gt;"Да",'Исходные данные'!$B$26=""),0,IF(AND(YEAR(B27)=YEAR('Исходные данные'!$B$26),MONTH(B27)=MONTH('Исходные данные'!$B$26)),N('Исходные данные'!$B$23),0))</f>
        <v>0</v>
      </c>
      <c r="AE27">
        <f t="shared" si="17"/>
        <v>0</v>
      </c>
      <c r="AF27">
        <f>IF(OR('Исходные данные'!$B$22&lt;&gt;"Да",'Исходные данные'!$B$26="",C27&lt;'Исходные данные'!$B$26),0,DATEDIF(DATE(YEAR('Исходные данные'!$B$26),MONTH('Исходные данные'!$B$26),1),B27,"m")+1)</f>
        <v>0</v>
      </c>
      <c r="AG27">
        <f>IF(OR(AF27&lt;1,AF27&gt;N('Исходные данные'!$B$25),AE27+AD27&lt;=0),0,-(AE27+AD27)*N('Исходные данные'!$B$24)*IF(AF27=1,C27-'Исходные данные'!$B$26+1,DAY(C27))/365)</f>
        <v>0</v>
      </c>
      <c r="AH27">
        <f>IF(OR(AF27&lt;1,AF27&gt;N('Исходные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данные'!$B$25)-AG27))</f>
        <v>0</v>
      </c>
      <c r="AI27">
        <f>IF(OR('Исходные данные'!$B$22&lt;&gt;"Да",AE27+AD27&lt;=0),0,IF(AND('Исходные данные'!$B$91&lt;&gt;"",B27&lt;&gt;"",YEAR(B27)=YEAR('Исходные данные'!$B$91),MONTH(B27)=MONTH('Исходные данные'!$B$91)),-(AE27+AD27),IF(OR(AF27&lt;1,AF27&gt;N('Исходные данные'!$B$25)),0,IF('Исходные данные'!$B$27="Равными долями",-MIN(AE27+AD27,N('Исходные данные'!$B$23)/N('Исходные данные'!$B$25)),-MIN(AE27+AD27,IF(AF27=N('Исходные данные'!$B$25),AE27+AD27,MAX(0,AH27+AG27)))))))</f>
        <v>0</v>
      </c>
      <c r="AJ27">
        <f t="shared" si="5"/>
        <v>0</v>
      </c>
      <c r="AK27">
        <f t="shared" si="6"/>
        <v>0</v>
      </c>
      <c r="AL27">
        <f>IF(OR(B27="",'Исходные данные'!$B$51&lt;&gt;"Да",'Исходные данные'!$B$61=""),0,IF(AND(YEAR(B27)=YEAR('Исходные данные'!$B$61),MONTH(B27)=MONTH('Исходные данные'!$B$61)),N('Исходные данные'!$B$18)*N('Исходные данные'!$B$62),0))</f>
        <v>0</v>
      </c>
      <c r="AM27">
        <f t="shared" si="18"/>
        <v>0</v>
      </c>
      <c r="AN27">
        <f t="shared" si="7"/>
        <v>0</v>
      </c>
      <c r="AO27">
        <f t="shared" si="8"/>
        <v>0</v>
      </c>
      <c r="AP27">
        <f>IF('Исходные данные'!$B$51="Да",-MAX(0,AN27-AO27-AM27),0)</f>
        <v>0</v>
      </c>
      <c r="AQ27">
        <f>IF('Исходные данные'!$B$51="Да",MAX(0,AM27+AO27-AN27),0)</f>
        <v>0</v>
      </c>
      <c r="AR27">
        <f>IF('Исходные данные'!$B$53="Выручка",MAX(0,L27+(Q27-R27)+(U27-V27)),IF('Исходные данные'!$B$53="Прибыль до налога",MAX(0,L27+(Q27-R27)+(U27-V27)+N('Исходные данные'!$B$54)*((O27+P27)+(S27+T27)+W27+X27)+IF('Исходные данные'!$B$55="Да",AG27,0)-N('Исходные данные'!$B$56)/12),IF('Исходные данные'!$B$53="Пользовательская база",MAX(0,N('Исходные данные'!$B$57)/12),0)))</f>
        <v>0</v>
      </c>
      <c r="AS27">
        <f>IF(E27=1,-AR27*N('Исходные данные'!$B$50),0)</f>
        <v>0</v>
      </c>
      <c r="AT27">
        <f t="shared" si="9"/>
        <v>0</v>
      </c>
      <c r="AU27">
        <f>IF(OR(B27="",N('Исходные данные'!$B$80)&lt;=0,'Исходные данные'!$B$88=""),0,MAX(0,IF('Исходные данные'!$B$88="Последние 12 месяцев",SUMIFS($Y$2:$Y$194,$B$2:$B$194,"&gt;="&amp;EDATE(B27,-11),$B$2:$B$194,"&lt;="&amp;B27),IF('Исходные данные'!$B$88="Пользовательский NOI",N('Исходные данные'!$B$89),AT27))/N('Исходные данные'!$B$80)*(1+N('Исходные данные'!$B$81))))</f>
        <v>0</v>
      </c>
      <c r="AV27">
        <f>IF(OR(E27&lt;&gt;1,B27="",'Исходные данные'!$B$91=""),0,IF(AND(YEAR(B27)=YEAR('Исходные данные'!$B$91),MONTH(B27)=MONTH('Исходные данные'!$B$91)),AU27,0))</f>
        <v>0</v>
      </c>
      <c r="AW27">
        <f>-AV27*N('Исходные данные'!$B$73)</f>
        <v>0</v>
      </c>
      <c r="AX27">
        <f>IF(AV27=0,0,-N('Исходные данные'!$B$87)-IF('Исходные данные'!$B$82="Да",IF('Исходные данные'!$B$84="С выручки",AV27,IF('Исходные данные'!$B$84="С прибыли",MAX(0,AV27+AW27-IF('Исходные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7">
        <f t="shared" si="10"/>
        <v>0</v>
      </c>
      <c r="AZ27">
        <f t="shared" si="11"/>
        <v>0</v>
      </c>
      <c r="BA27">
        <f t="shared" si="12"/>
        <v>0</v>
      </c>
      <c r="BB27" t="str">
        <f t="shared" si="19"/>
        <v/>
      </c>
      <c r="BC27">
        <f>IF(OR(E27=0,'Исходные данные'!$B$9="",'Исходные данные'!$B$90=""),0,BA27/(1+'Исходные данные'!$B$90)^((D27-'Исходные данные'!$B$9)/365))</f>
        <v>0</v>
      </c>
      <c r="BD27">
        <f>IF(AND(E27=1,BB27&gt;=0,BB26&lt;0,MIN($BB$2:BB27)&lt;0),1,0)</f>
        <v>0</v>
      </c>
      <c r="BE27">
        <f t="shared" si="13"/>
        <v>0</v>
      </c>
      <c r="BF27">
        <f t="shared" si="14"/>
        <v>0</v>
      </c>
      <c r="BG27">
        <f t="shared" si="15"/>
        <v>0</v>
      </c>
      <c r="BH27">
        <f t="shared" si="16"/>
        <v>1</v>
      </c>
      <c r="BI27">
        <f>AZ27+N27+AP27-AR27*N('Исходные данные'!$B$50)</f>
        <v>0</v>
      </c>
      <c r="BJ27">
        <f t="shared" si="20"/>
        <v>0</v>
      </c>
      <c r="BK27">
        <f>IF(AND(BJ27&gt;=0,BJ26&lt;0,MIN($BJ$2:BJ27)&lt;0),1,0)</f>
        <v>0</v>
      </c>
    </row>
    <row r="28" spans="1:63" x14ac:dyDescent="0.2">
      <c r="A28">
        <v>27</v>
      </c>
      <c r="B28" t="str">
        <f>IF('Исходные данные'!$B$9="","",EDATE(DATE(YEAR('Исходные данные'!$B$9),MONTH('Исходные данные'!$B$9),1),A28-1))</f>
        <v/>
      </c>
      <c r="C28" t="str">
        <f t="shared" si="0"/>
        <v/>
      </c>
      <c r="D28" t="str">
        <f>IF(B28="","",IF('Исходные данные'!$B$91&lt;&gt;"",IF(AND(YEAR(B28)=YEAR('Исходные данные'!$B$91),MONTH(B28)=MONTH('Исходные данные'!$B$91)),'Исходные данные'!$B$91,IF('Исходные данные'!$B$13&lt;&gt;"",IF(AND(YEAR(B28)=YEAR('Исходные данные'!$B$13),MONTH(B28)=MONTH('Исходные данные'!$B$13)),'Исходные данные'!$B$13,IF('Исходные данные'!$B$26&lt;&gt;"",IF(AND(YEAR(B28)=YEAR('Исходные данные'!$B$26),MONTH(B28)=MONTH('Исходные данные'!$B$26)),'Исходные данные'!$B$26,IF(A28=1,'Исходные данные'!$B$9,C28)),IF(A28=1,'Исходные данные'!$B$9,C28))),IF('Исходные данные'!$B$26&lt;&gt;"",IF(AND(YEAR(B28)=YEAR('Исходные данные'!$B$26),MONTH(B28)=MONTH('Исходные данные'!$B$26)),'Исходные данные'!$B$26,IF(A28=1,'Исходные данные'!$B$9,C28)),IF(A28=1,'Исходные данные'!$B$9,C28)))),IF('Исходные данные'!$B$13&lt;&gt;"",IF(AND(YEAR(B28)=YEAR('Исходные данные'!$B$13),MONTH(B28)=MONTH('Исходные данные'!$B$13)),'Исходные данные'!$B$13,IF('Исходные данные'!$B$26&lt;&gt;"",IF(AND(YEAR(B28)=YEAR('Исходные данные'!$B$26),MONTH(B28)=MONTH('Исходные данные'!$B$26)),'Исходные данные'!$B$26,IF(A28=1,'Исходные данные'!$B$9,C28)),IF(A28=1,'Исходные данные'!$B$9,C28))),IF('Исходные данные'!$B$26&lt;&gt;"",IF(AND(YEAR(B28)=YEAR('Исходные данные'!$B$26),MONTH(B28)=MONTH('Исходные данные'!$B$26)),'Исходные данные'!$B$26,IF(A28=1,'Исходные данные'!$B$9,C28)),IF(A28=1,'Исходные данные'!$B$9,C28)))))</f>
        <v/>
      </c>
      <c r="E28">
        <f>IF(OR(B28="",'Исходные данные'!$B$91=""),0,--(B28&lt;=DATE(YEAR('Исходные данные'!$B$91),MONTH('Исходные данные'!$B$91),1)))</f>
        <v>0</v>
      </c>
      <c r="F28">
        <f>IF(OR(B28="",'Исходные данные'!$B$30="",C28&lt;'Исходные данные'!$B$30),0,DATEDIF(DATE(YEAR('Исходные данные'!$B$30),MONTH('Исходные данные'!$B$30),1),B28,"m")+1)</f>
        <v>0</v>
      </c>
      <c r="G28">
        <f t="shared" si="1"/>
        <v>0</v>
      </c>
      <c r="H28">
        <f>IF(F28=0,0,IF(G28=1,N('Исходные данные'!$B$31),IF(G28=2,N('Исходные данные'!$B$32),IF(G28=3,N('Исходные данные'!$B$33),N('Исходные данные'!$B$33)*(1+N('Исходные данные'!$B$34))^(G28-3)))))</f>
        <v>0</v>
      </c>
      <c r="I28">
        <f>IF(OR(F28=0,N('Исходные данные'!$B$5)=0,H28=0),0,'Исходные данные'!$B$5*H28*IF(AND(B28&lt;='Исходные данные'!$B$30,C28&gt;='Исходные данные'!$B$30),(C28-'Исходные данные'!$B$30+1)/DAY(C28),1))</f>
        <v>0</v>
      </c>
      <c r="J28">
        <f>IF(AND(F28&gt;0,F28&lt;=N('Исходные данные'!$B$37)),-I28,0)</f>
        <v>0</v>
      </c>
      <c r="K28">
        <f>IF(OR(F28=0,F28&lt;=N('Исходные данные'!$B$37)),0,-(I28+J28)*N('Исходные данные'!$B$38))</f>
        <v>0</v>
      </c>
      <c r="L28">
        <f t="shared" si="2"/>
        <v>0</v>
      </c>
      <c r="M28">
        <f>IF('Исходные данные'!$B$51="Да",L28*N('Исходные данные'!$B$52),0)</f>
        <v>0</v>
      </c>
      <c r="N28">
        <f t="shared" si="3"/>
        <v>0</v>
      </c>
      <c r="O28">
        <f>IF(OR(B28="",IF('Исходные данные'!$B$45="",'Исходные данные'!$B$10,'Исходные данные'!$B$45)="",C28&lt;IF('Исходные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данные'!$B$45)),1),B28,"m")/12))*IF(AND(B28&lt;=IF('Исходные данные'!$B$45="",'Исходные данные'!$B$10,'Исходные данные'!$B$45),C28&gt;=IF('Исходные данные'!$B$45="",'Исходные данные'!$B$10,'Исходные данные'!$B$45)),(C28-IF('Исходные данные'!$B$45="",'Исходные данные'!$B$10,'Исходные данные'!$B$45)+1)/DAY(C28),1)*IF('Исходные данные'!$B$43="Без НДС",1+N('Исходные данные'!$B$44),1))</f>
        <v>0</v>
      </c>
      <c r="P28">
        <f>IF('Исходные данные'!$B$51="Да",-O28*N('Исходные данные'!$B$44)/(1+N('Исходные данные'!$B$44)),0)</f>
        <v>0</v>
      </c>
      <c r="Q28">
        <f>IF('Исходные данные'!$B$35="Да",-O28,0)</f>
        <v>0</v>
      </c>
      <c r="R28">
        <f>IF(AND('Исходные данные'!$B$51="Да",Q28&gt;0),Q28*N('Исходные данные'!$B$52)/(1+N('Исходные данные'!$B$52)),0)</f>
        <v>0</v>
      </c>
      <c r="S28">
        <f>IF(OR(B28="",IF('Исходные данные'!$B$45="",'Исходные данные'!$B$10,'Исходные данные'!$B$45)="",C28&lt;IF('Исходные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данные'!$B$45)),1),B28,"m")/12))*IF(AND(B28&lt;=IF('Исходные данные'!$B$45="",'Исходные данные'!$B$10,'Исходные данные'!$B$45),C28&gt;=IF('Исходные данные'!$B$45="",'Исходные данные'!$B$10,'Исходные данные'!$B$45)),(C28-IF('Исходные данные'!$B$45="",'Исходные данные'!$B$10,'Исходные данные'!$B$45)+1)/DAY(C28),1)*IF('Исходные данные'!$B$43="Без НДС",1+N('Исходные данные'!$B$44),1))</f>
        <v>0</v>
      </c>
      <c r="T28">
        <f>IF('Исходные данные'!$B$51="Да",-S28*N('Исходные данные'!$B$44)/(1+N('Исходные данные'!$B$44)),0)</f>
        <v>0</v>
      </c>
      <c r="U28">
        <f>IF('Исходные данные'!$B$36="Да",-S28,0)</f>
        <v>0</v>
      </c>
      <c r="V28">
        <f>IF(AND('Исходные данные'!$B$51="Да",U28&gt;0),U28*N('Исходные данные'!$B$52)/(1+N('Исходные данные'!$B$52)),0)</f>
        <v>0</v>
      </c>
      <c r="W28">
        <f>IF(OR(B28="",IF('Исходные данные'!$B$69="",'Исходные данные'!$B$10,'Исходные данные'!$B$69)="",C28&lt;IF('Исходные данные'!$B$69="",'Исходные данные'!$B$10,'Исходные данные'!$B$69)),0,-N('Исходные данные'!$B$16)*N('Исходные данные'!$B$68)*N('Исходные данные'!$B$67)/12*IF(AND(B28&lt;=IF('Исходные данные'!$B$69="",'Исходные данные'!$B$10,'Исходные данные'!$B$69),C28&gt;=IF('Исходные данные'!$B$69="",'Исходные данные'!$B$10,'Исходные данные'!$B$69)),(C28-IF('Исходные данные'!$B$69="",'Исходные данные'!$B$10,'Исходные данные'!$B$69)+1)/DAY(C28),1))</f>
        <v>0</v>
      </c>
      <c r="X28">
        <f>IF(OR(B28="",IF('Исходные данные'!$B$76="",'Исходные данные'!$B$10,'Исходные данные'!$B$76)="",C28&lt;IF('Исходные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данные'!$B$76)),1),B28,"m")/12))*IF(AND(B28&lt;=IF('Исходные данные'!$B$76="",'Исходные данные'!$B$10,'Исходные данные'!$B$76),C28&gt;=IF('Исходные данные'!$B$76="",'Исходные данные'!$B$10,'Исходные данные'!$B$76)),(C28-IF('Исходные данные'!$B$76="",'Исходные данные'!$B$10,'Исходные данные'!$B$76)+1)/DAY(C28),1))</f>
        <v>0</v>
      </c>
      <c r="Y28">
        <f t="shared" si="4"/>
        <v>0</v>
      </c>
      <c r="Z28">
        <f>IF(OR(B28="",N('Исходные данные'!$B$19)=0),0,-SUMIFS('Исходные данные'!$I$6:$I$186,'Исходные данные'!$F$6:$F$186,B28)*N('Исходные данные'!$B$17)/N('Исходные данные'!$B$19))</f>
        <v>0</v>
      </c>
      <c r="AA28">
        <f>IF(OR(B28="",N('Исходные данные'!$B$19)=0),0,-SUMIFS('Исходные данные'!$I$6:$I$186,'Исходные данные'!$F$6:$F$186,B28)*N('Исходные данные'!$B$18)/N('Исходные данные'!$B$19))</f>
        <v>0</v>
      </c>
      <c r="AB28">
        <f>IF(OR(B28="",'Исходные данные'!$B$13=""),0,IF(AND(YEAR(B28)=YEAR('Исходные данные'!$B$13),MONTH(B28)=MONTH('Исходные данные'!$B$13)),-N('Исходные данные'!$B$11),0))</f>
        <v>0</v>
      </c>
      <c r="AC28">
        <f>IF(A28=1,-N('Исходные данные'!$B$19)*N('Исходные данные'!$B$72),0)</f>
        <v>0</v>
      </c>
      <c r="AD28">
        <f>IF(OR(B28="",'Исходные данные'!$B$22&lt;&gt;"Да",'Исходные данные'!$B$26=""),0,IF(AND(YEAR(B28)=YEAR('Исходные данные'!$B$26),MONTH(B28)=MONTH('Исходные данные'!$B$26)),N('Исходные данные'!$B$23),0))</f>
        <v>0</v>
      </c>
      <c r="AE28">
        <f t="shared" si="17"/>
        <v>0</v>
      </c>
      <c r="AF28">
        <f>IF(OR('Исходные данные'!$B$22&lt;&gt;"Да",'Исходные данные'!$B$26="",C28&lt;'Исходные данные'!$B$26),0,DATEDIF(DATE(YEAR('Исходные данные'!$B$26),MONTH('Исходные данные'!$B$26),1),B28,"m")+1)</f>
        <v>0</v>
      </c>
      <c r="AG28">
        <f>IF(OR(AF28&lt;1,AF28&gt;N('Исходные данные'!$B$25),AE28+AD28&lt;=0),0,-(AE28+AD28)*N('Исходные данные'!$B$24)*IF(AF28=1,C28-'Исходные данные'!$B$26+1,DAY(C28))/365)</f>
        <v>0</v>
      </c>
      <c r="AH28">
        <f>IF(OR(AF28&lt;1,AF28&gt;N('Исходные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данные'!$B$25)-AG28))</f>
        <v>0</v>
      </c>
      <c r="AI28">
        <f>IF(OR('Исходные данные'!$B$22&lt;&gt;"Да",AE28+AD28&lt;=0),0,IF(AND('Исходные данные'!$B$91&lt;&gt;"",B28&lt;&gt;"",YEAR(B28)=YEAR('Исходные данные'!$B$91),MONTH(B28)=MONTH('Исходные данные'!$B$91)),-(AE28+AD28),IF(OR(AF28&lt;1,AF28&gt;N('Исходные данные'!$B$25)),0,IF('Исходные данные'!$B$27="Равными долями",-MIN(AE28+AD28,N('Исходные данные'!$B$23)/N('Исходные данные'!$B$25)),-MIN(AE28+AD28,IF(AF28=N('Исходные данные'!$B$25),AE28+AD28,MAX(0,AH28+AG28)))))))</f>
        <v>0</v>
      </c>
      <c r="AJ28">
        <f t="shared" si="5"/>
        <v>0</v>
      </c>
      <c r="AK28">
        <f t="shared" si="6"/>
        <v>0</v>
      </c>
      <c r="AL28">
        <f>IF(OR(B28="",'Исходные данные'!$B$51&lt;&gt;"Да",'Исходные данные'!$B$61=""),0,IF(AND(YEAR(B28)=YEAR('Исходные данные'!$B$61),MONTH(B28)=MONTH('Исходные данные'!$B$61)),N('Исходные данные'!$B$18)*N('Исходные данные'!$B$62),0))</f>
        <v>0</v>
      </c>
      <c r="AM28">
        <f t="shared" si="18"/>
        <v>0</v>
      </c>
      <c r="AN28">
        <f t="shared" si="7"/>
        <v>0</v>
      </c>
      <c r="AO28">
        <f t="shared" si="8"/>
        <v>0</v>
      </c>
      <c r="AP28">
        <f>IF('Исходные данные'!$B$51="Да",-MAX(0,AN28-AO28-AM28),0)</f>
        <v>0</v>
      </c>
      <c r="AQ28">
        <f>IF('Исходные данные'!$B$51="Да",MAX(0,AM28+AO28-AN28),0)</f>
        <v>0</v>
      </c>
      <c r="AR28">
        <f>IF('Исходные данные'!$B$53="Выручка",MAX(0,L28+(Q28-R28)+(U28-V28)),IF('Исходные данные'!$B$53="Прибыль до налога",MAX(0,L28+(Q28-R28)+(U28-V28)+N('Исходные данные'!$B$54)*((O28+P28)+(S28+T28)+W28+X28)+IF('Исходные данные'!$B$55="Да",AG28,0)-N('Исходные данные'!$B$56)/12),IF('Исходные данные'!$B$53="Пользовательская база",MAX(0,N('Исходные данные'!$B$57)/12),0)))</f>
        <v>0</v>
      </c>
      <c r="AS28">
        <f>IF(E28=1,-AR28*N('Исходные данные'!$B$50),0)</f>
        <v>0</v>
      </c>
      <c r="AT28">
        <f t="shared" si="9"/>
        <v>0</v>
      </c>
      <c r="AU28">
        <f>IF(OR(B28="",N('Исходные данные'!$B$80)&lt;=0,'Исходные данные'!$B$88=""),0,MAX(0,IF('Исходные данные'!$B$88="Последние 12 месяцев",SUMIFS($Y$2:$Y$194,$B$2:$B$194,"&gt;="&amp;EDATE(B28,-11),$B$2:$B$194,"&lt;="&amp;B28),IF('Исходные данные'!$B$88="Пользовательский NOI",N('Исходные данные'!$B$89),AT28))/N('Исходные данные'!$B$80)*(1+N('Исходные данные'!$B$81))))</f>
        <v>0</v>
      </c>
      <c r="AV28">
        <f>IF(OR(E28&lt;&gt;1,B28="",'Исходные данные'!$B$91=""),0,IF(AND(YEAR(B28)=YEAR('Исходные данные'!$B$91),MONTH(B28)=MONTH('Исходные данные'!$B$91)),AU28,0))</f>
        <v>0</v>
      </c>
      <c r="AW28">
        <f>-AV28*N('Исходные данные'!$B$73)</f>
        <v>0</v>
      </c>
      <c r="AX28">
        <f>IF(AV28=0,0,-N('Исходные данные'!$B$87)-IF('Исходные данные'!$B$82="Да",IF('Исходные данные'!$B$84="С выручки",AV28,IF('Исходные данные'!$B$84="С прибыли",MAX(0,AV28+AW28-IF('Исходные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8">
        <f t="shared" si="10"/>
        <v>0</v>
      </c>
      <c r="AZ28">
        <f t="shared" si="11"/>
        <v>0</v>
      </c>
      <c r="BA28">
        <f t="shared" si="12"/>
        <v>0</v>
      </c>
      <c r="BB28" t="str">
        <f t="shared" si="19"/>
        <v/>
      </c>
      <c r="BC28">
        <f>IF(OR(E28=0,'Исходные данные'!$B$9="",'Исходные данные'!$B$90=""),0,BA28/(1+'Исходные данные'!$B$90)^((D28-'Исходные данные'!$B$9)/365))</f>
        <v>0</v>
      </c>
      <c r="BD28">
        <f>IF(AND(E28=1,BB28&gt;=0,BB27&lt;0,MIN($BB$2:BB28)&lt;0),1,0)</f>
        <v>0</v>
      </c>
      <c r="BE28">
        <f t="shared" si="13"/>
        <v>0</v>
      </c>
      <c r="BF28">
        <f t="shared" si="14"/>
        <v>0</v>
      </c>
      <c r="BG28">
        <f t="shared" si="15"/>
        <v>0</v>
      </c>
      <c r="BH28">
        <f t="shared" si="16"/>
        <v>1</v>
      </c>
      <c r="BI28">
        <f>AZ28+N28+AP28-AR28*N('Исходные данные'!$B$50)</f>
        <v>0</v>
      </c>
      <c r="BJ28">
        <f t="shared" si="20"/>
        <v>0</v>
      </c>
      <c r="BK28">
        <f>IF(AND(BJ28&gt;=0,BJ27&lt;0,MIN($BJ$2:BJ28)&lt;0),1,0)</f>
        <v>0</v>
      </c>
    </row>
    <row r="29" spans="1:63" x14ac:dyDescent="0.2">
      <c r="A29">
        <v>28</v>
      </c>
      <c r="B29" t="str">
        <f>IF('Исходные данные'!$B$9="","",EDATE(DATE(YEAR('Исходные данные'!$B$9),MONTH('Исходные данные'!$B$9),1),A29-1))</f>
        <v/>
      </c>
      <c r="C29" t="str">
        <f t="shared" si="0"/>
        <v/>
      </c>
      <c r="D29" t="str">
        <f>IF(B29="","",IF('Исходные данные'!$B$91&lt;&gt;"",IF(AND(YEAR(B29)=YEAR('Исходные данные'!$B$91),MONTH(B29)=MONTH('Исходные данные'!$B$91)),'Исходные данные'!$B$91,IF('Исходные данные'!$B$13&lt;&gt;"",IF(AND(YEAR(B29)=YEAR('Исходные данные'!$B$13),MONTH(B29)=MONTH('Исходные данные'!$B$13)),'Исходные данные'!$B$13,IF('Исходные данные'!$B$26&lt;&gt;"",IF(AND(YEAR(B29)=YEAR('Исходные данные'!$B$26),MONTH(B29)=MONTH('Исходные данные'!$B$26)),'Исходные данные'!$B$26,IF(A29=1,'Исходные данные'!$B$9,C29)),IF(A29=1,'Исходные данные'!$B$9,C29))),IF('Исходные данные'!$B$26&lt;&gt;"",IF(AND(YEAR(B29)=YEAR('Исходные данные'!$B$26),MONTH(B29)=MONTH('Исходные данные'!$B$26)),'Исходные данные'!$B$26,IF(A29=1,'Исходные данные'!$B$9,C29)),IF(A29=1,'Исходные данные'!$B$9,C29)))),IF('Исходные данные'!$B$13&lt;&gt;"",IF(AND(YEAR(B29)=YEAR('Исходные данные'!$B$13),MONTH(B29)=MONTH('Исходные данные'!$B$13)),'Исходные данные'!$B$13,IF('Исходные данные'!$B$26&lt;&gt;"",IF(AND(YEAR(B29)=YEAR('Исходные данные'!$B$26),MONTH(B29)=MONTH('Исходные данные'!$B$26)),'Исходные данные'!$B$26,IF(A29=1,'Исходные данные'!$B$9,C29)),IF(A29=1,'Исходные данные'!$B$9,C29))),IF('Исходные данные'!$B$26&lt;&gt;"",IF(AND(YEAR(B29)=YEAR('Исходные данные'!$B$26),MONTH(B29)=MONTH('Исходные данные'!$B$26)),'Исходные данные'!$B$26,IF(A29=1,'Исходные данные'!$B$9,C29)),IF(A29=1,'Исходные данные'!$B$9,C29)))))</f>
        <v/>
      </c>
      <c r="E29">
        <f>IF(OR(B29="",'Исходные данные'!$B$91=""),0,--(B29&lt;=DATE(YEAR('Исходные данные'!$B$91),MONTH('Исходные данные'!$B$91),1)))</f>
        <v>0</v>
      </c>
      <c r="F29">
        <f>IF(OR(B29="",'Исходные данные'!$B$30="",C29&lt;'Исходные данные'!$B$30),0,DATEDIF(DATE(YEAR('Исходные данные'!$B$30),MONTH('Исходные данные'!$B$30),1),B29,"m")+1)</f>
        <v>0</v>
      </c>
      <c r="G29">
        <f t="shared" si="1"/>
        <v>0</v>
      </c>
      <c r="H29">
        <f>IF(F29=0,0,IF(G29=1,N('Исходные данные'!$B$31),IF(G29=2,N('Исходные данные'!$B$32),IF(G29=3,N('Исходные данные'!$B$33),N('Исходные данные'!$B$33)*(1+N('Исходные данные'!$B$34))^(G29-3)))))</f>
        <v>0</v>
      </c>
      <c r="I29">
        <f>IF(OR(F29=0,N('Исходные данные'!$B$5)=0,H29=0),0,'Исходные данные'!$B$5*H29*IF(AND(B29&lt;='Исходные данные'!$B$30,C29&gt;='Исходные данные'!$B$30),(C29-'Исходные данные'!$B$30+1)/DAY(C29),1))</f>
        <v>0</v>
      </c>
      <c r="J29">
        <f>IF(AND(F29&gt;0,F29&lt;=N('Исходные данные'!$B$37)),-I29,0)</f>
        <v>0</v>
      </c>
      <c r="K29">
        <f>IF(OR(F29=0,F29&lt;=N('Исходные данные'!$B$37)),0,-(I29+J29)*N('Исходные данные'!$B$38))</f>
        <v>0</v>
      </c>
      <c r="L29">
        <f t="shared" si="2"/>
        <v>0</v>
      </c>
      <c r="M29">
        <f>IF('Исходные данные'!$B$51="Да",L29*N('Исходные данные'!$B$52),0)</f>
        <v>0</v>
      </c>
      <c r="N29">
        <f t="shared" si="3"/>
        <v>0</v>
      </c>
      <c r="O29">
        <f>IF(OR(B29="",IF('Исходные данные'!$B$45="",'Исходные данные'!$B$10,'Исходные данные'!$B$45)="",C29&lt;IF('Исходные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данные'!$B$45)),1),B29,"m")/12))*IF(AND(B29&lt;=IF('Исходные данные'!$B$45="",'Исходные данные'!$B$10,'Исходные данные'!$B$45),C29&gt;=IF('Исходные данные'!$B$45="",'Исходные данные'!$B$10,'Исходные данные'!$B$45)),(C29-IF('Исходные данные'!$B$45="",'Исходные данные'!$B$10,'Исходные данные'!$B$45)+1)/DAY(C29),1)*IF('Исходные данные'!$B$43="Без НДС",1+N('Исходные данные'!$B$44),1))</f>
        <v>0</v>
      </c>
      <c r="P29">
        <f>IF('Исходные данные'!$B$51="Да",-O29*N('Исходные данные'!$B$44)/(1+N('Исходные данные'!$B$44)),0)</f>
        <v>0</v>
      </c>
      <c r="Q29">
        <f>IF('Исходные данные'!$B$35="Да",-O29,0)</f>
        <v>0</v>
      </c>
      <c r="R29">
        <f>IF(AND('Исходные данные'!$B$51="Да",Q29&gt;0),Q29*N('Исходные данные'!$B$52)/(1+N('Исходные данные'!$B$52)),0)</f>
        <v>0</v>
      </c>
      <c r="S29">
        <f>IF(OR(B29="",IF('Исходные данные'!$B$45="",'Исходные данные'!$B$10,'Исходные данные'!$B$45)="",C29&lt;IF('Исходные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данные'!$B$45)),1),B29,"m")/12))*IF(AND(B29&lt;=IF('Исходные данные'!$B$45="",'Исходные данные'!$B$10,'Исходные данные'!$B$45),C29&gt;=IF('Исходные данные'!$B$45="",'Исходные данные'!$B$10,'Исходные данные'!$B$45)),(C29-IF('Исходные данные'!$B$45="",'Исходные данные'!$B$10,'Исходные данные'!$B$45)+1)/DAY(C29),1)*IF('Исходные данные'!$B$43="Без НДС",1+N('Исходные данные'!$B$44),1))</f>
        <v>0</v>
      </c>
      <c r="T29">
        <f>IF('Исходные данные'!$B$51="Да",-S29*N('Исходные данные'!$B$44)/(1+N('Исходные данные'!$B$44)),0)</f>
        <v>0</v>
      </c>
      <c r="U29">
        <f>IF('Исходные данные'!$B$36="Да",-S29,0)</f>
        <v>0</v>
      </c>
      <c r="V29">
        <f>IF(AND('Исходные данные'!$B$51="Да",U29&gt;0),U29*N('Исходные данные'!$B$52)/(1+N('Исходные данные'!$B$52)),0)</f>
        <v>0</v>
      </c>
      <c r="W29">
        <f>IF(OR(B29="",IF('Исходные данные'!$B$69="",'Исходные данные'!$B$10,'Исходные данные'!$B$69)="",C29&lt;IF('Исходные данные'!$B$69="",'Исходные данные'!$B$10,'Исходные данные'!$B$69)),0,-N('Исходные данные'!$B$16)*N('Исходные данные'!$B$68)*N('Исходные данные'!$B$67)/12*IF(AND(B29&lt;=IF('Исходные данные'!$B$69="",'Исходные данные'!$B$10,'Исходные данные'!$B$69),C29&gt;=IF('Исходные данные'!$B$69="",'Исходные данные'!$B$10,'Исходные данные'!$B$69)),(C29-IF('Исходные данные'!$B$69="",'Исходные данные'!$B$10,'Исходные данные'!$B$69)+1)/DAY(C29),1))</f>
        <v>0</v>
      </c>
      <c r="X29">
        <f>IF(OR(B29="",IF('Исходные данные'!$B$76="",'Исходные данные'!$B$10,'Исходные данные'!$B$76)="",C29&lt;IF('Исходные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данные'!$B$76)),1),B29,"m")/12))*IF(AND(B29&lt;=IF('Исходные данные'!$B$76="",'Исходные данные'!$B$10,'Исходные данные'!$B$76),C29&gt;=IF('Исходные данные'!$B$76="",'Исходные данные'!$B$10,'Исходные данные'!$B$76)),(C29-IF('Исходные данные'!$B$76="",'Исходные данные'!$B$10,'Исходные данные'!$B$76)+1)/DAY(C29),1))</f>
        <v>0</v>
      </c>
      <c r="Y29">
        <f t="shared" si="4"/>
        <v>0</v>
      </c>
      <c r="Z29">
        <f>IF(OR(B29="",N('Исходные данные'!$B$19)=0),0,-SUMIFS('Исходные данные'!$I$6:$I$186,'Исходные данные'!$F$6:$F$186,B29)*N('Исходные данные'!$B$17)/N('Исходные данные'!$B$19))</f>
        <v>0</v>
      </c>
      <c r="AA29">
        <f>IF(OR(B29="",N('Исходные данные'!$B$19)=0),0,-SUMIFS('Исходные данные'!$I$6:$I$186,'Исходные данные'!$F$6:$F$186,B29)*N('Исходные данные'!$B$18)/N('Исходные данные'!$B$19))</f>
        <v>0</v>
      </c>
      <c r="AB29">
        <f>IF(OR(B29="",'Исходные данные'!$B$13=""),0,IF(AND(YEAR(B29)=YEAR('Исходные данные'!$B$13),MONTH(B29)=MONTH('Исходные данные'!$B$13)),-N('Исходные данные'!$B$11),0))</f>
        <v>0</v>
      </c>
      <c r="AC29">
        <f>IF(A29=1,-N('Исходные данные'!$B$19)*N('Исходные данные'!$B$72),0)</f>
        <v>0</v>
      </c>
      <c r="AD29">
        <f>IF(OR(B29="",'Исходные данные'!$B$22&lt;&gt;"Да",'Исходные данные'!$B$26=""),0,IF(AND(YEAR(B29)=YEAR('Исходные данные'!$B$26),MONTH(B29)=MONTH('Исходные данные'!$B$26)),N('Исходные данные'!$B$23),0))</f>
        <v>0</v>
      </c>
      <c r="AE29">
        <f t="shared" si="17"/>
        <v>0</v>
      </c>
      <c r="AF29">
        <f>IF(OR('Исходные данные'!$B$22&lt;&gt;"Да",'Исходные данные'!$B$26="",C29&lt;'Исходные данные'!$B$26),0,DATEDIF(DATE(YEAR('Исходные данные'!$B$26),MONTH('Исходные данные'!$B$26),1),B29,"m")+1)</f>
        <v>0</v>
      </c>
      <c r="AG29">
        <f>IF(OR(AF29&lt;1,AF29&gt;N('Исходные данные'!$B$25),AE29+AD29&lt;=0),0,-(AE29+AD29)*N('Исходные данные'!$B$24)*IF(AF29=1,C29-'Исходные данные'!$B$26+1,DAY(C29))/365)</f>
        <v>0</v>
      </c>
      <c r="AH29">
        <f>IF(OR(AF29&lt;1,AF29&gt;N('Исходные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данные'!$B$25)-AG29))</f>
        <v>0</v>
      </c>
      <c r="AI29">
        <f>IF(OR('Исходные данные'!$B$22&lt;&gt;"Да",AE29+AD29&lt;=0),0,IF(AND('Исходные данные'!$B$91&lt;&gt;"",B29&lt;&gt;"",YEAR(B29)=YEAR('Исходные данные'!$B$91),MONTH(B29)=MONTH('Исходные данные'!$B$91)),-(AE29+AD29),IF(OR(AF29&lt;1,AF29&gt;N('Исходные данные'!$B$25)),0,IF('Исходные данные'!$B$27="Равными долями",-MIN(AE29+AD29,N('Исходные данные'!$B$23)/N('Исходные данные'!$B$25)),-MIN(AE29+AD29,IF(AF29=N('Исходные данные'!$B$25),AE29+AD29,MAX(0,AH29+AG29)))))))</f>
        <v>0</v>
      </c>
      <c r="AJ29">
        <f t="shared" si="5"/>
        <v>0</v>
      </c>
      <c r="AK29">
        <f t="shared" si="6"/>
        <v>0</v>
      </c>
      <c r="AL29">
        <f>IF(OR(B29="",'Исходные данные'!$B$51&lt;&gt;"Да",'Исходные данные'!$B$61=""),0,IF(AND(YEAR(B29)=YEAR('Исходные данные'!$B$61),MONTH(B29)=MONTH('Исходные данные'!$B$61)),N('Исходные данные'!$B$18)*N('Исходные данные'!$B$62),0))</f>
        <v>0</v>
      </c>
      <c r="AM29">
        <f t="shared" si="18"/>
        <v>0</v>
      </c>
      <c r="AN29">
        <f t="shared" si="7"/>
        <v>0</v>
      </c>
      <c r="AO29">
        <f t="shared" si="8"/>
        <v>0</v>
      </c>
      <c r="AP29">
        <f>IF('Исходные данные'!$B$51="Да",-MAX(0,AN29-AO29-AM29),0)</f>
        <v>0</v>
      </c>
      <c r="AQ29">
        <f>IF('Исходные данные'!$B$51="Да",MAX(0,AM29+AO29-AN29),0)</f>
        <v>0</v>
      </c>
      <c r="AR29">
        <f>IF('Исходные данные'!$B$53="Выручка",MAX(0,L29+(Q29-R29)+(U29-V29)),IF('Исходные данные'!$B$53="Прибыль до налога",MAX(0,L29+(Q29-R29)+(U29-V29)+N('Исходные данные'!$B$54)*((O29+P29)+(S29+T29)+W29+X29)+IF('Исходные данные'!$B$55="Да",AG29,0)-N('Исходные данные'!$B$56)/12),IF('Исходные данные'!$B$53="Пользовательская база",MAX(0,N('Исходные данные'!$B$57)/12),0)))</f>
        <v>0</v>
      </c>
      <c r="AS29">
        <f>IF(E29=1,-AR29*N('Исходные данные'!$B$50),0)</f>
        <v>0</v>
      </c>
      <c r="AT29">
        <f t="shared" si="9"/>
        <v>0</v>
      </c>
      <c r="AU29">
        <f>IF(OR(B29="",N('Исходные данные'!$B$80)&lt;=0,'Исходные данные'!$B$88=""),0,MAX(0,IF('Исходные данные'!$B$88="Последние 12 месяцев",SUMIFS($Y$2:$Y$194,$B$2:$B$194,"&gt;="&amp;EDATE(B29,-11),$B$2:$B$194,"&lt;="&amp;B29),IF('Исходные данные'!$B$88="Пользовательский NOI",N('Исходные данные'!$B$89),AT29))/N('Исходные данные'!$B$80)*(1+N('Исходные данные'!$B$81))))</f>
        <v>0</v>
      </c>
      <c r="AV29">
        <f>IF(OR(E29&lt;&gt;1,B29="",'Исходные данные'!$B$91=""),0,IF(AND(YEAR(B29)=YEAR('Исходные данные'!$B$91),MONTH(B29)=MONTH('Исходные данные'!$B$91)),AU29,0))</f>
        <v>0</v>
      </c>
      <c r="AW29">
        <f>-AV29*N('Исходные данные'!$B$73)</f>
        <v>0</v>
      </c>
      <c r="AX29">
        <f>IF(AV29=0,0,-N('Исходные данные'!$B$87)-IF('Исходные данные'!$B$82="Да",IF('Исходные данные'!$B$84="С выручки",AV29,IF('Исходные данные'!$B$84="С прибыли",MAX(0,AV29+AW29-IF('Исходные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9">
        <f t="shared" si="10"/>
        <v>0</v>
      </c>
      <c r="AZ29">
        <f t="shared" si="11"/>
        <v>0</v>
      </c>
      <c r="BA29">
        <f t="shared" si="12"/>
        <v>0</v>
      </c>
      <c r="BB29" t="str">
        <f t="shared" si="19"/>
        <v/>
      </c>
      <c r="BC29">
        <f>IF(OR(E29=0,'Исходные данные'!$B$9="",'Исходные данные'!$B$90=""),0,BA29/(1+'Исходные данные'!$B$90)^((D29-'Исходные данные'!$B$9)/365))</f>
        <v>0</v>
      </c>
      <c r="BD29">
        <f>IF(AND(E29=1,BB29&gt;=0,BB28&lt;0,MIN($BB$2:BB29)&lt;0),1,0)</f>
        <v>0</v>
      </c>
      <c r="BE29">
        <f t="shared" si="13"/>
        <v>0</v>
      </c>
      <c r="BF29">
        <f t="shared" si="14"/>
        <v>0</v>
      </c>
      <c r="BG29">
        <f t="shared" si="15"/>
        <v>0</v>
      </c>
      <c r="BH29">
        <f t="shared" si="16"/>
        <v>1</v>
      </c>
      <c r="BI29">
        <f>AZ29+N29+AP29-AR29*N('Исходные данные'!$B$50)</f>
        <v>0</v>
      </c>
      <c r="BJ29">
        <f t="shared" si="20"/>
        <v>0</v>
      </c>
      <c r="BK29">
        <f>IF(AND(BJ29&gt;=0,BJ28&lt;0,MIN($BJ$2:BJ29)&lt;0),1,0)</f>
        <v>0</v>
      </c>
    </row>
    <row r="30" spans="1:63" x14ac:dyDescent="0.2">
      <c r="A30">
        <v>29</v>
      </c>
      <c r="B30" t="str">
        <f>IF('Исходные данные'!$B$9="","",EDATE(DATE(YEAR('Исходные данные'!$B$9),MONTH('Исходные данные'!$B$9),1),A30-1))</f>
        <v/>
      </c>
      <c r="C30" t="str">
        <f t="shared" si="0"/>
        <v/>
      </c>
      <c r="D30" t="str">
        <f>IF(B30="","",IF('Исходные данные'!$B$91&lt;&gt;"",IF(AND(YEAR(B30)=YEAR('Исходные данные'!$B$91),MONTH(B30)=MONTH('Исходные данные'!$B$91)),'Исходные данные'!$B$91,IF('Исходные данные'!$B$13&lt;&gt;"",IF(AND(YEAR(B30)=YEAR('Исходные данные'!$B$13),MONTH(B30)=MONTH('Исходные данные'!$B$13)),'Исходные данные'!$B$13,IF('Исходные данные'!$B$26&lt;&gt;"",IF(AND(YEAR(B30)=YEAR('Исходные данные'!$B$26),MONTH(B30)=MONTH('Исходные данные'!$B$26)),'Исходные данные'!$B$26,IF(A30=1,'Исходные данные'!$B$9,C30)),IF(A30=1,'Исходные данные'!$B$9,C30))),IF('Исходные данные'!$B$26&lt;&gt;"",IF(AND(YEAR(B30)=YEAR('Исходные данные'!$B$26),MONTH(B30)=MONTH('Исходные данные'!$B$26)),'Исходные данные'!$B$26,IF(A30=1,'Исходные данные'!$B$9,C30)),IF(A30=1,'Исходные данные'!$B$9,C30)))),IF('Исходные данные'!$B$13&lt;&gt;"",IF(AND(YEAR(B30)=YEAR('Исходные данные'!$B$13),MONTH(B30)=MONTH('Исходные данные'!$B$13)),'Исходные данные'!$B$13,IF('Исходные данные'!$B$26&lt;&gt;"",IF(AND(YEAR(B30)=YEAR('Исходные данные'!$B$26),MONTH(B30)=MONTH('Исходные данные'!$B$26)),'Исходные данные'!$B$26,IF(A30=1,'Исходные данные'!$B$9,C30)),IF(A30=1,'Исходные данные'!$B$9,C30))),IF('Исходные данные'!$B$26&lt;&gt;"",IF(AND(YEAR(B30)=YEAR('Исходные данные'!$B$26),MONTH(B30)=MONTH('Исходные данные'!$B$26)),'Исходные данные'!$B$26,IF(A30=1,'Исходные данные'!$B$9,C30)),IF(A30=1,'Исходные данные'!$B$9,C30)))))</f>
        <v/>
      </c>
      <c r="E30">
        <f>IF(OR(B30="",'Исходные данные'!$B$91=""),0,--(B30&lt;=DATE(YEAR('Исходные данные'!$B$91),MONTH('Исходные данные'!$B$91),1)))</f>
        <v>0</v>
      </c>
      <c r="F30">
        <f>IF(OR(B30="",'Исходные данные'!$B$30="",C30&lt;'Исходные данные'!$B$30),0,DATEDIF(DATE(YEAR('Исходные данные'!$B$30),MONTH('Исходные данные'!$B$30),1),B30,"m")+1)</f>
        <v>0</v>
      </c>
      <c r="G30">
        <f t="shared" si="1"/>
        <v>0</v>
      </c>
      <c r="H30">
        <f>IF(F30=0,0,IF(G30=1,N('Исходные данные'!$B$31),IF(G30=2,N('Исходные данные'!$B$32),IF(G30=3,N('Исходные данные'!$B$33),N('Исходные данные'!$B$33)*(1+N('Исходные данные'!$B$34))^(G30-3)))))</f>
        <v>0</v>
      </c>
      <c r="I30">
        <f>IF(OR(F30=0,N('Исходные данные'!$B$5)=0,H30=0),0,'Исходные данные'!$B$5*H30*IF(AND(B30&lt;='Исходные данные'!$B$30,C30&gt;='Исходные данные'!$B$30),(C30-'Исходные данные'!$B$30+1)/DAY(C30),1))</f>
        <v>0</v>
      </c>
      <c r="J30">
        <f>IF(AND(F30&gt;0,F30&lt;=N('Исходные данные'!$B$37)),-I30,0)</f>
        <v>0</v>
      </c>
      <c r="K30">
        <f>IF(OR(F30=0,F30&lt;=N('Исходные данные'!$B$37)),0,-(I30+J30)*N('Исходные данные'!$B$38))</f>
        <v>0</v>
      </c>
      <c r="L30">
        <f t="shared" si="2"/>
        <v>0</v>
      </c>
      <c r="M30">
        <f>IF('Исходные данные'!$B$51="Да",L30*N('Исходные данные'!$B$52),0)</f>
        <v>0</v>
      </c>
      <c r="N30">
        <f t="shared" si="3"/>
        <v>0</v>
      </c>
      <c r="O30">
        <f>IF(OR(B30="",IF('Исходные данные'!$B$45="",'Исходные данные'!$B$10,'Исходные данные'!$B$45)="",C30&lt;IF('Исходные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данные'!$B$45)),1),B30,"m")/12))*IF(AND(B30&lt;=IF('Исходные данные'!$B$45="",'Исходные данные'!$B$10,'Исходные данные'!$B$45),C30&gt;=IF('Исходные данные'!$B$45="",'Исходные данные'!$B$10,'Исходные данные'!$B$45)),(C30-IF('Исходные данные'!$B$45="",'Исходные данные'!$B$10,'Исходные данные'!$B$45)+1)/DAY(C30),1)*IF('Исходные данные'!$B$43="Без НДС",1+N('Исходные данные'!$B$44),1))</f>
        <v>0</v>
      </c>
      <c r="P30">
        <f>IF('Исходные данные'!$B$51="Да",-O30*N('Исходные данные'!$B$44)/(1+N('Исходные данные'!$B$44)),0)</f>
        <v>0</v>
      </c>
      <c r="Q30">
        <f>IF('Исходные данные'!$B$35="Да",-O30,0)</f>
        <v>0</v>
      </c>
      <c r="R30">
        <f>IF(AND('Исходные данные'!$B$51="Да",Q30&gt;0),Q30*N('Исходные данные'!$B$52)/(1+N('Исходные данные'!$B$52)),0)</f>
        <v>0</v>
      </c>
      <c r="S30">
        <f>IF(OR(B30="",IF('Исходные данные'!$B$45="",'Исходные данные'!$B$10,'Исходные данные'!$B$45)="",C30&lt;IF('Исходные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данные'!$B$45)),1),B30,"m")/12))*IF(AND(B30&lt;=IF('Исходные данные'!$B$45="",'Исходные данные'!$B$10,'Исходные данные'!$B$45),C30&gt;=IF('Исходные данные'!$B$45="",'Исходные данные'!$B$10,'Исходные данные'!$B$45)),(C30-IF('Исходные данные'!$B$45="",'Исходные данные'!$B$10,'Исходные данные'!$B$45)+1)/DAY(C30),1)*IF('Исходные данные'!$B$43="Без НДС",1+N('Исходные данные'!$B$44),1))</f>
        <v>0</v>
      </c>
      <c r="T30">
        <f>IF('Исходные данные'!$B$51="Да",-S30*N('Исходные данные'!$B$44)/(1+N('Исходные данные'!$B$44)),0)</f>
        <v>0</v>
      </c>
      <c r="U30">
        <f>IF('Исходные данные'!$B$36="Да",-S30,0)</f>
        <v>0</v>
      </c>
      <c r="V30">
        <f>IF(AND('Исходные данные'!$B$51="Да",U30&gt;0),U30*N('Исходные данные'!$B$52)/(1+N('Исходные данные'!$B$52)),0)</f>
        <v>0</v>
      </c>
      <c r="W30">
        <f>IF(OR(B30="",IF('Исходные данные'!$B$69="",'Исходные данные'!$B$10,'Исходные данные'!$B$69)="",C30&lt;IF('Исходные данные'!$B$69="",'Исходные данные'!$B$10,'Исходные данные'!$B$69)),0,-N('Исходные данные'!$B$16)*N('Исходные данные'!$B$68)*N('Исходные данные'!$B$67)/12*IF(AND(B30&lt;=IF('Исходные данные'!$B$69="",'Исходные данные'!$B$10,'Исходные данные'!$B$69),C30&gt;=IF('Исходные данные'!$B$69="",'Исходные данные'!$B$10,'Исходные данные'!$B$69)),(C30-IF('Исходные данные'!$B$69="",'Исходные данные'!$B$10,'Исходные данные'!$B$69)+1)/DAY(C30),1))</f>
        <v>0</v>
      </c>
      <c r="X30">
        <f>IF(OR(B30="",IF('Исходные данные'!$B$76="",'Исходные данные'!$B$10,'Исходные данные'!$B$76)="",C30&lt;IF('Исходные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данные'!$B$76)),1),B30,"m")/12))*IF(AND(B30&lt;=IF('Исходные данные'!$B$76="",'Исходные данные'!$B$10,'Исходные данные'!$B$76),C30&gt;=IF('Исходные данные'!$B$76="",'Исходные данные'!$B$10,'Исходные данные'!$B$76)),(C30-IF('Исходные данные'!$B$76="",'Исходные данные'!$B$10,'Исходные данные'!$B$76)+1)/DAY(C30),1))</f>
        <v>0</v>
      </c>
      <c r="Y30">
        <f t="shared" si="4"/>
        <v>0</v>
      </c>
      <c r="Z30">
        <f>IF(OR(B30="",N('Исходные данные'!$B$19)=0),0,-SUMIFS('Исходные данные'!$I$6:$I$186,'Исходные данные'!$F$6:$F$186,B30)*N('Исходные данные'!$B$17)/N('Исходные данные'!$B$19))</f>
        <v>0</v>
      </c>
      <c r="AA30">
        <f>IF(OR(B30="",N('Исходные данные'!$B$19)=0),0,-SUMIFS('Исходные данные'!$I$6:$I$186,'Исходные данные'!$F$6:$F$186,B30)*N('Исходные данные'!$B$18)/N('Исходные данные'!$B$19))</f>
        <v>0</v>
      </c>
      <c r="AB30">
        <f>IF(OR(B30="",'Исходные данные'!$B$13=""),0,IF(AND(YEAR(B30)=YEAR('Исходные данные'!$B$13),MONTH(B30)=MONTH('Исходные данные'!$B$13)),-N('Исходные данные'!$B$11),0))</f>
        <v>0</v>
      </c>
      <c r="AC30">
        <f>IF(A30=1,-N('Исходные данные'!$B$19)*N('Исходные данные'!$B$72),0)</f>
        <v>0</v>
      </c>
      <c r="AD30">
        <f>IF(OR(B30="",'Исходные данные'!$B$22&lt;&gt;"Да",'Исходные данные'!$B$26=""),0,IF(AND(YEAR(B30)=YEAR('Исходные данные'!$B$26),MONTH(B30)=MONTH('Исходные данные'!$B$26)),N('Исходные данные'!$B$23),0))</f>
        <v>0</v>
      </c>
      <c r="AE30">
        <f t="shared" si="17"/>
        <v>0</v>
      </c>
      <c r="AF30">
        <f>IF(OR('Исходные данные'!$B$22&lt;&gt;"Да",'Исходные данные'!$B$26="",C30&lt;'Исходные данные'!$B$26),0,DATEDIF(DATE(YEAR('Исходные данные'!$B$26),MONTH('Исходные данные'!$B$26),1),B30,"m")+1)</f>
        <v>0</v>
      </c>
      <c r="AG30">
        <f>IF(OR(AF30&lt;1,AF30&gt;N('Исходные данные'!$B$25),AE30+AD30&lt;=0),0,-(AE30+AD30)*N('Исходные данные'!$B$24)*IF(AF30=1,C30-'Исходные данные'!$B$26+1,DAY(C30))/365)</f>
        <v>0</v>
      </c>
      <c r="AH30">
        <f>IF(OR(AF30&lt;1,AF30&gt;N('Исходные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данные'!$B$25)-AG30))</f>
        <v>0</v>
      </c>
      <c r="AI30">
        <f>IF(OR('Исходные данные'!$B$22&lt;&gt;"Да",AE30+AD30&lt;=0),0,IF(AND('Исходные данные'!$B$91&lt;&gt;"",B30&lt;&gt;"",YEAR(B30)=YEAR('Исходные данные'!$B$91),MONTH(B30)=MONTH('Исходные данные'!$B$91)),-(AE30+AD30),IF(OR(AF30&lt;1,AF30&gt;N('Исходные данные'!$B$25)),0,IF('Исходные данные'!$B$27="Равными долями",-MIN(AE30+AD30,N('Исходные данные'!$B$23)/N('Исходные данные'!$B$25)),-MIN(AE30+AD30,IF(AF30=N('Исходные данные'!$B$25),AE30+AD30,MAX(0,AH30+AG30)))))))</f>
        <v>0</v>
      </c>
      <c r="AJ30">
        <f t="shared" si="5"/>
        <v>0</v>
      </c>
      <c r="AK30">
        <f t="shared" si="6"/>
        <v>0</v>
      </c>
      <c r="AL30">
        <f>IF(OR(B30="",'Исходные данные'!$B$51&lt;&gt;"Да",'Исходные данные'!$B$61=""),0,IF(AND(YEAR(B30)=YEAR('Исходные данные'!$B$61),MONTH(B30)=MONTH('Исходные данные'!$B$61)),N('Исходные данные'!$B$18)*N('Исходные данные'!$B$62),0))</f>
        <v>0</v>
      </c>
      <c r="AM30">
        <f t="shared" si="18"/>
        <v>0</v>
      </c>
      <c r="AN30">
        <f t="shared" si="7"/>
        <v>0</v>
      </c>
      <c r="AO30">
        <f t="shared" si="8"/>
        <v>0</v>
      </c>
      <c r="AP30">
        <f>IF('Исходные данные'!$B$51="Да",-MAX(0,AN30-AO30-AM30),0)</f>
        <v>0</v>
      </c>
      <c r="AQ30">
        <f>IF('Исходные данные'!$B$51="Да",MAX(0,AM30+AO30-AN30),0)</f>
        <v>0</v>
      </c>
      <c r="AR30">
        <f>IF('Исходные данные'!$B$53="Выручка",MAX(0,L30+(Q30-R30)+(U30-V30)),IF('Исходные данные'!$B$53="Прибыль до налога",MAX(0,L30+(Q30-R30)+(U30-V30)+N('Исходные данные'!$B$54)*((O30+P30)+(S30+T30)+W30+X30)+IF('Исходные данные'!$B$55="Да",AG30,0)-N('Исходные данные'!$B$56)/12),IF('Исходные данные'!$B$53="Пользовательская база",MAX(0,N('Исходные данные'!$B$57)/12),0)))</f>
        <v>0</v>
      </c>
      <c r="AS30">
        <f>IF(E30=1,-AR30*N('Исходные данные'!$B$50),0)</f>
        <v>0</v>
      </c>
      <c r="AT30">
        <f t="shared" si="9"/>
        <v>0</v>
      </c>
      <c r="AU30">
        <f>IF(OR(B30="",N('Исходные данные'!$B$80)&lt;=0,'Исходные данные'!$B$88=""),0,MAX(0,IF('Исходные данные'!$B$88="Последние 12 месяцев",SUMIFS($Y$2:$Y$194,$B$2:$B$194,"&gt;="&amp;EDATE(B30,-11),$B$2:$B$194,"&lt;="&amp;B30),IF('Исходные данные'!$B$88="Пользовательский NOI",N('Исходные данные'!$B$89),AT30))/N('Исходные данные'!$B$80)*(1+N('Исходные данные'!$B$81))))</f>
        <v>0</v>
      </c>
      <c r="AV30">
        <f>IF(OR(E30&lt;&gt;1,B30="",'Исходные данные'!$B$91=""),0,IF(AND(YEAR(B30)=YEAR('Исходные данные'!$B$91),MONTH(B30)=MONTH('Исходные данные'!$B$91)),AU30,0))</f>
        <v>0</v>
      </c>
      <c r="AW30">
        <f>-AV30*N('Исходные данные'!$B$73)</f>
        <v>0</v>
      </c>
      <c r="AX30">
        <f>IF(AV30=0,0,-N('Исходные данные'!$B$87)-IF('Исходные данные'!$B$82="Да",IF('Исходные данные'!$B$84="С выручки",AV30,IF('Исходные данные'!$B$84="С прибыли",MAX(0,AV30+AW30-IF('Исходные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0">
        <f t="shared" si="10"/>
        <v>0</v>
      </c>
      <c r="AZ30">
        <f t="shared" si="11"/>
        <v>0</v>
      </c>
      <c r="BA30">
        <f t="shared" si="12"/>
        <v>0</v>
      </c>
      <c r="BB30" t="str">
        <f t="shared" si="19"/>
        <v/>
      </c>
      <c r="BC30">
        <f>IF(OR(E30=0,'Исходные данные'!$B$9="",'Исходные данные'!$B$90=""),0,BA30/(1+'Исходные данные'!$B$90)^((D30-'Исходные данные'!$B$9)/365))</f>
        <v>0</v>
      </c>
      <c r="BD30">
        <f>IF(AND(E30=1,BB30&gt;=0,BB29&lt;0,MIN($BB$2:BB30)&lt;0),1,0)</f>
        <v>0</v>
      </c>
      <c r="BE30">
        <f t="shared" si="13"/>
        <v>0</v>
      </c>
      <c r="BF30">
        <f t="shared" si="14"/>
        <v>0</v>
      </c>
      <c r="BG30">
        <f t="shared" si="15"/>
        <v>0</v>
      </c>
      <c r="BH30">
        <f t="shared" si="16"/>
        <v>1</v>
      </c>
      <c r="BI30">
        <f>AZ30+N30+AP30-AR30*N('Исходные данные'!$B$50)</f>
        <v>0</v>
      </c>
      <c r="BJ30">
        <f t="shared" si="20"/>
        <v>0</v>
      </c>
      <c r="BK30">
        <f>IF(AND(BJ30&gt;=0,BJ29&lt;0,MIN($BJ$2:BJ30)&lt;0),1,0)</f>
        <v>0</v>
      </c>
    </row>
    <row r="31" spans="1:63" x14ac:dyDescent="0.2">
      <c r="A31">
        <v>30</v>
      </c>
      <c r="B31" t="str">
        <f>IF('Исходные данные'!$B$9="","",EDATE(DATE(YEAR('Исходные данные'!$B$9),MONTH('Исходные данные'!$B$9),1),A31-1))</f>
        <v/>
      </c>
      <c r="C31" t="str">
        <f t="shared" si="0"/>
        <v/>
      </c>
      <c r="D31" t="str">
        <f>IF(B31="","",IF('Исходные данные'!$B$91&lt;&gt;"",IF(AND(YEAR(B31)=YEAR('Исходные данные'!$B$91),MONTH(B31)=MONTH('Исходные данные'!$B$91)),'Исходные данные'!$B$91,IF('Исходные данные'!$B$13&lt;&gt;"",IF(AND(YEAR(B31)=YEAR('Исходные данные'!$B$13),MONTH(B31)=MONTH('Исходные данные'!$B$13)),'Исходные данные'!$B$13,IF('Исходные данные'!$B$26&lt;&gt;"",IF(AND(YEAR(B31)=YEAR('Исходные данные'!$B$26),MONTH(B31)=MONTH('Исходные данные'!$B$26)),'Исходные данные'!$B$26,IF(A31=1,'Исходные данные'!$B$9,C31)),IF(A31=1,'Исходные данные'!$B$9,C31))),IF('Исходные данные'!$B$26&lt;&gt;"",IF(AND(YEAR(B31)=YEAR('Исходные данные'!$B$26),MONTH(B31)=MONTH('Исходные данные'!$B$26)),'Исходные данные'!$B$26,IF(A31=1,'Исходные данные'!$B$9,C31)),IF(A31=1,'Исходные данные'!$B$9,C31)))),IF('Исходные данные'!$B$13&lt;&gt;"",IF(AND(YEAR(B31)=YEAR('Исходные данные'!$B$13),MONTH(B31)=MONTH('Исходные данные'!$B$13)),'Исходные данные'!$B$13,IF('Исходные данные'!$B$26&lt;&gt;"",IF(AND(YEAR(B31)=YEAR('Исходные данные'!$B$26),MONTH(B31)=MONTH('Исходные данные'!$B$26)),'Исходные данные'!$B$26,IF(A31=1,'Исходные данные'!$B$9,C31)),IF(A31=1,'Исходные данные'!$B$9,C31))),IF('Исходные данные'!$B$26&lt;&gt;"",IF(AND(YEAR(B31)=YEAR('Исходные данные'!$B$26),MONTH(B31)=MONTH('Исходные данные'!$B$26)),'Исходные данные'!$B$26,IF(A31=1,'Исходные данные'!$B$9,C31)),IF(A31=1,'Исходные данные'!$B$9,C31)))))</f>
        <v/>
      </c>
      <c r="E31">
        <f>IF(OR(B31="",'Исходные данные'!$B$91=""),0,--(B31&lt;=DATE(YEAR('Исходные данные'!$B$91),MONTH('Исходные данные'!$B$91),1)))</f>
        <v>0</v>
      </c>
      <c r="F31">
        <f>IF(OR(B31="",'Исходные данные'!$B$30="",C31&lt;'Исходные данные'!$B$30),0,DATEDIF(DATE(YEAR('Исходные данные'!$B$30),MONTH('Исходные данные'!$B$30),1),B31,"m")+1)</f>
        <v>0</v>
      </c>
      <c r="G31">
        <f t="shared" si="1"/>
        <v>0</v>
      </c>
      <c r="H31">
        <f>IF(F31=0,0,IF(G31=1,N('Исходные данные'!$B$31),IF(G31=2,N('Исходные данные'!$B$32),IF(G31=3,N('Исходные данные'!$B$33),N('Исходные данные'!$B$33)*(1+N('Исходные данные'!$B$34))^(G31-3)))))</f>
        <v>0</v>
      </c>
      <c r="I31">
        <f>IF(OR(F31=0,N('Исходные данные'!$B$5)=0,H31=0),0,'Исходные данные'!$B$5*H31*IF(AND(B31&lt;='Исходные данные'!$B$30,C31&gt;='Исходные данные'!$B$30),(C31-'Исходные данные'!$B$30+1)/DAY(C31),1))</f>
        <v>0</v>
      </c>
      <c r="J31">
        <f>IF(AND(F31&gt;0,F31&lt;=N('Исходные данные'!$B$37)),-I31,0)</f>
        <v>0</v>
      </c>
      <c r="K31">
        <f>IF(OR(F31=0,F31&lt;=N('Исходные данные'!$B$37)),0,-(I31+J31)*N('Исходные данные'!$B$38))</f>
        <v>0</v>
      </c>
      <c r="L31">
        <f t="shared" si="2"/>
        <v>0</v>
      </c>
      <c r="M31">
        <f>IF('Исходные данные'!$B$51="Да",L31*N('Исходные данные'!$B$52),0)</f>
        <v>0</v>
      </c>
      <c r="N31">
        <f t="shared" si="3"/>
        <v>0</v>
      </c>
      <c r="O31">
        <f>IF(OR(B31="",IF('Исходные данные'!$B$45="",'Исходные данные'!$B$10,'Исходные данные'!$B$45)="",C31&lt;IF('Исходные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данные'!$B$45)),1),B31,"m")/12))*IF(AND(B31&lt;=IF('Исходные данные'!$B$45="",'Исходные данные'!$B$10,'Исходные данные'!$B$45),C31&gt;=IF('Исходные данные'!$B$45="",'Исходные данные'!$B$10,'Исходные данные'!$B$45)),(C31-IF('Исходные данные'!$B$45="",'Исходные данные'!$B$10,'Исходные данные'!$B$45)+1)/DAY(C31),1)*IF('Исходные данные'!$B$43="Без НДС",1+N('Исходные данные'!$B$44),1))</f>
        <v>0</v>
      </c>
      <c r="P31">
        <f>IF('Исходные данные'!$B$51="Да",-O31*N('Исходные данные'!$B$44)/(1+N('Исходные данные'!$B$44)),0)</f>
        <v>0</v>
      </c>
      <c r="Q31">
        <f>IF('Исходные данные'!$B$35="Да",-O31,0)</f>
        <v>0</v>
      </c>
      <c r="R31">
        <f>IF(AND('Исходные данные'!$B$51="Да",Q31&gt;0),Q31*N('Исходные данные'!$B$52)/(1+N('Исходные данные'!$B$52)),0)</f>
        <v>0</v>
      </c>
      <c r="S31">
        <f>IF(OR(B31="",IF('Исходные данные'!$B$45="",'Исходные данные'!$B$10,'Исходные данные'!$B$45)="",C31&lt;IF('Исходные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данные'!$B$45)),1),B31,"m")/12))*IF(AND(B31&lt;=IF('Исходные данные'!$B$45="",'Исходные данные'!$B$10,'Исходные данные'!$B$45),C31&gt;=IF('Исходные данные'!$B$45="",'Исходные данные'!$B$10,'Исходные данные'!$B$45)),(C31-IF('Исходные данные'!$B$45="",'Исходные данные'!$B$10,'Исходные данные'!$B$45)+1)/DAY(C31),1)*IF('Исходные данные'!$B$43="Без НДС",1+N('Исходные данные'!$B$44),1))</f>
        <v>0</v>
      </c>
      <c r="T31">
        <f>IF('Исходные данные'!$B$51="Да",-S31*N('Исходные данные'!$B$44)/(1+N('Исходные данные'!$B$44)),0)</f>
        <v>0</v>
      </c>
      <c r="U31">
        <f>IF('Исходные данные'!$B$36="Да",-S31,0)</f>
        <v>0</v>
      </c>
      <c r="V31">
        <f>IF(AND('Исходные данные'!$B$51="Да",U31&gt;0),U31*N('Исходные данные'!$B$52)/(1+N('Исходные данные'!$B$52)),0)</f>
        <v>0</v>
      </c>
      <c r="W31">
        <f>IF(OR(B31="",IF('Исходные данные'!$B$69="",'Исходные данные'!$B$10,'Исходные данные'!$B$69)="",C31&lt;IF('Исходные данные'!$B$69="",'Исходные данные'!$B$10,'Исходные данные'!$B$69)),0,-N('Исходные данные'!$B$16)*N('Исходные данные'!$B$68)*N('Исходные данные'!$B$67)/12*IF(AND(B31&lt;=IF('Исходные данные'!$B$69="",'Исходные данные'!$B$10,'Исходные данные'!$B$69),C31&gt;=IF('Исходные данные'!$B$69="",'Исходные данные'!$B$10,'Исходные данные'!$B$69)),(C31-IF('Исходные данные'!$B$69="",'Исходные данные'!$B$10,'Исходные данные'!$B$69)+1)/DAY(C31),1))</f>
        <v>0</v>
      </c>
      <c r="X31">
        <f>IF(OR(B31="",IF('Исходные данные'!$B$76="",'Исходные данные'!$B$10,'Исходные данные'!$B$76)="",C31&lt;IF('Исходные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данные'!$B$76)),1),B31,"m")/12))*IF(AND(B31&lt;=IF('Исходные данные'!$B$76="",'Исходные данные'!$B$10,'Исходные данные'!$B$76),C31&gt;=IF('Исходные данные'!$B$76="",'Исходные данные'!$B$10,'Исходные данные'!$B$76)),(C31-IF('Исходные данные'!$B$76="",'Исходные данные'!$B$10,'Исходные данные'!$B$76)+1)/DAY(C31),1))</f>
        <v>0</v>
      </c>
      <c r="Y31">
        <f t="shared" si="4"/>
        <v>0</v>
      </c>
      <c r="Z31">
        <f>IF(OR(B31="",N('Исходные данные'!$B$19)=0),0,-SUMIFS('Исходные данные'!$I$6:$I$186,'Исходные данные'!$F$6:$F$186,B31)*N('Исходные данные'!$B$17)/N('Исходные данные'!$B$19))</f>
        <v>0</v>
      </c>
      <c r="AA31">
        <f>IF(OR(B31="",N('Исходные данные'!$B$19)=0),0,-SUMIFS('Исходные данные'!$I$6:$I$186,'Исходные данные'!$F$6:$F$186,B31)*N('Исходные данные'!$B$18)/N('Исходные данные'!$B$19))</f>
        <v>0</v>
      </c>
      <c r="AB31">
        <f>IF(OR(B31="",'Исходные данные'!$B$13=""),0,IF(AND(YEAR(B31)=YEAR('Исходные данные'!$B$13),MONTH(B31)=MONTH('Исходные данные'!$B$13)),-N('Исходные данные'!$B$11),0))</f>
        <v>0</v>
      </c>
      <c r="AC31">
        <f>IF(A31=1,-N('Исходные данные'!$B$19)*N('Исходные данные'!$B$72),0)</f>
        <v>0</v>
      </c>
      <c r="AD31">
        <f>IF(OR(B31="",'Исходные данные'!$B$22&lt;&gt;"Да",'Исходные данные'!$B$26=""),0,IF(AND(YEAR(B31)=YEAR('Исходные данные'!$B$26),MONTH(B31)=MONTH('Исходные данные'!$B$26)),N('Исходные данные'!$B$23),0))</f>
        <v>0</v>
      </c>
      <c r="AE31">
        <f t="shared" si="17"/>
        <v>0</v>
      </c>
      <c r="AF31">
        <f>IF(OR('Исходные данные'!$B$22&lt;&gt;"Да",'Исходные данные'!$B$26="",C31&lt;'Исходные данные'!$B$26),0,DATEDIF(DATE(YEAR('Исходные данные'!$B$26),MONTH('Исходные данные'!$B$26),1),B31,"m")+1)</f>
        <v>0</v>
      </c>
      <c r="AG31">
        <f>IF(OR(AF31&lt;1,AF31&gt;N('Исходные данные'!$B$25),AE31+AD31&lt;=0),0,-(AE31+AD31)*N('Исходные данные'!$B$24)*IF(AF31=1,C31-'Исходные данные'!$B$26+1,DAY(C31))/365)</f>
        <v>0</v>
      </c>
      <c r="AH31">
        <f>IF(OR(AF31&lt;1,AF31&gt;N('Исходные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данные'!$B$25)-AG31))</f>
        <v>0</v>
      </c>
      <c r="AI31">
        <f>IF(OR('Исходные данные'!$B$22&lt;&gt;"Да",AE31+AD31&lt;=0),0,IF(AND('Исходные данные'!$B$91&lt;&gt;"",B31&lt;&gt;"",YEAR(B31)=YEAR('Исходные данные'!$B$91),MONTH(B31)=MONTH('Исходные данные'!$B$91)),-(AE31+AD31),IF(OR(AF31&lt;1,AF31&gt;N('Исходные данные'!$B$25)),0,IF('Исходные данные'!$B$27="Равными долями",-MIN(AE31+AD31,N('Исходные данные'!$B$23)/N('Исходные данные'!$B$25)),-MIN(AE31+AD31,IF(AF31=N('Исходные данные'!$B$25),AE31+AD31,MAX(0,AH31+AG31)))))))</f>
        <v>0</v>
      </c>
      <c r="AJ31">
        <f t="shared" si="5"/>
        <v>0</v>
      </c>
      <c r="AK31">
        <f t="shared" si="6"/>
        <v>0</v>
      </c>
      <c r="AL31">
        <f>IF(OR(B31="",'Исходные данные'!$B$51&lt;&gt;"Да",'Исходные данные'!$B$61=""),0,IF(AND(YEAR(B31)=YEAR('Исходные данные'!$B$61),MONTH(B31)=MONTH('Исходные данные'!$B$61)),N('Исходные данные'!$B$18)*N('Исходные данные'!$B$62),0))</f>
        <v>0</v>
      </c>
      <c r="AM31">
        <f t="shared" si="18"/>
        <v>0</v>
      </c>
      <c r="AN31">
        <f t="shared" si="7"/>
        <v>0</v>
      </c>
      <c r="AO31">
        <f t="shared" si="8"/>
        <v>0</v>
      </c>
      <c r="AP31">
        <f>IF('Исходные данные'!$B$51="Да",-MAX(0,AN31-AO31-AM31),0)</f>
        <v>0</v>
      </c>
      <c r="AQ31">
        <f>IF('Исходные данные'!$B$51="Да",MAX(0,AM31+AO31-AN31),0)</f>
        <v>0</v>
      </c>
      <c r="AR31">
        <f>IF('Исходные данные'!$B$53="Выручка",MAX(0,L31+(Q31-R31)+(U31-V31)),IF('Исходные данные'!$B$53="Прибыль до налога",MAX(0,L31+(Q31-R31)+(U31-V31)+N('Исходные данные'!$B$54)*((O31+P31)+(S31+T31)+W31+X31)+IF('Исходные данные'!$B$55="Да",AG31,0)-N('Исходные данные'!$B$56)/12),IF('Исходные данные'!$B$53="Пользовательская база",MAX(0,N('Исходные данные'!$B$57)/12),0)))</f>
        <v>0</v>
      </c>
      <c r="AS31">
        <f>IF(E31=1,-AR31*N('Исходные данные'!$B$50),0)</f>
        <v>0</v>
      </c>
      <c r="AT31">
        <f t="shared" si="9"/>
        <v>0</v>
      </c>
      <c r="AU31">
        <f>IF(OR(B31="",N('Исходные данные'!$B$80)&lt;=0,'Исходные данные'!$B$88=""),0,MAX(0,IF('Исходные данные'!$B$88="Последние 12 месяцев",SUMIFS($Y$2:$Y$194,$B$2:$B$194,"&gt;="&amp;EDATE(B31,-11),$B$2:$B$194,"&lt;="&amp;B31),IF('Исходные данные'!$B$88="Пользовательский NOI",N('Исходные данные'!$B$89),AT31))/N('Исходные данные'!$B$80)*(1+N('Исходные данные'!$B$81))))</f>
        <v>0</v>
      </c>
      <c r="AV31">
        <f>IF(OR(E31&lt;&gt;1,B31="",'Исходные данные'!$B$91=""),0,IF(AND(YEAR(B31)=YEAR('Исходные данные'!$B$91),MONTH(B31)=MONTH('Исходные данные'!$B$91)),AU31,0))</f>
        <v>0</v>
      </c>
      <c r="AW31">
        <f>-AV31*N('Исходные данные'!$B$73)</f>
        <v>0</v>
      </c>
      <c r="AX31">
        <f>IF(AV31=0,0,-N('Исходные данные'!$B$87)-IF('Исходные данные'!$B$82="Да",IF('Исходные данные'!$B$84="С выручки",AV31,IF('Исходные данные'!$B$84="С прибыли",MAX(0,AV31+AW31-IF('Исходные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1">
        <f t="shared" si="10"/>
        <v>0</v>
      </c>
      <c r="AZ31">
        <f t="shared" si="11"/>
        <v>0</v>
      </c>
      <c r="BA31">
        <f t="shared" si="12"/>
        <v>0</v>
      </c>
      <c r="BB31" t="str">
        <f t="shared" si="19"/>
        <v/>
      </c>
      <c r="BC31">
        <f>IF(OR(E31=0,'Исходные данные'!$B$9="",'Исходные данные'!$B$90=""),0,BA31/(1+'Исходные данные'!$B$90)^((D31-'Исходные данные'!$B$9)/365))</f>
        <v>0</v>
      </c>
      <c r="BD31">
        <f>IF(AND(E31=1,BB31&gt;=0,BB30&lt;0,MIN($BB$2:BB31)&lt;0),1,0)</f>
        <v>0</v>
      </c>
      <c r="BE31">
        <f t="shared" si="13"/>
        <v>0</v>
      </c>
      <c r="BF31">
        <f t="shared" si="14"/>
        <v>0</v>
      </c>
      <c r="BG31">
        <f t="shared" si="15"/>
        <v>0</v>
      </c>
      <c r="BH31">
        <f t="shared" si="16"/>
        <v>1</v>
      </c>
      <c r="BI31">
        <f>AZ31+N31+AP31-AR31*N('Исходные данные'!$B$50)</f>
        <v>0</v>
      </c>
      <c r="BJ31">
        <f t="shared" si="20"/>
        <v>0</v>
      </c>
      <c r="BK31">
        <f>IF(AND(BJ31&gt;=0,BJ30&lt;0,MIN($BJ$2:BJ31)&lt;0),1,0)</f>
        <v>0</v>
      </c>
    </row>
    <row r="32" spans="1:63" x14ac:dyDescent="0.2">
      <c r="A32">
        <v>31</v>
      </c>
      <c r="B32" t="str">
        <f>IF('Исходные данные'!$B$9="","",EDATE(DATE(YEAR('Исходные данные'!$B$9),MONTH('Исходные данные'!$B$9),1),A32-1))</f>
        <v/>
      </c>
      <c r="C32" t="str">
        <f t="shared" si="0"/>
        <v/>
      </c>
      <c r="D32" t="str">
        <f>IF(B32="","",IF('Исходные данные'!$B$91&lt;&gt;"",IF(AND(YEAR(B32)=YEAR('Исходные данные'!$B$91),MONTH(B32)=MONTH('Исходные данные'!$B$91)),'Исходные данные'!$B$91,IF('Исходные данные'!$B$13&lt;&gt;"",IF(AND(YEAR(B32)=YEAR('Исходные данные'!$B$13),MONTH(B32)=MONTH('Исходные данные'!$B$13)),'Исходные данные'!$B$13,IF('Исходные данные'!$B$26&lt;&gt;"",IF(AND(YEAR(B32)=YEAR('Исходные данные'!$B$26),MONTH(B32)=MONTH('Исходные данные'!$B$26)),'Исходные данные'!$B$26,IF(A32=1,'Исходные данные'!$B$9,C32)),IF(A32=1,'Исходные данные'!$B$9,C32))),IF('Исходные данные'!$B$26&lt;&gt;"",IF(AND(YEAR(B32)=YEAR('Исходные данные'!$B$26),MONTH(B32)=MONTH('Исходные данные'!$B$26)),'Исходные данные'!$B$26,IF(A32=1,'Исходные данные'!$B$9,C32)),IF(A32=1,'Исходные данные'!$B$9,C32)))),IF('Исходные данные'!$B$13&lt;&gt;"",IF(AND(YEAR(B32)=YEAR('Исходные данные'!$B$13),MONTH(B32)=MONTH('Исходные данные'!$B$13)),'Исходные данные'!$B$13,IF('Исходные данные'!$B$26&lt;&gt;"",IF(AND(YEAR(B32)=YEAR('Исходные данные'!$B$26),MONTH(B32)=MONTH('Исходные данные'!$B$26)),'Исходные данные'!$B$26,IF(A32=1,'Исходные данные'!$B$9,C32)),IF(A32=1,'Исходные данные'!$B$9,C32))),IF('Исходные данные'!$B$26&lt;&gt;"",IF(AND(YEAR(B32)=YEAR('Исходные данные'!$B$26),MONTH(B32)=MONTH('Исходные данные'!$B$26)),'Исходные данные'!$B$26,IF(A32=1,'Исходные данные'!$B$9,C32)),IF(A32=1,'Исходные данные'!$B$9,C32)))))</f>
        <v/>
      </c>
      <c r="E32">
        <f>IF(OR(B32="",'Исходные данные'!$B$91=""),0,--(B32&lt;=DATE(YEAR('Исходные данные'!$B$91),MONTH('Исходные данные'!$B$91),1)))</f>
        <v>0</v>
      </c>
      <c r="F32">
        <f>IF(OR(B32="",'Исходные данные'!$B$30="",C32&lt;'Исходные данные'!$B$30),0,DATEDIF(DATE(YEAR('Исходные данные'!$B$30),MONTH('Исходные данные'!$B$30),1),B32,"m")+1)</f>
        <v>0</v>
      </c>
      <c r="G32">
        <f t="shared" si="1"/>
        <v>0</v>
      </c>
      <c r="H32">
        <f>IF(F32=0,0,IF(G32=1,N('Исходные данные'!$B$31),IF(G32=2,N('Исходные данные'!$B$32),IF(G32=3,N('Исходные данные'!$B$33),N('Исходные данные'!$B$33)*(1+N('Исходные данные'!$B$34))^(G32-3)))))</f>
        <v>0</v>
      </c>
      <c r="I32">
        <f>IF(OR(F32=0,N('Исходные данные'!$B$5)=0,H32=0),0,'Исходные данные'!$B$5*H32*IF(AND(B32&lt;='Исходные данные'!$B$30,C32&gt;='Исходные данные'!$B$30),(C32-'Исходные данные'!$B$30+1)/DAY(C32),1))</f>
        <v>0</v>
      </c>
      <c r="J32">
        <f>IF(AND(F32&gt;0,F32&lt;=N('Исходные данные'!$B$37)),-I32,0)</f>
        <v>0</v>
      </c>
      <c r="K32">
        <f>IF(OR(F32=0,F32&lt;=N('Исходные данные'!$B$37)),0,-(I32+J32)*N('Исходные данные'!$B$38))</f>
        <v>0</v>
      </c>
      <c r="L32">
        <f t="shared" si="2"/>
        <v>0</v>
      </c>
      <c r="M32">
        <f>IF('Исходные данные'!$B$51="Да",L32*N('Исходные данные'!$B$52),0)</f>
        <v>0</v>
      </c>
      <c r="N32">
        <f t="shared" si="3"/>
        <v>0</v>
      </c>
      <c r="O32">
        <f>IF(OR(B32="",IF('Исходные данные'!$B$45="",'Исходные данные'!$B$10,'Исходные данные'!$B$45)="",C32&lt;IF('Исходные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данные'!$B$45)),1),B32,"m")/12))*IF(AND(B32&lt;=IF('Исходные данные'!$B$45="",'Исходные данные'!$B$10,'Исходные данные'!$B$45),C32&gt;=IF('Исходные данные'!$B$45="",'Исходные данные'!$B$10,'Исходные данные'!$B$45)),(C32-IF('Исходные данные'!$B$45="",'Исходные данные'!$B$10,'Исходные данные'!$B$45)+1)/DAY(C32),1)*IF('Исходные данные'!$B$43="Без НДС",1+N('Исходные данные'!$B$44),1))</f>
        <v>0</v>
      </c>
      <c r="P32">
        <f>IF('Исходные данные'!$B$51="Да",-O32*N('Исходные данные'!$B$44)/(1+N('Исходные данные'!$B$44)),0)</f>
        <v>0</v>
      </c>
      <c r="Q32">
        <f>IF('Исходные данные'!$B$35="Да",-O32,0)</f>
        <v>0</v>
      </c>
      <c r="R32">
        <f>IF(AND('Исходные данные'!$B$51="Да",Q32&gt;0),Q32*N('Исходные данные'!$B$52)/(1+N('Исходные данные'!$B$52)),0)</f>
        <v>0</v>
      </c>
      <c r="S32">
        <f>IF(OR(B32="",IF('Исходные данные'!$B$45="",'Исходные данные'!$B$10,'Исходные данные'!$B$45)="",C32&lt;IF('Исходные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данные'!$B$45)),1),B32,"m")/12))*IF(AND(B32&lt;=IF('Исходные данные'!$B$45="",'Исходные данные'!$B$10,'Исходные данные'!$B$45),C32&gt;=IF('Исходные данные'!$B$45="",'Исходные данные'!$B$10,'Исходные данные'!$B$45)),(C32-IF('Исходные данные'!$B$45="",'Исходные данные'!$B$10,'Исходные данные'!$B$45)+1)/DAY(C32),1)*IF('Исходные данные'!$B$43="Без НДС",1+N('Исходные данные'!$B$44),1))</f>
        <v>0</v>
      </c>
      <c r="T32">
        <f>IF('Исходные данные'!$B$51="Да",-S32*N('Исходные данные'!$B$44)/(1+N('Исходные данные'!$B$44)),0)</f>
        <v>0</v>
      </c>
      <c r="U32">
        <f>IF('Исходные данные'!$B$36="Да",-S32,0)</f>
        <v>0</v>
      </c>
      <c r="V32">
        <f>IF(AND('Исходные данные'!$B$51="Да",U32&gt;0),U32*N('Исходные данные'!$B$52)/(1+N('Исходные данные'!$B$52)),0)</f>
        <v>0</v>
      </c>
      <c r="W32">
        <f>IF(OR(B32="",IF('Исходные данные'!$B$69="",'Исходные данные'!$B$10,'Исходные данные'!$B$69)="",C32&lt;IF('Исходные данные'!$B$69="",'Исходные данные'!$B$10,'Исходные данные'!$B$69)),0,-N('Исходные данные'!$B$16)*N('Исходные данные'!$B$68)*N('Исходные данные'!$B$67)/12*IF(AND(B32&lt;=IF('Исходные данные'!$B$69="",'Исходные данные'!$B$10,'Исходные данные'!$B$69),C32&gt;=IF('Исходные данные'!$B$69="",'Исходные данные'!$B$10,'Исходные данные'!$B$69)),(C32-IF('Исходные данные'!$B$69="",'Исходные данные'!$B$10,'Исходные данные'!$B$69)+1)/DAY(C32),1))</f>
        <v>0</v>
      </c>
      <c r="X32">
        <f>IF(OR(B32="",IF('Исходные данные'!$B$76="",'Исходные данные'!$B$10,'Исходные данные'!$B$76)="",C32&lt;IF('Исходные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данные'!$B$76)),1),B32,"m")/12))*IF(AND(B32&lt;=IF('Исходные данные'!$B$76="",'Исходные данные'!$B$10,'Исходные данные'!$B$76),C32&gt;=IF('Исходные данные'!$B$76="",'Исходные данные'!$B$10,'Исходные данные'!$B$76)),(C32-IF('Исходные данные'!$B$76="",'Исходные данные'!$B$10,'Исходные данные'!$B$76)+1)/DAY(C32),1))</f>
        <v>0</v>
      </c>
      <c r="Y32">
        <f t="shared" si="4"/>
        <v>0</v>
      </c>
      <c r="Z32">
        <f>IF(OR(B32="",N('Исходные данные'!$B$19)=0),0,-SUMIFS('Исходные данные'!$I$6:$I$186,'Исходные данные'!$F$6:$F$186,B32)*N('Исходные данные'!$B$17)/N('Исходные данные'!$B$19))</f>
        <v>0</v>
      </c>
      <c r="AA32">
        <f>IF(OR(B32="",N('Исходные данные'!$B$19)=0),0,-SUMIFS('Исходные данные'!$I$6:$I$186,'Исходные данные'!$F$6:$F$186,B32)*N('Исходные данные'!$B$18)/N('Исходные данные'!$B$19))</f>
        <v>0</v>
      </c>
      <c r="AB32">
        <f>IF(OR(B32="",'Исходные данные'!$B$13=""),0,IF(AND(YEAR(B32)=YEAR('Исходные данные'!$B$13),MONTH(B32)=MONTH('Исходные данные'!$B$13)),-N('Исходные данные'!$B$11),0))</f>
        <v>0</v>
      </c>
      <c r="AC32">
        <f>IF(A32=1,-N('Исходные данные'!$B$19)*N('Исходные данные'!$B$72),0)</f>
        <v>0</v>
      </c>
      <c r="AD32">
        <f>IF(OR(B32="",'Исходные данные'!$B$22&lt;&gt;"Да",'Исходные данные'!$B$26=""),0,IF(AND(YEAR(B32)=YEAR('Исходные данные'!$B$26),MONTH(B32)=MONTH('Исходные данные'!$B$26)),N('Исходные данные'!$B$23),0))</f>
        <v>0</v>
      </c>
      <c r="AE32">
        <f t="shared" si="17"/>
        <v>0</v>
      </c>
      <c r="AF32">
        <f>IF(OR('Исходные данные'!$B$22&lt;&gt;"Да",'Исходные данные'!$B$26="",C32&lt;'Исходные данные'!$B$26),0,DATEDIF(DATE(YEAR('Исходные данные'!$B$26),MONTH('Исходные данные'!$B$26),1),B32,"m")+1)</f>
        <v>0</v>
      </c>
      <c r="AG32">
        <f>IF(OR(AF32&lt;1,AF32&gt;N('Исходные данные'!$B$25),AE32+AD32&lt;=0),0,-(AE32+AD32)*N('Исходные данные'!$B$24)*IF(AF32=1,C32-'Исходные данные'!$B$26+1,DAY(C32))/365)</f>
        <v>0</v>
      </c>
      <c r="AH32">
        <f>IF(OR(AF32&lt;1,AF32&gt;N('Исходные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данные'!$B$25)-AG32))</f>
        <v>0</v>
      </c>
      <c r="AI32">
        <f>IF(OR('Исходные данные'!$B$22&lt;&gt;"Да",AE32+AD32&lt;=0),0,IF(AND('Исходные данные'!$B$91&lt;&gt;"",B32&lt;&gt;"",YEAR(B32)=YEAR('Исходные данные'!$B$91),MONTH(B32)=MONTH('Исходные данные'!$B$91)),-(AE32+AD32),IF(OR(AF32&lt;1,AF32&gt;N('Исходные данные'!$B$25)),0,IF('Исходные данные'!$B$27="Равными долями",-MIN(AE32+AD32,N('Исходные данные'!$B$23)/N('Исходные данные'!$B$25)),-MIN(AE32+AD32,IF(AF32=N('Исходные данные'!$B$25),AE32+AD32,MAX(0,AH32+AG32)))))))</f>
        <v>0</v>
      </c>
      <c r="AJ32">
        <f t="shared" si="5"/>
        <v>0</v>
      </c>
      <c r="AK32">
        <f t="shared" si="6"/>
        <v>0</v>
      </c>
      <c r="AL32">
        <f>IF(OR(B32="",'Исходные данные'!$B$51&lt;&gt;"Да",'Исходные данные'!$B$61=""),0,IF(AND(YEAR(B32)=YEAR('Исходные данные'!$B$61),MONTH(B32)=MONTH('Исходные данные'!$B$61)),N('Исходные данные'!$B$18)*N('Исходные данные'!$B$62),0))</f>
        <v>0</v>
      </c>
      <c r="AM32">
        <f t="shared" si="18"/>
        <v>0</v>
      </c>
      <c r="AN32">
        <f t="shared" si="7"/>
        <v>0</v>
      </c>
      <c r="AO32">
        <f t="shared" si="8"/>
        <v>0</v>
      </c>
      <c r="AP32">
        <f>IF('Исходные данные'!$B$51="Да",-MAX(0,AN32-AO32-AM32),0)</f>
        <v>0</v>
      </c>
      <c r="AQ32">
        <f>IF('Исходные данные'!$B$51="Да",MAX(0,AM32+AO32-AN32),0)</f>
        <v>0</v>
      </c>
      <c r="AR32">
        <f>IF('Исходные данные'!$B$53="Выручка",MAX(0,L32+(Q32-R32)+(U32-V32)),IF('Исходные данные'!$B$53="Прибыль до налога",MAX(0,L32+(Q32-R32)+(U32-V32)+N('Исходные данные'!$B$54)*((O32+P32)+(S32+T32)+W32+X32)+IF('Исходные данные'!$B$55="Да",AG32,0)-N('Исходные данные'!$B$56)/12),IF('Исходные данные'!$B$53="Пользовательская база",MAX(0,N('Исходные данные'!$B$57)/12),0)))</f>
        <v>0</v>
      </c>
      <c r="AS32">
        <f>IF(E32=1,-AR32*N('Исходные данные'!$B$50),0)</f>
        <v>0</v>
      </c>
      <c r="AT32">
        <f t="shared" si="9"/>
        <v>0</v>
      </c>
      <c r="AU32">
        <f>IF(OR(B32="",N('Исходные данные'!$B$80)&lt;=0,'Исходные данные'!$B$88=""),0,MAX(0,IF('Исходные данные'!$B$88="Последние 12 месяцев",SUMIFS($Y$2:$Y$194,$B$2:$B$194,"&gt;="&amp;EDATE(B32,-11),$B$2:$B$194,"&lt;="&amp;B32),IF('Исходные данные'!$B$88="Пользовательский NOI",N('Исходные данные'!$B$89),AT32))/N('Исходные данные'!$B$80)*(1+N('Исходные данные'!$B$81))))</f>
        <v>0</v>
      </c>
      <c r="AV32">
        <f>IF(OR(E32&lt;&gt;1,B32="",'Исходные данные'!$B$91=""),0,IF(AND(YEAR(B32)=YEAR('Исходные данные'!$B$91),MONTH(B32)=MONTH('Исходные данные'!$B$91)),AU32,0))</f>
        <v>0</v>
      </c>
      <c r="AW32">
        <f>-AV32*N('Исходные данные'!$B$73)</f>
        <v>0</v>
      </c>
      <c r="AX32">
        <f>IF(AV32=0,0,-N('Исходные данные'!$B$87)-IF('Исходные данные'!$B$82="Да",IF('Исходные данные'!$B$84="С выручки",AV32,IF('Исходные данные'!$B$84="С прибыли",MAX(0,AV32+AW32-IF('Исходные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2">
        <f t="shared" si="10"/>
        <v>0</v>
      </c>
      <c r="AZ32">
        <f t="shared" si="11"/>
        <v>0</v>
      </c>
      <c r="BA32">
        <f t="shared" si="12"/>
        <v>0</v>
      </c>
      <c r="BB32" t="str">
        <f t="shared" si="19"/>
        <v/>
      </c>
      <c r="BC32">
        <f>IF(OR(E32=0,'Исходные данные'!$B$9="",'Исходные данные'!$B$90=""),0,BA32/(1+'Исходные данные'!$B$90)^((D32-'Исходные данные'!$B$9)/365))</f>
        <v>0</v>
      </c>
      <c r="BD32">
        <f>IF(AND(E32=1,BB32&gt;=0,BB31&lt;0,MIN($BB$2:BB32)&lt;0),1,0)</f>
        <v>0</v>
      </c>
      <c r="BE32">
        <f t="shared" si="13"/>
        <v>0</v>
      </c>
      <c r="BF32">
        <f t="shared" si="14"/>
        <v>0</v>
      </c>
      <c r="BG32">
        <f t="shared" si="15"/>
        <v>0</v>
      </c>
      <c r="BH32">
        <f t="shared" si="16"/>
        <v>1</v>
      </c>
      <c r="BI32">
        <f>AZ32+N32+AP32-AR32*N('Исходные данные'!$B$50)</f>
        <v>0</v>
      </c>
      <c r="BJ32">
        <f t="shared" si="20"/>
        <v>0</v>
      </c>
      <c r="BK32">
        <f>IF(AND(BJ32&gt;=0,BJ31&lt;0,MIN($BJ$2:BJ32)&lt;0),1,0)</f>
        <v>0</v>
      </c>
    </row>
    <row r="33" spans="1:63" x14ac:dyDescent="0.2">
      <c r="A33">
        <v>32</v>
      </c>
      <c r="B33" t="str">
        <f>IF('Исходные данные'!$B$9="","",EDATE(DATE(YEAR('Исходные данные'!$B$9),MONTH('Исходные данные'!$B$9),1),A33-1))</f>
        <v/>
      </c>
      <c r="C33" t="str">
        <f t="shared" si="0"/>
        <v/>
      </c>
      <c r="D33" t="str">
        <f>IF(B33="","",IF('Исходные данные'!$B$91&lt;&gt;"",IF(AND(YEAR(B33)=YEAR('Исходные данные'!$B$91),MONTH(B33)=MONTH('Исходные данные'!$B$91)),'Исходные данные'!$B$91,IF('Исходные данные'!$B$13&lt;&gt;"",IF(AND(YEAR(B33)=YEAR('Исходные данные'!$B$13),MONTH(B33)=MONTH('Исходные данные'!$B$13)),'Исходные данные'!$B$13,IF('Исходные данные'!$B$26&lt;&gt;"",IF(AND(YEAR(B33)=YEAR('Исходные данные'!$B$26),MONTH(B33)=MONTH('Исходные данные'!$B$26)),'Исходные данные'!$B$26,IF(A33=1,'Исходные данные'!$B$9,C33)),IF(A33=1,'Исходные данные'!$B$9,C33))),IF('Исходные данные'!$B$26&lt;&gt;"",IF(AND(YEAR(B33)=YEAR('Исходные данные'!$B$26),MONTH(B33)=MONTH('Исходные данные'!$B$26)),'Исходные данные'!$B$26,IF(A33=1,'Исходные данные'!$B$9,C33)),IF(A33=1,'Исходные данные'!$B$9,C33)))),IF('Исходные данные'!$B$13&lt;&gt;"",IF(AND(YEAR(B33)=YEAR('Исходные данные'!$B$13),MONTH(B33)=MONTH('Исходные данные'!$B$13)),'Исходные данные'!$B$13,IF('Исходные данные'!$B$26&lt;&gt;"",IF(AND(YEAR(B33)=YEAR('Исходные данные'!$B$26),MONTH(B33)=MONTH('Исходные данные'!$B$26)),'Исходные данные'!$B$26,IF(A33=1,'Исходные данные'!$B$9,C33)),IF(A33=1,'Исходные данные'!$B$9,C33))),IF('Исходные данные'!$B$26&lt;&gt;"",IF(AND(YEAR(B33)=YEAR('Исходные данные'!$B$26),MONTH(B33)=MONTH('Исходные данные'!$B$26)),'Исходные данные'!$B$26,IF(A33=1,'Исходные данные'!$B$9,C33)),IF(A33=1,'Исходные данные'!$B$9,C33)))))</f>
        <v/>
      </c>
      <c r="E33">
        <f>IF(OR(B33="",'Исходные данные'!$B$91=""),0,--(B33&lt;=DATE(YEAR('Исходные данные'!$B$91),MONTH('Исходные данные'!$B$91),1)))</f>
        <v>0</v>
      </c>
      <c r="F33">
        <f>IF(OR(B33="",'Исходные данные'!$B$30="",C33&lt;'Исходные данные'!$B$30),0,DATEDIF(DATE(YEAR('Исходные данные'!$B$30),MONTH('Исходные данные'!$B$30),1),B33,"m")+1)</f>
        <v>0</v>
      </c>
      <c r="G33">
        <f t="shared" si="1"/>
        <v>0</v>
      </c>
      <c r="H33">
        <f>IF(F33=0,0,IF(G33=1,N('Исходные данные'!$B$31),IF(G33=2,N('Исходные данные'!$B$32),IF(G33=3,N('Исходные данные'!$B$33),N('Исходные данные'!$B$33)*(1+N('Исходные данные'!$B$34))^(G33-3)))))</f>
        <v>0</v>
      </c>
      <c r="I33">
        <f>IF(OR(F33=0,N('Исходные данные'!$B$5)=0,H33=0),0,'Исходные данные'!$B$5*H33*IF(AND(B33&lt;='Исходные данные'!$B$30,C33&gt;='Исходные данные'!$B$30),(C33-'Исходные данные'!$B$30+1)/DAY(C33),1))</f>
        <v>0</v>
      </c>
      <c r="J33">
        <f>IF(AND(F33&gt;0,F33&lt;=N('Исходные данные'!$B$37)),-I33,0)</f>
        <v>0</v>
      </c>
      <c r="K33">
        <f>IF(OR(F33=0,F33&lt;=N('Исходные данные'!$B$37)),0,-(I33+J33)*N('Исходные данные'!$B$38))</f>
        <v>0</v>
      </c>
      <c r="L33">
        <f t="shared" si="2"/>
        <v>0</v>
      </c>
      <c r="M33">
        <f>IF('Исходные данные'!$B$51="Да",L33*N('Исходные данные'!$B$52),0)</f>
        <v>0</v>
      </c>
      <c r="N33">
        <f t="shared" si="3"/>
        <v>0</v>
      </c>
      <c r="O33">
        <f>IF(OR(B33="",IF('Исходные данные'!$B$45="",'Исходные данные'!$B$10,'Исходные данные'!$B$45)="",C33&lt;IF('Исходные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данные'!$B$45)),1),B33,"m")/12))*IF(AND(B33&lt;=IF('Исходные данные'!$B$45="",'Исходные данные'!$B$10,'Исходные данные'!$B$45),C33&gt;=IF('Исходные данные'!$B$45="",'Исходные данные'!$B$10,'Исходные данные'!$B$45)),(C33-IF('Исходные данные'!$B$45="",'Исходные данные'!$B$10,'Исходные данные'!$B$45)+1)/DAY(C33),1)*IF('Исходные данные'!$B$43="Без НДС",1+N('Исходные данные'!$B$44),1))</f>
        <v>0</v>
      </c>
      <c r="P33">
        <f>IF('Исходные данные'!$B$51="Да",-O33*N('Исходные данные'!$B$44)/(1+N('Исходные данные'!$B$44)),0)</f>
        <v>0</v>
      </c>
      <c r="Q33">
        <f>IF('Исходные данные'!$B$35="Да",-O33,0)</f>
        <v>0</v>
      </c>
      <c r="R33">
        <f>IF(AND('Исходные данные'!$B$51="Да",Q33&gt;0),Q33*N('Исходные данные'!$B$52)/(1+N('Исходные данные'!$B$52)),0)</f>
        <v>0</v>
      </c>
      <c r="S33">
        <f>IF(OR(B33="",IF('Исходные данные'!$B$45="",'Исходные данные'!$B$10,'Исходные данные'!$B$45)="",C33&lt;IF('Исходные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данные'!$B$45)),1),B33,"m")/12))*IF(AND(B33&lt;=IF('Исходные данные'!$B$45="",'Исходные данные'!$B$10,'Исходные данные'!$B$45),C33&gt;=IF('Исходные данные'!$B$45="",'Исходные данные'!$B$10,'Исходные данные'!$B$45)),(C33-IF('Исходные данные'!$B$45="",'Исходные данные'!$B$10,'Исходные данные'!$B$45)+1)/DAY(C33),1)*IF('Исходные данные'!$B$43="Без НДС",1+N('Исходные данные'!$B$44),1))</f>
        <v>0</v>
      </c>
      <c r="T33">
        <f>IF('Исходные данные'!$B$51="Да",-S33*N('Исходные данные'!$B$44)/(1+N('Исходные данные'!$B$44)),0)</f>
        <v>0</v>
      </c>
      <c r="U33">
        <f>IF('Исходные данные'!$B$36="Да",-S33,0)</f>
        <v>0</v>
      </c>
      <c r="V33">
        <f>IF(AND('Исходные данные'!$B$51="Да",U33&gt;0),U33*N('Исходные данные'!$B$52)/(1+N('Исходные данные'!$B$52)),0)</f>
        <v>0</v>
      </c>
      <c r="W33">
        <f>IF(OR(B33="",IF('Исходные данные'!$B$69="",'Исходные данные'!$B$10,'Исходные данные'!$B$69)="",C33&lt;IF('Исходные данные'!$B$69="",'Исходные данные'!$B$10,'Исходные данные'!$B$69)),0,-N('Исходные данные'!$B$16)*N('Исходные данные'!$B$68)*N('Исходные данные'!$B$67)/12*IF(AND(B33&lt;=IF('Исходные данные'!$B$69="",'Исходные данные'!$B$10,'Исходные данные'!$B$69),C33&gt;=IF('Исходные данные'!$B$69="",'Исходные данные'!$B$10,'Исходные данные'!$B$69)),(C33-IF('Исходные данные'!$B$69="",'Исходные данные'!$B$10,'Исходные данные'!$B$69)+1)/DAY(C33),1))</f>
        <v>0</v>
      </c>
      <c r="X33">
        <f>IF(OR(B33="",IF('Исходные данные'!$B$76="",'Исходные данные'!$B$10,'Исходные данные'!$B$76)="",C33&lt;IF('Исходные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данные'!$B$76)),1),B33,"m")/12))*IF(AND(B33&lt;=IF('Исходные данные'!$B$76="",'Исходные данные'!$B$10,'Исходные данные'!$B$76),C33&gt;=IF('Исходные данные'!$B$76="",'Исходные данные'!$B$10,'Исходные данные'!$B$76)),(C33-IF('Исходные данные'!$B$76="",'Исходные данные'!$B$10,'Исходные данные'!$B$76)+1)/DAY(C33),1))</f>
        <v>0</v>
      </c>
      <c r="Y33">
        <f t="shared" si="4"/>
        <v>0</v>
      </c>
      <c r="Z33">
        <f>IF(OR(B33="",N('Исходные данные'!$B$19)=0),0,-SUMIFS('Исходные данные'!$I$6:$I$186,'Исходные данные'!$F$6:$F$186,B33)*N('Исходные данные'!$B$17)/N('Исходные данные'!$B$19))</f>
        <v>0</v>
      </c>
      <c r="AA33">
        <f>IF(OR(B33="",N('Исходные данные'!$B$19)=0),0,-SUMIFS('Исходные данные'!$I$6:$I$186,'Исходные данные'!$F$6:$F$186,B33)*N('Исходные данные'!$B$18)/N('Исходные данные'!$B$19))</f>
        <v>0</v>
      </c>
      <c r="AB33">
        <f>IF(OR(B33="",'Исходные данные'!$B$13=""),0,IF(AND(YEAR(B33)=YEAR('Исходные данные'!$B$13),MONTH(B33)=MONTH('Исходные данные'!$B$13)),-N('Исходные данные'!$B$11),0))</f>
        <v>0</v>
      </c>
      <c r="AC33">
        <f>IF(A33=1,-N('Исходные данные'!$B$19)*N('Исходные данные'!$B$72),0)</f>
        <v>0</v>
      </c>
      <c r="AD33">
        <f>IF(OR(B33="",'Исходные данные'!$B$22&lt;&gt;"Да",'Исходные данные'!$B$26=""),0,IF(AND(YEAR(B33)=YEAR('Исходные данные'!$B$26),MONTH(B33)=MONTH('Исходные данные'!$B$26)),N('Исходные данные'!$B$23),0))</f>
        <v>0</v>
      </c>
      <c r="AE33">
        <f t="shared" si="17"/>
        <v>0</v>
      </c>
      <c r="AF33">
        <f>IF(OR('Исходные данные'!$B$22&lt;&gt;"Да",'Исходные данные'!$B$26="",C33&lt;'Исходные данные'!$B$26),0,DATEDIF(DATE(YEAR('Исходные данные'!$B$26),MONTH('Исходные данные'!$B$26),1),B33,"m")+1)</f>
        <v>0</v>
      </c>
      <c r="AG33">
        <f>IF(OR(AF33&lt;1,AF33&gt;N('Исходные данные'!$B$25),AE33+AD33&lt;=0),0,-(AE33+AD33)*N('Исходные данные'!$B$24)*IF(AF33=1,C33-'Исходные данные'!$B$26+1,DAY(C33))/365)</f>
        <v>0</v>
      </c>
      <c r="AH33">
        <f>IF(OR(AF33&lt;1,AF33&gt;N('Исходные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данные'!$B$25)-AG33))</f>
        <v>0</v>
      </c>
      <c r="AI33">
        <f>IF(OR('Исходные данные'!$B$22&lt;&gt;"Да",AE33+AD33&lt;=0),0,IF(AND('Исходные данные'!$B$91&lt;&gt;"",B33&lt;&gt;"",YEAR(B33)=YEAR('Исходные данные'!$B$91),MONTH(B33)=MONTH('Исходные данные'!$B$91)),-(AE33+AD33),IF(OR(AF33&lt;1,AF33&gt;N('Исходные данные'!$B$25)),0,IF('Исходные данные'!$B$27="Равными долями",-MIN(AE33+AD33,N('Исходные данные'!$B$23)/N('Исходные данные'!$B$25)),-MIN(AE33+AD33,IF(AF33=N('Исходные данные'!$B$25),AE33+AD33,MAX(0,AH33+AG33)))))))</f>
        <v>0</v>
      </c>
      <c r="AJ33">
        <f t="shared" si="5"/>
        <v>0</v>
      </c>
      <c r="AK33">
        <f t="shared" si="6"/>
        <v>0</v>
      </c>
      <c r="AL33">
        <f>IF(OR(B33="",'Исходные данные'!$B$51&lt;&gt;"Да",'Исходные данные'!$B$61=""),0,IF(AND(YEAR(B33)=YEAR('Исходные данные'!$B$61),MONTH(B33)=MONTH('Исходные данные'!$B$61)),N('Исходные данные'!$B$18)*N('Исходные данные'!$B$62),0))</f>
        <v>0</v>
      </c>
      <c r="AM33">
        <f t="shared" si="18"/>
        <v>0</v>
      </c>
      <c r="AN33">
        <f t="shared" si="7"/>
        <v>0</v>
      </c>
      <c r="AO33">
        <f t="shared" si="8"/>
        <v>0</v>
      </c>
      <c r="AP33">
        <f>IF('Исходные данные'!$B$51="Да",-MAX(0,AN33-AO33-AM33),0)</f>
        <v>0</v>
      </c>
      <c r="AQ33">
        <f>IF('Исходные данные'!$B$51="Да",MAX(0,AM33+AO33-AN33),0)</f>
        <v>0</v>
      </c>
      <c r="AR33">
        <f>IF('Исходные данные'!$B$53="Выручка",MAX(0,L33+(Q33-R33)+(U33-V33)),IF('Исходные данные'!$B$53="Прибыль до налога",MAX(0,L33+(Q33-R33)+(U33-V33)+N('Исходные данные'!$B$54)*((O33+P33)+(S33+T33)+W33+X33)+IF('Исходные данные'!$B$55="Да",AG33,0)-N('Исходные данные'!$B$56)/12),IF('Исходные данные'!$B$53="Пользовательская база",MAX(0,N('Исходные данные'!$B$57)/12),0)))</f>
        <v>0</v>
      </c>
      <c r="AS33">
        <f>IF(E33=1,-AR33*N('Исходные данные'!$B$50),0)</f>
        <v>0</v>
      </c>
      <c r="AT33">
        <f t="shared" si="9"/>
        <v>0</v>
      </c>
      <c r="AU33">
        <f>IF(OR(B33="",N('Исходные данные'!$B$80)&lt;=0,'Исходные данные'!$B$88=""),0,MAX(0,IF('Исходные данные'!$B$88="Последние 12 месяцев",SUMIFS($Y$2:$Y$194,$B$2:$B$194,"&gt;="&amp;EDATE(B33,-11),$B$2:$B$194,"&lt;="&amp;B33),IF('Исходные данные'!$B$88="Пользовательский NOI",N('Исходные данные'!$B$89),AT33))/N('Исходные данные'!$B$80)*(1+N('Исходные данные'!$B$81))))</f>
        <v>0</v>
      </c>
      <c r="AV33">
        <f>IF(OR(E33&lt;&gt;1,B33="",'Исходные данные'!$B$91=""),0,IF(AND(YEAR(B33)=YEAR('Исходные данные'!$B$91),MONTH(B33)=MONTH('Исходные данные'!$B$91)),AU33,0))</f>
        <v>0</v>
      </c>
      <c r="AW33">
        <f>-AV33*N('Исходные данные'!$B$73)</f>
        <v>0</v>
      </c>
      <c r="AX33">
        <f>IF(AV33=0,0,-N('Исходные данные'!$B$87)-IF('Исходные данные'!$B$82="Да",IF('Исходные данные'!$B$84="С выручки",AV33,IF('Исходные данные'!$B$84="С прибыли",MAX(0,AV33+AW33-IF('Исходные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3">
        <f t="shared" si="10"/>
        <v>0</v>
      </c>
      <c r="AZ33">
        <f t="shared" si="11"/>
        <v>0</v>
      </c>
      <c r="BA33">
        <f t="shared" si="12"/>
        <v>0</v>
      </c>
      <c r="BB33" t="str">
        <f t="shared" si="19"/>
        <v/>
      </c>
      <c r="BC33">
        <f>IF(OR(E33=0,'Исходные данные'!$B$9="",'Исходные данные'!$B$90=""),0,BA33/(1+'Исходные данные'!$B$90)^((D33-'Исходные данные'!$B$9)/365))</f>
        <v>0</v>
      </c>
      <c r="BD33">
        <f>IF(AND(E33=1,BB33&gt;=0,BB32&lt;0,MIN($BB$2:BB33)&lt;0),1,0)</f>
        <v>0</v>
      </c>
      <c r="BE33">
        <f t="shared" si="13"/>
        <v>0</v>
      </c>
      <c r="BF33">
        <f t="shared" si="14"/>
        <v>0</v>
      </c>
      <c r="BG33">
        <f t="shared" si="15"/>
        <v>0</v>
      </c>
      <c r="BH33">
        <f t="shared" si="16"/>
        <v>1</v>
      </c>
      <c r="BI33">
        <f>AZ33+N33+AP33-AR33*N('Исходные данные'!$B$50)</f>
        <v>0</v>
      </c>
      <c r="BJ33">
        <f t="shared" si="20"/>
        <v>0</v>
      </c>
      <c r="BK33">
        <f>IF(AND(BJ33&gt;=0,BJ32&lt;0,MIN($BJ$2:BJ33)&lt;0),1,0)</f>
        <v>0</v>
      </c>
    </row>
    <row r="34" spans="1:63" x14ac:dyDescent="0.2">
      <c r="A34">
        <v>33</v>
      </c>
      <c r="B34" t="str">
        <f>IF('Исходные данные'!$B$9="","",EDATE(DATE(YEAR('Исходные данные'!$B$9),MONTH('Исходные данные'!$B$9),1),A34-1))</f>
        <v/>
      </c>
      <c r="C34" t="str">
        <f t="shared" ref="C34:C65" si="21">IF(B34="","",EOMONTH(B34,0))</f>
        <v/>
      </c>
      <c r="D34" t="str">
        <f>IF(B34="","",IF('Исходные данные'!$B$91&lt;&gt;"",IF(AND(YEAR(B34)=YEAR('Исходные данные'!$B$91),MONTH(B34)=MONTH('Исходные данные'!$B$91)),'Исходные данные'!$B$91,IF('Исходные данные'!$B$13&lt;&gt;"",IF(AND(YEAR(B34)=YEAR('Исходные данные'!$B$13),MONTH(B34)=MONTH('Исходные данные'!$B$13)),'Исходные данные'!$B$13,IF('Исходные данные'!$B$26&lt;&gt;"",IF(AND(YEAR(B34)=YEAR('Исходные данные'!$B$26),MONTH(B34)=MONTH('Исходные данные'!$B$26)),'Исходные данные'!$B$26,IF(A34=1,'Исходные данные'!$B$9,C34)),IF(A34=1,'Исходные данные'!$B$9,C34))),IF('Исходные данные'!$B$26&lt;&gt;"",IF(AND(YEAR(B34)=YEAR('Исходные данные'!$B$26),MONTH(B34)=MONTH('Исходные данные'!$B$26)),'Исходные данные'!$B$26,IF(A34=1,'Исходные данные'!$B$9,C34)),IF(A34=1,'Исходные данные'!$B$9,C34)))),IF('Исходные данные'!$B$13&lt;&gt;"",IF(AND(YEAR(B34)=YEAR('Исходные данные'!$B$13),MONTH(B34)=MONTH('Исходные данные'!$B$13)),'Исходные данные'!$B$13,IF('Исходные данные'!$B$26&lt;&gt;"",IF(AND(YEAR(B34)=YEAR('Исходные данные'!$B$26),MONTH(B34)=MONTH('Исходные данные'!$B$26)),'Исходные данные'!$B$26,IF(A34=1,'Исходные данные'!$B$9,C34)),IF(A34=1,'Исходные данные'!$B$9,C34))),IF('Исходные данные'!$B$26&lt;&gt;"",IF(AND(YEAR(B34)=YEAR('Исходные данные'!$B$26),MONTH(B34)=MONTH('Исходные данные'!$B$26)),'Исходные данные'!$B$26,IF(A34=1,'Исходные данные'!$B$9,C34)),IF(A34=1,'Исходные данные'!$B$9,C34)))))</f>
        <v/>
      </c>
      <c r="E34">
        <f>IF(OR(B34="",'Исходные данные'!$B$91=""),0,--(B34&lt;=DATE(YEAR('Исходные данные'!$B$91),MONTH('Исходные данные'!$B$91),1)))</f>
        <v>0</v>
      </c>
      <c r="F34">
        <f>IF(OR(B34="",'Исходные данные'!$B$30="",C34&lt;'Исходные данные'!$B$30),0,DATEDIF(DATE(YEAR('Исходные данные'!$B$30),MONTH('Исходные данные'!$B$30),1),B34,"m")+1)</f>
        <v>0</v>
      </c>
      <c r="G34">
        <f t="shared" ref="G34:G65" si="22">IF(F34=0,0,1+INT((F34-1)/12))</f>
        <v>0</v>
      </c>
      <c r="H34">
        <f>IF(F34=0,0,IF(G34=1,N('Исходные данные'!$B$31),IF(G34=2,N('Исходные данные'!$B$32),IF(G34=3,N('Исходные данные'!$B$33),N('Исходные данные'!$B$33)*(1+N('Исходные данные'!$B$34))^(G34-3)))))</f>
        <v>0</v>
      </c>
      <c r="I34">
        <f>IF(OR(F34=0,N('Исходные данные'!$B$5)=0,H34=0),0,'Исходные данные'!$B$5*H34*IF(AND(B34&lt;='Исходные данные'!$B$30,C34&gt;='Исходные данные'!$B$30),(C34-'Исходные данные'!$B$30+1)/DAY(C34),1))</f>
        <v>0</v>
      </c>
      <c r="J34">
        <f>IF(AND(F34&gt;0,F34&lt;=N('Исходные данные'!$B$37)),-I34,0)</f>
        <v>0</v>
      </c>
      <c r="K34">
        <f>IF(OR(F34=0,F34&lt;=N('Исходные данные'!$B$37)),0,-(I34+J34)*N('Исходные данные'!$B$38))</f>
        <v>0</v>
      </c>
      <c r="L34">
        <f t="shared" ref="L34:L65" si="23">I34+J34+K34</f>
        <v>0</v>
      </c>
      <c r="M34">
        <f>IF('Исходные данные'!$B$51="Да",L34*N('Исходные данные'!$B$52),0)</f>
        <v>0</v>
      </c>
      <c r="N34">
        <f t="shared" ref="N34:N65" si="24">L34+M34</f>
        <v>0</v>
      </c>
      <c r="O34">
        <f>IF(OR(B34="",IF('Исходные данные'!$B$45="",'Исходные данные'!$B$10,'Исходные данные'!$B$45)="",C34&lt;IF('Исходные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данные'!$B$45)),1),B34,"m")/12))*IF(AND(B34&lt;=IF('Исходные данные'!$B$45="",'Исходные данные'!$B$10,'Исходные данные'!$B$45),C34&gt;=IF('Исходные данные'!$B$45="",'Исходные данные'!$B$10,'Исходные данные'!$B$45)),(C34-IF('Исходные данные'!$B$45="",'Исходные данные'!$B$10,'Исходные данные'!$B$45)+1)/DAY(C34),1)*IF('Исходные данные'!$B$43="Без НДС",1+N('Исходные данные'!$B$44),1))</f>
        <v>0</v>
      </c>
      <c r="P34">
        <f>IF('Исходные данные'!$B$51="Да",-O34*N('Исходные данные'!$B$44)/(1+N('Исходные данные'!$B$44)),0)</f>
        <v>0</v>
      </c>
      <c r="Q34">
        <f>IF('Исходные данные'!$B$35="Да",-O34,0)</f>
        <v>0</v>
      </c>
      <c r="R34">
        <f>IF(AND('Исходные данные'!$B$51="Да",Q34&gt;0),Q34*N('Исходные данные'!$B$52)/(1+N('Исходные данные'!$B$52)),0)</f>
        <v>0</v>
      </c>
      <c r="S34">
        <f>IF(OR(B34="",IF('Исходные данные'!$B$45="",'Исходные данные'!$B$10,'Исходные данные'!$B$45)="",C34&lt;IF('Исходные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данные'!$B$45)),1),B34,"m")/12))*IF(AND(B34&lt;=IF('Исходные данные'!$B$45="",'Исходные данные'!$B$10,'Исходные данные'!$B$45),C34&gt;=IF('Исходные данные'!$B$45="",'Исходные данные'!$B$10,'Исходные данные'!$B$45)),(C34-IF('Исходные данные'!$B$45="",'Исходные данные'!$B$10,'Исходные данные'!$B$45)+1)/DAY(C34),1)*IF('Исходные данные'!$B$43="Без НДС",1+N('Исходные данные'!$B$44),1))</f>
        <v>0</v>
      </c>
      <c r="T34">
        <f>IF('Исходные данные'!$B$51="Да",-S34*N('Исходные данные'!$B$44)/(1+N('Исходные данные'!$B$44)),0)</f>
        <v>0</v>
      </c>
      <c r="U34">
        <f>IF('Исходные данные'!$B$36="Да",-S34,0)</f>
        <v>0</v>
      </c>
      <c r="V34">
        <f>IF(AND('Исходные данные'!$B$51="Да",U34&gt;0),U34*N('Исходные данные'!$B$52)/(1+N('Исходные данные'!$B$52)),0)</f>
        <v>0</v>
      </c>
      <c r="W34">
        <f>IF(OR(B34="",IF('Исходные данные'!$B$69="",'Исходные данные'!$B$10,'Исходные данные'!$B$69)="",C34&lt;IF('Исходные данные'!$B$69="",'Исходные данные'!$B$10,'Исходные данные'!$B$69)),0,-N('Исходные данные'!$B$16)*N('Исходные данные'!$B$68)*N('Исходные данные'!$B$67)/12*IF(AND(B34&lt;=IF('Исходные данные'!$B$69="",'Исходные данные'!$B$10,'Исходные данные'!$B$69),C34&gt;=IF('Исходные данные'!$B$69="",'Исходные данные'!$B$10,'Исходные данные'!$B$69)),(C34-IF('Исходные данные'!$B$69="",'Исходные данные'!$B$10,'Исходные данные'!$B$69)+1)/DAY(C34),1))</f>
        <v>0</v>
      </c>
      <c r="X34">
        <f>IF(OR(B34="",IF('Исходные данные'!$B$76="",'Исходные данные'!$B$10,'Исходные данные'!$B$76)="",C34&lt;IF('Исходные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данные'!$B$76)),1),B34,"m")/12))*IF(AND(B34&lt;=IF('Исходные данные'!$B$76="",'Исходные данные'!$B$10,'Исходные данные'!$B$76),C34&gt;=IF('Исходные данные'!$B$76="",'Исходные данные'!$B$10,'Исходные данные'!$B$76)),(C34-IF('Исходные данные'!$B$76="",'Исходные данные'!$B$10,'Исходные данные'!$B$76)+1)/DAY(C34),1))</f>
        <v>0</v>
      </c>
      <c r="Y34">
        <f t="shared" ref="Y34:Y65" si="25">L34+(Q34-R34)+(U34-V34)+(O34+P34)+(S34+T34)+W34+X34</f>
        <v>0</v>
      </c>
      <c r="Z34">
        <f>IF(OR(B34="",N('Исходные данные'!$B$19)=0),0,-SUMIFS('Исходные данные'!$I$6:$I$186,'Исходные данные'!$F$6:$F$186,B34)*N('Исходные данные'!$B$17)/N('Исходные данные'!$B$19))</f>
        <v>0</v>
      </c>
      <c r="AA34">
        <f>IF(OR(B34="",N('Исходные данные'!$B$19)=0),0,-SUMIFS('Исходные данные'!$I$6:$I$186,'Исходные данные'!$F$6:$F$186,B34)*N('Исходные данные'!$B$18)/N('Исходные данные'!$B$19))</f>
        <v>0</v>
      </c>
      <c r="AB34">
        <f>IF(OR(B34="",'Исходные данные'!$B$13=""),0,IF(AND(YEAR(B34)=YEAR('Исходные данные'!$B$13),MONTH(B34)=MONTH('Исходные данные'!$B$13)),-N('Исходные данные'!$B$11),0))</f>
        <v>0</v>
      </c>
      <c r="AC34">
        <f>IF(A34=1,-N('Исходные данные'!$B$19)*N('Исходные данные'!$B$72),0)</f>
        <v>0</v>
      </c>
      <c r="AD34">
        <f>IF(OR(B34="",'Исходные данные'!$B$22&lt;&gt;"Да",'Исходные данные'!$B$26=""),0,IF(AND(YEAR(B34)=YEAR('Исходные данные'!$B$26),MONTH(B34)=MONTH('Исходные данные'!$B$26)),N('Исходные данные'!$B$23),0))</f>
        <v>0</v>
      </c>
      <c r="AE34">
        <f t="shared" si="17"/>
        <v>0</v>
      </c>
      <c r="AF34">
        <f>IF(OR('Исходные данные'!$B$22&lt;&gt;"Да",'Исходные данные'!$B$26="",C34&lt;'Исходные данные'!$B$26),0,DATEDIF(DATE(YEAR('Исходные данные'!$B$26),MONTH('Исходные данные'!$B$26),1),B34,"m")+1)</f>
        <v>0</v>
      </c>
      <c r="AG34">
        <f>IF(OR(AF34&lt;1,AF34&gt;N('Исходные данные'!$B$25),AE34+AD34&lt;=0),0,-(AE34+AD34)*N('Исходные данные'!$B$24)*IF(AF34=1,C34-'Исходные данные'!$B$26+1,DAY(C34))/365)</f>
        <v>0</v>
      </c>
      <c r="AH34">
        <f>IF(OR(AF34&lt;1,AF34&gt;N('Исходные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данные'!$B$25)-AG34))</f>
        <v>0</v>
      </c>
      <c r="AI34">
        <f>IF(OR('Исходные данные'!$B$22&lt;&gt;"Да",AE34+AD34&lt;=0),0,IF(AND('Исходные данные'!$B$91&lt;&gt;"",B34&lt;&gt;"",YEAR(B34)=YEAR('Исходные данные'!$B$91),MONTH(B34)=MONTH('Исходные данные'!$B$91)),-(AE34+AD34),IF(OR(AF34&lt;1,AF34&gt;N('Исходные данные'!$B$25)),0,IF('Исходные данные'!$B$27="Равными долями",-MIN(AE34+AD34,N('Исходные данные'!$B$23)/N('Исходные данные'!$B$25)),-MIN(AE34+AD34,IF(AF34=N('Исходные данные'!$B$25),AE34+AD34,MAX(0,AH34+AG34)))))))</f>
        <v>0</v>
      </c>
      <c r="AJ34">
        <f t="shared" ref="AJ34:AJ65" si="26">AG34+AI34</f>
        <v>0</v>
      </c>
      <c r="AK34">
        <f t="shared" ref="AK34:AK65" si="27">MAX(0,AE34+AD34+AI34)</f>
        <v>0</v>
      </c>
      <c r="AL34">
        <f>IF(OR(B34="",'Исходные данные'!$B$51&lt;&gt;"Да",'Исходные данные'!$B$61=""),0,IF(AND(YEAR(B34)=YEAR('Исходные данные'!$B$61),MONTH(B34)=MONTH('Исходные данные'!$B$61)),N('Исходные данные'!$B$18)*N('Исходные данные'!$B$62),0))</f>
        <v>0</v>
      </c>
      <c r="AM34">
        <f t="shared" si="18"/>
        <v>0</v>
      </c>
      <c r="AN34">
        <f t="shared" ref="AN34:AN65" si="28">M34+R34+V34</f>
        <v>0</v>
      </c>
      <c r="AO34">
        <f t="shared" ref="AO34:AO65" si="29">P34+T34</f>
        <v>0</v>
      </c>
      <c r="AP34">
        <f>IF('Исходные данные'!$B$51="Да",-MAX(0,AN34-AO34-AM34),0)</f>
        <v>0</v>
      </c>
      <c r="AQ34">
        <f>IF('Исходные данные'!$B$51="Да",MAX(0,AM34+AO34-AN34),0)</f>
        <v>0</v>
      </c>
      <c r="AR34">
        <f>IF('Исходные данные'!$B$53="Выручка",MAX(0,L34+(Q34-R34)+(U34-V34)),IF('Исходные данные'!$B$53="Прибыль до налога",MAX(0,L34+(Q34-R34)+(U34-V34)+N('Исходные данные'!$B$54)*((O34+P34)+(S34+T34)+W34+X34)+IF('Исходные данные'!$B$55="Да",AG34,0)-N('Исходные данные'!$B$56)/12),IF('Исходные данные'!$B$53="Пользовательская база",MAX(0,N('Исходные данные'!$B$57)/12),0)))</f>
        <v>0</v>
      </c>
      <c r="AS34">
        <f>IF(E34=1,-AR34*N('Исходные данные'!$B$50),0)</f>
        <v>0</v>
      </c>
      <c r="AT34">
        <f t="shared" ref="AT34:AT65" si="30">IF(B34="",0,SUMIFS($Y$2:$Y$194,$B$2:$B$194,"&gt;"&amp;B34,$B$2:$B$194,"&lt;="&amp;EDATE(B34,12)))</f>
        <v>0</v>
      </c>
      <c r="AU34">
        <f>IF(OR(B34="",N('Исходные данные'!$B$80)&lt;=0,'Исходные данные'!$B$88=""),0,MAX(0,IF('Исходные данные'!$B$88="Последние 12 месяцев",SUMIFS($Y$2:$Y$194,$B$2:$B$194,"&gt;="&amp;EDATE(B34,-11),$B$2:$B$194,"&lt;="&amp;B34),IF('Исходные данные'!$B$88="Пользовательский NOI",N('Исходные данные'!$B$89),AT34))/N('Исходные данные'!$B$80)*(1+N('Исходные данные'!$B$81))))</f>
        <v>0</v>
      </c>
      <c r="AV34">
        <f>IF(OR(E34&lt;&gt;1,B34="",'Исходные данные'!$B$91=""),0,IF(AND(YEAR(B34)=YEAR('Исходные данные'!$B$91),MONTH(B34)=MONTH('Исходные данные'!$B$91)),AU34,0))</f>
        <v>0</v>
      </c>
      <c r="AW34">
        <f>-AV34*N('Исходные данные'!$B$73)</f>
        <v>0</v>
      </c>
      <c r="AX34">
        <f>IF(AV34=0,0,-N('Исходные данные'!$B$87)-IF('Исходные данные'!$B$82="Да",IF('Исходные данные'!$B$84="С выручки",AV34,IF('Исходные данные'!$B$84="С прибыли",MAX(0,AV34+AW34-IF('Исходные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4">
        <f t="shared" ref="AY34:AY65" si="31">AV34+AW34+AX34</f>
        <v>0</v>
      </c>
      <c r="AZ34">
        <f t="shared" ref="AZ34:AZ65" si="32">Z34+AA34+AB34+AC34+AD34+AI34+AG34+O34+Q34+S34+U34+W34+X34+AL34</f>
        <v>0</v>
      </c>
      <c r="BA34">
        <f t="shared" ref="BA34:BA65" si="33">IF(E34=1,AZ34+N34+AP34+AS34+AY34,0)</f>
        <v>0</v>
      </c>
      <c r="BB34" t="str">
        <f t="shared" si="19"/>
        <v/>
      </c>
      <c r="BC34">
        <f>IF(OR(E34=0,'Исходные данные'!$B$9="",'Исходные данные'!$B$90=""),0,BA34/(1+'Исходные данные'!$B$90)^((D34-'Исходные данные'!$B$9)/365))</f>
        <v>0</v>
      </c>
      <c r="BD34">
        <f>IF(AND(E34=1,BB34&gt;=0,BB33&lt;0,MIN($BB$2:BB34)&lt;0),1,0)</f>
        <v>0</v>
      </c>
      <c r="BE34">
        <f t="shared" ref="BE34:BE65" si="34">IF(E34=1,N34+O34+Q34+S34+U34+W34+X34+AP34+AS34,0)</f>
        <v>0</v>
      </c>
      <c r="BF34">
        <f t="shared" ref="BF34:BF65" si="35">Y34</f>
        <v>0</v>
      </c>
      <c r="BG34">
        <f t="shared" ref="BG34:BG65" si="36">IF(E34=1,Y34+AG34+AS34+Z34+AA34+AB34+AC34+AL34+AY34,0)</f>
        <v>0</v>
      </c>
      <c r="BH34">
        <f t="shared" ref="BH34:BH65" si="37">--AND(Z34&lt;=0,AA34&lt;=0,AB34&lt;=0,AC34&lt;=0,AD34&gt;=0,AI34&lt;=0,AG34&lt;=0,O34&lt;=0,Q34&gt;=0,S34&lt;=0,U34&gt;=0,W34&lt;=0,X34&lt;=0,AL34&gt;=0,AP34&lt;=0,AS34&lt;=0,AV34&gt;=0,AW34&lt;=0,AX34&lt;=0,AK34&gt;=-0.01)</f>
        <v>1</v>
      </c>
      <c r="BI34">
        <f>AZ34+N34+AP34-AR34*N('Исходные данные'!$B$50)</f>
        <v>0</v>
      </c>
      <c r="BJ34">
        <f t="shared" si="20"/>
        <v>0</v>
      </c>
      <c r="BK34">
        <f>IF(AND(BJ34&gt;=0,BJ33&lt;0,MIN($BJ$2:BJ34)&lt;0),1,0)</f>
        <v>0</v>
      </c>
    </row>
    <row r="35" spans="1:63" x14ac:dyDescent="0.2">
      <c r="A35">
        <v>34</v>
      </c>
      <c r="B35" t="str">
        <f>IF('Исходные данные'!$B$9="","",EDATE(DATE(YEAR('Исходные данные'!$B$9),MONTH('Исходные данные'!$B$9),1),A35-1))</f>
        <v/>
      </c>
      <c r="C35" t="str">
        <f t="shared" si="21"/>
        <v/>
      </c>
      <c r="D35" t="str">
        <f>IF(B35="","",IF('Исходные данные'!$B$91&lt;&gt;"",IF(AND(YEAR(B35)=YEAR('Исходные данные'!$B$91),MONTH(B35)=MONTH('Исходные данные'!$B$91)),'Исходные данные'!$B$91,IF('Исходные данные'!$B$13&lt;&gt;"",IF(AND(YEAR(B35)=YEAR('Исходные данные'!$B$13),MONTH(B35)=MONTH('Исходные данные'!$B$13)),'Исходные данные'!$B$13,IF('Исходные данные'!$B$26&lt;&gt;"",IF(AND(YEAR(B35)=YEAR('Исходные данные'!$B$26),MONTH(B35)=MONTH('Исходные данные'!$B$26)),'Исходные данные'!$B$26,IF(A35=1,'Исходные данные'!$B$9,C35)),IF(A35=1,'Исходные данные'!$B$9,C35))),IF('Исходные данные'!$B$26&lt;&gt;"",IF(AND(YEAR(B35)=YEAR('Исходные данные'!$B$26),MONTH(B35)=MONTH('Исходные данные'!$B$26)),'Исходные данные'!$B$26,IF(A35=1,'Исходные данные'!$B$9,C35)),IF(A35=1,'Исходные данные'!$B$9,C35)))),IF('Исходные данные'!$B$13&lt;&gt;"",IF(AND(YEAR(B35)=YEAR('Исходные данные'!$B$13),MONTH(B35)=MONTH('Исходные данные'!$B$13)),'Исходные данные'!$B$13,IF('Исходные данные'!$B$26&lt;&gt;"",IF(AND(YEAR(B35)=YEAR('Исходные данные'!$B$26),MONTH(B35)=MONTH('Исходные данные'!$B$26)),'Исходные данные'!$B$26,IF(A35=1,'Исходные данные'!$B$9,C35)),IF(A35=1,'Исходные данные'!$B$9,C35))),IF('Исходные данные'!$B$26&lt;&gt;"",IF(AND(YEAR(B35)=YEAR('Исходные данные'!$B$26),MONTH(B35)=MONTH('Исходные данные'!$B$26)),'Исходные данные'!$B$26,IF(A35=1,'Исходные данные'!$B$9,C35)),IF(A35=1,'Исходные данные'!$B$9,C35)))))</f>
        <v/>
      </c>
      <c r="E35">
        <f>IF(OR(B35="",'Исходные данные'!$B$91=""),0,--(B35&lt;=DATE(YEAR('Исходные данные'!$B$91),MONTH('Исходные данные'!$B$91),1)))</f>
        <v>0</v>
      </c>
      <c r="F35">
        <f>IF(OR(B35="",'Исходные данные'!$B$30="",C35&lt;'Исходные данные'!$B$30),0,DATEDIF(DATE(YEAR('Исходные данные'!$B$30),MONTH('Исходные данные'!$B$30),1),B35,"m")+1)</f>
        <v>0</v>
      </c>
      <c r="G35">
        <f t="shared" si="22"/>
        <v>0</v>
      </c>
      <c r="H35">
        <f>IF(F35=0,0,IF(G35=1,N('Исходные данные'!$B$31),IF(G35=2,N('Исходные данные'!$B$32),IF(G35=3,N('Исходные данные'!$B$33),N('Исходные данные'!$B$33)*(1+N('Исходные данные'!$B$34))^(G35-3)))))</f>
        <v>0</v>
      </c>
      <c r="I35">
        <f>IF(OR(F35=0,N('Исходные данные'!$B$5)=0,H35=0),0,'Исходные данные'!$B$5*H35*IF(AND(B35&lt;='Исходные данные'!$B$30,C35&gt;='Исходные данные'!$B$30),(C35-'Исходные данные'!$B$30+1)/DAY(C35),1))</f>
        <v>0</v>
      </c>
      <c r="J35">
        <f>IF(AND(F35&gt;0,F35&lt;=N('Исходные данные'!$B$37)),-I35,0)</f>
        <v>0</v>
      </c>
      <c r="K35">
        <f>IF(OR(F35=0,F35&lt;=N('Исходные данные'!$B$37)),0,-(I35+J35)*N('Исходные данные'!$B$38))</f>
        <v>0</v>
      </c>
      <c r="L35">
        <f t="shared" si="23"/>
        <v>0</v>
      </c>
      <c r="M35">
        <f>IF('Исходные данные'!$B$51="Да",L35*N('Исходные данные'!$B$52),0)</f>
        <v>0</v>
      </c>
      <c r="N35">
        <f t="shared" si="24"/>
        <v>0</v>
      </c>
      <c r="O35">
        <f>IF(OR(B35="",IF('Исходные данные'!$B$45="",'Исходные данные'!$B$10,'Исходные данные'!$B$45)="",C35&lt;IF('Исходные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данные'!$B$45)),1),B35,"m")/12))*IF(AND(B35&lt;=IF('Исходные данные'!$B$45="",'Исходные данные'!$B$10,'Исходные данные'!$B$45),C35&gt;=IF('Исходные данные'!$B$45="",'Исходные данные'!$B$10,'Исходные данные'!$B$45)),(C35-IF('Исходные данные'!$B$45="",'Исходные данные'!$B$10,'Исходные данные'!$B$45)+1)/DAY(C35),1)*IF('Исходные данные'!$B$43="Без НДС",1+N('Исходные данные'!$B$44),1))</f>
        <v>0</v>
      </c>
      <c r="P35">
        <f>IF('Исходные данные'!$B$51="Да",-O35*N('Исходные данные'!$B$44)/(1+N('Исходные данные'!$B$44)),0)</f>
        <v>0</v>
      </c>
      <c r="Q35">
        <f>IF('Исходные данные'!$B$35="Да",-O35,0)</f>
        <v>0</v>
      </c>
      <c r="R35">
        <f>IF(AND('Исходные данные'!$B$51="Да",Q35&gt;0),Q35*N('Исходные данные'!$B$52)/(1+N('Исходные данные'!$B$52)),0)</f>
        <v>0</v>
      </c>
      <c r="S35">
        <f>IF(OR(B35="",IF('Исходные данные'!$B$45="",'Исходные данные'!$B$10,'Исходные данные'!$B$45)="",C35&lt;IF('Исходные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данные'!$B$45)),1),B35,"m")/12))*IF(AND(B35&lt;=IF('Исходные данные'!$B$45="",'Исходные данные'!$B$10,'Исходные данные'!$B$45),C35&gt;=IF('Исходные данные'!$B$45="",'Исходные данные'!$B$10,'Исходные данные'!$B$45)),(C35-IF('Исходные данные'!$B$45="",'Исходные данные'!$B$10,'Исходные данные'!$B$45)+1)/DAY(C35),1)*IF('Исходные данные'!$B$43="Без НДС",1+N('Исходные данные'!$B$44),1))</f>
        <v>0</v>
      </c>
      <c r="T35">
        <f>IF('Исходные данные'!$B$51="Да",-S35*N('Исходные данные'!$B$44)/(1+N('Исходные данные'!$B$44)),0)</f>
        <v>0</v>
      </c>
      <c r="U35">
        <f>IF('Исходные данные'!$B$36="Да",-S35,0)</f>
        <v>0</v>
      </c>
      <c r="V35">
        <f>IF(AND('Исходные данные'!$B$51="Да",U35&gt;0),U35*N('Исходные данные'!$B$52)/(1+N('Исходные данные'!$B$52)),0)</f>
        <v>0</v>
      </c>
      <c r="W35">
        <f>IF(OR(B35="",IF('Исходные данные'!$B$69="",'Исходные данные'!$B$10,'Исходные данные'!$B$69)="",C35&lt;IF('Исходные данные'!$B$69="",'Исходные данные'!$B$10,'Исходные данные'!$B$69)),0,-N('Исходные данные'!$B$16)*N('Исходные данные'!$B$68)*N('Исходные данные'!$B$67)/12*IF(AND(B35&lt;=IF('Исходные данные'!$B$69="",'Исходные данные'!$B$10,'Исходные данные'!$B$69),C35&gt;=IF('Исходные данные'!$B$69="",'Исходные данные'!$B$10,'Исходные данные'!$B$69)),(C35-IF('Исходные данные'!$B$69="",'Исходные данные'!$B$10,'Исходные данные'!$B$69)+1)/DAY(C35),1))</f>
        <v>0</v>
      </c>
      <c r="X35">
        <f>IF(OR(B35="",IF('Исходные данные'!$B$76="",'Исходные данные'!$B$10,'Исходные данные'!$B$76)="",C35&lt;IF('Исходные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данные'!$B$76)),1),B35,"m")/12))*IF(AND(B35&lt;=IF('Исходные данные'!$B$76="",'Исходные данные'!$B$10,'Исходные данные'!$B$76),C35&gt;=IF('Исходные данные'!$B$76="",'Исходные данные'!$B$10,'Исходные данные'!$B$76)),(C35-IF('Исходные данные'!$B$76="",'Исходные данные'!$B$10,'Исходные данные'!$B$76)+1)/DAY(C35),1))</f>
        <v>0</v>
      </c>
      <c r="Y35">
        <f t="shared" si="25"/>
        <v>0</v>
      </c>
      <c r="Z35">
        <f>IF(OR(B35="",N('Исходные данные'!$B$19)=0),0,-SUMIFS('Исходные данные'!$I$6:$I$186,'Исходные данные'!$F$6:$F$186,B35)*N('Исходные данные'!$B$17)/N('Исходные данные'!$B$19))</f>
        <v>0</v>
      </c>
      <c r="AA35">
        <f>IF(OR(B35="",N('Исходные данные'!$B$19)=0),0,-SUMIFS('Исходные данные'!$I$6:$I$186,'Исходные данные'!$F$6:$F$186,B35)*N('Исходные данные'!$B$18)/N('Исходные данные'!$B$19))</f>
        <v>0</v>
      </c>
      <c r="AB35">
        <f>IF(OR(B35="",'Исходные данные'!$B$13=""),0,IF(AND(YEAR(B35)=YEAR('Исходные данные'!$B$13),MONTH(B35)=MONTH('Исходные данные'!$B$13)),-N('Исходные данные'!$B$11),0))</f>
        <v>0</v>
      </c>
      <c r="AC35">
        <f>IF(A35=1,-N('Исходные данные'!$B$19)*N('Исходные данные'!$B$72),0)</f>
        <v>0</v>
      </c>
      <c r="AD35">
        <f>IF(OR(B35="",'Исходные данные'!$B$22&lt;&gt;"Да",'Исходные данные'!$B$26=""),0,IF(AND(YEAR(B35)=YEAR('Исходные данные'!$B$26),MONTH(B35)=MONTH('Исходные данные'!$B$26)),N('Исходные данные'!$B$23),0))</f>
        <v>0</v>
      </c>
      <c r="AE35">
        <f t="shared" ref="AE35:AE66" si="38">AK34</f>
        <v>0</v>
      </c>
      <c r="AF35">
        <f>IF(OR('Исходные данные'!$B$22&lt;&gt;"Да",'Исходные данные'!$B$26="",C35&lt;'Исходные данные'!$B$26),0,DATEDIF(DATE(YEAR('Исходные данные'!$B$26),MONTH('Исходные данные'!$B$26),1),B35,"m")+1)</f>
        <v>0</v>
      </c>
      <c r="AG35">
        <f>IF(OR(AF35&lt;1,AF35&gt;N('Исходные данные'!$B$25),AE35+AD35&lt;=0),0,-(AE35+AD35)*N('Исходные данные'!$B$24)*IF(AF35=1,C35-'Исходные данные'!$B$26+1,DAY(C35))/365)</f>
        <v>0</v>
      </c>
      <c r="AH35">
        <f>IF(OR(AF35&lt;1,AF35&gt;N('Исходные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данные'!$B$25)-AG35))</f>
        <v>0</v>
      </c>
      <c r="AI35">
        <f>IF(OR('Исходные данные'!$B$22&lt;&gt;"Да",AE35+AD35&lt;=0),0,IF(AND('Исходные данные'!$B$91&lt;&gt;"",B35&lt;&gt;"",YEAR(B35)=YEAR('Исходные данные'!$B$91),MONTH(B35)=MONTH('Исходные данные'!$B$91)),-(AE35+AD35),IF(OR(AF35&lt;1,AF35&gt;N('Исходные данные'!$B$25)),0,IF('Исходные данные'!$B$27="Равными долями",-MIN(AE35+AD35,N('Исходные данные'!$B$23)/N('Исходные данные'!$B$25)),-MIN(AE35+AD35,IF(AF35=N('Исходные данные'!$B$25),AE35+AD35,MAX(0,AH35+AG35)))))))</f>
        <v>0</v>
      </c>
      <c r="AJ35">
        <f t="shared" si="26"/>
        <v>0</v>
      </c>
      <c r="AK35">
        <f t="shared" si="27"/>
        <v>0</v>
      </c>
      <c r="AL35">
        <f>IF(OR(B35="",'Исходные данные'!$B$51&lt;&gt;"Да",'Исходные данные'!$B$61=""),0,IF(AND(YEAR(B35)=YEAR('Исходные данные'!$B$61),MONTH(B35)=MONTH('Исходные данные'!$B$61)),N('Исходные данные'!$B$18)*N('Исходные данные'!$B$62),0))</f>
        <v>0</v>
      </c>
      <c r="AM35">
        <f t="shared" ref="AM35:AM66" si="39">AQ34</f>
        <v>0</v>
      </c>
      <c r="AN35">
        <f t="shared" si="28"/>
        <v>0</v>
      </c>
      <c r="AO35">
        <f t="shared" si="29"/>
        <v>0</v>
      </c>
      <c r="AP35">
        <f>IF('Исходные данные'!$B$51="Да",-MAX(0,AN35-AO35-AM35),0)</f>
        <v>0</v>
      </c>
      <c r="AQ35">
        <f>IF('Исходные данные'!$B$51="Да",MAX(0,AM35+AO35-AN35),0)</f>
        <v>0</v>
      </c>
      <c r="AR35">
        <f>IF('Исходные данные'!$B$53="Выручка",MAX(0,L35+(Q35-R35)+(U35-V35)),IF('Исходные данные'!$B$53="Прибыль до налога",MAX(0,L35+(Q35-R35)+(U35-V35)+N('Исходные данные'!$B$54)*((O35+P35)+(S35+T35)+W35+X35)+IF('Исходные данные'!$B$55="Да",AG35,0)-N('Исходные данные'!$B$56)/12),IF('Исходные данные'!$B$53="Пользовательская база",MAX(0,N('Исходные данные'!$B$57)/12),0)))</f>
        <v>0</v>
      </c>
      <c r="AS35">
        <f>IF(E35=1,-AR35*N('Исходные данные'!$B$50),0)</f>
        <v>0</v>
      </c>
      <c r="AT35">
        <f t="shared" si="30"/>
        <v>0</v>
      </c>
      <c r="AU35">
        <f>IF(OR(B35="",N('Исходные данные'!$B$80)&lt;=0,'Исходные данные'!$B$88=""),0,MAX(0,IF('Исходные данные'!$B$88="Последние 12 месяцев",SUMIFS($Y$2:$Y$194,$B$2:$B$194,"&gt;="&amp;EDATE(B35,-11),$B$2:$B$194,"&lt;="&amp;B35),IF('Исходные данные'!$B$88="Пользовательский NOI",N('Исходные данные'!$B$89),AT35))/N('Исходные данные'!$B$80)*(1+N('Исходные данные'!$B$81))))</f>
        <v>0</v>
      </c>
      <c r="AV35">
        <f>IF(OR(E35&lt;&gt;1,B35="",'Исходные данные'!$B$91=""),0,IF(AND(YEAR(B35)=YEAR('Исходные данные'!$B$91),MONTH(B35)=MONTH('Исходные данные'!$B$91)),AU35,0))</f>
        <v>0</v>
      </c>
      <c r="AW35">
        <f>-AV35*N('Исходные данные'!$B$73)</f>
        <v>0</v>
      </c>
      <c r="AX35">
        <f>IF(AV35=0,0,-N('Исходные данные'!$B$87)-IF('Исходные данные'!$B$82="Да",IF('Исходные данные'!$B$84="С выручки",AV35,IF('Исходные данные'!$B$84="С прибыли",MAX(0,AV35+AW35-IF('Исходные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5">
        <f t="shared" si="31"/>
        <v>0</v>
      </c>
      <c r="AZ35">
        <f t="shared" si="32"/>
        <v>0</v>
      </c>
      <c r="BA35">
        <f t="shared" si="33"/>
        <v>0</v>
      </c>
      <c r="BB35" t="str">
        <f t="shared" ref="BB35:BB66" si="40">IF(E35=1,BB34+BA35,"")</f>
        <v/>
      </c>
      <c r="BC35">
        <f>IF(OR(E35=0,'Исходные данные'!$B$9="",'Исходные данные'!$B$90=""),0,BA35/(1+'Исходные данные'!$B$90)^((D35-'Исходные данные'!$B$9)/365))</f>
        <v>0</v>
      </c>
      <c r="BD35">
        <f>IF(AND(E35=1,BB35&gt;=0,BB34&lt;0,MIN($BB$2:BB35)&lt;0),1,0)</f>
        <v>0</v>
      </c>
      <c r="BE35">
        <f t="shared" si="34"/>
        <v>0</v>
      </c>
      <c r="BF35">
        <f t="shared" si="35"/>
        <v>0</v>
      </c>
      <c r="BG35">
        <f t="shared" si="36"/>
        <v>0</v>
      </c>
      <c r="BH35">
        <f t="shared" si="37"/>
        <v>1</v>
      </c>
      <c r="BI35">
        <f>AZ35+N35+AP35-AR35*N('Исходные данные'!$B$50)</f>
        <v>0</v>
      </c>
      <c r="BJ35">
        <f t="shared" si="20"/>
        <v>0</v>
      </c>
      <c r="BK35">
        <f>IF(AND(BJ35&gt;=0,BJ34&lt;0,MIN($BJ$2:BJ35)&lt;0),1,0)</f>
        <v>0</v>
      </c>
    </row>
    <row r="36" spans="1:63" x14ac:dyDescent="0.2">
      <c r="A36">
        <v>35</v>
      </c>
      <c r="B36" t="str">
        <f>IF('Исходные данные'!$B$9="","",EDATE(DATE(YEAR('Исходные данные'!$B$9),MONTH('Исходные данные'!$B$9),1),A36-1))</f>
        <v/>
      </c>
      <c r="C36" t="str">
        <f t="shared" si="21"/>
        <v/>
      </c>
      <c r="D36" t="str">
        <f>IF(B36="","",IF('Исходные данные'!$B$91&lt;&gt;"",IF(AND(YEAR(B36)=YEAR('Исходные данные'!$B$91),MONTH(B36)=MONTH('Исходные данные'!$B$91)),'Исходные данные'!$B$91,IF('Исходные данные'!$B$13&lt;&gt;"",IF(AND(YEAR(B36)=YEAR('Исходные данные'!$B$13),MONTH(B36)=MONTH('Исходные данные'!$B$13)),'Исходные данные'!$B$13,IF('Исходные данные'!$B$26&lt;&gt;"",IF(AND(YEAR(B36)=YEAR('Исходные данные'!$B$26),MONTH(B36)=MONTH('Исходные данные'!$B$26)),'Исходные данные'!$B$26,IF(A36=1,'Исходные данные'!$B$9,C36)),IF(A36=1,'Исходные данные'!$B$9,C36))),IF('Исходные данные'!$B$26&lt;&gt;"",IF(AND(YEAR(B36)=YEAR('Исходные данные'!$B$26),MONTH(B36)=MONTH('Исходные данные'!$B$26)),'Исходные данные'!$B$26,IF(A36=1,'Исходные данные'!$B$9,C36)),IF(A36=1,'Исходные данные'!$B$9,C36)))),IF('Исходные данные'!$B$13&lt;&gt;"",IF(AND(YEAR(B36)=YEAR('Исходные данные'!$B$13),MONTH(B36)=MONTH('Исходные данные'!$B$13)),'Исходные данные'!$B$13,IF('Исходные данные'!$B$26&lt;&gt;"",IF(AND(YEAR(B36)=YEAR('Исходные данные'!$B$26),MONTH(B36)=MONTH('Исходные данные'!$B$26)),'Исходные данные'!$B$26,IF(A36=1,'Исходные данные'!$B$9,C36)),IF(A36=1,'Исходные данные'!$B$9,C36))),IF('Исходные данные'!$B$26&lt;&gt;"",IF(AND(YEAR(B36)=YEAR('Исходные данные'!$B$26),MONTH(B36)=MONTH('Исходные данные'!$B$26)),'Исходные данные'!$B$26,IF(A36=1,'Исходные данные'!$B$9,C36)),IF(A36=1,'Исходные данные'!$B$9,C36)))))</f>
        <v/>
      </c>
      <c r="E36">
        <f>IF(OR(B36="",'Исходные данные'!$B$91=""),0,--(B36&lt;=DATE(YEAR('Исходные данные'!$B$91),MONTH('Исходные данные'!$B$91),1)))</f>
        <v>0</v>
      </c>
      <c r="F36">
        <f>IF(OR(B36="",'Исходные данные'!$B$30="",C36&lt;'Исходные данные'!$B$30),0,DATEDIF(DATE(YEAR('Исходные данные'!$B$30),MONTH('Исходные данные'!$B$30),1),B36,"m")+1)</f>
        <v>0</v>
      </c>
      <c r="G36">
        <f t="shared" si="22"/>
        <v>0</v>
      </c>
      <c r="H36">
        <f>IF(F36=0,0,IF(G36=1,N('Исходные данные'!$B$31),IF(G36=2,N('Исходные данные'!$B$32),IF(G36=3,N('Исходные данные'!$B$33),N('Исходные данные'!$B$33)*(1+N('Исходные данные'!$B$34))^(G36-3)))))</f>
        <v>0</v>
      </c>
      <c r="I36">
        <f>IF(OR(F36=0,N('Исходные данные'!$B$5)=0,H36=0),0,'Исходные данные'!$B$5*H36*IF(AND(B36&lt;='Исходные данные'!$B$30,C36&gt;='Исходные данные'!$B$30),(C36-'Исходные данные'!$B$30+1)/DAY(C36),1))</f>
        <v>0</v>
      </c>
      <c r="J36">
        <f>IF(AND(F36&gt;0,F36&lt;=N('Исходные данные'!$B$37)),-I36,0)</f>
        <v>0</v>
      </c>
      <c r="K36">
        <f>IF(OR(F36=0,F36&lt;=N('Исходные данные'!$B$37)),0,-(I36+J36)*N('Исходные данные'!$B$38))</f>
        <v>0</v>
      </c>
      <c r="L36">
        <f t="shared" si="23"/>
        <v>0</v>
      </c>
      <c r="M36">
        <f>IF('Исходные данные'!$B$51="Да",L36*N('Исходные данные'!$B$52),0)</f>
        <v>0</v>
      </c>
      <c r="N36">
        <f t="shared" si="24"/>
        <v>0</v>
      </c>
      <c r="O36">
        <f>IF(OR(B36="",IF('Исходные данные'!$B$45="",'Исходные данные'!$B$10,'Исходные данные'!$B$45)="",C36&lt;IF('Исходные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данные'!$B$45)),1),B36,"m")/12))*IF(AND(B36&lt;=IF('Исходные данные'!$B$45="",'Исходные данные'!$B$10,'Исходные данные'!$B$45),C36&gt;=IF('Исходные данные'!$B$45="",'Исходные данные'!$B$10,'Исходные данные'!$B$45)),(C36-IF('Исходные данные'!$B$45="",'Исходные данные'!$B$10,'Исходные данные'!$B$45)+1)/DAY(C36),1)*IF('Исходные данные'!$B$43="Без НДС",1+N('Исходные данные'!$B$44),1))</f>
        <v>0</v>
      </c>
      <c r="P36">
        <f>IF('Исходные данные'!$B$51="Да",-O36*N('Исходные данные'!$B$44)/(1+N('Исходные данные'!$B$44)),0)</f>
        <v>0</v>
      </c>
      <c r="Q36">
        <f>IF('Исходные данные'!$B$35="Да",-O36,0)</f>
        <v>0</v>
      </c>
      <c r="R36">
        <f>IF(AND('Исходные данные'!$B$51="Да",Q36&gt;0),Q36*N('Исходные данные'!$B$52)/(1+N('Исходные данные'!$B$52)),0)</f>
        <v>0</v>
      </c>
      <c r="S36">
        <f>IF(OR(B36="",IF('Исходные данные'!$B$45="",'Исходные данные'!$B$10,'Исходные данные'!$B$45)="",C36&lt;IF('Исходные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данные'!$B$45)),1),B36,"m")/12))*IF(AND(B36&lt;=IF('Исходные данные'!$B$45="",'Исходные данные'!$B$10,'Исходные данные'!$B$45),C36&gt;=IF('Исходные данные'!$B$45="",'Исходные данные'!$B$10,'Исходные данные'!$B$45)),(C36-IF('Исходные данные'!$B$45="",'Исходные данные'!$B$10,'Исходные данные'!$B$45)+1)/DAY(C36),1)*IF('Исходные данные'!$B$43="Без НДС",1+N('Исходные данные'!$B$44),1))</f>
        <v>0</v>
      </c>
      <c r="T36">
        <f>IF('Исходные данные'!$B$51="Да",-S36*N('Исходные данные'!$B$44)/(1+N('Исходные данные'!$B$44)),0)</f>
        <v>0</v>
      </c>
      <c r="U36">
        <f>IF('Исходные данные'!$B$36="Да",-S36,0)</f>
        <v>0</v>
      </c>
      <c r="V36">
        <f>IF(AND('Исходные данные'!$B$51="Да",U36&gt;0),U36*N('Исходные данные'!$B$52)/(1+N('Исходные данные'!$B$52)),0)</f>
        <v>0</v>
      </c>
      <c r="W36">
        <f>IF(OR(B36="",IF('Исходные данные'!$B$69="",'Исходные данные'!$B$10,'Исходные данные'!$B$69)="",C36&lt;IF('Исходные данные'!$B$69="",'Исходные данные'!$B$10,'Исходные данные'!$B$69)),0,-N('Исходные данные'!$B$16)*N('Исходные данные'!$B$68)*N('Исходные данные'!$B$67)/12*IF(AND(B36&lt;=IF('Исходные данные'!$B$69="",'Исходные данные'!$B$10,'Исходные данные'!$B$69),C36&gt;=IF('Исходные данные'!$B$69="",'Исходные данные'!$B$10,'Исходные данные'!$B$69)),(C36-IF('Исходные данные'!$B$69="",'Исходные данные'!$B$10,'Исходные данные'!$B$69)+1)/DAY(C36),1))</f>
        <v>0</v>
      </c>
      <c r="X36">
        <f>IF(OR(B36="",IF('Исходные данные'!$B$76="",'Исходные данные'!$B$10,'Исходные данные'!$B$76)="",C36&lt;IF('Исходные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данные'!$B$76)),1),B36,"m")/12))*IF(AND(B36&lt;=IF('Исходные данные'!$B$76="",'Исходные данные'!$B$10,'Исходные данные'!$B$76),C36&gt;=IF('Исходные данные'!$B$76="",'Исходные данные'!$B$10,'Исходные данные'!$B$76)),(C36-IF('Исходные данные'!$B$76="",'Исходные данные'!$B$10,'Исходные данные'!$B$76)+1)/DAY(C36),1))</f>
        <v>0</v>
      </c>
      <c r="Y36">
        <f t="shared" si="25"/>
        <v>0</v>
      </c>
      <c r="Z36">
        <f>IF(OR(B36="",N('Исходные данные'!$B$19)=0),0,-SUMIFS('Исходные данные'!$I$6:$I$186,'Исходные данные'!$F$6:$F$186,B36)*N('Исходные данные'!$B$17)/N('Исходные данные'!$B$19))</f>
        <v>0</v>
      </c>
      <c r="AA36">
        <f>IF(OR(B36="",N('Исходные данные'!$B$19)=0),0,-SUMIFS('Исходные данные'!$I$6:$I$186,'Исходные данные'!$F$6:$F$186,B36)*N('Исходные данные'!$B$18)/N('Исходные данные'!$B$19))</f>
        <v>0</v>
      </c>
      <c r="AB36">
        <f>IF(OR(B36="",'Исходные данные'!$B$13=""),0,IF(AND(YEAR(B36)=YEAR('Исходные данные'!$B$13),MONTH(B36)=MONTH('Исходные данные'!$B$13)),-N('Исходные данные'!$B$11),0))</f>
        <v>0</v>
      </c>
      <c r="AC36">
        <f>IF(A36=1,-N('Исходные данные'!$B$19)*N('Исходные данные'!$B$72),0)</f>
        <v>0</v>
      </c>
      <c r="AD36">
        <f>IF(OR(B36="",'Исходные данные'!$B$22&lt;&gt;"Да",'Исходные данные'!$B$26=""),0,IF(AND(YEAR(B36)=YEAR('Исходные данные'!$B$26),MONTH(B36)=MONTH('Исходные данные'!$B$26)),N('Исходные данные'!$B$23),0))</f>
        <v>0</v>
      </c>
      <c r="AE36">
        <f t="shared" si="38"/>
        <v>0</v>
      </c>
      <c r="AF36">
        <f>IF(OR('Исходные данные'!$B$22&lt;&gt;"Да",'Исходные данные'!$B$26="",C36&lt;'Исходные данные'!$B$26),0,DATEDIF(DATE(YEAR('Исходные данные'!$B$26),MONTH('Исходные данные'!$B$26),1),B36,"m")+1)</f>
        <v>0</v>
      </c>
      <c r="AG36">
        <f>IF(OR(AF36&lt;1,AF36&gt;N('Исходные данные'!$B$25),AE36+AD36&lt;=0),0,-(AE36+AD36)*N('Исходные данные'!$B$24)*IF(AF36=1,C36-'Исходные данные'!$B$26+1,DAY(C36))/365)</f>
        <v>0</v>
      </c>
      <c r="AH36">
        <f>IF(OR(AF36&lt;1,AF36&gt;N('Исходные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данные'!$B$25)-AG36))</f>
        <v>0</v>
      </c>
      <c r="AI36">
        <f>IF(OR('Исходные данные'!$B$22&lt;&gt;"Да",AE36+AD36&lt;=0),0,IF(AND('Исходные данные'!$B$91&lt;&gt;"",B36&lt;&gt;"",YEAR(B36)=YEAR('Исходные данные'!$B$91),MONTH(B36)=MONTH('Исходные данные'!$B$91)),-(AE36+AD36),IF(OR(AF36&lt;1,AF36&gt;N('Исходные данные'!$B$25)),0,IF('Исходные данные'!$B$27="Равными долями",-MIN(AE36+AD36,N('Исходные данные'!$B$23)/N('Исходные данные'!$B$25)),-MIN(AE36+AD36,IF(AF36=N('Исходные данные'!$B$25),AE36+AD36,MAX(0,AH36+AG36)))))))</f>
        <v>0</v>
      </c>
      <c r="AJ36">
        <f t="shared" si="26"/>
        <v>0</v>
      </c>
      <c r="AK36">
        <f t="shared" si="27"/>
        <v>0</v>
      </c>
      <c r="AL36">
        <f>IF(OR(B36="",'Исходные данные'!$B$51&lt;&gt;"Да",'Исходные данные'!$B$61=""),0,IF(AND(YEAR(B36)=YEAR('Исходные данные'!$B$61),MONTH(B36)=MONTH('Исходные данные'!$B$61)),N('Исходные данные'!$B$18)*N('Исходные данные'!$B$62),0))</f>
        <v>0</v>
      </c>
      <c r="AM36">
        <f t="shared" si="39"/>
        <v>0</v>
      </c>
      <c r="AN36">
        <f t="shared" si="28"/>
        <v>0</v>
      </c>
      <c r="AO36">
        <f t="shared" si="29"/>
        <v>0</v>
      </c>
      <c r="AP36">
        <f>IF('Исходные данные'!$B$51="Да",-MAX(0,AN36-AO36-AM36),0)</f>
        <v>0</v>
      </c>
      <c r="AQ36">
        <f>IF('Исходные данные'!$B$51="Да",MAX(0,AM36+AO36-AN36),0)</f>
        <v>0</v>
      </c>
      <c r="AR36">
        <f>IF('Исходные данные'!$B$53="Выручка",MAX(0,L36+(Q36-R36)+(U36-V36)),IF('Исходные данные'!$B$53="Прибыль до налога",MAX(0,L36+(Q36-R36)+(U36-V36)+N('Исходные данные'!$B$54)*((O36+P36)+(S36+T36)+W36+X36)+IF('Исходные данные'!$B$55="Да",AG36,0)-N('Исходные данные'!$B$56)/12),IF('Исходные данные'!$B$53="Пользовательская база",MAX(0,N('Исходные данные'!$B$57)/12),0)))</f>
        <v>0</v>
      </c>
      <c r="AS36">
        <f>IF(E36=1,-AR36*N('Исходные данные'!$B$50),0)</f>
        <v>0</v>
      </c>
      <c r="AT36">
        <f t="shared" si="30"/>
        <v>0</v>
      </c>
      <c r="AU36">
        <f>IF(OR(B36="",N('Исходные данные'!$B$80)&lt;=0,'Исходные данные'!$B$88=""),0,MAX(0,IF('Исходные данные'!$B$88="Последние 12 месяцев",SUMIFS($Y$2:$Y$194,$B$2:$B$194,"&gt;="&amp;EDATE(B36,-11),$B$2:$B$194,"&lt;="&amp;B36),IF('Исходные данные'!$B$88="Пользовательский NOI",N('Исходные данные'!$B$89),AT36))/N('Исходные данные'!$B$80)*(1+N('Исходные данные'!$B$81))))</f>
        <v>0</v>
      </c>
      <c r="AV36">
        <f>IF(OR(E36&lt;&gt;1,B36="",'Исходные данные'!$B$91=""),0,IF(AND(YEAR(B36)=YEAR('Исходные данные'!$B$91),MONTH(B36)=MONTH('Исходные данные'!$B$91)),AU36,0))</f>
        <v>0</v>
      </c>
      <c r="AW36">
        <f>-AV36*N('Исходные данные'!$B$73)</f>
        <v>0</v>
      </c>
      <c r="AX36">
        <f>IF(AV36=0,0,-N('Исходные данные'!$B$87)-IF('Исходные данные'!$B$82="Да",IF('Исходные данные'!$B$84="С выручки",AV36,IF('Исходные данные'!$B$84="С прибыли",MAX(0,AV36+AW36-IF('Исходные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6">
        <f t="shared" si="31"/>
        <v>0</v>
      </c>
      <c r="AZ36">
        <f t="shared" si="32"/>
        <v>0</v>
      </c>
      <c r="BA36">
        <f t="shared" si="33"/>
        <v>0</v>
      </c>
      <c r="BB36" t="str">
        <f t="shared" si="40"/>
        <v/>
      </c>
      <c r="BC36">
        <f>IF(OR(E36=0,'Исходные данные'!$B$9="",'Исходные данные'!$B$90=""),0,BA36/(1+'Исходные данные'!$B$90)^((D36-'Исходные данные'!$B$9)/365))</f>
        <v>0</v>
      </c>
      <c r="BD36">
        <f>IF(AND(E36=1,BB36&gt;=0,BB35&lt;0,MIN($BB$2:BB36)&lt;0),1,0)</f>
        <v>0</v>
      </c>
      <c r="BE36">
        <f t="shared" si="34"/>
        <v>0</v>
      </c>
      <c r="BF36">
        <f t="shared" si="35"/>
        <v>0</v>
      </c>
      <c r="BG36">
        <f t="shared" si="36"/>
        <v>0</v>
      </c>
      <c r="BH36">
        <f t="shared" si="37"/>
        <v>1</v>
      </c>
      <c r="BI36">
        <f>AZ36+N36+AP36-AR36*N('Исходные данные'!$B$50)</f>
        <v>0</v>
      </c>
      <c r="BJ36">
        <f t="shared" si="20"/>
        <v>0</v>
      </c>
      <c r="BK36">
        <f>IF(AND(BJ36&gt;=0,BJ35&lt;0,MIN($BJ$2:BJ36)&lt;0),1,0)</f>
        <v>0</v>
      </c>
    </row>
    <row r="37" spans="1:63" x14ac:dyDescent="0.2">
      <c r="A37">
        <v>36</v>
      </c>
      <c r="B37" t="str">
        <f>IF('Исходные данные'!$B$9="","",EDATE(DATE(YEAR('Исходные данные'!$B$9),MONTH('Исходные данные'!$B$9),1),A37-1))</f>
        <v/>
      </c>
      <c r="C37" t="str">
        <f t="shared" si="21"/>
        <v/>
      </c>
      <c r="D37" t="str">
        <f>IF(B37="","",IF('Исходные данные'!$B$91&lt;&gt;"",IF(AND(YEAR(B37)=YEAR('Исходные данные'!$B$91),MONTH(B37)=MONTH('Исходные данные'!$B$91)),'Исходные данные'!$B$91,IF('Исходные данные'!$B$13&lt;&gt;"",IF(AND(YEAR(B37)=YEAR('Исходные данные'!$B$13),MONTH(B37)=MONTH('Исходные данные'!$B$13)),'Исходные данные'!$B$13,IF('Исходные данные'!$B$26&lt;&gt;"",IF(AND(YEAR(B37)=YEAR('Исходные данные'!$B$26),MONTH(B37)=MONTH('Исходные данные'!$B$26)),'Исходные данные'!$B$26,IF(A37=1,'Исходные данные'!$B$9,C37)),IF(A37=1,'Исходные данные'!$B$9,C37))),IF('Исходные данные'!$B$26&lt;&gt;"",IF(AND(YEAR(B37)=YEAR('Исходные данные'!$B$26),MONTH(B37)=MONTH('Исходные данные'!$B$26)),'Исходные данные'!$B$26,IF(A37=1,'Исходные данные'!$B$9,C37)),IF(A37=1,'Исходные данные'!$B$9,C37)))),IF('Исходные данные'!$B$13&lt;&gt;"",IF(AND(YEAR(B37)=YEAR('Исходные данные'!$B$13),MONTH(B37)=MONTH('Исходные данные'!$B$13)),'Исходные данные'!$B$13,IF('Исходные данные'!$B$26&lt;&gt;"",IF(AND(YEAR(B37)=YEAR('Исходные данные'!$B$26),MONTH(B37)=MONTH('Исходные данные'!$B$26)),'Исходные данные'!$B$26,IF(A37=1,'Исходные данные'!$B$9,C37)),IF(A37=1,'Исходные данные'!$B$9,C37))),IF('Исходные данные'!$B$26&lt;&gt;"",IF(AND(YEAR(B37)=YEAR('Исходные данные'!$B$26),MONTH(B37)=MONTH('Исходные данные'!$B$26)),'Исходные данные'!$B$26,IF(A37=1,'Исходные данные'!$B$9,C37)),IF(A37=1,'Исходные данные'!$B$9,C37)))))</f>
        <v/>
      </c>
      <c r="E37">
        <f>IF(OR(B37="",'Исходные данные'!$B$91=""),0,--(B37&lt;=DATE(YEAR('Исходные данные'!$B$91),MONTH('Исходные данные'!$B$91),1)))</f>
        <v>0</v>
      </c>
      <c r="F37">
        <f>IF(OR(B37="",'Исходные данные'!$B$30="",C37&lt;'Исходные данные'!$B$30),0,DATEDIF(DATE(YEAR('Исходные данные'!$B$30),MONTH('Исходные данные'!$B$30),1),B37,"m")+1)</f>
        <v>0</v>
      </c>
      <c r="G37">
        <f t="shared" si="22"/>
        <v>0</v>
      </c>
      <c r="H37">
        <f>IF(F37=0,0,IF(G37=1,N('Исходные данные'!$B$31),IF(G37=2,N('Исходные данные'!$B$32),IF(G37=3,N('Исходные данные'!$B$33),N('Исходные данные'!$B$33)*(1+N('Исходные данные'!$B$34))^(G37-3)))))</f>
        <v>0</v>
      </c>
      <c r="I37">
        <f>IF(OR(F37=0,N('Исходные данные'!$B$5)=0,H37=0),0,'Исходные данные'!$B$5*H37*IF(AND(B37&lt;='Исходные данные'!$B$30,C37&gt;='Исходные данные'!$B$30),(C37-'Исходные данные'!$B$30+1)/DAY(C37),1))</f>
        <v>0</v>
      </c>
      <c r="J37">
        <f>IF(AND(F37&gt;0,F37&lt;=N('Исходные данные'!$B$37)),-I37,0)</f>
        <v>0</v>
      </c>
      <c r="K37">
        <f>IF(OR(F37=0,F37&lt;=N('Исходные данные'!$B$37)),0,-(I37+J37)*N('Исходные данные'!$B$38))</f>
        <v>0</v>
      </c>
      <c r="L37">
        <f t="shared" si="23"/>
        <v>0</v>
      </c>
      <c r="M37">
        <f>IF('Исходные данные'!$B$51="Да",L37*N('Исходные данные'!$B$52),0)</f>
        <v>0</v>
      </c>
      <c r="N37">
        <f t="shared" si="24"/>
        <v>0</v>
      </c>
      <c r="O37">
        <f>IF(OR(B37="",IF('Исходные данные'!$B$45="",'Исходные данные'!$B$10,'Исходные данные'!$B$45)="",C37&lt;IF('Исходные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данные'!$B$45)),1),B37,"m")/12))*IF(AND(B37&lt;=IF('Исходные данные'!$B$45="",'Исходные данные'!$B$10,'Исходные данные'!$B$45),C37&gt;=IF('Исходные данные'!$B$45="",'Исходные данные'!$B$10,'Исходные данные'!$B$45)),(C37-IF('Исходные данные'!$B$45="",'Исходные данные'!$B$10,'Исходные данные'!$B$45)+1)/DAY(C37),1)*IF('Исходные данные'!$B$43="Без НДС",1+N('Исходные данные'!$B$44),1))</f>
        <v>0</v>
      </c>
      <c r="P37">
        <f>IF('Исходные данные'!$B$51="Да",-O37*N('Исходные данные'!$B$44)/(1+N('Исходные данные'!$B$44)),0)</f>
        <v>0</v>
      </c>
      <c r="Q37">
        <f>IF('Исходные данные'!$B$35="Да",-O37,0)</f>
        <v>0</v>
      </c>
      <c r="R37">
        <f>IF(AND('Исходные данные'!$B$51="Да",Q37&gt;0),Q37*N('Исходные данные'!$B$52)/(1+N('Исходные данные'!$B$52)),0)</f>
        <v>0</v>
      </c>
      <c r="S37">
        <f>IF(OR(B37="",IF('Исходные данные'!$B$45="",'Исходные данные'!$B$10,'Исходные данные'!$B$45)="",C37&lt;IF('Исходные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данные'!$B$45)),1),B37,"m")/12))*IF(AND(B37&lt;=IF('Исходные данные'!$B$45="",'Исходные данные'!$B$10,'Исходные данные'!$B$45),C37&gt;=IF('Исходные данные'!$B$45="",'Исходные данные'!$B$10,'Исходные данные'!$B$45)),(C37-IF('Исходные данные'!$B$45="",'Исходные данные'!$B$10,'Исходные данные'!$B$45)+1)/DAY(C37),1)*IF('Исходные данные'!$B$43="Без НДС",1+N('Исходные данные'!$B$44),1))</f>
        <v>0</v>
      </c>
      <c r="T37">
        <f>IF('Исходные данные'!$B$51="Да",-S37*N('Исходные данные'!$B$44)/(1+N('Исходные данные'!$B$44)),0)</f>
        <v>0</v>
      </c>
      <c r="U37">
        <f>IF('Исходные данные'!$B$36="Да",-S37,0)</f>
        <v>0</v>
      </c>
      <c r="V37">
        <f>IF(AND('Исходные данные'!$B$51="Да",U37&gt;0),U37*N('Исходные данные'!$B$52)/(1+N('Исходные данные'!$B$52)),0)</f>
        <v>0</v>
      </c>
      <c r="W37">
        <f>IF(OR(B37="",IF('Исходные данные'!$B$69="",'Исходные данные'!$B$10,'Исходные данные'!$B$69)="",C37&lt;IF('Исходные данные'!$B$69="",'Исходные данные'!$B$10,'Исходные данные'!$B$69)),0,-N('Исходные данные'!$B$16)*N('Исходные данные'!$B$68)*N('Исходные данные'!$B$67)/12*IF(AND(B37&lt;=IF('Исходные данные'!$B$69="",'Исходные данные'!$B$10,'Исходные данные'!$B$69),C37&gt;=IF('Исходные данные'!$B$69="",'Исходные данные'!$B$10,'Исходные данные'!$B$69)),(C37-IF('Исходные данные'!$B$69="",'Исходные данные'!$B$10,'Исходные данные'!$B$69)+1)/DAY(C37),1))</f>
        <v>0</v>
      </c>
      <c r="X37">
        <f>IF(OR(B37="",IF('Исходные данные'!$B$76="",'Исходные данные'!$B$10,'Исходные данные'!$B$76)="",C37&lt;IF('Исходные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данные'!$B$76)),1),B37,"m")/12))*IF(AND(B37&lt;=IF('Исходные данные'!$B$76="",'Исходные данные'!$B$10,'Исходные данные'!$B$76),C37&gt;=IF('Исходные данные'!$B$76="",'Исходные данные'!$B$10,'Исходные данные'!$B$76)),(C37-IF('Исходные данные'!$B$76="",'Исходные данные'!$B$10,'Исходные данные'!$B$76)+1)/DAY(C37),1))</f>
        <v>0</v>
      </c>
      <c r="Y37">
        <f t="shared" si="25"/>
        <v>0</v>
      </c>
      <c r="Z37">
        <f>IF(OR(B37="",N('Исходные данные'!$B$19)=0),0,-SUMIFS('Исходные данные'!$I$6:$I$186,'Исходные данные'!$F$6:$F$186,B37)*N('Исходные данные'!$B$17)/N('Исходные данные'!$B$19))</f>
        <v>0</v>
      </c>
      <c r="AA37">
        <f>IF(OR(B37="",N('Исходные данные'!$B$19)=0),0,-SUMIFS('Исходные данные'!$I$6:$I$186,'Исходные данные'!$F$6:$F$186,B37)*N('Исходные данные'!$B$18)/N('Исходные данные'!$B$19))</f>
        <v>0</v>
      </c>
      <c r="AB37">
        <f>IF(OR(B37="",'Исходные данные'!$B$13=""),0,IF(AND(YEAR(B37)=YEAR('Исходные данные'!$B$13),MONTH(B37)=MONTH('Исходные данные'!$B$13)),-N('Исходные данные'!$B$11),0))</f>
        <v>0</v>
      </c>
      <c r="AC37">
        <f>IF(A37=1,-N('Исходные данные'!$B$19)*N('Исходные данные'!$B$72),0)</f>
        <v>0</v>
      </c>
      <c r="AD37">
        <f>IF(OR(B37="",'Исходные данные'!$B$22&lt;&gt;"Да",'Исходные данные'!$B$26=""),0,IF(AND(YEAR(B37)=YEAR('Исходные данные'!$B$26),MONTH(B37)=MONTH('Исходные данные'!$B$26)),N('Исходные данные'!$B$23),0))</f>
        <v>0</v>
      </c>
      <c r="AE37">
        <f t="shared" si="38"/>
        <v>0</v>
      </c>
      <c r="AF37">
        <f>IF(OR('Исходные данные'!$B$22&lt;&gt;"Да",'Исходные данные'!$B$26="",C37&lt;'Исходные данные'!$B$26),0,DATEDIF(DATE(YEAR('Исходные данные'!$B$26),MONTH('Исходные данные'!$B$26),1),B37,"m")+1)</f>
        <v>0</v>
      </c>
      <c r="AG37">
        <f>IF(OR(AF37&lt;1,AF37&gt;N('Исходные данные'!$B$25),AE37+AD37&lt;=0),0,-(AE37+AD37)*N('Исходные данные'!$B$24)*IF(AF37=1,C37-'Исходные данные'!$B$26+1,DAY(C37))/365)</f>
        <v>0</v>
      </c>
      <c r="AH37">
        <f>IF(OR(AF37&lt;1,AF37&gt;N('Исходные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данные'!$B$25)-AG37))</f>
        <v>0</v>
      </c>
      <c r="AI37">
        <f>IF(OR('Исходные данные'!$B$22&lt;&gt;"Да",AE37+AD37&lt;=0),0,IF(AND('Исходные данные'!$B$91&lt;&gt;"",B37&lt;&gt;"",YEAR(B37)=YEAR('Исходные данные'!$B$91),MONTH(B37)=MONTH('Исходные данные'!$B$91)),-(AE37+AD37),IF(OR(AF37&lt;1,AF37&gt;N('Исходные данные'!$B$25)),0,IF('Исходные данные'!$B$27="Равными долями",-MIN(AE37+AD37,N('Исходные данные'!$B$23)/N('Исходные данные'!$B$25)),-MIN(AE37+AD37,IF(AF37=N('Исходные данные'!$B$25),AE37+AD37,MAX(0,AH37+AG37)))))))</f>
        <v>0</v>
      </c>
      <c r="AJ37">
        <f t="shared" si="26"/>
        <v>0</v>
      </c>
      <c r="AK37">
        <f t="shared" si="27"/>
        <v>0</v>
      </c>
      <c r="AL37">
        <f>IF(OR(B37="",'Исходные данные'!$B$51&lt;&gt;"Да",'Исходные данные'!$B$61=""),0,IF(AND(YEAR(B37)=YEAR('Исходные данные'!$B$61),MONTH(B37)=MONTH('Исходные данные'!$B$61)),N('Исходные данные'!$B$18)*N('Исходные данные'!$B$62),0))</f>
        <v>0</v>
      </c>
      <c r="AM37">
        <f t="shared" si="39"/>
        <v>0</v>
      </c>
      <c r="AN37">
        <f t="shared" si="28"/>
        <v>0</v>
      </c>
      <c r="AO37">
        <f t="shared" si="29"/>
        <v>0</v>
      </c>
      <c r="AP37">
        <f>IF('Исходные данные'!$B$51="Да",-MAX(0,AN37-AO37-AM37),0)</f>
        <v>0</v>
      </c>
      <c r="AQ37">
        <f>IF('Исходные данные'!$B$51="Да",MAX(0,AM37+AO37-AN37),0)</f>
        <v>0</v>
      </c>
      <c r="AR37">
        <f>IF('Исходные данные'!$B$53="Выручка",MAX(0,L37+(Q37-R37)+(U37-V37)),IF('Исходные данные'!$B$53="Прибыль до налога",MAX(0,L37+(Q37-R37)+(U37-V37)+N('Исходные данные'!$B$54)*((O37+P37)+(S37+T37)+W37+X37)+IF('Исходные данные'!$B$55="Да",AG37,0)-N('Исходные данные'!$B$56)/12),IF('Исходные данные'!$B$53="Пользовательская база",MAX(0,N('Исходные данные'!$B$57)/12),0)))</f>
        <v>0</v>
      </c>
      <c r="AS37">
        <f>IF(E37=1,-AR37*N('Исходные данные'!$B$50),0)</f>
        <v>0</v>
      </c>
      <c r="AT37">
        <f t="shared" si="30"/>
        <v>0</v>
      </c>
      <c r="AU37">
        <f>IF(OR(B37="",N('Исходные данные'!$B$80)&lt;=0,'Исходные данные'!$B$88=""),0,MAX(0,IF('Исходные данные'!$B$88="Последние 12 месяцев",SUMIFS($Y$2:$Y$194,$B$2:$B$194,"&gt;="&amp;EDATE(B37,-11),$B$2:$B$194,"&lt;="&amp;B37),IF('Исходные данные'!$B$88="Пользовательский NOI",N('Исходные данные'!$B$89),AT37))/N('Исходные данные'!$B$80)*(1+N('Исходные данные'!$B$81))))</f>
        <v>0</v>
      </c>
      <c r="AV37">
        <f>IF(OR(E37&lt;&gt;1,B37="",'Исходные данные'!$B$91=""),0,IF(AND(YEAR(B37)=YEAR('Исходные данные'!$B$91),MONTH(B37)=MONTH('Исходные данные'!$B$91)),AU37,0))</f>
        <v>0</v>
      </c>
      <c r="AW37">
        <f>-AV37*N('Исходные данные'!$B$73)</f>
        <v>0</v>
      </c>
      <c r="AX37">
        <f>IF(AV37=0,0,-N('Исходные данные'!$B$87)-IF('Исходные данные'!$B$82="Да",IF('Исходные данные'!$B$84="С выручки",AV37,IF('Исходные данные'!$B$84="С прибыли",MAX(0,AV37+AW37-IF('Исходные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7">
        <f t="shared" si="31"/>
        <v>0</v>
      </c>
      <c r="AZ37">
        <f t="shared" si="32"/>
        <v>0</v>
      </c>
      <c r="BA37">
        <f t="shared" si="33"/>
        <v>0</v>
      </c>
      <c r="BB37" t="str">
        <f t="shared" si="40"/>
        <v/>
      </c>
      <c r="BC37">
        <f>IF(OR(E37=0,'Исходные данные'!$B$9="",'Исходные данные'!$B$90=""),0,BA37/(1+'Исходные данные'!$B$90)^((D37-'Исходные данные'!$B$9)/365))</f>
        <v>0</v>
      </c>
      <c r="BD37">
        <f>IF(AND(E37=1,BB37&gt;=0,BB36&lt;0,MIN($BB$2:BB37)&lt;0),1,0)</f>
        <v>0</v>
      </c>
      <c r="BE37">
        <f t="shared" si="34"/>
        <v>0</v>
      </c>
      <c r="BF37">
        <f t="shared" si="35"/>
        <v>0</v>
      </c>
      <c r="BG37">
        <f t="shared" si="36"/>
        <v>0</v>
      </c>
      <c r="BH37">
        <f t="shared" si="37"/>
        <v>1</v>
      </c>
      <c r="BI37">
        <f>AZ37+N37+AP37-AR37*N('Исходные данные'!$B$50)</f>
        <v>0</v>
      </c>
      <c r="BJ37">
        <f t="shared" si="20"/>
        <v>0</v>
      </c>
      <c r="BK37">
        <f>IF(AND(BJ37&gt;=0,BJ36&lt;0,MIN($BJ$2:BJ37)&lt;0),1,0)</f>
        <v>0</v>
      </c>
    </row>
    <row r="38" spans="1:63" x14ac:dyDescent="0.2">
      <c r="A38">
        <v>37</v>
      </c>
      <c r="B38" t="str">
        <f>IF('Исходные данные'!$B$9="","",EDATE(DATE(YEAR('Исходные данные'!$B$9),MONTH('Исходные данные'!$B$9),1),A38-1))</f>
        <v/>
      </c>
      <c r="C38" t="str">
        <f t="shared" si="21"/>
        <v/>
      </c>
      <c r="D38" t="str">
        <f>IF(B38="","",IF('Исходные данные'!$B$91&lt;&gt;"",IF(AND(YEAR(B38)=YEAR('Исходные данные'!$B$91),MONTH(B38)=MONTH('Исходные данные'!$B$91)),'Исходные данные'!$B$91,IF('Исходные данные'!$B$13&lt;&gt;"",IF(AND(YEAR(B38)=YEAR('Исходные данные'!$B$13),MONTH(B38)=MONTH('Исходные данные'!$B$13)),'Исходные данные'!$B$13,IF('Исходные данные'!$B$26&lt;&gt;"",IF(AND(YEAR(B38)=YEAR('Исходные данные'!$B$26),MONTH(B38)=MONTH('Исходные данные'!$B$26)),'Исходные данные'!$B$26,IF(A38=1,'Исходные данные'!$B$9,C38)),IF(A38=1,'Исходные данные'!$B$9,C38))),IF('Исходные данные'!$B$26&lt;&gt;"",IF(AND(YEAR(B38)=YEAR('Исходные данные'!$B$26),MONTH(B38)=MONTH('Исходные данные'!$B$26)),'Исходные данные'!$B$26,IF(A38=1,'Исходные данные'!$B$9,C38)),IF(A38=1,'Исходные данные'!$B$9,C38)))),IF('Исходные данные'!$B$13&lt;&gt;"",IF(AND(YEAR(B38)=YEAR('Исходные данные'!$B$13),MONTH(B38)=MONTH('Исходные данные'!$B$13)),'Исходные данные'!$B$13,IF('Исходные данные'!$B$26&lt;&gt;"",IF(AND(YEAR(B38)=YEAR('Исходные данные'!$B$26),MONTH(B38)=MONTH('Исходные данные'!$B$26)),'Исходные данные'!$B$26,IF(A38=1,'Исходные данные'!$B$9,C38)),IF(A38=1,'Исходные данные'!$B$9,C38))),IF('Исходные данные'!$B$26&lt;&gt;"",IF(AND(YEAR(B38)=YEAR('Исходные данные'!$B$26),MONTH(B38)=MONTH('Исходные данные'!$B$26)),'Исходные данные'!$B$26,IF(A38=1,'Исходные данные'!$B$9,C38)),IF(A38=1,'Исходные данные'!$B$9,C38)))))</f>
        <v/>
      </c>
      <c r="E38">
        <f>IF(OR(B38="",'Исходные данные'!$B$91=""),0,--(B38&lt;=DATE(YEAR('Исходные данные'!$B$91),MONTH('Исходные данные'!$B$91),1)))</f>
        <v>0</v>
      </c>
      <c r="F38">
        <f>IF(OR(B38="",'Исходные данные'!$B$30="",C38&lt;'Исходные данные'!$B$30),0,DATEDIF(DATE(YEAR('Исходные данные'!$B$30),MONTH('Исходные данные'!$B$30),1),B38,"m")+1)</f>
        <v>0</v>
      </c>
      <c r="G38">
        <f t="shared" si="22"/>
        <v>0</v>
      </c>
      <c r="H38">
        <f>IF(F38=0,0,IF(G38=1,N('Исходные данные'!$B$31),IF(G38=2,N('Исходные данные'!$B$32),IF(G38=3,N('Исходные данные'!$B$33),N('Исходные данные'!$B$33)*(1+N('Исходные данные'!$B$34))^(G38-3)))))</f>
        <v>0</v>
      </c>
      <c r="I38">
        <f>IF(OR(F38=0,N('Исходные данные'!$B$5)=0,H38=0),0,'Исходные данные'!$B$5*H38*IF(AND(B38&lt;='Исходные данные'!$B$30,C38&gt;='Исходные данные'!$B$30),(C38-'Исходные данные'!$B$30+1)/DAY(C38),1))</f>
        <v>0</v>
      </c>
      <c r="J38">
        <f>IF(AND(F38&gt;0,F38&lt;=N('Исходные данные'!$B$37)),-I38,0)</f>
        <v>0</v>
      </c>
      <c r="K38">
        <f>IF(OR(F38=0,F38&lt;=N('Исходные данные'!$B$37)),0,-(I38+J38)*N('Исходные данные'!$B$38))</f>
        <v>0</v>
      </c>
      <c r="L38">
        <f t="shared" si="23"/>
        <v>0</v>
      </c>
      <c r="M38">
        <f>IF('Исходные данные'!$B$51="Да",L38*N('Исходные данные'!$B$52),0)</f>
        <v>0</v>
      </c>
      <c r="N38">
        <f t="shared" si="24"/>
        <v>0</v>
      </c>
      <c r="O38">
        <f>IF(OR(B38="",IF('Исходные данные'!$B$45="",'Исходные данные'!$B$10,'Исходные данные'!$B$45)="",C38&lt;IF('Исходные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данные'!$B$45)),1),B38,"m")/12))*IF(AND(B38&lt;=IF('Исходные данные'!$B$45="",'Исходные данные'!$B$10,'Исходные данные'!$B$45),C38&gt;=IF('Исходные данные'!$B$45="",'Исходные данные'!$B$10,'Исходные данные'!$B$45)),(C38-IF('Исходные данные'!$B$45="",'Исходные данные'!$B$10,'Исходные данные'!$B$45)+1)/DAY(C38),1)*IF('Исходные данные'!$B$43="Без НДС",1+N('Исходные данные'!$B$44),1))</f>
        <v>0</v>
      </c>
      <c r="P38">
        <f>IF('Исходные данные'!$B$51="Да",-O38*N('Исходные данные'!$B$44)/(1+N('Исходные данные'!$B$44)),0)</f>
        <v>0</v>
      </c>
      <c r="Q38">
        <f>IF('Исходные данные'!$B$35="Да",-O38,0)</f>
        <v>0</v>
      </c>
      <c r="R38">
        <f>IF(AND('Исходные данные'!$B$51="Да",Q38&gt;0),Q38*N('Исходные данные'!$B$52)/(1+N('Исходные данные'!$B$52)),0)</f>
        <v>0</v>
      </c>
      <c r="S38">
        <f>IF(OR(B38="",IF('Исходные данные'!$B$45="",'Исходные данные'!$B$10,'Исходные данные'!$B$45)="",C38&lt;IF('Исходные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данные'!$B$45)),1),B38,"m")/12))*IF(AND(B38&lt;=IF('Исходные данные'!$B$45="",'Исходные данные'!$B$10,'Исходные данные'!$B$45),C38&gt;=IF('Исходные данные'!$B$45="",'Исходные данные'!$B$10,'Исходные данные'!$B$45)),(C38-IF('Исходные данные'!$B$45="",'Исходные данные'!$B$10,'Исходные данные'!$B$45)+1)/DAY(C38),1)*IF('Исходные данные'!$B$43="Без НДС",1+N('Исходные данные'!$B$44),1))</f>
        <v>0</v>
      </c>
      <c r="T38">
        <f>IF('Исходные данные'!$B$51="Да",-S38*N('Исходные данные'!$B$44)/(1+N('Исходные данные'!$B$44)),0)</f>
        <v>0</v>
      </c>
      <c r="U38">
        <f>IF('Исходные данные'!$B$36="Да",-S38,0)</f>
        <v>0</v>
      </c>
      <c r="V38">
        <f>IF(AND('Исходные данные'!$B$51="Да",U38&gt;0),U38*N('Исходные данные'!$B$52)/(1+N('Исходные данные'!$B$52)),0)</f>
        <v>0</v>
      </c>
      <c r="W38">
        <f>IF(OR(B38="",IF('Исходные данные'!$B$69="",'Исходные данные'!$B$10,'Исходные данные'!$B$69)="",C38&lt;IF('Исходные данные'!$B$69="",'Исходные данные'!$B$10,'Исходные данные'!$B$69)),0,-N('Исходные данные'!$B$16)*N('Исходные данные'!$B$68)*N('Исходные данные'!$B$67)/12*IF(AND(B38&lt;=IF('Исходные данные'!$B$69="",'Исходные данные'!$B$10,'Исходные данные'!$B$69),C38&gt;=IF('Исходные данные'!$B$69="",'Исходные данные'!$B$10,'Исходные данные'!$B$69)),(C38-IF('Исходные данные'!$B$69="",'Исходные данные'!$B$10,'Исходные данные'!$B$69)+1)/DAY(C38),1))</f>
        <v>0</v>
      </c>
      <c r="X38">
        <f>IF(OR(B38="",IF('Исходные данные'!$B$76="",'Исходные данные'!$B$10,'Исходные данные'!$B$76)="",C38&lt;IF('Исходные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данные'!$B$76)),1),B38,"m")/12))*IF(AND(B38&lt;=IF('Исходные данные'!$B$76="",'Исходные данные'!$B$10,'Исходные данные'!$B$76),C38&gt;=IF('Исходные данные'!$B$76="",'Исходные данные'!$B$10,'Исходные данные'!$B$76)),(C38-IF('Исходные данные'!$B$76="",'Исходные данные'!$B$10,'Исходные данные'!$B$76)+1)/DAY(C38),1))</f>
        <v>0</v>
      </c>
      <c r="Y38">
        <f t="shared" si="25"/>
        <v>0</v>
      </c>
      <c r="Z38">
        <f>IF(OR(B38="",N('Исходные данные'!$B$19)=0),0,-SUMIFS('Исходные данные'!$I$6:$I$186,'Исходные данные'!$F$6:$F$186,B38)*N('Исходные данные'!$B$17)/N('Исходные данные'!$B$19))</f>
        <v>0</v>
      </c>
      <c r="AA38">
        <f>IF(OR(B38="",N('Исходные данные'!$B$19)=0),0,-SUMIFS('Исходные данные'!$I$6:$I$186,'Исходные данные'!$F$6:$F$186,B38)*N('Исходные данные'!$B$18)/N('Исходные данные'!$B$19))</f>
        <v>0</v>
      </c>
      <c r="AB38">
        <f>IF(OR(B38="",'Исходные данные'!$B$13=""),0,IF(AND(YEAR(B38)=YEAR('Исходные данные'!$B$13),MONTH(B38)=MONTH('Исходные данные'!$B$13)),-N('Исходные данные'!$B$11),0))</f>
        <v>0</v>
      </c>
      <c r="AC38">
        <f>IF(A38=1,-N('Исходные данные'!$B$19)*N('Исходные данные'!$B$72),0)</f>
        <v>0</v>
      </c>
      <c r="AD38">
        <f>IF(OR(B38="",'Исходные данные'!$B$22&lt;&gt;"Да",'Исходные данные'!$B$26=""),0,IF(AND(YEAR(B38)=YEAR('Исходные данные'!$B$26),MONTH(B38)=MONTH('Исходные данные'!$B$26)),N('Исходные данные'!$B$23),0))</f>
        <v>0</v>
      </c>
      <c r="AE38">
        <f t="shared" si="38"/>
        <v>0</v>
      </c>
      <c r="AF38">
        <f>IF(OR('Исходные данные'!$B$22&lt;&gt;"Да",'Исходные данные'!$B$26="",C38&lt;'Исходные данные'!$B$26),0,DATEDIF(DATE(YEAR('Исходные данные'!$B$26),MONTH('Исходные данные'!$B$26),1),B38,"m")+1)</f>
        <v>0</v>
      </c>
      <c r="AG38">
        <f>IF(OR(AF38&lt;1,AF38&gt;N('Исходные данные'!$B$25),AE38+AD38&lt;=0),0,-(AE38+AD38)*N('Исходные данные'!$B$24)*IF(AF38=1,C38-'Исходные данные'!$B$26+1,DAY(C38))/365)</f>
        <v>0</v>
      </c>
      <c r="AH38">
        <f>IF(OR(AF38&lt;1,AF38&gt;N('Исходные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данные'!$B$25)-AG38))</f>
        <v>0</v>
      </c>
      <c r="AI38">
        <f>IF(OR('Исходные данные'!$B$22&lt;&gt;"Да",AE38+AD38&lt;=0),0,IF(AND('Исходные данные'!$B$91&lt;&gt;"",B38&lt;&gt;"",YEAR(B38)=YEAR('Исходные данные'!$B$91),MONTH(B38)=MONTH('Исходные данные'!$B$91)),-(AE38+AD38),IF(OR(AF38&lt;1,AF38&gt;N('Исходные данные'!$B$25)),0,IF('Исходные данные'!$B$27="Равными долями",-MIN(AE38+AD38,N('Исходные данные'!$B$23)/N('Исходные данные'!$B$25)),-MIN(AE38+AD38,IF(AF38=N('Исходные данные'!$B$25),AE38+AD38,MAX(0,AH38+AG38)))))))</f>
        <v>0</v>
      </c>
      <c r="AJ38">
        <f t="shared" si="26"/>
        <v>0</v>
      </c>
      <c r="AK38">
        <f t="shared" si="27"/>
        <v>0</v>
      </c>
      <c r="AL38">
        <f>IF(OR(B38="",'Исходные данные'!$B$51&lt;&gt;"Да",'Исходные данные'!$B$61=""),0,IF(AND(YEAR(B38)=YEAR('Исходные данные'!$B$61),MONTH(B38)=MONTH('Исходные данные'!$B$61)),N('Исходные данные'!$B$18)*N('Исходные данные'!$B$62),0))</f>
        <v>0</v>
      </c>
      <c r="AM38">
        <f t="shared" si="39"/>
        <v>0</v>
      </c>
      <c r="AN38">
        <f t="shared" si="28"/>
        <v>0</v>
      </c>
      <c r="AO38">
        <f t="shared" si="29"/>
        <v>0</v>
      </c>
      <c r="AP38">
        <f>IF('Исходные данные'!$B$51="Да",-MAX(0,AN38-AO38-AM38),0)</f>
        <v>0</v>
      </c>
      <c r="AQ38">
        <f>IF('Исходные данные'!$B$51="Да",MAX(0,AM38+AO38-AN38),0)</f>
        <v>0</v>
      </c>
      <c r="AR38">
        <f>IF('Исходные данные'!$B$53="Выручка",MAX(0,L38+(Q38-R38)+(U38-V38)),IF('Исходные данные'!$B$53="Прибыль до налога",MAX(0,L38+(Q38-R38)+(U38-V38)+N('Исходные данные'!$B$54)*((O38+P38)+(S38+T38)+W38+X38)+IF('Исходные данные'!$B$55="Да",AG38,0)-N('Исходные данные'!$B$56)/12),IF('Исходные данные'!$B$53="Пользовательская база",MAX(0,N('Исходные данные'!$B$57)/12),0)))</f>
        <v>0</v>
      </c>
      <c r="AS38">
        <f>IF(E38=1,-AR38*N('Исходные данные'!$B$50),0)</f>
        <v>0</v>
      </c>
      <c r="AT38">
        <f t="shared" si="30"/>
        <v>0</v>
      </c>
      <c r="AU38">
        <f>IF(OR(B38="",N('Исходные данные'!$B$80)&lt;=0,'Исходные данные'!$B$88=""),0,MAX(0,IF('Исходные данные'!$B$88="Последние 12 месяцев",SUMIFS($Y$2:$Y$194,$B$2:$B$194,"&gt;="&amp;EDATE(B38,-11),$B$2:$B$194,"&lt;="&amp;B38),IF('Исходные данные'!$B$88="Пользовательский NOI",N('Исходные данные'!$B$89),AT38))/N('Исходные данные'!$B$80)*(1+N('Исходные данные'!$B$81))))</f>
        <v>0</v>
      </c>
      <c r="AV38">
        <f>IF(OR(E38&lt;&gt;1,B38="",'Исходные данные'!$B$91=""),0,IF(AND(YEAR(B38)=YEAR('Исходные данные'!$B$91),MONTH(B38)=MONTH('Исходные данные'!$B$91)),AU38,0))</f>
        <v>0</v>
      </c>
      <c r="AW38">
        <f>-AV38*N('Исходные данные'!$B$73)</f>
        <v>0</v>
      </c>
      <c r="AX38">
        <f>IF(AV38=0,0,-N('Исходные данные'!$B$87)-IF('Исходные данные'!$B$82="Да",IF('Исходные данные'!$B$84="С выручки",AV38,IF('Исходные данные'!$B$84="С прибыли",MAX(0,AV38+AW38-IF('Исходные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8">
        <f t="shared" si="31"/>
        <v>0</v>
      </c>
      <c r="AZ38">
        <f t="shared" si="32"/>
        <v>0</v>
      </c>
      <c r="BA38">
        <f t="shared" si="33"/>
        <v>0</v>
      </c>
      <c r="BB38" t="str">
        <f t="shared" si="40"/>
        <v/>
      </c>
      <c r="BC38">
        <f>IF(OR(E38=0,'Исходные данные'!$B$9="",'Исходные данные'!$B$90=""),0,BA38/(1+'Исходные данные'!$B$90)^((D38-'Исходные данные'!$B$9)/365))</f>
        <v>0</v>
      </c>
      <c r="BD38">
        <f>IF(AND(E38=1,BB38&gt;=0,BB37&lt;0,MIN($BB$2:BB38)&lt;0),1,0)</f>
        <v>0</v>
      </c>
      <c r="BE38">
        <f t="shared" si="34"/>
        <v>0</v>
      </c>
      <c r="BF38">
        <f t="shared" si="35"/>
        <v>0</v>
      </c>
      <c r="BG38">
        <f t="shared" si="36"/>
        <v>0</v>
      </c>
      <c r="BH38">
        <f t="shared" si="37"/>
        <v>1</v>
      </c>
      <c r="BI38">
        <f>AZ38+N38+AP38-AR38*N('Исходные данные'!$B$50)</f>
        <v>0</v>
      </c>
      <c r="BJ38">
        <f t="shared" si="20"/>
        <v>0</v>
      </c>
      <c r="BK38">
        <f>IF(AND(BJ38&gt;=0,BJ37&lt;0,MIN($BJ$2:BJ38)&lt;0),1,0)</f>
        <v>0</v>
      </c>
    </row>
    <row r="39" spans="1:63" x14ac:dyDescent="0.2">
      <c r="A39">
        <v>38</v>
      </c>
      <c r="B39" t="str">
        <f>IF('Исходные данные'!$B$9="","",EDATE(DATE(YEAR('Исходные данные'!$B$9),MONTH('Исходные данные'!$B$9),1),A39-1))</f>
        <v/>
      </c>
      <c r="C39" t="str">
        <f t="shared" si="21"/>
        <v/>
      </c>
      <c r="D39" t="str">
        <f>IF(B39="","",IF('Исходные данные'!$B$91&lt;&gt;"",IF(AND(YEAR(B39)=YEAR('Исходные данные'!$B$91),MONTH(B39)=MONTH('Исходные данные'!$B$91)),'Исходные данные'!$B$91,IF('Исходные данные'!$B$13&lt;&gt;"",IF(AND(YEAR(B39)=YEAR('Исходные данные'!$B$13),MONTH(B39)=MONTH('Исходные данные'!$B$13)),'Исходные данные'!$B$13,IF('Исходные данные'!$B$26&lt;&gt;"",IF(AND(YEAR(B39)=YEAR('Исходные данные'!$B$26),MONTH(B39)=MONTH('Исходные данные'!$B$26)),'Исходные данные'!$B$26,IF(A39=1,'Исходные данные'!$B$9,C39)),IF(A39=1,'Исходные данные'!$B$9,C39))),IF('Исходные данные'!$B$26&lt;&gt;"",IF(AND(YEAR(B39)=YEAR('Исходные данные'!$B$26),MONTH(B39)=MONTH('Исходные данные'!$B$26)),'Исходные данные'!$B$26,IF(A39=1,'Исходные данные'!$B$9,C39)),IF(A39=1,'Исходные данные'!$B$9,C39)))),IF('Исходные данные'!$B$13&lt;&gt;"",IF(AND(YEAR(B39)=YEAR('Исходные данные'!$B$13),MONTH(B39)=MONTH('Исходные данные'!$B$13)),'Исходные данные'!$B$13,IF('Исходные данные'!$B$26&lt;&gt;"",IF(AND(YEAR(B39)=YEAR('Исходные данные'!$B$26),MONTH(B39)=MONTH('Исходные данные'!$B$26)),'Исходные данные'!$B$26,IF(A39=1,'Исходные данные'!$B$9,C39)),IF(A39=1,'Исходные данные'!$B$9,C39))),IF('Исходные данные'!$B$26&lt;&gt;"",IF(AND(YEAR(B39)=YEAR('Исходные данные'!$B$26),MONTH(B39)=MONTH('Исходные данные'!$B$26)),'Исходные данные'!$B$26,IF(A39=1,'Исходные данные'!$B$9,C39)),IF(A39=1,'Исходные данные'!$B$9,C39)))))</f>
        <v/>
      </c>
      <c r="E39">
        <f>IF(OR(B39="",'Исходные данные'!$B$91=""),0,--(B39&lt;=DATE(YEAR('Исходные данные'!$B$91),MONTH('Исходные данные'!$B$91),1)))</f>
        <v>0</v>
      </c>
      <c r="F39">
        <f>IF(OR(B39="",'Исходные данные'!$B$30="",C39&lt;'Исходные данные'!$B$30),0,DATEDIF(DATE(YEAR('Исходные данные'!$B$30),MONTH('Исходные данные'!$B$30),1),B39,"m")+1)</f>
        <v>0</v>
      </c>
      <c r="G39">
        <f t="shared" si="22"/>
        <v>0</v>
      </c>
      <c r="H39">
        <f>IF(F39=0,0,IF(G39=1,N('Исходные данные'!$B$31),IF(G39=2,N('Исходные данные'!$B$32),IF(G39=3,N('Исходные данные'!$B$33),N('Исходные данные'!$B$33)*(1+N('Исходные данные'!$B$34))^(G39-3)))))</f>
        <v>0</v>
      </c>
      <c r="I39">
        <f>IF(OR(F39=0,N('Исходные данные'!$B$5)=0,H39=0),0,'Исходные данные'!$B$5*H39*IF(AND(B39&lt;='Исходные данные'!$B$30,C39&gt;='Исходные данные'!$B$30),(C39-'Исходные данные'!$B$30+1)/DAY(C39),1))</f>
        <v>0</v>
      </c>
      <c r="J39">
        <f>IF(AND(F39&gt;0,F39&lt;=N('Исходные данные'!$B$37)),-I39,0)</f>
        <v>0</v>
      </c>
      <c r="K39">
        <f>IF(OR(F39=0,F39&lt;=N('Исходные данные'!$B$37)),0,-(I39+J39)*N('Исходные данные'!$B$38))</f>
        <v>0</v>
      </c>
      <c r="L39">
        <f t="shared" si="23"/>
        <v>0</v>
      </c>
      <c r="M39">
        <f>IF('Исходные данные'!$B$51="Да",L39*N('Исходные данные'!$B$52),0)</f>
        <v>0</v>
      </c>
      <c r="N39">
        <f t="shared" si="24"/>
        <v>0</v>
      </c>
      <c r="O39">
        <f>IF(OR(B39="",IF('Исходные данные'!$B$45="",'Исходные данные'!$B$10,'Исходные данные'!$B$45)="",C39&lt;IF('Исходные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данные'!$B$45)),1),B39,"m")/12))*IF(AND(B39&lt;=IF('Исходные данные'!$B$45="",'Исходные данные'!$B$10,'Исходные данные'!$B$45),C39&gt;=IF('Исходные данные'!$B$45="",'Исходные данные'!$B$10,'Исходные данные'!$B$45)),(C39-IF('Исходные данные'!$B$45="",'Исходные данные'!$B$10,'Исходные данные'!$B$45)+1)/DAY(C39),1)*IF('Исходные данные'!$B$43="Без НДС",1+N('Исходные данные'!$B$44),1))</f>
        <v>0</v>
      </c>
      <c r="P39">
        <f>IF('Исходные данные'!$B$51="Да",-O39*N('Исходные данные'!$B$44)/(1+N('Исходные данные'!$B$44)),0)</f>
        <v>0</v>
      </c>
      <c r="Q39">
        <f>IF('Исходные данные'!$B$35="Да",-O39,0)</f>
        <v>0</v>
      </c>
      <c r="R39">
        <f>IF(AND('Исходные данные'!$B$51="Да",Q39&gt;0),Q39*N('Исходные данные'!$B$52)/(1+N('Исходные данные'!$B$52)),0)</f>
        <v>0</v>
      </c>
      <c r="S39">
        <f>IF(OR(B39="",IF('Исходные данные'!$B$45="",'Исходные данные'!$B$10,'Исходные данные'!$B$45)="",C39&lt;IF('Исходные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данные'!$B$45)),1),B39,"m")/12))*IF(AND(B39&lt;=IF('Исходные данные'!$B$45="",'Исходные данные'!$B$10,'Исходные данные'!$B$45),C39&gt;=IF('Исходные данные'!$B$45="",'Исходные данные'!$B$10,'Исходные данные'!$B$45)),(C39-IF('Исходные данные'!$B$45="",'Исходные данные'!$B$10,'Исходные данные'!$B$45)+1)/DAY(C39),1)*IF('Исходные данные'!$B$43="Без НДС",1+N('Исходные данные'!$B$44),1))</f>
        <v>0</v>
      </c>
      <c r="T39">
        <f>IF('Исходные данные'!$B$51="Да",-S39*N('Исходные данные'!$B$44)/(1+N('Исходные данные'!$B$44)),0)</f>
        <v>0</v>
      </c>
      <c r="U39">
        <f>IF('Исходные данные'!$B$36="Да",-S39,0)</f>
        <v>0</v>
      </c>
      <c r="V39">
        <f>IF(AND('Исходные данные'!$B$51="Да",U39&gt;0),U39*N('Исходные данные'!$B$52)/(1+N('Исходные данные'!$B$52)),0)</f>
        <v>0</v>
      </c>
      <c r="W39">
        <f>IF(OR(B39="",IF('Исходные данные'!$B$69="",'Исходные данные'!$B$10,'Исходные данные'!$B$69)="",C39&lt;IF('Исходные данные'!$B$69="",'Исходные данные'!$B$10,'Исходные данные'!$B$69)),0,-N('Исходные данные'!$B$16)*N('Исходные данные'!$B$68)*N('Исходные данные'!$B$67)/12*IF(AND(B39&lt;=IF('Исходные данные'!$B$69="",'Исходные данные'!$B$10,'Исходные данные'!$B$69),C39&gt;=IF('Исходные данные'!$B$69="",'Исходные данные'!$B$10,'Исходные данные'!$B$69)),(C39-IF('Исходные данные'!$B$69="",'Исходные данные'!$B$10,'Исходные данные'!$B$69)+1)/DAY(C39),1))</f>
        <v>0</v>
      </c>
      <c r="X39">
        <f>IF(OR(B39="",IF('Исходные данные'!$B$76="",'Исходные данные'!$B$10,'Исходные данные'!$B$76)="",C39&lt;IF('Исходные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данные'!$B$76)),1),B39,"m")/12))*IF(AND(B39&lt;=IF('Исходные данные'!$B$76="",'Исходные данные'!$B$10,'Исходные данные'!$B$76),C39&gt;=IF('Исходные данные'!$B$76="",'Исходные данные'!$B$10,'Исходные данные'!$B$76)),(C39-IF('Исходные данные'!$B$76="",'Исходные данные'!$B$10,'Исходные данные'!$B$76)+1)/DAY(C39),1))</f>
        <v>0</v>
      </c>
      <c r="Y39">
        <f t="shared" si="25"/>
        <v>0</v>
      </c>
      <c r="Z39">
        <f>IF(OR(B39="",N('Исходные данные'!$B$19)=0),0,-SUMIFS('Исходные данные'!$I$6:$I$186,'Исходные данные'!$F$6:$F$186,B39)*N('Исходные данные'!$B$17)/N('Исходные данные'!$B$19))</f>
        <v>0</v>
      </c>
      <c r="AA39">
        <f>IF(OR(B39="",N('Исходные данные'!$B$19)=0),0,-SUMIFS('Исходные данные'!$I$6:$I$186,'Исходные данные'!$F$6:$F$186,B39)*N('Исходные данные'!$B$18)/N('Исходные данные'!$B$19))</f>
        <v>0</v>
      </c>
      <c r="AB39">
        <f>IF(OR(B39="",'Исходные данные'!$B$13=""),0,IF(AND(YEAR(B39)=YEAR('Исходные данные'!$B$13),MONTH(B39)=MONTH('Исходные данные'!$B$13)),-N('Исходные данные'!$B$11),0))</f>
        <v>0</v>
      </c>
      <c r="AC39">
        <f>IF(A39=1,-N('Исходные данные'!$B$19)*N('Исходные данные'!$B$72),0)</f>
        <v>0</v>
      </c>
      <c r="AD39">
        <f>IF(OR(B39="",'Исходные данные'!$B$22&lt;&gt;"Да",'Исходные данные'!$B$26=""),0,IF(AND(YEAR(B39)=YEAR('Исходные данные'!$B$26),MONTH(B39)=MONTH('Исходные данные'!$B$26)),N('Исходные данные'!$B$23),0))</f>
        <v>0</v>
      </c>
      <c r="AE39">
        <f t="shared" si="38"/>
        <v>0</v>
      </c>
      <c r="AF39">
        <f>IF(OR('Исходные данные'!$B$22&lt;&gt;"Да",'Исходные данные'!$B$26="",C39&lt;'Исходные данные'!$B$26),0,DATEDIF(DATE(YEAR('Исходные данные'!$B$26),MONTH('Исходные данные'!$B$26),1),B39,"m")+1)</f>
        <v>0</v>
      </c>
      <c r="AG39">
        <f>IF(OR(AF39&lt;1,AF39&gt;N('Исходные данные'!$B$25),AE39+AD39&lt;=0),0,-(AE39+AD39)*N('Исходные данные'!$B$24)*IF(AF39=1,C39-'Исходные данные'!$B$26+1,DAY(C39))/365)</f>
        <v>0</v>
      </c>
      <c r="AH39">
        <f>IF(OR(AF39&lt;1,AF39&gt;N('Исходные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данные'!$B$25)-AG39))</f>
        <v>0</v>
      </c>
      <c r="AI39">
        <f>IF(OR('Исходные данные'!$B$22&lt;&gt;"Да",AE39+AD39&lt;=0),0,IF(AND('Исходные данные'!$B$91&lt;&gt;"",B39&lt;&gt;"",YEAR(B39)=YEAR('Исходные данные'!$B$91),MONTH(B39)=MONTH('Исходные данные'!$B$91)),-(AE39+AD39),IF(OR(AF39&lt;1,AF39&gt;N('Исходные данные'!$B$25)),0,IF('Исходные данные'!$B$27="Равными долями",-MIN(AE39+AD39,N('Исходные данные'!$B$23)/N('Исходные данные'!$B$25)),-MIN(AE39+AD39,IF(AF39=N('Исходные данные'!$B$25),AE39+AD39,MAX(0,AH39+AG39)))))))</f>
        <v>0</v>
      </c>
      <c r="AJ39">
        <f t="shared" si="26"/>
        <v>0</v>
      </c>
      <c r="AK39">
        <f t="shared" si="27"/>
        <v>0</v>
      </c>
      <c r="AL39">
        <f>IF(OR(B39="",'Исходные данные'!$B$51&lt;&gt;"Да",'Исходные данные'!$B$61=""),0,IF(AND(YEAR(B39)=YEAR('Исходные данные'!$B$61),MONTH(B39)=MONTH('Исходные данные'!$B$61)),N('Исходные данные'!$B$18)*N('Исходные данные'!$B$62),0))</f>
        <v>0</v>
      </c>
      <c r="AM39">
        <f t="shared" si="39"/>
        <v>0</v>
      </c>
      <c r="AN39">
        <f t="shared" si="28"/>
        <v>0</v>
      </c>
      <c r="AO39">
        <f t="shared" si="29"/>
        <v>0</v>
      </c>
      <c r="AP39">
        <f>IF('Исходные данные'!$B$51="Да",-MAX(0,AN39-AO39-AM39),0)</f>
        <v>0</v>
      </c>
      <c r="AQ39">
        <f>IF('Исходные данные'!$B$51="Да",MAX(0,AM39+AO39-AN39),0)</f>
        <v>0</v>
      </c>
      <c r="AR39">
        <f>IF('Исходные данные'!$B$53="Выручка",MAX(0,L39+(Q39-R39)+(U39-V39)),IF('Исходные данные'!$B$53="Прибыль до налога",MAX(0,L39+(Q39-R39)+(U39-V39)+N('Исходные данные'!$B$54)*((O39+P39)+(S39+T39)+W39+X39)+IF('Исходные данные'!$B$55="Да",AG39,0)-N('Исходные данные'!$B$56)/12),IF('Исходные данные'!$B$53="Пользовательская база",MAX(0,N('Исходные данные'!$B$57)/12),0)))</f>
        <v>0</v>
      </c>
      <c r="AS39">
        <f>IF(E39=1,-AR39*N('Исходные данные'!$B$50),0)</f>
        <v>0</v>
      </c>
      <c r="AT39">
        <f t="shared" si="30"/>
        <v>0</v>
      </c>
      <c r="AU39">
        <f>IF(OR(B39="",N('Исходные данные'!$B$80)&lt;=0,'Исходные данные'!$B$88=""),0,MAX(0,IF('Исходные данные'!$B$88="Последние 12 месяцев",SUMIFS($Y$2:$Y$194,$B$2:$B$194,"&gt;="&amp;EDATE(B39,-11),$B$2:$B$194,"&lt;="&amp;B39),IF('Исходные данные'!$B$88="Пользовательский NOI",N('Исходные данные'!$B$89),AT39))/N('Исходные данные'!$B$80)*(1+N('Исходные данные'!$B$81))))</f>
        <v>0</v>
      </c>
      <c r="AV39">
        <f>IF(OR(E39&lt;&gt;1,B39="",'Исходные данные'!$B$91=""),0,IF(AND(YEAR(B39)=YEAR('Исходные данные'!$B$91),MONTH(B39)=MONTH('Исходные данные'!$B$91)),AU39,0))</f>
        <v>0</v>
      </c>
      <c r="AW39">
        <f>-AV39*N('Исходные данные'!$B$73)</f>
        <v>0</v>
      </c>
      <c r="AX39">
        <f>IF(AV39=0,0,-N('Исходные данные'!$B$87)-IF('Исходные данные'!$B$82="Да",IF('Исходные данные'!$B$84="С выручки",AV39,IF('Исходные данные'!$B$84="С прибыли",MAX(0,AV39+AW39-IF('Исходные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9">
        <f t="shared" si="31"/>
        <v>0</v>
      </c>
      <c r="AZ39">
        <f t="shared" si="32"/>
        <v>0</v>
      </c>
      <c r="BA39">
        <f t="shared" si="33"/>
        <v>0</v>
      </c>
      <c r="BB39" t="str">
        <f t="shared" si="40"/>
        <v/>
      </c>
      <c r="BC39">
        <f>IF(OR(E39=0,'Исходные данные'!$B$9="",'Исходные данные'!$B$90=""),0,BA39/(1+'Исходные данные'!$B$90)^((D39-'Исходные данные'!$B$9)/365))</f>
        <v>0</v>
      </c>
      <c r="BD39">
        <f>IF(AND(E39=1,BB39&gt;=0,BB38&lt;0,MIN($BB$2:BB39)&lt;0),1,0)</f>
        <v>0</v>
      </c>
      <c r="BE39">
        <f t="shared" si="34"/>
        <v>0</v>
      </c>
      <c r="BF39">
        <f t="shared" si="35"/>
        <v>0</v>
      </c>
      <c r="BG39">
        <f t="shared" si="36"/>
        <v>0</v>
      </c>
      <c r="BH39">
        <f t="shared" si="37"/>
        <v>1</v>
      </c>
      <c r="BI39">
        <f>AZ39+N39+AP39-AR39*N('Исходные данные'!$B$50)</f>
        <v>0</v>
      </c>
      <c r="BJ39">
        <f t="shared" si="20"/>
        <v>0</v>
      </c>
      <c r="BK39">
        <f>IF(AND(BJ39&gt;=0,BJ38&lt;0,MIN($BJ$2:BJ39)&lt;0),1,0)</f>
        <v>0</v>
      </c>
    </row>
    <row r="40" spans="1:63" x14ac:dyDescent="0.2">
      <c r="A40">
        <v>39</v>
      </c>
      <c r="B40" t="str">
        <f>IF('Исходные данные'!$B$9="","",EDATE(DATE(YEAR('Исходные данные'!$B$9),MONTH('Исходные данные'!$B$9),1),A40-1))</f>
        <v/>
      </c>
      <c r="C40" t="str">
        <f t="shared" si="21"/>
        <v/>
      </c>
      <c r="D40" t="str">
        <f>IF(B40="","",IF('Исходные данные'!$B$91&lt;&gt;"",IF(AND(YEAR(B40)=YEAR('Исходные данные'!$B$91),MONTH(B40)=MONTH('Исходные данные'!$B$91)),'Исходные данные'!$B$91,IF('Исходные данные'!$B$13&lt;&gt;"",IF(AND(YEAR(B40)=YEAR('Исходные данные'!$B$13),MONTH(B40)=MONTH('Исходные данные'!$B$13)),'Исходные данные'!$B$13,IF('Исходные данные'!$B$26&lt;&gt;"",IF(AND(YEAR(B40)=YEAR('Исходные данные'!$B$26),MONTH(B40)=MONTH('Исходные данные'!$B$26)),'Исходные данные'!$B$26,IF(A40=1,'Исходные данные'!$B$9,C40)),IF(A40=1,'Исходные данные'!$B$9,C40))),IF('Исходные данные'!$B$26&lt;&gt;"",IF(AND(YEAR(B40)=YEAR('Исходные данные'!$B$26),MONTH(B40)=MONTH('Исходные данные'!$B$26)),'Исходные данные'!$B$26,IF(A40=1,'Исходные данные'!$B$9,C40)),IF(A40=1,'Исходные данные'!$B$9,C40)))),IF('Исходные данные'!$B$13&lt;&gt;"",IF(AND(YEAR(B40)=YEAR('Исходные данные'!$B$13),MONTH(B40)=MONTH('Исходные данные'!$B$13)),'Исходные данные'!$B$13,IF('Исходные данные'!$B$26&lt;&gt;"",IF(AND(YEAR(B40)=YEAR('Исходные данные'!$B$26),MONTH(B40)=MONTH('Исходные данные'!$B$26)),'Исходные данные'!$B$26,IF(A40=1,'Исходные данные'!$B$9,C40)),IF(A40=1,'Исходные данные'!$B$9,C40))),IF('Исходные данные'!$B$26&lt;&gt;"",IF(AND(YEAR(B40)=YEAR('Исходные данные'!$B$26),MONTH(B40)=MONTH('Исходные данные'!$B$26)),'Исходные данные'!$B$26,IF(A40=1,'Исходные данные'!$B$9,C40)),IF(A40=1,'Исходные данные'!$B$9,C40)))))</f>
        <v/>
      </c>
      <c r="E40">
        <f>IF(OR(B40="",'Исходные данные'!$B$91=""),0,--(B40&lt;=DATE(YEAR('Исходные данные'!$B$91),MONTH('Исходные данные'!$B$91),1)))</f>
        <v>0</v>
      </c>
      <c r="F40">
        <f>IF(OR(B40="",'Исходные данные'!$B$30="",C40&lt;'Исходные данные'!$B$30),0,DATEDIF(DATE(YEAR('Исходные данные'!$B$30),MONTH('Исходные данные'!$B$30),1),B40,"m")+1)</f>
        <v>0</v>
      </c>
      <c r="G40">
        <f t="shared" si="22"/>
        <v>0</v>
      </c>
      <c r="H40">
        <f>IF(F40=0,0,IF(G40=1,N('Исходные данные'!$B$31),IF(G40=2,N('Исходные данные'!$B$32),IF(G40=3,N('Исходные данные'!$B$33),N('Исходные данные'!$B$33)*(1+N('Исходные данные'!$B$34))^(G40-3)))))</f>
        <v>0</v>
      </c>
      <c r="I40">
        <f>IF(OR(F40=0,N('Исходные данные'!$B$5)=0,H40=0),0,'Исходные данные'!$B$5*H40*IF(AND(B40&lt;='Исходные данные'!$B$30,C40&gt;='Исходные данные'!$B$30),(C40-'Исходные данные'!$B$30+1)/DAY(C40),1))</f>
        <v>0</v>
      </c>
      <c r="J40">
        <f>IF(AND(F40&gt;0,F40&lt;=N('Исходные данные'!$B$37)),-I40,0)</f>
        <v>0</v>
      </c>
      <c r="K40">
        <f>IF(OR(F40=0,F40&lt;=N('Исходные данные'!$B$37)),0,-(I40+J40)*N('Исходные данные'!$B$38))</f>
        <v>0</v>
      </c>
      <c r="L40">
        <f t="shared" si="23"/>
        <v>0</v>
      </c>
      <c r="M40">
        <f>IF('Исходные данные'!$B$51="Да",L40*N('Исходные данные'!$B$52),0)</f>
        <v>0</v>
      </c>
      <c r="N40">
        <f t="shared" si="24"/>
        <v>0</v>
      </c>
      <c r="O40">
        <f>IF(OR(B40="",IF('Исходные данные'!$B$45="",'Исходные данные'!$B$10,'Исходные данные'!$B$45)="",C40&lt;IF('Исходные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данные'!$B$45)),1),B40,"m")/12))*IF(AND(B40&lt;=IF('Исходные данные'!$B$45="",'Исходные данные'!$B$10,'Исходные данные'!$B$45),C40&gt;=IF('Исходные данные'!$B$45="",'Исходные данные'!$B$10,'Исходные данные'!$B$45)),(C40-IF('Исходные данные'!$B$45="",'Исходные данные'!$B$10,'Исходные данные'!$B$45)+1)/DAY(C40),1)*IF('Исходные данные'!$B$43="Без НДС",1+N('Исходные данные'!$B$44),1))</f>
        <v>0</v>
      </c>
      <c r="P40">
        <f>IF('Исходные данные'!$B$51="Да",-O40*N('Исходные данные'!$B$44)/(1+N('Исходные данные'!$B$44)),0)</f>
        <v>0</v>
      </c>
      <c r="Q40">
        <f>IF('Исходные данные'!$B$35="Да",-O40,0)</f>
        <v>0</v>
      </c>
      <c r="R40">
        <f>IF(AND('Исходные данные'!$B$51="Да",Q40&gt;0),Q40*N('Исходные данные'!$B$52)/(1+N('Исходные данные'!$B$52)),0)</f>
        <v>0</v>
      </c>
      <c r="S40">
        <f>IF(OR(B40="",IF('Исходные данные'!$B$45="",'Исходные данные'!$B$10,'Исходные данные'!$B$45)="",C40&lt;IF('Исходные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данные'!$B$45)),1),B40,"m")/12))*IF(AND(B40&lt;=IF('Исходные данные'!$B$45="",'Исходные данные'!$B$10,'Исходные данные'!$B$45),C40&gt;=IF('Исходные данные'!$B$45="",'Исходные данные'!$B$10,'Исходные данные'!$B$45)),(C40-IF('Исходные данные'!$B$45="",'Исходные данные'!$B$10,'Исходные данные'!$B$45)+1)/DAY(C40),1)*IF('Исходные данные'!$B$43="Без НДС",1+N('Исходные данные'!$B$44),1))</f>
        <v>0</v>
      </c>
      <c r="T40">
        <f>IF('Исходные данные'!$B$51="Да",-S40*N('Исходные данные'!$B$44)/(1+N('Исходные данные'!$B$44)),0)</f>
        <v>0</v>
      </c>
      <c r="U40">
        <f>IF('Исходные данные'!$B$36="Да",-S40,0)</f>
        <v>0</v>
      </c>
      <c r="V40">
        <f>IF(AND('Исходные данные'!$B$51="Да",U40&gt;0),U40*N('Исходные данные'!$B$52)/(1+N('Исходные данные'!$B$52)),0)</f>
        <v>0</v>
      </c>
      <c r="W40">
        <f>IF(OR(B40="",IF('Исходные данные'!$B$69="",'Исходные данные'!$B$10,'Исходные данные'!$B$69)="",C40&lt;IF('Исходные данные'!$B$69="",'Исходные данные'!$B$10,'Исходные данные'!$B$69)),0,-N('Исходные данные'!$B$16)*N('Исходные данные'!$B$68)*N('Исходные данные'!$B$67)/12*IF(AND(B40&lt;=IF('Исходные данные'!$B$69="",'Исходные данные'!$B$10,'Исходные данные'!$B$69),C40&gt;=IF('Исходные данные'!$B$69="",'Исходные данные'!$B$10,'Исходные данные'!$B$69)),(C40-IF('Исходные данные'!$B$69="",'Исходные данные'!$B$10,'Исходные данные'!$B$69)+1)/DAY(C40),1))</f>
        <v>0</v>
      </c>
      <c r="X40">
        <f>IF(OR(B40="",IF('Исходные данные'!$B$76="",'Исходные данные'!$B$10,'Исходные данные'!$B$76)="",C40&lt;IF('Исходные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данные'!$B$76)),1),B40,"m")/12))*IF(AND(B40&lt;=IF('Исходные данные'!$B$76="",'Исходные данные'!$B$10,'Исходные данные'!$B$76),C40&gt;=IF('Исходные данные'!$B$76="",'Исходные данные'!$B$10,'Исходные данные'!$B$76)),(C40-IF('Исходные данные'!$B$76="",'Исходные данные'!$B$10,'Исходные данные'!$B$76)+1)/DAY(C40),1))</f>
        <v>0</v>
      </c>
      <c r="Y40">
        <f t="shared" si="25"/>
        <v>0</v>
      </c>
      <c r="Z40">
        <f>IF(OR(B40="",N('Исходные данные'!$B$19)=0),0,-SUMIFS('Исходные данные'!$I$6:$I$186,'Исходные данные'!$F$6:$F$186,B40)*N('Исходные данные'!$B$17)/N('Исходные данные'!$B$19))</f>
        <v>0</v>
      </c>
      <c r="AA40">
        <f>IF(OR(B40="",N('Исходные данные'!$B$19)=0),0,-SUMIFS('Исходные данные'!$I$6:$I$186,'Исходные данные'!$F$6:$F$186,B40)*N('Исходные данные'!$B$18)/N('Исходные данные'!$B$19))</f>
        <v>0</v>
      </c>
      <c r="AB40">
        <f>IF(OR(B40="",'Исходные данные'!$B$13=""),0,IF(AND(YEAR(B40)=YEAR('Исходные данные'!$B$13),MONTH(B40)=MONTH('Исходные данные'!$B$13)),-N('Исходные данные'!$B$11),0))</f>
        <v>0</v>
      </c>
      <c r="AC40">
        <f>IF(A40=1,-N('Исходные данные'!$B$19)*N('Исходные данные'!$B$72),0)</f>
        <v>0</v>
      </c>
      <c r="AD40">
        <f>IF(OR(B40="",'Исходные данные'!$B$22&lt;&gt;"Да",'Исходные данные'!$B$26=""),0,IF(AND(YEAR(B40)=YEAR('Исходные данные'!$B$26),MONTH(B40)=MONTH('Исходные данные'!$B$26)),N('Исходные данные'!$B$23),0))</f>
        <v>0</v>
      </c>
      <c r="AE40">
        <f t="shared" si="38"/>
        <v>0</v>
      </c>
      <c r="AF40">
        <f>IF(OR('Исходные данные'!$B$22&lt;&gt;"Да",'Исходные данные'!$B$26="",C40&lt;'Исходные данные'!$B$26),0,DATEDIF(DATE(YEAR('Исходные данные'!$B$26),MONTH('Исходные данные'!$B$26),1),B40,"m")+1)</f>
        <v>0</v>
      </c>
      <c r="AG40">
        <f>IF(OR(AF40&lt;1,AF40&gt;N('Исходные данные'!$B$25),AE40+AD40&lt;=0),0,-(AE40+AD40)*N('Исходные данные'!$B$24)*IF(AF40=1,C40-'Исходные данные'!$B$26+1,DAY(C40))/365)</f>
        <v>0</v>
      </c>
      <c r="AH40">
        <f>IF(OR(AF40&lt;1,AF40&gt;N('Исходные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данные'!$B$25)-AG40))</f>
        <v>0</v>
      </c>
      <c r="AI40">
        <f>IF(OR('Исходные данные'!$B$22&lt;&gt;"Да",AE40+AD40&lt;=0),0,IF(AND('Исходные данные'!$B$91&lt;&gt;"",B40&lt;&gt;"",YEAR(B40)=YEAR('Исходные данные'!$B$91),MONTH(B40)=MONTH('Исходные данные'!$B$91)),-(AE40+AD40),IF(OR(AF40&lt;1,AF40&gt;N('Исходные данные'!$B$25)),0,IF('Исходные данные'!$B$27="Равными долями",-MIN(AE40+AD40,N('Исходные данные'!$B$23)/N('Исходные данные'!$B$25)),-MIN(AE40+AD40,IF(AF40=N('Исходные данные'!$B$25),AE40+AD40,MAX(0,AH40+AG40)))))))</f>
        <v>0</v>
      </c>
      <c r="AJ40">
        <f t="shared" si="26"/>
        <v>0</v>
      </c>
      <c r="AK40">
        <f t="shared" si="27"/>
        <v>0</v>
      </c>
      <c r="AL40">
        <f>IF(OR(B40="",'Исходные данные'!$B$51&lt;&gt;"Да",'Исходные данные'!$B$61=""),0,IF(AND(YEAR(B40)=YEAR('Исходные данные'!$B$61),MONTH(B40)=MONTH('Исходные данные'!$B$61)),N('Исходные данные'!$B$18)*N('Исходные данные'!$B$62),0))</f>
        <v>0</v>
      </c>
      <c r="AM40">
        <f t="shared" si="39"/>
        <v>0</v>
      </c>
      <c r="AN40">
        <f t="shared" si="28"/>
        <v>0</v>
      </c>
      <c r="AO40">
        <f t="shared" si="29"/>
        <v>0</v>
      </c>
      <c r="AP40">
        <f>IF('Исходные данные'!$B$51="Да",-MAX(0,AN40-AO40-AM40),0)</f>
        <v>0</v>
      </c>
      <c r="AQ40">
        <f>IF('Исходные данные'!$B$51="Да",MAX(0,AM40+AO40-AN40),0)</f>
        <v>0</v>
      </c>
      <c r="AR40">
        <f>IF('Исходные данные'!$B$53="Выручка",MAX(0,L40+(Q40-R40)+(U40-V40)),IF('Исходные данные'!$B$53="Прибыль до налога",MAX(0,L40+(Q40-R40)+(U40-V40)+N('Исходные данные'!$B$54)*((O40+P40)+(S40+T40)+W40+X40)+IF('Исходные данные'!$B$55="Да",AG40,0)-N('Исходные данные'!$B$56)/12),IF('Исходные данные'!$B$53="Пользовательская база",MAX(0,N('Исходные данные'!$B$57)/12),0)))</f>
        <v>0</v>
      </c>
      <c r="AS40">
        <f>IF(E40=1,-AR40*N('Исходные данные'!$B$50),0)</f>
        <v>0</v>
      </c>
      <c r="AT40">
        <f t="shared" si="30"/>
        <v>0</v>
      </c>
      <c r="AU40">
        <f>IF(OR(B40="",N('Исходные данные'!$B$80)&lt;=0,'Исходные данные'!$B$88=""),0,MAX(0,IF('Исходные данные'!$B$88="Последние 12 месяцев",SUMIFS($Y$2:$Y$194,$B$2:$B$194,"&gt;="&amp;EDATE(B40,-11),$B$2:$B$194,"&lt;="&amp;B40),IF('Исходные данные'!$B$88="Пользовательский NOI",N('Исходные данные'!$B$89),AT40))/N('Исходные данные'!$B$80)*(1+N('Исходные данные'!$B$81))))</f>
        <v>0</v>
      </c>
      <c r="AV40">
        <f>IF(OR(E40&lt;&gt;1,B40="",'Исходные данные'!$B$91=""),0,IF(AND(YEAR(B40)=YEAR('Исходные данные'!$B$91),MONTH(B40)=MONTH('Исходные данные'!$B$91)),AU40,0))</f>
        <v>0</v>
      </c>
      <c r="AW40">
        <f>-AV40*N('Исходные данные'!$B$73)</f>
        <v>0</v>
      </c>
      <c r="AX40">
        <f>IF(AV40=0,0,-N('Исходные данные'!$B$87)-IF('Исходные данные'!$B$82="Да",IF('Исходные данные'!$B$84="С выручки",AV40,IF('Исходные данные'!$B$84="С прибыли",MAX(0,AV40+AW40-IF('Исходные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40">
        <f t="shared" si="31"/>
        <v>0</v>
      </c>
      <c r="AZ40">
        <f t="shared" si="32"/>
        <v>0</v>
      </c>
      <c r="BA40">
        <f t="shared" si="33"/>
        <v>0</v>
      </c>
      <c r="BB40" t="str">
        <f t="shared" si="40"/>
        <v/>
      </c>
      <c r="BC40">
        <f>IF(OR(E40=0,'Исходные данные'!$B$9="",'Исходные данные'!$B$90=""),0,BA40/(1+'Исходные данные'!$B$90)^((D40-'Исходные данные'!$B$9)/365))</f>
        <v>0</v>
      </c>
      <c r="BD40">
        <f>IF(AND(E40=1,BB40&gt;=0,BB39&lt;0,MIN($BB$2:BB40)&lt;0),1,0)</f>
        <v>0</v>
      </c>
      <c r="BE40">
        <f t="shared" si="34"/>
        <v>0</v>
      </c>
      <c r="BF40">
        <f t="shared" si="35"/>
        <v>0</v>
      </c>
      <c r="BG40">
        <f t="shared" si="36"/>
        <v>0</v>
      </c>
      <c r="BH40">
        <f t="shared" si="37"/>
        <v>1</v>
      </c>
      <c r="BI40">
        <f>AZ40+N40+AP40-AR40*N('Исходные данные'!$B$50)</f>
        <v>0</v>
      </c>
      <c r="BJ40">
        <f t="shared" si="20"/>
        <v>0</v>
      </c>
      <c r="BK40">
        <f>IF(AND(BJ40&gt;=0,BJ39&lt;0,MIN($BJ$2:BJ40)&lt;0),1,0)</f>
        <v>0</v>
      </c>
    </row>
    <row r="41" spans="1:63" x14ac:dyDescent="0.2">
      <c r="A41">
        <v>40</v>
      </c>
      <c r="B41" t="str">
        <f>IF('Исходные данные'!$B$9="","",EDATE(DATE(YEAR('Исходные данные'!$B$9),MONTH('Исходные данные'!$B$9),1),A41-1))</f>
        <v/>
      </c>
      <c r="C41" t="str">
        <f t="shared" si="21"/>
        <v/>
      </c>
      <c r="D41" t="str">
        <f>IF(B41="","",IF('Исходные данные'!$B$91&lt;&gt;"",IF(AND(YEAR(B41)=YEAR('Исходные данные'!$B$91),MONTH(B41)=MONTH('Исходные данные'!$B$91)),'Исходные данные'!$B$91,IF('Исходные данные'!$B$13&lt;&gt;"",IF(AND(YEAR(B41)=YEAR('Исходные данные'!$B$13),MONTH(B41)=MONTH('Исходные данные'!$B$13)),'Исходные данные'!$B$13,IF('Исходные данные'!$B$26&lt;&gt;"",IF(AND(YEAR(B41)=YEAR('Исходные данные'!$B$26),MONTH(B41)=MONTH('Исходные данные'!$B$26)),'Исходные данные'!$B$26,IF(A41=1,'Исходные данные'!$B$9,C41)),IF(A41=1,'Исходные данные'!$B$9,C41))),IF('Исходные данные'!$B$26&lt;&gt;"",IF(AND(YEAR(B41)=YEAR('Исходные данные'!$B$26),MONTH(B41)=MONTH('Исходные данные'!$B$26)),'Исходные данные'!$B$26,IF(A41=1,'Исходные данные'!$B$9,C41)),IF(A41=1,'Исходные данные'!$B$9,C41)))),IF('Исходные данные'!$B$13&lt;&gt;"",IF(AND(YEAR(B41)=YEAR('Исходные данные'!$B$13),MONTH(B41)=MONTH('Исходные данные'!$B$13)),'Исходные данные'!$B$13,IF('Исходные данные'!$B$26&lt;&gt;"",IF(AND(YEAR(B41)=YEAR('Исходные данные'!$B$26),MONTH(B41)=MONTH('Исходные данные'!$B$26)),'Исходные данные'!$B$26,IF(A41=1,'Исходные данные'!$B$9,C41)),IF(A41=1,'Исходные данные'!$B$9,C41))),IF('Исходные данные'!$B$26&lt;&gt;"",IF(AND(YEAR(B41)=YEAR('Исходные данные'!$B$26),MONTH(B41)=MONTH('Исходные данные'!$B$26)),'Исходные данные'!$B$26,IF(A41=1,'Исходные данные'!$B$9,C41)),IF(A41=1,'Исходные данные'!$B$9,C41)))))</f>
        <v/>
      </c>
      <c r="E41">
        <f>IF(OR(B41="",'Исходные данные'!$B$91=""),0,--(B41&lt;=DATE(YEAR('Исходные данные'!$B$91),MONTH('Исходные данные'!$B$91),1)))</f>
        <v>0</v>
      </c>
      <c r="F41">
        <f>IF(OR(B41="",'Исходные данные'!$B$30="",C41&lt;'Исходные данные'!$B$30),0,DATEDIF(DATE(YEAR('Исходные данные'!$B$30),MONTH('Исходные данные'!$B$30),1),B41,"m")+1)</f>
        <v>0</v>
      </c>
      <c r="G41">
        <f t="shared" si="22"/>
        <v>0</v>
      </c>
      <c r="H41">
        <f>IF(F41=0,0,IF(G41=1,N('Исходные данные'!$B$31),IF(G41=2,N('Исходные данные'!$B$32),IF(G41=3,N('Исходные данные'!$B$33),N('Исходные данные'!$B$33)*(1+N('Исходные данные'!$B$34))^(G41-3)))))</f>
        <v>0</v>
      </c>
      <c r="I41">
        <f>IF(OR(F41=0,N('Исходные данные'!$B$5)=0,H41=0),0,'Исходные данные'!$B$5*H41*IF(AND(B41&lt;='Исходные данные'!$B$30,C41&gt;='Исходные данные'!$B$30),(C41-'Исходные данные'!$B$30+1)/DAY(C41),1))</f>
        <v>0</v>
      </c>
      <c r="J41">
        <f>IF(AND(F41&gt;0,F41&lt;=N('Исходные данные'!$B$37)),-I41,0)</f>
        <v>0</v>
      </c>
      <c r="K41">
        <f>IF(OR(F41=0,F41&lt;=N('Исходные данные'!$B$37)),0,-(I41+J41)*N('Исходные данные'!$B$38))</f>
        <v>0</v>
      </c>
      <c r="L41">
        <f t="shared" si="23"/>
        <v>0</v>
      </c>
      <c r="M41">
        <f>IF('Исходные данные'!$B$51="Да",L41*N('Исходные данные'!$B$52),0)</f>
        <v>0</v>
      </c>
      <c r="N41">
        <f t="shared" si="24"/>
        <v>0</v>
      </c>
      <c r="O41">
        <f>IF(OR(B41="",IF('Исходные данные'!$B$45="",'Исходные данные'!$B$10,'Исходные данные'!$B$45)="",C41&lt;IF('Исходные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данные'!$B$45)),1),B41,"m")/12))*IF(AND(B41&lt;=IF('Исходные данные'!$B$45="",'Исходные данные'!$B$10,'Исходные данные'!$B$45),C41&gt;=IF('Исходные данные'!$B$45="",'Исходные данные'!$B$10,'Исходные данные'!$B$45)),(C41-IF('Исходные данные'!$B$45="",'Исходные данные'!$B$10,'Исходные данные'!$B$45)+1)/DAY(C41),1)*IF('Исходные данные'!$B$43="Без НДС",1+N('Исходные данные'!$B$44),1))</f>
        <v>0</v>
      </c>
      <c r="P41">
        <f>IF('Исходные данные'!$B$51="Да",-O41*N('Исходные данные'!$B$44)/(1+N('Исходные данные'!$B$44)),0)</f>
        <v>0</v>
      </c>
      <c r="Q41">
        <f>IF('Исходные данные'!$B$35="Да",-O41,0)</f>
        <v>0</v>
      </c>
      <c r="R41">
        <f>IF(AND('Исходные данные'!$B$51="Да",Q41&gt;0),Q41*N('Исходные данные'!$B$52)/(1+N('Исходные данные'!$B$52)),0)</f>
        <v>0</v>
      </c>
      <c r="S41">
        <f>IF(OR(B41="",IF('Исходные данные'!$B$45="",'Исходные данные'!$B$10,'Исходные данные'!$B$45)="",C41&lt;IF('Исходные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данные'!$B$45)),1),B41,"m")/12))*IF(AND(B41&lt;=IF('Исходные данные'!$B$45="",'Исходные данные'!$B$10,'Исходные данные'!$B$45),C41&gt;=IF('Исходные данные'!$B$45="",'Исходные данные'!$B$10,'Исходные данные'!$B$45)),(C41-IF('Исходные данные'!$B$45="",'Исходные данные'!$B$10,'Исходные данные'!$B$45)+1)/DAY(C41),1)*IF('Исходные данные'!$B$43="Без НДС",1+N('Исходные данные'!$B$44),1))</f>
        <v>0</v>
      </c>
      <c r="T41">
        <f>IF('Исходные данные'!$B$51="Да",-S41*N('Исходные данные'!$B$44)/(1+N('Исходные данные'!$B$44)),0)</f>
        <v>0</v>
      </c>
      <c r="U41">
        <f>IF('Исходные данные'!$B$36="Да",-S41,0)</f>
        <v>0</v>
      </c>
      <c r="V41">
        <f>IF(AND('Исходные данные'!$B$51="Да",U41&gt;0),U41*N('Исходные данные'!$B$52)/(1+N('Исходные данные'!$B$52)),0)</f>
        <v>0</v>
      </c>
      <c r="W41">
        <f>IF(OR(B41="",IF('Исходные данные'!$B$69="",'Исходные данные'!$B$10,'Исходные данные'!$B$69)="",C41&lt;IF('Исходные данные'!$B$69="",'Исходные данные'!$B$10,'Исходные данные'!$B$69)),0,-N('Исходные данные'!$B$16)*N('Исходные данные'!$B$68)*N('Исходные данные'!$B$67)/12*IF(AND(B41&lt;=IF('Исходные данные'!$B$69="",'Исходные данные'!$B$10,'Исходные данные'!$B$69),C41&gt;=IF('Исходные данные'!$B$69="",'Исходные данные'!$B$10,'Исходные данные'!$B$69)),(C41-IF('Исходные данные'!$B$69="",'Исходные данные'!$B$10,'Исходные данные'!$B$69)+1)/DAY(C41),1))</f>
        <v>0</v>
      </c>
      <c r="X41">
        <f>IF(OR(B41="",IF('Исходные данные'!$B$76="",'Исходные данные'!$B$10,'Исходные данные'!$B$76)="",C41&lt;IF('Исходные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данные'!$B$76)),1),B41,"m")/12))*IF(AND(B41&lt;=IF('Исходные данные'!$B$76="",'Исходные данные'!$B$10,'Исходные данные'!$B$76),C41&gt;=IF('Исходные данные'!$B$76="",'Исходные данные'!$B$10,'Исходные данные'!$B$76)),(C41-IF('Исходные данные'!$B$76="",'Исходные данные'!$B$10,'Исходные данные'!$B$76)+1)/DAY(C41),1))</f>
        <v>0</v>
      </c>
      <c r="Y41">
        <f t="shared" si="25"/>
        <v>0</v>
      </c>
      <c r="Z41">
        <f>IF(OR(B41="",N('Исходные данные'!$B$19)=0),0,-SUMIFS('Исходные данные'!$I$6:$I$186,'Исходные данные'!$F$6:$F$186,B41)*N('Исходные данные'!$B$17)/N('Исходные данные'!$B$19))</f>
        <v>0</v>
      </c>
      <c r="AA41">
        <f>IF(OR(B41="",N('Исходные данные'!$B$19)=0),0,-SUMIFS('Исходные данные'!$I$6:$I$186,'Исходные данные'!$F$6:$F$186,B41)*N('Исходные данные'!$B$18)/N('Исходные данные'!$B$19))</f>
        <v>0</v>
      </c>
      <c r="AB41">
        <f>IF(OR(B41="",'Исходные данные'!$B$13=""),0,IF(AND(YEAR(B41)=YEAR('Исходные данные'!$B$13),MONTH(B41)=MONTH('Исходные данные'!$B$13)),-N('Исходные данные'!$B$11),0))</f>
        <v>0</v>
      </c>
      <c r="AC41">
        <f>IF(A41=1,-N('Исходные данные'!$B$19)*N('Исходные данные'!$B$72),0)</f>
        <v>0</v>
      </c>
      <c r="AD41">
        <f>IF(OR(B41="",'Исходные данные'!$B$22&lt;&gt;"Да",'Исходные данные'!$B$26=""),0,IF(AND(YEAR(B41)=YEAR('Исходные данные'!$B$26),MONTH(B41)=MONTH('Исходные данные'!$B$26)),N('Исходные данные'!$B$23),0))</f>
        <v>0</v>
      </c>
      <c r="AE41">
        <f t="shared" si="38"/>
        <v>0</v>
      </c>
      <c r="AF41">
        <f>IF(OR('Исходные данные'!$B$22&lt;&gt;"Да",'Исходные данные'!$B$26="",C41&lt;'Исходные данные'!$B$26),0,DATEDIF(DATE(YEAR('Исходные данные'!$B$26),MONTH('Исходные данные'!$B$26),1),B41,"m")+1)</f>
        <v>0</v>
      </c>
      <c r="AG41">
        <f>IF(OR(AF41&lt;1,AF41&gt;N('Исходные данные'!$B$25),AE41+AD41&lt;=0),0,-(AE41+AD41)*N('Исходные данные'!$B$24)*IF(AF41=1,C41-'Исходные данные'!$B$26+1,DAY(C41))/365)</f>
        <v>0</v>
      </c>
      <c r="AH41">
        <f>IF(OR(AF41&lt;1,AF41&gt;N('Исходные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данные'!$B$25)-AG41))</f>
        <v>0</v>
      </c>
      <c r="AI41">
        <f>IF(OR('Исходные данные'!$B$22&lt;&gt;"Да",AE41+AD41&lt;=0),0,IF(AND('Исходные данные'!$B$91&lt;&gt;"",B41&lt;&gt;"",YEAR(B41)=YEAR('Исходные данные'!$B$91),MONTH(B41)=MONTH('Исходные данные'!$B$91)),-(AE41+AD41),IF(OR(AF41&lt;1,AF41&gt;N('Исходные данные'!$B$25)),0,IF('Исходные данные'!$B$27="Равными долями",-MIN(AE41+AD41,N('Исходные данные'!$B$23)/N('Исходные данные'!$B$25)),-MIN(AE41+AD41,IF(AF41=N('Исходные данные'!$B$25),AE41+AD41,MAX(0,AH41+AG41)))))))</f>
        <v>0</v>
      </c>
      <c r="AJ41">
        <f t="shared" si="26"/>
        <v>0</v>
      </c>
      <c r="AK41">
        <f t="shared" si="27"/>
        <v>0</v>
      </c>
      <c r="AL41">
        <f>IF(OR(B41="",'Исходные данные'!$B$51&lt;&gt;"Да",'Исходные данные'!$B$61=""),0,IF(AND(YEAR(B41)=YEAR('Исходные данные'!$B$61),MONTH(B41)=MONTH('Исходные данные'!$B$61)),N('Исходные данные'!$B$18)*N('Исходные данные'!$B$62),0))</f>
        <v>0</v>
      </c>
      <c r="AM41">
        <f t="shared" si="39"/>
        <v>0</v>
      </c>
      <c r="AN41">
        <f t="shared" si="28"/>
        <v>0</v>
      </c>
      <c r="AO41">
        <f t="shared" si="29"/>
        <v>0</v>
      </c>
      <c r="AP41">
        <f>IF('Исходные данные'!$B$51="Да",-MAX(0,AN41-AO41-AM41),0)</f>
        <v>0</v>
      </c>
      <c r="AQ41">
        <f>IF('Исходные данные'!$B$51="Да",MAX(0,AM41+AO41-AN41),0)</f>
        <v>0</v>
      </c>
      <c r="AR41">
        <f>IF('Исходные данные'!$B$53="Выручка",MAX(0,L41+(Q41-R41)+(U41-V41)),IF('Исходные данные'!$B$53="Прибыль до налога",MAX(0,L41+(Q41-R41)+(U41-V41)+N('Исходные данные'!$B$54)*((O41+P41)+(S41+T41)+W41+X41)+IF('Исходные данные'!$B$55="Да",AG41,0)-N('Исходные данные'!$B$56)/12),IF('Исходные данные'!$B$53="Пользовательская база",MAX(0,N('Исходные данные'!$B$57)/12),0)))</f>
        <v>0</v>
      </c>
      <c r="AS41">
        <f>IF(E41=1,-AR41*N('Исходные данные'!$B$50),0)</f>
        <v>0</v>
      </c>
      <c r="AT41">
        <f t="shared" si="30"/>
        <v>0</v>
      </c>
      <c r="AU41">
        <f>IF(OR(B41="",N('Исходные данные'!$B$80)&lt;=0,'Исходные данные'!$B$88=""),0,MAX(0,IF('Исходные данные'!$B$88="Последние 12 месяцев",SUMIFS($Y$2:$Y$194,$B$2:$B$194,"&gt;="&amp;EDATE(B41,-11),$B$2:$B$194,"&lt;="&amp;B41),IF('Исходные данные'!$B$88="Пользовательский NOI",N('Исходные данные'!$B$89),AT41))/N('Исходные данные'!$B$80)*(1+N('Исходные данные'!$B$81))))</f>
        <v>0</v>
      </c>
      <c r="AV41">
        <f>IF(OR(E41&lt;&gt;1,B41="",'Исходные данные'!$B$91=""),0,IF(AND(YEAR(B41)=YEAR('Исходные данные'!$B$91),MONTH(B41)=MONTH('Исходные данные'!$B$91)),AU41,0))</f>
        <v>0</v>
      </c>
      <c r="AW41">
        <f>-AV41*N('Исходные данные'!$B$73)</f>
        <v>0</v>
      </c>
      <c r="AX41">
        <f>IF(AV41=0,0,-N('Исходные данные'!$B$87)-IF('Исходные данные'!$B$82="Да",IF('Исходные данные'!$B$84="С выручки",AV41,IF('Исходные данные'!$B$84="С прибыли",MAX(0,AV41+AW41-IF('Исходные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41">
        <f t="shared" si="31"/>
        <v>0</v>
      </c>
      <c r="AZ41">
        <f t="shared" si="32"/>
        <v>0</v>
      </c>
      <c r="BA41">
        <f t="shared" si="33"/>
        <v>0</v>
      </c>
      <c r="BB41" t="str">
        <f t="shared" si="40"/>
        <v/>
      </c>
      <c r="BC41">
        <f>IF(OR(E41=0,'Исходные данные'!$B$9="",'Исходные данные'!$B$90=""),0,BA41/(1+'Исходные данные'!$B$90)^((D41-'Исходные данные'!$B$9)/365))</f>
        <v>0</v>
      </c>
      <c r="BD41">
        <f>IF(AND(E41=1,BB41&gt;=0,BB40&lt;0,MIN($BB$2:BB41)&lt;0),1,0)</f>
        <v>0</v>
      </c>
      <c r="BE41">
        <f t="shared" si="34"/>
        <v>0</v>
      </c>
      <c r="BF41">
        <f t="shared" si="35"/>
        <v>0</v>
      </c>
      <c r="BG41">
        <f t="shared" si="36"/>
        <v>0</v>
      </c>
      <c r="BH41">
        <f t="shared" si="37"/>
        <v>1</v>
      </c>
      <c r="BI41">
        <f>AZ41+N41+AP41-AR41*N('Исходные данные'!$B$50)</f>
        <v>0</v>
      </c>
      <c r="BJ41">
        <f t="shared" si="20"/>
        <v>0</v>
      </c>
      <c r="BK41">
        <f>IF(AND(BJ41&gt;=0,BJ40&lt;0,MIN($BJ$2:BJ41)&lt;0),1,0)</f>
        <v>0</v>
      </c>
    </row>
    <row r="42" spans="1:63" x14ac:dyDescent="0.2">
      <c r="A42">
        <v>41</v>
      </c>
      <c r="B42" t="str">
        <f>IF('Исходные данные'!$B$9="","",EDATE(DATE(YEAR('Исходные данные'!$B$9),MONTH('Исходные данные'!$B$9),1),A42-1))</f>
        <v/>
      </c>
      <c r="C42" t="str">
        <f t="shared" si="21"/>
        <v/>
      </c>
      <c r="D42" t="str">
        <f>IF(B42="","",IF('Исходные данные'!$B$91&lt;&gt;"",IF(AND(YEAR(B42)=YEAR('Исходные данные'!$B$91),MONTH(B42)=MONTH('Исходные данные'!$B$91)),'Исходные данные'!$B$91,IF('Исходные данные'!$B$13&lt;&gt;"",IF(AND(YEAR(B42)=YEAR('Исходные данные'!$B$13),MONTH(B42)=MONTH('Исходные данные'!$B$13)),'Исходные данные'!$B$13,IF('Исходные данные'!$B$26&lt;&gt;"",IF(AND(YEAR(B42)=YEAR('Исходные данные'!$B$26),MONTH(B42)=MONTH('Исходные данные'!$B$26)),'Исходные данные'!$B$26,IF(A42=1,'Исходные данные'!$B$9,C42)),IF(A42=1,'Исходные данные'!$B$9,C42))),IF('Исходные данные'!$B$26&lt;&gt;"",IF(AND(YEAR(B42)=YEAR('Исходные данные'!$B$26),MONTH(B42)=MONTH('Исходные данные'!$B$26)),'Исходные данные'!$B$26,IF(A42=1,'Исходные данные'!$B$9,C42)),IF(A42=1,'Исходные данные'!$B$9,C42)))),IF('Исходные данные'!$B$13&lt;&gt;"",IF(AND(YEAR(B42)=YEAR('Исходные данные'!$B$13),MONTH(B42)=MONTH('Исходные данные'!$B$13)),'Исходные данные'!$B$13,IF('Исходные данные'!$B$26&lt;&gt;"",IF(AND(YEAR(B42)=YEAR('Исходные данные'!$B$26),MONTH(B42)=MONTH('Исходные данные'!$B$26)),'Исходные данные'!$B$26,IF(A42=1,'Исходные данные'!$B$9,C42)),IF(A42=1,'Исходные данные'!$B$9,C42))),IF('Исходные данные'!$B$26&lt;&gt;"",IF(AND(YEAR(B42)=YEAR('Исходные данные'!$B$26),MONTH(B42)=MONTH('Исходные данные'!$B$26)),'Исходные данные'!$B$26,IF(A42=1,'Исходные данные'!$B$9,C42)),IF(A42=1,'Исходные данные'!$B$9,C42)))))</f>
        <v/>
      </c>
      <c r="E42">
        <f>IF(OR(B42="",'Исходные данные'!$B$91=""),0,--(B42&lt;=DATE(YEAR('Исходные данные'!$B$91),MONTH('Исходные данные'!$B$91),1)))</f>
        <v>0</v>
      </c>
      <c r="F42">
        <f>IF(OR(B42="",'Исходные данные'!$B$30="",C42&lt;'Исходные данные'!$B$30),0,DATEDIF(DATE(YEAR('Исходные данные'!$B$30),MONTH('Исходные данные'!$B$30),1),B42,"m")+1)</f>
        <v>0</v>
      </c>
      <c r="G42">
        <f t="shared" si="22"/>
        <v>0</v>
      </c>
      <c r="H42">
        <f>IF(F42=0,0,IF(G42=1,N('Исходные данные'!$B$31),IF(G42=2,N('Исходные данные'!$B$32),IF(G42=3,N('Исходные данные'!$B$33),N('Исходные данные'!$B$33)*(1+N('Исходные данные'!$B$34))^(G42-3)))))</f>
        <v>0</v>
      </c>
      <c r="I42">
        <f>IF(OR(F42=0,N('Исходные данные'!$B$5)=0,H42=0),0,'Исходные данные'!$B$5*H42*IF(AND(B42&lt;='Исходные данные'!$B$30,C42&gt;='Исходные данные'!$B$30),(C42-'Исходные данные'!$B$30+1)/DAY(C42),1))</f>
        <v>0</v>
      </c>
      <c r="J42">
        <f>IF(AND(F42&gt;0,F42&lt;=N('Исходные данные'!$B$37)),-I42,0)</f>
        <v>0</v>
      </c>
      <c r="K42">
        <f>IF(OR(F42=0,F42&lt;=N('Исходные данные'!$B$37)),0,-(I42+J42)*N('Исходные данные'!$B$38))</f>
        <v>0</v>
      </c>
      <c r="L42">
        <f t="shared" si="23"/>
        <v>0</v>
      </c>
      <c r="M42">
        <f>IF('Исходные данные'!$B$51="Да",L42*N('Исходные данные'!$B$52),0)</f>
        <v>0</v>
      </c>
      <c r="N42">
        <f t="shared" si="24"/>
        <v>0</v>
      </c>
      <c r="O42">
        <f>IF(OR(B42="",IF('Исходные данные'!$B$45="",'Исходные данные'!$B$10,'Исходные данные'!$B$45)="",C42&lt;IF('Исходные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данные'!$B$45)),1),B42,"m")/12))*IF(AND(B42&lt;=IF('Исходные данные'!$B$45="",'Исходные данные'!$B$10,'Исходные данные'!$B$45),C42&gt;=IF('Исходные данные'!$B$45="",'Исходные данные'!$B$10,'Исходные данные'!$B$45)),(C42-IF('Исходные данные'!$B$45="",'Исходные данные'!$B$10,'Исходные данные'!$B$45)+1)/DAY(C42),1)*IF('Исходные данные'!$B$43="Без НДС",1+N('Исходные данные'!$B$44),1))</f>
        <v>0</v>
      </c>
      <c r="P42">
        <f>IF('Исходные данные'!$B$51="Да",-O42*N('Исходные данные'!$B$44)/(1+N('Исходные данные'!$B$44)),0)</f>
        <v>0</v>
      </c>
      <c r="Q42">
        <f>IF('Исходные данные'!$B$35="Да",-O42,0)</f>
        <v>0</v>
      </c>
      <c r="R42">
        <f>IF(AND('Исходные данные'!$B$51="Да",Q42&gt;0),Q42*N('Исходные данные'!$B$52)/(1+N('Исходные данные'!$B$52)),0)</f>
        <v>0</v>
      </c>
      <c r="S42">
        <f>IF(OR(B42="",IF('Исходные данные'!$B$45="",'Исходные данные'!$B$10,'Исходные данные'!$B$45)="",C42&lt;IF('Исходные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данные'!$B$45)),1),B42,"m")/12))*IF(AND(B42&lt;=IF('Исходные данные'!$B$45="",'Исходные данные'!$B$10,'Исходные данные'!$B$45),C42&gt;=IF('Исходные данные'!$B$45="",'Исходные данные'!$B$10,'Исходные данные'!$B$45)),(C42-IF('Исходные данные'!$B$45="",'Исходные данные'!$B$10,'Исходные данные'!$B$45)+1)/DAY(C42),1)*IF('Исходные данные'!$B$43="Без НДС",1+N('Исходные данные'!$B$44),1))</f>
        <v>0</v>
      </c>
      <c r="T42">
        <f>IF('Исходные данные'!$B$51="Да",-S42*N('Исходные данные'!$B$44)/(1+N('Исходные данные'!$B$44)),0)</f>
        <v>0</v>
      </c>
      <c r="U42">
        <f>IF('Исходные данные'!$B$36="Да",-S42,0)</f>
        <v>0</v>
      </c>
      <c r="V42">
        <f>IF(AND('Исходные данные'!$B$51="Да",U42&gt;0),U42*N('Исходные данные'!$B$52)/(1+N('Исходные данные'!$B$52)),0)</f>
        <v>0</v>
      </c>
      <c r="W42">
        <f>IF(OR(B42="",IF('Исходные данные'!$B$69="",'Исходные данные'!$B$10,'Исходные данные'!$B$69)="",C42&lt;IF('Исходные данные'!$B$69="",'Исходные данные'!$B$10,'Исходные данные'!$B$69)),0,-N('Исходные данные'!$B$16)*N('Исходные данные'!$B$68)*N('Исходные данные'!$B$67)/12*IF(AND(B42&lt;=IF('Исходные данные'!$B$69="",'Исходные данные'!$B$10,'Исходные данные'!$B$69),C42&gt;=IF('Исходные данные'!$B$69="",'Исходные данные'!$B$10,'Исходные данные'!$B$69)),(C42-IF('Исходные данные'!$B$69="",'Исходные данные'!$B$10,'Исходные данные'!$B$69)+1)/DAY(C42),1))</f>
        <v>0</v>
      </c>
      <c r="X42">
        <f>IF(OR(B42="",IF('Исходные данные'!$B$76="",'Исходные данные'!$B$10,'Исходные данные'!$B$76)="",C42&lt;IF('Исходные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данные'!$B$76)),1),B42,"m")/12))*IF(AND(B42&lt;=IF('Исходные данные'!$B$76="",'Исходные данные'!$B$10,'Исходные данные'!$B$76),C42&gt;=IF('Исходные данные'!$B$76="",'Исходные данные'!$B$10,'Исходные данные'!$B$76)),(C42-IF('Исходные данные'!$B$76="",'Исходные данные'!$B$10,'Исходные данные'!$B$76)+1)/DAY(C42),1))</f>
        <v>0</v>
      </c>
      <c r="Y42">
        <f t="shared" si="25"/>
        <v>0</v>
      </c>
      <c r="Z42">
        <f>IF(OR(B42="",N('Исходные данные'!$B$19)=0),0,-SUMIFS('Исходные данные'!$I$6:$I$186,'Исходные данные'!$F$6:$F$186,B42)*N('Исходные данные'!$B$17)/N('Исходные данные'!$B$19))</f>
        <v>0</v>
      </c>
      <c r="AA42">
        <f>IF(OR(B42="",N('Исходные данные'!$B$19)=0),0,-SUMIFS('Исходные данные'!$I$6:$I$186,'Исходные данные'!$F$6:$F$186,B42)*N('Исходные данные'!$B$18)/N('Исходные данные'!$B$19))</f>
        <v>0</v>
      </c>
      <c r="AB42">
        <f>IF(OR(B42="",'Исходные данные'!$B$13=""),0,IF(AND(YEAR(B42)=YEAR('Исходные данные'!$B$13),MONTH(B42)=MONTH('Исходные данные'!$B$13)),-N('Исходные данные'!$B$11),0))</f>
        <v>0</v>
      </c>
      <c r="AC42">
        <f>IF(A42=1,-N('Исходные данные'!$B$19)*N('Исходные данные'!$B$72),0)</f>
        <v>0</v>
      </c>
      <c r="AD42">
        <f>IF(OR(B42="",'Исходные данные'!$B$22&lt;&gt;"Да",'Исходные данные'!$B$26=""),0,IF(AND(YEAR(B42)=YEAR('Исходные данные'!$B$26),MONTH(B42)=MONTH('Исходные данные'!$B$26)),N('Исходные данные'!$B$23),0))</f>
        <v>0</v>
      </c>
      <c r="AE42">
        <f t="shared" si="38"/>
        <v>0</v>
      </c>
      <c r="AF42">
        <f>IF(OR('Исходные данные'!$B$22&lt;&gt;"Да",'Исходные данные'!$B$26="",C42&lt;'Исходные данные'!$B$26),0,DATEDIF(DATE(YEAR('Исходные данные'!$B$26),MONTH('Исходные данные'!$B$26),1),B42,"m")+1)</f>
        <v>0</v>
      </c>
      <c r="AG42">
        <f>IF(OR(AF42&lt;1,AF42&gt;N('Исходные данные'!$B$25),AE42+AD42&lt;=0),0,-(AE42+AD42)*N('Исходные данные'!$B$24)*IF(AF42=1,C42-'Исходные данные'!$B$26+1,DAY(C42))/365)</f>
        <v>0</v>
      </c>
      <c r="AH42">
        <f>IF(OR(AF42&lt;1,AF42&gt;N('Исходные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данные'!$B$25)-AG42))</f>
        <v>0</v>
      </c>
      <c r="AI42">
        <f>IF(OR('Исходные данные'!$B$22&lt;&gt;"Да",AE42+AD42&lt;=0),0,IF(AND('Исходные данные'!$B$91&lt;&gt;"",B42&lt;&gt;"",YEAR(B42)=YEAR('Исходные данные'!$B$91),MONTH(B42)=MONTH('Исходные данные'!$B$91)),-(AE42+AD42),IF(OR(AF42&lt;1,AF42&gt;N('Исходные данные'!$B$25)),0,IF('Исходные данные'!$B$27="Равными долями",-MIN(AE42+AD42,N('Исходные данные'!$B$23)/N('Исходные данные'!$B$25)),-MIN(AE42+AD42,IF(AF42=N('Исходные данные'!$B$25),AE42+AD42,MAX(0,AH42+AG42)))))))</f>
        <v>0</v>
      </c>
      <c r="AJ42">
        <f t="shared" si="26"/>
        <v>0</v>
      </c>
      <c r="AK42">
        <f t="shared" si="27"/>
        <v>0</v>
      </c>
      <c r="AL42">
        <f>IF(OR(B42="",'Исходные данные'!$B$51&lt;&gt;"Да",'Исходные данные'!$B$61=""),0,IF(AND(YEAR(B42)=YEAR('Исходные данные'!$B$61),MONTH(B42)=MONTH('Исходные данные'!$B$61)),N('Исходные данные'!$B$18)*N('Исходные данные'!$B$62),0))</f>
        <v>0</v>
      </c>
      <c r="AM42">
        <f t="shared" si="39"/>
        <v>0</v>
      </c>
      <c r="AN42">
        <f t="shared" si="28"/>
        <v>0</v>
      </c>
      <c r="AO42">
        <f t="shared" si="29"/>
        <v>0</v>
      </c>
      <c r="AP42">
        <f>IF('Исходные данные'!$B$51="Да",-MAX(0,AN42-AO42-AM42),0)</f>
        <v>0</v>
      </c>
      <c r="AQ42">
        <f>IF('Исходные данные'!$B$51="Да",MAX(0,AM42+AO42-AN42),0)</f>
        <v>0</v>
      </c>
      <c r="AR42">
        <f>IF('Исходные данные'!$B$53="Выручка",MAX(0,L42+(Q42-R42)+(U42-V42)),IF('Исходные данные'!$B$53="Прибыль до налога",MAX(0,L42+(Q42-R42)+(U42-V42)+N('Исходные данные'!$B$54)*((O42+P42)+(S42+T42)+W42+X42)+IF('Исходные данные'!$B$55="Да",AG42,0)-N('Исходные данные'!$B$56)/12),IF('Исходные данные'!$B$53="Пользовательская база",MAX(0,N('Исходные данные'!$B$57)/12),0)))</f>
        <v>0</v>
      </c>
      <c r="AS42">
        <f>IF(E42=1,-AR42*N('Исходные данные'!$B$50),0)</f>
        <v>0</v>
      </c>
      <c r="AT42">
        <f t="shared" si="30"/>
        <v>0</v>
      </c>
      <c r="AU42">
        <f>IF(OR(B42="",N('Исходные данные'!$B$80)&lt;=0,'Исходные данные'!$B$88=""),0,MAX(0,IF('Исходные данные'!$B$88="Последние 12 месяцев",SUMIFS($Y$2:$Y$194,$B$2:$B$194,"&gt;="&amp;EDATE(B42,-11),$B$2:$B$194,"&lt;="&amp;B42),IF('Исходные данные'!$B$88="Пользовательский NOI",N('Исходные данные'!$B$89),AT42))/N('Исходные данные'!$B$80)*(1+N('Исходные данные'!$B$81))))</f>
        <v>0</v>
      </c>
      <c r="AV42">
        <f>IF(OR(E42&lt;&gt;1,B42="",'Исходные данные'!$B$91=""),0,IF(AND(YEAR(B42)=YEAR('Исходные данные'!$B$91),MONTH(B42)=MONTH('Исходные данные'!$B$91)),AU42,0))</f>
        <v>0</v>
      </c>
      <c r="AW42">
        <f>-AV42*N('Исходные данные'!$B$73)</f>
        <v>0</v>
      </c>
      <c r="AX42">
        <f>IF(AV42=0,0,-N('Исходные данные'!$B$87)-IF('Исходные данные'!$B$82="Да",IF('Исходные данные'!$B$84="С выручки",AV42,IF('Исходные данные'!$B$84="С прибыли",MAX(0,AV42+AW42-IF('Исходные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42">
        <f t="shared" si="31"/>
        <v>0</v>
      </c>
      <c r="AZ42">
        <f t="shared" si="32"/>
        <v>0</v>
      </c>
      <c r="BA42">
        <f t="shared" si="33"/>
        <v>0</v>
      </c>
      <c r="BB42" t="str">
        <f t="shared" si="40"/>
        <v/>
      </c>
      <c r="BC42">
        <f>IF(OR(E42=0,'Исходные данные'!$B$9="",'Исходные данные'!$B$90=""),0,BA42/(1+'Исходные данные'!$B$90)^((D42-'Исходные данные'!$B$9)/365))</f>
        <v>0</v>
      </c>
      <c r="BD42">
        <f>IF(AND(E42=1,BB42&gt;=0,BB41&lt;0,MIN($BB$2:BB42)&lt;0),1,0)</f>
        <v>0</v>
      </c>
      <c r="BE42">
        <f t="shared" si="34"/>
        <v>0</v>
      </c>
      <c r="BF42">
        <f t="shared" si="35"/>
        <v>0</v>
      </c>
      <c r="BG42">
        <f t="shared" si="36"/>
        <v>0</v>
      </c>
      <c r="BH42">
        <f t="shared" si="37"/>
        <v>1</v>
      </c>
      <c r="BI42">
        <f>AZ42+N42+AP42-AR42*N('Исходные данные'!$B$50)</f>
        <v>0</v>
      </c>
      <c r="BJ42">
        <f t="shared" si="20"/>
        <v>0</v>
      </c>
      <c r="BK42">
        <f>IF(AND(BJ42&gt;=0,BJ41&lt;0,MIN($BJ$2:BJ42)&lt;0),1,0)</f>
        <v>0</v>
      </c>
    </row>
    <row r="43" spans="1:63" x14ac:dyDescent="0.2">
      <c r="A43">
        <v>42</v>
      </c>
      <c r="B43" t="str">
        <f>IF('Исходные данные'!$B$9="","",EDATE(DATE(YEAR('Исходные данные'!$B$9),MONTH('Исходные данные'!$B$9),1),A43-1))</f>
        <v/>
      </c>
      <c r="C43" t="str">
        <f t="shared" si="21"/>
        <v/>
      </c>
      <c r="D43" t="str">
        <f>IF(B43="","",IF('Исходные данные'!$B$91&lt;&gt;"",IF(AND(YEAR(B43)=YEAR('Исходные данные'!$B$91),MONTH(B43)=MONTH('Исходные данные'!$B$91)),'Исходные данные'!$B$91,IF('Исходные данные'!$B$13&lt;&gt;"",IF(AND(YEAR(B43)=YEAR('Исходные данные'!$B$13),MONTH(B43)=MONTH('Исходные данные'!$B$13)),'Исходные данные'!$B$13,IF('Исходные данные'!$B$26&lt;&gt;"",IF(AND(YEAR(B43)=YEAR('Исходные данные'!$B$26),MONTH(B43)=MONTH('Исходные данные'!$B$26)),'Исходные данные'!$B$26,IF(A43=1,'Исходные данные'!$B$9,C43)),IF(A43=1,'Исходные данные'!$B$9,C43))),IF('Исходные данные'!$B$26&lt;&gt;"",IF(AND(YEAR(B43)=YEAR('Исходные данные'!$B$26),MONTH(B43)=MONTH('Исходные данные'!$B$26)),'Исходные данные'!$B$26,IF(A43=1,'Исходные данные'!$B$9,C43)),IF(A43=1,'Исходные данные'!$B$9,C43)))),IF('Исходные данные'!$B$13&lt;&gt;"",IF(AND(YEAR(B43)=YEAR('Исходные данные'!$B$13),MONTH(B43)=MONTH('Исходные данные'!$B$13)),'Исходные данные'!$B$13,IF('Исходные данные'!$B$26&lt;&gt;"",IF(AND(YEAR(B43)=YEAR('Исходные данные'!$B$26),MONTH(B43)=MONTH('Исходные данные'!$B$26)),'Исходные данные'!$B$26,IF(A43=1,'Исходные данные'!$B$9,C43)),IF(A43=1,'Исходные данные'!$B$9,C43))),IF('Исходные данные'!$B$26&lt;&gt;"",IF(AND(YEAR(B43)=YEAR('Исходные данные'!$B$26),MONTH(B43)=MONTH('Исходные данные'!$B$26)),'Исходные данные'!$B$26,IF(A43=1,'Исходные данные'!$B$9,C43)),IF(A43=1,'Исходные данные'!$B$9,C43)))))</f>
        <v/>
      </c>
      <c r="E43">
        <f>IF(OR(B43="",'Исходные данные'!$B$91=""),0,--(B43&lt;=DATE(YEAR('Исходные данные'!$B$91),MONTH('Исходные данные'!$B$91),1)))</f>
        <v>0</v>
      </c>
      <c r="F43">
        <f>IF(OR(B43="",'Исходные данные'!$B$30="",C43&lt;'Исходные данные'!$B$30),0,DATEDIF(DATE(YEAR('Исходные данные'!$B$30),MONTH('Исходные данные'!$B$30),1),B43,"m")+1)</f>
        <v>0</v>
      </c>
      <c r="G43">
        <f t="shared" si="22"/>
        <v>0</v>
      </c>
      <c r="H43">
        <f>IF(F43=0,0,IF(G43=1,N('Исходные данные'!$B$31),IF(G43=2,N('Исходные данные'!$B$32),IF(G43=3,N('Исходные данные'!$B$33),N('Исходные данные'!$B$33)*(1+N('Исходные данные'!$B$34))^(G43-3)))))</f>
        <v>0</v>
      </c>
      <c r="I43">
        <f>IF(OR(F43=0,N('Исходные данные'!$B$5)=0,H43=0),0,'Исходные данные'!$B$5*H43*IF(AND(B43&lt;='Исходные данные'!$B$30,C43&gt;='Исходные данные'!$B$30),(C43-'Исходные данные'!$B$30+1)/DAY(C43),1))</f>
        <v>0</v>
      </c>
      <c r="J43">
        <f>IF(AND(F43&gt;0,F43&lt;=N('Исходные данные'!$B$37)),-I43,0)</f>
        <v>0</v>
      </c>
      <c r="K43">
        <f>IF(OR(F43=0,F43&lt;=N('Исходные данные'!$B$37)),0,-(I43+J43)*N('Исходные данные'!$B$38))</f>
        <v>0</v>
      </c>
      <c r="L43">
        <f t="shared" si="23"/>
        <v>0</v>
      </c>
      <c r="M43">
        <f>IF('Исходные данные'!$B$51="Да",L43*N('Исходные данные'!$B$52),0)</f>
        <v>0</v>
      </c>
      <c r="N43">
        <f t="shared" si="24"/>
        <v>0</v>
      </c>
      <c r="O43">
        <f>IF(OR(B43="",IF('Исходные данные'!$B$45="",'Исходные данные'!$B$10,'Исходные данные'!$B$45)="",C43&lt;IF('Исходные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данные'!$B$45)),1),B43,"m")/12))*IF(AND(B43&lt;=IF('Исходные данные'!$B$45="",'Исходные данные'!$B$10,'Исходные данные'!$B$45),C43&gt;=IF('Исходные данные'!$B$45="",'Исходные данные'!$B$10,'Исходные данные'!$B$45)),(C43-IF('Исходные данные'!$B$45="",'Исходные данные'!$B$10,'Исходные данные'!$B$45)+1)/DAY(C43),1)*IF('Исходные данные'!$B$43="Без НДС",1+N('Исходные данные'!$B$44),1))</f>
        <v>0</v>
      </c>
      <c r="P43">
        <f>IF('Исходные данные'!$B$51="Да",-O43*N('Исходные данные'!$B$44)/(1+N('Исходные данные'!$B$44)),0)</f>
        <v>0</v>
      </c>
      <c r="Q43">
        <f>IF('Исходные данные'!$B$35="Да",-O43,0)</f>
        <v>0</v>
      </c>
      <c r="R43">
        <f>IF(AND('Исходные данные'!$B$51="Да",Q43&gt;0),Q43*N('Исходные данные'!$B$52)/(1+N('Исходные данные'!$B$52)),0)</f>
        <v>0</v>
      </c>
      <c r="S43">
        <f>IF(OR(B43="",IF('Исходные данные'!$B$45="",'Исходные данные'!$B$10,'Исходные данные'!$B$45)="",C43&lt;IF('Исходные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данные'!$B$45)),1),B43,"m")/12))*IF(AND(B43&lt;=IF('Исходные данные'!$B$45="",'Исходные данные'!$B$10,'Исходные данные'!$B$45),C43&gt;=IF('Исходные данные'!$B$45="",'Исходные данные'!$B$10,'Исходные данные'!$B$45)),(C43-IF('Исходные данные'!$B$45="",'Исходные данные'!$B$10,'Исходные данные'!$B$45)+1)/DAY(C43),1)*IF('Исходные данные'!$B$43="Без НДС",1+N('Исходные данные'!$B$44),1))</f>
        <v>0</v>
      </c>
      <c r="T43">
        <f>IF('Исходные данные'!$B$51="Да",-S43*N('Исходные данные'!$B$44)/(1+N('Исходные данные'!$B$44)),0)</f>
        <v>0</v>
      </c>
      <c r="U43">
        <f>IF('Исходные данные'!$B$36="Да",-S43,0)</f>
        <v>0</v>
      </c>
      <c r="V43">
        <f>IF(AND('Исходные данные'!$B$51="Да",U43&gt;0),U43*N('Исходные данные'!$B$52)/(1+N('Исходные данные'!$B$52)),0)</f>
        <v>0</v>
      </c>
      <c r="W43">
        <f>IF(OR(B43="",IF('Исходные данные'!$B$69="",'Исходные данные'!$B$10,'Исходные данные'!$B$69)="",C43&lt;IF('Исходные данные'!$B$69="",'Исходные данные'!$B$10,'Исходные данные'!$B$69)),0,-N('Исходные данные'!$B$16)*N('Исходные данные'!$B$68)*N('Исходные данные'!$B$67)/12*IF(AND(B43&lt;=IF('Исходные данные'!$B$69="",'Исходные данные'!$B$10,'Исходные данные'!$B$69),C43&gt;=IF('Исходные данные'!$B$69="",'Исходные данные'!$B$10,'Исходные данные'!$B$69)),(C43-IF('Исходные данные'!$B$69="",'Исходные данные'!$B$10,'Исходные данные'!$B$69)+1)/DAY(C43),1))</f>
        <v>0</v>
      </c>
      <c r="X43">
        <f>IF(OR(B43="",IF('Исходные данные'!$B$76="",'Исходные данные'!$B$10,'Исходные данные'!$B$76)="",C43&lt;IF('Исходные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данные'!$B$76)),1),B43,"m")/12))*IF(AND(B43&lt;=IF('Исходные данные'!$B$76="",'Исходные данные'!$B$10,'Исходные данные'!$B$76),C43&gt;=IF('Исходные данные'!$B$76="",'Исходные данные'!$B$10,'Исходные данные'!$B$76)),(C43-IF('Исходные данные'!$B$76="",'Исходные данные'!$B$10,'Исходные данные'!$B$76)+1)/DAY(C43),1))</f>
        <v>0</v>
      </c>
      <c r="Y43">
        <f t="shared" si="25"/>
        <v>0</v>
      </c>
      <c r="Z43">
        <f>IF(OR(B43="",N('Исходные данные'!$B$19)=0),0,-SUMIFS('Исходные данные'!$I$6:$I$186,'Исходные данные'!$F$6:$F$186,B43)*N('Исходные данные'!$B$17)/N('Исходные данные'!$B$19))</f>
        <v>0</v>
      </c>
      <c r="AA43">
        <f>IF(OR(B43="",N('Исходные данные'!$B$19)=0),0,-SUMIFS('Исходные данные'!$I$6:$I$186,'Исходные данные'!$F$6:$F$186,B43)*N('Исходные данные'!$B$18)/N('Исходные данные'!$B$19))</f>
        <v>0</v>
      </c>
      <c r="AB43">
        <f>IF(OR(B43="",'Исходные данные'!$B$13=""),0,IF(AND(YEAR(B43)=YEAR('Исходные данные'!$B$13),MONTH(B43)=MONTH('Исходные данные'!$B$13)),-N('Исходные данные'!$B$11),0))</f>
        <v>0</v>
      </c>
      <c r="AC43">
        <f>IF(A43=1,-N('Исходные данные'!$B$19)*N('Исходные данные'!$B$72),0)</f>
        <v>0</v>
      </c>
      <c r="AD43">
        <f>IF(OR(B43="",'Исходные данные'!$B$22&lt;&gt;"Да",'Исходные данные'!$B$26=""),0,IF(AND(YEAR(B43)=YEAR('Исходные данные'!$B$26),MONTH(B43)=MONTH('Исходные данные'!$B$26)),N('Исходные данные'!$B$23),0))</f>
        <v>0</v>
      </c>
      <c r="AE43">
        <f t="shared" si="38"/>
        <v>0</v>
      </c>
      <c r="AF43">
        <f>IF(OR('Исходные данные'!$B$22&lt;&gt;"Да",'Исходные данные'!$B$26="",C43&lt;'Исходные данные'!$B$26),0,DATEDIF(DATE(YEAR('Исходные данные'!$B$26),MONTH('Исходные данные'!$B$26),1),B43,"m")+1)</f>
        <v>0</v>
      </c>
      <c r="AG43">
        <f>IF(OR(AF43&lt;1,AF43&gt;N('Исходные данные'!$B$25),AE43+AD43&lt;=0),0,-(AE43+AD43)*N('Исходные данные'!$B$24)*IF(AF43=1,C43-'Исходные данные'!$B$26+1,DAY(C43))/365)</f>
        <v>0</v>
      </c>
      <c r="AH43">
        <f>IF(OR(AF43&lt;1,AF43&gt;N('Исходные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данные'!$B$25)-AG43))</f>
        <v>0</v>
      </c>
      <c r="AI43">
        <f>IF(OR('Исходные данные'!$B$22&lt;&gt;"Да",AE43+AD43&lt;=0),0,IF(AND('Исходные данные'!$B$91&lt;&gt;"",B43&lt;&gt;"",YEAR(B43)=YEAR('Исходные данные'!$B$91),MONTH(B43)=MONTH('Исходные данные'!$B$91)),-(AE43+AD43),IF(OR(AF43&lt;1,AF43&gt;N('Исходные данные'!$B$25)),0,IF('Исходные данные'!$B$27="Равными долями",-MIN(AE43+AD43,N('Исходные данные'!$B$23)/N('Исходные данные'!$B$25)),-MIN(AE43+AD43,IF(AF43=N('Исходные данные'!$B$25),AE43+AD43,MAX(0,AH43+AG43)))))))</f>
        <v>0</v>
      </c>
      <c r="AJ43">
        <f t="shared" si="26"/>
        <v>0</v>
      </c>
      <c r="AK43">
        <f t="shared" si="27"/>
        <v>0</v>
      </c>
      <c r="AL43">
        <f>IF(OR(B43="",'Исходные данные'!$B$51&lt;&gt;"Да",'Исходные данные'!$B$61=""),0,IF(AND(YEAR(B43)=YEAR('Исходные данные'!$B$61),MONTH(B43)=MONTH('Исходные данные'!$B$61)),N('Исходные данные'!$B$18)*N('Исходные данные'!$B$62),0))</f>
        <v>0</v>
      </c>
      <c r="AM43">
        <f t="shared" si="39"/>
        <v>0</v>
      </c>
      <c r="AN43">
        <f t="shared" si="28"/>
        <v>0</v>
      </c>
      <c r="AO43">
        <f t="shared" si="29"/>
        <v>0</v>
      </c>
      <c r="AP43">
        <f>IF('Исходные данные'!$B$51="Да",-MAX(0,AN43-AO43-AM43),0)</f>
        <v>0</v>
      </c>
      <c r="AQ43">
        <f>IF('Исходные данные'!$B$51="Да",MAX(0,AM43+AO43-AN43),0)</f>
        <v>0</v>
      </c>
      <c r="AR43">
        <f>IF('Исходные данные'!$B$53="Выручка",MAX(0,L43+(Q43-R43)+(U43-V43)),IF('Исходные данные'!$B$53="Прибыль до налога",MAX(0,L43+(Q43-R43)+(U43-V43)+N('Исходные данные'!$B$54)*((O43+P43)+(S43+T43)+W43+X43)+IF('Исходные данные'!$B$55="Да",AG43,0)-N('Исходные данные'!$B$56)/12),IF('Исходные данные'!$B$53="Пользовательская база",MAX(0,N('Исходные данные'!$B$57)/12),0)))</f>
        <v>0</v>
      </c>
      <c r="AS43">
        <f>IF(E43=1,-AR43*N('Исходные данные'!$B$50),0)</f>
        <v>0</v>
      </c>
      <c r="AT43">
        <f t="shared" si="30"/>
        <v>0</v>
      </c>
      <c r="AU43">
        <f>IF(OR(B43="",N('Исходные данные'!$B$80)&lt;=0,'Исходные данные'!$B$88=""),0,MAX(0,IF('Исходные данные'!$B$88="Последние 12 месяцев",SUMIFS($Y$2:$Y$194,$B$2:$B$194,"&gt;="&amp;EDATE(B43,-11),$B$2:$B$194,"&lt;="&amp;B43),IF('Исходные данные'!$B$88="Пользовательский NOI",N('Исходные данные'!$B$89),AT43))/N('Исходные данные'!$B$80)*(1+N('Исходные данные'!$B$81))))</f>
        <v>0</v>
      </c>
      <c r="AV43">
        <f>IF(OR(E43&lt;&gt;1,B43="",'Исходные данные'!$B$91=""),0,IF(AND(YEAR(B43)=YEAR('Исходные данные'!$B$91),MONTH(B43)=MONTH('Исходные данные'!$B$91)),AU43,0))</f>
        <v>0</v>
      </c>
      <c r="AW43">
        <f>-AV43*N('Исходные данные'!$B$73)</f>
        <v>0</v>
      </c>
      <c r="AX43">
        <f>IF(AV43=0,0,-N('Исходные данные'!$B$87)-IF('Исходные данные'!$B$82="Да",IF('Исходные данные'!$B$84="С выручки",AV43,IF('Исходные данные'!$B$84="С прибыли",MAX(0,AV43+AW43-IF('Исходные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43">
        <f t="shared" si="31"/>
        <v>0</v>
      </c>
      <c r="AZ43">
        <f t="shared" si="32"/>
        <v>0</v>
      </c>
      <c r="BA43">
        <f t="shared" si="33"/>
        <v>0</v>
      </c>
      <c r="BB43" t="str">
        <f t="shared" si="40"/>
        <v/>
      </c>
      <c r="BC43">
        <f>IF(OR(E43=0,'Исходные данные'!$B$9="",'Исходные данные'!$B$90=""),0,BA43/(1+'Исходные данные'!$B$90)^((D43-'Исходные данные'!$B$9)/365))</f>
        <v>0</v>
      </c>
      <c r="BD43">
        <f>IF(AND(E43=1,BB43&gt;=0,BB42&lt;0,MIN($BB$2:BB43)&lt;0),1,0)</f>
        <v>0</v>
      </c>
      <c r="BE43">
        <f t="shared" si="34"/>
        <v>0</v>
      </c>
      <c r="BF43">
        <f t="shared" si="35"/>
        <v>0</v>
      </c>
      <c r="BG43">
        <f t="shared" si="36"/>
        <v>0</v>
      </c>
      <c r="BH43">
        <f t="shared" si="37"/>
        <v>1</v>
      </c>
      <c r="BI43">
        <f>AZ43+N43+AP43-AR43*N('Исходные данные'!$B$50)</f>
        <v>0</v>
      </c>
      <c r="BJ43">
        <f t="shared" si="20"/>
        <v>0</v>
      </c>
      <c r="BK43">
        <f>IF(AND(BJ43&gt;=0,BJ42&lt;0,MIN($BJ$2:BJ43)&lt;0),1,0)</f>
        <v>0</v>
      </c>
    </row>
    <row r="44" spans="1:63" x14ac:dyDescent="0.2">
      <c r="A44">
        <v>43</v>
      </c>
      <c r="B44" t="str">
        <f>IF('Исходные данные'!$B$9="","",EDATE(DATE(YEAR('Исходные данные'!$B$9),MONTH('Исходные данные'!$B$9),1),A44-1))</f>
        <v/>
      </c>
      <c r="C44" t="str">
        <f t="shared" si="21"/>
        <v/>
      </c>
      <c r="D44" t="str">
        <f>IF(B44="","",IF('Исходные данные'!$B$91&lt;&gt;"",IF(AND(YEAR(B44)=YEAR('Исходные данные'!$B$91),MONTH(B44)=MONTH('Исходные данные'!$B$91)),'Исходные данные'!$B$91,IF('Исходные данные'!$B$13&lt;&gt;"",IF(AND(YEAR(B44)=YEAR('Исходные данные'!$B$13),MONTH(B44)=MONTH('Исходные данные'!$B$13)),'Исходные данные'!$B$13,IF('Исходные данные'!$B$26&lt;&gt;"",IF(AND(YEAR(B44)=YEAR('Исходные данные'!$B$26),MONTH(B44)=MONTH('Исходные данные'!$B$26)),'Исходные данные'!$B$26,IF(A44=1,'Исходные данные'!$B$9,C44)),IF(A44=1,'Исходные данные'!$B$9,C44))),IF('Исходные данные'!$B$26&lt;&gt;"",IF(AND(YEAR(B44)=YEAR('Исходные данные'!$B$26),MONTH(B44)=MONTH('Исходные данные'!$B$26)),'Исходные данные'!$B$26,IF(A44=1,'Исходные данные'!$B$9,C44)),IF(A44=1,'Исходные данные'!$B$9,C44)))),IF('Исходные данные'!$B$13&lt;&gt;"",IF(AND(YEAR(B44)=YEAR('Исходные данные'!$B$13),MONTH(B44)=MONTH('Исходные данные'!$B$13)),'Исходные данные'!$B$13,IF('Исходные данные'!$B$26&lt;&gt;"",IF(AND(YEAR(B44)=YEAR('Исходные данные'!$B$26),MONTH(B44)=MONTH('Исходные данные'!$B$26)),'Исходные данные'!$B$26,IF(A44=1,'Исходные данные'!$B$9,C44)),IF(A44=1,'Исходные данные'!$B$9,C44))),IF('Исходные данные'!$B$26&lt;&gt;"",IF(AND(YEAR(B44)=YEAR('Исходные данные'!$B$26),MONTH(B44)=MONTH('Исходные данные'!$B$26)),'Исходные данные'!$B$26,IF(A44=1,'Исходные данные'!$B$9,C44)),IF(A44=1,'Исходные данные'!$B$9,C44)))))</f>
        <v/>
      </c>
      <c r="E44">
        <f>IF(OR(B44="",'Исходные данные'!$B$91=""),0,--(B44&lt;=DATE(YEAR('Исходные данные'!$B$91),MONTH('Исходные данные'!$B$91),1)))</f>
        <v>0</v>
      </c>
      <c r="F44">
        <f>IF(OR(B44="",'Исходные данные'!$B$30="",C44&lt;'Исходные данные'!$B$30),0,DATEDIF(DATE(YEAR('Исходные данные'!$B$30),MONTH('Исходные данные'!$B$30),1),B44,"m")+1)</f>
        <v>0</v>
      </c>
      <c r="G44">
        <f t="shared" si="22"/>
        <v>0</v>
      </c>
      <c r="H44">
        <f>IF(F44=0,0,IF(G44=1,N('Исходные данные'!$B$31),IF(G44=2,N('Исходные данные'!$B$32),IF(G44=3,N('Исходные данные'!$B$33),N('Исходные данные'!$B$33)*(1+N('Исходные данные'!$B$34))^(G44-3)))))</f>
        <v>0</v>
      </c>
      <c r="I44">
        <f>IF(OR(F44=0,N('Исходные данные'!$B$5)=0,H44=0),0,'Исходные данные'!$B$5*H44*IF(AND(B44&lt;='Исходные данные'!$B$30,C44&gt;='Исходные данные'!$B$30),(C44-'Исходные данные'!$B$30+1)/DAY(C44),1))</f>
        <v>0</v>
      </c>
      <c r="J44">
        <f>IF(AND(F44&gt;0,F44&lt;=N('Исходные данные'!$B$37)),-I44,0)</f>
        <v>0</v>
      </c>
      <c r="K44">
        <f>IF(OR(F44=0,F44&lt;=N('Исходные данные'!$B$37)),0,-(I44+J44)*N('Исходные данные'!$B$38))</f>
        <v>0</v>
      </c>
      <c r="L44">
        <f t="shared" si="23"/>
        <v>0</v>
      </c>
      <c r="M44">
        <f>IF('Исходные данные'!$B$51="Да",L44*N('Исходные данные'!$B$52),0)</f>
        <v>0</v>
      </c>
      <c r="N44">
        <f t="shared" si="24"/>
        <v>0</v>
      </c>
      <c r="O44">
        <f>IF(OR(B44="",IF('Исходные данные'!$B$45="",'Исходные данные'!$B$10,'Исходные данные'!$B$45)="",C44&lt;IF('Исходные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данные'!$B$45)),1),B44,"m")/12))*IF(AND(B44&lt;=IF('Исходные данные'!$B$45="",'Исходные данные'!$B$10,'Исходные данные'!$B$45),C44&gt;=IF('Исходные данные'!$B$45="",'Исходные данные'!$B$10,'Исходные данные'!$B$45)),(C44-IF('Исходные данные'!$B$45="",'Исходные данные'!$B$10,'Исходные данные'!$B$45)+1)/DAY(C44),1)*IF('Исходные данные'!$B$43="Без НДС",1+N('Исходные данные'!$B$44),1))</f>
        <v>0</v>
      </c>
      <c r="P44">
        <f>IF('Исходные данные'!$B$51="Да",-O44*N('Исходные данные'!$B$44)/(1+N('Исходные данные'!$B$44)),0)</f>
        <v>0</v>
      </c>
      <c r="Q44">
        <f>IF('Исходные данные'!$B$35="Да",-O44,0)</f>
        <v>0</v>
      </c>
      <c r="R44">
        <f>IF(AND('Исходные данные'!$B$51="Да",Q44&gt;0),Q44*N('Исходные данные'!$B$52)/(1+N('Исходные данные'!$B$52)),0)</f>
        <v>0</v>
      </c>
      <c r="S44">
        <f>IF(OR(B44="",IF('Исходные данные'!$B$45="",'Исходные данные'!$B$10,'Исходные данные'!$B$45)="",C44&lt;IF('Исходные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данные'!$B$45)),1),B44,"m")/12))*IF(AND(B44&lt;=IF('Исходные данные'!$B$45="",'Исходные данные'!$B$10,'Исходные данные'!$B$45),C44&gt;=IF('Исходные данные'!$B$45="",'Исходные данные'!$B$10,'Исходные данные'!$B$45)),(C44-IF('Исходные данные'!$B$45="",'Исходные данные'!$B$10,'Исходные данные'!$B$45)+1)/DAY(C44),1)*IF('Исходные данные'!$B$43="Без НДС",1+N('Исходные данные'!$B$44),1))</f>
        <v>0</v>
      </c>
      <c r="T44">
        <f>IF('Исходные данные'!$B$51="Да",-S44*N('Исходные данные'!$B$44)/(1+N('Исходные данные'!$B$44)),0)</f>
        <v>0</v>
      </c>
      <c r="U44">
        <f>IF('Исходные данные'!$B$36="Да",-S44,0)</f>
        <v>0</v>
      </c>
      <c r="V44">
        <f>IF(AND('Исходные данные'!$B$51="Да",U44&gt;0),U44*N('Исходные данные'!$B$52)/(1+N('Исходные данные'!$B$52)),0)</f>
        <v>0</v>
      </c>
      <c r="W44">
        <f>IF(OR(B44="",IF('Исходные данные'!$B$69="",'Исходные данные'!$B$10,'Исходные данные'!$B$69)="",C44&lt;IF('Исходные данные'!$B$69="",'Исходные данные'!$B$10,'Исходные данные'!$B$69)),0,-N('Исходные данные'!$B$16)*N('Исходные данные'!$B$68)*N('Исходные данные'!$B$67)/12*IF(AND(B44&lt;=IF('Исходные данные'!$B$69="",'Исходные данные'!$B$10,'Исходные данные'!$B$69),C44&gt;=IF('Исходные данные'!$B$69="",'Исходные данные'!$B$10,'Исходные данные'!$B$69)),(C44-IF('Исходные данные'!$B$69="",'Исходные данные'!$B$10,'Исходные данные'!$B$69)+1)/DAY(C44),1))</f>
        <v>0</v>
      </c>
      <c r="X44">
        <f>IF(OR(B44="",IF('Исходные данные'!$B$76="",'Исходные данные'!$B$10,'Исходные данные'!$B$76)="",C44&lt;IF('Исходные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данные'!$B$76)),1),B44,"m")/12))*IF(AND(B44&lt;=IF('Исходные данные'!$B$76="",'Исходные данные'!$B$10,'Исходные данные'!$B$76),C44&gt;=IF('Исходные данные'!$B$76="",'Исходные данные'!$B$10,'Исходные данные'!$B$76)),(C44-IF('Исходные данные'!$B$76="",'Исходные данные'!$B$10,'Исходные данные'!$B$76)+1)/DAY(C44),1))</f>
        <v>0</v>
      </c>
      <c r="Y44">
        <f t="shared" si="25"/>
        <v>0</v>
      </c>
      <c r="Z44">
        <f>IF(OR(B44="",N('Исходные данные'!$B$19)=0),0,-SUMIFS('Исходные данные'!$I$6:$I$186,'Исходные данные'!$F$6:$F$186,B44)*N('Исходные данные'!$B$17)/N('Исходные данные'!$B$19))</f>
        <v>0</v>
      </c>
      <c r="AA44">
        <f>IF(OR(B44="",N('Исходные данные'!$B$19)=0),0,-SUMIFS('Исходные данные'!$I$6:$I$186,'Исходные данные'!$F$6:$F$186,B44)*N('Исходные данные'!$B$18)/N('Исходные данные'!$B$19))</f>
        <v>0</v>
      </c>
      <c r="AB44">
        <f>IF(OR(B44="",'Исходные данные'!$B$13=""),0,IF(AND(YEAR(B44)=YEAR('Исходные данные'!$B$13),MONTH(B44)=MONTH('Исходные данные'!$B$13)),-N('Исходные данные'!$B$11),0))</f>
        <v>0</v>
      </c>
      <c r="AC44">
        <f>IF(A44=1,-N('Исходные данные'!$B$19)*N('Исходные данные'!$B$72),0)</f>
        <v>0</v>
      </c>
      <c r="AD44">
        <f>IF(OR(B44="",'Исходные данные'!$B$22&lt;&gt;"Да",'Исходные данные'!$B$26=""),0,IF(AND(YEAR(B44)=YEAR('Исходные данные'!$B$26),MONTH(B44)=MONTH('Исходные данные'!$B$26)),N('Исходные данные'!$B$23),0))</f>
        <v>0</v>
      </c>
      <c r="AE44">
        <f t="shared" si="38"/>
        <v>0</v>
      </c>
      <c r="AF44">
        <f>IF(OR('Исходные данные'!$B$22&lt;&gt;"Да",'Исходные данные'!$B$26="",C44&lt;'Исходные данные'!$B$26),0,DATEDIF(DATE(YEAR('Исходные данные'!$B$26),MONTH('Исходные данные'!$B$26),1),B44,"m")+1)</f>
        <v>0</v>
      </c>
      <c r="AG44">
        <f>IF(OR(AF44&lt;1,AF44&gt;N('Исходные данные'!$B$25),AE44+AD44&lt;=0),0,-(AE44+AD44)*N('Исходные данные'!$B$24)*IF(AF44=1,C44-'Исходные данные'!$B$26+1,DAY(C44))/365)</f>
        <v>0</v>
      </c>
      <c r="AH44">
        <f>IF(OR(AF44&lt;1,AF44&gt;N('Исходные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данные'!$B$25)-AG44))</f>
        <v>0</v>
      </c>
      <c r="AI44">
        <f>IF(OR('Исходные данные'!$B$22&lt;&gt;"Да",AE44+AD44&lt;=0),0,IF(AND('Исходные данные'!$B$91&lt;&gt;"",B44&lt;&gt;"",YEAR(B44)=YEAR('Исходные данные'!$B$91),MONTH(B44)=MONTH('Исходные данные'!$B$91)),-(AE44+AD44),IF(OR(AF44&lt;1,AF44&gt;N('Исходные данные'!$B$25)),0,IF('Исходные данные'!$B$27="Равными долями",-MIN(AE44+AD44,N('Исходные данные'!$B$23)/N('Исходные данные'!$B$25)),-MIN(AE44+AD44,IF(AF44=N('Исходные данные'!$B$25),AE44+AD44,MAX(0,AH44+AG44)))))))</f>
        <v>0</v>
      </c>
      <c r="AJ44">
        <f t="shared" si="26"/>
        <v>0</v>
      </c>
      <c r="AK44">
        <f t="shared" si="27"/>
        <v>0</v>
      </c>
      <c r="AL44">
        <f>IF(OR(B44="",'Исходные данные'!$B$51&lt;&gt;"Да",'Исходные данные'!$B$61=""),0,IF(AND(YEAR(B44)=YEAR('Исходные данные'!$B$61),MONTH(B44)=MONTH('Исходные данные'!$B$61)),N('Исходные данные'!$B$18)*N('Исходные данные'!$B$62),0))</f>
        <v>0</v>
      </c>
      <c r="AM44">
        <f t="shared" si="39"/>
        <v>0</v>
      </c>
      <c r="AN44">
        <f t="shared" si="28"/>
        <v>0</v>
      </c>
      <c r="AO44">
        <f t="shared" si="29"/>
        <v>0</v>
      </c>
      <c r="AP44">
        <f>IF('Исходные данные'!$B$51="Да",-MAX(0,AN44-AO44-AM44),0)</f>
        <v>0</v>
      </c>
      <c r="AQ44">
        <f>IF('Исходные данные'!$B$51="Да",MAX(0,AM44+AO44-AN44),0)</f>
        <v>0</v>
      </c>
      <c r="AR44">
        <f>IF('Исходные данные'!$B$53="Выручка",MAX(0,L44+(Q44-R44)+(U44-V44)),IF('Исходные данные'!$B$53="Прибыль до налога",MAX(0,L44+(Q44-R44)+(U44-V44)+N('Исходные данные'!$B$54)*((O44+P44)+(S44+T44)+W44+X44)+IF('Исходные данные'!$B$55="Да",AG44,0)-N('Исходные данные'!$B$56)/12),IF('Исходные данные'!$B$53="Пользовательская база",MAX(0,N('Исходные данные'!$B$57)/12),0)))</f>
        <v>0</v>
      </c>
      <c r="AS44">
        <f>IF(E44=1,-AR44*N('Исходные данные'!$B$50),0)</f>
        <v>0</v>
      </c>
      <c r="AT44">
        <f t="shared" si="30"/>
        <v>0</v>
      </c>
      <c r="AU44">
        <f>IF(OR(B44="",N('Исходные данные'!$B$80)&lt;=0,'Исходные данные'!$B$88=""),0,MAX(0,IF('Исходные данные'!$B$88="Последние 12 месяцев",SUMIFS($Y$2:$Y$194,$B$2:$B$194,"&gt;="&amp;EDATE(B44,-11),$B$2:$B$194,"&lt;="&amp;B44),IF('Исходные данные'!$B$88="Пользовательский NOI",N('Исходные данные'!$B$89),AT44))/N('Исходные данные'!$B$80)*(1+N('Исходные данные'!$B$81))))</f>
        <v>0</v>
      </c>
      <c r="AV44">
        <f>IF(OR(E44&lt;&gt;1,B44="",'Исходные данные'!$B$91=""),0,IF(AND(YEAR(B44)=YEAR('Исходные данные'!$B$91),MONTH(B44)=MONTH('Исходные данные'!$B$91)),AU44,0))</f>
        <v>0</v>
      </c>
      <c r="AW44">
        <f>-AV44*N('Исходные данные'!$B$73)</f>
        <v>0</v>
      </c>
      <c r="AX44">
        <f>IF(AV44=0,0,-N('Исходные данные'!$B$87)-IF('Исходные данные'!$B$82="Да",IF('Исходные данные'!$B$84="С выручки",AV44,IF('Исходные данные'!$B$84="С прибыли",MAX(0,AV44+AW44-IF('Исходные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44">
        <f t="shared" si="31"/>
        <v>0</v>
      </c>
      <c r="AZ44">
        <f t="shared" si="32"/>
        <v>0</v>
      </c>
      <c r="BA44">
        <f t="shared" si="33"/>
        <v>0</v>
      </c>
      <c r="BB44" t="str">
        <f t="shared" si="40"/>
        <v/>
      </c>
      <c r="BC44">
        <f>IF(OR(E44=0,'Исходные данные'!$B$9="",'Исходные данные'!$B$90=""),0,BA44/(1+'Исходные данные'!$B$90)^((D44-'Исходные данные'!$B$9)/365))</f>
        <v>0</v>
      </c>
      <c r="BD44">
        <f>IF(AND(E44=1,BB44&gt;=0,BB43&lt;0,MIN($BB$2:BB44)&lt;0),1,0)</f>
        <v>0</v>
      </c>
      <c r="BE44">
        <f t="shared" si="34"/>
        <v>0</v>
      </c>
      <c r="BF44">
        <f t="shared" si="35"/>
        <v>0</v>
      </c>
      <c r="BG44">
        <f t="shared" si="36"/>
        <v>0</v>
      </c>
      <c r="BH44">
        <f t="shared" si="37"/>
        <v>1</v>
      </c>
      <c r="BI44">
        <f>AZ44+N44+AP44-AR44*N('Исходные данные'!$B$50)</f>
        <v>0</v>
      </c>
      <c r="BJ44">
        <f t="shared" si="20"/>
        <v>0</v>
      </c>
      <c r="BK44">
        <f>IF(AND(BJ44&gt;=0,BJ43&lt;0,MIN($BJ$2:BJ44)&lt;0),1,0)</f>
        <v>0</v>
      </c>
    </row>
    <row r="45" spans="1:63" x14ac:dyDescent="0.2">
      <c r="A45">
        <v>44</v>
      </c>
      <c r="B45" t="str">
        <f>IF('Исходные данные'!$B$9="","",EDATE(DATE(YEAR('Исходные данные'!$B$9),MONTH('Исходные данные'!$B$9),1),A45-1))</f>
        <v/>
      </c>
      <c r="C45" t="str">
        <f t="shared" si="21"/>
        <v/>
      </c>
      <c r="D45" t="str">
        <f>IF(B45="","",IF('Исходные данные'!$B$91&lt;&gt;"",IF(AND(YEAR(B45)=YEAR('Исходные данные'!$B$91),MONTH(B45)=MONTH('Исходные данные'!$B$91)),'Исходные данные'!$B$91,IF('Исходные данные'!$B$13&lt;&gt;"",IF(AND(YEAR(B45)=YEAR('Исходные данные'!$B$13),MONTH(B45)=MONTH('Исходные данные'!$B$13)),'Исходные данные'!$B$13,IF('Исходные данные'!$B$26&lt;&gt;"",IF(AND(YEAR(B45)=YEAR('Исходные данные'!$B$26),MONTH(B45)=MONTH('Исходные данные'!$B$26)),'Исходные данные'!$B$26,IF(A45=1,'Исходные данные'!$B$9,C45)),IF(A45=1,'Исходные данные'!$B$9,C45))),IF('Исходные данные'!$B$26&lt;&gt;"",IF(AND(YEAR(B45)=YEAR('Исходные данные'!$B$26),MONTH(B45)=MONTH('Исходные данные'!$B$26)),'Исходные данные'!$B$26,IF(A45=1,'Исходные данные'!$B$9,C45)),IF(A45=1,'Исходные данные'!$B$9,C45)))),IF('Исходные данные'!$B$13&lt;&gt;"",IF(AND(YEAR(B45)=YEAR('Исходные данные'!$B$13),MONTH(B45)=MONTH('Исходные данные'!$B$13)),'Исходные данные'!$B$13,IF('Исходные данные'!$B$26&lt;&gt;"",IF(AND(YEAR(B45)=YEAR('Исходные данные'!$B$26),MONTH(B45)=MONTH('Исходные данные'!$B$26)),'Исходные данные'!$B$26,IF(A45=1,'Исходные данные'!$B$9,C45)),IF(A45=1,'Исходные данные'!$B$9,C45))),IF('Исходные данные'!$B$26&lt;&gt;"",IF(AND(YEAR(B45)=YEAR('Исходные данные'!$B$26),MONTH(B45)=MONTH('Исходные данные'!$B$26)),'Исходные данные'!$B$26,IF(A45=1,'Исходные данные'!$B$9,C45)),IF(A45=1,'Исходные данные'!$B$9,C45)))))</f>
        <v/>
      </c>
      <c r="E45">
        <f>IF(OR(B45="",'Исходные данные'!$B$91=""),0,--(B45&lt;=DATE(YEAR('Исходные данные'!$B$91),MONTH('Исходные данные'!$B$91),1)))</f>
        <v>0</v>
      </c>
      <c r="F45">
        <f>IF(OR(B45="",'Исходные данные'!$B$30="",C45&lt;'Исходные данные'!$B$30),0,DATEDIF(DATE(YEAR('Исходные данные'!$B$30),MONTH('Исходные данные'!$B$30),1),B45,"m")+1)</f>
        <v>0</v>
      </c>
      <c r="G45">
        <f t="shared" si="22"/>
        <v>0</v>
      </c>
      <c r="H45">
        <f>IF(F45=0,0,IF(G45=1,N('Исходные данные'!$B$31),IF(G45=2,N('Исходные данные'!$B$32),IF(G45=3,N('Исходные данные'!$B$33),N('Исходные данные'!$B$33)*(1+N('Исходные данные'!$B$34))^(G45-3)))))</f>
        <v>0</v>
      </c>
      <c r="I45">
        <f>IF(OR(F45=0,N('Исходные данные'!$B$5)=0,H45=0),0,'Исходные данные'!$B$5*H45*IF(AND(B45&lt;='Исходные данные'!$B$30,C45&gt;='Исходные данные'!$B$30),(C45-'Исходные данные'!$B$30+1)/DAY(C45),1))</f>
        <v>0</v>
      </c>
      <c r="J45">
        <f>IF(AND(F45&gt;0,F45&lt;=N('Исходные данные'!$B$37)),-I45,0)</f>
        <v>0</v>
      </c>
      <c r="K45">
        <f>IF(OR(F45=0,F45&lt;=N('Исходные данные'!$B$37)),0,-(I45+J45)*N('Исходные данные'!$B$38))</f>
        <v>0</v>
      </c>
      <c r="L45">
        <f t="shared" si="23"/>
        <v>0</v>
      </c>
      <c r="M45">
        <f>IF('Исходные данные'!$B$51="Да",L45*N('Исходные данные'!$B$52),0)</f>
        <v>0</v>
      </c>
      <c r="N45">
        <f t="shared" si="24"/>
        <v>0</v>
      </c>
      <c r="O45">
        <f>IF(OR(B45="",IF('Исходные данные'!$B$45="",'Исходные данные'!$B$10,'Исходные данные'!$B$45)="",C45&lt;IF('Исходные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данные'!$B$45)),1),B45,"m")/12))*IF(AND(B45&lt;=IF('Исходные данные'!$B$45="",'Исходные данные'!$B$10,'Исходные данные'!$B$45),C45&gt;=IF('Исходные данные'!$B$45="",'Исходные данные'!$B$10,'Исходные данные'!$B$45)),(C45-IF('Исходные данные'!$B$45="",'Исходные данные'!$B$10,'Исходные данные'!$B$45)+1)/DAY(C45),1)*IF('Исходные данные'!$B$43="Без НДС",1+N('Исходные данные'!$B$44),1))</f>
        <v>0</v>
      </c>
      <c r="P45">
        <f>IF('Исходные данные'!$B$51="Да",-O45*N('Исходные данные'!$B$44)/(1+N('Исходные данные'!$B$44)),0)</f>
        <v>0</v>
      </c>
      <c r="Q45">
        <f>IF('Исходные данные'!$B$35="Да",-O45,0)</f>
        <v>0</v>
      </c>
      <c r="R45">
        <f>IF(AND('Исходные данные'!$B$51="Да",Q45&gt;0),Q45*N('Исходные данные'!$B$52)/(1+N('Исходные данные'!$B$52)),0)</f>
        <v>0</v>
      </c>
      <c r="S45">
        <f>IF(OR(B45="",IF('Исходные данные'!$B$45="",'Исходные данные'!$B$10,'Исходные данные'!$B$45)="",C45&lt;IF('Исходные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данные'!$B$45)),1),B45,"m")/12))*IF(AND(B45&lt;=IF('Исходные данные'!$B$45="",'Исходные данные'!$B$10,'Исходные данные'!$B$45),C45&gt;=IF('Исходные данные'!$B$45="",'Исходные данные'!$B$10,'Исходные данные'!$B$45)),(C45-IF('Исходные данные'!$B$45="",'Исходные данные'!$B$10,'Исходные данные'!$B$45)+1)/DAY(C45),1)*IF('Исходные данные'!$B$43="Без НДС",1+N('Исходные данные'!$B$44),1))</f>
        <v>0</v>
      </c>
      <c r="T45">
        <f>IF('Исходные данные'!$B$51="Да",-S45*N('Исходные данные'!$B$44)/(1+N('Исходные данные'!$B$44)),0)</f>
        <v>0</v>
      </c>
      <c r="U45">
        <f>IF('Исходные данные'!$B$36="Да",-S45,0)</f>
        <v>0</v>
      </c>
      <c r="V45">
        <f>IF(AND('Исходные данные'!$B$51="Да",U45&gt;0),U45*N('Исходные данные'!$B$52)/(1+N('Исходные данные'!$B$52)),0)</f>
        <v>0</v>
      </c>
      <c r="W45">
        <f>IF(OR(B45="",IF('Исходные данные'!$B$69="",'Исходные данные'!$B$10,'Исходные данные'!$B$69)="",C45&lt;IF('Исходные данные'!$B$69="",'Исходные данные'!$B$10,'Исходные данные'!$B$69)),0,-N('Исходные данные'!$B$16)*N('Исходные данные'!$B$68)*N('Исходные данные'!$B$67)/12*IF(AND(B45&lt;=IF('Исходные данные'!$B$69="",'Исходные данные'!$B$10,'Исходные данные'!$B$69),C45&gt;=IF('Исходные данные'!$B$69="",'Исходные данные'!$B$10,'Исходные данные'!$B$69)),(C45-IF('Исходные данные'!$B$69="",'Исходные данные'!$B$10,'Исходные данные'!$B$69)+1)/DAY(C45),1))</f>
        <v>0</v>
      </c>
      <c r="X45">
        <f>IF(OR(B45="",IF('Исходные данные'!$B$76="",'Исходные данные'!$B$10,'Исходные данные'!$B$76)="",C45&lt;IF('Исходные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данные'!$B$76)),1),B45,"m")/12))*IF(AND(B45&lt;=IF('Исходные данные'!$B$76="",'Исходные данные'!$B$10,'Исходные данные'!$B$76),C45&gt;=IF('Исходные данные'!$B$76="",'Исходные данные'!$B$10,'Исходные данные'!$B$76)),(C45-IF('Исходные данные'!$B$76="",'Исходные данные'!$B$10,'Исходные данные'!$B$76)+1)/DAY(C45),1))</f>
        <v>0</v>
      </c>
      <c r="Y45">
        <f t="shared" si="25"/>
        <v>0</v>
      </c>
      <c r="Z45">
        <f>IF(OR(B45="",N('Исходные данные'!$B$19)=0),0,-SUMIFS('Исходные данные'!$I$6:$I$186,'Исходные данные'!$F$6:$F$186,B45)*N('Исходные данные'!$B$17)/N('Исходные данные'!$B$19))</f>
        <v>0</v>
      </c>
      <c r="AA45">
        <f>IF(OR(B45="",N('Исходные данные'!$B$19)=0),0,-SUMIFS('Исходные данные'!$I$6:$I$186,'Исходные данные'!$F$6:$F$186,B45)*N('Исходные данные'!$B$18)/N('Исходные данные'!$B$19))</f>
        <v>0</v>
      </c>
      <c r="AB45">
        <f>IF(OR(B45="",'Исходные данные'!$B$13=""),0,IF(AND(YEAR(B45)=YEAR('Исходные данные'!$B$13),MONTH(B45)=MONTH('Исходные данные'!$B$13)),-N('Исходные данные'!$B$11),0))</f>
        <v>0</v>
      </c>
      <c r="AC45">
        <f>IF(A45=1,-N('Исходные данные'!$B$19)*N('Исходные данные'!$B$72),0)</f>
        <v>0</v>
      </c>
      <c r="AD45">
        <f>IF(OR(B45="",'Исходные данные'!$B$22&lt;&gt;"Да",'Исходные данные'!$B$26=""),0,IF(AND(YEAR(B45)=YEAR('Исходные данные'!$B$26),MONTH(B45)=MONTH('Исходные данные'!$B$26)),N('Исходные данные'!$B$23),0))</f>
        <v>0</v>
      </c>
      <c r="AE45">
        <f t="shared" si="38"/>
        <v>0</v>
      </c>
      <c r="AF45">
        <f>IF(OR('Исходные данные'!$B$22&lt;&gt;"Да",'Исходные данные'!$B$26="",C45&lt;'Исходные данные'!$B$26),0,DATEDIF(DATE(YEAR('Исходные данные'!$B$26),MONTH('Исходные данные'!$B$26),1),B45,"m")+1)</f>
        <v>0</v>
      </c>
      <c r="AG45">
        <f>IF(OR(AF45&lt;1,AF45&gt;N('Исходные данные'!$B$25),AE45+AD45&lt;=0),0,-(AE45+AD45)*N('Исходные данные'!$B$24)*IF(AF45=1,C45-'Исходные данные'!$B$26+1,DAY(C45))/365)</f>
        <v>0</v>
      </c>
      <c r="AH45">
        <f>IF(OR(AF45&lt;1,AF45&gt;N('Исходные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данные'!$B$25)-AG45))</f>
        <v>0</v>
      </c>
      <c r="AI45">
        <f>IF(OR('Исходные данные'!$B$22&lt;&gt;"Да",AE45+AD45&lt;=0),0,IF(AND('Исходные данные'!$B$91&lt;&gt;"",B45&lt;&gt;"",YEAR(B45)=YEAR('Исходные данные'!$B$91),MONTH(B45)=MONTH('Исходные данные'!$B$91)),-(AE45+AD45),IF(OR(AF45&lt;1,AF45&gt;N('Исходные данные'!$B$25)),0,IF('Исходные данные'!$B$27="Равными долями",-MIN(AE45+AD45,N('Исходные данные'!$B$23)/N('Исходные данные'!$B$25)),-MIN(AE45+AD45,IF(AF45=N('Исходные данные'!$B$25),AE45+AD45,MAX(0,AH45+AG45)))))))</f>
        <v>0</v>
      </c>
      <c r="AJ45">
        <f t="shared" si="26"/>
        <v>0</v>
      </c>
      <c r="AK45">
        <f t="shared" si="27"/>
        <v>0</v>
      </c>
      <c r="AL45">
        <f>IF(OR(B45="",'Исходные данные'!$B$51&lt;&gt;"Да",'Исходные данные'!$B$61=""),0,IF(AND(YEAR(B45)=YEAR('Исходные данные'!$B$61),MONTH(B45)=MONTH('Исходные данные'!$B$61)),N('Исходные данные'!$B$18)*N('Исходные данные'!$B$62),0))</f>
        <v>0</v>
      </c>
      <c r="AM45">
        <f t="shared" si="39"/>
        <v>0</v>
      </c>
      <c r="AN45">
        <f t="shared" si="28"/>
        <v>0</v>
      </c>
      <c r="AO45">
        <f t="shared" si="29"/>
        <v>0</v>
      </c>
      <c r="AP45">
        <f>IF('Исходные данные'!$B$51="Да",-MAX(0,AN45-AO45-AM45),0)</f>
        <v>0</v>
      </c>
      <c r="AQ45">
        <f>IF('Исходные данные'!$B$51="Да",MAX(0,AM45+AO45-AN45),0)</f>
        <v>0</v>
      </c>
      <c r="AR45">
        <f>IF('Исходные данные'!$B$53="Выручка",MAX(0,L45+(Q45-R45)+(U45-V45)),IF('Исходные данные'!$B$53="Прибыль до налога",MAX(0,L45+(Q45-R45)+(U45-V45)+N('Исходные данные'!$B$54)*((O45+P45)+(S45+T45)+W45+X45)+IF('Исходные данные'!$B$55="Да",AG45,0)-N('Исходные данные'!$B$56)/12),IF('Исходные данные'!$B$53="Пользовательская база",MAX(0,N('Исходные данные'!$B$57)/12),0)))</f>
        <v>0</v>
      </c>
      <c r="AS45">
        <f>IF(E45=1,-AR45*N('Исходные данные'!$B$50),0)</f>
        <v>0</v>
      </c>
      <c r="AT45">
        <f t="shared" si="30"/>
        <v>0</v>
      </c>
      <c r="AU45">
        <f>IF(OR(B45="",N('Исходные данные'!$B$80)&lt;=0,'Исходные данные'!$B$88=""),0,MAX(0,IF('Исходные данные'!$B$88="Последние 12 месяцев",SUMIFS($Y$2:$Y$194,$B$2:$B$194,"&gt;="&amp;EDATE(B45,-11),$B$2:$B$194,"&lt;="&amp;B45),IF('Исходные данные'!$B$88="Пользовательский NOI",N('Исходные данные'!$B$89),AT45))/N('Исходные данные'!$B$80)*(1+N('Исходные данные'!$B$81))))</f>
        <v>0</v>
      </c>
      <c r="AV45">
        <f>IF(OR(E45&lt;&gt;1,B45="",'Исходные данные'!$B$91=""),0,IF(AND(YEAR(B45)=YEAR('Исходные данные'!$B$91),MONTH(B45)=MONTH('Исходные данные'!$B$91)),AU45,0))</f>
        <v>0</v>
      </c>
      <c r="AW45">
        <f>-AV45*N('Исходные данные'!$B$73)</f>
        <v>0</v>
      </c>
      <c r="AX45">
        <f>IF(AV45=0,0,-N('Исходные данные'!$B$87)-IF('Исходные данные'!$B$82="Да",IF('Исходные данные'!$B$84="С выручки",AV45,IF('Исходные данные'!$B$84="С прибыли",MAX(0,AV45+AW45-IF('Исходные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45">
        <f t="shared" si="31"/>
        <v>0</v>
      </c>
      <c r="AZ45">
        <f t="shared" si="32"/>
        <v>0</v>
      </c>
      <c r="BA45">
        <f t="shared" si="33"/>
        <v>0</v>
      </c>
      <c r="BB45" t="str">
        <f t="shared" si="40"/>
        <v/>
      </c>
      <c r="BC45">
        <f>IF(OR(E45=0,'Исходные данные'!$B$9="",'Исходные данные'!$B$90=""),0,BA45/(1+'Исходные данные'!$B$90)^((D45-'Исходные данные'!$B$9)/365))</f>
        <v>0</v>
      </c>
      <c r="BD45">
        <f>IF(AND(E45=1,BB45&gt;=0,BB44&lt;0,MIN($BB$2:BB45)&lt;0),1,0)</f>
        <v>0</v>
      </c>
      <c r="BE45">
        <f t="shared" si="34"/>
        <v>0</v>
      </c>
      <c r="BF45">
        <f t="shared" si="35"/>
        <v>0</v>
      </c>
      <c r="BG45">
        <f t="shared" si="36"/>
        <v>0</v>
      </c>
      <c r="BH45">
        <f t="shared" si="37"/>
        <v>1</v>
      </c>
      <c r="BI45">
        <f>AZ45+N45+AP45-AR45*N('Исходные данные'!$B$50)</f>
        <v>0</v>
      </c>
      <c r="BJ45">
        <f t="shared" si="20"/>
        <v>0</v>
      </c>
      <c r="BK45">
        <f>IF(AND(BJ45&gt;=0,BJ44&lt;0,MIN($BJ$2:BJ45)&lt;0),1,0)</f>
        <v>0</v>
      </c>
    </row>
    <row r="46" spans="1:63" x14ac:dyDescent="0.2">
      <c r="A46">
        <v>45</v>
      </c>
      <c r="B46" t="str">
        <f>IF('Исходные данные'!$B$9="","",EDATE(DATE(YEAR('Исходные данные'!$B$9),MONTH('Исходные данные'!$B$9),1),A46-1))</f>
        <v/>
      </c>
      <c r="C46" t="str">
        <f t="shared" si="21"/>
        <v/>
      </c>
      <c r="D46" t="str">
        <f>IF(B46="","",IF('Исходные данные'!$B$91&lt;&gt;"",IF(AND(YEAR(B46)=YEAR('Исходные данные'!$B$91),MONTH(B46)=MONTH('Исходные данные'!$B$91)),'Исходные данные'!$B$91,IF('Исходные данные'!$B$13&lt;&gt;"",IF(AND(YEAR(B46)=YEAR('Исходные данные'!$B$13),MONTH(B46)=MONTH('Исходные данные'!$B$13)),'Исходные данные'!$B$13,IF('Исходные данные'!$B$26&lt;&gt;"",IF(AND(YEAR(B46)=YEAR('Исходные данные'!$B$26),MONTH(B46)=MONTH('Исходные данные'!$B$26)),'Исходные данные'!$B$26,IF(A46=1,'Исходные данные'!$B$9,C46)),IF(A46=1,'Исходные данные'!$B$9,C46))),IF('Исходные данные'!$B$26&lt;&gt;"",IF(AND(YEAR(B46)=YEAR('Исходные данные'!$B$26),MONTH(B46)=MONTH('Исходные данные'!$B$26)),'Исходные данные'!$B$26,IF(A46=1,'Исходные данные'!$B$9,C46)),IF(A46=1,'Исходные данные'!$B$9,C46)))),IF('Исходные данные'!$B$13&lt;&gt;"",IF(AND(YEAR(B46)=YEAR('Исходные данные'!$B$13),MONTH(B46)=MONTH('Исходные данные'!$B$13)),'Исходные данные'!$B$13,IF('Исходные данные'!$B$26&lt;&gt;"",IF(AND(YEAR(B46)=YEAR('Исходные данные'!$B$26),MONTH(B46)=MONTH('Исходные данные'!$B$26)),'Исходные данные'!$B$26,IF(A46=1,'Исходные данные'!$B$9,C46)),IF(A46=1,'Исходные данные'!$B$9,C46))),IF('Исходные данные'!$B$26&lt;&gt;"",IF(AND(YEAR(B46)=YEAR('Исходные данные'!$B$26),MONTH(B46)=MONTH('Исходные данные'!$B$26)),'Исходные данные'!$B$26,IF(A46=1,'Исходные данные'!$B$9,C46)),IF(A46=1,'Исходные данные'!$B$9,C46)))))</f>
        <v/>
      </c>
      <c r="E46">
        <f>IF(OR(B46="",'Исходные данные'!$B$91=""),0,--(B46&lt;=DATE(YEAR('Исходные данные'!$B$91),MONTH('Исходные данные'!$B$91),1)))</f>
        <v>0</v>
      </c>
      <c r="F46">
        <f>IF(OR(B46="",'Исходные данные'!$B$30="",C46&lt;'Исходные данные'!$B$30),0,DATEDIF(DATE(YEAR('Исходные данные'!$B$30),MONTH('Исходные данные'!$B$30),1),B46,"m")+1)</f>
        <v>0</v>
      </c>
      <c r="G46">
        <f t="shared" si="22"/>
        <v>0</v>
      </c>
      <c r="H46">
        <f>IF(F46=0,0,IF(G46=1,N('Исходные данные'!$B$31),IF(G46=2,N('Исходные данные'!$B$32),IF(G46=3,N('Исходные данные'!$B$33),N('Исходные данные'!$B$33)*(1+N('Исходные данные'!$B$34))^(G46-3)))))</f>
        <v>0</v>
      </c>
      <c r="I46">
        <f>IF(OR(F46=0,N('Исходные данные'!$B$5)=0,H46=0),0,'Исходные данные'!$B$5*H46*IF(AND(B46&lt;='Исходные данные'!$B$30,C46&gt;='Исходные данные'!$B$30),(C46-'Исходные данные'!$B$30+1)/DAY(C46),1))</f>
        <v>0</v>
      </c>
      <c r="J46">
        <f>IF(AND(F46&gt;0,F46&lt;=N('Исходные данные'!$B$37)),-I46,0)</f>
        <v>0</v>
      </c>
      <c r="K46">
        <f>IF(OR(F46=0,F46&lt;=N('Исходные данные'!$B$37)),0,-(I46+J46)*N('Исходные данные'!$B$38))</f>
        <v>0</v>
      </c>
      <c r="L46">
        <f t="shared" si="23"/>
        <v>0</v>
      </c>
      <c r="M46">
        <f>IF('Исходные данные'!$B$51="Да",L46*N('Исходные данные'!$B$52),0)</f>
        <v>0</v>
      </c>
      <c r="N46">
        <f t="shared" si="24"/>
        <v>0</v>
      </c>
      <c r="O46">
        <f>IF(OR(B46="",IF('Исходные данные'!$B$45="",'Исходные данные'!$B$10,'Исходные данные'!$B$45)="",C46&lt;IF('Исходные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данные'!$B$45)),1),B46,"m")/12))*IF(AND(B46&lt;=IF('Исходные данные'!$B$45="",'Исходные данные'!$B$10,'Исходные данные'!$B$45),C46&gt;=IF('Исходные данные'!$B$45="",'Исходные данные'!$B$10,'Исходные данные'!$B$45)),(C46-IF('Исходные данные'!$B$45="",'Исходные данные'!$B$10,'Исходные данные'!$B$45)+1)/DAY(C46),1)*IF('Исходные данные'!$B$43="Без НДС",1+N('Исходные данные'!$B$44),1))</f>
        <v>0</v>
      </c>
      <c r="P46">
        <f>IF('Исходные данные'!$B$51="Да",-O46*N('Исходные данные'!$B$44)/(1+N('Исходные данные'!$B$44)),0)</f>
        <v>0</v>
      </c>
      <c r="Q46">
        <f>IF('Исходные данные'!$B$35="Да",-O46,0)</f>
        <v>0</v>
      </c>
      <c r="R46">
        <f>IF(AND('Исходные данные'!$B$51="Да",Q46&gt;0),Q46*N('Исходные данные'!$B$52)/(1+N('Исходные данные'!$B$52)),0)</f>
        <v>0</v>
      </c>
      <c r="S46">
        <f>IF(OR(B46="",IF('Исходные данные'!$B$45="",'Исходные данные'!$B$10,'Исходные данные'!$B$45)="",C46&lt;IF('Исходные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данные'!$B$45)),1),B46,"m")/12))*IF(AND(B46&lt;=IF('Исходные данные'!$B$45="",'Исходные данные'!$B$10,'Исходные данные'!$B$45),C46&gt;=IF('Исходные данные'!$B$45="",'Исходные данные'!$B$10,'Исходные данные'!$B$45)),(C46-IF('Исходные данные'!$B$45="",'Исходные данные'!$B$10,'Исходные данные'!$B$45)+1)/DAY(C46),1)*IF('Исходные данные'!$B$43="Без НДС",1+N('Исходные данные'!$B$44),1))</f>
        <v>0</v>
      </c>
      <c r="T46">
        <f>IF('Исходные данные'!$B$51="Да",-S46*N('Исходные данные'!$B$44)/(1+N('Исходные данные'!$B$44)),0)</f>
        <v>0</v>
      </c>
      <c r="U46">
        <f>IF('Исходные данные'!$B$36="Да",-S46,0)</f>
        <v>0</v>
      </c>
      <c r="V46">
        <f>IF(AND('Исходные данные'!$B$51="Да",U46&gt;0),U46*N('Исходные данные'!$B$52)/(1+N('Исходные данные'!$B$52)),0)</f>
        <v>0</v>
      </c>
      <c r="W46">
        <f>IF(OR(B46="",IF('Исходные данные'!$B$69="",'Исходные данные'!$B$10,'Исходные данные'!$B$69)="",C46&lt;IF('Исходные данные'!$B$69="",'Исходные данные'!$B$10,'Исходные данные'!$B$69)),0,-N('Исходные данные'!$B$16)*N('Исходные данные'!$B$68)*N('Исходные данные'!$B$67)/12*IF(AND(B46&lt;=IF('Исходные данные'!$B$69="",'Исходные данные'!$B$10,'Исходные данные'!$B$69),C46&gt;=IF('Исходные данные'!$B$69="",'Исходные данные'!$B$10,'Исходные данные'!$B$69)),(C46-IF('Исходные данные'!$B$69="",'Исходные данные'!$B$10,'Исходные данные'!$B$69)+1)/DAY(C46),1))</f>
        <v>0</v>
      </c>
      <c r="X46">
        <f>IF(OR(B46="",IF('Исходные данные'!$B$76="",'Исходные данные'!$B$10,'Исходные данные'!$B$76)="",C46&lt;IF('Исходные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данные'!$B$76)),1),B46,"m")/12))*IF(AND(B46&lt;=IF('Исходные данные'!$B$76="",'Исходные данные'!$B$10,'Исходные данные'!$B$76),C46&gt;=IF('Исходные данные'!$B$76="",'Исходные данные'!$B$10,'Исходные данные'!$B$76)),(C46-IF('Исходные данные'!$B$76="",'Исходные данные'!$B$10,'Исходные данные'!$B$76)+1)/DAY(C46),1))</f>
        <v>0</v>
      </c>
      <c r="Y46">
        <f t="shared" si="25"/>
        <v>0</v>
      </c>
      <c r="Z46">
        <f>IF(OR(B46="",N('Исходные данные'!$B$19)=0),0,-SUMIFS('Исходные данные'!$I$6:$I$186,'Исходные данные'!$F$6:$F$186,B46)*N('Исходные данные'!$B$17)/N('Исходные данные'!$B$19))</f>
        <v>0</v>
      </c>
      <c r="AA46">
        <f>IF(OR(B46="",N('Исходные данные'!$B$19)=0),0,-SUMIFS('Исходные данные'!$I$6:$I$186,'Исходные данные'!$F$6:$F$186,B46)*N('Исходные данные'!$B$18)/N('Исходные данные'!$B$19))</f>
        <v>0</v>
      </c>
      <c r="AB46">
        <f>IF(OR(B46="",'Исходные данные'!$B$13=""),0,IF(AND(YEAR(B46)=YEAR('Исходные данные'!$B$13),MONTH(B46)=MONTH('Исходные данные'!$B$13)),-N('Исходные данные'!$B$11),0))</f>
        <v>0</v>
      </c>
      <c r="AC46">
        <f>IF(A46=1,-N('Исходные данные'!$B$19)*N('Исходные данные'!$B$72),0)</f>
        <v>0</v>
      </c>
      <c r="AD46">
        <f>IF(OR(B46="",'Исходные данные'!$B$22&lt;&gt;"Да",'Исходные данные'!$B$26=""),0,IF(AND(YEAR(B46)=YEAR('Исходные данные'!$B$26),MONTH(B46)=MONTH('Исходные данные'!$B$26)),N('Исходные данные'!$B$23),0))</f>
        <v>0</v>
      </c>
      <c r="AE46">
        <f t="shared" si="38"/>
        <v>0</v>
      </c>
      <c r="AF46">
        <f>IF(OR('Исходные данные'!$B$22&lt;&gt;"Да",'Исходные данные'!$B$26="",C46&lt;'Исходные данные'!$B$26),0,DATEDIF(DATE(YEAR('Исходные данные'!$B$26),MONTH('Исходные данные'!$B$26),1),B46,"m")+1)</f>
        <v>0</v>
      </c>
      <c r="AG46">
        <f>IF(OR(AF46&lt;1,AF46&gt;N('Исходные данные'!$B$25),AE46+AD46&lt;=0),0,-(AE46+AD46)*N('Исходные данные'!$B$24)*IF(AF46=1,C46-'Исходные данные'!$B$26+1,DAY(C46))/365)</f>
        <v>0</v>
      </c>
      <c r="AH46">
        <f>IF(OR(AF46&lt;1,AF46&gt;N('Исходные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данные'!$B$25)-AG46))</f>
        <v>0</v>
      </c>
      <c r="AI46">
        <f>IF(OR('Исходные данные'!$B$22&lt;&gt;"Да",AE46+AD46&lt;=0),0,IF(AND('Исходные данные'!$B$91&lt;&gt;"",B46&lt;&gt;"",YEAR(B46)=YEAR('Исходные данные'!$B$91),MONTH(B46)=MONTH('Исходные данные'!$B$91)),-(AE46+AD46),IF(OR(AF46&lt;1,AF46&gt;N('Исходные данные'!$B$25)),0,IF('Исходные данные'!$B$27="Равными долями",-MIN(AE46+AD46,N('Исходные данные'!$B$23)/N('Исходные данные'!$B$25)),-MIN(AE46+AD46,IF(AF46=N('Исходные данные'!$B$25),AE46+AD46,MAX(0,AH46+AG46)))))))</f>
        <v>0</v>
      </c>
      <c r="AJ46">
        <f t="shared" si="26"/>
        <v>0</v>
      </c>
      <c r="AK46">
        <f t="shared" si="27"/>
        <v>0</v>
      </c>
      <c r="AL46">
        <f>IF(OR(B46="",'Исходные данные'!$B$51&lt;&gt;"Да",'Исходные данные'!$B$61=""),0,IF(AND(YEAR(B46)=YEAR('Исходные данные'!$B$61),MONTH(B46)=MONTH('Исходные данные'!$B$61)),N('Исходные данные'!$B$18)*N('Исходные данные'!$B$62),0))</f>
        <v>0</v>
      </c>
      <c r="AM46">
        <f t="shared" si="39"/>
        <v>0</v>
      </c>
      <c r="AN46">
        <f t="shared" si="28"/>
        <v>0</v>
      </c>
      <c r="AO46">
        <f t="shared" si="29"/>
        <v>0</v>
      </c>
      <c r="AP46">
        <f>IF('Исходные данные'!$B$51="Да",-MAX(0,AN46-AO46-AM46),0)</f>
        <v>0</v>
      </c>
      <c r="AQ46">
        <f>IF('Исходные данные'!$B$51="Да",MAX(0,AM46+AO46-AN46),0)</f>
        <v>0</v>
      </c>
      <c r="AR46">
        <f>IF('Исходные данные'!$B$53="Выручка",MAX(0,L46+(Q46-R46)+(U46-V46)),IF('Исходные данные'!$B$53="Прибыль до налога",MAX(0,L46+(Q46-R46)+(U46-V46)+N('Исходные данные'!$B$54)*((O46+P46)+(S46+T46)+W46+X46)+IF('Исходные данные'!$B$55="Да",AG46,0)-N('Исходные данные'!$B$56)/12),IF('Исходные данные'!$B$53="Пользовательская база",MAX(0,N('Исходные данные'!$B$57)/12),0)))</f>
        <v>0</v>
      </c>
      <c r="AS46">
        <f>IF(E46=1,-AR46*N('Исходные данные'!$B$50),0)</f>
        <v>0</v>
      </c>
      <c r="AT46">
        <f t="shared" si="30"/>
        <v>0</v>
      </c>
      <c r="AU46">
        <f>IF(OR(B46="",N('Исходные данные'!$B$80)&lt;=0,'Исходные данные'!$B$88=""),0,MAX(0,IF('Исходные данные'!$B$88="Последние 12 месяцев",SUMIFS($Y$2:$Y$194,$B$2:$B$194,"&gt;="&amp;EDATE(B46,-11),$B$2:$B$194,"&lt;="&amp;B46),IF('Исходные данные'!$B$88="Пользовательский NOI",N('Исходные данные'!$B$89),AT46))/N('Исходные данные'!$B$80)*(1+N('Исходные данные'!$B$81))))</f>
        <v>0</v>
      </c>
      <c r="AV46">
        <f>IF(OR(E46&lt;&gt;1,B46="",'Исходные данные'!$B$91=""),0,IF(AND(YEAR(B46)=YEAR('Исходные данные'!$B$91),MONTH(B46)=MONTH('Исходные данные'!$B$91)),AU46,0))</f>
        <v>0</v>
      </c>
      <c r="AW46">
        <f>-AV46*N('Исходные данные'!$B$73)</f>
        <v>0</v>
      </c>
      <c r="AX46">
        <f>IF(AV46=0,0,-N('Исходные данные'!$B$87)-IF('Исходные данные'!$B$82="Да",IF('Исходные данные'!$B$84="С выручки",AV46,IF('Исходные данные'!$B$84="С прибыли",MAX(0,AV46+AW46-IF('Исходные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46">
        <f t="shared" si="31"/>
        <v>0</v>
      </c>
      <c r="AZ46">
        <f t="shared" si="32"/>
        <v>0</v>
      </c>
      <c r="BA46">
        <f t="shared" si="33"/>
        <v>0</v>
      </c>
      <c r="BB46" t="str">
        <f t="shared" si="40"/>
        <v/>
      </c>
      <c r="BC46">
        <f>IF(OR(E46=0,'Исходные данные'!$B$9="",'Исходные данные'!$B$90=""),0,BA46/(1+'Исходные данные'!$B$90)^((D46-'Исходные данные'!$B$9)/365))</f>
        <v>0</v>
      </c>
      <c r="BD46">
        <f>IF(AND(E46=1,BB46&gt;=0,BB45&lt;0,MIN($BB$2:BB46)&lt;0),1,0)</f>
        <v>0</v>
      </c>
      <c r="BE46">
        <f t="shared" si="34"/>
        <v>0</v>
      </c>
      <c r="BF46">
        <f t="shared" si="35"/>
        <v>0</v>
      </c>
      <c r="BG46">
        <f t="shared" si="36"/>
        <v>0</v>
      </c>
      <c r="BH46">
        <f t="shared" si="37"/>
        <v>1</v>
      </c>
      <c r="BI46">
        <f>AZ46+N46+AP46-AR46*N('Исходные данные'!$B$50)</f>
        <v>0</v>
      </c>
      <c r="BJ46">
        <f t="shared" si="20"/>
        <v>0</v>
      </c>
      <c r="BK46">
        <f>IF(AND(BJ46&gt;=0,BJ45&lt;0,MIN($BJ$2:BJ46)&lt;0),1,0)</f>
        <v>0</v>
      </c>
    </row>
    <row r="47" spans="1:63" x14ac:dyDescent="0.2">
      <c r="A47">
        <v>46</v>
      </c>
      <c r="B47" t="str">
        <f>IF('Исходные данные'!$B$9="","",EDATE(DATE(YEAR('Исходные данные'!$B$9),MONTH('Исходные данные'!$B$9),1),A47-1))</f>
        <v/>
      </c>
      <c r="C47" t="str">
        <f t="shared" si="21"/>
        <v/>
      </c>
      <c r="D47" t="str">
        <f>IF(B47="","",IF('Исходные данные'!$B$91&lt;&gt;"",IF(AND(YEAR(B47)=YEAR('Исходные данные'!$B$91),MONTH(B47)=MONTH('Исходные данные'!$B$91)),'Исходные данные'!$B$91,IF('Исходные данные'!$B$13&lt;&gt;"",IF(AND(YEAR(B47)=YEAR('Исходные данные'!$B$13),MONTH(B47)=MONTH('Исходные данные'!$B$13)),'Исходные данные'!$B$13,IF('Исходные данные'!$B$26&lt;&gt;"",IF(AND(YEAR(B47)=YEAR('Исходные данные'!$B$26),MONTH(B47)=MONTH('Исходные данные'!$B$26)),'Исходные данные'!$B$26,IF(A47=1,'Исходные данные'!$B$9,C47)),IF(A47=1,'Исходные данные'!$B$9,C47))),IF('Исходные данные'!$B$26&lt;&gt;"",IF(AND(YEAR(B47)=YEAR('Исходные данные'!$B$26),MONTH(B47)=MONTH('Исходные данные'!$B$26)),'Исходные данные'!$B$26,IF(A47=1,'Исходные данные'!$B$9,C47)),IF(A47=1,'Исходные данные'!$B$9,C47)))),IF('Исходные данные'!$B$13&lt;&gt;"",IF(AND(YEAR(B47)=YEAR('Исходные данные'!$B$13),MONTH(B47)=MONTH('Исходные данные'!$B$13)),'Исходные данные'!$B$13,IF('Исходные данные'!$B$26&lt;&gt;"",IF(AND(YEAR(B47)=YEAR('Исходные данные'!$B$26),MONTH(B47)=MONTH('Исходные данные'!$B$26)),'Исходные данные'!$B$26,IF(A47=1,'Исходные данные'!$B$9,C47)),IF(A47=1,'Исходные данные'!$B$9,C47))),IF('Исходные данные'!$B$26&lt;&gt;"",IF(AND(YEAR(B47)=YEAR('Исходные данные'!$B$26),MONTH(B47)=MONTH('Исходные данные'!$B$26)),'Исходные данные'!$B$26,IF(A47=1,'Исходные данные'!$B$9,C47)),IF(A47=1,'Исходные данные'!$B$9,C47)))))</f>
        <v/>
      </c>
      <c r="E47">
        <f>IF(OR(B47="",'Исходные данные'!$B$91=""),0,--(B47&lt;=DATE(YEAR('Исходные данные'!$B$91),MONTH('Исходные данные'!$B$91),1)))</f>
        <v>0</v>
      </c>
      <c r="F47">
        <f>IF(OR(B47="",'Исходные данные'!$B$30="",C47&lt;'Исходные данные'!$B$30),0,DATEDIF(DATE(YEAR('Исходные данные'!$B$30),MONTH('Исходные данные'!$B$30),1),B47,"m")+1)</f>
        <v>0</v>
      </c>
      <c r="G47">
        <f t="shared" si="22"/>
        <v>0</v>
      </c>
      <c r="H47">
        <f>IF(F47=0,0,IF(G47=1,N('Исходные данные'!$B$31),IF(G47=2,N('Исходные данные'!$B$32),IF(G47=3,N('Исходные данные'!$B$33),N('Исходные данные'!$B$33)*(1+N('Исходные данные'!$B$34))^(G47-3)))))</f>
        <v>0</v>
      </c>
      <c r="I47">
        <f>IF(OR(F47=0,N('Исходные данные'!$B$5)=0,H47=0),0,'Исходные данные'!$B$5*H47*IF(AND(B47&lt;='Исходные данные'!$B$30,C47&gt;='Исходные данные'!$B$30),(C47-'Исходные данные'!$B$30+1)/DAY(C47),1))</f>
        <v>0</v>
      </c>
      <c r="J47">
        <f>IF(AND(F47&gt;0,F47&lt;=N('Исходные данные'!$B$37)),-I47,0)</f>
        <v>0</v>
      </c>
      <c r="K47">
        <f>IF(OR(F47=0,F47&lt;=N('Исходные данные'!$B$37)),0,-(I47+J47)*N('Исходные данные'!$B$38))</f>
        <v>0</v>
      </c>
      <c r="L47">
        <f t="shared" si="23"/>
        <v>0</v>
      </c>
      <c r="M47">
        <f>IF('Исходные данные'!$B$51="Да",L47*N('Исходные данные'!$B$52),0)</f>
        <v>0</v>
      </c>
      <c r="N47">
        <f t="shared" si="24"/>
        <v>0</v>
      </c>
      <c r="O47">
        <f>IF(OR(B47="",IF('Исходные данные'!$B$45="",'Исходные данные'!$B$10,'Исходные данные'!$B$45)="",C47&lt;IF('Исходные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данные'!$B$45)),1),B47,"m")/12))*IF(AND(B47&lt;=IF('Исходные данные'!$B$45="",'Исходные данные'!$B$10,'Исходные данные'!$B$45),C47&gt;=IF('Исходные данные'!$B$45="",'Исходные данные'!$B$10,'Исходные данные'!$B$45)),(C47-IF('Исходные данные'!$B$45="",'Исходные данные'!$B$10,'Исходные данные'!$B$45)+1)/DAY(C47),1)*IF('Исходные данные'!$B$43="Без НДС",1+N('Исходные данные'!$B$44),1))</f>
        <v>0</v>
      </c>
      <c r="P47">
        <f>IF('Исходные данные'!$B$51="Да",-O47*N('Исходные данные'!$B$44)/(1+N('Исходные данные'!$B$44)),0)</f>
        <v>0</v>
      </c>
      <c r="Q47">
        <f>IF('Исходные данные'!$B$35="Да",-O47,0)</f>
        <v>0</v>
      </c>
      <c r="R47">
        <f>IF(AND('Исходные данные'!$B$51="Да",Q47&gt;0),Q47*N('Исходные данные'!$B$52)/(1+N('Исходные данные'!$B$52)),0)</f>
        <v>0</v>
      </c>
      <c r="S47">
        <f>IF(OR(B47="",IF('Исходные данные'!$B$45="",'Исходные данные'!$B$10,'Исходные данные'!$B$45)="",C47&lt;IF('Исходные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данные'!$B$45)),1),B47,"m")/12))*IF(AND(B47&lt;=IF('Исходные данные'!$B$45="",'Исходные данные'!$B$10,'Исходные данные'!$B$45),C47&gt;=IF('Исходные данные'!$B$45="",'Исходные данные'!$B$10,'Исходные данные'!$B$45)),(C47-IF('Исходные данные'!$B$45="",'Исходные данные'!$B$10,'Исходные данные'!$B$45)+1)/DAY(C47),1)*IF('Исходные данные'!$B$43="Без НДС",1+N('Исходные данные'!$B$44),1))</f>
        <v>0</v>
      </c>
      <c r="T47">
        <f>IF('Исходные данные'!$B$51="Да",-S47*N('Исходные данные'!$B$44)/(1+N('Исходные данные'!$B$44)),0)</f>
        <v>0</v>
      </c>
      <c r="U47">
        <f>IF('Исходные данные'!$B$36="Да",-S47,0)</f>
        <v>0</v>
      </c>
      <c r="V47">
        <f>IF(AND('Исходные данные'!$B$51="Да",U47&gt;0),U47*N('Исходные данные'!$B$52)/(1+N('Исходные данные'!$B$52)),0)</f>
        <v>0</v>
      </c>
      <c r="W47">
        <f>IF(OR(B47="",IF('Исходные данные'!$B$69="",'Исходные данные'!$B$10,'Исходные данные'!$B$69)="",C47&lt;IF('Исходные данные'!$B$69="",'Исходные данные'!$B$10,'Исходные данные'!$B$69)),0,-N('Исходные данные'!$B$16)*N('Исходные данные'!$B$68)*N('Исходные данные'!$B$67)/12*IF(AND(B47&lt;=IF('Исходные данные'!$B$69="",'Исходные данные'!$B$10,'Исходные данные'!$B$69),C47&gt;=IF('Исходные данные'!$B$69="",'Исходные данные'!$B$10,'Исходные данные'!$B$69)),(C47-IF('Исходные данные'!$B$69="",'Исходные данные'!$B$10,'Исходные данные'!$B$69)+1)/DAY(C47),1))</f>
        <v>0</v>
      </c>
      <c r="X47">
        <f>IF(OR(B47="",IF('Исходные данные'!$B$76="",'Исходные данные'!$B$10,'Исходные данные'!$B$76)="",C47&lt;IF('Исходные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данные'!$B$76)),1),B47,"m")/12))*IF(AND(B47&lt;=IF('Исходные данные'!$B$76="",'Исходные данные'!$B$10,'Исходные данные'!$B$76),C47&gt;=IF('Исходные данные'!$B$76="",'Исходные данные'!$B$10,'Исходные данные'!$B$76)),(C47-IF('Исходные данные'!$B$76="",'Исходные данные'!$B$10,'Исходные данные'!$B$76)+1)/DAY(C47),1))</f>
        <v>0</v>
      </c>
      <c r="Y47">
        <f t="shared" si="25"/>
        <v>0</v>
      </c>
      <c r="Z47">
        <f>IF(OR(B47="",N('Исходные данные'!$B$19)=0),0,-SUMIFS('Исходные данные'!$I$6:$I$186,'Исходные данные'!$F$6:$F$186,B47)*N('Исходные данные'!$B$17)/N('Исходные данные'!$B$19))</f>
        <v>0</v>
      </c>
      <c r="AA47">
        <f>IF(OR(B47="",N('Исходные данные'!$B$19)=0),0,-SUMIFS('Исходные данные'!$I$6:$I$186,'Исходные данные'!$F$6:$F$186,B47)*N('Исходные данные'!$B$18)/N('Исходные данные'!$B$19))</f>
        <v>0</v>
      </c>
      <c r="AB47">
        <f>IF(OR(B47="",'Исходные данные'!$B$13=""),0,IF(AND(YEAR(B47)=YEAR('Исходные данные'!$B$13),MONTH(B47)=MONTH('Исходные данные'!$B$13)),-N('Исходные данные'!$B$11),0))</f>
        <v>0</v>
      </c>
      <c r="AC47">
        <f>IF(A47=1,-N('Исходные данные'!$B$19)*N('Исходные данные'!$B$72),0)</f>
        <v>0</v>
      </c>
      <c r="AD47">
        <f>IF(OR(B47="",'Исходные данные'!$B$22&lt;&gt;"Да",'Исходные данные'!$B$26=""),0,IF(AND(YEAR(B47)=YEAR('Исходные данные'!$B$26),MONTH(B47)=MONTH('Исходные данные'!$B$26)),N('Исходные данные'!$B$23),0))</f>
        <v>0</v>
      </c>
      <c r="AE47">
        <f t="shared" si="38"/>
        <v>0</v>
      </c>
      <c r="AF47">
        <f>IF(OR('Исходные данные'!$B$22&lt;&gt;"Да",'Исходные данные'!$B$26="",C47&lt;'Исходные данные'!$B$26),0,DATEDIF(DATE(YEAR('Исходные данные'!$B$26),MONTH('Исходные данные'!$B$26),1),B47,"m")+1)</f>
        <v>0</v>
      </c>
      <c r="AG47">
        <f>IF(OR(AF47&lt;1,AF47&gt;N('Исходные данные'!$B$25),AE47+AD47&lt;=0),0,-(AE47+AD47)*N('Исходные данные'!$B$24)*IF(AF47=1,C47-'Исходные данные'!$B$26+1,DAY(C47))/365)</f>
        <v>0</v>
      </c>
      <c r="AH47">
        <f>IF(OR(AF47&lt;1,AF47&gt;N('Исходные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данные'!$B$25)-AG47))</f>
        <v>0</v>
      </c>
      <c r="AI47">
        <f>IF(OR('Исходные данные'!$B$22&lt;&gt;"Да",AE47+AD47&lt;=0),0,IF(AND('Исходные данные'!$B$91&lt;&gt;"",B47&lt;&gt;"",YEAR(B47)=YEAR('Исходные данные'!$B$91),MONTH(B47)=MONTH('Исходные данные'!$B$91)),-(AE47+AD47),IF(OR(AF47&lt;1,AF47&gt;N('Исходные данные'!$B$25)),0,IF('Исходные данные'!$B$27="Равными долями",-MIN(AE47+AD47,N('Исходные данные'!$B$23)/N('Исходные данные'!$B$25)),-MIN(AE47+AD47,IF(AF47=N('Исходные данные'!$B$25),AE47+AD47,MAX(0,AH47+AG47)))))))</f>
        <v>0</v>
      </c>
      <c r="AJ47">
        <f t="shared" si="26"/>
        <v>0</v>
      </c>
      <c r="AK47">
        <f t="shared" si="27"/>
        <v>0</v>
      </c>
      <c r="AL47">
        <f>IF(OR(B47="",'Исходные данные'!$B$51&lt;&gt;"Да",'Исходные данные'!$B$61=""),0,IF(AND(YEAR(B47)=YEAR('Исходные данные'!$B$61),MONTH(B47)=MONTH('Исходные данные'!$B$61)),N('Исходные данные'!$B$18)*N('Исходные данные'!$B$62),0))</f>
        <v>0</v>
      </c>
      <c r="AM47">
        <f t="shared" si="39"/>
        <v>0</v>
      </c>
      <c r="AN47">
        <f t="shared" si="28"/>
        <v>0</v>
      </c>
      <c r="AO47">
        <f t="shared" si="29"/>
        <v>0</v>
      </c>
      <c r="AP47">
        <f>IF('Исходные данные'!$B$51="Да",-MAX(0,AN47-AO47-AM47),0)</f>
        <v>0</v>
      </c>
      <c r="AQ47">
        <f>IF('Исходные данные'!$B$51="Да",MAX(0,AM47+AO47-AN47),0)</f>
        <v>0</v>
      </c>
      <c r="AR47">
        <f>IF('Исходные данные'!$B$53="Выручка",MAX(0,L47+(Q47-R47)+(U47-V47)),IF('Исходные данные'!$B$53="Прибыль до налога",MAX(0,L47+(Q47-R47)+(U47-V47)+N('Исходные данные'!$B$54)*((O47+P47)+(S47+T47)+W47+X47)+IF('Исходные данные'!$B$55="Да",AG47,0)-N('Исходные данные'!$B$56)/12),IF('Исходные данные'!$B$53="Пользовательская база",MAX(0,N('Исходные данные'!$B$57)/12),0)))</f>
        <v>0</v>
      </c>
      <c r="AS47">
        <f>IF(E47=1,-AR47*N('Исходные данные'!$B$50),0)</f>
        <v>0</v>
      </c>
      <c r="AT47">
        <f t="shared" si="30"/>
        <v>0</v>
      </c>
      <c r="AU47">
        <f>IF(OR(B47="",N('Исходные данные'!$B$80)&lt;=0,'Исходные данные'!$B$88=""),0,MAX(0,IF('Исходные данные'!$B$88="Последние 12 месяцев",SUMIFS($Y$2:$Y$194,$B$2:$B$194,"&gt;="&amp;EDATE(B47,-11),$B$2:$B$194,"&lt;="&amp;B47),IF('Исходные данные'!$B$88="Пользовательский NOI",N('Исходные данные'!$B$89),AT47))/N('Исходные данные'!$B$80)*(1+N('Исходные данные'!$B$81))))</f>
        <v>0</v>
      </c>
      <c r="AV47">
        <f>IF(OR(E47&lt;&gt;1,B47="",'Исходные данные'!$B$91=""),0,IF(AND(YEAR(B47)=YEAR('Исходные данные'!$B$91),MONTH(B47)=MONTH('Исходные данные'!$B$91)),AU47,0))</f>
        <v>0</v>
      </c>
      <c r="AW47">
        <f>-AV47*N('Исходные данные'!$B$73)</f>
        <v>0</v>
      </c>
      <c r="AX47">
        <f>IF(AV47=0,0,-N('Исходные данные'!$B$87)-IF('Исходные данные'!$B$82="Да",IF('Исходные данные'!$B$84="С выручки",AV47,IF('Исходные данные'!$B$84="С прибыли",MAX(0,AV47+AW47-IF('Исходные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47">
        <f t="shared" si="31"/>
        <v>0</v>
      </c>
      <c r="AZ47">
        <f t="shared" si="32"/>
        <v>0</v>
      </c>
      <c r="BA47">
        <f t="shared" si="33"/>
        <v>0</v>
      </c>
      <c r="BB47" t="str">
        <f t="shared" si="40"/>
        <v/>
      </c>
      <c r="BC47">
        <f>IF(OR(E47=0,'Исходные данные'!$B$9="",'Исходные данные'!$B$90=""),0,BA47/(1+'Исходные данные'!$B$90)^((D47-'Исходные данные'!$B$9)/365))</f>
        <v>0</v>
      </c>
      <c r="BD47">
        <f>IF(AND(E47=1,BB47&gt;=0,BB46&lt;0,MIN($BB$2:BB47)&lt;0),1,0)</f>
        <v>0</v>
      </c>
      <c r="BE47">
        <f t="shared" si="34"/>
        <v>0</v>
      </c>
      <c r="BF47">
        <f t="shared" si="35"/>
        <v>0</v>
      </c>
      <c r="BG47">
        <f t="shared" si="36"/>
        <v>0</v>
      </c>
      <c r="BH47">
        <f t="shared" si="37"/>
        <v>1</v>
      </c>
      <c r="BI47">
        <f>AZ47+N47+AP47-AR47*N('Исходные данные'!$B$50)</f>
        <v>0</v>
      </c>
      <c r="BJ47">
        <f t="shared" si="20"/>
        <v>0</v>
      </c>
      <c r="BK47">
        <f>IF(AND(BJ47&gt;=0,BJ46&lt;0,MIN($BJ$2:BJ47)&lt;0),1,0)</f>
        <v>0</v>
      </c>
    </row>
    <row r="48" spans="1:63" x14ac:dyDescent="0.2">
      <c r="A48">
        <v>47</v>
      </c>
      <c r="B48" t="str">
        <f>IF('Исходные данные'!$B$9="","",EDATE(DATE(YEAR('Исходные данные'!$B$9),MONTH('Исходные данные'!$B$9),1),A48-1))</f>
        <v/>
      </c>
      <c r="C48" t="str">
        <f t="shared" si="21"/>
        <v/>
      </c>
      <c r="D48" t="str">
        <f>IF(B48="","",IF('Исходные данные'!$B$91&lt;&gt;"",IF(AND(YEAR(B48)=YEAR('Исходные данные'!$B$91),MONTH(B48)=MONTH('Исходные данные'!$B$91)),'Исходные данные'!$B$91,IF('Исходные данные'!$B$13&lt;&gt;"",IF(AND(YEAR(B48)=YEAR('Исходные данные'!$B$13),MONTH(B48)=MONTH('Исходные данные'!$B$13)),'Исходные данные'!$B$13,IF('Исходные данные'!$B$26&lt;&gt;"",IF(AND(YEAR(B48)=YEAR('Исходные данные'!$B$26),MONTH(B48)=MONTH('Исходные данные'!$B$26)),'Исходные данные'!$B$26,IF(A48=1,'Исходные данные'!$B$9,C48)),IF(A48=1,'Исходные данные'!$B$9,C48))),IF('Исходные данные'!$B$26&lt;&gt;"",IF(AND(YEAR(B48)=YEAR('Исходные данные'!$B$26),MONTH(B48)=MONTH('Исходные данные'!$B$26)),'Исходные данные'!$B$26,IF(A48=1,'Исходные данные'!$B$9,C48)),IF(A48=1,'Исходные данные'!$B$9,C48)))),IF('Исходные данные'!$B$13&lt;&gt;"",IF(AND(YEAR(B48)=YEAR('Исходные данные'!$B$13),MONTH(B48)=MONTH('Исходные данные'!$B$13)),'Исходные данные'!$B$13,IF('Исходные данные'!$B$26&lt;&gt;"",IF(AND(YEAR(B48)=YEAR('Исходные данные'!$B$26),MONTH(B48)=MONTH('Исходные данные'!$B$26)),'Исходные данные'!$B$26,IF(A48=1,'Исходные данные'!$B$9,C48)),IF(A48=1,'Исходные данные'!$B$9,C48))),IF('Исходные данные'!$B$26&lt;&gt;"",IF(AND(YEAR(B48)=YEAR('Исходные данные'!$B$26),MONTH(B48)=MONTH('Исходные данные'!$B$26)),'Исходные данные'!$B$26,IF(A48=1,'Исходные данные'!$B$9,C48)),IF(A48=1,'Исходные данные'!$B$9,C48)))))</f>
        <v/>
      </c>
      <c r="E48">
        <f>IF(OR(B48="",'Исходные данные'!$B$91=""),0,--(B48&lt;=DATE(YEAR('Исходные данные'!$B$91),MONTH('Исходные данные'!$B$91),1)))</f>
        <v>0</v>
      </c>
      <c r="F48">
        <f>IF(OR(B48="",'Исходные данные'!$B$30="",C48&lt;'Исходные данные'!$B$30),0,DATEDIF(DATE(YEAR('Исходные данные'!$B$30),MONTH('Исходные данные'!$B$30),1),B48,"m")+1)</f>
        <v>0</v>
      </c>
      <c r="G48">
        <f t="shared" si="22"/>
        <v>0</v>
      </c>
      <c r="H48">
        <f>IF(F48=0,0,IF(G48=1,N('Исходные данные'!$B$31),IF(G48=2,N('Исходные данные'!$B$32),IF(G48=3,N('Исходные данные'!$B$33),N('Исходные данные'!$B$33)*(1+N('Исходные данные'!$B$34))^(G48-3)))))</f>
        <v>0</v>
      </c>
      <c r="I48">
        <f>IF(OR(F48=0,N('Исходные данные'!$B$5)=0,H48=0),0,'Исходные данные'!$B$5*H48*IF(AND(B48&lt;='Исходные данные'!$B$30,C48&gt;='Исходные данные'!$B$30),(C48-'Исходные данные'!$B$30+1)/DAY(C48),1))</f>
        <v>0</v>
      </c>
      <c r="J48">
        <f>IF(AND(F48&gt;0,F48&lt;=N('Исходные данные'!$B$37)),-I48,0)</f>
        <v>0</v>
      </c>
      <c r="K48">
        <f>IF(OR(F48=0,F48&lt;=N('Исходные данные'!$B$37)),0,-(I48+J48)*N('Исходные данные'!$B$38))</f>
        <v>0</v>
      </c>
      <c r="L48">
        <f t="shared" si="23"/>
        <v>0</v>
      </c>
      <c r="M48">
        <f>IF('Исходные данные'!$B$51="Да",L48*N('Исходные данные'!$B$52),0)</f>
        <v>0</v>
      </c>
      <c r="N48">
        <f t="shared" si="24"/>
        <v>0</v>
      </c>
      <c r="O48">
        <f>IF(OR(B48="",IF('Исходные данные'!$B$45="",'Исходные данные'!$B$10,'Исходные данные'!$B$45)="",C48&lt;IF('Исходные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данные'!$B$45)),1),B48,"m")/12))*IF(AND(B48&lt;=IF('Исходные данные'!$B$45="",'Исходные данные'!$B$10,'Исходные данные'!$B$45),C48&gt;=IF('Исходные данные'!$B$45="",'Исходные данные'!$B$10,'Исходные данные'!$B$45)),(C48-IF('Исходные данные'!$B$45="",'Исходные данные'!$B$10,'Исходные данные'!$B$45)+1)/DAY(C48),1)*IF('Исходные данные'!$B$43="Без НДС",1+N('Исходные данные'!$B$44),1))</f>
        <v>0</v>
      </c>
      <c r="P48">
        <f>IF('Исходные данные'!$B$51="Да",-O48*N('Исходные данные'!$B$44)/(1+N('Исходные данные'!$B$44)),0)</f>
        <v>0</v>
      </c>
      <c r="Q48">
        <f>IF('Исходные данные'!$B$35="Да",-O48,0)</f>
        <v>0</v>
      </c>
      <c r="R48">
        <f>IF(AND('Исходные данные'!$B$51="Да",Q48&gt;0),Q48*N('Исходные данные'!$B$52)/(1+N('Исходные данные'!$B$52)),0)</f>
        <v>0</v>
      </c>
      <c r="S48">
        <f>IF(OR(B48="",IF('Исходные данные'!$B$45="",'Исходные данные'!$B$10,'Исходные данные'!$B$45)="",C48&lt;IF('Исходные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данные'!$B$45)),1),B48,"m")/12))*IF(AND(B48&lt;=IF('Исходные данные'!$B$45="",'Исходные данные'!$B$10,'Исходные данные'!$B$45),C48&gt;=IF('Исходные данные'!$B$45="",'Исходные данные'!$B$10,'Исходные данные'!$B$45)),(C48-IF('Исходные данные'!$B$45="",'Исходные данные'!$B$10,'Исходные данные'!$B$45)+1)/DAY(C48),1)*IF('Исходные данные'!$B$43="Без НДС",1+N('Исходные данные'!$B$44),1))</f>
        <v>0</v>
      </c>
      <c r="T48">
        <f>IF('Исходные данные'!$B$51="Да",-S48*N('Исходные данные'!$B$44)/(1+N('Исходные данные'!$B$44)),0)</f>
        <v>0</v>
      </c>
      <c r="U48">
        <f>IF('Исходные данные'!$B$36="Да",-S48,0)</f>
        <v>0</v>
      </c>
      <c r="V48">
        <f>IF(AND('Исходные данные'!$B$51="Да",U48&gt;0),U48*N('Исходные данные'!$B$52)/(1+N('Исходные данные'!$B$52)),0)</f>
        <v>0</v>
      </c>
      <c r="W48">
        <f>IF(OR(B48="",IF('Исходные данные'!$B$69="",'Исходные данные'!$B$10,'Исходные данные'!$B$69)="",C48&lt;IF('Исходные данные'!$B$69="",'Исходные данные'!$B$10,'Исходные данные'!$B$69)),0,-N('Исходные данные'!$B$16)*N('Исходные данные'!$B$68)*N('Исходные данные'!$B$67)/12*IF(AND(B48&lt;=IF('Исходные данные'!$B$69="",'Исходные данные'!$B$10,'Исходные данные'!$B$69),C48&gt;=IF('Исходные данные'!$B$69="",'Исходные данные'!$B$10,'Исходные данные'!$B$69)),(C48-IF('Исходные данные'!$B$69="",'Исходные данные'!$B$10,'Исходные данные'!$B$69)+1)/DAY(C48),1))</f>
        <v>0</v>
      </c>
      <c r="X48">
        <f>IF(OR(B48="",IF('Исходные данные'!$B$76="",'Исходные данные'!$B$10,'Исходные данные'!$B$76)="",C48&lt;IF('Исходные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данные'!$B$76)),1),B48,"m")/12))*IF(AND(B48&lt;=IF('Исходные данные'!$B$76="",'Исходные данные'!$B$10,'Исходные данные'!$B$76),C48&gt;=IF('Исходные данные'!$B$76="",'Исходные данные'!$B$10,'Исходные данные'!$B$76)),(C48-IF('Исходные данные'!$B$76="",'Исходные данные'!$B$10,'Исходные данные'!$B$76)+1)/DAY(C48),1))</f>
        <v>0</v>
      </c>
      <c r="Y48">
        <f t="shared" si="25"/>
        <v>0</v>
      </c>
      <c r="Z48">
        <f>IF(OR(B48="",N('Исходные данные'!$B$19)=0),0,-SUMIFS('Исходные данные'!$I$6:$I$186,'Исходные данные'!$F$6:$F$186,B48)*N('Исходные данные'!$B$17)/N('Исходные данные'!$B$19))</f>
        <v>0</v>
      </c>
      <c r="AA48">
        <f>IF(OR(B48="",N('Исходные данные'!$B$19)=0),0,-SUMIFS('Исходные данные'!$I$6:$I$186,'Исходные данные'!$F$6:$F$186,B48)*N('Исходные данные'!$B$18)/N('Исходные данные'!$B$19))</f>
        <v>0</v>
      </c>
      <c r="AB48">
        <f>IF(OR(B48="",'Исходные данные'!$B$13=""),0,IF(AND(YEAR(B48)=YEAR('Исходные данные'!$B$13),MONTH(B48)=MONTH('Исходные данные'!$B$13)),-N('Исходные данные'!$B$11),0))</f>
        <v>0</v>
      </c>
      <c r="AC48">
        <f>IF(A48=1,-N('Исходные данные'!$B$19)*N('Исходные данные'!$B$72),0)</f>
        <v>0</v>
      </c>
      <c r="AD48">
        <f>IF(OR(B48="",'Исходные данные'!$B$22&lt;&gt;"Да",'Исходные данные'!$B$26=""),0,IF(AND(YEAR(B48)=YEAR('Исходные данные'!$B$26),MONTH(B48)=MONTH('Исходные данные'!$B$26)),N('Исходные данные'!$B$23),0))</f>
        <v>0</v>
      </c>
      <c r="AE48">
        <f t="shared" si="38"/>
        <v>0</v>
      </c>
      <c r="AF48">
        <f>IF(OR('Исходные данные'!$B$22&lt;&gt;"Да",'Исходные данные'!$B$26="",C48&lt;'Исходные данные'!$B$26),0,DATEDIF(DATE(YEAR('Исходные данные'!$B$26),MONTH('Исходные данные'!$B$26),1),B48,"m")+1)</f>
        <v>0</v>
      </c>
      <c r="AG48">
        <f>IF(OR(AF48&lt;1,AF48&gt;N('Исходные данные'!$B$25),AE48+AD48&lt;=0),0,-(AE48+AD48)*N('Исходные данные'!$B$24)*IF(AF48=1,C48-'Исходные данные'!$B$26+1,DAY(C48))/365)</f>
        <v>0</v>
      </c>
      <c r="AH48">
        <f>IF(OR(AF48&lt;1,AF48&gt;N('Исходные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данные'!$B$25)-AG48))</f>
        <v>0</v>
      </c>
      <c r="AI48">
        <f>IF(OR('Исходные данные'!$B$22&lt;&gt;"Да",AE48+AD48&lt;=0),0,IF(AND('Исходные данные'!$B$91&lt;&gt;"",B48&lt;&gt;"",YEAR(B48)=YEAR('Исходные данные'!$B$91),MONTH(B48)=MONTH('Исходные данные'!$B$91)),-(AE48+AD48),IF(OR(AF48&lt;1,AF48&gt;N('Исходные данные'!$B$25)),0,IF('Исходные данные'!$B$27="Равными долями",-MIN(AE48+AD48,N('Исходные данные'!$B$23)/N('Исходные данные'!$B$25)),-MIN(AE48+AD48,IF(AF48=N('Исходные данные'!$B$25),AE48+AD48,MAX(0,AH48+AG48)))))))</f>
        <v>0</v>
      </c>
      <c r="AJ48">
        <f t="shared" si="26"/>
        <v>0</v>
      </c>
      <c r="AK48">
        <f t="shared" si="27"/>
        <v>0</v>
      </c>
      <c r="AL48">
        <f>IF(OR(B48="",'Исходные данные'!$B$51&lt;&gt;"Да",'Исходные данные'!$B$61=""),0,IF(AND(YEAR(B48)=YEAR('Исходные данные'!$B$61),MONTH(B48)=MONTH('Исходные данные'!$B$61)),N('Исходные данные'!$B$18)*N('Исходные данные'!$B$62),0))</f>
        <v>0</v>
      </c>
      <c r="AM48">
        <f t="shared" si="39"/>
        <v>0</v>
      </c>
      <c r="AN48">
        <f t="shared" si="28"/>
        <v>0</v>
      </c>
      <c r="AO48">
        <f t="shared" si="29"/>
        <v>0</v>
      </c>
      <c r="AP48">
        <f>IF('Исходные данные'!$B$51="Да",-MAX(0,AN48-AO48-AM48),0)</f>
        <v>0</v>
      </c>
      <c r="AQ48">
        <f>IF('Исходные данные'!$B$51="Да",MAX(0,AM48+AO48-AN48),0)</f>
        <v>0</v>
      </c>
      <c r="AR48">
        <f>IF('Исходные данные'!$B$53="Выручка",MAX(0,L48+(Q48-R48)+(U48-V48)),IF('Исходные данные'!$B$53="Прибыль до налога",MAX(0,L48+(Q48-R48)+(U48-V48)+N('Исходные данные'!$B$54)*((O48+P48)+(S48+T48)+W48+X48)+IF('Исходные данные'!$B$55="Да",AG48,0)-N('Исходные данные'!$B$56)/12),IF('Исходные данные'!$B$53="Пользовательская база",MAX(0,N('Исходные данные'!$B$57)/12),0)))</f>
        <v>0</v>
      </c>
      <c r="AS48">
        <f>IF(E48=1,-AR48*N('Исходные данные'!$B$50),0)</f>
        <v>0</v>
      </c>
      <c r="AT48">
        <f t="shared" si="30"/>
        <v>0</v>
      </c>
      <c r="AU48">
        <f>IF(OR(B48="",N('Исходные данные'!$B$80)&lt;=0,'Исходные данные'!$B$88=""),0,MAX(0,IF('Исходные данные'!$B$88="Последние 12 месяцев",SUMIFS($Y$2:$Y$194,$B$2:$B$194,"&gt;="&amp;EDATE(B48,-11),$B$2:$B$194,"&lt;="&amp;B48),IF('Исходные данные'!$B$88="Пользовательский NOI",N('Исходные данные'!$B$89),AT48))/N('Исходные данные'!$B$80)*(1+N('Исходные данные'!$B$81))))</f>
        <v>0</v>
      </c>
      <c r="AV48">
        <f>IF(OR(E48&lt;&gt;1,B48="",'Исходные данные'!$B$91=""),0,IF(AND(YEAR(B48)=YEAR('Исходные данные'!$B$91),MONTH(B48)=MONTH('Исходные данные'!$B$91)),AU48,0))</f>
        <v>0</v>
      </c>
      <c r="AW48">
        <f>-AV48*N('Исходные данные'!$B$73)</f>
        <v>0</v>
      </c>
      <c r="AX48">
        <f>IF(AV48=0,0,-N('Исходные данные'!$B$87)-IF('Исходные данные'!$B$82="Да",IF('Исходные данные'!$B$84="С выручки",AV48,IF('Исходные данные'!$B$84="С прибыли",MAX(0,AV48+AW48-IF('Исходные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48">
        <f t="shared" si="31"/>
        <v>0</v>
      </c>
      <c r="AZ48">
        <f t="shared" si="32"/>
        <v>0</v>
      </c>
      <c r="BA48">
        <f t="shared" si="33"/>
        <v>0</v>
      </c>
      <c r="BB48" t="str">
        <f t="shared" si="40"/>
        <v/>
      </c>
      <c r="BC48">
        <f>IF(OR(E48=0,'Исходные данные'!$B$9="",'Исходные данные'!$B$90=""),0,BA48/(1+'Исходные данные'!$B$90)^((D48-'Исходные данные'!$B$9)/365))</f>
        <v>0</v>
      </c>
      <c r="BD48">
        <f>IF(AND(E48=1,BB48&gt;=0,BB47&lt;0,MIN($BB$2:BB48)&lt;0),1,0)</f>
        <v>0</v>
      </c>
      <c r="BE48">
        <f t="shared" si="34"/>
        <v>0</v>
      </c>
      <c r="BF48">
        <f t="shared" si="35"/>
        <v>0</v>
      </c>
      <c r="BG48">
        <f t="shared" si="36"/>
        <v>0</v>
      </c>
      <c r="BH48">
        <f t="shared" si="37"/>
        <v>1</v>
      </c>
      <c r="BI48">
        <f>AZ48+N48+AP48-AR48*N('Исходные данные'!$B$50)</f>
        <v>0</v>
      </c>
      <c r="BJ48">
        <f t="shared" si="20"/>
        <v>0</v>
      </c>
      <c r="BK48">
        <f>IF(AND(BJ48&gt;=0,BJ47&lt;0,MIN($BJ$2:BJ48)&lt;0),1,0)</f>
        <v>0</v>
      </c>
    </row>
    <row r="49" spans="1:63" x14ac:dyDescent="0.2">
      <c r="A49">
        <v>48</v>
      </c>
      <c r="B49" t="str">
        <f>IF('Исходные данные'!$B$9="","",EDATE(DATE(YEAR('Исходные данные'!$B$9),MONTH('Исходные данные'!$B$9),1),A49-1))</f>
        <v/>
      </c>
      <c r="C49" t="str">
        <f t="shared" si="21"/>
        <v/>
      </c>
      <c r="D49" t="str">
        <f>IF(B49="","",IF('Исходные данные'!$B$91&lt;&gt;"",IF(AND(YEAR(B49)=YEAR('Исходные данные'!$B$91),MONTH(B49)=MONTH('Исходные данные'!$B$91)),'Исходные данные'!$B$91,IF('Исходные данные'!$B$13&lt;&gt;"",IF(AND(YEAR(B49)=YEAR('Исходные данные'!$B$13),MONTH(B49)=MONTH('Исходные данные'!$B$13)),'Исходные данные'!$B$13,IF('Исходные данные'!$B$26&lt;&gt;"",IF(AND(YEAR(B49)=YEAR('Исходные данные'!$B$26),MONTH(B49)=MONTH('Исходные данные'!$B$26)),'Исходные данные'!$B$26,IF(A49=1,'Исходные данные'!$B$9,C49)),IF(A49=1,'Исходные данные'!$B$9,C49))),IF('Исходные данные'!$B$26&lt;&gt;"",IF(AND(YEAR(B49)=YEAR('Исходные данные'!$B$26),MONTH(B49)=MONTH('Исходные данные'!$B$26)),'Исходные данные'!$B$26,IF(A49=1,'Исходные данные'!$B$9,C49)),IF(A49=1,'Исходные данные'!$B$9,C49)))),IF('Исходные данные'!$B$13&lt;&gt;"",IF(AND(YEAR(B49)=YEAR('Исходные данные'!$B$13),MONTH(B49)=MONTH('Исходные данные'!$B$13)),'Исходные данные'!$B$13,IF('Исходные данные'!$B$26&lt;&gt;"",IF(AND(YEAR(B49)=YEAR('Исходные данные'!$B$26),MONTH(B49)=MONTH('Исходные данные'!$B$26)),'Исходные данные'!$B$26,IF(A49=1,'Исходные данные'!$B$9,C49)),IF(A49=1,'Исходные данные'!$B$9,C49))),IF('Исходные данные'!$B$26&lt;&gt;"",IF(AND(YEAR(B49)=YEAR('Исходные данные'!$B$26),MONTH(B49)=MONTH('Исходные данные'!$B$26)),'Исходные данные'!$B$26,IF(A49=1,'Исходные данные'!$B$9,C49)),IF(A49=1,'Исходные данные'!$B$9,C49)))))</f>
        <v/>
      </c>
      <c r="E49">
        <f>IF(OR(B49="",'Исходные данные'!$B$91=""),0,--(B49&lt;=DATE(YEAR('Исходные данные'!$B$91),MONTH('Исходные данные'!$B$91),1)))</f>
        <v>0</v>
      </c>
      <c r="F49">
        <f>IF(OR(B49="",'Исходные данные'!$B$30="",C49&lt;'Исходные данные'!$B$30),0,DATEDIF(DATE(YEAR('Исходные данные'!$B$30),MONTH('Исходные данные'!$B$30),1),B49,"m")+1)</f>
        <v>0</v>
      </c>
      <c r="G49">
        <f t="shared" si="22"/>
        <v>0</v>
      </c>
      <c r="H49">
        <f>IF(F49=0,0,IF(G49=1,N('Исходные данные'!$B$31),IF(G49=2,N('Исходные данные'!$B$32),IF(G49=3,N('Исходные данные'!$B$33),N('Исходные данные'!$B$33)*(1+N('Исходные данные'!$B$34))^(G49-3)))))</f>
        <v>0</v>
      </c>
      <c r="I49">
        <f>IF(OR(F49=0,N('Исходные данные'!$B$5)=0,H49=0),0,'Исходные данные'!$B$5*H49*IF(AND(B49&lt;='Исходные данные'!$B$30,C49&gt;='Исходные данные'!$B$30),(C49-'Исходные данные'!$B$30+1)/DAY(C49),1))</f>
        <v>0</v>
      </c>
      <c r="J49">
        <f>IF(AND(F49&gt;0,F49&lt;=N('Исходные данные'!$B$37)),-I49,0)</f>
        <v>0</v>
      </c>
      <c r="K49">
        <f>IF(OR(F49=0,F49&lt;=N('Исходные данные'!$B$37)),0,-(I49+J49)*N('Исходные данные'!$B$38))</f>
        <v>0</v>
      </c>
      <c r="L49">
        <f t="shared" si="23"/>
        <v>0</v>
      </c>
      <c r="M49">
        <f>IF('Исходные данные'!$B$51="Да",L49*N('Исходные данные'!$B$52),0)</f>
        <v>0</v>
      </c>
      <c r="N49">
        <f t="shared" si="24"/>
        <v>0</v>
      </c>
      <c r="O49">
        <f>IF(OR(B49="",IF('Исходные данные'!$B$45="",'Исходные данные'!$B$10,'Исходные данные'!$B$45)="",C49&lt;IF('Исходные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данные'!$B$45)),1),B49,"m")/12))*IF(AND(B49&lt;=IF('Исходные данные'!$B$45="",'Исходные данные'!$B$10,'Исходные данные'!$B$45),C49&gt;=IF('Исходные данные'!$B$45="",'Исходные данные'!$B$10,'Исходные данные'!$B$45)),(C49-IF('Исходные данные'!$B$45="",'Исходные данные'!$B$10,'Исходные данные'!$B$45)+1)/DAY(C49),1)*IF('Исходные данные'!$B$43="Без НДС",1+N('Исходные данные'!$B$44),1))</f>
        <v>0</v>
      </c>
      <c r="P49">
        <f>IF('Исходные данные'!$B$51="Да",-O49*N('Исходные данные'!$B$44)/(1+N('Исходные данные'!$B$44)),0)</f>
        <v>0</v>
      </c>
      <c r="Q49">
        <f>IF('Исходные данные'!$B$35="Да",-O49,0)</f>
        <v>0</v>
      </c>
      <c r="R49">
        <f>IF(AND('Исходные данные'!$B$51="Да",Q49&gt;0),Q49*N('Исходные данные'!$B$52)/(1+N('Исходные данные'!$B$52)),0)</f>
        <v>0</v>
      </c>
      <c r="S49">
        <f>IF(OR(B49="",IF('Исходные данные'!$B$45="",'Исходные данные'!$B$10,'Исходные данные'!$B$45)="",C49&lt;IF('Исходные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данные'!$B$45)),1),B49,"m")/12))*IF(AND(B49&lt;=IF('Исходные данные'!$B$45="",'Исходные данные'!$B$10,'Исходные данные'!$B$45),C49&gt;=IF('Исходные данные'!$B$45="",'Исходные данные'!$B$10,'Исходные данные'!$B$45)),(C49-IF('Исходные данные'!$B$45="",'Исходные данные'!$B$10,'Исходные данные'!$B$45)+1)/DAY(C49),1)*IF('Исходные данные'!$B$43="Без НДС",1+N('Исходные данные'!$B$44),1))</f>
        <v>0</v>
      </c>
      <c r="T49">
        <f>IF('Исходные данные'!$B$51="Да",-S49*N('Исходные данные'!$B$44)/(1+N('Исходные данные'!$B$44)),0)</f>
        <v>0</v>
      </c>
      <c r="U49">
        <f>IF('Исходные данные'!$B$36="Да",-S49,0)</f>
        <v>0</v>
      </c>
      <c r="V49">
        <f>IF(AND('Исходные данные'!$B$51="Да",U49&gt;0),U49*N('Исходные данные'!$B$52)/(1+N('Исходные данные'!$B$52)),0)</f>
        <v>0</v>
      </c>
      <c r="W49">
        <f>IF(OR(B49="",IF('Исходные данные'!$B$69="",'Исходные данные'!$B$10,'Исходные данные'!$B$69)="",C49&lt;IF('Исходные данные'!$B$69="",'Исходные данные'!$B$10,'Исходные данные'!$B$69)),0,-N('Исходные данные'!$B$16)*N('Исходные данные'!$B$68)*N('Исходные данные'!$B$67)/12*IF(AND(B49&lt;=IF('Исходные данные'!$B$69="",'Исходные данные'!$B$10,'Исходные данные'!$B$69),C49&gt;=IF('Исходные данные'!$B$69="",'Исходные данные'!$B$10,'Исходные данные'!$B$69)),(C49-IF('Исходные данные'!$B$69="",'Исходные данные'!$B$10,'Исходные данные'!$B$69)+1)/DAY(C49),1))</f>
        <v>0</v>
      </c>
      <c r="X49">
        <f>IF(OR(B49="",IF('Исходные данные'!$B$76="",'Исходные данные'!$B$10,'Исходные данные'!$B$76)="",C49&lt;IF('Исходные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данные'!$B$76)),1),B49,"m")/12))*IF(AND(B49&lt;=IF('Исходные данные'!$B$76="",'Исходные данные'!$B$10,'Исходные данные'!$B$76),C49&gt;=IF('Исходные данные'!$B$76="",'Исходные данные'!$B$10,'Исходные данные'!$B$76)),(C49-IF('Исходные данные'!$B$76="",'Исходные данные'!$B$10,'Исходные данные'!$B$76)+1)/DAY(C49),1))</f>
        <v>0</v>
      </c>
      <c r="Y49">
        <f t="shared" si="25"/>
        <v>0</v>
      </c>
      <c r="Z49">
        <f>IF(OR(B49="",N('Исходные данные'!$B$19)=0),0,-SUMIFS('Исходные данные'!$I$6:$I$186,'Исходные данные'!$F$6:$F$186,B49)*N('Исходные данные'!$B$17)/N('Исходные данные'!$B$19))</f>
        <v>0</v>
      </c>
      <c r="AA49">
        <f>IF(OR(B49="",N('Исходные данные'!$B$19)=0),0,-SUMIFS('Исходные данные'!$I$6:$I$186,'Исходные данные'!$F$6:$F$186,B49)*N('Исходные данные'!$B$18)/N('Исходные данные'!$B$19))</f>
        <v>0</v>
      </c>
      <c r="AB49">
        <f>IF(OR(B49="",'Исходные данные'!$B$13=""),0,IF(AND(YEAR(B49)=YEAR('Исходные данные'!$B$13),MONTH(B49)=MONTH('Исходные данные'!$B$13)),-N('Исходные данные'!$B$11),0))</f>
        <v>0</v>
      </c>
      <c r="AC49">
        <f>IF(A49=1,-N('Исходные данные'!$B$19)*N('Исходные данные'!$B$72),0)</f>
        <v>0</v>
      </c>
      <c r="AD49">
        <f>IF(OR(B49="",'Исходные данные'!$B$22&lt;&gt;"Да",'Исходные данные'!$B$26=""),0,IF(AND(YEAR(B49)=YEAR('Исходные данные'!$B$26),MONTH(B49)=MONTH('Исходные данные'!$B$26)),N('Исходные данные'!$B$23),0))</f>
        <v>0</v>
      </c>
      <c r="AE49">
        <f t="shared" si="38"/>
        <v>0</v>
      </c>
      <c r="AF49">
        <f>IF(OR('Исходные данные'!$B$22&lt;&gt;"Да",'Исходные данные'!$B$26="",C49&lt;'Исходные данные'!$B$26),0,DATEDIF(DATE(YEAR('Исходные данные'!$B$26),MONTH('Исходные данные'!$B$26),1),B49,"m")+1)</f>
        <v>0</v>
      </c>
      <c r="AG49">
        <f>IF(OR(AF49&lt;1,AF49&gt;N('Исходные данные'!$B$25),AE49+AD49&lt;=0),0,-(AE49+AD49)*N('Исходные данные'!$B$24)*IF(AF49=1,C49-'Исходные данные'!$B$26+1,DAY(C49))/365)</f>
        <v>0</v>
      </c>
      <c r="AH49">
        <f>IF(OR(AF49&lt;1,AF49&gt;N('Исходные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данные'!$B$25)-AG49))</f>
        <v>0</v>
      </c>
      <c r="AI49">
        <f>IF(OR('Исходные данные'!$B$22&lt;&gt;"Да",AE49+AD49&lt;=0),0,IF(AND('Исходные данные'!$B$91&lt;&gt;"",B49&lt;&gt;"",YEAR(B49)=YEAR('Исходные данные'!$B$91),MONTH(B49)=MONTH('Исходные данные'!$B$91)),-(AE49+AD49),IF(OR(AF49&lt;1,AF49&gt;N('Исходные данные'!$B$25)),0,IF('Исходные данные'!$B$27="Равными долями",-MIN(AE49+AD49,N('Исходные данные'!$B$23)/N('Исходные данные'!$B$25)),-MIN(AE49+AD49,IF(AF49=N('Исходные данные'!$B$25),AE49+AD49,MAX(0,AH49+AG49)))))))</f>
        <v>0</v>
      </c>
      <c r="AJ49">
        <f t="shared" si="26"/>
        <v>0</v>
      </c>
      <c r="AK49">
        <f t="shared" si="27"/>
        <v>0</v>
      </c>
      <c r="AL49">
        <f>IF(OR(B49="",'Исходные данные'!$B$51&lt;&gt;"Да",'Исходные данные'!$B$61=""),0,IF(AND(YEAR(B49)=YEAR('Исходные данные'!$B$61),MONTH(B49)=MONTH('Исходные данные'!$B$61)),N('Исходные данные'!$B$18)*N('Исходные данные'!$B$62),0))</f>
        <v>0</v>
      </c>
      <c r="AM49">
        <f t="shared" si="39"/>
        <v>0</v>
      </c>
      <c r="AN49">
        <f t="shared" si="28"/>
        <v>0</v>
      </c>
      <c r="AO49">
        <f t="shared" si="29"/>
        <v>0</v>
      </c>
      <c r="AP49">
        <f>IF('Исходные данные'!$B$51="Да",-MAX(0,AN49-AO49-AM49),0)</f>
        <v>0</v>
      </c>
      <c r="AQ49">
        <f>IF('Исходные данные'!$B$51="Да",MAX(0,AM49+AO49-AN49),0)</f>
        <v>0</v>
      </c>
      <c r="AR49">
        <f>IF('Исходные данные'!$B$53="Выручка",MAX(0,L49+(Q49-R49)+(U49-V49)),IF('Исходные данные'!$B$53="Прибыль до налога",MAX(0,L49+(Q49-R49)+(U49-V49)+N('Исходные данные'!$B$54)*((O49+P49)+(S49+T49)+W49+X49)+IF('Исходные данные'!$B$55="Да",AG49,0)-N('Исходные данные'!$B$56)/12),IF('Исходные данные'!$B$53="Пользовательская база",MAX(0,N('Исходные данные'!$B$57)/12),0)))</f>
        <v>0</v>
      </c>
      <c r="AS49">
        <f>IF(E49=1,-AR49*N('Исходные данные'!$B$50),0)</f>
        <v>0</v>
      </c>
      <c r="AT49">
        <f t="shared" si="30"/>
        <v>0</v>
      </c>
      <c r="AU49">
        <f>IF(OR(B49="",N('Исходные данные'!$B$80)&lt;=0,'Исходные данные'!$B$88=""),0,MAX(0,IF('Исходные данные'!$B$88="Последние 12 месяцев",SUMIFS($Y$2:$Y$194,$B$2:$B$194,"&gt;="&amp;EDATE(B49,-11),$B$2:$B$194,"&lt;="&amp;B49),IF('Исходные данные'!$B$88="Пользовательский NOI",N('Исходные данные'!$B$89),AT49))/N('Исходные данные'!$B$80)*(1+N('Исходные данные'!$B$81))))</f>
        <v>0</v>
      </c>
      <c r="AV49">
        <f>IF(OR(E49&lt;&gt;1,B49="",'Исходные данные'!$B$91=""),0,IF(AND(YEAR(B49)=YEAR('Исходные данные'!$B$91),MONTH(B49)=MONTH('Исходные данные'!$B$91)),AU49,0))</f>
        <v>0</v>
      </c>
      <c r="AW49">
        <f>-AV49*N('Исходные данные'!$B$73)</f>
        <v>0</v>
      </c>
      <c r="AX49">
        <f>IF(AV49=0,0,-N('Исходные данные'!$B$87)-IF('Исходные данные'!$B$82="Да",IF('Исходные данные'!$B$84="С выручки",AV49,IF('Исходные данные'!$B$84="С прибыли",MAX(0,AV49+AW49-IF('Исходные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49">
        <f t="shared" si="31"/>
        <v>0</v>
      </c>
      <c r="AZ49">
        <f t="shared" si="32"/>
        <v>0</v>
      </c>
      <c r="BA49">
        <f t="shared" si="33"/>
        <v>0</v>
      </c>
      <c r="BB49" t="str">
        <f t="shared" si="40"/>
        <v/>
      </c>
      <c r="BC49">
        <f>IF(OR(E49=0,'Исходные данные'!$B$9="",'Исходные данные'!$B$90=""),0,BA49/(1+'Исходные данные'!$B$90)^((D49-'Исходные данные'!$B$9)/365))</f>
        <v>0</v>
      </c>
      <c r="BD49">
        <f>IF(AND(E49=1,BB49&gt;=0,BB48&lt;0,MIN($BB$2:BB49)&lt;0),1,0)</f>
        <v>0</v>
      </c>
      <c r="BE49">
        <f t="shared" si="34"/>
        <v>0</v>
      </c>
      <c r="BF49">
        <f t="shared" si="35"/>
        <v>0</v>
      </c>
      <c r="BG49">
        <f t="shared" si="36"/>
        <v>0</v>
      </c>
      <c r="BH49">
        <f t="shared" si="37"/>
        <v>1</v>
      </c>
      <c r="BI49">
        <f>AZ49+N49+AP49-AR49*N('Исходные данные'!$B$50)</f>
        <v>0</v>
      </c>
      <c r="BJ49">
        <f t="shared" si="20"/>
        <v>0</v>
      </c>
      <c r="BK49">
        <f>IF(AND(BJ49&gt;=0,BJ48&lt;0,MIN($BJ$2:BJ49)&lt;0),1,0)</f>
        <v>0</v>
      </c>
    </row>
    <row r="50" spans="1:63" x14ac:dyDescent="0.2">
      <c r="A50">
        <v>49</v>
      </c>
      <c r="B50" t="str">
        <f>IF('Исходные данные'!$B$9="","",EDATE(DATE(YEAR('Исходные данные'!$B$9),MONTH('Исходные данные'!$B$9),1),A50-1))</f>
        <v/>
      </c>
      <c r="C50" t="str">
        <f t="shared" si="21"/>
        <v/>
      </c>
      <c r="D50" t="str">
        <f>IF(B50="","",IF('Исходные данные'!$B$91&lt;&gt;"",IF(AND(YEAR(B50)=YEAR('Исходные данные'!$B$91),MONTH(B50)=MONTH('Исходные данные'!$B$91)),'Исходные данные'!$B$91,IF('Исходные данные'!$B$13&lt;&gt;"",IF(AND(YEAR(B50)=YEAR('Исходные данные'!$B$13),MONTH(B50)=MONTH('Исходные данные'!$B$13)),'Исходные данные'!$B$13,IF('Исходные данные'!$B$26&lt;&gt;"",IF(AND(YEAR(B50)=YEAR('Исходные данные'!$B$26),MONTH(B50)=MONTH('Исходные данные'!$B$26)),'Исходные данные'!$B$26,IF(A50=1,'Исходные данные'!$B$9,C50)),IF(A50=1,'Исходные данные'!$B$9,C50))),IF('Исходные данные'!$B$26&lt;&gt;"",IF(AND(YEAR(B50)=YEAR('Исходные данные'!$B$26),MONTH(B50)=MONTH('Исходные данные'!$B$26)),'Исходные данные'!$B$26,IF(A50=1,'Исходные данные'!$B$9,C50)),IF(A50=1,'Исходные данные'!$B$9,C50)))),IF('Исходные данные'!$B$13&lt;&gt;"",IF(AND(YEAR(B50)=YEAR('Исходные данные'!$B$13),MONTH(B50)=MONTH('Исходные данные'!$B$13)),'Исходные данные'!$B$13,IF('Исходные данные'!$B$26&lt;&gt;"",IF(AND(YEAR(B50)=YEAR('Исходные данные'!$B$26),MONTH(B50)=MONTH('Исходные данные'!$B$26)),'Исходные данные'!$B$26,IF(A50=1,'Исходные данные'!$B$9,C50)),IF(A50=1,'Исходные данные'!$B$9,C50))),IF('Исходные данные'!$B$26&lt;&gt;"",IF(AND(YEAR(B50)=YEAR('Исходные данные'!$B$26),MONTH(B50)=MONTH('Исходные данные'!$B$26)),'Исходные данные'!$B$26,IF(A50=1,'Исходные данные'!$B$9,C50)),IF(A50=1,'Исходные данные'!$B$9,C50)))))</f>
        <v/>
      </c>
      <c r="E50">
        <f>IF(OR(B50="",'Исходные данные'!$B$91=""),0,--(B50&lt;=DATE(YEAR('Исходные данные'!$B$91),MONTH('Исходные данные'!$B$91),1)))</f>
        <v>0</v>
      </c>
      <c r="F50">
        <f>IF(OR(B50="",'Исходные данные'!$B$30="",C50&lt;'Исходные данные'!$B$30),0,DATEDIF(DATE(YEAR('Исходные данные'!$B$30),MONTH('Исходные данные'!$B$30),1),B50,"m")+1)</f>
        <v>0</v>
      </c>
      <c r="G50">
        <f t="shared" si="22"/>
        <v>0</v>
      </c>
      <c r="H50">
        <f>IF(F50=0,0,IF(G50=1,N('Исходные данные'!$B$31),IF(G50=2,N('Исходные данные'!$B$32),IF(G50=3,N('Исходные данные'!$B$33),N('Исходные данные'!$B$33)*(1+N('Исходные данные'!$B$34))^(G50-3)))))</f>
        <v>0</v>
      </c>
      <c r="I50">
        <f>IF(OR(F50=0,N('Исходные данные'!$B$5)=0,H50=0),0,'Исходные данные'!$B$5*H50*IF(AND(B50&lt;='Исходные данные'!$B$30,C50&gt;='Исходные данные'!$B$30),(C50-'Исходные данные'!$B$30+1)/DAY(C50),1))</f>
        <v>0</v>
      </c>
      <c r="J50">
        <f>IF(AND(F50&gt;0,F50&lt;=N('Исходные данные'!$B$37)),-I50,0)</f>
        <v>0</v>
      </c>
      <c r="K50">
        <f>IF(OR(F50=0,F50&lt;=N('Исходные данные'!$B$37)),0,-(I50+J50)*N('Исходные данные'!$B$38))</f>
        <v>0</v>
      </c>
      <c r="L50">
        <f t="shared" si="23"/>
        <v>0</v>
      </c>
      <c r="M50">
        <f>IF('Исходные данные'!$B$51="Да",L50*N('Исходные данные'!$B$52),0)</f>
        <v>0</v>
      </c>
      <c r="N50">
        <f t="shared" si="24"/>
        <v>0</v>
      </c>
      <c r="O50">
        <f>IF(OR(B50="",IF('Исходные данные'!$B$45="",'Исходные данные'!$B$10,'Исходные данные'!$B$45)="",C50&lt;IF('Исходные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данные'!$B$45)),1),B50,"m")/12))*IF(AND(B50&lt;=IF('Исходные данные'!$B$45="",'Исходные данные'!$B$10,'Исходные данные'!$B$45),C50&gt;=IF('Исходные данные'!$B$45="",'Исходные данные'!$B$10,'Исходные данные'!$B$45)),(C50-IF('Исходные данные'!$B$45="",'Исходные данные'!$B$10,'Исходные данные'!$B$45)+1)/DAY(C50),1)*IF('Исходные данные'!$B$43="Без НДС",1+N('Исходные данные'!$B$44),1))</f>
        <v>0</v>
      </c>
      <c r="P50">
        <f>IF('Исходные данные'!$B$51="Да",-O50*N('Исходные данные'!$B$44)/(1+N('Исходные данные'!$B$44)),0)</f>
        <v>0</v>
      </c>
      <c r="Q50">
        <f>IF('Исходные данные'!$B$35="Да",-O50,0)</f>
        <v>0</v>
      </c>
      <c r="R50">
        <f>IF(AND('Исходные данные'!$B$51="Да",Q50&gt;0),Q50*N('Исходные данные'!$B$52)/(1+N('Исходные данные'!$B$52)),0)</f>
        <v>0</v>
      </c>
      <c r="S50">
        <f>IF(OR(B50="",IF('Исходные данные'!$B$45="",'Исходные данные'!$B$10,'Исходные данные'!$B$45)="",C50&lt;IF('Исходные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данные'!$B$45)),1),B50,"m")/12))*IF(AND(B50&lt;=IF('Исходные данные'!$B$45="",'Исходные данные'!$B$10,'Исходные данные'!$B$45),C50&gt;=IF('Исходные данные'!$B$45="",'Исходные данные'!$B$10,'Исходные данные'!$B$45)),(C50-IF('Исходные данные'!$B$45="",'Исходные данные'!$B$10,'Исходные данные'!$B$45)+1)/DAY(C50),1)*IF('Исходные данные'!$B$43="Без НДС",1+N('Исходные данные'!$B$44),1))</f>
        <v>0</v>
      </c>
      <c r="T50">
        <f>IF('Исходные данные'!$B$51="Да",-S50*N('Исходные данные'!$B$44)/(1+N('Исходные данные'!$B$44)),0)</f>
        <v>0</v>
      </c>
      <c r="U50">
        <f>IF('Исходные данные'!$B$36="Да",-S50,0)</f>
        <v>0</v>
      </c>
      <c r="V50">
        <f>IF(AND('Исходные данные'!$B$51="Да",U50&gt;0),U50*N('Исходные данные'!$B$52)/(1+N('Исходные данные'!$B$52)),0)</f>
        <v>0</v>
      </c>
      <c r="W50">
        <f>IF(OR(B50="",IF('Исходные данные'!$B$69="",'Исходные данные'!$B$10,'Исходные данные'!$B$69)="",C50&lt;IF('Исходные данные'!$B$69="",'Исходные данные'!$B$10,'Исходные данные'!$B$69)),0,-N('Исходные данные'!$B$16)*N('Исходные данные'!$B$68)*N('Исходные данные'!$B$67)/12*IF(AND(B50&lt;=IF('Исходные данные'!$B$69="",'Исходные данные'!$B$10,'Исходные данные'!$B$69),C50&gt;=IF('Исходные данные'!$B$69="",'Исходные данные'!$B$10,'Исходные данные'!$B$69)),(C50-IF('Исходные данные'!$B$69="",'Исходные данные'!$B$10,'Исходные данные'!$B$69)+1)/DAY(C50),1))</f>
        <v>0</v>
      </c>
      <c r="X50">
        <f>IF(OR(B50="",IF('Исходные данные'!$B$76="",'Исходные данные'!$B$10,'Исходные данные'!$B$76)="",C50&lt;IF('Исходные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данные'!$B$76)),1),B50,"m")/12))*IF(AND(B50&lt;=IF('Исходные данные'!$B$76="",'Исходные данные'!$B$10,'Исходные данные'!$B$76),C50&gt;=IF('Исходные данные'!$B$76="",'Исходные данные'!$B$10,'Исходные данные'!$B$76)),(C50-IF('Исходные данные'!$B$76="",'Исходные данные'!$B$10,'Исходные данные'!$B$76)+1)/DAY(C50),1))</f>
        <v>0</v>
      </c>
      <c r="Y50">
        <f t="shared" si="25"/>
        <v>0</v>
      </c>
      <c r="Z50">
        <f>IF(OR(B50="",N('Исходные данные'!$B$19)=0),0,-SUMIFS('Исходные данные'!$I$6:$I$186,'Исходные данные'!$F$6:$F$186,B50)*N('Исходные данные'!$B$17)/N('Исходные данные'!$B$19))</f>
        <v>0</v>
      </c>
      <c r="AA50">
        <f>IF(OR(B50="",N('Исходные данные'!$B$19)=0),0,-SUMIFS('Исходные данные'!$I$6:$I$186,'Исходные данные'!$F$6:$F$186,B50)*N('Исходные данные'!$B$18)/N('Исходные данные'!$B$19))</f>
        <v>0</v>
      </c>
      <c r="AB50">
        <f>IF(OR(B50="",'Исходные данные'!$B$13=""),0,IF(AND(YEAR(B50)=YEAR('Исходные данные'!$B$13),MONTH(B50)=MONTH('Исходные данные'!$B$13)),-N('Исходные данные'!$B$11),0))</f>
        <v>0</v>
      </c>
      <c r="AC50">
        <f>IF(A50=1,-N('Исходные данные'!$B$19)*N('Исходные данные'!$B$72),0)</f>
        <v>0</v>
      </c>
      <c r="AD50">
        <f>IF(OR(B50="",'Исходные данные'!$B$22&lt;&gt;"Да",'Исходные данные'!$B$26=""),0,IF(AND(YEAR(B50)=YEAR('Исходные данные'!$B$26),MONTH(B50)=MONTH('Исходные данные'!$B$26)),N('Исходные данные'!$B$23),0))</f>
        <v>0</v>
      </c>
      <c r="AE50">
        <f t="shared" si="38"/>
        <v>0</v>
      </c>
      <c r="AF50">
        <f>IF(OR('Исходные данные'!$B$22&lt;&gt;"Да",'Исходные данные'!$B$26="",C50&lt;'Исходные данные'!$B$26),0,DATEDIF(DATE(YEAR('Исходные данные'!$B$26),MONTH('Исходные данные'!$B$26),1),B50,"m")+1)</f>
        <v>0</v>
      </c>
      <c r="AG50">
        <f>IF(OR(AF50&lt;1,AF50&gt;N('Исходные данные'!$B$25),AE50+AD50&lt;=0),0,-(AE50+AD50)*N('Исходные данные'!$B$24)*IF(AF50=1,C50-'Исходные данные'!$B$26+1,DAY(C50))/365)</f>
        <v>0</v>
      </c>
      <c r="AH50">
        <f>IF(OR(AF50&lt;1,AF50&gt;N('Исходные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данные'!$B$25)-AG50))</f>
        <v>0</v>
      </c>
      <c r="AI50">
        <f>IF(OR('Исходные данные'!$B$22&lt;&gt;"Да",AE50+AD50&lt;=0),0,IF(AND('Исходные данные'!$B$91&lt;&gt;"",B50&lt;&gt;"",YEAR(B50)=YEAR('Исходные данные'!$B$91),MONTH(B50)=MONTH('Исходные данные'!$B$91)),-(AE50+AD50),IF(OR(AF50&lt;1,AF50&gt;N('Исходные данные'!$B$25)),0,IF('Исходные данные'!$B$27="Равными долями",-MIN(AE50+AD50,N('Исходные данные'!$B$23)/N('Исходные данные'!$B$25)),-MIN(AE50+AD50,IF(AF50=N('Исходные данные'!$B$25),AE50+AD50,MAX(0,AH50+AG50)))))))</f>
        <v>0</v>
      </c>
      <c r="AJ50">
        <f t="shared" si="26"/>
        <v>0</v>
      </c>
      <c r="AK50">
        <f t="shared" si="27"/>
        <v>0</v>
      </c>
      <c r="AL50">
        <f>IF(OR(B50="",'Исходные данные'!$B$51&lt;&gt;"Да",'Исходные данные'!$B$61=""),0,IF(AND(YEAR(B50)=YEAR('Исходные данные'!$B$61),MONTH(B50)=MONTH('Исходные данные'!$B$61)),N('Исходные данные'!$B$18)*N('Исходные данные'!$B$62),0))</f>
        <v>0</v>
      </c>
      <c r="AM50">
        <f t="shared" si="39"/>
        <v>0</v>
      </c>
      <c r="AN50">
        <f t="shared" si="28"/>
        <v>0</v>
      </c>
      <c r="AO50">
        <f t="shared" si="29"/>
        <v>0</v>
      </c>
      <c r="AP50">
        <f>IF('Исходные данные'!$B$51="Да",-MAX(0,AN50-AO50-AM50),0)</f>
        <v>0</v>
      </c>
      <c r="AQ50">
        <f>IF('Исходные данные'!$B$51="Да",MAX(0,AM50+AO50-AN50),0)</f>
        <v>0</v>
      </c>
      <c r="AR50">
        <f>IF('Исходные данные'!$B$53="Выручка",MAX(0,L50+(Q50-R50)+(U50-V50)),IF('Исходные данные'!$B$53="Прибыль до налога",MAX(0,L50+(Q50-R50)+(U50-V50)+N('Исходные данные'!$B$54)*((O50+P50)+(S50+T50)+W50+X50)+IF('Исходные данные'!$B$55="Да",AG50,0)-N('Исходные данные'!$B$56)/12),IF('Исходные данные'!$B$53="Пользовательская база",MAX(0,N('Исходные данные'!$B$57)/12),0)))</f>
        <v>0</v>
      </c>
      <c r="AS50">
        <f>IF(E50=1,-AR50*N('Исходные данные'!$B$50),0)</f>
        <v>0</v>
      </c>
      <c r="AT50">
        <f t="shared" si="30"/>
        <v>0</v>
      </c>
      <c r="AU50">
        <f>IF(OR(B50="",N('Исходные данные'!$B$80)&lt;=0,'Исходные данные'!$B$88=""),0,MAX(0,IF('Исходные данные'!$B$88="Последние 12 месяцев",SUMIFS($Y$2:$Y$194,$B$2:$B$194,"&gt;="&amp;EDATE(B50,-11),$B$2:$B$194,"&lt;="&amp;B50),IF('Исходные данные'!$B$88="Пользовательский NOI",N('Исходные данные'!$B$89),AT50))/N('Исходные данные'!$B$80)*(1+N('Исходные данные'!$B$81))))</f>
        <v>0</v>
      </c>
      <c r="AV50">
        <f>IF(OR(E50&lt;&gt;1,B50="",'Исходные данные'!$B$91=""),0,IF(AND(YEAR(B50)=YEAR('Исходные данные'!$B$91),MONTH(B50)=MONTH('Исходные данные'!$B$91)),AU50,0))</f>
        <v>0</v>
      </c>
      <c r="AW50">
        <f>-AV50*N('Исходные данные'!$B$73)</f>
        <v>0</v>
      </c>
      <c r="AX50">
        <f>IF(AV50=0,0,-N('Исходные данные'!$B$87)-IF('Исходные данные'!$B$82="Да",IF('Исходные данные'!$B$84="С выручки",AV50,IF('Исходные данные'!$B$84="С прибыли",MAX(0,AV50+AW50-IF('Исходные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50">
        <f t="shared" si="31"/>
        <v>0</v>
      </c>
      <c r="AZ50">
        <f t="shared" si="32"/>
        <v>0</v>
      </c>
      <c r="BA50">
        <f t="shared" si="33"/>
        <v>0</v>
      </c>
      <c r="BB50" t="str">
        <f t="shared" si="40"/>
        <v/>
      </c>
      <c r="BC50">
        <f>IF(OR(E50=0,'Исходные данные'!$B$9="",'Исходные данные'!$B$90=""),0,BA50/(1+'Исходные данные'!$B$90)^((D50-'Исходные данные'!$B$9)/365))</f>
        <v>0</v>
      </c>
      <c r="BD50">
        <f>IF(AND(E50=1,BB50&gt;=0,BB49&lt;0,MIN($BB$2:BB50)&lt;0),1,0)</f>
        <v>0</v>
      </c>
      <c r="BE50">
        <f t="shared" si="34"/>
        <v>0</v>
      </c>
      <c r="BF50">
        <f t="shared" si="35"/>
        <v>0</v>
      </c>
      <c r="BG50">
        <f t="shared" si="36"/>
        <v>0</v>
      </c>
      <c r="BH50">
        <f t="shared" si="37"/>
        <v>1</v>
      </c>
      <c r="BI50">
        <f>AZ50+N50+AP50-AR50*N('Исходные данные'!$B$50)</f>
        <v>0</v>
      </c>
      <c r="BJ50">
        <f t="shared" si="20"/>
        <v>0</v>
      </c>
      <c r="BK50">
        <f>IF(AND(BJ50&gt;=0,BJ49&lt;0,MIN($BJ$2:BJ50)&lt;0),1,0)</f>
        <v>0</v>
      </c>
    </row>
    <row r="51" spans="1:63" x14ac:dyDescent="0.2">
      <c r="A51">
        <v>50</v>
      </c>
      <c r="B51" t="str">
        <f>IF('Исходные данные'!$B$9="","",EDATE(DATE(YEAR('Исходные данные'!$B$9),MONTH('Исходные данные'!$B$9),1),A51-1))</f>
        <v/>
      </c>
      <c r="C51" t="str">
        <f t="shared" si="21"/>
        <v/>
      </c>
      <c r="D51" t="str">
        <f>IF(B51="","",IF('Исходные данные'!$B$91&lt;&gt;"",IF(AND(YEAR(B51)=YEAR('Исходные данные'!$B$91),MONTH(B51)=MONTH('Исходные данные'!$B$91)),'Исходные данные'!$B$91,IF('Исходные данные'!$B$13&lt;&gt;"",IF(AND(YEAR(B51)=YEAR('Исходные данные'!$B$13),MONTH(B51)=MONTH('Исходные данные'!$B$13)),'Исходные данные'!$B$13,IF('Исходные данные'!$B$26&lt;&gt;"",IF(AND(YEAR(B51)=YEAR('Исходные данные'!$B$26),MONTH(B51)=MONTH('Исходные данные'!$B$26)),'Исходные данные'!$B$26,IF(A51=1,'Исходные данные'!$B$9,C51)),IF(A51=1,'Исходные данные'!$B$9,C51))),IF('Исходные данные'!$B$26&lt;&gt;"",IF(AND(YEAR(B51)=YEAR('Исходные данные'!$B$26),MONTH(B51)=MONTH('Исходные данные'!$B$26)),'Исходные данные'!$B$26,IF(A51=1,'Исходные данные'!$B$9,C51)),IF(A51=1,'Исходные данные'!$B$9,C51)))),IF('Исходные данные'!$B$13&lt;&gt;"",IF(AND(YEAR(B51)=YEAR('Исходные данные'!$B$13),MONTH(B51)=MONTH('Исходные данные'!$B$13)),'Исходные данные'!$B$13,IF('Исходные данные'!$B$26&lt;&gt;"",IF(AND(YEAR(B51)=YEAR('Исходные данные'!$B$26),MONTH(B51)=MONTH('Исходные данные'!$B$26)),'Исходные данные'!$B$26,IF(A51=1,'Исходные данные'!$B$9,C51)),IF(A51=1,'Исходные данные'!$B$9,C51))),IF('Исходные данные'!$B$26&lt;&gt;"",IF(AND(YEAR(B51)=YEAR('Исходные данные'!$B$26),MONTH(B51)=MONTH('Исходные данные'!$B$26)),'Исходные данные'!$B$26,IF(A51=1,'Исходные данные'!$B$9,C51)),IF(A51=1,'Исходные данные'!$B$9,C51)))))</f>
        <v/>
      </c>
      <c r="E51">
        <f>IF(OR(B51="",'Исходные данные'!$B$91=""),0,--(B51&lt;=DATE(YEAR('Исходные данные'!$B$91),MONTH('Исходные данные'!$B$91),1)))</f>
        <v>0</v>
      </c>
      <c r="F51">
        <f>IF(OR(B51="",'Исходные данные'!$B$30="",C51&lt;'Исходные данные'!$B$30),0,DATEDIF(DATE(YEAR('Исходные данные'!$B$30),MONTH('Исходные данные'!$B$30),1),B51,"m")+1)</f>
        <v>0</v>
      </c>
      <c r="G51">
        <f t="shared" si="22"/>
        <v>0</v>
      </c>
      <c r="H51">
        <f>IF(F51=0,0,IF(G51=1,N('Исходные данные'!$B$31),IF(G51=2,N('Исходные данные'!$B$32),IF(G51=3,N('Исходные данные'!$B$33),N('Исходные данные'!$B$33)*(1+N('Исходные данные'!$B$34))^(G51-3)))))</f>
        <v>0</v>
      </c>
      <c r="I51">
        <f>IF(OR(F51=0,N('Исходные данные'!$B$5)=0,H51=0),0,'Исходные данные'!$B$5*H51*IF(AND(B51&lt;='Исходные данные'!$B$30,C51&gt;='Исходные данные'!$B$30),(C51-'Исходные данные'!$B$30+1)/DAY(C51),1))</f>
        <v>0</v>
      </c>
      <c r="J51">
        <f>IF(AND(F51&gt;0,F51&lt;=N('Исходные данные'!$B$37)),-I51,0)</f>
        <v>0</v>
      </c>
      <c r="K51">
        <f>IF(OR(F51=0,F51&lt;=N('Исходные данные'!$B$37)),0,-(I51+J51)*N('Исходные данные'!$B$38))</f>
        <v>0</v>
      </c>
      <c r="L51">
        <f t="shared" si="23"/>
        <v>0</v>
      </c>
      <c r="M51">
        <f>IF('Исходные данные'!$B$51="Да",L51*N('Исходные данные'!$B$52),0)</f>
        <v>0</v>
      </c>
      <c r="N51">
        <f t="shared" si="24"/>
        <v>0</v>
      </c>
      <c r="O51">
        <f>IF(OR(B51="",IF('Исходные данные'!$B$45="",'Исходные данные'!$B$10,'Исходные данные'!$B$45)="",C51&lt;IF('Исходные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данные'!$B$45)),1),B51,"m")/12))*IF(AND(B51&lt;=IF('Исходные данные'!$B$45="",'Исходные данные'!$B$10,'Исходные данные'!$B$45),C51&gt;=IF('Исходные данные'!$B$45="",'Исходные данные'!$B$10,'Исходные данные'!$B$45)),(C51-IF('Исходные данные'!$B$45="",'Исходные данные'!$B$10,'Исходные данные'!$B$45)+1)/DAY(C51),1)*IF('Исходные данные'!$B$43="Без НДС",1+N('Исходные данные'!$B$44),1))</f>
        <v>0</v>
      </c>
      <c r="P51">
        <f>IF('Исходные данные'!$B$51="Да",-O51*N('Исходные данные'!$B$44)/(1+N('Исходные данные'!$B$44)),0)</f>
        <v>0</v>
      </c>
      <c r="Q51">
        <f>IF('Исходные данные'!$B$35="Да",-O51,0)</f>
        <v>0</v>
      </c>
      <c r="R51">
        <f>IF(AND('Исходные данные'!$B$51="Да",Q51&gt;0),Q51*N('Исходные данные'!$B$52)/(1+N('Исходные данные'!$B$52)),0)</f>
        <v>0</v>
      </c>
      <c r="S51">
        <f>IF(OR(B51="",IF('Исходные данные'!$B$45="",'Исходные данные'!$B$10,'Исходные данные'!$B$45)="",C51&lt;IF('Исходные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данные'!$B$45)),1),B51,"m")/12))*IF(AND(B51&lt;=IF('Исходные данные'!$B$45="",'Исходные данные'!$B$10,'Исходные данные'!$B$45),C51&gt;=IF('Исходные данные'!$B$45="",'Исходные данные'!$B$10,'Исходные данные'!$B$45)),(C51-IF('Исходные данные'!$B$45="",'Исходные данные'!$B$10,'Исходные данные'!$B$45)+1)/DAY(C51),1)*IF('Исходные данные'!$B$43="Без НДС",1+N('Исходные данные'!$B$44),1))</f>
        <v>0</v>
      </c>
      <c r="T51">
        <f>IF('Исходные данные'!$B$51="Да",-S51*N('Исходные данные'!$B$44)/(1+N('Исходные данные'!$B$44)),0)</f>
        <v>0</v>
      </c>
      <c r="U51">
        <f>IF('Исходные данные'!$B$36="Да",-S51,0)</f>
        <v>0</v>
      </c>
      <c r="V51">
        <f>IF(AND('Исходные данные'!$B$51="Да",U51&gt;0),U51*N('Исходные данные'!$B$52)/(1+N('Исходные данные'!$B$52)),0)</f>
        <v>0</v>
      </c>
      <c r="W51">
        <f>IF(OR(B51="",IF('Исходные данные'!$B$69="",'Исходные данные'!$B$10,'Исходные данные'!$B$69)="",C51&lt;IF('Исходные данные'!$B$69="",'Исходные данные'!$B$10,'Исходные данные'!$B$69)),0,-N('Исходные данные'!$B$16)*N('Исходные данные'!$B$68)*N('Исходные данные'!$B$67)/12*IF(AND(B51&lt;=IF('Исходные данные'!$B$69="",'Исходные данные'!$B$10,'Исходные данные'!$B$69),C51&gt;=IF('Исходные данные'!$B$69="",'Исходные данные'!$B$10,'Исходные данные'!$B$69)),(C51-IF('Исходные данные'!$B$69="",'Исходные данные'!$B$10,'Исходные данные'!$B$69)+1)/DAY(C51),1))</f>
        <v>0</v>
      </c>
      <c r="X51">
        <f>IF(OR(B51="",IF('Исходные данные'!$B$76="",'Исходные данные'!$B$10,'Исходные данные'!$B$76)="",C51&lt;IF('Исходные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данные'!$B$76)),1),B51,"m")/12))*IF(AND(B51&lt;=IF('Исходные данные'!$B$76="",'Исходные данные'!$B$10,'Исходные данные'!$B$76),C51&gt;=IF('Исходные данные'!$B$76="",'Исходные данные'!$B$10,'Исходные данные'!$B$76)),(C51-IF('Исходные данные'!$B$76="",'Исходные данные'!$B$10,'Исходные данные'!$B$76)+1)/DAY(C51),1))</f>
        <v>0</v>
      </c>
      <c r="Y51">
        <f t="shared" si="25"/>
        <v>0</v>
      </c>
      <c r="Z51">
        <f>IF(OR(B51="",N('Исходные данные'!$B$19)=0),0,-SUMIFS('Исходные данные'!$I$6:$I$186,'Исходные данные'!$F$6:$F$186,B51)*N('Исходные данные'!$B$17)/N('Исходные данные'!$B$19))</f>
        <v>0</v>
      </c>
      <c r="AA51">
        <f>IF(OR(B51="",N('Исходные данные'!$B$19)=0),0,-SUMIFS('Исходные данные'!$I$6:$I$186,'Исходные данные'!$F$6:$F$186,B51)*N('Исходные данные'!$B$18)/N('Исходные данные'!$B$19))</f>
        <v>0</v>
      </c>
      <c r="AB51">
        <f>IF(OR(B51="",'Исходные данные'!$B$13=""),0,IF(AND(YEAR(B51)=YEAR('Исходные данные'!$B$13),MONTH(B51)=MONTH('Исходные данные'!$B$13)),-N('Исходные данные'!$B$11),0))</f>
        <v>0</v>
      </c>
      <c r="AC51">
        <f>IF(A51=1,-N('Исходные данные'!$B$19)*N('Исходные данные'!$B$72),0)</f>
        <v>0</v>
      </c>
      <c r="AD51">
        <f>IF(OR(B51="",'Исходные данные'!$B$22&lt;&gt;"Да",'Исходные данные'!$B$26=""),0,IF(AND(YEAR(B51)=YEAR('Исходные данные'!$B$26),MONTH(B51)=MONTH('Исходные данные'!$B$26)),N('Исходные данные'!$B$23),0))</f>
        <v>0</v>
      </c>
      <c r="AE51">
        <f t="shared" si="38"/>
        <v>0</v>
      </c>
      <c r="AF51">
        <f>IF(OR('Исходные данные'!$B$22&lt;&gt;"Да",'Исходные данные'!$B$26="",C51&lt;'Исходные данные'!$B$26),0,DATEDIF(DATE(YEAR('Исходные данные'!$B$26),MONTH('Исходные данные'!$B$26),1),B51,"m")+1)</f>
        <v>0</v>
      </c>
      <c r="AG51">
        <f>IF(OR(AF51&lt;1,AF51&gt;N('Исходные данные'!$B$25),AE51+AD51&lt;=0),0,-(AE51+AD51)*N('Исходные данные'!$B$24)*IF(AF51=1,C51-'Исходные данные'!$B$26+1,DAY(C51))/365)</f>
        <v>0</v>
      </c>
      <c r="AH51">
        <f>IF(OR(AF51&lt;1,AF51&gt;N('Исходные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данные'!$B$25)-AG51))</f>
        <v>0</v>
      </c>
      <c r="AI51">
        <f>IF(OR('Исходные данные'!$B$22&lt;&gt;"Да",AE51+AD51&lt;=0),0,IF(AND('Исходные данные'!$B$91&lt;&gt;"",B51&lt;&gt;"",YEAR(B51)=YEAR('Исходные данные'!$B$91),MONTH(B51)=MONTH('Исходные данные'!$B$91)),-(AE51+AD51),IF(OR(AF51&lt;1,AF51&gt;N('Исходные данные'!$B$25)),0,IF('Исходные данные'!$B$27="Равными долями",-MIN(AE51+AD51,N('Исходные данные'!$B$23)/N('Исходные данные'!$B$25)),-MIN(AE51+AD51,IF(AF51=N('Исходные данные'!$B$25),AE51+AD51,MAX(0,AH51+AG51)))))))</f>
        <v>0</v>
      </c>
      <c r="AJ51">
        <f t="shared" si="26"/>
        <v>0</v>
      </c>
      <c r="AK51">
        <f t="shared" si="27"/>
        <v>0</v>
      </c>
      <c r="AL51">
        <f>IF(OR(B51="",'Исходные данные'!$B$51&lt;&gt;"Да",'Исходные данные'!$B$61=""),0,IF(AND(YEAR(B51)=YEAR('Исходные данные'!$B$61),MONTH(B51)=MONTH('Исходные данные'!$B$61)),N('Исходные данные'!$B$18)*N('Исходные данные'!$B$62),0))</f>
        <v>0</v>
      </c>
      <c r="AM51">
        <f t="shared" si="39"/>
        <v>0</v>
      </c>
      <c r="AN51">
        <f t="shared" si="28"/>
        <v>0</v>
      </c>
      <c r="AO51">
        <f t="shared" si="29"/>
        <v>0</v>
      </c>
      <c r="AP51">
        <f>IF('Исходные данные'!$B$51="Да",-MAX(0,AN51-AO51-AM51),0)</f>
        <v>0</v>
      </c>
      <c r="AQ51">
        <f>IF('Исходные данные'!$B$51="Да",MAX(0,AM51+AO51-AN51),0)</f>
        <v>0</v>
      </c>
      <c r="AR51">
        <f>IF('Исходные данные'!$B$53="Выручка",MAX(0,L51+(Q51-R51)+(U51-V51)),IF('Исходные данные'!$B$53="Прибыль до налога",MAX(0,L51+(Q51-R51)+(U51-V51)+N('Исходные данные'!$B$54)*((O51+P51)+(S51+T51)+W51+X51)+IF('Исходные данные'!$B$55="Да",AG51,0)-N('Исходные данные'!$B$56)/12),IF('Исходные данные'!$B$53="Пользовательская база",MAX(0,N('Исходные данные'!$B$57)/12),0)))</f>
        <v>0</v>
      </c>
      <c r="AS51">
        <f>IF(E51=1,-AR51*N('Исходные данные'!$B$50),0)</f>
        <v>0</v>
      </c>
      <c r="AT51">
        <f t="shared" si="30"/>
        <v>0</v>
      </c>
      <c r="AU51">
        <f>IF(OR(B51="",N('Исходные данные'!$B$80)&lt;=0,'Исходные данные'!$B$88=""),0,MAX(0,IF('Исходные данные'!$B$88="Последние 12 месяцев",SUMIFS($Y$2:$Y$194,$B$2:$B$194,"&gt;="&amp;EDATE(B51,-11),$B$2:$B$194,"&lt;="&amp;B51),IF('Исходные данные'!$B$88="Пользовательский NOI",N('Исходные данные'!$B$89),AT51))/N('Исходные данные'!$B$80)*(1+N('Исходные данные'!$B$81))))</f>
        <v>0</v>
      </c>
      <c r="AV51">
        <f>IF(OR(E51&lt;&gt;1,B51="",'Исходные данные'!$B$91=""),0,IF(AND(YEAR(B51)=YEAR('Исходные данные'!$B$91),MONTH(B51)=MONTH('Исходные данные'!$B$91)),AU51,0))</f>
        <v>0</v>
      </c>
      <c r="AW51">
        <f>-AV51*N('Исходные данные'!$B$73)</f>
        <v>0</v>
      </c>
      <c r="AX51">
        <f>IF(AV51=0,0,-N('Исходные данные'!$B$87)-IF('Исходные данные'!$B$82="Да",IF('Исходные данные'!$B$84="С выручки",AV51,IF('Исходные данные'!$B$84="С прибыли",MAX(0,AV51+AW51-IF('Исходные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51">
        <f t="shared" si="31"/>
        <v>0</v>
      </c>
      <c r="AZ51">
        <f t="shared" si="32"/>
        <v>0</v>
      </c>
      <c r="BA51">
        <f t="shared" si="33"/>
        <v>0</v>
      </c>
      <c r="BB51" t="str">
        <f t="shared" si="40"/>
        <v/>
      </c>
      <c r="BC51">
        <f>IF(OR(E51=0,'Исходные данные'!$B$9="",'Исходные данные'!$B$90=""),0,BA51/(1+'Исходные данные'!$B$90)^((D51-'Исходные данные'!$B$9)/365))</f>
        <v>0</v>
      </c>
      <c r="BD51">
        <f>IF(AND(E51=1,BB51&gt;=0,BB50&lt;0,MIN($BB$2:BB51)&lt;0),1,0)</f>
        <v>0</v>
      </c>
      <c r="BE51">
        <f t="shared" si="34"/>
        <v>0</v>
      </c>
      <c r="BF51">
        <f t="shared" si="35"/>
        <v>0</v>
      </c>
      <c r="BG51">
        <f t="shared" si="36"/>
        <v>0</v>
      </c>
      <c r="BH51">
        <f t="shared" si="37"/>
        <v>1</v>
      </c>
      <c r="BI51">
        <f>AZ51+N51+AP51-AR51*N('Исходные данные'!$B$50)</f>
        <v>0</v>
      </c>
      <c r="BJ51">
        <f t="shared" si="20"/>
        <v>0</v>
      </c>
      <c r="BK51">
        <f>IF(AND(BJ51&gt;=0,BJ50&lt;0,MIN($BJ$2:BJ51)&lt;0),1,0)</f>
        <v>0</v>
      </c>
    </row>
    <row r="52" spans="1:63" x14ac:dyDescent="0.2">
      <c r="A52">
        <v>51</v>
      </c>
      <c r="B52" t="str">
        <f>IF('Исходные данные'!$B$9="","",EDATE(DATE(YEAR('Исходные данные'!$B$9),MONTH('Исходные данные'!$B$9),1),A52-1))</f>
        <v/>
      </c>
      <c r="C52" t="str">
        <f t="shared" si="21"/>
        <v/>
      </c>
      <c r="D52" t="str">
        <f>IF(B52="","",IF('Исходные данные'!$B$91&lt;&gt;"",IF(AND(YEAR(B52)=YEAR('Исходные данные'!$B$91),MONTH(B52)=MONTH('Исходные данные'!$B$91)),'Исходные данные'!$B$91,IF('Исходные данные'!$B$13&lt;&gt;"",IF(AND(YEAR(B52)=YEAR('Исходные данные'!$B$13),MONTH(B52)=MONTH('Исходные данные'!$B$13)),'Исходные данные'!$B$13,IF('Исходные данные'!$B$26&lt;&gt;"",IF(AND(YEAR(B52)=YEAR('Исходные данные'!$B$26),MONTH(B52)=MONTH('Исходные данные'!$B$26)),'Исходные данные'!$B$26,IF(A52=1,'Исходные данные'!$B$9,C52)),IF(A52=1,'Исходные данные'!$B$9,C52))),IF('Исходные данные'!$B$26&lt;&gt;"",IF(AND(YEAR(B52)=YEAR('Исходные данные'!$B$26),MONTH(B52)=MONTH('Исходные данные'!$B$26)),'Исходные данные'!$B$26,IF(A52=1,'Исходные данные'!$B$9,C52)),IF(A52=1,'Исходные данные'!$B$9,C52)))),IF('Исходные данные'!$B$13&lt;&gt;"",IF(AND(YEAR(B52)=YEAR('Исходные данные'!$B$13),MONTH(B52)=MONTH('Исходные данные'!$B$13)),'Исходные данные'!$B$13,IF('Исходные данные'!$B$26&lt;&gt;"",IF(AND(YEAR(B52)=YEAR('Исходные данные'!$B$26),MONTH(B52)=MONTH('Исходные данные'!$B$26)),'Исходные данные'!$B$26,IF(A52=1,'Исходные данные'!$B$9,C52)),IF(A52=1,'Исходные данные'!$B$9,C52))),IF('Исходные данные'!$B$26&lt;&gt;"",IF(AND(YEAR(B52)=YEAR('Исходные данные'!$B$26),MONTH(B52)=MONTH('Исходные данные'!$B$26)),'Исходные данные'!$B$26,IF(A52=1,'Исходные данные'!$B$9,C52)),IF(A52=1,'Исходные данные'!$B$9,C52)))))</f>
        <v/>
      </c>
      <c r="E52">
        <f>IF(OR(B52="",'Исходные данные'!$B$91=""),0,--(B52&lt;=DATE(YEAR('Исходные данные'!$B$91),MONTH('Исходные данные'!$B$91),1)))</f>
        <v>0</v>
      </c>
      <c r="F52">
        <f>IF(OR(B52="",'Исходные данные'!$B$30="",C52&lt;'Исходные данные'!$B$30),0,DATEDIF(DATE(YEAR('Исходные данные'!$B$30),MONTH('Исходные данные'!$B$30),1),B52,"m")+1)</f>
        <v>0</v>
      </c>
      <c r="G52">
        <f t="shared" si="22"/>
        <v>0</v>
      </c>
      <c r="H52">
        <f>IF(F52=0,0,IF(G52=1,N('Исходные данные'!$B$31),IF(G52=2,N('Исходные данные'!$B$32),IF(G52=3,N('Исходные данные'!$B$33),N('Исходные данные'!$B$33)*(1+N('Исходные данные'!$B$34))^(G52-3)))))</f>
        <v>0</v>
      </c>
      <c r="I52">
        <f>IF(OR(F52=0,N('Исходные данные'!$B$5)=0,H52=0),0,'Исходные данные'!$B$5*H52*IF(AND(B52&lt;='Исходные данные'!$B$30,C52&gt;='Исходные данные'!$B$30),(C52-'Исходные данные'!$B$30+1)/DAY(C52),1))</f>
        <v>0</v>
      </c>
      <c r="J52">
        <f>IF(AND(F52&gt;0,F52&lt;=N('Исходные данные'!$B$37)),-I52,0)</f>
        <v>0</v>
      </c>
      <c r="K52">
        <f>IF(OR(F52=0,F52&lt;=N('Исходные данные'!$B$37)),0,-(I52+J52)*N('Исходные данные'!$B$38))</f>
        <v>0</v>
      </c>
      <c r="L52">
        <f t="shared" si="23"/>
        <v>0</v>
      </c>
      <c r="M52">
        <f>IF('Исходные данные'!$B$51="Да",L52*N('Исходные данные'!$B$52),0)</f>
        <v>0</v>
      </c>
      <c r="N52">
        <f t="shared" si="24"/>
        <v>0</v>
      </c>
      <c r="O52">
        <f>IF(OR(B52="",IF('Исходные данные'!$B$45="",'Исходные данные'!$B$10,'Исходные данные'!$B$45)="",C52&lt;IF('Исходные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данные'!$B$45)),1),B52,"m")/12))*IF(AND(B52&lt;=IF('Исходные данные'!$B$45="",'Исходные данные'!$B$10,'Исходные данные'!$B$45),C52&gt;=IF('Исходные данные'!$B$45="",'Исходные данные'!$B$10,'Исходные данные'!$B$45)),(C52-IF('Исходные данные'!$B$45="",'Исходные данные'!$B$10,'Исходные данные'!$B$45)+1)/DAY(C52),1)*IF('Исходные данные'!$B$43="Без НДС",1+N('Исходные данные'!$B$44),1))</f>
        <v>0</v>
      </c>
      <c r="P52">
        <f>IF('Исходные данные'!$B$51="Да",-O52*N('Исходные данные'!$B$44)/(1+N('Исходные данные'!$B$44)),0)</f>
        <v>0</v>
      </c>
      <c r="Q52">
        <f>IF('Исходные данные'!$B$35="Да",-O52,0)</f>
        <v>0</v>
      </c>
      <c r="R52">
        <f>IF(AND('Исходные данные'!$B$51="Да",Q52&gt;0),Q52*N('Исходные данные'!$B$52)/(1+N('Исходные данные'!$B$52)),0)</f>
        <v>0</v>
      </c>
      <c r="S52">
        <f>IF(OR(B52="",IF('Исходные данные'!$B$45="",'Исходные данные'!$B$10,'Исходные данные'!$B$45)="",C52&lt;IF('Исходные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данные'!$B$45)),1),B52,"m")/12))*IF(AND(B52&lt;=IF('Исходные данные'!$B$45="",'Исходные данные'!$B$10,'Исходные данные'!$B$45),C52&gt;=IF('Исходные данные'!$B$45="",'Исходные данные'!$B$10,'Исходные данные'!$B$45)),(C52-IF('Исходные данные'!$B$45="",'Исходные данные'!$B$10,'Исходные данные'!$B$45)+1)/DAY(C52),1)*IF('Исходные данные'!$B$43="Без НДС",1+N('Исходные данные'!$B$44),1))</f>
        <v>0</v>
      </c>
      <c r="T52">
        <f>IF('Исходные данные'!$B$51="Да",-S52*N('Исходные данные'!$B$44)/(1+N('Исходные данные'!$B$44)),0)</f>
        <v>0</v>
      </c>
      <c r="U52">
        <f>IF('Исходные данные'!$B$36="Да",-S52,0)</f>
        <v>0</v>
      </c>
      <c r="V52">
        <f>IF(AND('Исходные данные'!$B$51="Да",U52&gt;0),U52*N('Исходные данные'!$B$52)/(1+N('Исходные данные'!$B$52)),0)</f>
        <v>0</v>
      </c>
      <c r="W52">
        <f>IF(OR(B52="",IF('Исходные данные'!$B$69="",'Исходные данные'!$B$10,'Исходные данные'!$B$69)="",C52&lt;IF('Исходные данные'!$B$69="",'Исходные данные'!$B$10,'Исходные данные'!$B$69)),0,-N('Исходные данные'!$B$16)*N('Исходные данные'!$B$68)*N('Исходные данные'!$B$67)/12*IF(AND(B52&lt;=IF('Исходные данные'!$B$69="",'Исходные данные'!$B$10,'Исходные данные'!$B$69),C52&gt;=IF('Исходные данные'!$B$69="",'Исходные данные'!$B$10,'Исходные данные'!$B$69)),(C52-IF('Исходные данные'!$B$69="",'Исходные данные'!$B$10,'Исходные данные'!$B$69)+1)/DAY(C52),1))</f>
        <v>0</v>
      </c>
      <c r="X52">
        <f>IF(OR(B52="",IF('Исходные данные'!$B$76="",'Исходные данные'!$B$10,'Исходные данные'!$B$76)="",C52&lt;IF('Исходные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данные'!$B$76)),1),B52,"m")/12))*IF(AND(B52&lt;=IF('Исходные данные'!$B$76="",'Исходные данные'!$B$10,'Исходные данные'!$B$76),C52&gt;=IF('Исходные данные'!$B$76="",'Исходные данные'!$B$10,'Исходные данные'!$B$76)),(C52-IF('Исходные данные'!$B$76="",'Исходные данные'!$B$10,'Исходные данные'!$B$76)+1)/DAY(C52),1))</f>
        <v>0</v>
      </c>
      <c r="Y52">
        <f t="shared" si="25"/>
        <v>0</v>
      </c>
      <c r="Z52">
        <f>IF(OR(B52="",N('Исходные данные'!$B$19)=0),0,-SUMIFS('Исходные данные'!$I$6:$I$186,'Исходные данные'!$F$6:$F$186,B52)*N('Исходные данные'!$B$17)/N('Исходные данные'!$B$19))</f>
        <v>0</v>
      </c>
      <c r="AA52">
        <f>IF(OR(B52="",N('Исходные данные'!$B$19)=0),0,-SUMIFS('Исходные данные'!$I$6:$I$186,'Исходные данные'!$F$6:$F$186,B52)*N('Исходные данные'!$B$18)/N('Исходные данные'!$B$19))</f>
        <v>0</v>
      </c>
      <c r="AB52">
        <f>IF(OR(B52="",'Исходные данные'!$B$13=""),0,IF(AND(YEAR(B52)=YEAR('Исходные данные'!$B$13),MONTH(B52)=MONTH('Исходные данные'!$B$13)),-N('Исходные данные'!$B$11),0))</f>
        <v>0</v>
      </c>
      <c r="AC52">
        <f>IF(A52=1,-N('Исходные данные'!$B$19)*N('Исходные данные'!$B$72),0)</f>
        <v>0</v>
      </c>
      <c r="AD52">
        <f>IF(OR(B52="",'Исходные данные'!$B$22&lt;&gt;"Да",'Исходные данные'!$B$26=""),0,IF(AND(YEAR(B52)=YEAR('Исходные данные'!$B$26),MONTH(B52)=MONTH('Исходные данные'!$B$26)),N('Исходные данные'!$B$23),0))</f>
        <v>0</v>
      </c>
      <c r="AE52">
        <f t="shared" si="38"/>
        <v>0</v>
      </c>
      <c r="AF52">
        <f>IF(OR('Исходные данные'!$B$22&lt;&gt;"Да",'Исходные данные'!$B$26="",C52&lt;'Исходные данные'!$B$26),0,DATEDIF(DATE(YEAR('Исходные данные'!$B$26),MONTH('Исходные данные'!$B$26),1),B52,"m")+1)</f>
        <v>0</v>
      </c>
      <c r="AG52">
        <f>IF(OR(AF52&lt;1,AF52&gt;N('Исходные данные'!$B$25),AE52+AD52&lt;=0),0,-(AE52+AD52)*N('Исходные данные'!$B$24)*IF(AF52=1,C52-'Исходные данные'!$B$26+1,DAY(C52))/365)</f>
        <v>0</v>
      </c>
      <c r="AH52">
        <f>IF(OR(AF52&lt;1,AF52&gt;N('Исходные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данные'!$B$25)-AG52))</f>
        <v>0</v>
      </c>
      <c r="AI52">
        <f>IF(OR('Исходные данные'!$B$22&lt;&gt;"Да",AE52+AD52&lt;=0),0,IF(AND('Исходные данные'!$B$91&lt;&gt;"",B52&lt;&gt;"",YEAR(B52)=YEAR('Исходные данные'!$B$91),MONTH(B52)=MONTH('Исходные данные'!$B$91)),-(AE52+AD52),IF(OR(AF52&lt;1,AF52&gt;N('Исходные данные'!$B$25)),0,IF('Исходные данные'!$B$27="Равными долями",-MIN(AE52+AD52,N('Исходные данные'!$B$23)/N('Исходные данные'!$B$25)),-MIN(AE52+AD52,IF(AF52=N('Исходные данные'!$B$25),AE52+AD52,MAX(0,AH52+AG52)))))))</f>
        <v>0</v>
      </c>
      <c r="AJ52">
        <f t="shared" si="26"/>
        <v>0</v>
      </c>
      <c r="AK52">
        <f t="shared" si="27"/>
        <v>0</v>
      </c>
      <c r="AL52">
        <f>IF(OR(B52="",'Исходные данные'!$B$51&lt;&gt;"Да",'Исходные данные'!$B$61=""),0,IF(AND(YEAR(B52)=YEAR('Исходные данные'!$B$61),MONTH(B52)=MONTH('Исходные данные'!$B$61)),N('Исходные данные'!$B$18)*N('Исходные данные'!$B$62),0))</f>
        <v>0</v>
      </c>
      <c r="AM52">
        <f t="shared" si="39"/>
        <v>0</v>
      </c>
      <c r="AN52">
        <f t="shared" si="28"/>
        <v>0</v>
      </c>
      <c r="AO52">
        <f t="shared" si="29"/>
        <v>0</v>
      </c>
      <c r="AP52">
        <f>IF('Исходные данные'!$B$51="Да",-MAX(0,AN52-AO52-AM52),0)</f>
        <v>0</v>
      </c>
      <c r="AQ52">
        <f>IF('Исходные данные'!$B$51="Да",MAX(0,AM52+AO52-AN52),0)</f>
        <v>0</v>
      </c>
      <c r="AR52">
        <f>IF('Исходные данные'!$B$53="Выручка",MAX(0,L52+(Q52-R52)+(U52-V52)),IF('Исходные данные'!$B$53="Прибыль до налога",MAX(0,L52+(Q52-R52)+(U52-V52)+N('Исходные данные'!$B$54)*((O52+P52)+(S52+T52)+W52+X52)+IF('Исходные данные'!$B$55="Да",AG52,0)-N('Исходные данные'!$B$56)/12),IF('Исходные данные'!$B$53="Пользовательская база",MAX(0,N('Исходные данные'!$B$57)/12),0)))</f>
        <v>0</v>
      </c>
      <c r="AS52">
        <f>IF(E52=1,-AR52*N('Исходные данные'!$B$50),0)</f>
        <v>0</v>
      </c>
      <c r="AT52">
        <f t="shared" si="30"/>
        <v>0</v>
      </c>
      <c r="AU52">
        <f>IF(OR(B52="",N('Исходные данные'!$B$80)&lt;=0,'Исходные данные'!$B$88=""),0,MAX(0,IF('Исходные данные'!$B$88="Последние 12 месяцев",SUMIFS($Y$2:$Y$194,$B$2:$B$194,"&gt;="&amp;EDATE(B52,-11),$B$2:$B$194,"&lt;="&amp;B52),IF('Исходные данные'!$B$88="Пользовательский NOI",N('Исходные данные'!$B$89),AT52))/N('Исходные данные'!$B$80)*(1+N('Исходные данные'!$B$81))))</f>
        <v>0</v>
      </c>
      <c r="AV52">
        <f>IF(OR(E52&lt;&gt;1,B52="",'Исходные данные'!$B$91=""),0,IF(AND(YEAR(B52)=YEAR('Исходные данные'!$B$91),MONTH(B52)=MONTH('Исходные данные'!$B$91)),AU52,0))</f>
        <v>0</v>
      </c>
      <c r="AW52">
        <f>-AV52*N('Исходные данные'!$B$73)</f>
        <v>0</v>
      </c>
      <c r="AX52">
        <f>IF(AV52=0,0,-N('Исходные данные'!$B$87)-IF('Исходные данные'!$B$82="Да",IF('Исходные данные'!$B$84="С выручки",AV52,IF('Исходные данные'!$B$84="С прибыли",MAX(0,AV52+AW52-IF('Исходные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52">
        <f t="shared" si="31"/>
        <v>0</v>
      </c>
      <c r="AZ52">
        <f t="shared" si="32"/>
        <v>0</v>
      </c>
      <c r="BA52">
        <f t="shared" si="33"/>
        <v>0</v>
      </c>
      <c r="BB52" t="str">
        <f t="shared" si="40"/>
        <v/>
      </c>
      <c r="BC52">
        <f>IF(OR(E52=0,'Исходные данные'!$B$9="",'Исходные данные'!$B$90=""),0,BA52/(1+'Исходные данные'!$B$90)^((D52-'Исходные данные'!$B$9)/365))</f>
        <v>0</v>
      </c>
      <c r="BD52">
        <f>IF(AND(E52=1,BB52&gt;=0,BB51&lt;0,MIN($BB$2:BB52)&lt;0),1,0)</f>
        <v>0</v>
      </c>
      <c r="BE52">
        <f t="shared" si="34"/>
        <v>0</v>
      </c>
      <c r="BF52">
        <f t="shared" si="35"/>
        <v>0</v>
      </c>
      <c r="BG52">
        <f t="shared" si="36"/>
        <v>0</v>
      </c>
      <c r="BH52">
        <f t="shared" si="37"/>
        <v>1</v>
      </c>
      <c r="BI52">
        <f>AZ52+N52+AP52-AR52*N('Исходные данные'!$B$50)</f>
        <v>0</v>
      </c>
      <c r="BJ52">
        <f t="shared" si="20"/>
        <v>0</v>
      </c>
      <c r="BK52">
        <f>IF(AND(BJ52&gt;=0,BJ51&lt;0,MIN($BJ$2:BJ52)&lt;0),1,0)</f>
        <v>0</v>
      </c>
    </row>
    <row r="53" spans="1:63" x14ac:dyDescent="0.2">
      <c r="A53">
        <v>52</v>
      </c>
      <c r="B53" t="str">
        <f>IF('Исходные данные'!$B$9="","",EDATE(DATE(YEAR('Исходные данные'!$B$9),MONTH('Исходные данные'!$B$9),1),A53-1))</f>
        <v/>
      </c>
      <c r="C53" t="str">
        <f t="shared" si="21"/>
        <v/>
      </c>
      <c r="D53" t="str">
        <f>IF(B53="","",IF('Исходные данные'!$B$91&lt;&gt;"",IF(AND(YEAR(B53)=YEAR('Исходные данные'!$B$91),MONTH(B53)=MONTH('Исходные данные'!$B$91)),'Исходные данные'!$B$91,IF('Исходные данные'!$B$13&lt;&gt;"",IF(AND(YEAR(B53)=YEAR('Исходные данные'!$B$13),MONTH(B53)=MONTH('Исходные данные'!$B$13)),'Исходные данные'!$B$13,IF('Исходные данные'!$B$26&lt;&gt;"",IF(AND(YEAR(B53)=YEAR('Исходные данные'!$B$26),MONTH(B53)=MONTH('Исходные данные'!$B$26)),'Исходные данные'!$B$26,IF(A53=1,'Исходные данные'!$B$9,C53)),IF(A53=1,'Исходные данные'!$B$9,C53))),IF('Исходные данные'!$B$26&lt;&gt;"",IF(AND(YEAR(B53)=YEAR('Исходные данные'!$B$26),MONTH(B53)=MONTH('Исходные данные'!$B$26)),'Исходные данные'!$B$26,IF(A53=1,'Исходные данные'!$B$9,C53)),IF(A53=1,'Исходные данные'!$B$9,C53)))),IF('Исходные данные'!$B$13&lt;&gt;"",IF(AND(YEAR(B53)=YEAR('Исходные данные'!$B$13),MONTH(B53)=MONTH('Исходные данные'!$B$13)),'Исходные данные'!$B$13,IF('Исходные данные'!$B$26&lt;&gt;"",IF(AND(YEAR(B53)=YEAR('Исходные данные'!$B$26),MONTH(B53)=MONTH('Исходные данные'!$B$26)),'Исходные данные'!$B$26,IF(A53=1,'Исходные данные'!$B$9,C53)),IF(A53=1,'Исходные данные'!$B$9,C53))),IF('Исходные данные'!$B$26&lt;&gt;"",IF(AND(YEAR(B53)=YEAR('Исходные данные'!$B$26),MONTH(B53)=MONTH('Исходные данные'!$B$26)),'Исходные данные'!$B$26,IF(A53=1,'Исходные данные'!$B$9,C53)),IF(A53=1,'Исходные данные'!$B$9,C53)))))</f>
        <v/>
      </c>
      <c r="E53">
        <f>IF(OR(B53="",'Исходные данные'!$B$91=""),0,--(B53&lt;=DATE(YEAR('Исходные данные'!$B$91),MONTH('Исходные данные'!$B$91),1)))</f>
        <v>0</v>
      </c>
      <c r="F53">
        <f>IF(OR(B53="",'Исходные данные'!$B$30="",C53&lt;'Исходные данные'!$B$30),0,DATEDIF(DATE(YEAR('Исходные данные'!$B$30),MONTH('Исходные данные'!$B$30),1),B53,"m")+1)</f>
        <v>0</v>
      </c>
      <c r="G53">
        <f t="shared" si="22"/>
        <v>0</v>
      </c>
      <c r="H53">
        <f>IF(F53=0,0,IF(G53=1,N('Исходные данные'!$B$31),IF(G53=2,N('Исходные данные'!$B$32),IF(G53=3,N('Исходные данные'!$B$33),N('Исходные данные'!$B$33)*(1+N('Исходные данные'!$B$34))^(G53-3)))))</f>
        <v>0</v>
      </c>
      <c r="I53">
        <f>IF(OR(F53=0,N('Исходные данные'!$B$5)=0,H53=0),0,'Исходные данные'!$B$5*H53*IF(AND(B53&lt;='Исходные данные'!$B$30,C53&gt;='Исходные данные'!$B$30),(C53-'Исходные данные'!$B$30+1)/DAY(C53),1))</f>
        <v>0</v>
      </c>
      <c r="J53">
        <f>IF(AND(F53&gt;0,F53&lt;=N('Исходные данные'!$B$37)),-I53,0)</f>
        <v>0</v>
      </c>
      <c r="K53">
        <f>IF(OR(F53=0,F53&lt;=N('Исходные данные'!$B$37)),0,-(I53+J53)*N('Исходные данные'!$B$38))</f>
        <v>0</v>
      </c>
      <c r="L53">
        <f t="shared" si="23"/>
        <v>0</v>
      </c>
      <c r="M53">
        <f>IF('Исходные данные'!$B$51="Да",L53*N('Исходные данные'!$B$52),0)</f>
        <v>0</v>
      </c>
      <c r="N53">
        <f t="shared" si="24"/>
        <v>0</v>
      </c>
      <c r="O53">
        <f>IF(OR(B53="",IF('Исходные данные'!$B$45="",'Исходные данные'!$B$10,'Исходные данные'!$B$45)="",C53&lt;IF('Исходные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данные'!$B$45)),1),B53,"m")/12))*IF(AND(B53&lt;=IF('Исходные данные'!$B$45="",'Исходные данные'!$B$10,'Исходные данные'!$B$45),C53&gt;=IF('Исходные данные'!$B$45="",'Исходные данные'!$B$10,'Исходные данные'!$B$45)),(C53-IF('Исходные данные'!$B$45="",'Исходные данные'!$B$10,'Исходные данные'!$B$45)+1)/DAY(C53),1)*IF('Исходные данные'!$B$43="Без НДС",1+N('Исходные данные'!$B$44),1))</f>
        <v>0</v>
      </c>
      <c r="P53">
        <f>IF('Исходные данные'!$B$51="Да",-O53*N('Исходные данные'!$B$44)/(1+N('Исходные данные'!$B$44)),0)</f>
        <v>0</v>
      </c>
      <c r="Q53">
        <f>IF('Исходные данные'!$B$35="Да",-O53,0)</f>
        <v>0</v>
      </c>
      <c r="R53">
        <f>IF(AND('Исходные данные'!$B$51="Да",Q53&gt;0),Q53*N('Исходные данные'!$B$52)/(1+N('Исходные данные'!$B$52)),0)</f>
        <v>0</v>
      </c>
      <c r="S53">
        <f>IF(OR(B53="",IF('Исходные данные'!$B$45="",'Исходные данные'!$B$10,'Исходные данные'!$B$45)="",C53&lt;IF('Исходные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данные'!$B$45)),1),B53,"m")/12))*IF(AND(B53&lt;=IF('Исходные данные'!$B$45="",'Исходные данные'!$B$10,'Исходные данные'!$B$45),C53&gt;=IF('Исходные данные'!$B$45="",'Исходные данные'!$B$10,'Исходные данные'!$B$45)),(C53-IF('Исходные данные'!$B$45="",'Исходные данные'!$B$10,'Исходные данные'!$B$45)+1)/DAY(C53),1)*IF('Исходные данные'!$B$43="Без НДС",1+N('Исходные данные'!$B$44),1))</f>
        <v>0</v>
      </c>
      <c r="T53">
        <f>IF('Исходные данные'!$B$51="Да",-S53*N('Исходные данные'!$B$44)/(1+N('Исходные данные'!$B$44)),0)</f>
        <v>0</v>
      </c>
      <c r="U53">
        <f>IF('Исходные данные'!$B$36="Да",-S53,0)</f>
        <v>0</v>
      </c>
      <c r="V53">
        <f>IF(AND('Исходные данные'!$B$51="Да",U53&gt;0),U53*N('Исходные данные'!$B$52)/(1+N('Исходные данные'!$B$52)),0)</f>
        <v>0</v>
      </c>
      <c r="W53">
        <f>IF(OR(B53="",IF('Исходные данные'!$B$69="",'Исходные данные'!$B$10,'Исходные данные'!$B$69)="",C53&lt;IF('Исходные данные'!$B$69="",'Исходные данные'!$B$10,'Исходные данные'!$B$69)),0,-N('Исходные данные'!$B$16)*N('Исходные данные'!$B$68)*N('Исходные данные'!$B$67)/12*IF(AND(B53&lt;=IF('Исходные данные'!$B$69="",'Исходные данные'!$B$10,'Исходные данные'!$B$69),C53&gt;=IF('Исходные данные'!$B$69="",'Исходные данные'!$B$10,'Исходные данные'!$B$69)),(C53-IF('Исходные данные'!$B$69="",'Исходные данные'!$B$10,'Исходные данные'!$B$69)+1)/DAY(C53),1))</f>
        <v>0</v>
      </c>
      <c r="X53">
        <f>IF(OR(B53="",IF('Исходные данные'!$B$76="",'Исходные данные'!$B$10,'Исходные данные'!$B$76)="",C53&lt;IF('Исходные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данные'!$B$76)),1),B53,"m")/12))*IF(AND(B53&lt;=IF('Исходные данные'!$B$76="",'Исходные данные'!$B$10,'Исходные данные'!$B$76),C53&gt;=IF('Исходные данные'!$B$76="",'Исходные данные'!$B$10,'Исходные данные'!$B$76)),(C53-IF('Исходные данные'!$B$76="",'Исходные данные'!$B$10,'Исходные данные'!$B$76)+1)/DAY(C53),1))</f>
        <v>0</v>
      </c>
      <c r="Y53">
        <f t="shared" si="25"/>
        <v>0</v>
      </c>
      <c r="Z53">
        <f>IF(OR(B53="",N('Исходные данные'!$B$19)=0),0,-SUMIFS('Исходные данные'!$I$6:$I$186,'Исходные данные'!$F$6:$F$186,B53)*N('Исходные данные'!$B$17)/N('Исходные данные'!$B$19))</f>
        <v>0</v>
      </c>
      <c r="AA53">
        <f>IF(OR(B53="",N('Исходные данные'!$B$19)=0),0,-SUMIFS('Исходные данные'!$I$6:$I$186,'Исходные данные'!$F$6:$F$186,B53)*N('Исходные данные'!$B$18)/N('Исходные данные'!$B$19))</f>
        <v>0</v>
      </c>
      <c r="AB53">
        <f>IF(OR(B53="",'Исходные данные'!$B$13=""),0,IF(AND(YEAR(B53)=YEAR('Исходные данные'!$B$13),MONTH(B53)=MONTH('Исходные данные'!$B$13)),-N('Исходные данные'!$B$11),0))</f>
        <v>0</v>
      </c>
      <c r="AC53">
        <f>IF(A53=1,-N('Исходные данные'!$B$19)*N('Исходные данные'!$B$72),0)</f>
        <v>0</v>
      </c>
      <c r="AD53">
        <f>IF(OR(B53="",'Исходные данные'!$B$22&lt;&gt;"Да",'Исходные данные'!$B$26=""),0,IF(AND(YEAR(B53)=YEAR('Исходные данные'!$B$26),MONTH(B53)=MONTH('Исходные данные'!$B$26)),N('Исходные данные'!$B$23),0))</f>
        <v>0</v>
      </c>
      <c r="AE53">
        <f t="shared" si="38"/>
        <v>0</v>
      </c>
      <c r="AF53">
        <f>IF(OR('Исходные данные'!$B$22&lt;&gt;"Да",'Исходные данные'!$B$26="",C53&lt;'Исходные данные'!$B$26),0,DATEDIF(DATE(YEAR('Исходные данные'!$B$26),MONTH('Исходные данные'!$B$26),1),B53,"m")+1)</f>
        <v>0</v>
      </c>
      <c r="AG53">
        <f>IF(OR(AF53&lt;1,AF53&gt;N('Исходные данные'!$B$25),AE53+AD53&lt;=0),0,-(AE53+AD53)*N('Исходные данные'!$B$24)*IF(AF53=1,C53-'Исходные данные'!$B$26+1,DAY(C53))/365)</f>
        <v>0</v>
      </c>
      <c r="AH53">
        <f>IF(OR(AF53&lt;1,AF53&gt;N('Исходные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данные'!$B$25)-AG53))</f>
        <v>0</v>
      </c>
      <c r="AI53">
        <f>IF(OR('Исходные данные'!$B$22&lt;&gt;"Да",AE53+AD53&lt;=0),0,IF(AND('Исходные данные'!$B$91&lt;&gt;"",B53&lt;&gt;"",YEAR(B53)=YEAR('Исходные данные'!$B$91),MONTH(B53)=MONTH('Исходные данные'!$B$91)),-(AE53+AD53),IF(OR(AF53&lt;1,AF53&gt;N('Исходные данные'!$B$25)),0,IF('Исходные данные'!$B$27="Равными долями",-MIN(AE53+AD53,N('Исходные данные'!$B$23)/N('Исходные данные'!$B$25)),-MIN(AE53+AD53,IF(AF53=N('Исходные данные'!$B$25),AE53+AD53,MAX(0,AH53+AG53)))))))</f>
        <v>0</v>
      </c>
      <c r="AJ53">
        <f t="shared" si="26"/>
        <v>0</v>
      </c>
      <c r="AK53">
        <f t="shared" si="27"/>
        <v>0</v>
      </c>
      <c r="AL53">
        <f>IF(OR(B53="",'Исходные данные'!$B$51&lt;&gt;"Да",'Исходные данные'!$B$61=""),0,IF(AND(YEAR(B53)=YEAR('Исходные данные'!$B$61),MONTH(B53)=MONTH('Исходные данные'!$B$61)),N('Исходные данные'!$B$18)*N('Исходные данные'!$B$62),0))</f>
        <v>0</v>
      </c>
      <c r="AM53">
        <f t="shared" si="39"/>
        <v>0</v>
      </c>
      <c r="AN53">
        <f t="shared" si="28"/>
        <v>0</v>
      </c>
      <c r="AO53">
        <f t="shared" si="29"/>
        <v>0</v>
      </c>
      <c r="AP53">
        <f>IF('Исходные данные'!$B$51="Да",-MAX(0,AN53-AO53-AM53),0)</f>
        <v>0</v>
      </c>
      <c r="AQ53">
        <f>IF('Исходные данные'!$B$51="Да",MAX(0,AM53+AO53-AN53),0)</f>
        <v>0</v>
      </c>
      <c r="AR53">
        <f>IF('Исходные данные'!$B$53="Выручка",MAX(0,L53+(Q53-R53)+(U53-V53)),IF('Исходные данные'!$B$53="Прибыль до налога",MAX(0,L53+(Q53-R53)+(U53-V53)+N('Исходные данные'!$B$54)*((O53+P53)+(S53+T53)+W53+X53)+IF('Исходные данные'!$B$55="Да",AG53,0)-N('Исходные данные'!$B$56)/12),IF('Исходные данные'!$B$53="Пользовательская база",MAX(0,N('Исходные данные'!$B$57)/12),0)))</f>
        <v>0</v>
      </c>
      <c r="AS53">
        <f>IF(E53=1,-AR53*N('Исходные данные'!$B$50),0)</f>
        <v>0</v>
      </c>
      <c r="AT53">
        <f t="shared" si="30"/>
        <v>0</v>
      </c>
      <c r="AU53">
        <f>IF(OR(B53="",N('Исходные данные'!$B$80)&lt;=0,'Исходные данные'!$B$88=""),0,MAX(0,IF('Исходные данные'!$B$88="Последние 12 месяцев",SUMIFS($Y$2:$Y$194,$B$2:$B$194,"&gt;="&amp;EDATE(B53,-11),$B$2:$B$194,"&lt;="&amp;B53),IF('Исходные данные'!$B$88="Пользовательский NOI",N('Исходные данные'!$B$89),AT53))/N('Исходные данные'!$B$80)*(1+N('Исходные данные'!$B$81))))</f>
        <v>0</v>
      </c>
      <c r="AV53">
        <f>IF(OR(E53&lt;&gt;1,B53="",'Исходные данные'!$B$91=""),0,IF(AND(YEAR(B53)=YEAR('Исходные данные'!$B$91),MONTH(B53)=MONTH('Исходные данные'!$B$91)),AU53,0))</f>
        <v>0</v>
      </c>
      <c r="AW53">
        <f>-AV53*N('Исходные данные'!$B$73)</f>
        <v>0</v>
      </c>
      <c r="AX53">
        <f>IF(AV53=0,0,-N('Исходные данные'!$B$87)-IF('Исходные данные'!$B$82="Да",IF('Исходные данные'!$B$84="С выручки",AV53,IF('Исходные данные'!$B$84="С прибыли",MAX(0,AV53+AW53-IF('Исходные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53">
        <f t="shared" si="31"/>
        <v>0</v>
      </c>
      <c r="AZ53">
        <f t="shared" si="32"/>
        <v>0</v>
      </c>
      <c r="BA53">
        <f t="shared" si="33"/>
        <v>0</v>
      </c>
      <c r="BB53" t="str">
        <f t="shared" si="40"/>
        <v/>
      </c>
      <c r="BC53">
        <f>IF(OR(E53=0,'Исходные данные'!$B$9="",'Исходные данные'!$B$90=""),0,BA53/(1+'Исходные данные'!$B$90)^((D53-'Исходные данные'!$B$9)/365))</f>
        <v>0</v>
      </c>
      <c r="BD53">
        <f>IF(AND(E53=1,BB53&gt;=0,BB52&lt;0,MIN($BB$2:BB53)&lt;0),1,0)</f>
        <v>0</v>
      </c>
      <c r="BE53">
        <f t="shared" si="34"/>
        <v>0</v>
      </c>
      <c r="BF53">
        <f t="shared" si="35"/>
        <v>0</v>
      </c>
      <c r="BG53">
        <f t="shared" si="36"/>
        <v>0</v>
      </c>
      <c r="BH53">
        <f t="shared" si="37"/>
        <v>1</v>
      </c>
      <c r="BI53">
        <f>AZ53+N53+AP53-AR53*N('Исходные данные'!$B$50)</f>
        <v>0</v>
      </c>
      <c r="BJ53">
        <f t="shared" si="20"/>
        <v>0</v>
      </c>
      <c r="BK53">
        <f>IF(AND(BJ53&gt;=0,BJ52&lt;0,MIN($BJ$2:BJ53)&lt;0),1,0)</f>
        <v>0</v>
      </c>
    </row>
    <row r="54" spans="1:63" x14ac:dyDescent="0.2">
      <c r="A54">
        <v>53</v>
      </c>
      <c r="B54" t="str">
        <f>IF('Исходные данные'!$B$9="","",EDATE(DATE(YEAR('Исходные данные'!$B$9),MONTH('Исходные данные'!$B$9),1),A54-1))</f>
        <v/>
      </c>
      <c r="C54" t="str">
        <f t="shared" si="21"/>
        <v/>
      </c>
      <c r="D54" t="str">
        <f>IF(B54="","",IF('Исходные данные'!$B$91&lt;&gt;"",IF(AND(YEAR(B54)=YEAR('Исходные данные'!$B$91),MONTH(B54)=MONTH('Исходные данные'!$B$91)),'Исходные данные'!$B$91,IF('Исходные данные'!$B$13&lt;&gt;"",IF(AND(YEAR(B54)=YEAR('Исходные данные'!$B$13),MONTH(B54)=MONTH('Исходные данные'!$B$13)),'Исходные данные'!$B$13,IF('Исходные данные'!$B$26&lt;&gt;"",IF(AND(YEAR(B54)=YEAR('Исходные данные'!$B$26),MONTH(B54)=MONTH('Исходные данные'!$B$26)),'Исходные данные'!$B$26,IF(A54=1,'Исходные данные'!$B$9,C54)),IF(A54=1,'Исходные данные'!$B$9,C54))),IF('Исходные данные'!$B$26&lt;&gt;"",IF(AND(YEAR(B54)=YEAR('Исходные данные'!$B$26),MONTH(B54)=MONTH('Исходные данные'!$B$26)),'Исходные данные'!$B$26,IF(A54=1,'Исходные данные'!$B$9,C54)),IF(A54=1,'Исходные данные'!$B$9,C54)))),IF('Исходные данные'!$B$13&lt;&gt;"",IF(AND(YEAR(B54)=YEAR('Исходные данные'!$B$13),MONTH(B54)=MONTH('Исходные данные'!$B$13)),'Исходные данные'!$B$13,IF('Исходные данные'!$B$26&lt;&gt;"",IF(AND(YEAR(B54)=YEAR('Исходные данные'!$B$26),MONTH(B54)=MONTH('Исходные данные'!$B$26)),'Исходные данные'!$B$26,IF(A54=1,'Исходные данные'!$B$9,C54)),IF(A54=1,'Исходные данные'!$B$9,C54))),IF('Исходные данные'!$B$26&lt;&gt;"",IF(AND(YEAR(B54)=YEAR('Исходные данные'!$B$26),MONTH(B54)=MONTH('Исходные данные'!$B$26)),'Исходные данные'!$B$26,IF(A54=1,'Исходные данные'!$B$9,C54)),IF(A54=1,'Исходные данные'!$B$9,C54)))))</f>
        <v/>
      </c>
      <c r="E54">
        <f>IF(OR(B54="",'Исходные данные'!$B$91=""),0,--(B54&lt;=DATE(YEAR('Исходные данные'!$B$91),MONTH('Исходные данные'!$B$91),1)))</f>
        <v>0</v>
      </c>
      <c r="F54">
        <f>IF(OR(B54="",'Исходные данные'!$B$30="",C54&lt;'Исходные данные'!$B$30),0,DATEDIF(DATE(YEAR('Исходные данные'!$B$30),MONTH('Исходные данные'!$B$30),1),B54,"m")+1)</f>
        <v>0</v>
      </c>
      <c r="G54">
        <f t="shared" si="22"/>
        <v>0</v>
      </c>
      <c r="H54">
        <f>IF(F54=0,0,IF(G54=1,N('Исходные данные'!$B$31),IF(G54=2,N('Исходные данные'!$B$32),IF(G54=3,N('Исходные данные'!$B$33),N('Исходные данные'!$B$33)*(1+N('Исходные данные'!$B$34))^(G54-3)))))</f>
        <v>0</v>
      </c>
      <c r="I54">
        <f>IF(OR(F54=0,N('Исходные данные'!$B$5)=0,H54=0),0,'Исходные данные'!$B$5*H54*IF(AND(B54&lt;='Исходные данные'!$B$30,C54&gt;='Исходные данные'!$B$30),(C54-'Исходные данные'!$B$30+1)/DAY(C54),1))</f>
        <v>0</v>
      </c>
      <c r="J54">
        <f>IF(AND(F54&gt;0,F54&lt;=N('Исходные данные'!$B$37)),-I54,0)</f>
        <v>0</v>
      </c>
      <c r="K54">
        <f>IF(OR(F54=0,F54&lt;=N('Исходные данные'!$B$37)),0,-(I54+J54)*N('Исходные данные'!$B$38))</f>
        <v>0</v>
      </c>
      <c r="L54">
        <f t="shared" si="23"/>
        <v>0</v>
      </c>
      <c r="M54">
        <f>IF('Исходные данные'!$B$51="Да",L54*N('Исходные данные'!$B$52),0)</f>
        <v>0</v>
      </c>
      <c r="N54">
        <f t="shared" si="24"/>
        <v>0</v>
      </c>
      <c r="O54">
        <f>IF(OR(B54="",IF('Исходные данные'!$B$45="",'Исходные данные'!$B$10,'Исходные данные'!$B$45)="",C54&lt;IF('Исходные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данные'!$B$45)),1),B54,"m")/12))*IF(AND(B54&lt;=IF('Исходные данные'!$B$45="",'Исходные данные'!$B$10,'Исходные данные'!$B$45),C54&gt;=IF('Исходные данные'!$B$45="",'Исходные данные'!$B$10,'Исходные данные'!$B$45)),(C54-IF('Исходные данные'!$B$45="",'Исходные данные'!$B$10,'Исходные данные'!$B$45)+1)/DAY(C54),1)*IF('Исходные данные'!$B$43="Без НДС",1+N('Исходные данные'!$B$44),1))</f>
        <v>0</v>
      </c>
      <c r="P54">
        <f>IF('Исходные данные'!$B$51="Да",-O54*N('Исходные данные'!$B$44)/(1+N('Исходные данные'!$B$44)),0)</f>
        <v>0</v>
      </c>
      <c r="Q54">
        <f>IF('Исходные данные'!$B$35="Да",-O54,0)</f>
        <v>0</v>
      </c>
      <c r="R54">
        <f>IF(AND('Исходные данные'!$B$51="Да",Q54&gt;0),Q54*N('Исходные данные'!$B$52)/(1+N('Исходные данные'!$B$52)),0)</f>
        <v>0</v>
      </c>
      <c r="S54">
        <f>IF(OR(B54="",IF('Исходные данные'!$B$45="",'Исходные данные'!$B$10,'Исходные данные'!$B$45)="",C54&lt;IF('Исходные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данные'!$B$45)),1),B54,"m")/12))*IF(AND(B54&lt;=IF('Исходные данные'!$B$45="",'Исходные данные'!$B$10,'Исходные данные'!$B$45),C54&gt;=IF('Исходные данные'!$B$45="",'Исходные данные'!$B$10,'Исходные данные'!$B$45)),(C54-IF('Исходные данные'!$B$45="",'Исходные данные'!$B$10,'Исходные данные'!$B$45)+1)/DAY(C54),1)*IF('Исходные данные'!$B$43="Без НДС",1+N('Исходные данные'!$B$44),1))</f>
        <v>0</v>
      </c>
      <c r="T54">
        <f>IF('Исходные данные'!$B$51="Да",-S54*N('Исходные данные'!$B$44)/(1+N('Исходные данные'!$B$44)),0)</f>
        <v>0</v>
      </c>
      <c r="U54">
        <f>IF('Исходные данные'!$B$36="Да",-S54,0)</f>
        <v>0</v>
      </c>
      <c r="V54">
        <f>IF(AND('Исходные данные'!$B$51="Да",U54&gt;0),U54*N('Исходные данные'!$B$52)/(1+N('Исходные данные'!$B$52)),0)</f>
        <v>0</v>
      </c>
      <c r="W54">
        <f>IF(OR(B54="",IF('Исходные данные'!$B$69="",'Исходные данные'!$B$10,'Исходные данные'!$B$69)="",C54&lt;IF('Исходные данные'!$B$69="",'Исходные данные'!$B$10,'Исходные данные'!$B$69)),0,-N('Исходные данные'!$B$16)*N('Исходные данные'!$B$68)*N('Исходные данные'!$B$67)/12*IF(AND(B54&lt;=IF('Исходные данные'!$B$69="",'Исходные данные'!$B$10,'Исходные данные'!$B$69),C54&gt;=IF('Исходные данные'!$B$69="",'Исходные данные'!$B$10,'Исходные данные'!$B$69)),(C54-IF('Исходные данные'!$B$69="",'Исходные данные'!$B$10,'Исходные данные'!$B$69)+1)/DAY(C54),1))</f>
        <v>0</v>
      </c>
      <c r="X54">
        <f>IF(OR(B54="",IF('Исходные данные'!$B$76="",'Исходные данные'!$B$10,'Исходные данные'!$B$76)="",C54&lt;IF('Исходные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данные'!$B$76)),1),B54,"m")/12))*IF(AND(B54&lt;=IF('Исходные данные'!$B$76="",'Исходные данные'!$B$10,'Исходные данные'!$B$76),C54&gt;=IF('Исходные данные'!$B$76="",'Исходные данные'!$B$10,'Исходные данные'!$B$76)),(C54-IF('Исходные данные'!$B$76="",'Исходные данные'!$B$10,'Исходные данные'!$B$76)+1)/DAY(C54),1))</f>
        <v>0</v>
      </c>
      <c r="Y54">
        <f t="shared" si="25"/>
        <v>0</v>
      </c>
      <c r="Z54">
        <f>IF(OR(B54="",N('Исходные данные'!$B$19)=0),0,-SUMIFS('Исходные данные'!$I$6:$I$186,'Исходные данные'!$F$6:$F$186,B54)*N('Исходные данные'!$B$17)/N('Исходные данные'!$B$19))</f>
        <v>0</v>
      </c>
      <c r="AA54">
        <f>IF(OR(B54="",N('Исходные данные'!$B$19)=0),0,-SUMIFS('Исходные данные'!$I$6:$I$186,'Исходные данные'!$F$6:$F$186,B54)*N('Исходные данные'!$B$18)/N('Исходные данные'!$B$19))</f>
        <v>0</v>
      </c>
      <c r="AB54">
        <f>IF(OR(B54="",'Исходные данные'!$B$13=""),0,IF(AND(YEAR(B54)=YEAR('Исходные данные'!$B$13),MONTH(B54)=MONTH('Исходные данные'!$B$13)),-N('Исходные данные'!$B$11),0))</f>
        <v>0</v>
      </c>
      <c r="AC54">
        <f>IF(A54=1,-N('Исходные данные'!$B$19)*N('Исходные данные'!$B$72),0)</f>
        <v>0</v>
      </c>
      <c r="AD54">
        <f>IF(OR(B54="",'Исходные данные'!$B$22&lt;&gt;"Да",'Исходные данные'!$B$26=""),0,IF(AND(YEAR(B54)=YEAR('Исходные данные'!$B$26),MONTH(B54)=MONTH('Исходные данные'!$B$26)),N('Исходные данные'!$B$23),0))</f>
        <v>0</v>
      </c>
      <c r="AE54">
        <f t="shared" si="38"/>
        <v>0</v>
      </c>
      <c r="AF54">
        <f>IF(OR('Исходные данные'!$B$22&lt;&gt;"Да",'Исходные данные'!$B$26="",C54&lt;'Исходные данные'!$B$26),0,DATEDIF(DATE(YEAR('Исходные данные'!$B$26),MONTH('Исходные данные'!$B$26),1),B54,"m")+1)</f>
        <v>0</v>
      </c>
      <c r="AG54">
        <f>IF(OR(AF54&lt;1,AF54&gt;N('Исходные данные'!$B$25),AE54+AD54&lt;=0),0,-(AE54+AD54)*N('Исходные данные'!$B$24)*IF(AF54=1,C54-'Исходные данные'!$B$26+1,DAY(C54))/365)</f>
        <v>0</v>
      </c>
      <c r="AH54">
        <f>IF(OR(AF54&lt;1,AF54&gt;N('Исходные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данные'!$B$25)-AG54))</f>
        <v>0</v>
      </c>
      <c r="AI54">
        <f>IF(OR('Исходные данные'!$B$22&lt;&gt;"Да",AE54+AD54&lt;=0),0,IF(AND('Исходные данные'!$B$91&lt;&gt;"",B54&lt;&gt;"",YEAR(B54)=YEAR('Исходные данные'!$B$91),MONTH(B54)=MONTH('Исходные данные'!$B$91)),-(AE54+AD54),IF(OR(AF54&lt;1,AF54&gt;N('Исходные данные'!$B$25)),0,IF('Исходные данные'!$B$27="Равными долями",-MIN(AE54+AD54,N('Исходные данные'!$B$23)/N('Исходные данные'!$B$25)),-MIN(AE54+AD54,IF(AF54=N('Исходные данные'!$B$25),AE54+AD54,MAX(0,AH54+AG54)))))))</f>
        <v>0</v>
      </c>
      <c r="AJ54">
        <f t="shared" si="26"/>
        <v>0</v>
      </c>
      <c r="AK54">
        <f t="shared" si="27"/>
        <v>0</v>
      </c>
      <c r="AL54">
        <f>IF(OR(B54="",'Исходные данные'!$B$51&lt;&gt;"Да",'Исходные данные'!$B$61=""),0,IF(AND(YEAR(B54)=YEAR('Исходные данные'!$B$61),MONTH(B54)=MONTH('Исходные данные'!$B$61)),N('Исходные данные'!$B$18)*N('Исходные данные'!$B$62),0))</f>
        <v>0</v>
      </c>
      <c r="AM54">
        <f t="shared" si="39"/>
        <v>0</v>
      </c>
      <c r="AN54">
        <f t="shared" si="28"/>
        <v>0</v>
      </c>
      <c r="AO54">
        <f t="shared" si="29"/>
        <v>0</v>
      </c>
      <c r="AP54">
        <f>IF('Исходные данные'!$B$51="Да",-MAX(0,AN54-AO54-AM54),0)</f>
        <v>0</v>
      </c>
      <c r="AQ54">
        <f>IF('Исходные данные'!$B$51="Да",MAX(0,AM54+AO54-AN54),0)</f>
        <v>0</v>
      </c>
      <c r="AR54">
        <f>IF('Исходные данные'!$B$53="Выручка",MAX(0,L54+(Q54-R54)+(U54-V54)),IF('Исходные данные'!$B$53="Прибыль до налога",MAX(0,L54+(Q54-R54)+(U54-V54)+N('Исходные данные'!$B$54)*((O54+P54)+(S54+T54)+W54+X54)+IF('Исходные данные'!$B$55="Да",AG54,0)-N('Исходные данные'!$B$56)/12),IF('Исходные данные'!$B$53="Пользовательская база",MAX(0,N('Исходные данные'!$B$57)/12),0)))</f>
        <v>0</v>
      </c>
      <c r="AS54">
        <f>IF(E54=1,-AR54*N('Исходные данные'!$B$50),0)</f>
        <v>0</v>
      </c>
      <c r="AT54">
        <f t="shared" si="30"/>
        <v>0</v>
      </c>
      <c r="AU54">
        <f>IF(OR(B54="",N('Исходные данные'!$B$80)&lt;=0,'Исходные данные'!$B$88=""),0,MAX(0,IF('Исходные данные'!$B$88="Последние 12 месяцев",SUMIFS($Y$2:$Y$194,$B$2:$B$194,"&gt;="&amp;EDATE(B54,-11),$B$2:$B$194,"&lt;="&amp;B54),IF('Исходные данные'!$B$88="Пользовательский NOI",N('Исходные данные'!$B$89),AT54))/N('Исходные данные'!$B$80)*(1+N('Исходные данные'!$B$81))))</f>
        <v>0</v>
      </c>
      <c r="AV54">
        <f>IF(OR(E54&lt;&gt;1,B54="",'Исходные данные'!$B$91=""),0,IF(AND(YEAR(B54)=YEAR('Исходные данные'!$B$91),MONTH(B54)=MONTH('Исходные данные'!$B$91)),AU54,0))</f>
        <v>0</v>
      </c>
      <c r="AW54">
        <f>-AV54*N('Исходные данные'!$B$73)</f>
        <v>0</v>
      </c>
      <c r="AX54">
        <f>IF(AV54=0,0,-N('Исходные данные'!$B$87)-IF('Исходные данные'!$B$82="Да",IF('Исходные данные'!$B$84="С выручки",AV54,IF('Исходные данные'!$B$84="С прибыли",MAX(0,AV54+AW54-IF('Исходные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54">
        <f t="shared" si="31"/>
        <v>0</v>
      </c>
      <c r="AZ54">
        <f t="shared" si="32"/>
        <v>0</v>
      </c>
      <c r="BA54">
        <f t="shared" si="33"/>
        <v>0</v>
      </c>
      <c r="BB54" t="str">
        <f t="shared" si="40"/>
        <v/>
      </c>
      <c r="BC54">
        <f>IF(OR(E54=0,'Исходные данные'!$B$9="",'Исходные данные'!$B$90=""),0,BA54/(1+'Исходные данные'!$B$90)^((D54-'Исходные данные'!$B$9)/365))</f>
        <v>0</v>
      </c>
      <c r="BD54">
        <f>IF(AND(E54=1,BB54&gt;=0,BB53&lt;0,MIN($BB$2:BB54)&lt;0),1,0)</f>
        <v>0</v>
      </c>
      <c r="BE54">
        <f t="shared" si="34"/>
        <v>0</v>
      </c>
      <c r="BF54">
        <f t="shared" si="35"/>
        <v>0</v>
      </c>
      <c r="BG54">
        <f t="shared" si="36"/>
        <v>0</v>
      </c>
      <c r="BH54">
        <f t="shared" si="37"/>
        <v>1</v>
      </c>
      <c r="BI54">
        <f>AZ54+N54+AP54-AR54*N('Исходные данные'!$B$50)</f>
        <v>0</v>
      </c>
      <c r="BJ54">
        <f t="shared" si="20"/>
        <v>0</v>
      </c>
      <c r="BK54">
        <f>IF(AND(BJ54&gt;=0,BJ53&lt;0,MIN($BJ$2:BJ54)&lt;0),1,0)</f>
        <v>0</v>
      </c>
    </row>
    <row r="55" spans="1:63" x14ac:dyDescent="0.2">
      <c r="A55">
        <v>54</v>
      </c>
      <c r="B55" t="str">
        <f>IF('Исходные данные'!$B$9="","",EDATE(DATE(YEAR('Исходные данные'!$B$9),MONTH('Исходные данные'!$B$9),1),A55-1))</f>
        <v/>
      </c>
      <c r="C55" t="str">
        <f t="shared" si="21"/>
        <v/>
      </c>
      <c r="D55" t="str">
        <f>IF(B55="","",IF('Исходные данные'!$B$91&lt;&gt;"",IF(AND(YEAR(B55)=YEAR('Исходные данные'!$B$91),MONTH(B55)=MONTH('Исходные данные'!$B$91)),'Исходные данные'!$B$91,IF('Исходные данные'!$B$13&lt;&gt;"",IF(AND(YEAR(B55)=YEAR('Исходные данные'!$B$13),MONTH(B55)=MONTH('Исходные данные'!$B$13)),'Исходные данные'!$B$13,IF('Исходные данные'!$B$26&lt;&gt;"",IF(AND(YEAR(B55)=YEAR('Исходные данные'!$B$26),MONTH(B55)=MONTH('Исходные данные'!$B$26)),'Исходные данные'!$B$26,IF(A55=1,'Исходные данные'!$B$9,C55)),IF(A55=1,'Исходные данные'!$B$9,C55))),IF('Исходные данные'!$B$26&lt;&gt;"",IF(AND(YEAR(B55)=YEAR('Исходные данные'!$B$26),MONTH(B55)=MONTH('Исходные данные'!$B$26)),'Исходные данные'!$B$26,IF(A55=1,'Исходные данные'!$B$9,C55)),IF(A55=1,'Исходные данные'!$B$9,C55)))),IF('Исходные данные'!$B$13&lt;&gt;"",IF(AND(YEAR(B55)=YEAR('Исходные данные'!$B$13),MONTH(B55)=MONTH('Исходные данные'!$B$13)),'Исходные данные'!$B$13,IF('Исходные данные'!$B$26&lt;&gt;"",IF(AND(YEAR(B55)=YEAR('Исходные данные'!$B$26),MONTH(B55)=MONTH('Исходные данные'!$B$26)),'Исходные данные'!$B$26,IF(A55=1,'Исходные данные'!$B$9,C55)),IF(A55=1,'Исходные данные'!$B$9,C55))),IF('Исходные данные'!$B$26&lt;&gt;"",IF(AND(YEAR(B55)=YEAR('Исходные данные'!$B$26),MONTH(B55)=MONTH('Исходные данные'!$B$26)),'Исходные данные'!$B$26,IF(A55=1,'Исходные данные'!$B$9,C55)),IF(A55=1,'Исходные данные'!$B$9,C55)))))</f>
        <v/>
      </c>
      <c r="E55">
        <f>IF(OR(B55="",'Исходные данные'!$B$91=""),0,--(B55&lt;=DATE(YEAR('Исходные данные'!$B$91),MONTH('Исходные данные'!$B$91),1)))</f>
        <v>0</v>
      </c>
      <c r="F55">
        <f>IF(OR(B55="",'Исходные данные'!$B$30="",C55&lt;'Исходные данные'!$B$30),0,DATEDIF(DATE(YEAR('Исходные данные'!$B$30),MONTH('Исходные данные'!$B$30),1),B55,"m")+1)</f>
        <v>0</v>
      </c>
      <c r="G55">
        <f t="shared" si="22"/>
        <v>0</v>
      </c>
      <c r="H55">
        <f>IF(F55=0,0,IF(G55=1,N('Исходные данные'!$B$31),IF(G55=2,N('Исходные данные'!$B$32),IF(G55=3,N('Исходные данные'!$B$33),N('Исходные данные'!$B$33)*(1+N('Исходные данные'!$B$34))^(G55-3)))))</f>
        <v>0</v>
      </c>
      <c r="I55">
        <f>IF(OR(F55=0,N('Исходные данные'!$B$5)=0,H55=0),0,'Исходные данные'!$B$5*H55*IF(AND(B55&lt;='Исходные данные'!$B$30,C55&gt;='Исходные данные'!$B$30),(C55-'Исходные данные'!$B$30+1)/DAY(C55),1))</f>
        <v>0</v>
      </c>
      <c r="J55">
        <f>IF(AND(F55&gt;0,F55&lt;=N('Исходные данные'!$B$37)),-I55,0)</f>
        <v>0</v>
      </c>
      <c r="K55">
        <f>IF(OR(F55=0,F55&lt;=N('Исходные данные'!$B$37)),0,-(I55+J55)*N('Исходные данные'!$B$38))</f>
        <v>0</v>
      </c>
      <c r="L55">
        <f t="shared" si="23"/>
        <v>0</v>
      </c>
      <c r="M55">
        <f>IF('Исходные данные'!$B$51="Да",L55*N('Исходные данные'!$B$52),0)</f>
        <v>0</v>
      </c>
      <c r="N55">
        <f t="shared" si="24"/>
        <v>0</v>
      </c>
      <c r="O55">
        <f>IF(OR(B55="",IF('Исходные данные'!$B$45="",'Исходные данные'!$B$10,'Исходные данные'!$B$45)="",C55&lt;IF('Исходные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данные'!$B$45)),1),B55,"m")/12))*IF(AND(B55&lt;=IF('Исходные данные'!$B$45="",'Исходные данные'!$B$10,'Исходные данные'!$B$45),C55&gt;=IF('Исходные данные'!$B$45="",'Исходные данные'!$B$10,'Исходные данные'!$B$45)),(C55-IF('Исходные данные'!$B$45="",'Исходные данные'!$B$10,'Исходные данные'!$B$45)+1)/DAY(C55),1)*IF('Исходные данные'!$B$43="Без НДС",1+N('Исходные данные'!$B$44),1))</f>
        <v>0</v>
      </c>
      <c r="P55">
        <f>IF('Исходные данные'!$B$51="Да",-O55*N('Исходные данные'!$B$44)/(1+N('Исходные данные'!$B$44)),0)</f>
        <v>0</v>
      </c>
      <c r="Q55">
        <f>IF('Исходные данные'!$B$35="Да",-O55,0)</f>
        <v>0</v>
      </c>
      <c r="R55">
        <f>IF(AND('Исходные данные'!$B$51="Да",Q55&gt;0),Q55*N('Исходные данные'!$B$52)/(1+N('Исходные данные'!$B$52)),0)</f>
        <v>0</v>
      </c>
      <c r="S55">
        <f>IF(OR(B55="",IF('Исходные данные'!$B$45="",'Исходные данные'!$B$10,'Исходные данные'!$B$45)="",C55&lt;IF('Исходные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данные'!$B$45)),1),B55,"m")/12))*IF(AND(B55&lt;=IF('Исходные данные'!$B$45="",'Исходные данные'!$B$10,'Исходные данные'!$B$45),C55&gt;=IF('Исходные данные'!$B$45="",'Исходные данные'!$B$10,'Исходные данные'!$B$45)),(C55-IF('Исходные данные'!$B$45="",'Исходные данные'!$B$10,'Исходные данные'!$B$45)+1)/DAY(C55),1)*IF('Исходные данные'!$B$43="Без НДС",1+N('Исходные данные'!$B$44),1))</f>
        <v>0</v>
      </c>
      <c r="T55">
        <f>IF('Исходные данные'!$B$51="Да",-S55*N('Исходные данные'!$B$44)/(1+N('Исходные данные'!$B$44)),0)</f>
        <v>0</v>
      </c>
      <c r="U55">
        <f>IF('Исходные данные'!$B$36="Да",-S55,0)</f>
        <v>0</v>
      </c>
      <c r="V55">
        <f>IF(AND('Исходные данные'!$B$51="Да",U55&gt;0),U55*N('Исходные данные'!$B$52)/(1+N('Исходные данные'!$B$52)),0)</f>
        <v>0</v>
      </c>
      <c r="W55">
        <f>IF(OR(B55="",IF('Исходные данные'!$B$69="",'Исходные данные'!$B$10,'Исходные данные'!$B$69)="",C55&lt;IF('Исходные данные'!$B$69="",'Исходные данные'!$B$10,'Исходные данные'!$B$69)),0,-N('Исходные данные'!$B$16)*N('Исходные данные'!$B$68)*N('Исходные данные'!$B$67)/12*IF(AND(B55&lt;=IF('Исходные данные'!$B$69="",'Исходные данные'!$B$10,'Исходные данные'!$B$69),C55&gt;=IF('Исходные данные'!$B$69="",'Исходные данные'!$B$10,'Исходные данные'!$B$69)),(C55-IF('Исходные данные'!$B$69="",'Исходные данные'!$B$10,'Исходные данные'!$B$69)+1)/DAY(C55),1))</f>
        <v>0</v>
      </c>
      <c r="X55">
        <f>IF(OR(B55="",IF('Исходные данные'!$B$76="",'Исходные данные'!$B$10,'Исходные данные'!$B$76)="",C55&lt;IF('Исходные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данные'!$B$76)),1),B55,"m")/12))*IF(AND(B55&lt;=IF('Исходные данные'!$B$76="",'Исходные данные'!$B$10,'Исходные данные'!$B$76),C55&gt;=IF('Исходные данные'!$B$76="",'Исходные данные'!$B$10,'Исходные данные'!$B$76)),(C55-IF('Исходные данные'!$B$76="",'Исходные данные'!$B$10,'Исходные данные'!$B$76)+1)/DAY(C55),1))</f>
        <v>0</v>
      </c>
      <c r="Y55">
        <f t="shared" si="25"/>
        <v>0</v>
      </c>
      <c r="Z55">
        <f>IF(OR(B55="",N('Исходные данные'!$B$19)=0),0,-SUMIFS('Исходные данные'!$I$6:$I$186,'Исходные данные'!$F$6:$F$186,B55)*N('Исходные данные'!$B$17)/N('Исходные данные'!$B$19))</f>
        <v>0</v>
      </c>
      <c r="AA55">
        <f>IF(OR(B55="",N('Исходные данные'!$B$19)=0),0,-SUMIFS('Исходные данные'!$I$6:$I$186,'Исходные данные'!$F$6:$F$186,B55)*N('Исходные данные'!$B$18)/N('Исходные данные'!$B$19))</f>
        <v>0</v>
      </c>
      <c r="AB55">
        <f>IF(OR(B55="",'Исходные данные'!$B$13=""),0,IF(AND(YEAR(B55)=YEAR('Исходные данные'!$B$13),MONTH(B55)=MONTH('Исходные данные'!$B$13)),-N('Исходные данные'!$B$11),0))</f>
        <v>0</v>
      </c>
      <c r="AC55">
        <f>IF(A55=1,-N('Исходные данные'!$B$19)*N('Исходные данные'!$B$72),0)</f>
        <v>0</v>
      </c>
      <c r="AD55">
        <f>IF(OR(B55="",'Исходные данные'!$B$22&lt;&gt;"Да",'Исходные данные'!$B$26=""),0,IF(AND(YEAR(B55)=YEAR('Исходные данные'!$B$26),MONTH(B55)=MONTH('Исходные данные'!$B$26)),N('Исходные данные'!$B$23),0))</f>
        <v>0</v>
      </c>
      <c r="AE55">
        <f t="shared" si="38"/>
        <v>0</v>
      </c>
      <c r="AF55">
        <f>IF(OR('Исходные данные'!$B$22&lt;&gt;"Да",'Исходные данные'!$B$26="",C55&lt;'Исходные данные'!$B$26),0,DATEDIF(DATE(YEAR('Исходные данные'!$B$26),MONTH('Исходные данные'!$B$26),1),B55,"m")+1)</f>
        <v>0</v>
      </c>
      <c r="AG55">
        <f>IF(OR(AF55&lt;1,AF55&gt;N('Исходные данные'!$B$25),AE55+AD55&lt;=0),0,-(AE55+AD55)*N('Исходные данные'!$B$24)*IF(AF55=1,C55-'Исходные данные'!$B$26+1,DAY(C55))/365)</f>
        <v>0</v>
      </c>
      <c r="AH55">
        <f>IF(OR(AF55&lt;1,AF55&gt;N('Исходные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данные'!$B$25)-AG55))</f>
        <v>0</v>
      </c>
      <c r="AI55">
        <f>IF(OR('Исходные данные'!$B$22&lt;&gt;"Да",AE55+AD55&lt;=0),0,IF(AND('Исходные данные'!$B$91&lt;&gt;"",B55&lt;&gt;"",YEAR(B55)=YEAR('Исходные данные'!$B$91),MONTH(B55)=MONTH('Исходные данные'!$B$91)),-(AE55+AD55),IF(OR(AF55&lt;1,AF55&gt;N('Исходные данные'!$B$25)),0,IF('Исходные данные'!$B$27="Равными долями",-MIN(AE55+AD55,N('Исходные данные'!$B$23)/N('Исходные данные'!$B$25)),-MIN(AE55+AD55,IF(AF55=N('Исходные данные'!$B$25),AE55+AD55,MAX(0,AH55+AG55)))))))</f>
        <v>0</v>
      </c>
      <c r="AJ55">
        <f t="shared" si="26"/>
        <v>0</v>
      </c>
      <c r="AK55">
        <f t="shared" si="27"/>
        <v>0</v>
      </c>
      <c r="AL55">
        <f>IF(OR(B55="",'Исходные данные'!$B$51&lt;&gt;"Да",'Исходные данные'!$B$61=""),0,IF(AND(YEAR(B55)=YEAR('Исходные данные'!$B$61),MONTH(B55)=MONTH('Исходные данные'!$B$61)),N('Исходные данные'!$B$18)*N('Исходные данные'!$B$62),0))</f>
        <v>0</v>
      </c>
      <c r="AM55">
        <f t="shared" si="39"/>
        <v>0</v>
      </c>
      <c r="AN55">
        <f t="shared" si="28"/>
        <v>0</v>
      </c>
      <c r="AO55">
        <f t="shared" si="29"/>
        <v>0</v>
      </c>
      <c r="AP55">
        <f>IF('Исходные данные'!$B$51="Да",-MAX(0,AN55-AO55-AM55),0)</f>
        <v>0</v>
      </c>
      <c r="AQ55">
        <f>IF('Исходные данные'!$B$51="Да",MAX(0,AM55+AO55-AN55),0)</f>
        <v>0</v>
      </c>
      <c r="AR55">
        <f>IF('Исходные данные'!$B$53="Выручка",MAX(0,L55+(Q55-R55)+(U55-V55)),IF('Исходные данные'!$B$53="Прибыль до налога",MAX(0,L55+(Q55-R55)+(U55-V55)+N('Исходные данные'!$B$54)*((O55+P55)+(S55+T55)+W55+X55)+IF('Исходные данные'!$B$55="Да",AG55,0)-N('Исходные данные'!$B$56)/12),IF('Исходные данные'!$B$53="Пользовательская база",MAX(0,N('Исходные данные'!$B$57)/12),0)))</f>
        <v>0</v>
      </c>
      <c r="AS55">
        <f>IF(E55=1,-AR55*N('Исходные данные'!$B$50),0)</f>
        <v>0</v>
      </c>
      <c r="AT55">
        <f t="shared" si="30"/>
        <v>0</v>
      </c>
      <c r="AU55">
        <f>IF(OR(B55="",N('Исходные данные'!$B$80)&lt;=0,'Исходные данные'!$B$88=""),0,MAX(0,IF('Исходные данные'!$B$88="Последние 12 месяцев",SUMIFS($Y$2:$Y$194,$B$2:$B$194,"&gt;="&amp;EDATE(B55,-11),$B$2:$B$194,"&lt;="&amp;B55),IF('Исходные данные'!$B$88="Пользовательский NOI",N('Исходные данные'!$B$89),AT55))/N('Исходные данные'!$B$80)*(1+N('Исходные данные'!$B$81))))</f>
        <v>0</v>
      </c>
      <c r="AV55">
        <f>IF(OR(E55&lt;&gt;1,B55="",'Исходные данные'!$B$91=""),0,IF(AND(YEAR(B55)=YEAR('Исходные данные'!$B$91),MONTH(B55)=MONTH('Исходные данные'!$B$91)),AU55,0))</f>
        <v>0</v>
      </c>
      <c r="AW55">
        <f>-AV55*N('Исходные данные'!$B$73)</f>
        <v>0</v>
      </c>
      <c r="AX55">
        <f>IF(AV55=0,0,-N('Исходные данные'!$B$87)-IF('Исходные данные'!$B$82="Да",IF('Исходные данные'!$B$84="С выручки",AV55,IF('Исходные данные'!$B$84="С прибыли",MAX(0,AV55+AW55-IF('Исходные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55">
        <f t="shared" si="31"/>
        <v>0</v>
      </c>
      <c r="AZ55">
        <f t="shared" si="32"/>
        <v>0</v>
      </c>
      <c r="BA55">
        <f t="shared" si="33"/>
        <v>0</v>
      </c>
      <c r="BB55" t="str">
        <f t="shared" si="40"/>
        <v/>
      </c>
      <c r="BC55">
        <f>IF(OR(E55=0,'Исходные данные'!$B$9="",'Исходные данные'!$B$90=""),0,BA55/(1+'Исходные данные'!$B$90)^((D55-'Исходные данные'!$B$9)/365))</f>
        <v>0</v>
      </c>
      <c r="BD55">
        <f>IF(AND(E55=1,BB55&gt;=0,BB54&lt;0,MIN($BB$2:BB55)&lt;0),1,0)</f>
        <v>0</v>
      </c>
      <c r="BE55">
        <f t="shared" si="34"/>
        <v>0</v>
      </c>
      <c r="BF55">
        <f t="shared" si="35"/>
        <v>0</v>
      </c>
      <c r="BG55">
        <f t="shared" si="36"/>
        <v>0</v>
      </c>
      <c r="BH55">
        <f t="shared" si="37"/>
        <v>1</v>
      </c>
      <c r="BI55">
        <f>AZ55+N55+AP55-AR55*N('Исходные данные'!$B$50)</f>
        <v>0</v>
      </c>
      <c r="BJ55">
        <f t="shared" si="20"/>
        <v>0</v>
      </c>
      <c r="BK55">
        <f>IF(AND(BJ55&gt;=0,BJ54&lt;0,MIN($BJ$2:BJ55)&lt;0),1,0)</f>
        <v>0</v>
      </c>
    </row>
    <row r="56" spans="1:63" x14ac:dyDescent="0.2">
      <c r="A56">
        <v>55</v>
      </c>
      <c r="B56" t="str">
        <f>IF('Исходные данные'!$B$9="","",EDATE(DATE(YEAR('Исходные данные'!$B$9),MONTH('Исходные данные'!$B$9),1),A56-1))</f>
        <v/>
      </c>
      <c r="C56" t="str">
        <f t="shared" si="21"/>
        <v/>
      </c>
      <c r="D56" t="str">
        <f>IF(B56="","",IF('Исходные данные'!$B$91&lt;&gt;"",IF(AND(YEAR(B56)=YEAR('Исходные данные'!$B$91),MONTH(B56)=MONTH('Исходные данные'!$B$91)),'Исходные данные'!$B$91,IF('Исходные данные'!$B$13&lt;&gt;"",IF(AND(YEAR(B56)=YEAR('Исходные данные'!$B$13),MONTH(B56)=MONTH('Исходные данные'!$B$13)),'Исходные данные'!$B$13,IF('Исходные данные'!$B$26&lt;&gt;"",IF(AND(YEAR(B56)=YEAR('Исходные данные'!$B$26),MONTH(B56)=MONTH('Исходные данные'!$B$26)),'Исходные данные'!$B$26,IF(A56=1,'Исходные данные'!$B$9,C56)),IF(A56=1,'Исходные данные'!$B$9,C56))),IF('Исходные данные'!$B$26&lt;&gt;"",IF(AND(YEAR(B56)=YEAR('Исходные данные'!$B$26),MONTH(B56)=MONTH('Исходные данные'!$B$26)),'Исходные данные'!$B$26,IF(A56=1,'Исходные данные'!$B$9,C56)),IF(A56=1,'Исходные данные'!$B$9,C56)))),IF('Исходные данные'!$B$13&lt;&gt;"",IF(AND(YEAR(B56)=YEAR('Исходные данные'!$B$13),MONTH(B56)=MONTH('Исходные данные'!$B$13)),'Исходные данные'!$B$13,IF('Исходные данные'!$B$26&lt;&gt;"",IF(AND(YEAR(B56)=YEAR('Исходные данные'!$B$26),MONTH(B56)=MONTH('Исходные данные'!$B$26)),'Исходные данные'!$B$26,IF(A56=1,'Исходные данные'!$B$9,C56)),IF(A56=1,'Исходные данные'!$B$9,C56))),IF('Исходные данные'!$B$26&lt;&gt;"",IF(AND(YEAR(B56)=YEAR('Исходные данные'!$B$26),MONTH(B56)=MONTH('Исходные данные'!$B$26)),'Исходные данные'!$B$26,IF(A56=1,'Исходные данные'!$B$9,C56)),IF(A56=1,'Исходные данные'!$B$9,C56)))))</f>
        <v/>
      </c>
      <c r="E56">
        <f>IF(OR(B56="",'Исходные данные'!$B$91=""),0,--(B56&lt;=DATE(YEAR('Исходные данные'!$B$91),MONTH('Исходные данные'!$B$91),1)))</f>
        <v>0</v>
      </c>
      <c r="F56">
        <f>IF(OR(B56="",'Исходные данные'!$B$30="",C56&lt;'Исходные данные'!$B$30),0,DATEDIF(DATE(YEAR('Исходные данные'!$B$30),MONTH('Исходные данные'!$B$30),1),B56,"m")+1)</f>
        <v>0</v>
      </c>
      <c r="G56">
        <f t="shared" si="22"/>
        <v>0</v>
      </c>
      <c r="H56">
        <f>IF(F56=0,0,IF(G56=1,N('Исходные данные'!$B$31),IF(G56=2,N('Исходные данные'!$B$32),IF(G56=3,N('Исходные данные'!$B$33),N('Исходные данные'!$B$33)*(1+N('Исходные данные'!$B$34))^(G56-3)))))</f>
        <v>0</v>
      </c>
      <c r="I56">
        <f>IF(OR(F56=0,N('Исходные данные'!$B$5)=0,H56=0),0,'Исходные данные'!$B$5*H56*IF(AND(B56&lt;='Исходные данные'!$B$30,C56&gt;='Исходные данные'!$B$30),(C56-'Исходные данные'!$B$30+1)/DAY(C56),1))</f>
        <v>0</v>
      </c>
      <c r="J56">
        <f>IF(AND(F56&gt;0,F56&lt;=N('Исходные данные'!$B$37)),-I56,0)</f>
        <v>0</v>
      </c>
      <c r="K56">
        <f>IF(OR(F56=0,F56&lt;=N('Исходные данные'!$B$37)),0,-(I56+J56)*N('Исходные данные'!$B$38))</f>
        <v>0</v>
      </c>
      <c r="L56">
        <f t="shared" si="23"/>
        <v>0</v>
      </c>
      <c r="M56">
        <f>IF('Исходные данные'!$B$51="Да",L56*N('Исходные данные'!$B$52),0)</f>
        <v>0</v>
      </c>
      <c r="N56">
        <f t="shared" si="24"/>
        <v>0</v>
      </c>
      <c r="O56">
        <f>IF(OR(B56="",IF('Исходные данные'!$B$45="",'Исходные данные'!$B$10,'Исходные данные'!$B$45)="",C56&lt;IF('Исходные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данные'!$B$45)),1),B56,"m")/12))*IF(AND(B56&lt;=IF('Исходные данные'!$B$45="",'Исходные данные'!$B$10,'Исходные данные'!$B$45),C56&gt;=IF('Исходные данные'!$B$45="",'Исходные данные'!$B$10,'Исходные данные'!$B$45)),(C56-IF('Исходные данные'!$B$45="",'Исходные данные'!$B$10,'Исходные данные'!$B$45)+1)/DAY(C56),1)*IF('Исходные данные'!$B$43="Без НДС",1+N('Исходные данные'!$B$44),1))</f>
        <v>0</v>
      </c>
      <c r="P56">
        <f>IF('Исходные данные'!$B$51="Да",-O56*N('Исходные данные'!$B$44)/(1+N('Исходные данные'!$B$44)),0)</f>
        <v>0</v>
      </c>
      <c r="Q56">
        <f>IF('Исходные данные'!$B$35="Да",-O56,0)</f>
        <v>0</v>
      </c>
      <c r="R56">
        <f>IF(AND('Исходные данные'!$B$51="Да",Q56&gt;0),Q56*N('Исходные данные'!$B$52)/(1+N('Исходные данные'!$B$52)),0)</f>
        <v>0</v>
      </c>
      <c r="S56">
        <f>IF(OR(B56="",IF('Исходные данные'!$B$45="",'Исходные данные'!$B$10,'Исходные данные'!$B$45)="",C56&lt;IF('Исходные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данные'!$B$45)),1),B56,"m")/12))*IF(AND(B56&lt;=IF('Исходные данные'!$B$45="",'Исходные данные'!$B$10,'Исходные данные'!$B$45),C56&gt;=IF('Исходные данные'!$B$45="",'Исходные данные'!$B$10,'Исходные данные'!$B$45)),(C56-IF('Исходные данные'!$B$45="",'Исходные данные'!$B$10,'Исходные данные'!$B$45)+1)/DAY(C56),1)*IF('Исходные данные'!$B$43="Без НДС",1+N('Исходные данные'!$B$44),1))</f>
        <v>0</v>
      </c>
      <c r="T56">
        <f>IF('Исходные данные'!$B$51="Да",-S56*N('Исходные данные'!$B$44)/(1+N('Исходные данные'!$B$44)),0)</f>
        <v>0</v>
      </c>
      <c r="U56">
        <f>IF('Исходные данные'!$B$36="Да",-S56,0)</f>
        <v>0</v>
      </c>
      <c r="V56">
        <f>IF(AND('Исходные данные'!$B$51="Да",U56&gt;0),U56*N('Исходные данные'!$B$52)/(1+N('Исходные данные'!$B$52)),0)</f>
        <v>0</v>
      </c>
      <c r="W56">
        <f>IF(OR(B56="",IF('Исходные данные'!$B$69="",'Исходные данные'!$B$10,'Исходные данные'!$B$69)="",C56&lt;IF('Исходные данные'!$B$69="",'Исходные данные'!$B$10,'Исходные данные'!$B$69)),0,-N('Исходные данные'!$B$16)*N('Исходные данные'!$B$68)*N('Исходные данные'!$B$67)/12*IF(AND(B56&lt;=IF('Исходные данные'!$B$69="",'Исходные данные'!$B$10,'Исходные данные'!$B$69),C56&gt;=IF('Исходные данные'!$B$69="",'Исходные данные'!$B$10,'Исходные данные'!$B$69)),(C56-IF('Исходные данные'!$B$69="",'Исходные данные'!$B$10,'Исходные данные'!$B$69)+1)/DAY(C56),1))</f>
        <v>0</v>
      </c>
      <c r="X56">
        <f>IF(OR(B56="",IF('Исходные данные'!$B$76="",'Исходные данные'!$B$10,'Исходные данные'!$B$76)="",C56&lt;IF('Исходные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данные'!$B$76)),1),B56,"m")/12))*IF(AND(B56&lt;=IF('Исходные данные'!$B$76="",'Исходные данные'!$B$10,'Исходные данные'!$B$76),C56&gt;=IF('Исходные данные'!$B$76="",'Исходные данные'!$B$10,'Исходные данные'!$B$76)),(C56-IF('Исходные данные'!$B$76="",'Исходные данные'!$B$10,'Исходные данные'!$B$76)+1)/DAY(C56),1))</f>
        <v>0</v>
      </c>
      <c r="Y56">
        <f t="shared" si="25"/>
        <v>0</v>
      </c>
      <c r="Z56">
        <f>IF(OR(B56="",N('Исходные данные'!$B$19)=0),0,-SUMIFS('Исходные данные'!$I$6:$I$186,'Исходные данные'!$F$6:$F$186,B56)*N('Исходные данные'!$B$17)/N('Исходные данные'!$B$19))</f>
        <v>0</v>
      </c>
      <c r="AA56">
        <f>IF(OR(B56="",N('Исходные данные'!$B$19)=0),0,-SUMIFS('Исходные данные'!$I$6:$I$186,'Исходные данные'!$F$6:$F$186,B56)*N('Исходные данные'!$B$18)/N('Исходные данные'!$B$19))</f>
        <v>0</v>
      </c>
      <c r="AB56">
        <f>IF(OR(B56="",'Исходные данные'!$B$13=""),0,IF(AND(YEAR(B56)=YEAR('Исходные данные'!$B$13),MONTH(B56)=MONTH('Исходные данные'!$B$13)),-N('Исходные данные'!$B$11),0))</f>
        <v>0</v>
      </c>
      <c r="AC56">
        <f>IF(A56=1,-N('Исходные данные'!$B$19)*N('Исходные данные'!$B$72),0)</f>
        <v>0</v>
      </c>
      <c r="AD56">
        <f>IF(OR(B56="",'Исходные данные'!$B$22&lt;&gt;"Да",'Исходные данные'!$B$26=""),0,IF(AND(YEAR(B56)=YEAR('Исходные данные'!$B$26),MONTH(B56)=MONTH('Исходные данные'!$B$26)),N('Исходные данные'!$B$23),0))</f>
        <v>0</v>
      </c>
      <c r="AE56">
        <f t="shared" si="38"/>
        <v>0</v>
      </c>
      <c r="AF56">
        <f>IF(OR('Исходные данные'!$B$22&lt;&gt;"Да",'Исходные данные'!$B$26="",C56&lt;'Исходные данные'!$B$26),0,DATEDIF(DATE(YEAR('Исходные данные'!$B$26),MONTH('Исходные данные'!$B$26),1),B56,"m")+1)</f>
        <v>0</v>
      </c>
      <c r="AG56">
        <f>IF(OR(AF56&lt;1,AF56&gt;N('Исходные данные'!$B$25),AE56+AD56&lt;=0),0,-(AE56+AD56)*N('Исходные данные'!$B$24)*IF(AF56=1,C56-'Исходные данные'!$B$26+1,DAY(C56))/365)</f>
        <v>0</v>
      </c>
      <c r="AH56">
        <f>IF(OR(AF56&lt;1,AF56&gt;N('Исходные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данные'!$B$25)-AG56))</f>
        <v>0</v>
      </c>
      <c r="AI56">
        <f>IF(OR('Исходные данные'!$B$22&lt;&gt;"Да",AE56+AD56&lt;=0),0,IF(AND('Исходные данные'!$B$91&lt;&gt;"",B56&lt;&gt;"",YEAR(B56)=YEAR('Исходные данные'!$B$91),MONTH(B56)=MONTH('Исходные данные'!$B$91)),-(AE56+AD56),IF(OR(AF56&lt;1,AF56&gt;N('Исходные данные'!$B$25)),0,IF('Исходные данные'!$B$27="Равными долями",-MIN(AE56+AD56,N('Исходные данные'!$B$23)/N('Исходные данные'!$B$25)),-MIN(AE56+AD56,IF(AF56=N('Исходные данные'!$B$25),AE56+AD56,MAX(0,AH56+AG56)))))))</f>
        <v>0</v>
      </c>
      <c r="AJ56">
        <f t="shared" si="26"/>
        <v>0</v>
      </c>
      <c r="AK56">
        <f t="shared" si="27"/>
        <v>0</v>
      </c>
      <c r="AL56">
        <f>IF(OR(B56="",'Исходные данные'!$B$51&lt;&gt;"Да",'Исходные данные'!$B$61=""),0,IF(AND(YEAR(B56)=YEAR('Исходные данные'!$B$61),MONTH(B56)=MONTH('Исходные данные'!$B$61)),N('Исходные данные'!$B$18)*N('Исходные данные'!$B$62),0))</f>
        <v>0</v>
      </c>
      <c r="AM56">
        <f t="shared" si="39"/>
        <v>0</v>
      </c>
      <c r="AN56">
        <f t="shared" si="28"/>
        <v>0</v>
      </c>
      <c r="AO56">
        <f t="shared" si="29"/>
        <v>0</v>
      </c>
      <c r="AP56">
        <f>IF('Исходные данные'!$B$51="Да",-MAX(0,AN56-AO56-AM56),0)</f>
        <v>0</v>
      </c>
      <c r="AQ56">
        <f>IF('Исходные данные'!$B$51="Да",MAX(0,AM56+AO56-AN56),0)</f>
        <v>0</v>
      </c>
      <c r="AR56">
        <f>IF('Исходные данные'!$B$53="Выручка",MAX(0,L56+(Q56-R56)+(U56-V56)),IF('Исходные данные'!$B$53="Прибыль до налога",MAX(0,L56+(Q56-R56)+(U56-V56)+N('Исходные данные'!$B$54)*((O56+P56)+(S56+T56)+W56+X56)+IF('Исходные данные'!$B$55="Да",AG56,0)-N('Исходные данные'!$B$56)/12),IF('Исходные данные'!$B$53="Пользовательская база",MAX(0,N('Исходные данные'!$B$57)/12),0)))</f>
        <v>0</v>
      </c>
      <c r="AS56">
        <f>IF(E56=1,-AR56*N('Исходные данные'!$B$50),0)</f>
        <v>0</v>
      </c>
      <c r="AT56">
        <f t="shared" si="30"/>
        <v>0</v>
      </c>
      <c r="AU56">
        <f>IF(OR(B56="",N('Исходные данные'!$B$80)&lt;=0,'Исходные данные'!$B$88=""),0,MAX(0,IF('Исходные данные'!$B$88="Последние 12 месяцев",SUMIFS($Y$2:$Y$194,$B$2:$B$194,"&gt;="&amp;EDATE(B56,-11),$B$2:$B$194,"&lt;="&amp;B56),IF('Исходные данные'!$B$88="Пользовательский NOI",N('Исходные данные'!$B$89),AT56))/N('Исходные данные'!$B$80)*(1+N('Исходные данные'!$B$81))))</f>
        <v>0</v>
      </c>
      <c r="AV56">
        <f>IF(OR(E56&lt;&gt;1,B56="",'Исходные данные'!$B$91=""),0,IF(AND(YEAR(B56)=YEAR('Исходные данные'!$B$91),MONTH(B56)=MONTH('Исходные данные'!$B$91)),AU56,0))</f>
        <v>0</v>
      </c>
      <c r="AW56">
        <f>-AV56*N('Исходные данные'!$B$73)</f>
        <v>0</v>
      </c>
      <c r="AX56">
        <f>IF(AV56=0,0,-N('Исходные данные'!$B$87)-IF('Исходные данные'!$B$82="Да",IF('Исходные данные'!$B$84="С выручки",AV56,IF('Исходные данные'!$B$84="С прибыли",MAX(0,AV56+AW56-IF('Исходные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56">
        <f t="shared" si="31"/>
        <v>0</v>
      </c>
      <c r="AZ56">
        <f t="shared" si="32"/>
        <v>0</v>
      </c>
      <c r="BA56">
        <f t="shared" si="33"/>
        <v>0</v>
      </c>
      <c r="BB56" t="str">
        <f t="shared" si="40"/>
        <v/>
      </c>
      <c r="BC56">
        <f>IF(OR(E56=0,'Исходные данные'!$B$9="",'Исходные данные'!$B$90=""),0,BA56/(1+'Исходные данные'!$B$90)^((D56-'Исходные данные'!$B$9)/365))</f>
        <v>0</v>
      </c>
      <c r="BD56">
        <f>IF(AND(E56=1,BB56&gt;=0,BB55&lt;0,MIN($BB$2:BB56)&lt;0),1,0)</f>
        <v>0</v>
      </c>
      <c r="BE56">
        <f t="shared" si="34"/>
        <v>0</v>
      </c>
      <c r="BF56">
        <f t="shared" si="35"/>
        <v>0</v>
      </c>
      <c r="BG56">
        <f t="shared" si="36"/>
        <v>0</v>
      </c>
      <c r="BH56">
        <f t="shared" si="37"/>
        <v>1</v>
      </c>
      <c r="BI56">
        <f>AZ56+N56+AP56-AR56*N('Исходные данные'!$B$50)</f>
        <v>0</v>
      </c>
      <c r="BJ56">
        <f t="shared" si="20"/>
        <v>0</v>
      </c>
      <c r="BK56">
        <f>IF(AND(BJ56&gt;=0,BJ55&lt;0,MIN($BJ$2:BJ56)&lt;0),1,0)</f>
        <v>0</v>
      </c>
    </row>
    <row r="57" spans="1:63" x14ac:dyDescent="0.2">
      <c r="A57">
        <v>56</v>
      </c>
      <c r="B57" t="str">
        <f>IF('Исходные данные'!$B$9="","",EDATE(DATE(YEAR('Исходные данные'!$B$9),MONTH('Исходные данные'!$B$9),1),A57-1))</f>
        <v/>
      </c>
      <c r="C57" t="str">
        <f t="shared" si="21"/>
        <v/>
      </c>
      <c r="D57" t="str">
        <f>IF(B57="","",IF('Исходные данные'!$B$91&lt;&gt;"",IF(AND(YEAR(B57)=YEAR('Исходные данные'!$B$91),MONTH(B57)=MONTH('Исходные данные'!$B$91)),'Исходные данные'!$B$91,IF('Исходные данные'!$B$13&lt;&gt;"",IF(AND(YEAR(B57)=YEAR('Исходные данные'!$B$13),MONTH(B57)=MONTH('Исходные данные'!$B$13)),'Исходные данные'!$B$13,IF('Исходные данные'!$B$26&lt;&gt;"",IF(AND(YEAR(B57)=YEAR('Исходные данные'!$B$26),MONTH(B57)=MONTH('Исходные данные'!$B$26)),'Исходные данные'!$B$26,IF(A57=1,'Исходные данные'!$B$9,C57)),IF(A57=1,'Исходные данные'!$B$9,C57))),IF('Исходные данные'!$B$26&lt;&gt;"",IF(AND(YEAR(B57)=YEAR('Исходные данные'!$B$26),MONTH(B57)=MONTH('Исходные данные'!$B$26)),'Исходные данные'!$B$26,IF(A57=1,'Исходные данные'!$B$9,C57)),IF(A57=1,'Исходные данные'!$B$9,C57)))),IF('Исходные данные'!$B$13&lt;&gt;"",IF(AND(YEAR(B57)=YEAR('Исходные данные'!$B$13),MONTH(B57)=MONTH('Исходные данные'!$B$13)),'Исходные данные'!$B$13,IF('Исходные данные'!$B$26&lt;&gt;"",IF(AND(YEAR(B57)=YEAR('Исходные данные'!$B$26),MONTH(B57)=MONTH('Исходные данные'!$B$26)),'Исходные данные'!$B$26,IF(A57=1,'Исходные данные'!$B$9,C57)),IF(A57=1,'Исходные данные'!$B$9,C57))),IF('Исходные данные'!$B$26&lt;&gt;"",IF(AND(YEAR(B57)=YEAR('Исходные данные'!$B$26),MONTH(B57)=MONTH('Исходные данные'!$B$26)),'Исходные данные'!$B$26,IF(A57=1,'Исходные данные'!$B$9,C57)),IF(A57=1,'Исходные данные'!$B$9,C57)))))</f>
        <v/>
      </c>
      <c r="E57">
        <f>IF(OR(B57="",'Исходные данные'!$B$91=""),0,--(B57&lt;=DATE(YEAR('Исходные данные'!$B$91),MONTH('Исходные данные'!$B$91),1)))</f>
        <v>0</v>
      </c>
      <c r="F57">
        <f>IF(OR(B57="",'Исходные данные'!$B$30="",C57&lt;'Исходные данные'!$B$30),0,DATEDIF(DATE(YEAR('Исходные данные'!$B$30),MONTH('Исходные данные'!$B$30),1),B57,"m")+1)</f>
        <v>0</v>
      </c>
      <c r="G57">
        <f t="shared" si="22"/>
        <v>0</v>
      </c>
      <c r="H57">
        <f>IF(F57=0,0,IF(G57=1,N('Исходные данные'!$B$31),IF(G57=2,N('Исходные данные'!$B$32),IF(G57=3,N('Исходные данные'!$B$33),N('Исходные данные'!$B$33)*(1+N('Исходные данные'!$B$34))^(G57-3)))))</f>
        <v>0</v>
      </c>
      <c r="I57">
        <f>IF(OR(F57=0,N('Исходные данные'!$B$5)=0,H57=0),0,'Исходные данные'!$B$5*H57*IF(AND(B57&lt;='Исходные данные'!$B$30,C57&gt;='Исходные данные'!$B$30),(C57-'Исходные данные'!$B$30+1)/DAY(C57),1))</f>
        <v>0</v>
      </c>
      <c r="J57">
        <f>IF(AND(F57&gt;0,F57&lt;=N('Исходные данные'!$B$37)),-I57,0)</f>
        <v>0</v>
      </c>
      <c r="K57">
        <f>IF(OR(F57=0,F57&lt;=N('Исходные данные'!$B$37)),0,-(I57+J57)*N('Исходные данные'!$B$38))</f>
        <v>0</v>
      </c>
      <c r="L57">
        <f t="shared" si="23"/>
        <v>0</v>
      </c>
      <c r="M57">
        <f>IF('Исходные данные'!$B$51="Да",L57*N('Исходные данные'!$B$52),0)</f>
        <v>0</v>
      </c>
      <c r="N57">
        <f t="shared" si="24"/>
        <v>0</v>
      </c>
      <c r="O57">
        <f>IF(OR(B57="",IF('Исходные данные'!$B$45="",'Исходные данные'!$B$10,'Исходные данные'!$B$45)="",C57&lt;IF('Исходные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данные'!$B$45)),1),B57,"m")/12))*IF(AND(B57&lt;=IF('Исходные данные'!$B$45="",'Исходные данные'!$B$10,'Исходные данные'!$B$45),C57&gt;=IF('Исходные данные'!$B$45="",'Исходные данные'!$B$10,'Исходные данные'!$B$45)),(C57-IF('Исходные данные'!$B$45="",'Исходные данные'!$B$10,'Исходные данные'!$B$45)+1)/DAY(C57),1)*IF('Исходные данные'!$B$43="Без НДС",1+N('Исходные данные'!$B$44),1))</f>
        <v>0</v>
      </c>
      <c r="P57">
        <f>IF('Исходные данные'!$B$51="Да",-O57*N('Исходные данные'!$B$44)/(1+N('Исходные данные'!$B$44)),0)</f>
        <v>0</v>
      </c>
      <c r="Q57">
        <f>IF('Исходные данные'!$B$35="Да",-O57,0)</f>
        <v>0</v>
      </c>
      <c r="R57">
        <f>IF(AND('Исходные данные'!$B$51="Да",Q57&gt;0),Q57*N('Исходные данные'!$B$52)/(1+N('Исходные данные'!$B$52)),0)</f>
        <v>0</v>
      </c>
      <c r="S57">
        <f>IF(OR(B57="",IF('Исходные данные'!$B$45="",'Исходные данные'!$B$10,'Исходные данные'!$B$45)="",C57&lt;IF('Исходные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данные'!$B$45)),1),B57,"m")/12))*IF(AND(B57&lt;=IF('Исходные данные'!$B$45="",'Исходные данные'!$B$10,'Исходные данные'!$B$45),C57&gt;=IF('Исходные данные'!$B$45="",'Исходные данные'!$B$10,'Исходные данные'!$B$45)),(C57-IF('Исходные данные'!$B$45="",'Исходные данные'!$B$10,'Исходные данные'!$B$45)+1)/DAY(C57),1)*IF('Исходные данные'!$B$43="Без НДС",1+N('Исходные данные'!$B$44),1))</f>
        <v>0</v>
      </c>
      <c r="T57">
        <f>IF('Исходные данные'!$B$51="Да",-S57*N('Исходные данные'!$B$44)/(1+N('Исходные данные'!$B$44)),0)</f>
        <v>0</v>
      </c>
      <c r="U57">
        <f>IF('Исходные данные'!$B$36="Да",-S57,0)</f>
        <v>0</v>
      </c>
      <c r="V57">
        <f>IF(AND('Исходные данные'!$B$51="Да",U57&gt;0),U57*N('Исходные данные'!$B$52)/(1+N('Исходные данные'!$B$52)),0)</f>
        <v>0</v>
      </c>
      <c r="W57">
        <f>IF(OR(B57="",IF('Исходные данные'!$B$69="",'Исходные данные'!$B$10,'Исходные данные'!$B$69)="",C57&lt;IF('Исходные данные'!$B$69="",'Исходные данные'!$B$10,'Исходные данные'!$B$69)),0,-N('Исходные данные'!$B$16)*N('Исходные данные'!$B$68)*N('Исходные данные'!$B$67)/12*IF(AND(B57&lt;=IF('Исходные данные'!$B$69="",'Исходные данные'!$B$10,'Исходные данные'!$B$69),C57&gt;=IF('Исходные данные'!$B$69="",'Исходные данные'!$B$10,'Исходные данные'!$B$69)),(C57-IF('Исходные данные'!$B$69="",'Исходные данные'!$B$10,'Исходные данные'!$B$69)+1)/DAY(C57),1))</f>
        <v>0</v>
      </c>
      <c r="X57">
        <f>IF(OR(B57="",IF('Исходные данные'!$B$76="",'Исходные данные'!$B$10,'Исходные данные'!$B$76)="",C57&lt;IF('Исходные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данные'!$B$76)),1),B57,"m")/12))*IF(AND(B57&lt;=IF('Исходные данные'!$B$76="",'Исходные данные'!$B$10,'Исходные данные'!$B$76),C57&gt;=IF('Исходные данные'!$B$76="",'Исходные данные'!$B$10,'Исходные данные'!$B$76)),(C57-IF('Исходные данные'!$B$76="",'Исходные данные'!$B$10,'Исходные данные'!$B$76)+1)/DAY(C57),1))</f>
        <v>0</v>
      </c>
      <c r="Y57">
        <f t="shared" si="25"/>
        <v>0</v>
      </c>
      <c r="Z57">
        <f>IF(OR(B57="",N('Исходные данные'!$B$19)=0),0,-SUMIFS('Исходные данные'!$I$6:$I$186,'Исходные данные'!$F$6:$F$186,B57)*N('Исходные данные'!$B$17)/N('Исходные данные'!$B$19))</f>
        <v>0</v>
      </c>
      <c r="AA57">
        <f>IF(OR(B57="",N('Исходные данные'!$B$19)=0),0,-SUMIFS('Исходные данные'!$I$6:$I$186,'Исходные данные'!$F$6:$F$186,B57)*N('Исходные данные'!$B$18)/N('Исходные данные'!$B$19))</f>
        <v>0</v>
      </c>
      <c r="AB57">
        <f>IF(OR(B57="",'Исходные данные'!$B$13=""),0,IF(AND(YEAR(B57)=YEAR('Исходные данные'!$B$13),MONTH(B57)=MONTH('Исходные данные'!$B$13)),-N('Исходные данные'!$B$11),0))</f>
        <v>0</v>
      </c>
      <c r="AC57">
        <f>IF(A57=1,-N('Исходные данные'!$B$19)*N('Исходные данные'!$B$72),0)</f>
        <v>0</v>
      </c>
      <c r="AD57">
        <f>IF(OR(B57="",'Исходные данные'!$B$22&lt;&gt;"Да",'Исходные данные'!$B$26=""),0,IF(AND(YEAR(B57)=YEAR('Исходные данные'!$B$26),MONTH(B57)=MONTH('Исходные данные'!$B$26)),N('Исходные данные'!$B$23),0))</f>
        <v>0</v>
      </c>
      <c r="AE57">
        <f t="shared" si="38"/>
        <v>0</v>
      </c>
      <c r="AF57">
        <f>IF(OR('Исходные данные'!$B$22&lt;&gt;"Да",'Исходные данные'!$B$26="",C57&lt;'Исходные данные'!$B$26),0,DATEDIF(DATE(YEAR('Исходные данные'!$B$26),MONTH('Исходные данные'!$B$26),1),B57,"m")+1)</f>
        <v>0</v>
      </c>
      <c r="AG57">
        <f>IF(OR(AF57&lt;1,AF57&gt;N('Исходные данные'!$B$25),AE57+AD57&lt;=0),0,-(AE57+AD57)*N('Исходные данные'!$B$24)*IF(AF57=1,C57-'Исходные данные'!$B$26+1,DAY(C57))/365)</f>
        <v>0</v>
      </c>
      <c r="AH57">
        <f>IF(OR(AF57&lt;1,AF57&gt;N('Исходные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данные'!$B$25)-AG57))</f>
        <v>0</v>
      </c>
      <c r="AI57">
        <f>IF(OR('Исходные данные'!$B$22&lt;&gt;"Да",AE57+AD57&lt;=0),0,IF(AND('Исходные данные'!$B$91&lt;&gt;"",B57&lt;&gt;"",YEAR(B57)=YEAR('Исходные данные'!$B$91),MONTH(B57)=MONTH('Исходные данные'!$B$91)),-(AE57+AD57),IF(OR(AF57&lt;1,AF57&gt;N('Исходные данные'!$B$25)),0,IF('Исходные данные'!$B$27="Равными долями",-MIN(AE57+AD57,N('Исходные данные'!$B$23)/N('Исходные данные'!$B$25)),-MIN(AE57+AD57,IF(AF57=N('Исходные данные'!$B$25),AE57+AD57,MAX(0,AH57+AG57)))))))</f>
        <v>0</v>
      </c>
      <c r="AJ57">
        <f t="shared" si="26"/>
        <v>0</v>
      </c>
      <c r="AK57">
        <f t="shared" si="27"/>
        <v>0</v>
      </c>
      <c r="AL57">
        <f>IF(OR(B57="",'Исходные данные'!$B$51&lt;&gt;"Да",'Исходные данные'!$B$61=""),0,IF(AND(YEAR(B57)=YEAR('Исходные данные'!$B$61),MONTH(B57)=MONTH('Исходные данные'!$B$61)),N('Исходные данные'!$B$18)*N('Исходные данные'!$B$62),0))</f>
        <v>0</v>
      </c>
      <c r="AM57">
        <f t="shared" si="39"/>
        <v>0</v>
      </c>
      <c r="AN57">
        <f t="shared" si="28"/>
        <v>0</v>
      </c>
      <c r="AO57">
        <f t="shared" si="29"/>
        <v>0</v>
      </c>
      <c r="AP57">
        <f>IF('Исходные данные'!$B$51="Да",-MAX(0,AN57-AO57-AM57),0)</f>
        <v>0</v>
      </c>
      <c r="AQ57">
        <f>IF('Исходные данные'!$B$51="Да",MAX(0,AM57+AO57-AN57),0)</f>
        <v>0</v>
      </c>
      <c r="AR57">
        <f>IF('Исходные данные'!$B$53="Выручка",MAX(0,L57+(Q57-R57)+(U57-V57)),IF('Исходные данные'!$B$53="Прибыль до налога",MAX(0,L57+(Q57-R57)+(U57-V57)+N('Исходные данные'!$B$54)*((O57+P57)+(S57+T57)+W57+X57)+IF('Исходные данные'!$B$55="Да",AG57,0)-N('Исходные данные'!$B$56)/12),IF('Исходные данные'!$B$53="Пользовательская база",MAX(0,N('Исходные данные'!$B$57)/12),0)))</f>
        <v>0</v>
      </c>
      <c r="AS57">
        <f>IF(E57=1,-AR57*N('Исходные данные'!$B$50),0)</f>
        <v>0</v>
      </c>
      <c r="AT57">
        <f t="shared" si="30"/>
        <v>0</v>
      </c>
      <c r="AU57">
        <f>IF(OR(B57="",N('Исходные данные'!$B$80)&lt;=0,'Исходные данные'!$B$88=""),0,MAX(0,IF('Исходные данные'!$B$88="Последние 12 месяцев",SUMIFS($Y$2:$Y$194,$B$2:$B$194,"&gt;="&amp;EDATE(B57,-11),$B$2:$B$194,"&lt;="&amp;B57),IF('Исходные данные'!$B$88="Пользовательский NOI",N('Исходные данные'!$B$89),AT57))/N('Исходные данные'!$B$80)*(1+N('Исходные данные'!$B$81))))</f>
        <v>0</v>
      </c>
      <c r="AV57">
        <f>IF(OR(E57&lt;&gt;1,B57="",'Исходные данные'!$B$91=""),0,IF(AND(YEAR(B57)=YEAR('Исходные данные'!$B$91),MONTH(B57)=MONTH('Исходные данные'!$B$91)),AU57,0))</f>
        <v>0</v>
      </c>
      <c r="AW57">
        <f>-AV57*N('Исходные данные'!$B$73)</f>
        <v>0</v>
      </c>
      <c r="AX57">
        <f>IF(AV57=0,0,-N('Исходные данные'!$B$87)-IF('Исходные данные'!$B$82="Да",IF('Исходные данные'!$B$84="С выручки",AV57,IF('Исходные данные'!$B$84="С прибыли",MAX(0,AV57+AW57-IF('Исходные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57">
        <f t="shared" si="31"/>
        <v>0</v>
      </c>
      <c r="AZ57">
        <f t="shared" si="32"/>
        <v>0</v>
      </c>
      <c r="BA57">
        <f t="shared" si="33"/>
        <v>0</v>
      </c>
      <c r="BB57" t="str">
        <f t="shared" si="40"/>
        <v/>
      </c>
      <c r="BC57">
        <f>IF(OR(E57=0,'Исходные данные'!$B$9="",'Исходные данные'!$B$90=""),0,BA57/(1+'Исходные данные'!$B$90)^((D57-'Исходные данные'!$B$9)/365))</f>
        <v>0</v>
      </c>
      <c r="BD57">
        <f>IF(AND(E57=1,BB57&gt;=0,BB56&lt;0,MIN($BB$2:BB57)&lt;0),1,0)</f>
        <v>0</v>
      </c>
      <c r="BE57">
        <f t="shared" si="34"/>
        <v>0</v>
      </c>
      <c r="BF57">
        <f t="shared" si="35"/>
        <v>0</v>
      </c>
      <c r="BG57">
        <f t="shared" si="36"/>
        <v>0</v>
      </c>
      <c r="BH57">
        <f t="shared" si="37"/>
        <v>1</v>
      </c>
      <c r="BI57">
        <f>AZ57+N57+AP57-AR57*N('Исходные данные'!$B$50)</f>
        <v>0</v>
      </c>
      <c r="BJ57">
        <f t="shared" si="20"/>
        <v>0</v>
      </c>
      <c r="BK57">
        <f>IF(AND(BJ57&gt;=0,BJ56&lt;0,MIN($BJ$2:BJ57)&lt;0),1,0)</f>
        <v>0</v>
      </c>
    </row>
    <row r="58" spans="1:63" x14ac:dyDescent="0.2">
      <c r="A58">
        <v>57</v>
      </c>
      <c r="B58" t="str">
        <f>IF('Исходные данные'!$B$9="","",EDATE(DATE(YEAR('Исходные данные'!$B$9),MONTH('Исходные данные'!$B$9),1),A58-1))</f>
        <v/>
      </c>
      <c r="C58" t="str">
        <f t="shared" si="21"/>
        <v/>
      </c>
      <c r="D58" t="str">
        <f>IF(B58="","",IF('Исходные данные'!$B$91&lt;&gt;"",IF(AND(YEAR(B58)=YEAR('Исходные данные'!$B$91),MONTH(B58)=MONTH('Исходные данные'!$B$91)),'Исходные данные'!$B$91,IF('Исходные данные'!$B$13&lt;&gt;"",IF(AND(YEAR(B58)=YEAR('Исходные данные'!$B$13),MONTH(B58)=MONTH('Исходные данные'!$B$13)),'Исходные данные'!$B$13,IF('Исходные данные'!$B$26&lt;&gt;"",IF(AND(YEAR(B58)=YEAR('Исходные данные'!$B$26),MONTH(B58)=MONTH('Исходные данные'!$B$26)),'Исходные данные'!$B$26,IF(A58=1,'Исходные данные'!$B$9,C58)),IF(A58=1,'Исходные данные'!$B$9,C58))),IF('Исходные данные'!$B$26&lt;&gt;"",IF(AND(YEAR(B58)=YEAR('Исходные данные'!$B$26),MONTH(B58)=MONTH('Исходные данные'!$B$26)),'Исходные данные'!$B$26,IF(A58=1,'Исходные данные'!$B$9,C58)),IF(A58=1,'Исходные данные'!$B$9,C58)))),IF('Исходные данные'!$B$13&lt;&gt;"",IF(AND(YEAR(B58)=YEAR('Исходные данные'!$B$13),MONTH(B58)=MONTH('Исходные данные'!$B$13)),'Исходные данные'!$B$13,IF('Исходные данные'!$B$26&lt;&gt;"",IF(AND(YEAR(B58)=YEAR('Исходные данные'!$B$26),MONTH(B58)=MONTH('Исходные данные'!$B$26)),'Исходные данные'!$B$26,IF(A58=1,'Исходные данные'!$B$9,C58)),IF(A58=1,'Исходные данные'!$B$9,C58))),IF('Исходные данные'!$B$26&lt;&gt;"",IF(AND(YEAR(B58)=YEAR('Исходные данные'!$B$26),MONTH(B58)=MONTH('Исходные данные'!$B$26)),'Исходные данные'!$B$26,IF(A58=1,'Исходные данные'!$B$9,C58)),IF(A58=1,'Исходные данные'!$B$9,C58)))))</f>
        <v/>
      </c>
      <c r="E58">
        <f>IF(OR(B58="",'Исходные данные'!$B$91=""),0,--(B58&lt;=DATE(YEAR('Исходные данные'!$B$91),MONTH('Исходные данные'!$B$91),1)))</f>
        <v>0</v>
      </c>
      <c r="F58">
        <f>IF(OR(B58="",'Исходные данные'!$B$30="",C58&lt;'Исходные данные'!$B$30),0,DATEDIF(DATE(YEAR('Исходные данные'!$B$30),MONTH('Исходные данные'!$B$30),1),B58,"m")+1)</f>
        <v>0</v>
      </c>
      <c r="G58">
        <f t="shared" si="22"/>
        <v>0</v>
      </c>
      <c r="H58">
        <f>IF(F58=0,0,IF(G58=1,N('Исходные данные'!$B$31),IF(G58=2,N('Исходные данные'!$B$32),IF(G58=3,N('Исходные данные'!$B$33),N('Исходные данные'!$B$33)*(1+N('Исходные данные'!$B$34))^(G58-3)))))</f>
        <v>0</v>
      </c>
      <c r="I58">
        <f>IF(OR(F58=0,N('Исходные данные'!$B$5)=0,H58=0),0,'Исходные данные'!$B$5*H58*IF(AND(B58&lt;='Исходные данные'!$B$30,C58&gt;='Исходные данные'!$B$30),(C58-'Исходные данные'!$B$30+1)/DAY(C58),1))</f>
        <v>0</v>
      </c>
      <c r="J58">
        <f>IF(AND(F58&gt;0,F58&lt;=N('Исходные данные'!$B$37)),-I58,0)</f>
        <v>0</v>
      </c>
      <c r="K58">
        <f>IF(OR(F58=0,F58&lt;=N('Исходные данные'!$B$37)),0,-(I58+J58)*N('Исходные данные'!$B$38))</f>
        <v>0</v>
      </c>
      <c r="L58">
        <f t="shared" si="23"/>
        <v>0</v>
      </c>
      <c r="M58">
        <f>IF('Исходные данные'!$B$51="Да",L58*N('Исходные данные'!$B$52),0)</f>
        <v>0</v>
      </c>
      <c r="N58">
        <f t="shared" si="24"/>
        <v>0</v>
      </c>
      <c r="O58">
        <f>IF(OR(B58="",IF('Исходные данные'!$B$45="",'Исходные данные'!$B$10,'Исходные данные'!$B$45)="",C58&lt;IF('Исходные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данные'!$B$45)),1),B58,"m")/12))*IF(AND(B58&lt;=IF('Исходные данные'!$B$45="",'Исходные данные'!$B$10,'Исходные данные'!$B$45),C58&gt;=IF('Исходные данные'!$B$45="",'Исходные данные'!$B$10,'Исходные данные'!$B$45)),(C58-IF('Исходные данные'!$B$45="",'Исходные данные'!$B$10,'Исходные данные'!$B$45)+1)/DAY(C58),1)*IF('Исходные данные'!$B$43="Без НДС",1+N('Исходные данные'!$B$44),1))</f>
        <v>0</v>
      </c>
      <c r="P58">
        <f>IF('Исходные данные'!$B$51="Да",-O58*N('Исходные данные'!$B$44)/(1+N('Исходные данные'!$B$44)),0)</f>
        <v>0</v>
      </c>
      <c r="Q58">
        <f>IF('Исходные данные'!$B$35="Да",-O58,0)</f>
        <v>0</v>
      </c>
      <c r="R58">
        <f>IF(AND('Исходные данные'!$B$51="Да",Q58&gt;0),Q58*N('Исходные данные'!$B$52)/(1+N('Исходные данные'!$B$52)),0)</f>
        <v>0</v>
      </c>
      <c r="S58">
        <f>IF(OR(B58="",IF('Исходные данные'!$B$45="",'Исходные данные'!$B$10,'Исходные данные'!$B$45)="",C58&lt;IF('Исходные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данные'!$B$45)),1),B58,"m")/12))*IF(AND(B58&lt;=IF('Исходные данные'!$B$45="",'Исходные данные'!$B$10,'Исходные данные'!$B$45),C58&gt;=IF('Исходные данные'!$B$45="",'Исходные данные'!$B$10,'Исходные данные'!$B$45)),(C58-IF('Исходные данные'!$B$45="",'Исходные данные'!$B$10,'Исходные данные'!$B$45)+1)/DAY(C58),1)*IF('Исходные данные'!$B$43="Без НДС",1+N('Исходные данные'!$B$44),1))</f>
        <v>0</v>
      </c>
      <c r="T58">
        <f>IF('Исходные данные'!$B$51="Да",-S58*N('Исходные данные'!$B$44)/(1+N('Исходные данные'!$B$44)),0)</f>
        <v>0</v>
      </c>
      <c r="U58">
        <f>IF('Исходные данные'!$B$36="Да",-S58,0)</f>
        <v>0</v>
      </c>
      <c r="V58">
        <f>IF(AND('Исходные данные'!$B$51="Да",U58&gt;0),U58*N('Исходные данные'!$B$52)/(1+N('Исходные данные'!$B$52)),0)</f>
        <v>0</v>
      </c>
      <c r="W58">
        <f>IF(OR(B58="",IF('Исходные данные'!$B$69="",'Исходные данные'!$B$10,'Исходные данные'!$B$69)="",C58&lt;IF('Исходные данные'!$B$69="",'Исходные данные'!$B$10,'Исходные данные'!$B$69)),0,-N('Исходные данные'!$B$16)*N('Исходные данные'!$B$68)*N('Исходные данные'!$B$67)/12*IF(AND(B58&lt;=IF('Исходные данные'!$B$69="",'Исходные данные'!$B$10,'Исходные данные'!$B$69),C58&gt;=IF('Исходные данные'!$B$69="",'Исходные данные'!$B$10,'Исходные данные'!$B$69)),(C58-IF('Исходные данные'!$B$69="",'Исходные данные'!$B$10,'Исходные данные'!$B$69)+1)/DAY(C58),1))</f>
        <v>0</v>
      </c>
      <c r="X58">
        <f>IF(OR(B58="",IF('Исходные данные'!$B$76="",'Исходные данные'!$B$10,'Исходные данные'!$B$76)="",C58&lt;IF('Исходные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данные'!$B$76)),1),B58,"m")/12))*IF(AND(B58&lt;=IF('Исходные данные'!$B$76="",'Исходные данные'!$B$10,'Исходные данные'!$B$76),C58&gt;=IF('Исходные данные'!$B$76="",'Исходные данные'!$B$10,'Исходные данные'!$B$76)),(C58-IF('Исходные данные'!$B$76="",'Исходные данные'!$B$10,'Исходные данные'!$B$76)+1)/DAY(C58),1))</f>
        <v>0</v>
      </c>
      <c r="Y58">
        <f t="shared" si="25"/>
        <v>0</v>
      </c>
      <c r="Z58">
        <f>IF(OR(B58="",N('Исходные данные'!$B$19)=0),0,-SUMIFS('Исходные данные'!$I$6:$I$186,'Исходные данные'!$F$6:$F$186,B58)*N('Исходные данные'!$B$17)/N('Исходные данные'!$B$19))</f>
        <v>0</v>
      </c>
      <c r="AA58">
        <f>IF(OR(B58="",N('Исходные данные'!$B$19)=0),0,-SUMIFS('Исходные данные'!$I$6:$I$186,'Исходные данные'!$F$6:$F$186,B58)*N('Исходные данные'!$B$18)/N('Исходные данные'!$B$19))</f>
        <v>0</v>
      </c>
      <c r="AB58">
        <f>IF(OR(B58="",'Исходные данные'!$B$13=""),0,IF(AND(YEAR(B58)=YEAR('Исходные данные'!$B$13),MONTH(B58)=MONTH('Исходные данные'!$B$13)),-N('Исходные данные'!$B$11),0))</f>
        <v>0</v>
      </c>
      <c r="AC58">
        <f>IF(A58=1,-N('Исходные данные'!$B$19)*N('Исходные данные'!$B$72),0)</f>
        <v>0</v>
      </c>
      <c r="AD58">
        <f>IF(OR(B58="",'Исходные данные'!$B$22&lt;&gt;"Да",'Исходные данные'!$B$26=""),0,IF(AND(YEAR(B58)=YEAR('Исходные данные'!$B$26),MONTH(B58)=MONTH('Исходные данные'!$B$26)),N('Исходные данные'!$B$23),0))</f>
        <v>0</v>
      </c>
      <c r="AE58">
        <f t="shared" si="38"/>
        <v>0</v>
      </c>
      <c r="AF58">
        <f>IF(OR('Исходные данные'!$B$22&lt;&gt;"Да",'Исходные данные'!$B$26="",C58&lt;'Исходные данные'!$B$26),0,DATEDIF(DATE(YEAR('Исходные данные'!$B$26),MONTH('Исходные данные'!$B$26),1),B58,"m")+1)</f>
        <v>0</v>
      </c>
      <c r="AG58">
        <f>IF(OR(AF58&lt;1,AF58&gt;N('Исходные данные'!$B$25),AE58+AD58&lt;=0),0,-(AE58+AD58)*N('Исходные данные'!$B$24)*IF(AF58=1,C58-'Исходные данные'!$B$26+1,DAY(C58))/365)</f>
        <v>0</v>
      </c>
      <c r="AH58">
        <f>IF(OR(AF58&lt;1,AF58&gt;N('Исходные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данные'!$B$25)-AG58))</f>
        <v>0</v>
      </c>
      <c r="AI58">
        <f>IF(OR('Исходные данные'!$B$22&lt;&gt;"Да",AE58+AD58&lt;=0),0,IF(AND('Исходные данные'!$B$91&lt;&gt;"",B58&lt;&gt;"",YEAR(B58)=YEAR('Исходные данные'!$B$91),MONTH(B58)=MONTH('Исходные данные'!$B$91)),-(AE58+AD58),IF(OR(AF58&lt;1,AF58&gt;N('Исходные данные'!$B$25)),0,IF('Исходные данные'!$B$27="Равными долями",-MIN(AE58+AD58,N('Исходные данные'!$B$23)/N('Исходные данные'!$B$25)),-MIN(AE58+AD58,IF(AF58=N('Исходные данные'!$B$25),AE58+AD58,MAX(0,AH58+AG58)))))))</f>
        <v>0</v>
      </c>
      <c r="AJ58">
        <f t="shared" si="26"/>
        <v>0</v>
      </c>
      <c r="AK58">
        <f t="shared" si="27"/>
        <v>0</v>
      </c>
      <c r="AL58">
        <f>IF(OR(B58="",'Исходные данные'!$B$51&lt;&gt;"Да",'Исходные данные'!$B$61=""),0,IF(AND(YEAR(B58)=YEAR('Исходные данные'!$B$61),MONTH(B58)=MONTH('Исходные данные'!$B$61)),N('Исходные данные'!$B$18)*N('Исходные данные'!$B$62),0))</f>
        <v>0</v>
      </c>
      <c r="AM58">
        <f t="shared" si="39"/>
        <v>0</v>
      </c>
      <c r="AN58">
        <f t="shared" si="28"/>
        <v>0</v>
      </c>
      <c r="AO58">
        <f t="shared" si="29"/>
        <v>0</v>
      </c>
      <c r="AP58">
        <f>IF('Исходные данные'!$B$51="Да",-MAX(0,AN58-AO58-AM58),0)</f>
        <v>0</v>
      </c>
      <c r="AQ58">
        <f>IF('Исходные данные'!$B$51="Да",MAX(0,AM58+AO58-AN58),0)</f>
        <v>0</v>
      </c>
      <c r="AR58">
        <f>IF('Исходные данные'!$B$53="Выручка",MAX(0,L58+(Q58-R58)+(U58-V58)),IF('Исходные данные'!$B$53="Прибыль до налога",MAX(0,L58+(Q58-R58)+(U58-V58)+N('Исходные данные'!$B$54)*((O58+P58)+(S58+T58)+W58+X58)+IF('Исходные данные'!$B$55="Да",AG58,0)-N('Исходные данные'!$B$56)/12),IF('Исходные данные'!$B$53="Пользовательская база",MAX(0,N('Исходные данные'!$B$57)/12),0)))</f>
        <v>0</v>
      </c>
      <c r="AS58">
        <f>IF(E58=1,-AR58*N('Исходные данные'!$B$50),0)</f>
        <v>0</v>
      </c>
      <c r="AT58">
        <f t="shared" si="30"/>
        <v>0</v>
      </c>
      <c r="AU58">
        <f>IF(OR(B58="",N('Исходные данные'!$B$80)&lt;=0,'Исходные данные'!$B$88=""),0,MAX(0,IF('Исходные данные'!$B$88="Последние 12 месяцев",SUMIFS($Y$2:$Y$194,$B$2:$B$194,"&gt;="&amp;EDATE(B58,-11),$B$2:$B$194,"&lt;="&amp;B58),IF('Исходные данные'!$B$88="Пользовательский NOI",N('Исходные данные'!$B$89),AT58))/N('Исходные данные'!$B$80)*(1+N('Исходные данные'!$B$81))))</f>
        <v>0</v>
      </c>
      <c r="AV58">
        <f>IF(OR(E58&lt;&gt;1,B58="",'Исходные данные'!$B$91=""),0,IF(AND(YEAR(B58)=YEAR('Исходные данные'!$B$91),MONTH(B58)=MONTH('Исходные данные'!$B$91)),AU58,0))</f>
        <v>0</v>
      </c>
      <c r="AW58">
        <f>-AV58*N('Исходные данные'!$B$73)</f>
        <v>0</v>
      </c>
      <c r="AX58">
        <f>IF(AV58=0,0,-N('Исходные данные'!$B$87)-IF('Исходные данные'!$B$82="Да",IF('Исходные данные'!$B$84="С выручки",AV58,IF('Исходные данные'!$B$84="С прибыли",MAX(0,AV58+AW58-IF('Исходные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58">
        <f t="shared" si="31"/>
        <v>0</v>
      </c>
      <c r="AZ58">
        <f t="shared" si="32"/>
        <v>0</v>
      </c>
      <c r="BA58">
        <f t="shared" si="33"/>
        <v>0</v>
      </c>
      <c r="BB58" t="str">
        <f t="shared" si="40"/>
        <v/>
      </c>
      <c r="BC58">
        <f>IF(OR(E58=0,'Исходные данные'!$B$9="",'Исходные данные'!$B$90=""),0,BA58/(1+'Исходные данные'!$B$90)^((D58-'Исходные данные'!$B$9)/365))</f>
        <v>0</v>
      </c>
      <c r="BD58">
        <f>IF(AND(E58=1,BB58&gt;=0,BB57&lt;0,MIN($BB$2:BB58)&lt;0),1,0)</f>
        <v>0</v>
      </c>
      <c r="BE58">
        <f t="shared" si="34"/>
        <v>0</v>
      </c>
      <c r="BF58">
        <f t="shared" si="35"/>
        <v>0</v>
      </c>
      <c r="BG58">
        <f t="shared" si="36"/>
        <v>0</v>
      </c>
      <c r="BH58">
        <f t="shared" si="37"/>
        <v>1</v>
      </c>
      <c r="BI58">
        <f>AZ58+N58+AP58-AR58*N('Исходные данные'!$B$50)</f>
        <v>0</v>
      </c>
      <c r="BJ58">
        <f t="shared" si="20"/>
        <v>0</v>
      </c>
      <c r="BK58">
        <f>IF(AND(BJ58&gt;=0,BJ57&lt;0,MIN($BJ$2:BJ58)&lt;0),1,0)</f>
        <v>0</v>
      </c>
    </row>
    <row r="59" spans="1:63" x14ac:dyDescent="0.2">
      <c r="A59">
        <v>58</v>
      </c>
      <c r="B59" t="str">
        <f>IF('Исходные данные'!$B$9="","",EDATE(DATE(YEAR('Исходные данные'!$B$9),MONTH('Исходные данные'!$B$9),1),A59-1))</f>
        <v/>
      </c>
      <c r="C59" t="str">
        <f t="shared" si="21"/>
        <v/>
      </c>
      <c r="D59" t="str">
        <f>IF(B59="","",IF('Исходные данные'!$B$91&lt;&gt;"",IF(AND(YEAR(B59)=YEAR('Исходные данные'!$B$91),MONTH(B59)=MONTH('Исходные данные'!$B$91)),'Исходные данные'!$B$91,IF('Исходные данные'!$B$13&lt;&gt;"",IF(AND(YEAR(B59)=YEAR('Исходные данные'!$B$13),MONTH(B59)=MONTH('Исходные данные'!$B$13)),'Исходные данные'!$B$13,IF('Исходные данные'!$B$26&lt;&gt;"",IF(AND(YEAR(B59)=YEAR('Исходные данные'!$B$26),MONTH(B59)=MONTH('Исходные данные'!$B$26)),'Исходные данные'!$B$26,IF(A59=1,'Исходные данные'!$B$9,C59)),IF(A59=1,'Исходные данные'!$B$9,C59))),IF('Исходные данные'!$B$26&lt;&gt;"",IF(AND(YEAR(B59)=YEAR('Исходные данные'!$B$26),MONTH(B59)=MONTH('Исходные данные'!$B$26)),'Исходные данные'!$B$26,IF(A59=1,'Исходные данные'!$B$9,C59)),IF(A59=1,'Исходные данные'!$B$9,C59)))),IF('Исходные данные'!$B$13&lt;&gt;"",IF(AND(YEAR(B59)=YEAR('Исходные данные'!$B$13),MONTH(B59)=MONTH('Исходные данные'!$B$13)),'Исходные данные'!$B$13,IF('Исходные данные'!$B$26&lt;&gt;"",IF(AND(YEAR(B59)=YEAR('Исходные данные'!$B$26),MONTH(B59)=MONTH('Исходные данные'!$B$26)),'Исходные данные'!$B$26,IF(A59=1,'Исходные данные'!$B$9,C59)),IF(A59=1,'Исходные данные'!$B$9,C59))),IF('Исходные данные'!$B$26&lt;&gt;"",IF(AND(YEAR(B59)=YEAR('Исходные данные'!$B$26),MONTH(B59)=MONTH('Исходные данные'!$B$26)),'Исходные данные'!$B$26,IF(A59=1,'Исходные данные'!$B$9,C59)),IF(A59=1,'Исходные данные'!$B$9,C59)))))</f>
        <v/>
      </c>
      <c r="E59">
        <f>IF(OR(B59="",'Исходные данные'!$B$91=""),0,--(B59&lt;=DATE(YEAR('Исходные данные'!$B$91),MONTH('Исходные данные'!$B$91),1)))</f>
        <v>0</v>
      </c>
      <c r="F59">
        <f>IF(OR(B59="",'Исходные данные'!$B$30="",C59&lt;'Исходные данные'!$B$30),0,DATEDIF(DATE(YEAR('Исходные данные'!$B$30),MONTH('Исходные данные'!$B$30),1),B59,"m")+1)</f>
        <v>0</v>
      </c>
      <c r="G59">
        <f t="shared" si="22"/>
        <v>0</v>
      </c>
      <c r="H59">
        <f>IF(F59=0,0,IF(G59=1,N('Исходные данные'!$B$31),IF(G59=2,N('Исходные данные'!$B$32),IF(G59=3,N('Исходные данные'!$B$33),N('Исходные данные'!$B$33)*(1+N('Исходные данные'!$B$34))^(G59-3)))))</f>
        <v>0</v>
      </c>
      <c r="I59">
        <f>IF(OR(F59=0,N('Исходные данные'!$B$5)=0,H59=0),0,'Исходные данные'!$B$5*H59*IF(AND(B59&lt;='Исходные данные'!$B$30,C59&gt;='Исходные данные'!$B$30),(C59-'Исходные данные'!$B$30+1)/DAY(C59),1))</f>
        <v>0</v>
      </c>
      <c r="J59">
        <f>IF(AND(F59&gt;0,F59&lt;=N('Исходные данные'!$B$37)),-I59,0)</f>
        <v>0</v>
      </c>
      <c r="K59">
        <f>IF(OR(F59=0,F59&lt;=N('Исходные данные'!$B$37)),0,-(I59+J59)*N('Исходные данные'!$B$38))</f>
        <v>0</v>
      </c>
      <c r="L59">
        <f t="shared" si="23"/>
        <v>0</v>
      </c>
      <c r="M59">
        <f>IF('Исходные данные'!$B$51="Да",L59*N('Исходные данные'!$B$52),0)</f>
        <v>0</v>
      </c>
      <c r="N59">
        <f t="shared" si="24"/>
        <v>0</v>
      </c>
      <c r="O59">
        <f>IF(OR(B59="",IF('Исходные данные'!$B$45="",'Исходные данные'!$B$10,'Исходные данные'!$B$45)="",C59&lt;IF('Исходные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данные'!$B$45)),1),B59,"m")/12))*IF(AND(B59&lt;=IF('Исходные данные'!$B$45="",'Исходные данные'!$B$10,'Исходные данные'!$B$45),C59&gt;=IF('Исходные данные'!$B$45="",'Исходные данные'!$B$10,'Исходные данные'!$B$45)),(C59-IF('Исходные данные'!$B$45="",'Исходные данные'!$B$10,'Исходные данные'!$B$45)+1)/DAY(C59),1)*IF('Исходные данные'!$B$43="Без НДС",1+N('Исходные данные'!$B$44),1))</f>
        <v>0</v>
      </c>
      <c r="P59">
        <f>IF('Исходные данные'!$B$51="Да",-O59*N('Исходные данные'!$B$44)/(1+N('Исходные данные'!$B$44)),0)</f>
        <v>0</v>
      </c>
      <c r="Q59">
        <f>IF('Исходные данные'!$B$35="Да",-O59,0)</f>
        <v>0</v>
      </c>
      <c r="R59">
        <f>IF(AND('Исходные данные'!$B$51="Да",Q59&gt;0),Q59*N('Исходные данные'!$B$52)/(1+N('Исходные данные'!$B$52)),0)</f>
        <v>0</v>
      </c>
      <c r="S59">
        <f>IF(OR(B59="",IF('Исходные данные'!$B$45="",'Исходные данные'!$B$10,'Исходные данные'!$B$45)="",C59&lt;IF('Исходные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данные'!$B$45)),1),B59,"m")/12))*IF(AND(B59&lt;=IF('Исходные данные'!$B$45="",'Исходные данные'!$B$10,'Исходные данные'!$B$45),C59&gt;=IF('Исходные данные'!$B$45="",'Исходные данные'!$B$10,'Исходные данные'!$B$45)),(C59-IF('Исходные данные'!$B$45="",'Исходные данные'!$B$10,'Исходные данные'!$B$45)+1)/DAY(C59),1)*IF('Исходные данные'!$B$43="Без НДС",1+N('Исходные данные'!$B$44),1))</f>
        <v>0</v>
      </c>
      <c r="T59">
        <f>IF('Исходные данные'!$B$51="Да",-S59*N('Исходные данные'!$B$44)/(1+N('Исходные данные'!$B$44)),0)</f>
        <v>0</v>
      </c>
      <c r="U59">
        <f>IF('Исходные данные'!$B$36="Да",-S59,0)</f>
        <v>0</v>
      </c>
      <c r="V59">
        <f>IF(AND('Исходные данные'!$B$51="Да",U59&gt;0),U59*N('Исходные данные'!$B$52)/(1+N('Исходные данные'!$B$52)),0)</f>
        <v>0</v>
      </c>
      <c r="W59">
        <f>IF(OR(B59="",IF('Исходные данные'!$B$69="",'Исходные данные'!$B$10,'Исходные данные'!$B$69)="",C59&lt;IF('Исходные данные'!$B$69="",'Исходные данные'!$B$10,'Исходные данные'!$B$69)),0,-N('Исходные данные'!$B$16)*N('Исходные данные'!$B$68)*N('Исходные данные'!$B$67)/12*IF(AND(B59&lt;=IF('Исходные данные'!$B$69="",'Исходные данные'!$B$10,'Исходные данные'!$B$69),C59&gt;=IF('Исходные данные'!$B$69="",'Исходные данные'!$B$10,'Исходные данные'!$B$69)),(C59-IF('Исходные данные'!$B$69="",'Исходные данные'!$B$10,'Исходные данные'!$B$69)+1)/DAY(C59),1))</f>
        <v>0</v>
      </c>
      <c r="X59">
        <f>IF(OR(B59="",IF('Исходные данные'!$B$76="",'Исходные данные'!$B$10,'Исходные данные'!$B$76)="",C59&lt;IF('Исходные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данные'!$B$76)),1),B59,"m")/12))*IF(AND(B59&lt;=IF('Исходные данные'!$B$76="",'Исходные данные'!$B$10,'Исходные данные'!$B$76),C59&gt;=IF('Исходные данные'!$B$76="",'Исходные данные'!$B$10,'Исходные данные'!$B$76)),(C59-IF('Исходные данные'!$B$76="",'Исходные данные'!$B$10,'Исходные данные'!$B$76)+1)/DAY(C59),1))</f>
        <v>0</v>
      </c>
      <c r="Y59">
        <f t="shared" si="25"/>
        <v>0</v>
      </c>
      <c r="Z59">
        <f>IF(OR(B59="",N('Исходные данные'!$B$19)=0),0,-SUMIFS('Исходные данные'!$I$6:$I$186,'Исходные данные'!$F$6:$F$186,B59)*N('Исходные данные'!$B$17)/N('Исходные данные'!$B$19))</f>
        <v>0</v>
      </c>
      <c r="AA59">
        <f>IF(OR(B59="",N('Исходные данные'!$B$19)=0),0,-SUMIFS('Исходные данные'!$I$6:$I$186,'Исходные данные'!$F$6:$F$186,B59)*N('Исходные данные'!$B$18)/N('Исходные данные'!$B$19))</f>
        <v>0</v>
      </c>
      <c r="AB59">
        <f>IF(OR(B59="",'Исходные данные'!$B$13=""),0,IF(AND(YEAR(B59)=YEAR('Исходные данные'!$B$13),MONTH(B59)=MONTH('Исходные данные'!$B$13)),-N('Исходные данные'!$B$11),0))</f>
        <v>0</v>
      </c>
      <c r="AC59">
        <f>IF(A59=1,-N('Исходные данные'!$B$19)*N('Исходные данные'!$B$72),0)</f>
        <v>0</v>
      </c>
      <c r="AD59">
        <f>IF(OR(B59="",'Исходные данные'!$B$22&lt;&gt;"Да",'Исходные данные'!$B$26=""),0,IF(AND(YEAR(B59)=YEAR('Исходные данные'!$B$26),MONTH(B59)=MONTH('Исходные данные'!$B$26)),N('Исходные данные'!$B$23),0))</f>
        <v>0</v>
      </c>
      <c r="AE59">
        <f t="shared" si="38"/>
        <v>0</v>
      </c>
      <c r="AF59">
        <f>IF(OR('Исходные данные'!$B$22&lt;&gt;"Да",'Исходные данные'!$B$26="",C59&lt;'Исходные данные'!$B$26),0,DATEDIF(DATE(YEAR('Исходные данные'!$B$26),MONTH('Исходные данные'!$B$26),1),B59,"m")+1)</f>
        <v>0</v>
      </c>
      <c r="AG59">
        <f>IF(OR(AF59&lt;1,AF59&gt;N('Исходные данные'!$B$25),AE59+AD59&lt;=0),0,-(AE59+AD59)*N('Исходные данные'!$B$24)*IF(AF59=1,C59-'Исходные данные'!$B$26+1,DAY(C59))/365)</f>
        <v>0</v>
      </c>
      <c r="AH59">
        <f>IF(OR(AF59&lt;1,AF59&gt;N('Исходные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данные'!$B$25)-AG59))</f>
        <v>0</v>
      </c>
      <c r="AI59">
        <f>IF(OR('Исходные данные'!$B$22&lt;&gt;"Да",AE59+AD59&lt;=0),0,IF(AND('Исходные данные'!$B$91&lt;&gt;"",B59&lt;&gt;"",YEAR(B59)=YEAR('Исходные данные'!$B$91),MONTH(B59)=MONTH('Исходные данные'!$B$91)),-(AE59+AD59),IF(OR(AF59&lt;1,AF59&gt;N('Исходные данные'!$B$25)),0,IF('Исходные данные'!$B$27="Равными долями",-MIN(AE59+AD59,N('Исходные данные'!$B$23)/N('Исходные данные'!$B$25)),-MIN(AE59+AD59,IF(AF59=N('Исходные данные'!$B$25),AE59+AD59,MAX(0,AH59+AG59)))))))</f>
        <v>0</v>
      </c>
      <c r="AJ59">
        <f t="shared" si="26"/>
        <v>0</v>
      </c>
      <c r="AK59">
        <f t="shared" si="27"/>
        <v>0</v>
      </c>
      <c r="AL59">
        <f>IF(OR(B59="",'Исходные данные'!$B$51&lt;&gt;"Да",'Исходные данные'!$B$61=""),0,IF(AND(YEAR(B59)=YEAR('Исходные данные'!$B$61),MONTH(B59)=MONTH('Исходные данные'!$B$61)),N('Исходные данные'!$B$18)*N('Исходные данные'!$B$62),0))</f>
        <v>0</v>
      </c>
      <c r="AM59">
        <f t="shared" si="39"/>
        <v>0</v>
      </c>
      <c r="AN59">
        <f t="shared" si="28"/>
        <v>0</v>
      </c>
      <c r="AO59">
        <f t="shared" si="29"/>
        <v>0</v>
      </c>
      <c r="AP59">
        <f>IF('Исходные данные'!$B$51="Да",-MAX(0,AN59-AO59-AM59),0)</f>
        <v>0</v>
      </c>
      <c r="AQ59">
        <f>IF('Исходные данные'!$B$51="Да",MAX(0,AM59+AO59-AN59),0)</f>
        <v>0</v>
      </c>
      <c r="AR59">
        <f>IF('Исходные данные'!$B$53="Выручка",MAX(0,L59+(Q59-R59)+(U59-V59)),IF('Исходные данные'!$B$53="Прибыль до налога",MAX(0,L59+(Q59-R59)+(U59-V59)+N('Исходные данные'!$B$54)*((O59+P59)+(S59+T59)+W59+X59)+IF('Исходные данные'!$B$55="Да",AG59,0)-N('Исходные данные'!$B$56)/12),IF('Исходные данные'!$B$53="Пользовательская база",MAX(0,N('Исходные данные'!$B$57)/12),0)))</f>
        <v>0</v>
      </c>
      <c r="AS59">
        <f>IF(E59=1,-AR59*N('Исходные данные'!$B$50),0)</f>
        <v>0</v>
      </c>
      <c r="AT59">
        <f t="shared" si="30"/>
        <v>0</v>
      </c>
      <c r="AU59">
        <f>IF(OR(B59="",N('Исходные данные'!$B$80)&lt;=0,'Исходные данные'!$B$88=""),0,MAX(0,IF('Исходные данные'!$B$88="Последние 12 месяцев",SUMIFS($Y$2:$Y$194,$B$2:$B$194,"&gt;="&amp;EDATE(B59,-11),$B$2:$B$194,"&lt;="&amp;B59),IF('Исходные данные'!$B$88="Пользовательский NOI",N('Исходные данные'!$B$89),AT59))/N('Исходные данные'!$B$80)*(1+N('Исходные данные'!$B$81))))</f>
        <v>0</v>
      </c>
      <c r="AV59">
        <f>IF(OR(E59&lt;&gt;1,B59="",'Исходные данные'!$B$91=""),0,IF(AND(YEAR(B59)=YEAR('Исходные данные'!$B$91),MONTH(B59)=MONTH('Исходные данные'!$B$91)),AU59,0))</f>
        <v>0</v>
      </c>
      <c r="AW59">
        <f>-AV59*N('Исходные данные'!$B$73)</f>
        <v>0</v>
      </c>
      <c r="AX59">
        <f>IF(AV59=0,0,-N('Исходные данные'!$B$87)-IF('Исходные данные'!$B$82="Да",IF('Исходные данные'!$B$84="С выручки",AV59,IF('Исходные данные'!$B$84="С прибыли",MAX(0,AV59+AW59-IF('Исходные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59">
        <f t="shared" si="31"/>
        <v>0</v>
      </c>
      <c r="AZ59">
        <f t="shared" si="32"/>
        <v>0</v>
      </c>
      <c r="BA59">
        <f t="shared" si="33"/>
        <v>0</v>
      </c>
      <c r="BB59" t="str">
        <f t="shared" si="40"/>
        <v/>
      </c>
      <c r="BC59">
        <f>IF(OR(E59=0,'Исходные данные'!$B$9="",'Исходные данные'!$B$90=""),0,BA59/(1+'Исходные данные'!$B$90)^((D59-'Исходные данные'!$B$9)/365))</f>
        <v>0</v>
      </c>
      <c r="BD59">
        <f>IF(AND(E59=1,BB59&gt;=0,BB58&lt;0,MIN($BB$2:BB59)&lt;0),1,0)</f>
        <v>0</v>
      </c>
      <c r="BE59">
        <f t="shared" si="34"/>
        <v>0</v>
      </c>
      <c r="BF59">
        <f t="shared" si="35"/>
        <v>0</v>
      </c>
      <c r="BG59">
        <f t="shared" si="36"/>
        <v>0</v>
      </c>
      <c r="BH59">
        <f t="shared" si="37"/>
        <v>1</v>
      </c>
      <c r="BI59">
        <f>AZ59+N59+AP59-AR59*N('Исходные данные'!$B$50)</f>
        <v>0</v>
      </c>
      <c r="BJ59">
        <f t="shared" si="20"/>
        <v>0</v>
      </c>
      <c r="BK59">
        <f>IF(AND(BJ59&gt;=0,BJ58&lt;0,MIN($BJ$2:BJ59)&lt;0),1,0)</f>
        <v>0</v>
      </c>
    </row>
    <row r="60" spans="1:63" x14ac:dyDescent="0.2">
      <c r="A60">
        <v>59</v>
      </c>
      <c r="B60" t="str">
        <f>IF('Исходные данные'!$B$9="","",EDATE(DATE(YEAR('Исходные данные'!$B$9),MONTH('Исходные данные'!$B$9),1),A60-1))</f>
        <v/>
      </c>
      <c r="C60" t="str">
        <f t="shared" si="21"/>
        <v/>
      </c>
      <c r="D60" t="str">
        <f>IF(B60="","",IF('Исходные данные'!$B$91&lt;&gt;"",IF(AND(YEAR(B60)=YEAR('Исходные данные'!$B$91),MONTH(B60)=MONTH('Исходные данные'!$B$91)),'Исходные данные'!$B$91,IF('Исходные данные'!$B$13&lt;&gt;"",IF(AND(YEAR(B60)=YEAR('Исходные данные'!$B$13),MONTH(B60)=MONTH('Исходные данные'!$B$13)),'Исходные данные'!$B$13,IF('Исходные данные'!$B$26&lt;&gt;"",IF(AND(YEAR(B60)=YEAR('Исходные данные'!$B$26),MONTH(B60)=MONTH('Исходные данные'!$B$26)),'Исходные данные'!$B$26,IF(A60=1,'Исходные данные'!$B$9,C60)),IF(A60=1,'Исходные данные'!$B$9,C60))),IF('Исходные данные'!$B$26&lt;&gt;"",IF(AND(YEAR(B60)=YEAR('Исходные данные'!$B$26),MONTH(B60)=MONTH('Исходные данные'!$B$26)),'Исходные данные'!$B$26,IF(A60=1,'Исходные данные'!$B$9,C60)),IF(A60=1,'Исходные данные'!$B$9,C60)))),IF('Исходные данные'!$B$13&lt;&gt;"",IF(AND(YEAR(B60)=YEAR('Исходные данные'!$B$13),MONTH(B60)=MONTH('Исходные данные'!$B$13)),'Исходные данные'!$B$13,IF('Исходные данные'!$B$26&lt;&gt;"",IF(AND(YEAR(B60)=YEAR('Исходные данные'!$B$26),MONTH(B60)=MONTH('Исходные данные'!$B$26)),'Исходные данные'!$B$26,IF(A60=1,'Исходные данные'!$B$9,C60)),IF(A60=1,'Исходные данные'!$B$9,C60))),IF('Исходные данные'!$B$26&lt;&gt;"",IF(AND(YEAR(B60)=YEAR('Исходные данные'!$B$26),MONTH(B60)=MONTH('Исходные данные'!$B$26)),'Исходные данные'!$B$26,IF(A60=1,'Исходные данные'!$B$9,C60)),IF(A60=1,'Исходные данные'!$B$9,C60)))))</f>
        <v/>
      </c>
      <c r="E60">
        <f>IF(OR(B60="",'Исходные данные'!$B$91=""),0,--(B60&lt;=DATE(YEAR('Исходные данные'!$B$91),MONTH('Исходные данные'!$B$91),1)))</f>
        <v>0</v>
      </c>
      <c r="F60">
        <f>IF(OR(B60="",'Исходные данные'!$B$30="",C60&lt;'Исходные данные'!$B$30),0,DATEDIF(DATE(YEAR('Исходные данные'!$B$30),MONTH('Исходные данные'!$B$30),1),B60,"m")+1)</f>
        <v>0</v>
      </c>
      <c r="G60">
        <f t="shared" si="22"/>
        <v>0</v>
      </c>
      <c r="H60">
        <f>IF(F60=0,0,IF(G60=1,N('Исходные данные'!$B$31),IF(G60=2,N('Исходные данные'!$B$32),IF(G60=3,N('Исходные данные'!$B$33),N('Исходные данные'!$B$33)*(1+N('Исходные данные'!$B$34))^(G60-3)))))</f>
        <v>0</v>
      </c>
      <c r="I60">
        <f>IF(OR(F60=0,N('Исходные данные'!$B$5)=0,H60=0),0,'Исходные данные'!$B$5*H60*IF(AND(B60&lt;='Исходные данные'!$B$30,C60&gt;='Исходные данные'!$B$30),(C60-'Исходные данные'!$B$30+1)/DAY(C60),1))</f>
        <v>0</v>
      </c>
      <c r="J60">
        <f>IF(AND(F60&gt;0,F60&lt;=N('Исходные данные'!$B$37)),-I60,0)</f>
        <v>0</v>
      </c>
      <c r="K60">
        <f>IF(OR(F60=0,F60&lt;=N('Исходные данные'!$B$37)),0,-(I60+J60)*N('Исходные данные'!$B$38))</f>
        <v>0</v>
      </c>
      <c r="L60">
        <f t="shared" si="23"/>
        <v>0</v>
      </c>
      <c r="M60">
        <f>IF('Исходные данные'!$B$51="Да",L60*N('Исходные данные'!$B$52),0)</f>
        <v>0</v>
      </c>
      <c r="N60">
        <f t="shared" si="24"/>
        <v>0</v>
      </c>
      <c r="O60">
        <f>IF(OR(B60="",IF('Исходные данные'!$B$45="",'Исходные данные'!$B$10,'Исходные данные'!$B$45)="",C60&lt;IF('Исходные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данные'!$B$45)),1),B60,"m")/12))*IF(AND(B60&lt;=IF('Исходные данные'!$B$45="",'Исходные данные'!$B$10,'Исходные данные'!$B$45),C60&gt;=IF('Исходные данные'!$B$45="",'Исходные данные'!$B$10,'Исходные данные'!$B$45)),(C60-IF('Исходные данные'!$B$45="",'Исходные данные'!$B$10,'Исходные данные'!$B$45)+1)/DAY(C60),1)*IF('Исходные данные'!$B$43="Без НДС",1+N('Исходные данные'!$B$44),1))</f>
        <v>0</v>
      </c>
      <c r="P60">
        <f>IF('Исходные данные'!$B$51="Да",-O60*N('Исходные данные'!$B$44)/(1+N('Исходные данные'!$B$44)),0)</f>
        <v>0</v>
      </c>
      <c r="Q60">
        <f>IF('Исходные данные'!$B$35="Да",-O60,0)</f>
        <v>0</v>
      </c>
      <c r="R60">
        <f>IF(AND('Исходные данные'!$B$51="Да",Q60&gt;0),Q60*N('Исходные данные'!$B$52)/(1+N('Исходные данные'!$B$52)),0)</f>
        <v>0</v>
      </c>
      <c r="S60">
        <f>IF(OR(B60="",IF('Исходные данные'!$B$45="",'Исходные данные'!$B$10,'Исходные данные'!$B$45)="",C60&lt;IF('Исходные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данные'!$B$45)),1),B60,"m")/12))*IF(AND(B60&lt;=IF('Исходные данные'!$B$45="",'Исходные данные'!$B$10,'Исходные данные'!$B$45),C60&gt;=IF('Исходные данные'!$B$45="",'Исходные данные'!$B$10,'Исходные данные'!$B$45)),(C60-IF('Исходные данные'!$B$45="",'Исходные данные'!$B$10,'Исходные данные'!$B$45)+1)/DAY(C60),1)*IF('Исходные данные'!$B$43="Без НДС",1+N('Исходные данные'!$B$44),1))</f>
        <v>0</v>
      </c>
      <c r="T60">
        <f>IF('Исходные данные'!$B$51="Да",-S60*N('Исходные данные'!$B$44)/(1+N('Исходные данные'!$B$44)),0)</f>
        <v>0</v>
      </c>
      <c r="U60">
        <f>IF('Исходные данные'!$B$36="Да",-S60,0)</f>
        <v>0</v>
      </c>
      <c r="V60">
        <f>IF(AND('Исходные данные'!$B$51="Да",U60&gt;0),U60*N('Исходные данные'!$B$52)/(1+N('Исходные данные'!$B$52)),0)</f>
        <v>0</v>
      </c>
      <c r="W60">
        <f>IF(OR(B60="",IF('Исходные данные'!$B$69="",'Исходные данные'!$B$10,'Исходные данные'!$B$69)="",C60&lt;IF('Исходные данные'!$B$69="",'Исходные данные'!$B$10,'Исходные данные'!$B$69)),0,-N('Исходные данные'!$B$16)*N('Исходные данные'!$B$68)*N('Исходные данные'!$B$67)/12*IF(AND(B60&lt;=IF('Исходные данные'!$B$69="",'Исходные данные'!$B$10,'Исходные данные'!$B$69),C60&gt;=IF('Исходные данные'!$B$69="",'Исходные данные'!$B$10,'Исходные данные'!$B$69)),(C60-IF('Исходные данные'!$B$69="",'Исходные данные'!$B$10,'Исходные данные'!$B$69)+1)/DAY(C60),1))</f>
        <v>0</v>
      </c>
      <c r="X60">
        <f>IF(OR(B60="",IF('Исходные данные'!$B$76="",'Исходные данные'!$B$10,'Исходные данные'!$B$76)="",C60&lt;IF('Исходные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данные'!$B$76)),1),B60,"m")/12))*IF(AND(B60&lt;=IF('Исходные данные'!$B$76="",'Исходные данные'!$B$10,'Исходные данные'!$B$76),C60&gt;=IF('Исходные данные'!$B$76="",'Исходные данные'!$B$10,'Исходные данные'!$B$76)),(C60-IF('Исходные данные'!$B$76="",'Исходные данные'!$B$10,'Исходные данные'!$B$76)+1)/DAY(C60),1))</f>
        <v>0</v>
      </c>
      <c r="Y60">
        <f t="shared" si="25"/>
        <v>0</v>
      </c>
      <c r="Z60">
        <f>IF(OR(B60="",N('Исходные данные'!$B$19)=0),0,-SUMIFS('Исходные данные'!$I$6:$I$186,'Исходные данные'!$F$6:$F$186,B60)*N('Исходные данные'!$B$17)/N('Исходные данные'!$B$19))</f>
        <v>0</v>
      </c>
      <c r="AA60">
        <f>IF(OR(B60="",N('Исходные данные'!$B$19)=0),0,-SUMIFS('Исходные данные'!$I$6:$I$186,'Исходные данные'!$F$6:$F$186,B60)*N('Исходные данные'!$B$18)/N('Исходные данные'!$B$19))</f>
        <v>0</v>
      </c>
      <c r="AB60">
        <f>IF(OR(B60="",'Исходные данные'!$B$13=""),0,IF(AND(YEAR(B60)=YEAR('Исходные данные'!$B$13),MONTH(B60)=MONTH('Исходные данные'!$B$13)),-N('Исходные данные'!$B$11),0))</f>
        <v>0</v>
      </c>
      <c r="AC60">
        <f>IF(A60=1,-N('Исходные данные'!$B$19)*N('Исходные данные'!$B$72),0)</f>
        <v>0</v>
      </c>
      <c r="AD60">
        <f>IF(OR(B60="",'Исходные данные'!$B$22&lt;&gt;"Да",'Исходные данные'!$B$26=""),0,IF(AND(YEAR(B60)=YEAR('Исходные данные'!$B$26),MONTH(B60)=MONTH('Исходные данные'!$B$26)),N('Исходные данные'!$B$23),0))</f>
        <v>0</v>
      </c>
      <c r="AE60">
        <f t="shared" si="38"/>
        <v>0</v>
      </c>
      <c r="AF60">
        <f>IF(OR('Исходные данные'!$B$22&lt;&gt;"Да",'Исходные данные'!$B$26="",C60&lt;'Исходные данные'!$B$26),0,DATEDIF(DATE(YEAR('Исходные данные'!$B$26),MONTH('Исходные данные'!$B$26),1),B60,"m")+1)</f>
        <v>0</v>
      </c>
      <c r="AG60">
        <f>IF(OR(AF60&lt;1,AF60&gt;N('Исходные данные'!$B$25),AE60+AD60&lt;=0),0,-(AE60+AD60)*N('Исходные данные'!$B$24)*IF(AF60=1,C60-'Исходные данные'!$B$26+1,DAY(C60))/365)</f>
        <v>0</v>
      </c>
      <c r="AH60">
        <f>IF(OR(AF60&lt;1,AF60&gt;N('Исходные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данные'!$B$25)-AG60))</f>
        <v>0</v>
      </c>
      <c r="AI60">
        <f>IF(OR('Исходные данные'!$B$22&lt;&gt;"Да",AE60+AD60&lt;=0),0,IF(AND('Исходные данные'!$B$91&lt;&gt;"",B60&lt;&gt;"",YEAR(B60)=YEAR('Исходные данные'!$B$91),MONTH(B60)=MONTH('Исходные данные'!$B$91)),-(AE60+AD60),IF(OR(AF60&lt;1,AF60&gt;N('Исходные данные'!$B$25)),0,IF('Исходные данные'!$B$27="Равными долями",-MIN(AE60+AD60,N('Исходные данные'!$B$23)/N('Исходные данные'!$B$25)),-MIN(AE60+AD60,IF(AF60=N('Исходные данные'!$B$25),AE60+AD60,MAX(0,AH60+AG60)))))))</f>
        <v>0</v>
      </c>
      <c r="AJ60">
        <f t="shared" si="26"/>
        <v>0</v>
      </c>
      <c r="AK60">
        <f t="shared" si="27"/>
        <v>0</v>
      </c>
      <c r="AL60">
        <f>IF(OR(B60="",'Исходные данные'!$B$51&lt;&gt;"Да",'Исходные данные'!$B$61=""),0,IF(AND(YEAR(B60)=YEAR('Исходные данные'!$B$61),MONTH(B60)=MONTH('Исходные данные'!$B$61)),N('Исходные данные'!$B$18)*N('Исходные данные'!$B$62),0))</f>
        <v>0</v>
      </c>
      <c r="AM60">
        <f t="shared" si="39"/>
        <v>0</v>
      </c>
      <c r="AN60">
        <f t="shared" si="28"/>
        <v>0</v>
      </c>
      <c r="AO60">
        <f t="shared" si="29"/>
        <v>0</v>
      </c>
      <c r="AP60">
        <f>IF('Исходные данные'!$B$51="Да",-MAX(0,AN60-AO60-AM60),0)</f>
        <v>0</v>
      </c>
      <c r="AQ60">
        <f>IF('Исходные данные'!$B$51="Да",MAX(0,AM60+AO60-AN60),0)</f>
        <v>0</v>
      </c>
      <c r="AR60">
        <f>IF('Исходные данные'!$B$53="Выручка",MAX(0,L60+(Q60-R60)+(U60-V60)),IF('Исходные данные'!$B$53="Прибыль до налога",MAX(0,L60+(Q60-R60)+(U60-V60)+N('Исходные данные'!$B$54)*((O60+P60)+(S60+T60)+W60+X60)+IF('Исходные данные'!$B$55="Да",AG60,0)-N('Исходные данные'!$B$56)/12),IF('Исходные данные'!$B$53="Пользовательская база",MAX(0,N('Исходные данные'!$B$57)/12),0)))</f>
        <v>0</v>
      </c>
      <c r="AS60">
        <f>IF(E60=1,-AR60*N('Исходные данные'!$B$50),0)</f>
        <v>0</v>
      </c>
      <c r="AT60">
        <f t="shared" si="30"/>
        <v>0</v>
      </c>
      <c r="AU60">
        <f>IF(OR(B60="",N('Исходные данные'!$B$80)&lt;=0,'Исходные данные'!$B$88=""),0,MAX(0,IF('Исходные данные'!$B$88="Последние 12 месяцев",SUMIFS($Y$2:$Y$194,$B$2:$B$194,"&gt;="&amp;EDATE(B60,-11),$B$2:$B$194,"&lt;="&amp;B60),IF('Исходные данные'!$B$88="Пользовательский NOI",N('Исходные данные'!$B$89),AT60))/N('Исходные данные'!$B$80)*(1+N('Исходные данные'!$B$81))))</f>
        <v>0</v>
      </c>
      <c r="AV60">
        <f>IF(OR(E60&lt;&gt;1,B60="",'Исходные данные'!$B$91=""),0,IF(AND(YEAR(B60)=YEAR('Исходные данные'!$B$91),MONTH(B60)=MONTH('Исходные данные'!$B$91)),AU60,0))</f>
        <v>0</v>
      </c>
      <c r="AW60">
        <f>-AV60*N('Исходные данные'!$B$73)</f>
        <v>0</v>
      </c>
      <c r="AX60">
        <f>IF(AV60=0,0,-N('Исходные данные'!$B$87)-IF('Исходные данные'!$B$82="Да",IF('Исходные данные'!$B$84="С выручки",AV60,IF('Исходные данные'!$B$84="С прибыли",MAX(0,AV60+AW60-IF('Исходные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60">
        <f t="shared" si="31"/>
        <v>0</v>
      </c>
      <c r="AZ60">
        <f t="shared" si="32"/>
        <v>0</v>
      </c>
      <c r="BA60">
        <f t="shared" si="33"/>
        <v>0</v>
      </c>
      <c r="BB60" t="str">
        <f t="shared" si="40"/>
        <v/>
      </c>
      <c r="BC60">
        <f>IF(OR(E60=0,'Исходные данные'!$B$9="",'Исходные данные'!$B$90=""),0,BA60/(1+'Исходные данные'!$B$90)^((D60-'Исходные данные'!$B$9)/365))</f>
        <v>0</v>
      </c>
      <c r="BD60">
        <f>IF(AND(E60=1,BB60&gt;=0,BB59&lt;0,MIN($BB$2:BB60)&lt;0),1,0)</f>
        <v>0</v>
      </c>
      <c r="BE60">
        <f t="shared" si="34"/>
        <v>0</v>
      </c>
      <c r="BF60">
        <f t="shared" si="35"/>
        <v>0</v>
      </c>
      <c r="BG60">
        <f t="shared" si="36"/>
        <v>0</v>
      </c>
      <c r="BH60">
        <f t="shared" si="37"/>
        <v>1</v>
      </c>
      <c r="BI60">
        <f>AZ60+N60+AP60-AR60*N('Исходные данные'!$B$50)</f>
        <v>0</v>
      </c>
      <c r="BJ60">
        <f t="shared" si="20"/>
        <v>0</v>
      </c>
      <c r="BK60">
        <f>IF(AND(BJ60&gt;=0,BJ59&lt;0,MIN($BJ$2:BJ60)&lt;0),1,0)</f>
        <v>0</v>
      </c>
    </row>
    <row r="61" spans="1:63" x14ac:dyDescent="0.2">
      <c r="A61">
        <v>60</v>
      </c>
      <c r="B61" t="str">
        <f>IF('Исходные данные'!$B$9="","",EDATE(DATE(YEAR('Исходные данные'!$B$9),MONTH('Исходные данные'!$B$9),1),A61-1))</f>
        <v/>
      </c>
      <c r="C61" t="str">
        <f t="shared" si="21"/>
        <v/>
      </c>
      <c r="D61" t="str">
        <f>IF(B61="","",IF('Исходные данные'!$B$91&lt;&gt;"",IF(AND(YEAR(B61)=YEAR('Исходные данные'!$B$91),MONTH(B61)=MONTH('Исходные данные'!$B$91)),'Исходные данные'!$B$91,IF('Исходные данные'!$B$13&lt;&gt;"",IF(AND(YEAR(B61)=YEAR('Исходные данные'!$B$13),MONTH(B61)=MONTH('Исходные данные'!$B$13)),'Исходные данные'!$B$13,IF('Исходные данные'!$B$26&lt;&gt;"",IF(AND(YEAR(B61)=YEAR('Исходные данные'!$B$26),MONTH(B61)=MONTH('Исходные данные'!$B$26)),'Исходные данные'!$B$26,IF(A61=1,'Исходные данные'!$B$9,C61)),IF(A61=1,'Исходные данные'!$B$9,C61))),IF('Исходные данные'!$B$26&lt;&gt;"",IF(AND(YEAR(B61)=YEAR('Исходные данные'!$B$26),MONTH(B61)=MONTH('Исходные данные'!$B$26)),'Исходные данные'!$B$26,IF(A61=1,'Исходные данные'!$B$9,C61)),IF(A61=1,'Исходные данные'!$B$9,C61)))),IF('Исходные данные'!$B$13&lt;&gt;"",IF(AND(YEAR(B61)=YEAR('Исходные данные'!$B$13),MONTH(B61)=MONTH('Исходные данные'!$B$13)),'Исходные данные'!$B$13,IF('Исходные данные'!$B$26&lt;&gt;"",IF(AND(YEAR(B61)=YEAR('Исходные данные'!$B$26),MONTH(B61)=MONTH('Исходные данные'!$B$26)),'Исходные данные'!$B$26,IF(A61=1,'Исходные данные'!$B$9,C61)),IF(A61=1,'Исходные данные'!$B$9,C61))),IF('Исходные данные'!$B$26&lt;&gt;"",IF(AND(YEAR(B61)=YEAR('Исходные данные'!$B$26),MONTH(B61)=MONTH('Исходные данные'!$B$26)),'Исходные данные'!$B$26,IF(A61=1,'Исходные данные'!$B$9,C61)),IF(A61=1,'Исходные данные'!$B$9,C61)))))</f>
        <v/>
      </c>
      <c r="E61">
        <f>IF(OR(B61="",'Исходные данные'!$B$91=""),0,--(B61&lt;=DATE(YEAR('Исходные данные'!$B$91),MONTH('Исходные данные'!$B$91),1)))</f>
        <v>0</v>
      </c>
      <c r="F61">
        <f>IF(OR(B61="",'Исходные данные'!$B$30="",C61&lt;'Исходные данные'!$B$30),0,DATEDIF(DATE(YEAR('Исходные данные'!$B$30),MONTH('Исходные данные'!$B$30),1),B61,"m")+1)</f>
        <v>0</v>
      </c>
      <c r="G61">
        <f t="shared" si="22"/>
        <v>0</v>
      </c>
      <c r="H61">
        <f>IF(F61=0,0,IF(G61=1,N('Исходные данные'!$B$31),IF(G61=2,N('Исходные данные'!$B$32),IF(G61=3,N('Исходные данные'!$B$33),N('Исходные данные'!$B$33)*(1+N('Исходные данные'!$B$34))^(G61-3)))))</f>
        <v>0</v>
      </c>
      <c r="I61">
        <f>IF(OR(F61=0,N('Исходные данные'!$B$5)=0,H61=0),0,'Исходные данные'!$B$5*H61*IF(AND(B61&lt;='Исходные данные'!$B$30,C61&gt;='Исходные данные'!$B$30),(C61-'Исходные данные'!$B$30+1)/DAY(C61),1))</f>
        <v>0</v>
      </c>
      <c r="J61">
        <f>IF(AND(F61&gt;0,F61&lt;=N('Исходные данные'!$B$37)),-I61,0)</f>
        <v>0</v>
      </c>
      <c r="K61">
        <f>IF(OR(F61=0,F61&lt;=N('Исходные данные'!$B$37)),0,-(I61+J61)*N('Исходные данные'!$B$38))</f>
        <v>0</v>
      </c>
      <c r="L61">
        <f t="shared" si="23"/>
        <v>0</v>
      </c>
      <c r="M61">
        <f>IF('Исходные данные'!$B$51="Да",L61*N('Исходные данные'!$B$52),0)</f>
        <v>0</v>
      </c>
      <c r="N61">
        <f t="shared" si="24"/>
        <v>0</v>
      </c>
      <c r="O61">
        <f>IF(OR(B61="",IF('Исходные данные'!$B$45="",'Исходные данные'!$B$10,'Исходные данные'!$B$45)="",C61&lt;IF('Исходные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данные'!$B$45)),1),B61,"m")/12))*IF(AND(B61&lt;=IF('Исходные данные'!$B$45="",'Исходные данные'!$B$10,'Исходные данные'!$B$45),C61&gt;=IF('Исходные данные'!$B$45="",'Исходные данные'!$B$10,'Исходные данные'!$B$45)),(C61-IF('Исходные данные'!$B$45="",'Исходные данные'!$B$10,'Исходные данные'!$B$45)+1)/DAY(C61),1)*IF('Исходные данные'!$B$43="Без НДС",1+N('Исходные данные'!$B$44),1))</f>
        <v>0</v>
      </c>
      <c r="P61">
        <f>IF('Исходные данные'!$B$51="Да",-O61*N('Исходные данные'!$B$44)/(1+N('Исходные данные'!$B$44)),0)</f>
        <v>0</v>
      </c>
      <c r="Q61">
        <f>IF('Исходные данные'!$B$35="Да",-O61,0)</f>
        <v>0</v>
      </c>
      <c r="R61">
        <f>IF(AND('Исходные данные'!$B$51="Да",Q61&gt;0),Q61*N('Исходные данные'!$B$52)/(1+N('Исходные данные'!$B$52)),0)</f>
        <v>0</v>
      </c>
      <c r="S61">
        <f>IF(OR(B61="",IF('Исходные данные'!$B$45="",'Исходные данные'!$B$10,'Исходные данные'!$B$45)="",C61&lt;IF('Исходные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данные'!$B$45)),1),B61,"m")/12))*IF(AND(B61&lt;=IF('Исходные данные'!$B$45="",'Исходные данные'!$B$10,'Исходные данные'!$B$45),C61&gt;=IF('Исходные данные'!$B$45="",'Исходные данные'!$B$10,'Исходные данные'!$B$45)),(C61-IF('Исходные данные'!$B$45="",'Исходные данные'!$B$10,'Исходные данные'!$B$45)+1)/DAY(C61),1)*IF('Исходные данные'!$B$43="Без НДС",1+N('Исходные данные'!$B$44),1))</f>
        <v>0</v>
      </c>
      <c r="T61">
        <f>IF('Исходные данные'!$B$51="Да",-S61*N('Исходные данные'!$B$44)/(1+N('Исходные данные'!$B$44)),0)</f>
        <v>0</v>
      </c>
      <c r="U61">
        <f>IF('Исходные данные'!$B$36="Да",-S61,0)</f>
        <v>0</v>
      </c>
      <c r="V61">
        <f>IF(AND('Исходные данные'!$B$51="Да",U61&gt;0),U61*N('Исходные данные'!$B$52)/(1+N('Исходные данные'!$B$52)),0)</f>
        <v>0</v>
      </c>
      <c r="W61">
        <f>IF(OR(B61="",IF('Исходные данные'!$B$69="",'Исходные данные'!$B$10,'Исходные данные'!$B$69)="",C61&lt;IF('Исходные данные'!$B$69="",'Исходные данные'!$B$10,'Исходные данные'!$B$69)),0,-N('Исходные данные'!$B$16)*N('Исходные данные'!$B$68)*N('Исходные данные'!$B$67)/12*IF(AND(B61&lt;=IF('Исходные данные'!$B$69="",'Исходные данные'!$B$10,'Исходные данные'!$B$69),C61&gt;=IF('Исходные данные'!$B$69="",'Исходные данные'!$B$10,'Исходные данные'!$B$69)),(C61-IF('Исходные данные'!$B$69="",'Исходные данные'!$B$10,'Исходные данные'!$B$69)+1)/DAY(C61),1))</f>
        <v>0</v>
      </c>
      <c r="X61">
        <f>IF(OR(B61="",IF('Исходные данные'!$B$76="",'Исходные данные'!$B$10,'Исходные данные'!$B$76)="",C61&lt;IF('Исходные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данные'!$B$76)),1),B61,"m")/12))*IF(AND(B61&lt;=IF('Исходные данные'!$B$76="",'Исходные данные'!$B$10,'Исходные данные'!$B$76),C61&gt;=IF('Исходные данные'!$B$76="",'Исходные данные'!$B$10,'Исходные данные'!$B$76)),(C61-IF('Исходные данные'!$B$76="",'Исходные данные'!$B$10,'Исходные данные'!$B$76)+1)/DAY(C61),1))</f>
        <v>0</v>
      </c>
      <c r="Y61">
        <f t="shared" si="25"/>
        <v>0</v>
      </c>
      <c r="Z61">
        <f>IF(OR(B61="",N('Исходные данные'!$B$19)=0),0,-SUMIFS('Исходные данные'!$I$6:$I$186,'Исходные данные'!$F$6:$F$186,B61)*N('Исходные данные'!$B$17)/N('Исходные данные'!$B$19))</f>
        <v>0</v>
      </c>
      <c r="AA61">
        <f>IF(OR(B61="",N('Исходные данные'!$B$19)=0),0,-SUMIFS('Исходные данные'!$I$6:$I$186,'Исходные данные'!$F$6:$F$186,B61)*N('Исходные данные'!$B$18)/N('Исходные данные'!$B$19))</f>
        <v>0</v>
      </c>
      <c r="AB61">
        <f>IF(OR(B61="",'Исходные данные'!$B$13=""),0,IF(AND(YEAR(B61)=YEAR('Исходные данные'!$B$13),MONTH(B61)=MONTH('Исходные данные'!$B$13)),-N('Исходные данные'!$B$11),0))</f>
        <v>0</v>
      </c>
      <c r="AC61">
        <f>IF(A61=1,-N('Исходные данные'!$B$19)*N('Исходные данные'!$B$72),0)</f>
        <v>0</v>
      </c>
      <c r="AD61">
        <f>IF(OR(B61="",'Исходные данные'!$B$22&lt;&gt;"Да",'Исходные данные'!$B$26=""),0,IF(AND(YEAR(B61)=YEAR('Исходные данные'!$B$26),MONTH(B61)=MONTH('Исходные данные'!$B$26)),N('Исходные данные'!$B$23),0))</f>
        <v>0</v>
      </c>
      <c r="AE61">
        <f t="shared" si="38"/>
        <v>0</v>
      </c>
      <c r="AF61">
        <f>IF(OR('Исходные данные'!$B$22&lt;&gt;"Да",'Исходные данные'!$B$26="",C61&lt;'Исходные данные'!$B$26),0,DATEDIF(DATE(YEAR('Исходные данные'!$B$26),MONTH('Исходные данные'!$B$26),1),B61,"m")+1)</f>
        <v>0</v>
      </c>
      <c r="AG61">
        <f>IF(OR(AF61&lt;1,AF61&gt;N('Исходные данные'!$B$25),AE61+AD61&lt;=0),0,-(AE61+AD61)*N('Исходные данные'!$B$24)*IF(AF61=1,C61-'Исходные данные'!$B$26+1,DAY(C61))/365)</f>
        <v>0</v>
      </c>
      <c r="AH61">
        <f>IF(OR(AF61&lt;1,AF61&gt;N('Исходные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данные'!$B$25)-AG61))</f>
        <v>0</v>
      </c>
      <c r="AI61">
        <f>IF(OR('Исходные данные'!$B$22&lt;&gt;"Да",AE61+AD61&lt;=0),0,IF(AND('Исходные данные'!$B$91&lt;&gt;"",B61&lt;&gt;"",YEAR(B61)=YEAR('Исходные данные'!$B$91),MONTH(B61)=MONTH('Исходные данные'!$B$91)),-(AE61+AD61),IF(OR(AF61&lt;1,AF61&gt;N('Исходные данные'!$B$25)),0,IF('Исходные данные'!$B$27="Равными долями",-MIN(AE61+AD61,N('Исходные данные'!$B$23)/N('Исходные данные'!$B$25)),-MIN(AE61+AD61,IF(AF61=N('Исходные данные'!$B$25),AE61+AD61,MAX(0,AH61+AG61)))))))</f>
        <v>0</v>
      </c>
      <c r="AJ61">
        <f t="shared" si="26"/>
        <v>0</v>
      </c>
      <c r="AK61">
        <f t="shared" si="27"/>
        <v>0</v>
      </c>
      <c r="AL61">
        <f>IF(OR(B61="",'Исходные данные'!$B$51&lt;&gt;"Да",'Исходные данные'!$B$61=""),0,IF(AND(YEAR(B61)=YEAR('Исходные данные'!$B$61),MONTH(B61)=MONTH('Исходные данные'!$B$61)),N('Исходные данные'!$B$18)*N('Исходные данные'!$B$62),0))</f>
        <v>0</v>
      </c>
      <c r="AM61">
        <f t="shared" si="39"/>
        <v>0</v>
      </c>
      <c r="AN61">
        <f t="shared" si="28"/>
        <v>0</v>
      </c>
      <c r="AO61">
        <f t="shared" si="29"/>
        <v>0</v>
      </c>
      <c r="AP61">
        <f>IF('Исходные данные'!$B$51="Да",-MAX(0,AN61-AO61-AM61),0)</f>
        <v>0</v>
      </c>
      <c r="AQ61">
        <f>IF('Исходные данные'!$B$51="Да",MAX(0,AM61+AO61-AN61),0)</f>
        <v>0</v>
      </c>
      <c r="AR61">
        <f>IF('Исходные данные'!$B$53="Выручка",MAX(0,L61+(Q61-R61)+(U61-V61)),IF('Исходные данные'!$B$53="Прибыль до налога",MAX(0,L61+(Q61-R61)+(U61-V61)+N('Исходные данные'!$B$54)*((O61+P61)+(S61+T61)+W61+X61)+IF('Исходные данные'!$B$55="Да",AG61,0)-N('Исходные данные'!$B$56)/12),IF('Исходные данные'!$B$53="Пользовательская база",MAX(0,N('Исходные данные'!$B$57)/12),0)))</f>
        <v>0</v>
      </c>
      <c r="AS61">
        <f>IF(E61=1,-AR61*N('Исходные данные'!$B$50),0)</f>
        <v>0</v>
      </c>
      <c r="AT61">
        <f t="shared" si="30"/>
        <v>0</v>
      </c>
      <c r="AU61">
        <f>IF(OR(B61="",N('Исходные данные'!$B$80)&lt;=0,'Исходные данные'!$B$88=""),0,MAX(0,IF('Исходные данные'!$B$88="Последние 12 месяцев",SUMIFS($Y$2:$Y$194,$B$2:$B$194,"&gt;="&amp;EDATE(B61,-11),$B$2:$B$194,"&lt;="&amp;B61),IF('Исходные данные'!$B$88="Пользовательский NOI",N('Исходные данные'!$B$89),AT61))/N('Исходные данные'!$B$80)*(1+N('Исходные данные'!$B$81))))</f>
        <v>0</v>
      </c>
      <c r="AV61">
        <f>IF(OR(E61&lt;&gt;1,B61="",'Исходные данные'!$B$91=""),0,IF(AND(YEAR(B61)=YEAR('Исходные данные'!$B$91),MONTH(B61)=MONTH('Исходные данные'!$B$91)),AU61,0))</f>
        <v>0</v>
      </c>
      <c r="AW61">
        <f>-AV61*N('Исходные данные'!$B$73)</f>
        <v>0</v>
      </c>
      <c r="AX61">
        <f>IF(AV61=0,0,-N('Исходные данные'!$B$87)-IF('Исходные данные'!$B$82="Да",IF('Исходные данные'!$B$84="С выручки",AV61,IF('Исходные данные'!$B$84="С прибыли",MAX(0,AV61+AW61-IF('Исходные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61">
        <f t="shared" si="31"/>
        <v>0</v>
      </c>
      <c r="AZ61">
        <f t="shared" si="32"/>
        <v>0</v>
      </c>
      <c r="BA61">
        <f t="shared" si="33"/>
        <v>0</v>
      </c>
      <c r="BB61" t="str">
        <f t="shared" si="40"/>
        <v/>
      </c>
      <c r="BC61">
        <f>IF(OR(E61=0,'Исходные данные'!$B$9="",'Исходные данные'!$B$90=""),0,BA61/(1+'Исходные данные'!$B$90)^((D61-'Исходные данные'!$B$9)/365))</f>
        <v>0</v>
      </c>
      <c r="BD61">
        <f>IF(AND(E61=1,BB61&gt;=0,BB60&lt;0,MIN($BB$2:BB61)&lt;0),1,0)</f>
        <v>0</v>
      </c>
      <c r="BE61">
        <f t="shared" si="34"/>
        <v>0</v>
      </c>
      <c r="BF61">
        <f t="shared" si="35"/>
        <v>0</v>
      </c>
      <c r="BG61">
        <f t="shared" si="36"/>
        <v>0</v>
      </c>
      <c r="BH61">
        <f t="shared" si="37"/>
        <v>1</v>
      </c>
      <c r="BI61">
        <f>AZ61+N61+AP61-AR61*N('Исходные данные'!$B$50)</f>
        <v>0</v>
      </c>
      <c r="BJ61">
        <f t="shared" si="20"/>
        <v>0</v>
      </c>
      <c r="BK61">
        <f>IF(AND(BJ61&gt;=0,BJ60&lt;0,MIN($BJ$2:BJ61)&lt;0),1,0)</f>
        <v>0</v>
      </c>
    </row>
    <row r="62" spans="1:63" x14ac:dyDescent="0.2">
      <c r="A62">
        <v>61</v>
      </c>
      <c r="B62" t="str">
        <f>IF('Исходные данные'!$B$9="","",EDATE(DATE(YEAR('Исходные данные'!$B$9),MONTH('Исходные данные'!$B$9),1),A62-1))</f>
        <v/>
      </c>
      <c r="C62" t="str">
        <f t="shared" si="21"/>
        <v/>
      </c>
      <c r="D62" t="str">
        <f>IF(B62="","",IF('Исходные данные'!$B$91&lt;&gt;"",IF(AND(YEAR(B62)=YEAR('Исходные данные'!$B$91),MONTH(B62)=MONTH('Исходные данные'!$B$91)),'Исходные данные'!$B$91,IF('Исходные данные'!$B$13&lt;&gt;"",IF(AND(YEAR(B62)=YEAR('Исходные данные'!$B$13),MONTH(B62)=MONTH('Исходные данные'!$B$13)),'Исходные данные'!$B$13,IF('Исходные данные'!$B$26&lt;&gt;"",IF(AND(YEAR(B62)=YEAR('Исходные данные'!$B$26),MONTH(B62)=MONTH('Исходные данные'!$B$26)),'Исходные данные'!$B$26,IF(A62=1,'Исходные данные'!$B$9,C62)),IF(A62=1,'Исходные данные'!$B$9,C62))),IF('Исходные данные'!$B$26&lt;&gt;"",IF(AND(YEAR(B62)=YEAR('Исходные данные'!$B$26),MONTH(B62)=MONTH('Исходные данные'!$B$26)),'Исходные данные'!$B$26,IF(A62=1,'Исходные данные'!$B$9,C62)),IF(A62=1,'Исходные данные'!$B$9,C62)))),IF('Исходные данные'!$B$13&lt;&gt;"",IF(AND(YEAR(B62)=YEAR('Исходные данные'!$B$13),MONTH(B62)=MONTH('Исходные данные'!$B$13)),'Исходные данные'!$B$13,IF('Исходные данные'!$B$26&lt;&gt;"",IF(AND(YEAR(B62)=YEAR('Исходные данные'!$B$26),MONTH(B62)=MONTH('Исходные данные'!$B$26)),'Исходные данные'!$B$26,IF(A62=1,'Исходные данные'!$B$9,C62)),IF(A62=1,'Исходные данные'!$B$9,C62))),IF('Исходные данные'!$B$26&lt;&gt;"",IF(AND(YEAR(B62)=YEAR('Исходные данные'!$B$26),MONTH(B62)=MONTH('Исходные данные'!$B$26)),'Исходные данные'!$B$26,IF(A62=1,'Исходные данные'!$B$9,C62)),IF(A62=1,'Исходные данные'!$B$9,C62)))))</f>
        <v/>
      </c>
      <c r="E62">
        <f>IF(OR(B62="",'Исходные данные'!$B$91=""),0,--(B62&lt;=DATE(YEAR('Исходные данные'!$B$91),MONTH('Исходные данные'!$B$91),1)))</f>
        <v>0</v>
      </c>
      <c r="F62">
        <f>IF(OR(B62="",'Исходные данные'!$B$30="",C62&lt;'Исходные данные'!$B$30),0,DATEDIF(DATE(YEAR('Исходные данные'!$B$30),MONTH('Исходные данные'!$B$30),1),B62,"m")+1)</f>
        <v>0</v>
      </c>
      <c r="G62">
        <f t="shared" si="22"/>
        <v>0</v>
      </c>
      <c r="H62">
        <f>IF(F62=0,0,IF(G62=1,N('Исходные данные'!$B$31),IF(G62=2,N('Исходные данные'!$B$32),IF(G62=3,N('Исходные данные'!$B$33),N('Исходные данные'!$B$33)*(1+N('Исходные данные'!$B$34))^(G62-3)))))</f>
        <v>0</v>
      </c>
      <c r="I62">
        <f>IF(OR(F62=0,N('Исходные данные'!$B$5)=0,H62=0),0,'Исходные данные'!$B$5*H62*IF(AND(B62&lt;='Исходные данные'!$B$30,C62&gt;='Исходные данные'!$B$30),(C62-'Исходные данные'!$B$30+1)/DAY(C62),1))</f>
        <v>0</v>
      </c>
      <c r="J62">
        <f>IF(AND(F62&gt;0,F62&lt;=N('Исходные данные'!$B$37)),-I62,0)</f>
        <v>0</v>
      </c>
      <c r="K62">
        <f>IF(OR(F62=0,F62&lt;=N('Исходные данные'!$B$37)),0,-(I62+J62)*N('Исходные данные'!$B$38))</f>
        <v>0</v>
      </c>
      <c r="L62">
        <f t="shared" si="23"/>
        <v>0</v>
      </c>
      <c r="M62">
        <f>IF('Исходные данные'!$B$51="Да",L62*N('Исходные данные'!$B$52),0)</f>
        <v>0</v>
      </c>
      <c r="N62">
        <f t="shared" si="24"/>
        <v>0</v>
      </c>
      <c r="O62">
        <f>IF(OR(B62="",IF('Исходные данные'!$B$45="",'Исходные данные'!$B$10,'Исходные данные'!$B$45)="",C62&lt;IF('Исходные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данные'!$B$45)),1),B62,"m")/12))*IF(AND(B62&lt;=IF('Исходные данные'!$B$45="",'Исходные данные'!$B$10,'Исходные данные'!$B$45),C62&gt;=IF('Исходные данные'!$B$45="",'Исходные данные'!$B$10,'Исходные данные'!$B$45)),(C62-IF('Исходные данные'!$B$45="",'Исходные данные'!$B$10,'Исходные данные'!$B$45)+1)/DAY(C62),1)*IF('Исходные данные'!$B$43="Без НДС",1+N('Исходные данные'!$B$44),1))</f>
        <v>0</v>
      </c>
      <c r="P62">
        <f>IF('Исходные данные'!$B$51="Да",-O62*N('Исходные данные'!$B$44)/(1+N('Исходные данные'!$B$44)),0)</f>
        <v>0</v>
      </c>
      <c r="Q62">
        <f>IF('Исходные данные'!$B$35="Да",-O62,0)</f>
        <v>0</v>
      </c>
      <c r="R62">
        <f>IF(AND('Исходные данные'!$B$51="Да",Q62&gt;0),Q62*N('Исходные данные'!$B$52)/(1+N('Исходные данные'!$B$52)),0)</f>
        <v>0</v>
      </c>
      <c r="S62">
        <f>IF(OR(B62="",IF('Исходные данные'!$B$45="",'Исходные данные'!$B$10,'Исходные данные'!$B$45)="",C62&lt;IF('Исходные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данные'!$B$45)),1),B62,"m")/12))*IF(AND(B62&lt;=IF('Исходные данные'!$B$45="",'Исходные данные'!$B$10,'Исходные данные'!$B$45),C62&gt;=IF('Исходные данные'!$B$45="",'Исходные данные'!$B$10,'Исходные данные'!$B$45)),(C62-IF('Исходные данные'!$B$45="",'Исходные данные'!$B$10,'Исходные данные'!$B$45)+1)/DAY(C62),1)*IF('Исходные данные'!$B$43="Без НДС",1+N('Исходные данные'!$B$44),1))</f>
        <v>0</v>
      </c>
      <c r="T62">
        <f>IF('Исходные данные'!$B$51="Да",-S62*N('Исходные данные'!$B$44)/(1+N('Исходные данные'!$B$44)),0)</f>
        <v>0</v>
      </c>
      <c r="U62">
        <f>IF('Исходные данные'!$B$36="Да",-S62,0)</f>
        <v>0</v>
      </c>
      <c r="V62">
        <f>IF(AND('Исходные данные'!$B$51="Да",U62&gt;0),U62*N('Исходные данные'!$B$52)/(1+N('Исходные данные'!$B$52)),0)</f>
        <v>0</v>
      </c>
      <c r="W62">
        <f>IF(OR(B62="",IF('Исходные данные'!$B$69="",'Исходные данные'!$B$10,'Исходные данные'!$B$69)="",C62&lt;IF('Исходные данные'!$B$69="",'Исходные данные'!$B$10,'Исходные данные'!$B$69)),0,-N('Исходные данные'!$B$16)*N('Исходные данные'!$B$68)*N('Исходные данные'!$B$67)/12*IF(AND(B62&lt;=IF('Исходные данные'!$B$69="",'Исходные данные'!$B$10,'Исходные данные'!$B$69),C62&gt;=IF('Исходные данные'!$B$69="",'Исходные данные'!$B$10,'Исходные данные'!$B$69)),(C62-IF('Исходные данные'!$B$69="",'Исходные данные'!$B$10,'Исходные данные'!$B$69)+1)/DAY(C62),1))</f>
        <v>0</v>
      </c>
      <c r="X62">
        <f>IF(OR(B62="",IF('Исходные данные'!$B$76="",'Исходные данные'!$B$10,'Исходные данные'!$B$76)="",C62&lt;IF('Исходные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данные'!$B$76)),1),B62,"m")/12))*IF(AND(B62&lt;=IF('Исходные данные'!$B$76="",'Исходные данные'!$B$10,'Исходные данные'!$B$76),C62&gt;=IF('Исходные данные'!$B$76="",'Исходные данные'!$B$10,'Исходные данные'!$B$76)),(C62-IF('Исходные данные'!$B$76="",'Исходные данные'!$B$10,'Исходные данные'!$B$76)+1)/DAY(C62),1))</f>
        <v>0</v>
      </c>
      <c r="Y62">
        <f t="shared" si="25"/>
        <v>0</v>
      </c>
      <c r="Z62">
        <f>IF(OR(B62="",N('Исходные данные'!$B$19)=0),0,-SUMIFS('Исходные данные'!$I$6:$I$186,'Исходные данные'!$F$6:$F$186,B62)*N('Исходные данные'!$B$17)/N('Исходные данные'!$B$19))</f>
        <v>0</v>
      </c>
      <c r="AA62">
        <f>IF(OR(B62="",N('Исходные данные'!$B$19)=0),0,-SUMIFS('Исходные данные'!$I$6:$I$186,'Исходные данные'!$F$6:$F$186,B62)*N('Исходные данные'!$B$18)/N('Исходные данные'!$B$19))</f>
        <v>0</v>
      </c>
      <c r="AB62">
        <f>IF(OR(B62="",'Исходные данные'!$B$13=""),0,IF(AND(YEAR(B62)=YEAR('Исходные данные'!$B$13),MONTH(B62)=MONTH('Исходные данные'!$B$13)),-N('Исходные данные'!$B$11),0))</f>
        <v>0</v>
      </c>
      <c r="AC62">
        <f>IF(A62=1,-N('Исходные данные'!$B$19)*N('Исходные данные'!$B$72),0)</f>
        <v>0</v>
      </c>
      <c r="AD62">
        <f>IF(OR(B62="",'Исходные данные'!$B$22&lt;&gt;"Да",'Исходные данные'!$B$26=""),0,IF(AND(YEAR(B62)=YEAR('Исходные данные'!$B$26),MONTH(B62)=MONTH('Исходные данные'!$B$26)),N('Исходные данные'!$B$23),0))</f>
        <v>0</v>
      </c>
      <c r="AE62">
        <f t="shared" si="38"/>
        <v>0</v>
      </c>
      <c r="AF62">
        <f>IF(OR('Исходные данные'!$B$22&lt;&gt;"Да",'Исходные данные'!$B$26="",C62&lt;'Исходные данные'!$B$26),0,DATEDIF(DATE(YEAR('Исходные данные'!$B$26),MONTH('Исходные данные'!$B$26),1),B62,"m")+1)</f>
        <v>0</v>
      </c>
      <c r="AG62">
        <f>IF(OR(AF62&lt;1,AF62&gt;N('Исходные данные'!$B$25),AE62+AD62&lt;=0),0,-(AE62+AD62)*N('Исходные данные'!$B$24)*IF(AF62=1,C62-'Исходные данные'!$B$26+1,DAY(C62))/365)</f>
        <v>0</v>
      </c>
      <c r="AH62">
        <f>IF(OR(AF62&lt;1,AF62&gt;N('Исходные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данные'!$B$25)-AG62))</f>
        <v>0</v>
      </c>
      <c r="AI62">
        <f>IF(OR('Исходные данные'!$B$22&lt;&gt;"Да",AE62+AD62&lt;=0),0,IF(AND('Исходные данные'!$B$91&lt;&gt;"",B62&lt;&gt;"",YEAR(B62)=YEAR('Исходные данные'!$B$91),MONTH(B62)=MONTH('Исходные данные'!$B$91)),-(AE62+AD62),IF(OR(AF62&lt;1,AF62&gt;N('Исходные данные'!$B$25)),0,IF('Исходные данные'!$B$27="Равными долями",-MIN(AE62+AD62,N('Исходные данные'!$B$23)/N('Исходные данные'!$B$25)),-MIN(AE62+AD62,IF(AF62=N('Исходные данные'!$B$25),AE62+AD62,MAX(0,AH62+AG62)))))))</f>
        <v>0</v>
      </c>
      <c r="AJ62">
        <f t="shared" si="26"/>
        <v>0</v>
      </c>
      <c r="AK62">
        <f t="shared" si="27"/>
        <v>0</v>
      </c>
      <c r="AL62">
        <f>IF(OR(B62="",'Исходные данные'!$B$51&lt;&gt;"Да",'Исходные данные'!$B$61=""),0,IF(AND(YEAR(B62)=YEAR('Исходные данные'!$B$61),MONTH(B62)=MONTH('Исходные данные'!$B$61)),N('Исходные данные'!$B$18)*N('Исходные данные'!$B$62),0))</f>
        <v>0</v>
      </c>
      <c r="AM62">
        <f t="shared" si="39"/>
        <v>0</v>
      </c>
      <c r="AN62">
        <f t="shared" si="28"/>
        <v>0</v>
      </c>
      <c r="AO62">
        <f t="shared" si="29"/>
        <v>0</v>
      </c>
      <c r="AP62">
        <f>IF('Исходные данные'!$B$51="Да",-MAX(0,AN62-AO62-AM62),0)</f>
        <v>0</v>
      </c>
      <c r="AQ62">
        <f>IF('Исходные данные'!$B$51="Да",MAX(0,AM62+AO62-AN62),0)</f>
        <v>0</v>
      </c>
      <c r="AR62">
        <f>IF('Исходные данные'!$B$53="Выручка",MAX(0,L62+(Q62-R62)+(U62-V62)),IF('Исходные данные'!$B$53="Прибыль до налога",MAX(0,L62+(Q62-R62)+(U62-V62)+N('Исходные данные'!$B$54)*((O62+P62)+(S62+T62)+W62+X62)+IF('Исходные данные'!$B$55="Да",AG62,0)-N('Исходные данные'!$B$56)/12),IF('Исходные данные'!$B$53="Пользовательская база",MAX(0,N('Исходные данные'!$B$57)/12),0)))</f>
        <v>0</v>
      </c>
      <c r="AS62">
        <f>IF(E62=1,-AR62*N('Исходные данные'!$B$50),0)</f>
        <v>0</v>
      </c>
      <c r="AT62">
        <f t="shared" si="30"/>
        <v>0</v>
      </c>
      <c r="AU62">
        <f>IF(OR(B62="",N('Исходные данные'!$B$80)&lt;=0,'Исходные данные'!$B$88=""),0,MAX(0,IF('Исходные данные'!$B$88="Последние 12 месяцев",SUMIFS($Y$2:$Y$194,$B$2:$B$194,"&gt;="&amp;EDATE(B62,-11),$B$2:$B$194,"&lt;="&amp;B62),IF('Исходные данные'!$B$88="Пользовательский NOI",N('Исходные данные'!$B$89),AT62))/N('Исходные данные'!$B$80)*(1+N('Исходные данные'!$B$81))))</f>
        <v>0</v>
      </c>
      <c r="AV62">
        <f>IF(OR(E62&lt;&gt;1,B62="",'Исходные данные'!$B$91=""),0,IF(AND(YEAR(B62)=YEAR('Исходные данные'!$B$91),MONTH(B62)=MONTH('Исходные данные'!$B$91)),AU62,0))</f>
        <v>0</v>
      </c>
      <c r="AW62">
        <f>-AV62*N('Исходные данные'!$B$73)</f>
        <v>0</v>
      </c>
      <c r="AX62">
        <f>IF(AV62=0,0,-N('Исходные данные'!$B$87)-IF('Исходные данные'!$B$82="Да",IF('Исходные данные'!$B$84="С выручки",AV62,IF('Исходные данные'!$B$84="С прибыли",MAX(0,AV62+AW62-IF('Исходные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62">
        <f t="shared" si="31"/>
        <v>0</v>
      </c>
      <c r="AZ62">
        <f t="shared" si="32"/>
        <v>0</v>
      </c>
      <c r="BA62">
        <f t="shared" si="33"/>
        <v>0</v>
      </c>
      <c r="BB62" t="str">
        <f t="shared" si="40"/>
        <v/>
      </c>
      <c r="BC62">
        <f>IF(OR(E62=0,'Исходные данные'!$B$9="",'Исходные данные'!$B$90=""),0,BA62/(1+'Исходные данные'!$B$90)^((D62-'Исходные данные'!$B$9)/365))</f>
        <v>0</v>
      </c>
      <c r="BD62">
        <f>IF(AND(E62=1,BB62&gt;=0,BB61&lt;0,MIN($BB$2:BB62)&lt;0),1,0)</f>
        <v>0</v>
      </c>
      <c r="BE62">
        <f t="shared" si="34"/>
        <v>0</v>
      </c>
      <c r="BF62">
        <f t="shared" si="35"/>
        <v>0</v>
      </c>
      <c r="BG62">
        <f t="shared" si="36"/>
        <v>0</v>
      </c>
      <c r="BH62">
        <f t="shared" si="37"/>
        <v>1</v>
      </c>
      <c r="BI62">
        <f>AZ62+N62+AP62-AR62*N('Исходные данные'!$B$50)</f>
        <v>0</v>
      </c>
      <c r="BJ62">
        <f t="shared" si="20"/>
        <v>0</v>
      </c>
      <c r="BK62">
        <f>IF(AND(BJ62&gt;=0,BJ61&lt;0,MIN($BJ$2:BJ62)&lt;0),1,0)</f>
        <v>0</v>
      </c>
    </row>
    <row r="63" spans="1:63" x14ac:dyDescent="0.2">
      <c r="A63">
        <v>62</v>
      </c>
      <c r="B63" t="str">
        <f>IF('Исходные данные'!$B$9="","",EDATE(DATE(YEAR('Исходные данные'!$B$9),MONTH('Исходные данные'!$B$9),1),A63-1))</f>
        <v/>
      </c>
      <c r="C63" t="str">
        <f t="shared" si="21"/>
        <v/>
      </c>
      <c r="D63" t="str">
        <f>IF(B63="","",IF('Исходные данные'!$B$91&lt;&gt;"",IF(AND(YEAR(B63)=YEAR('Исходные данные'!$B$91),MONTH(B63)=MONTH('Исходные данные'!$B$91)),'Исходные данные'!$B$91,IF('Исходные данные'!$B$13&lt;&gt;"",IF(AND(YEAR(B63)=YEAR('Исходные данные'!$B$13),MONTH(B63)=MONTH('Исходные данные'!$B$13)),'Исходные данные'!$B$13,IF('Исходные данные'!$B$26&lt;&gt;"",IF(AND(YEAR(B63)=YEAR('Исходные данные'!$B$26),MONTH(B63)=MONTH('Исходные данные'!$B$26)),'Исходные данные'!$B$26,IF(A63=1,'Исходные данные'!$B$9,C63)),IF(A63=1,'Исходные данные'!$B$9,C63))),IF('Исходные данные'!$B$26&lt;&gt;"",IF(AND(YEAR(B63)=YEAR('Исходные данные'!$B$26),MONTH(B63)=MONTH('Исходные данные'!$B$26)),'Исходные данные'!$B$26,IF(A63=1,'Исходные данные'!$B$9,C63)),IF(A63=1,'Исходные данные'!$B$9,C63)))),IF('Исходные данные'!$B$13&lt;&gt;"",IF(AND(YEAR(B63)=YEAR('Исходные данные'!$B$13),MONTH(B63)=MONTH('Исходные данные'!$B$13)),'Исходные данные'!$B$13,IF('Исходные данные'!$B$26&lt;&gt;"",IF(AND(YEAR(B63)=YEAR('Исходные данные'!$B$26),MONTH(B63)=MONTH('Исходные данные'!$B$26)),'Исходные данные'!$B$26,IF(A63=1,'Исходные данные'!$B$9,C63)),IF(A63=1,'Исходные данные'!$B$9,C63))),IF('Исходные данные'!$B$26&lt;&gt;"",IF(AND(YEAR(B63)=YEAR('Исходные данные'!$B$26),MONTH(B63)=MONTH('Исходные данные'!$B$26)),'Исходные данные'!$B$26,IF(A63=1,'Исходные данные'!$B$9,C63)),IF(A63=1,'Исходные данные'!$B$9,C63)))))</f>
        <v/>
      </c>
      <c r="E63">
        <f>IF(OR(B63="",'Исходные данные'!$B$91=""),0,--(B63&lt;=DATE(YEAR('Исходные данные'!$B$91),MONTH('Исходные данные'!$B$91),1)))</f>
        <v>0</v>
      </c>
      <c r="F63">
        <f>IF(OR(B63="",'Исходные данные'!$B$30="",C63&lt;'Исходные данные'!$B$30),0,DATEDIF(DATE(YEAR('Исходные данные'!$B$30),MONTH('Исходные данные'!$B$30),1),B63,"m")+1)</f>
        <v>0</v>
      </c>
      <c r="G63">
        <f t="shared" si="22"/>
        <v>0</v>
      </c>
      <c r="H63">
        <f>IF(F63=0,0,IF(G63=1,N('Исходные данные'!$B$31),IF(G63=2,N('Исходные данные'!$B$32),IF(G63=3,N('Исходные данные'!$B$33),N('Исходные данные'!$B$33)*(1+N('Исходные данные'!$B$34))^(G63-3)))))</f>
        <v>0</v>
      </c>
      <c r="I63">
        <f>IF(OR(F63=0,N('Исходные данные'!$B$5)=0,H63=0),0,'Исходные данные'!$B$5*H63*IF(AND(B63&lt;='Исходные данные'!$B$30,C63&gt;='Исходные данные'!$B$30),(C63-'Исходные данные'!$B$30+1)/DAY(C63),1))</f>
        <v>0</v>
      </c>
      <c r="J63">
        <f>IF(AND(F63&gt;0,F63&lt;=N('Исходные данные'!$B$37)),-I63,0)</f>
        <v>0</v>
      </c>
      <c r="K63">
        <f>IF(OR(F63=0,F63&lt;=N('Исходные данные'!$B$37)),0,-(I63+J63)*N('Исходные данные'!$B$38))</f>
        <v>0</v>
      </c>
      <c r="L63">
        <f t="shared" si="23"/>
        <v>0</v>
      </c>
      <c r="M63">
        <f>IF('Исходные данные'!$B$51="Да",L63*N('Исходные данные'!$B$52),0)</f>
        <v>0</v>
      </c>
      <c r="N63">
        <f t="shared" si="24"/>
        <v>0</v>
      </c>
      <c r="O63">
        <f>IF(OR(B63="",IF('Исходные данные'!$B$45="",'Исходные данные'!$B$10,'Исходные данные'!$B$45)="",C63&lt;IF('Исходные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данные'!$B$45)),1),B63,"m")/12))*IF(AND(B63&lt;=IF('Исходные данные'!$B$45="",'Исходные данные'!$B$10,'Исходные данные'!$B$45),C63&gt;=IF('Исходные данные'!$B$45="",'Исходные данные'!$B$10,'Исходные данные'!$B$45)),(C63-IF('Исходные данные'!$B$45="",'Исходные данные'!$B$10,'Исходные данные'!$B$45)+1)/DAY(C63),1)*IF('Исходные данные'!$B$43="Без НДС",1+N('Исходные данные'!$B$44),1))</f>
        <v>0</v>
      </c>
      <c r="P63">
        <f>IF('Исходные данные'!$B$51="Да",-O63*N('Исходные данные'!$B$44)/(1+N('Исходные данные'!$B$44)),0)</f>
        <v>0</v>
      </c>
      <c r="Q63">
        <f>IF('Исходные данные'!$B$35="Да",-O63,0)</f>
        <v>0</v>
      </c>
      <c r="R63">
        <f>IF(AND('Исходные данные'!$B$51="Да",Q63&gt;0),Q63*N('Исходные данные'!$B$52)/(1+N('Исходные данные'!$B$52)),0)</f>
        <v>0</v>
      </c>
      <c r="S63">
        <f>IF(OR(B63="",IF('Исходные данные'!$B$45="",'Исходные данные'!$B$10,'Исходные данные'!$B$45)="",C63&lt;IF('Исходные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данные'!$B$45)),1),B63,"m")/12))*IF(AND(B63&lt;=IF('Исходные данные'!$B$45="",'Исходные данные'!$B$10,'Исходные данные'!$B$45),C63&gt;=IF('Исходные данные'!$B$45="",'Исходные данные'!$B$10,'Исходные данные'!$B$45)),(C63-IF('Исходные данные'!$B$45="",'Исходные данные'!$B$10,'Исходные данные'!$B$45)+1)/DAY(C63),1)*IF('Исходные данные'!$B$43="Без НДС",1+N('Исходные данные'!$B$44),1))</f>
        <v>0</v>
      </c>
      <c r="T63">
        <f>IF('Исходные данные'!$B$51="Да",-S63*N('Исходные данные'!$B$44)/(1+N('Исходные данные'!$B$44)),0)</f>
        <v>0</v>
      </c>
      <c r="U63">
        <f>IF('Исходные данные'!$B$36="Да",-S63,0)</f>
        <v>0</v>
      </c>
      <c r="V63">
        <f>IF(AND('Исходные данные'!$B$51="Да",U63&gt;0),U63*N('Исходные данные'!$B$52)/(1+N('Исходные данные'!$B$52)),0)</f>
        <v>0</v>
      </c>
      <c r="W63">
        <f>IF(OR(B63="",IF('Исходные данные'!$B$69="",'Исходные данные'!$B$10,'Исходные данные'!$B$69)="",C63&lt;IF('Исходные данные'!$B$69="",'Исходные данные'!$B$10,'Исходные данные'!$B$69)),0,-N('Исходные данные'!$B$16)*N('Исходные данные'!$B$68)*N('Исходные данные'!$B$67)/12*IF(AND(B63&lt;=IF('Исходные данные'!$B$69="",'Исходные данные'!$B$10,'Исходные данные'!$B$69),C63&gt;=IF('Исходные данные'!$B$69="",'Исходные данные'!$B$10,'Исходные данные'!$B$69)),(C63-IF('Исходные данные'!$B$69="",'Исходные данные'!$B$10,'Исходные данные'!$B$69)+1)/DAY(C63),1))</f>
        <v>0</v>
      </c>
      <c r="X63">
        <f>IF(OR(B63="",IF('Исходные данные'!$B$76="",'Исходные данные'!$B$10,'Исходные данные'!$B$76)="",C63&lt;IF('Исходные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данные'!$B$76)),1),B63,"m")/12))*IF(AND(B63&lt;=IF('Исходные данные'!$B$76="",'Исходные данные'!$B$10,'Исходные данные'!$B$76),C63&gt;=IF('Исходные данные'!$B$76="",'Исходные данные'!$B$10,'Исходные данные'!$B$76)),(C63-IF('Исходные данные'!$B$76="",'Исходные данные'!$B$10,'Исходные данные'!$B$76)+1)/DAY(C63),1))</f>
        <v>0</v>
      </c>
      <c r="Y63">
        <f t="shared" si="25"/>
        <v>0</v>
      </c>
      <c r="Z63">
        <f>IF(OR(B63="",N('Исходные данные'!$B$19)=0),0,-SUMIFS('Исходные данные'!$I$6:$I$186,'Исходные данные'!$F$6:$F$186,B63)*N('Исходные данные'!$B$17)/N('Исходные данные'!$B$19))</f>
        <v>0</v>
      </c>
      <c r="AA63">
        <f>IF(OR(B63="",N('Исходные данные'!$B$19)=0),0,-SUMIFS('Исходные данные'!$I$6:$I$186,'Исходные данные'!$F$6:$F$186,B63)*N('Исходные данные'!$B$18)/N('Исходные данные'!$B$19))</f>
        <v>0</v>
      </c>
      <c r="AB63">
        <f>IF(OR(B63="",'Исходные данные'!$B$13=""),0,IF(AND(YEAR(B63)=YEAR('Исходные данные'!$B$13),MONTH(B63)=MONTH('Исходные данные'!$B$13)),-N('Исходные данные'!$B$11),0))</f>
        <v>0</v>
      </c>
      <c r="AC63">
        <f>IF(A63=1,-N('Исходные данные'!$B$19)*N('Исходные данные'!$B$72),0)</f>
        <v>0</v>
      </c>
      <c r="AD63">
        <f>IF(OR(B63="",'Исходные данные'!$B$22&lt;&gt;"Да",'Исходные данные'!$B$26=""),0,IF(AND(YEAR(B63)=YEAR('Исходные данные'!$B$26),MONTH(B63)=MONTH('Исходные данные'!$B$26)),N('Исходные данные'!$B$23),0))</f>
        <v>0</v>
      </c>
      <c r="AE63">
        <f t="shared" si="38"/>
        <v>0</v>
      </c>
      <c r="AF63">
        <f>IF(OR('Исходные данные'!$B$22&lt;&gt;"Да",'Исходные данные'!$B$26="",C63&lt;'Исходные данные'!$B$26),0,DATEDIF(DATE(YEAR('Исходные данные'!$B$26),MONTH('Исходные данные'!$B$26),1),B63,"m")+1)</f>
        <v>0</v>
      </c>
      <c r="AG63">
        <f>IF(OR(AF63&lt;1,AF63&gt;N('Исходные данные'!$B$25),AE63+AD63&lt;=0),0,-(AE63+AD63)*N('Исходные данные'!$B$24)*IF(AF63=1,C63-'Исходные данные'!$B$26+1,DAY(C63))/365)</f>
        <v>0</v>
      </c>
      <c r="AH63">
        <f>IF(OR(AF63&lt;1,AF63&gt;N('Исходные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данные'!$B$25)-AG63))</f>
        <v>0</v>
      </c>
      <c r="AI63">
        <f>IF(OR('Исходные данные'!$B$22&lt;&gt;"Да",AE63+AD63&lt;=0),0,IF(AND('Исходные данные'!$B$91&lt;&gt;"",B63&lt;&gt;"",YEAR(B63)=YEAR('Исходные данные'!$B$91),MONTH(B63)=MONTH('Исходные данные'!$B$91)),-(AE63+AD63),IF(OR(AF63&lt;1,AF63&gt;N('Исходные данные'!$B$25)),0,IF('Исходные данные'!$B$27="Равными долями",-MIN(AE63+AD63,N('Исходные данные'!$B$23)/N('Исходные данные'!$B$25)),-MIN(AE63+AD63,IF(AF63=N('Исходные данные'!$B$25),AE63+AD63,MAX(0,AH63+AG63)))))))</f>
        <v>0</v>
      </c>
      <c r="AJ63">
        <f t="shared" si="26"/>
        <v>0</v>
      </c>
      <c r="AK63">
        <f t="shared" si="27"/>
        <v>0</v>
      </c>
      <c r="AL63">
        <f>IF(OR(B63="",'Исходные данные'!$B$51&lt;&gt;"Да",'Исходные данные'!$B$61=""),0,IF(AND(YEAR(B63)=YEAR('Исходные данные'!$B$61),MONTH(B63)=MONTH('Исходные данные'!$B$61)),N('Исходные данные'!$B$18)*N('Исходные данные'!$B$62),0))</f>
        <v>0</v>
      </c>
      <c r="AM63">
        <f t="shared" si="39"/>
        <v>0</v>
      </c>
      <c r="AN63">
        <f t="shared" si="28"/>
        <v>0</v>
      </c>
      <c r="AO63">
        <f t="shared" si="29"/>
        <v>0</v>
      </c>
      <c r="AP63">
        <f>IF('Исходные данные'!$B$51="Да",-MAX(0,AN63-AO63-AM63),0)</f>
        <v>0</v>
      </c>
      <c r="AQ63">
        <f>IF('Исходные данные'!$B$51="Да",MAX(0,AM63+AO63-AN63),0)</f>
        <v>0</v>
      </c>
      <c r="AR63">
        <f>IF('Исходные данные'!$B$53="Выручка",MAX(0,L63+(Q63-R63)+(U63-V63)),IF('Исходные данные'!$B$53="Прибыль до налога",MAX(0,L63+(Q63-R63)+(U63-V63)+N('Исходные данные'!$B$54)*((O63+P63)+(S63+T63)+W63+X63)+IF('Исходные данные'!$B$55="Да",AG63,0)-N('Исходные данные'!$B$56)/12),IF('Исходные данные'!$B$53="Пользовательская база",MAX(0,N('Исходные данные'!$B$57)/12),0)))</f>
        <v>0</v>
      </c>
      <c r="AS63">
        <f>IF(E63=1,-AR63*N('Исходные данные'!$B$50),0)</f>
        <v>0</v>
      </c>
      <c r="AT63">
        <f t="shared" si="30"/>
        <v>0</v>
      </c>
      <c r="AU63">
        <f>IF(OR(B63="",N('Исходные данные'!$B$80)&lt;=0,'Исходные данные'!$B$88=""),0,MAX(0,IF('Исходные данные'!$B$88="Последние 12 месяцев",SUMIFS($Y$2:$Y$194,$B$2:$B$194,"&gt;="&amp;EDATE(B63,-11),$B$2:$B$194,"&lt;="&amp;B63),IF('Исходные данные'!$B$88="Пользовательский NOI",N('Исходные данные'!$B$89),AT63))/N('Исходные данные'!$B$80)*(1+N('Исходные данные'!$B$81))))</f>
        <v>0</v>
      </c>
      <c r="AV63">
        <f>IF(OR(E63&lt;&gt;1,B63="",'Исходные данные'!$B$91=""),0,IF(AND(YEAR(B63)=YEAR('Исходные данные'!$B$91),MONTH(B63)=MONTH('Исходные данные'!$B$91)),AU63,0))</f>
        <v>0</v>
      </c>
      <c r="AW63">
        <f>-AV63*N('Исходные данные'!$B$73)</f>
        <v>0</v>
      </c>
      <c r="AX63">
        <f>IF(AV63=0,0,-N('Исходные данные'!$B$87)-IF('Исходные данные'!$B$82="Да",IF('Исходные данные'!$B$84="С выручки",AV63,IF('Исходные данные'!$B$84="С прибыли",MAX(0,AV63+AW63-IF('Исходные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63">
        <f t="shared" si="31"/>
        <v>0</v>
      </c>
      <c r="AZ63">
        <f t="shared" si="32"/>
        <v>0</v>
      </c>
      <c r="BA63">
        <f t="shared" si="33"/>
        <v>0</v>
      </c>
      <c r="BB63" t="str">
        <f t="shared" si="40"/>
        <v/>
      </c>
      <c r="BC63">
        <f>IF(OR(E63=0,'Исходные данные'!$B$9="",'Исходные данные'!$B$90=""),0,BA63/(1+'Исходные данные'!$B$90)^((D63-'Исходные данные'!$B$9)/365))</f>
        <v>0</v>
      </c>
      <c r="BD63">
        <f>IF(AND(E63=1,BB63&gt;=0,BB62&lt;0,MIN($BB$2:BB63)&lt;0),1,0)</f>
        <v>0</v>
      </c>
      <c r="BE63">
        <f t="shared" si="34"/>
        <v>0</v>
      </c>
      <c r="BF63">
        <f t="shared" si="35"/>
        <v>0</v>
      </c>
      <c r="BG63">
        <f t="shared" si="36"/>
        <v>0</v>
      </c>
      <c r="BH63">
        <f t="shared" si="37"/>
        <v>1</v>
      </c>
      <c r="BI63">
        <f>AZ63+N63+AP63-AR63*N('Исходные данные'!$B$50)</f>
        <v>0</v>
      </c>
      <c r="BJ63">
        <f t="shared" si="20"/>
        <v>0</v>
      </c>
      <c r="BK63">
        <f>IF(AND(BJ63&gt;=0,BJ62&lt;0,MIN($BJ$2:BJ63)&lt;0),1,0)</f>
        <v>0</v>
      </c>
    </row>
    <row r="64" spans="1:63" x14ac:dyDescent="0.2">
      <c r="A64">
        <v>63</v>
      </c>
      <c r="B64" t="str">
        <f>IF('Исходные данные'!$B$9="","",EDATE(DATE(YEAR('Исходные данные'!$B$9),MONTH('Исходные данные'!$B$9),1),A64-1))</f>
        <v/>
      </c>
      <c r="C64" t="str">
        <f t="shared" si="21"/>
        <v/>
      </c>
      <c r="D64" t="str">
        <f>IF(B64="","",IF('Исходные данные'!$B$91&lt;&gt;"",IF(AND(YEAR(B64)=YEAR('Исходные данные'!$B$91),MONTH(B64)=MONTH('Исходные данные'!$B$91)),'Исходные данные'!$B$91,IF('Исходные данные'!$B$13&lt;&gt;"",IF(AND(YEAR(B64)=YEAR('Исходные данные'!$B$13),MONTH(B64)=MONTH('Исходные данные'!$B$13)),'Исходные данные'!$B$13,IF('Исходные данные'!$B$26&lt;&gt;"",IF(AND(YEAR(B64)=YEAR('Исходные данные'!$B$26),MONTH(B64)=MONTH('Исходные данные'!$B$26)),'Исходные данные'!$B$26,IF(A64=1,'Исходные данные'!$B$9,C64)),IF(A64=1,'Исходные данные'!$B$9,C64))),IF('Исходные данные'!$B$26&lt;&gt;"",IF(AND(YEAR(B64)=YEAR('Исходные данные'!$B$26),MONTH(B64)=MONTH('Исходные данные'!$B$26)),'Исходные данные'!$B$26,IF(A64=1,'Исходные данные'!$B$9,C64)),IF(A64=1,'Исходные данные'!$B$9,C64)))),IF('Исходные данные'!$B$13&lt;&gt;"",IF(AND(YEAR(B64)=YEAR('Исходные данные'!$B$13),MONTH(B64)=MONTH('Исходные данные'!$B$13)),'Исходные данные'!$B$13,IF('Исходные данные'!$B$26&lt;&gt;"",IF(AND(YEAR(B64)=YEAR('Исходные данные'!$B$26),MONTH(B64)=MONTH('Исходные данные'!$B$26)),'Исходные данные'!$B$26,IF(A64=1,'Исходные данные'!$B$9,C64)),IF(A64=1,'Исходные данные'!$B$9,C64))),IF('Исходные данные'!$B$26&lt;&gt;"",IF(AND(YEAR(B64)=YEAR('Исходные данные'!$B$26),MONTH(B64)=MONTH('Исходные данные'!$B$26)),'Исходные данные'!$B$26,IF(A64=1,'Исходные данные'!$B$9,C64)),IF(A64=1,'Исходные данные'!$B$9,C64)))))</f>
        <v/>
      </c>
      <c r="E64">
        <f>IF(OR(B64="",'Исходные данные'!$B$91=""),0,--(B64&lt;=DATE(YEAR('Исходные данные'!$B$91),MONTH('Исходные данные'!$B$91),1)))</f>
        <v>0</v>
      </c>
      <c r="F64">
        <f>IF(OR(B64="",'Исходные данные'!$B$30="",C64&lt;'Исходные данные'!$B$30),0,DATEDIF(DATE(YEAR('Исходные данные'!$B$30),MONTH('Исходные данные'!$B$30),1),B64,"m")+1)</f>
        <v>0</v>
      </c>
      <c r="G64">
        <f t="shared" si="22"/>
        <v>0</v>
      </c>
      <c r="H64">
        <f>IF(F64=0,0,IF(G64=1,N('Исходные данные'!$B$31),IF(G64=2,N('Исходные данные'!$B$32),IF(G64=3,N('Исходные данные'!$B$33),N('Исходные данные'!$B$33)*(1+N('Исходные данные'!$B$34))^(G64-3)))))</f>
        <v>0</v>
      </c>
      <c r="I64">
        <f>IF(OR(F64=0,N('Исходные данные'!$B$5)=0,H64=0),0,'Исходные данные'!$B$5*H64*IF(AND(B64&lt;='Исходные данные'!$B$30,C64&gt;='Исходные данные'!$B$30),(C64-'Исходные данные'!$B$30+1)/DAY(C64),1))</f>
        <v>0</v>
      </c>
      <c r="J64">
        <f>IF(AND(F64&gt;0,F64&lt;=N('Исходные данные'!$B$37)),-I64,0)</f>
        <v>0</v>
      </c>
      <c r="K64">
        <f>IF(OR(F64=0,F64&lt;=N('Исходные данные'!$B$37)),0,-(I64+J64)*N('Исходные данные'!$B$38))</f>
        <v>0</v>
      </c>
      <c r="L64">
        <f t="shared" si="23"/>
        <v>0</v>
      </c>
      <c r="M64">
        <f>IF('Исходные данные'!$B$51="Да",L64*N('Исходные данные'!$B$52),0)</f>
        <v>0</v>
      </c>
      <c r="N64">
        <f t="shared" si="24"/>
        <v>0</v>
      </c>
      <c r="O64">
        <f>IF(OR(B64="",IF('Исходные данные'!$B$45="",'Исходные данные'!$B$10,'Исходные данные'!$B$45)="",C64&lt;IF('Исходные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данные'!$B$45)),1),B64,"m")/12))*IF(AND(B64&lt;=IF('Исходные данные'!$B$45="",'Исходные данные'!$B$10,'Исходные данные'!$B$45),C64&gt;=IF('Исходные данные'!$B$45="",'Исходные данные'!$B$10,'Исходные данные'!$B$45)),(C64-IF('Исходные данные'!$B$45="",'Исходные данные'!$B$10,'Исходные данные'!$B$45)+1)/DAY(C64),1)*IF('Исходные данные'!$B$43="Без НДС",1+N('Исходные данные'!$B$44),1))</f>
        <v>0</v>
      </c>
      <c r="P64">
        <f>IF('Исходные данные'!$B$51="Да",-O64*N('Исходные данные'!$B$44)/(1+N('Исходные данные'!$B$44)),0)</f>
        <v>0</v>
      </c>
      <c r="Q64">
        <f>IF('Исходные данные'!$B$35="Да",-O64,0)</f>
        <v>0</v>
      </c>
      <c r="R64">
        <f>IF(AND('Исходные данные'!$B$51="Да",Q64&gt;0),Q64*N('Исходные данные'!$B$52)/(1+N('Исходные данные'!$B$52)),0)</f>
        <v>0</v>
      </c>
      <c r="S64">
        <f>IF(OR(B64="",IF('Исходные данные'!$B$45="",'Исходные данные'!$B$10,'Исходные данные'!$B$45)="",C64&lt;IF('Исходные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данные'!$B$45)),1),B64,"m")/12))*IF(AND(B64&lt;=IF('Исходные данные'!$B$45="",'Исходные данные'!$B$10,'Исходные данные'!$B$45),C64&gt;=IF('Исходные данные'!$B$45="",'Исходные данные'!$B$10,'Исходные данные'!$B$45)),(C64-IF('Исходные данные'!$B$45="",'Исходные данные'!$B$10,'Исходные данные'!$B$45)+1)/DAY(C64),1)*IF('Исходные данные'!$B$43="Без НДС",1+N('Исходные данные'!$B$44),1))</f>
        <v>0</v>
      </c>
      <c r="T64">
        <f>IF('Исходные данные'!$B$51="Да",-S64*N('Исходные данные'!$B$44)/(1+N('Исходные данные'!$B$44)),0)</f>
        <v>0</v>
      </c>
      <c r="U64">
        <f>IF('Исходные данные'!$B$36="Да",-S64,0)</f>
        <v>0</v>
      </c>
      <c r="V64">
        <f>IF(AND('Исходные данные'!$B$51="Да",U64&gt;0),U64*N('Исходные данные'!$B$52)/(1+N('Исходные данные'!$B$52)),0)</f>
        <v>0</v>
      </c>
      <c r="W64">
        <f>IF(OR(B64="",IF('Исходные данные'!$B$69="",'Исходные данные'!$B$10,'Исходные данные'!$B$69)="",C64&lt;IF('Исходные данные'!$B$69="",'Исходные данные'!$B$10,'Исходные данные'!$B$69)),0,-N('Исходные данные'!$B$16)*N('Исходные данные'!$B$68)*N('Исходные данные'!$B$67)/12*IF(AND(B64&lt;=IF('Исходные данные'!$B$69="",'Исходные данные'!$B$10,'Исходные данные'!$B$69),C64&gt;=IF('Исходные данные'!$B$69="",'Исходные данные'!$B$10,'Исходные данные'!$B$69)),(C64-IF('Исходные данные'!$B$69="",'Исходные данные'!$B$10,'Исходные данные'!$B$69)+1)/DAY(C64),1))</f>
        <v>0</v>
      </c>
      <c r="X64">
        <f>IF(OR(B64="",IF('Исходные данные'!$B$76="",'Исходные данные'!$B$10,'Исходные данные'!$B$76)="",C64&lt;IF('Исходные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данные'!$B$76)),1),B64,"m")/12))*IF(AND(B64&lt;=IF('Исходные данные'!$B$76="",'Исходные данные'!$B$10,'Исходные данные'!$B$76),C64&gt;=IF('Исходные данные'!$B$76="",'Исходные данные'!$B$10,'Исходные данные'!$B$76)),(C64-IF('Исходные данные'!$B$76="",'Исходные данные'!$B$10,'Исходные данные'!$B$76)+1)/DAY(C64),1))</f>
        <v>0</v>
      </c>
      <c r="Y64">
        <f t="shared" si="25"/>
        <v>0</v>
      </c>
      <c r="Z64">
        <f>IF(OR(B64="",N('Исходные данные'!$B$19)=0),0,-SUMIFS('Исходные данные'!$I$6:$I$186,'Исходные данные'!$F$6:$F$186,B64)*N('Исходные данные'!$B$17)/N('Исходные данные'!$B$19))</f>
        <v>0</v>
      </c>
      <c r="AA64">
        <f>IF(OR(B64="",N('Исходные данные'!$B$19)=0),0,-SUMIFS('Исходные данные'!$I$6:$I$186,'Исходные данные'!$F$6:$F$186,B64)*N('Исходные данные'!$B$18)/N('Исходные данные'!$B$19))</f>
        <v>0</v>
      </c>
      <c r="AB64">
        <f>IF(OR(B64="",'Исходные данные'!$B$13=""),0,IF(AND(YEAR(B64)=YEAR('Исходные данные'!$B$13),MONTH(B64)=MONTH('Исходные данные'!$B$13)),-N('Исходные данные'!$B$11),0))</f>
        <v>0</v>
      </c>
      <c r="AC64">
        <f>IF(A64=1,-N('Исходные данные'!$B$19)*N('Исходные данные'!$B$72),0)</f>
        <v>0</v>
      </c>
      <c r="AD64">
        <f>IF(OR(B64="",'Исходные данные'!$B$22&lt;&gt;"Да",'Исходные данные'!$B$26=""),0,IF(AND(YEAR(B64)=YEAR('Исходные данные'!$B$26),MONTH(B64)=MONTH('Исходные данные'!$B$26)),N('Исходные данные'!$B$23),0))</f>
        <v>0</v>
      </c>
      <c r="AE64">
        <f t="shared" si="38"/>
        <v>0</v>
      </c>
      <c r="AF64">
        <f>IF(OR('Исходные данные'!$B$22&lt;&gt;"Да",'Исходные данные'!$B$26="",C64&lt;'Исходные данные'!$B$26),0,DATEDIF(DATE(YEAR('Исходные данные'!$B$26),MONTH('Исходные данные'!$B$26),1),B64,"m")+1)</f>
        <v>0</v>
      </c>
      <c r="AG64">
        <f>IF(OR(AF64&lt;1,AF64&gt;N('Исходные данные'!$B$25),AE64+AD64&lt;=0),0,-(AE64+AD64)*N('Исходные данные'!$B$24)*IF(AF64=1,C64-'Исходные данные'!$B$26+1,DAY(C64))/365)</f>
        <v>0</v>
      </c>
      <c r="AH64">
        <f>IF(OR(AF64&lt;1,AF64&gt;N('Исходные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данные'!$B$25)-AG64))</f>
        <v>0</v>
      </c>
      <c r="AI64">
        <f>IF(OR('Исходные данные'!$B$22&lt;&gt;"Да",AE64+AD64&lt;=0),0,IF(AND('Исходные данные'!$B$91&lt;&gt;"",B64&lt;&gt;"",YEAR(B64)=YEAR('Исходные данные'!$B$91),MONTH(B64)=MONTH('Исходные данные'!$B$91)),-(AE64+AD64),IF(OR(AF64&lt;1,AF64&gt;N('Исходные данные'!$B$25)),0,IF('Исходные данные'!$B$27="Равными долями",-MIN(AE64+AD64,N('Исходные данные'!$B$23)/N('Исходные данные'!$B$25)),-MIN(AE64+AD64,IF(AF64=N('Исходные данные'!$B$25),AE64+AD64,MAX(0,AH64+AG64)))))))</f>
        <v>0</v>
      </c>
      <c r="AJ64">
        <f t="shared" si="26"/>
        <v>0</v>
      </c>
      <c r="AK64">
        <f t="shared" si="27"/>
        <v>0</v>
      </c>
      <c r="AL64">
        <f>IF(OR(B64="",'Исходные данные'!$B$51&lt;&gt;"Да",'Исходные данные'!$B$61=""),0,IF(AND(YEAR(B64)=YEAR('Исходные данные'!$B$61),MONTH(B64)=MONTH('Исходные данные'!$B$61)),N('Исходные данные'!$B$18)*N('Исходные данные'!$B$62),0))</f>
        <v>0</v>
      </c>
      <c r="AM64">
        <f t="shared" si="39"/>
        <v>0</v>
      </c>
      <c r="AN64">
        <f t="shared" si="28"/>
        <v>0</v>
      </c>
      <c r="AO64">
        <f t="shared" si="29"/>
        <v>0</v>
      </c>
      <c r="AP64">
        <f>IF('Исходные данные'!$B$51="Да",-MAX(0,AN64-AO64-AM64),0)</f>
        <v>0</v>
      </c>
      <c r="AQ64">
        <f>IF('Исходные данные'!$B$51="Да",MAX(0,AM64+AO64-AN64),0)</f>
        <v>0</v>
      </c>
      <c r="AR64">
        <f>IF('Исходные данные'!$B$53="Выручка",MAX(0,L64+(Q64-R64)+(U64-V64)),IF('Исходные данные'!$B$53="Прибыль до налога",MAX(0,L64+(Q64-R64)+(U64-V64)+N('Исходные данные'!$B$54)*((O64+P64)+(S64+T64)+W64+X64)+IF('Исходные данные'!$B$55="Да",AG64,0)-N('Исходные данные'!$B$56)/12),IF('Исходные данные'!$B$53="Пользовательская база",MAX(0,N('Исходные данные'!$B$57)/12),0)))</f>
        <v>0</v>
      </c>
      <c r="AS64">
        <f>IF(E64=1,-AR64*N('Исходные данные'!$B$50),0)</f>
        <v>0</v>
      </c>
      <c r="AT64">
        <f t="shared" si="30"/>
        <v>0</v>
      </c>
      <c r="AU64">
        <f>IF(OR(B64="",N('Исходные данные'!$B$80)&lt;=0,'Исходные данные'!$B$88=""),0,MAX(0,IF('Исходные данные'!$B$88="Последние 12 месяцев",SUMIFS($Y$2:$Y$194,$B$2:$B$194,"&gt;="&amp;EDATE(B64,-11),$B$2:$B$194,"&lt;="&amp;B64),IF('Исходные данные'!$B$88="Пользовательский NOI",N('Исходные данные'!$B$89),AT64))/N('Исходные данные'!$B$80)*(1+N('Исходные данные'!$B$81))))</f>
        <v>0</v>
      </c>
      <c r="AV64">
        <f>IF(OR(E64&lt;&gt;1,B64="",'Исходные данные'!$B$91=""),0,IF(AND(YEAR(B64)=YEAR('Исходные данные'!$B$91),MONTH(B64)=MONTH('Исходные данные'!$B$91)),AU64,0))</f>
        <v>0</v>
      </c>
      <c r="AW64">
        <f>-AV64*N('Исходные данные'!$B$73)</f>
        <v>0</v>
      </c>
      <c r="AX64">
        <f>IF(AV64=0,0,-N('Исходные данные'!$B$87)-IF('Исходные данные'!$B$82="Да",IF('Исходные данные'!$B$84="С выручки",AV64,IF('Исходные данные'!$B$84="С прибыли",MAX(0,AV64+AW64-IF('Исходные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64">
        <f t="shared" si="31"/>
        <v>0</v>
      </c>
      <c r="AZ64">
        <f t="shared" si="32"/>
        <v>0</v>
      </c>
      <c r="BA64">
        <f t="shared" si="33"/>
        <v>0</v>
      </c>
      <c r="BB64" t="str">
        <f t="shared" si="40"/>
        <v/>
      </c>
      <c r="BC64">
        <f>IF(OR(E64=0,'Исходные данные'!$B$9="",'Исходные данные'!$B$90=""),0,BA64/(1+'Исходные данные'!$B$90)^((D64-'Исходные данные'!$B$9)/365))</f>
        <v>0</v>
      </c>
      <c r="BD64">
        <f>IF(AND(E64=1,BB64&gt;=0,BB63&lt;0,MIN($BB$2:BB64)&lt;0),1,0)</f>
        <v>0</v>
      </c>
      <c r="BE64">
        <f t="shared" si="34"/>
        <v>0</v>
      </c>
      <c r="BF64">
        <f t="shared" si="35"/>
        <v>0</v>
      </c>
      <c r="BG64">
        <f t="shared" si="36"/>
        <v>0</v>
      </c>
      <c r="BH64">
        <f t="shared" si="37"/>
        <v>1</v>
      </c>
      <c r="BI64">
        <f>AZ64+N64+AP64-AR64*N('Исходные данные'!$B$50)</f>
        <v>0</v>
      </c>
      <c r="BJ64">
        <f t="shared" si="20"/>
        <v>0</v>
      </c>
      <c r="BK64">
        <f>IF(AND(BJ64&gt;=0,BJ63&lt;0,MIN($BJ$2:BJ64)&lt;0),1,0)</f>
        <v>0</v>
      </c>
    </row>
    <row r="65" spans="1:63" x14ac:dyDescent="0.2">
      <c r="A65">
        <v>64</v>
      </c>
      <c r="B65" t="str">
        <f>IF('Исходные данные'!$B$9="","",EDATE(DATE(YEAR('Исходные данные'!$B$9),MONTH('Исходные данные'!$B$9),1),A65-1))</f>
        <v/>
      </c>
      <c r="C65" t="str">
        <f t="shared" si="21"/>
        <v/>
      </c>
      <c r="D65" t="str">
        <f>IF(B65="","",IF('Исходные данные'!$B$91&lt;&gt;"",IF(AND(YEAR(B65)=YEAR('Исходные данные'!$B$91),MONTH(B65)=MONTH('Исходные данные'!$B$91)),'Исходные данные'!$B$91,IF('Исходные данные'!$B$13&lt;&gt;"",IF(AND(YEAR(B65)=YEAR('Исходные данные'!$B$13),MONTH(B65)=MONTH('Исходные данные'!$B$13)),'Исходные данные'!$B$13,IF('Исходные данные'!$B$26&lt;&gt;"",IF(AND(YEAR(B65)=YEAR('Исходные данные'!$B$26),MONTH(B65)=MONTH('Исходные данные'!$B$26)),'Исходные данные'!$B$26,IF(A65=1,'Исходные данные'!$B$9,C65)),IF(A65=1,'Исходные данные'!$B$9,C65))),IF('Исходные данные'!$B$26&lt;&gt;"",IF(AND(YEAR(B65)=YEAR('Исходные данные'!$B$26),MONTH(B65)=MONTH('Исходные данные'!$B$26)),'Исходные данные'!$B$26,IF(A65=1,'Исходные данные'!$B$9,C65)),IF(A65=1,'Исходные данные'!$B$9,C65)))),IF('Исходные данные'!$B$13&lt;&gt;"",IF(AND(YEAR(B65)=YEAR('Исходные данные'!$B$13),MONTH(B65)=MONTH('Исходные данные'!$B$13)),'Исходные данные'!$B$13,IF('Исходные данные'!$B$26&lt;&gt;"",IF(AND(YEAR(B65)=YEAR('Исходные данные'!$B$26),MONTH(B65)=MONTH('Исходные данные'!$B$26)),'Исходные данные'!$B$26,IF(A65=1,'Исходные данные'!$B$9,C65)),IF(A65=1,'Исходные данные'!$B$9,C65))),IF('Исходные данные'!$B$26&lt;&gt;"",IF(AND(YEAR(B65)=YEAR('Исходные данные'!$B$26),MONTH(B65)=MONTH('Исходные данные'!$B$26)),'Исходные данные'!$B$26,IF(A65=1,'Исходные данные'!$B$9,C65)),IF(A65=1,'Исходные данные'!$B$9,C65)))))</f>
        <v/>
      </c>
      <c r="E65">
        <f>IF(OR(B65="",'Исходные данные'!$B$91=""),0,--(B65&lt;=DATE(YEAR('Исходные данные'!$B$91),MONTH('Исходные данные'!$B$91),1)))</f>
        <v>0</v>
      </c>
      <c r="F65">
        <f>IF(OR(B65="",'Исходные данные'!$B$30="",C65&lt;'Исходные данные'!$B$30),0,DATEDIF(DATE(YEAR('Исходные данные'!$B$30),MONTH('Исходные данные'!$B$30),1),B65,"m")+1)</f>
        <v>0</v>
      </c>
      <c r="G65">
        <f t="shared" si="22"/>
        <v>0</v>
      </c>
      <c r="H65">
        <f>IF(F65=0,0,IF(G65=1,N('Исходные данные'!$B$31),IF(G65=2,N('Исходные данные'!$B$32),IF(G65=3,N('Исходные данные'!$B$33),N('Исходные данные'!$B$33)*(1+N('Исходные данные'!$B$34))^(G65-3)))))</f>
        <v>0</v>
      </c>
      <c r="I65">
        <f>IF(OR(F65=0,N('Исходные данные'!$B$5)=0,H65=0),0,'Исходные данные'!$B$5*H65*IF(AND(B65&lt;='Исходные данные'!$B$30,C65&gt;='Исходные данные'!$B$30),(C65-'Исходные данные'!$B$30+1)/DAY(C65),1))</f>
        <v>0</v>
      </c>
      <c r="J65">
        <f>IF(AND(F65&gt;0,F65&lt;=N('Исходные данные'!$B$37)),-I65,0)</f>
        <v>0</v>
      </c>
      <c r="K65">
        <f>IF(OR(F65=0,F65&lt;=N('Исходные данные'!$B$37)),0,-(I65+J65)*N('Исходные данные'!$B$38))</f>
        <v>0</v>
      </c>
      <c r="L65">
        <f t="shared" si="23"/>
        <v>0</v>
      </c>
      <c r="M65">
        <f>IF('Исходные данные'!$B$51="Да",L65*N('Исходные данные'!$B$52),0)</f>
        <v>0</v>
      </c>
      <c r="N65">
        <f t="shared" si="24"/>
        <v>0</v>
      </c>
      <c r="O65">
        <f>IF(OR(B65="",IF('Исходные данные'!$B$45="",'Исходные данные'!$B$10,'Исходные данные'!$B$45)="",C65&lt;IF('Исходные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данные'!$B$45)),1),B65,"m")/12))*IF(AND(B65&lt;=IF('Исходные данные'!$B$45="",'Исходные данные'!$B$10,'Исходные данные'!$B$45),C65&gt;=IF('Исходные данные'!$B$45="",'Исходные данные'!$B$10,'Исходные данные'!$B$45)),(C65-IF('Исходные данные'!$B$45="",'Исходные данные'!$B$10,'Исходные данные'!$B$45)+1)/DAY(C65),1)*IF('Исходные данные'!$B$43="Без НДС",1+N('Исходные данные'!$B$44),1))</f>
        <v>0</v>
      </c>
      <c r="P65">
        <f>IF('Исходные данные'!$B$51="Да",-O65*N('Исходные данные'!$B$44)/(1+N('Исходные данные'!$B$44)),0)</f>
        <v>0</v>
      </c>
      <c r="Q65">
        <f>IF('Исходные данные'!$B$35="Да",-O65,0)</f>
        <v>0</v>
      </c>
      <c r="R65">
        <f>IF(AND('Исходные данные'!$B$51="Да",Q65&gt;0),Q65*N('Исходные данные'!$B$52)/(1+N('Исходные данные'!$B$52)),0)</f>
        <v>0</v>
      </c>
      <c r="S65">
        <f>IF(OR(B65="",IF('Исходные данные'!$B$45="",'Исходные данные'!$B$10,'Исходные данные'!$B$45)="",C65&lt;IF('Исходные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данные'!$B$45)),1),B65,"m")/12))*IF(AND(B65&lt;=IF('Исходные данные'!$B$45="",'Исходные данные'!$B$10,'Исходные данные'!$B$45),C65&gt;=IF('Исходные данные'!$B$45="",'Исходные данные'!$B$10,'Исходные данные'!$B$45)),(C65-IF('Исходные данные'!$B$45="",'Исходные данные'!$B$10,'Исходные данные'!$B$45)+1)/DAY(C65),1)*IF('Исходные данные'!$B$43="Без НДС",1+N('Исходные данные'!$B$44),1))</f>
        <v>0</v>
      </c>
      <c r="T65">
        <f>IF('Исходные данные'!$B$51="Да",-S65*N('Исходные данные'!$B$44)/(1+N('Исходные данные'!$B$44)),0)</f>
        <v>0</v>
      </c>
      <c r="U65">
        <f>IF('Исходные данные'!$B$36="Да",-S65,0)</f>
        <v>0</v>
      </c>
      <c r="V65">
        <f>IF(AND('Исходные данные'!$B$51="Да",U65&gt;0),U65*N('Исходные данные'!$B$52)/(1+N('Исходные данные'!$B$52)),0)</f>
        <v>0</v>
      </c>
      <c r="W65">
        <f>IF(OR(B65="",IF('Исходные данные'!$B$69="",'Исходные данные'!$B$10,'Исходные данные'!$B$69)="",C65&lt;IF('Исходные данные'!$B$69="",'Исходные данные'!$B$10,'Исходные данные'!$B$69)),0,-N('Исходные данные'!$B$16)*N('Исходные данные'!$B$68)*N('Исходные данные'!$B$67)/12*IF(AND(B65&lt;=IF('Исходные данные'!$B$69="",'Исходные данные'!$B$10,'Исходные данные'!$B$69),C65&gt;=IF('Исходные данные'!$B$69="",'Исходные данные'!$B$10,'Исходные данные'!$B$69)),(C65-IF('Исходные данные'!$B$69="",'Исходные данные'!$B$10,'Исходные данные'!$B$69)+1)/DAY(C65),1))</f>
        <v>0</v>
      </c>
      <c r="X65">
        <f>IF(OR(B65="",IF('Исходные данные'!$B$76="",'Исходные данные'!$B$10,'Исходные данные'!$B$76)="",C65&lt;IF('Исходные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данные'!$B$76)),1),B65,"m")/12))*IF(AND(B65&lt;=IF('Исходные данные'!$B$76="",'Исходные данные'!$B$10,'Исходные данные'!$B$76),C65&gt;=IF('Исходные данные'!$B$76="",'Исходные данные'!$B$10,'Исходные данные'!$B$76)),(C65-IF('Исходные данные'!$B$76="",'Исходные данные'!$B$10,'Исходные данные'!$B$76)+1)/DAY(C65),1))</f>
        <v>0</v>
      </c>
      <c r="Y65">
        <f t="shared" si="25"/>
        <v>0</v>
      </c>
      <c r="Z65">
        <f>IF(OR(B65="",N('Исходные данные'!$B$19)=0),0,-SUMIFS('Исходные данные'!$I$6:$I$186,'Исходные данные'!$F$6:$F$186,B65)*N('Исходные данные'!$B$17)/N('Исходные данные'!$B$19))</f>
        <v>0</v>
      </c>
      <c r="AA65">
        <f>IF(OR(B65="",N('Исходные данные'!$B$19)=0),0,-SUMIFS('Исходные данные'!$I$6:$I$186,'Исходные данные'!$F$6:$F$186,B65)*N('Исходные данные'!$B$18)/N('Исходные данные'!$B$19))</f>
        <v>0</v>
      </c>
      <c r="AB65">
        <f>IF(OR(B65="",'Исходные данные'!$B$13=""),0,IF(AND(YEAR(B65)=YEAR('Исходные данные'!$B$13),MONTH(B65)=MONTH('Исходные данные'!$B$13)),-N('Исходные данные'!$B$11),0))</f>
        <v>0</v>
      </c>
      <c r="AC65">
        <f>IF(A65=1,-N('Исходные данные'!$B$19)*N('Исходные данные'!$B$72),0)</f>
        <v>0</v>
      </c>
      <c r="AD65">
        <f>IF(OR(B65="",'Исходные данные'!$B$22&lt;&gt;"Да",'Исходные данные'!$B$26=""),0,IF(AND(YEAR(B65)=YEAR('Исходные данные'!$B$26),MONTH(B65)=MONTH('Исходные данные'!$B$26)),N('Исходные данные'!$B$23),0))</f>
        <v>0</v>
      </c>
      <c r="AE65">
        <f t="shared" si="38"/>
        <v>0</v>
      </c>
      <c r="AF65">
        <f>IF(OR('Исходные данные'!$B$22&lt;&gt;"Да",'Исходные данные'!$B$26="",C65&lt;'Исходные данные'!$B$26),0,DATEDIF(DATE(YEAR('Исходные данные'!$B$26),MONTH('Исходные данные'!$B$26),1),B65,"m")+1)</f>
        <v>0</v>
      </c>
      <c r="AG65">
        <f>IF(OR(AF65&lt;1,AF65&gt;N('Исходные данные'!$B$25),AE65+AD65&lt;=0),0,-(AE65+AD65)*N('Исходные данные'!$B$24)*IF(AF65=1,C65-'Исходные данные'!$B$26+1,DAY(C65))/365)</f>
        <v>0</v>
      </c>
      <c r="AH65">
        <f>IF(OR(AF65&lt;1,AF65&gt;N('Исходные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данные'!$B$25)-AG65))</f>
        <v>0</v>
      </c>
      <c r="AI65">
        <f>IF(OR('Исходные данные'!$B$22&lt;&gt;"Да",AE65+AD65&lt;=0),0,IF(AND('Исходные данные'!$B$91&lt;&gt;"",B65&lt;&gt;"",YEAR(B65)=YEAR('Исходные данные'!$B$91),MONTH(B65)=MONTH('Исходные данные'!$B$91)),-(AE65+AD65),IF(OR(AF65&lt;1,AF65&gt;N('Исходные данные'!$B$25)),0,IF('Исходные данные'!$B$27="Равными долями",-MIN(AE65+AD65,N('Исходные данные'!$B$23)/N('Исходные данные'!$B$25)),-MIN(AE65+AD65,IF(AF65=N('Исходные данные'!$B$25),AE65+AD65,MAX(0,AH65+AG65)))))))</f>
        <v>0</v>
      </c>
      <c r="AJ65">
        <f t="shared" si="26"/>
        <v>0</v>
      </c>
      <c r="AK65">
        <f t="shared" si="27"/>
        <v>0</v>
      </c>
      <c r="AL65">
        <f>IF(OR(B65="",'Исходные данные'!$B$51&lt;&gt;"Да",'Исходные данные'!$B$61=""),0,IF(AND(YEAR(B65)=YEAR('Исходные данные'!$B$61),MONTH(B65)=MONTH('Исходные данные'!$B$61)),N('Исходные данные'!$B$18)*N('Исходные данные'!$B$62),0))</f>
        <v>0</v>
      </c>
      <c r="AM65">
        <f t="shared" si="39"/>
        <v>0</v>
      </c>
      <c r="AN65">
        <f t="shared" si="28"/>
        <v>0</v>
      </c>
      <c r="AO65">
        <f t="shared" si="29"/>
        <v>0</v>
      </c>
      <c r="AP65">
        <f>IF('Исходные данные'!$B$51="Да",-MAX(0,AN65-AO65-AM65),0)</f>
        <v>0</v>
      </c>
      <c r="AQ65">
        <f>IF('Исходные данные'!$B$51="Да",MAX(0,AM65+AO65-AN65),0)</f>
        <v>0</v>
      </c>
      <c r="AR65">
        <f>IF('Исходные данные'!$B$53="Выручка",MAX(0,L65+(Q65-R65)+(U65-V65)),IF('Исходные данные'!$B$53="Прибыль до налога",MAX(0,L65+(Q65-R65)+(U65-V65)+N('Исходные данные'!$B$54)*((O65+P65)+(S65+T65)+W65+X65)+IF('Исходные данные'!$B$55="Да",AG65,0)-N('Исходные данные'!$B$56)/12),IF('Исходные данные'!$B$53="Пользовательская база",MAX(0,N('Исходные данные'!$B$57)/12),0)))</f>
        <v>0</v>
      </c>
      <c r="AS65">
        <f>IF(E65=1,-AR65*N('Исходные данные'!$B$50),0)</f>
        <v>0</v>
      </c>
      <c r="AT65">
        <f t="shared" si="30"/>
        <v>0</v>
      </c>
      <c r="AU65">
        <f>IF(OR(B65="",N('Исходные данные'!$B$80)&lt;=0,'Исходные данные'!$B$88=""),0,MAX(0,IF('Исходные данные'!$B$88="Последние 12 месяцев",SUMIFS($Y$2:$Y$194,$B$2:$B$194,"&gt;="&amp;EDATE(B65,-11),$B$2:$B$194,"&lt;="&amp;B65),IF('Исходные данные'!$B$88="Пользовательский NOI",N('Исходные данные'!$B$89),AT65))/N('Исходные данные'!$B$80)*(1+N('Исходные данные'!$B$81))))</f>
        <v>0</v>
      </c>
      <c r="AV65">
        <f>IF(OR(E65&lt;&gt;1,B65="",'Исходные данные'!$B$91=""),0,IF(AND(YEAR(B65)=YEAR('Исходные данные'!$B$91),MONTH(B65)=MONTH('Исходные данные'!$B$91)),AU65,0))</f>
        <v>0</v>
      </c>
      <c r="AW65">
        <f>-AV65*N('Исходные данные'!$B$73)</f>
        <v>0</v>
      </c>
      <c r="AX65">
        <f>IF(AV65=0,0,-N('Исходные данные'!$B$87)-IF('Исходные данные'!$B$82="Да",IF('Исходные данные'!$B$84="С выручки",AV65,IF('Исходные данные'!$B$84="С прибыли",MAX(0,AV65+AW65-IF('Исходные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65">
        <f t="shared" si="31"/>
        <v>0</v>
      </c>
      <c r="AZ65">
        <f t="shared" si="32"/>
        <v>0</v>
      </c>
      <c r="BA65">
        <f t="shared" si="33"/>
        <v>0</v>
      </c>
      <c r="BB65" t="str">
        <f t="shared" si="40"/>
        <v/>
      </c>
      <c r="BC65">
        <f>IF(OR(E65=0,'Исходные данные'!$B$9="",'Исходные данные'!$B$90=""),0,BA65/(1+'Исходные данные'!$B$90)^((D65-'Исходные данные'!$B$9)/365))</f>
        <v>0</v>
      </c>
      <c r="BD65">
        <f>IF(AND(E65=1,BB65&gt;=0,BB64&lt;0,MIN($BB$2:BB65)&lt;0),1,0)</f>
        <v>0</v>
      </c>
      <c r="BE65">
        <f t="shared" si="34"/>
        <v>0</v>
      </c>
      <c r="BF65">
        <f t="shared" si="35"/>
        <v>0</v>
      </c>
      <c r="BG65">
        <f t="shared" si="36"/>
        <v>0</v>
      </c>
      <c r="BH65">
        <f t="shared" si="37"/>
        <v>1</v>
      </c>
      <c r="BI65">
        <f>AZ65+N65+AP65-AR65*N('Исходные данные'!$B$50)</f>
        <v>0</v>
      </c>
      <c r="BJ65">
        <f t="shared" si="20"/>
        <v>0</v>
      </c>
      <c r="BK65">
        <f>IF(AND(BJ65&gt;=0,BJ64&lt;0,MIN($BJ$2:BJ65)&lt;0),1,0)</f>
        <v>0</v>
      </c>
    </row>
    <row r="66" spans="1:63" x14ac:dyDescent="0.2">
      <c r="A66">
        <v>65</v>
      </c>
      <c r="B66" t="str">
        <f>IF('Исходные данные'!$B$9="","",EDATE(DATE(YEAR('Исходные данные'!$B$9),MONTH('Исходные данные'!$B$9),1),A66-1))</f>
        <v/>
      </c>
      <c r="C66" t="str">
        <f t="shared" ref="C66:C97" si="41">IF(B66="","",EOMONTH(B66,0))</f>
        <v/>
      </c>
      <c r="D66" t="str">
        <f>IF(B66="","",IF('Исходные данные'!$B$91&lt;&gt;"",IF(AND(YEAR(B66)=YEAR('Исходные данные'!$B$91),MONTH(B66)=MONTH('Исходные данные'!$B$91)),'Исходные данные'!$B$91,IF('Исходные данные'!$B$13&lt;&gt;"",IF(AND(YEAR(B66)=YEAR('Исходные данные'!$B$13),MONTH(B66)=MONTH('Исходные данные'!$B$13)),'Исходные данные'!$B$13,IF('Исходные данные'!$B$26&lt;&gt;"",IF(AND(YEAR(B66)=YEAR('Исходные данные'!$B$26),MONTH(B66)=MONTH('Исходные данные'!$B$26)),'Исходные данные'!$B$26,IF(A66=1,'Исходные данные'!$B$9,C66)),IF(A66=1,'Исходные данные'!$B$9,C66))),IF('Исходные данные'!$B$26&lt;&gt;"",IF(AND(YEAR(B66)=YEAR('Исходные данные'!$B$26),MONTH(B66)=MONTH('Исходные данные'!$B$26)),'Исходные данные'!$B$26,IF(A66=1,'Исходные данные'!$B$9,C66)),IF(A66=1,'Исходные данные'!$B$9,C66)))),IF('Исходные данные'!$B$13&lt;&gt;"",IF(AND(YEAR(B66)=YEAR('Исходные данные'!$B$13),MONTH(B66)=MONTH('Исходные данные'!$B$13)),'Исходные данные'!$B$13,IF('Исходные данные'!$B$26&lt;&gt;"",IF(AND(YEAR(B66)=YEAR('Исходные данные'!$B$26),MONTH(B66)=MONTH('Исходные данные'!$B$26)),'Исходные данные'!$B$26,IF(A66=1,'Исходные данные'!$B$9,C66)),IF(A66=1,'Исходные данные'!$B$9,C66))),IF('Исходные данные'!$B$26&lt;&gt;"",IF(AND(YEAR(B66)=YEAR('Исходные данные'!$B$26),MONTH(B66)=MONTH('Исходные данные'!$B$26)),'Исходные данные'!$B$26,IF(A66=1,'Исходные данные'!$B$9,C66)),IF(A66=1,'Исходные данные'!$B$9,C66)))))</f>
        <v/>
      </c>
      <c r="E66">
        <f>IF(OR(B66="",'Исходные данные'!$B$91=""),0,--(B66&lt;=DATE(YEAR('Исходные данные'!$B$91),MONTH('Исходные данные'!$B$91),1)))</f>
        <v>0</v>
      </c>
      <c r="F66">
        <f>IF(OR(B66="",'Исходные данные'!$B$30="",C66&lt;'Исходные данные'!$B$30),0,DATEDIF(DATE(YEAR('Исходные данные'!$B$30),MONTH('Исходные данные'!$B$30),1),B66,"m")+1)</f>
        <v>0</v>
      </c>
      <c r="G66">
        <f t="shared" ref="G66:G97" si="42">IF(F66=0,0,1+INT((F66-1)/12))</f>
        <v>0</v>
      </c>
      <c r="H66">
        <f>IF(F66=0,0,IF(G66=1,N('Исходные данные'!$B$31),IF(G66=2,N('Исходные данные'!$B$32),IF(G66=3,N('Исходные данные'!$B$33),N('Исходные данные'!$B$33)*(1+N('Исходные данные'!$B$34))^(G66-3)))))</f>
        <v>0</v>
      </c>
      <c r="I66">
        <f>IF(OR(F66=0,N('Исходные данные'!$B$5)=0,H66=0),0,'Исходные данные'!$B$5*H66*IF(AND(B66&lt;='Исходные данные'!$B$30,C66&gt;='Исходные данные'!$B$30),(C66-'Исходные данные'!$B$30+1)/DAY(C66),1))</f>
        <v>0</v>
      </c>
      <c r="J66">
        <f>IF(AND(F66&gt;0,F66&lt;=N('Исходные данные'!$B$37)),-I66,0)</f>
        <v>0</v>
      </c>
      <c r="K66">
        <f>IF(OR(F66=0,F66&lt;=N('Исходные данные'!$B$37)),0,-(I66+J66)*N('Исходные данные'!$B$38))</f>
        <v>0</v>
      </c>
      <c r="L66">
        <f t="shared" ref="L66:L97" si="43">I66+J66+K66</f>
        <v>0</v>
      </c>
      <c r="M66">
        <f>IF('Исходные данные'!$B$51="Да",L66*N('Исходные данные'!$B$52),0)</f>
        <v>0</v>
      </c>
      <c r="N66">
        <f t="shared" ref="N66:N97" si="44">L66+M66</f>
        <v>0</v>
      </c>
      <c r="O66">
        <f>IF(OR(B66="",IF('Исходные данные'!$B$45="",'Исходные данные'!$B$10,'Исходные данные'!$B$45)="",C66&lt;IF('Исходные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данные'!$B$45)),1),B66,"m")/12))*IF(AND(B66&lt;=IF('Исходные данные'!$B$45="",'Исходные данные'!$B$10,'Исходные данные'!$B$45),C66&gt;=IF('Исходные данные'!$B$45="",'Исходные данные'!$B$10,'Исходные данные'!$B$45)),(C66-IF('Исходные данные'!$B$45="",'Исходные данные'!$B$10,'Исходные данные'!$B$45)+1)/DAY(C66),1)*IF('Исходные данные'!$B$43="Без НДС",1+N('Исходные данные'!$B$44),1))</f>
        <v>0</v>
      </c>
      <c r="P66">
        <f>IF('Исходные данные'!$B$51="Да",-O66*N('Исходные данные'!$B$44)/(1+N('Исходные данные'!$B$44)),0)</f>
        <v>0</v>
      </c>
      <c r="Q66">
        <f>IF('Исходные данные'!$B$35="Да",-O66,0)</f>
        <v>0</v>
      </c>
      <c r="R66">
        <f>IF(AND('Исходные данные'!$B$51="Да",Q66&gt;0),Q66*N('Исходные данные'!$B$52)/(1+N('Исходные данные'!$B$52)),0)</f>
        <v>0</v>
      </c>
      <c r="S66">
        <f>IF(OR(B66="",IF('Исходные данные'!$B$45="",'Исходные данные'!$B$10,'Исходные данные'!$B$45)="",C66&lt;IF('Исходные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данные'!$B$45)),1),B66,"m")/12))*IF(AND(B66&lt;=IF('Исходные данные'!$B$45="",'Исходные данные'!$B$10,'Исходные данные'!$B$45),C66&gt;=IF('Исходные данные'!$B$45="",'Исходные данные'!$B$10,'Исходные данные'!$B$45)),(C66-IF('Исходные данные'!$B$45="",'Исходные данные'!$B$10,'Исходные данные'!$B$45)+1)/DAY(C66),1)*IF('Исходные данные'!$B$43="Без НДС",1+N('Исходные данные'!$B$44),1))</f>
        <v>0</v>
      </c>
      <c r="T66">
        <f>IF('Исходные данные'!$B$51="Да",-S66*N('Исходные данные'!$B$44)/(1+N('Исходные данные'!$B$44)),0)</f>
        <v>0</v>
      </c>
      <c r="U66">
        <f>IF('Исходные данные'!$B$36="Да",-S66,0)</f>
        <v>0</v>
      </c>
      <c r="V66">
        <f>IF(AND('Исходные данные'!$B$51="Да",U66&gt;0),U66*N('Исходные данные'!$B$52)/(1+N('Исходные данные'!$B$52)),0)</f>
        <v>0</v>
      </c>
      <c r="W66">
        <f>IF(OR(B66="",IF('Исходные данные'!$B$69="",'Исходные данные'!$B$10,'Исходные данные'!$B$69)="",C66&lt;IF('Исходные данные'!$B$69="",'Исходные данные'!$B$10,'Исходные данные'!$B$69)),0,-N('Исходные данные'!$B$16)*N('Исходные данные'!$B$68)*N('Исходные данные'!$B$67)/12*IF(AND(B66&lt;=IF('Исходные данные'!$B$69="",'Исходные данные'!$B$10,'Исходные данные'!$B$69),C66&gt;=IF('Исходные данные'!$B$69="",'Исходные данные'!$B$10,'Исходные данные'!$B$69)),(C66-IF('Исходные данные'!$B$69="",'Исходные данные'!$B$10,'Исходные данные'!$B$69)+1)/DAY(C66),1))</f>
        <v>0</v>
      </c>
      <c r="X66">
        <f>IF(OR(B66="",IF('Исходные данные'!$B$76="",'Исходные данные'!$B$10,'Исходные данные'!$B$76)="",C66&lt;IF('Исходные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данные'!$B$76)),1),B66,"m")/12))*IF(AND(B66&lt;=IF('Исходные данные'!$B$76="",'Исходные данные'!$B$10,'Исходные данные'!$B$76),C66&gt;=IF('Исходные данные'!$B$76="",'Исходные данные'!$B$10,'Исходные данные'!$B$76)),(C66-IF('Исходные данные'!$B$76="",'Исходные данные'!$B$10,'Исходные данные'!$B$76)+1)/DAY(C66),1))</f>
        <v>0</v>
      </c>
      <c r="Y66">
        <f t="shared" ref="Y66:Y97" si="45">L66+(Q66-R66)+(U66-V66)+(O66+P66)+(S66+T66)+W66+X66</f>
        <v>0</v>
      </c>
      <c r="Z66">
        <f>IF(OR(B66="",N('Исходные данные'!$B$19)=0),0,-SUMIFS('Исходные данные'!$I$6:$I$186,'Исходные данные'!$F$6:$F$186,B66)*N('Исходные данные'!$B$17)/N('Исходные данные'!$B$19))</f>
        <v>0</v>
      </c>
      <c r="AA66">
        <f>IF(OR(B66="",N('Исходные данные'!$B$19)=0),0,-SUMIFS('Исходные данные'!$I$6:$I$186,'Исходные данные'!$F$6:$F$186,B66)*N('Исходные данные'!$B$18)/N('Исходные данные'!$B$19))</f>
        <v>0</v>
      </c>
      <c r="AB66">
        <f>IF(OR(B66="",'Исходные данные'!$B$13=""),0,IF(AND(YEAR(B66)=YEAR('Исходные данные'!$B$13),MONTH(B66)=MONTH('Исходные данные'!$B$13)),-N('Исходные данные'!$B$11),0))</f>
        <v>0</v>
      </c>
      <c r="AC66">
        <f>IF(A66=1,-N('Исходные данные'!$B$19)*N('Исходные данные'!$B$72),0)</f>
        <v>0</v>
      </c>
      <c r="AD66">
        <f>IF(OR(B66="",'Исходные данные'!$B$22&lt;&gt;"Да",'Исходные данные'!$B$26=""),0,IF(AND(YEAR(B66)=YEAR('Исходные данные'!$B$26),MONTH(B66)=MONTH('Исходные данные'!$B$26)),N('Исходные данные'!$B$23),0))</f>
        <v>0</v>
      </c>
      <c r="AE66">
        <f t="shared" si="38"/>
        <v>0</v>
      </c>
      <c r="AF66">
        <f>IF(OR('Исходные данные'!$B$22&lt;&gt;"Да",'Исходные данные'!$B$26="",C66&lt;'Исходные данные'!$B$26),0,DATEDIF(DATE(YEAR('Исходные данные'!$B$26),MONTH('Исходные данные'!$B$26),1),B66,"m")+1)</f>
        <v>0</v>
      </c>
      <c r="AG66">
        <f>IF(OR(AF66&lt;1,AF66&gt;N('Исходные данные'!$B$25),AE66+AD66&lt;=0),0,-(AE66+AD66)*N('Исходные данные'!$B$24)*IF(AF66=1,C66-'Исходные данные'!$B$26+1,DAY(C66))/365)</f>
        <v>0</v>
      </c>
      <c r="AH66">
        <f>IF(OR(AF66&lt;1,AF66&gt;N('Исходные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данные'!$B$25)-AG66))</f>
        <v>0</v>
      </c>
      <c r="AI66">
        <f>IF(OR('Исходные данные'!$B$22&lt;&gt;"Да",AE66+AD66&lt;=0),0,IF(AND('Исходные данные'!$B$91&lt;&gt;"",B66&lt;&gt;"",YEAR(B66)=YEAR('Исходные данные'!$B$91),MONTH(B66)=MONTH('Исходные данные'!$B$91)),-(AE66+AD66),IF(OR(AF66&lt;1,AF66&gt;N('Исходные данные'!$B$25)),0,IF('Исходные данные'!$B$27="Равными долями",-MIN(AE66+AD66,N('Исходные данные'!$B$23)/N('Исходные данные'!$B$25)),-MIN(AE66+AD66,IF(AF66=N('Исходные данные'!$B$25),AE66+AD66,MAX(0,AH66+AG66)))))))</f>
        <v>0</v>
      </c>
      <c r="AJ66">
        <f t="shared" ref="AJ66:AJ97" si="46">AG66+AI66</f>
        <v>0</v>
      </c>
      <c r="AK66">
        <f t="shared" ref="AK66:AK97" si="47">MAX(0,AE66+AD66+AI66)</f>
        <v>0</v>
      </c>
      <c r="AL66">
        <f>IF(OR(B66="",'Исходные данные'!$B$51&lt;&gt;"Да",'Исходные данные'!$B$61=""),0,IF(AND(YEAR(B66)=YEAR('Исходные данные'!$B$61),MONTH(B66)=MONTH('Исходные данные'!$B$61)),N('Исходные данные'!$B$18)*N('Исходные данные'!$B$62),0))</f>
        <v>0</v>
      </c>
      <c r="AM66">
        <f t="shared" si="39"/>
        <v>0</v>
      </c>
      <c r="AN66">
        <f t="shared" ref="AN66:AN97" si="48">M66+R66+V66</f>
        <v>0</v>
      </c>
      <c r="AO66">
        <f t="shared" ref="AO66:AO97" si="49">P66+T66</f>
        <v>0</v>
      </c>
      <c r="AP66">
        <f>IF('Исходные данные'!$B$51="Да",-MAX(0,AN66-AO66-AM66),0)</f>
        <v>0</v>
      </c>
      <c r="AQ66">
        <f>IF('Исходные данные'!$B$51="Да",MAX(0,AM66+AO66-AN66),0)</f>
        <v>0</v>
      </c>
      <c r="AR66">
        <f>IF('Исходные данные'!$B$53="Выручка",MAX(0,L66+(Q66-R66)+(U66-V66)),IF('Исходные данные'!$B$53="Прибыль до налога",MAX(0,L66+(Q66-R66)+(U66-V66)+N('Исходные данные'!$B$54)*((O66+P66)+(S66+T66)+W66+X66)+IF('Исходные данные'!$B$55="Да",AG66,0)-N('Исходные данные'!$B$56)/12),IF('Исходные данные'!$B$53="Пользовательская база",MAX(0,N('Исходные данные'!$B$57)/12),0)))</f>
        <v>0</v>
      </c>
      <c r="AS66">
        <f>IF(E66=1,-AR66*N('Исходные данные'!$B$50),0)</f>
        <v>0</v>
      </c>
      <c r="AT66">
        <f t="shared" ref="AT66:AT97" si="50">IF(B66="",0,SUMIFS($Y$2:$Y$194,$B$2:$B$194,"&gt;"&amp;B66,$B$2:$B$194,"&lt;="&amp;EDATE(B66,12)))</f>
        <v>0</v>
      </c>
      <c r="AU66">
        <f>IF(OR(B66="",N('Исходные данные'!$B$80)&lt;=0,'Исходные данные'!$B$88=""),0,MAX(0,IF('Исходные данные'!$B$88="Последние 12 месяцев",SUMIFS($Y$2:$Y$194,$B$2:$B$194,"&gt;="&amp;EDATE(B66,-11),$B$2:$B$194,"&lt;="&amp;B66),IF('Исходные данные'!$B$88="Пользовательский NOI",N('Исходные данные'!$B$89),AT66))/N('Исходные данные'!$B$80)*(1+N('Исходные данные'!$B$81))))</f>
        <v>0</v>
      </c>
      <c r="AV66">
        <f>IF(OR(E66&lt;&gt;1,B66="",'Исходные данные'!$B$91=""),0,IF(AND(YEAR(B66)=YEAR('Исходные данные'!$B$91),MONTH(B66)=MONTH('Исходные данные'!$B$91)),AU66,0))</f>
        <v>0</v>
      </c>
      <c r="AW66">
        <f>-AV66*N('Исходные данные'!$B$73)</f>
        <v>0</v>
      </c>
      <c r="AX66">
        <f>IF(AV66=0,0,-N('Исходные данные'!$B$87)-IF('Исходные данные'!$B$82="Да",IF('Исходные данные'!$B$84="С выручки",AV66,IF('Исходные данные'!$B$84="С прибыли",MAX(0,AV66+AW66-IF('Исходные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66">
        <f t="shared" ref="AY66:AY97" si="51">AV66+AW66+AX66</f>
        <v>0</v>
      </c>
      <c r="AZ66">
        <f t="shared" ref="AZ66:AZ97" si="52">Z66+AA66+AB66+AC66+AD66+AI66+AG66+O66+Q66+S66+U66+W66+X66+AL66</f>
        <v>0</v>
      </c>
      <c r="BA66">
        <f t="shared" ref="BA66:BA97" si="53">IF(E66=1,AZ66+N66+AP66+AS66+AY66,0)</f>
        <v>0</v>
      </c>
      <c r="BB66" t="str">
        <f t="shared" si="40"/>
        <v/>
      </c>
      <c r="BC66">
        <f>IF(OR(E66=0,'Исходные данные'!$B$9="",'Исходные данные'!$B$90=""),0,BA66/(1+'Исходные данные'!$B$90)^((D66-'Исходные данные'!$B$9)/365))</f>
        <v>0</v>
      </c>
      <c r="BD66">
        <f>IF(AND(E66=1,BB66&gt;=0,BB65&lt;0,MIN($BB$2:BB66)&lt;0),1,0)</f>
        <v>0</v>
      </c>
      <c r="BE66">
        <f t="shared" ref="BE66:BE97" si="54">IF(E66=1,N66+O66+Q66+S66+U66+W66+X66+AP66+AS66,0)</f>
        <v>0</v>
      </c>
      <c r="BF66">
        <f t="shared" ref="BF66:BF97" si="55">Y66</f>
        <v>0</v>
      </c>
      <c r="BG66">
        <f t="shared" ref="BG66:BG97" si="56">IF(E66=1,Y66+AG66+AS66+Z66+AA66+AB66+AC66+AL66+AY66,0)</f>
        <v>0</v>
      </c>
      <c r="BH66">
        <f t="shared" ref="BH66:BH97" si="57">--AND(Z66&lt;=0,AA66&lt;=0,AB66&lt;=0,AC66&lt;=0,AD66&gt;=0,AI66&lt;=0,AG66&lt;=0,O66&lt;=0,Q66&gt;=0,S66&lt;=0,U66&gt;=0,W66&lt;=0,X66&lt;=0,AL66&gt;=0,AP66&lt;=0,AS66&lt;=0,AV66&gt;=0,AW66&lt;=0,AX66&lt;=0,AK66&gt;=-0.01)</f>
        <v>1</v>
      </c>
      <c r="BI66">
        <f>AZ66+N66+AP66-AR66*N('Исходные данные'!$B$50)</f>
        <v>0</v>
      </c>
      <c r="BJ66">
        <f t="shared" si="20"/>
        <v>0</v>
      </c>
      <c r="BK66">
        <f>IF(AND(BJ66&gt;=0,BJ65&lt;0,MIN($BJ$2:BJ66)&lt;0),1,0)</f>
        <v>0</v>
      </c>
    </row>
    <row r="67" spans="1:63" x14ac:dyDescent="0.2">
      <c r="A67">
        <v>66</v>
      </c>
      <c r="B67" t="str">
        <f>IF('Исходные данные'!$B$9="","",EDATE(DATE(YEAR('Исходные данные'!$B$9),MONTH('Исходные данные'!$B$9),1),A67-1))</f>
        <v/>
      </c>
      <c r="C67" t="str">
        <f t="shared" si="41"/>
        <v/>
      </c>
      <c r="D67" t="str">
        <f>IF(B67="","",IF('Исходные данные'!$B$91&lt;&gt;"",IF(AND(YEAR(B67)=YEAR('Исходные данные'!$B$91),MONTH(B67)=MONTH('Исходные данные'!$B$91)),'Исходные данные'!$B$91,IF('Исходные данные'!$B$13&lt;&gt;"",IF(AND(YEAR(B67)=YEAR('Исходные данные'!$B$13),MONTH(B67)=MONTH('Исходные данные'!$B$13)),'Исходные данные'!$B$13,IF('Исходные данные'!$B$26&lt;&gt;"",IF(AND(YEAR(B67)=YEAR('Исходные данные'!$B$26),MONTH(B67)=MONTH('Исходные данные'!$B$26)),'Исходные данные'!$B$26,IF(A67=1,'Исходные данные'!$B$9,C67)),IF(A67=1,'Исходные данные'!$B$9,C67))),IF('Исходные данные'!$B$26&lt;&gt;"",IF(AND(YEAR(B67)=YEAR('Исходные данные'!$B$26),MONTH(B67)=MONTH('Исходные данные'!$B$26)),'Исходные данные'!$B$26,IF(A67=1,'Исходные данные'!$B$9,C67)),IF(A67=1,'Исходные данные'!$B$9,C67)))),IF('Исходные данные'!$B$13&lt;&gt;"",IF(AND(YEAR(B67)=YEAR('Исходные данные'!$B$13),MONTH(B67)=MONTH('Исходные данные'!$B$13)),'Исходные данные'!$B$13,IF('Исходные данные'!$B$26&lt;&gt;"",IF(AND(YEAR(B67)=YEAR('Исходные данные'!$B$26),MONTH(B67)=MONTH('Исходные данные'!$B$26)),'Исходные данные'!$B$26,IF(A67=1,'Исходные данные'!$B$9,C67)),IF(A67=1,'Исходные данные'!$B$9,C67))),IF('Исходные данные'!$B$26&lt;&gt;"",IF(AND(YEAR(B67)=YEAR('Исходные данные'!$B$26),MONTH(B67)=MONTH('Исходные данные'!$B$26)),'Исходные данные'!$B$26,IF(A67=1,'Исходные данные'!$B$9,C67)),IF(A67=1,'Исходные данные'!$B$9,C67)))))</f>
        <v/>
      </c>
      <c r="E67">
        <f>IF(OR(B67="",'Исходные данные'!$B$91=""),0,--(B67&lt;=DATE(YEAR('Исходные данные'!$B$91),MONTH('Исходные данные'!$B$91),1)))</f>
        <v>0</v>
      </c>
      <c r="F67">
        <f>IF(OR(B67="",'Исходные данные'!$B$30="",C67&lt;'Исходные данные'!$B$30),0,DATEDIF(DATE(YEAR('Исходные данные'!$B$30),MONTH('Исходные данные'!$B$30),1),B67,"m")+1)</f>
        <v>0</v>
      </c>
      <c r="G67">
        <f t="shared" si="42"/>
        <v>0</v>
      </c>
      <c r="H67">
        <f>IF(F67=0,0,IF(G67=1,N('Исходные данные'!$B$31),IF(G67=2,N('Исходные данные'!$B$32),IF(G67=3,N('Исходные данные'!$B$33),N('Исходные данные'!$B$33)*(1+N('Исходные данные'!$B$34))^(G67-3)))))</f>
        <v>0</v>
      </c>
      <c r="I67">
        <f>IF(OR(F67=0,N('Исходные данные'!$B$5)=0,H67=0),0,'Исходные данные'!$B$5*H67*IF(AND(B67&lt;='Исходные данные'!$B$30,C67&gt;='Исходные данные'!$B$30),(C67-'Исходные данные'!$B$30+1)/DAY(C67),1))</f>
        <v>0</v>
      </c>
      <c r="J67">
        <f>IF(AND(F67&gt;0,F67&lt;=N('Исходные данные'!$B$37)),-I67,0)</f>
        <v>0</v>
      </c>
      <c r="K67">
        <f>IF(OR(F67=0,F67&lt;=N('Исходные данные'!$B$37)),0,-(I67+J67)*N('Исходные данные'!$B$38))</f>
        <v>0</v>
      </c>
      <c r="L67">
        <f t="shared" si="43"/>
        <v>0</v>
      </c>
      <c r="M67">
        <f>IF('Исходные данные'!$B$51="Да",L67*N('Исходные данные'!$B$52),0)</f>
        <v>0</v>
      </c>
      <c r="N67">
        <f t="shared" si="44"/>
        <v>0</v>
      </c>
      <c r="O67">
        <f>IF(OR(B67="",IF('Исходные данные'!$B$45="",'Исходные данные'!$B$10,'Исходные данные'!$B$45)="",C67&lt;IF('Исходные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данные'!$B$45)),1),B67,"m")/12))*IF(AND(B67&lt;=IF('Исходные данные'!$B$45="",'Исходные данные'!$B$10,'Исходные данные'!$B$45),C67&gt;=IF('Исходные данные'!$B$45="",'Исходные данные'!$B$10,'Исходные данные'!$B$45)),(C67-IF('Исходные данные'!$B$45="",'Исходные данные'!$B$10,'Исходные данные'!$B$45)+1)/DAY(C67),1)*IF('Исходные данные'!$B$43="Без НДС",1+N('Исходные данные'!$B$44),1))</f>
        <v>0</v>
      </c>
      <c r="P67">
        <f>IF('Исходные данные'!$B$51="Да",-O67*N('Исходные данные'!$B$44)/(1+N('Исходные данные'!$B$44)),0)</f>
        <v>0</v>
      </c>
      <c r="Q67">
        <f>IF('Исходные данные'!$B$35="Да",-O67,0)</f>
        <v>0</v>
      </c>
      <c r="R67">
        <f>IF(AND('Исходные данные'!$B$51="Да",Q67&gt;0),Q67*N('Исходные данные'!$B$52)/(1+N('Исходные данные'!$B$52)),0)</f>
        <v>0</v>
      </c>
      <c r="S67">
        <f>IF(OR(B67="",IF('Исходные данные'!$B$45="",'Исходные данные'!$B$10,'Исходные данные'!$B$45)="",C67&lt;IF('Исходные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данные'!$B$45)),1),B67,"m")/12))*IF(AND(B67&lt;=IF('Исходные данные'!$B$45="",'Исходные данные'!$B$10,'Исходные данные'!$B$45),C67&gt;=IF('Исходные данные'!$B$45="",'Исходные данные'!$B$10,'Исходные данные'!$B$45)),(C67-IF('Исходные данные'!$B$45="",'Исходные данные'!$B$10,'Исходные данные'!$B$45)+1)/DAY(C67),1)*IF('Исходные данные'!$B$43="Без НДС",1+N('Исходные данные'!$B$44),1))</f>
        <v>0</v>
      </c>
      <c r="T67">
        <f>IF('Исходные данные'!$B$51="Да",-S67*N('Исходные данные'!$B$44)/(1+N('Исходные данные'!$B$44)),0)</f>
        <v>0</v>
      </c>
      <c r="U67">
        <f>IF('Исходные данные'!$B$36="Да",-S67,0)</f>
        <v>0</v>
      </c>
      <c r="V67">
        <f>IF(AND('Исходные данные'!$B$51="Да",U67&gt;0),U67*N('Исходные данные'!$B$52)/(1+N('Исходные данные'!$B$52)),0)</f>
        <v>0</v>
      </c>
      <c r="W67">
        <f>IF(OR(B67="",IF('Исходные данные'!$B$69="",'Исходные данные'!$B$10,'Исходные данные'!$B$69)="",C67&lt;IF('Исходные данные'!$B$69="",'Исходные данные'!$B$10,'Исходные данные'!$B$69)),0,-N('Исходные данные'!$B$16)*N('Исходные данные'!$B$68)*N('Исходные данные'!$B$67)/12*IF(AND(B67&lt;=IF('Исходные данные'!$B$69="",'Исходные данные'!$B$10,'Исходные данные'!$B$69),C67&gt;=IF('Исходные данные'!$B$69="",'Исходные данные'!$B$10,'Исходные данные'!$B$69)),(C67-IF('Исходные данные'!$B$69="",'Исходные данные'!$B$10,'Исходные данные'!$B$69)+1)/DAY(C67),1))</f>
        <v>0</v>
      </c>
      <c r="X67">
        <f>IF(OR(B67="",IF('Исходные данные'!$B$76="",'Исходные данные'!$B$10,'Исходные данные'!$B$76)="",C67&lt;IF('Исходные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данные'!$B$76)),1),B67,"m")/12))*IF(AND(B67&lt;=IF('Исходные данные'!$B$76="",'Исходные данные'!$B$10,'Исходные данные'!$B$76),C67&gt;=IF('Исходные данные'!$B$76="",'Исходные данные'!$B$10,'Исходные данные'!$B$76)),(C67-IF('Исходные данные'!$B$76="",'Исходные данные'!$B$10,'Исходные данные'!$B$76)+1)/DAY(C67),1))</f>
        <v>0</v>
      </c>
      <c r="Y67">
        <f t="shared" si="45"/>
        <v>0</v>
      </c>
      <c r="Z67">
        <f>IF(OR(B67="",N('Исходные данные'!$B$19)=0),0,-SUMIFS('Исходные данные'!$I$6:$I$186,'Исходные данные'!$F$6:$F$186,B67)*N('Исходные данные'!$B$17)/N('Исходные данные'!$B$19))</f>
        <v>0</v>
      </c>
      <c r="AA67">
        <f>IF(OR(B67="",N('Исходные данные'!$B$19)=0),0,-SUMIFS('Исходные данные'!$I$6:$I$186,'Исходные данные'!$F$6:$F$186,B67)*N('Исходные данные'!$B$18)/N('Исходные данные'!$B$19))</f>
        <v>0</v>
      </c>
      <c r="AB67">
        <f>IF(OR(B67="",'Исходные данные'!$B$13=""),0,IF(AND(YEAR(B67)=YEAR('Исходные данные'!$B$13),MONTH(B67)=MONTH('Исходные данные'!$B$13)),-N('Исходные данные'!$B$11),0))</f>
        <v>0</v>
      </c>
      <c r="AC67">
        <f>IF(A67=1,-N('Исходные данные'!$B$19)*N('Исходные данные'!$B$72),0)</f>
        <v>0</v>
      </c>
      <c r="AD67">
        <f>IF(OR(B67="",'Исходные данные'!$B$22&lt;&gt;"Да",'Исходные данные'!$B$26=""),0,IF(AND(YEAR(B67)=YEAR('Исходные данные'!$B$26),MONTH(B67)=MONTH('Исходные данные'!$B$26)),N('Исходные данные'!$B$23),0))</f>
        <v>0</v>
      </c>
      <c r="AE67">
        <f t="shared" ref="AE67:AE98" si="58">AK66</f>
        <v>0</v>
      </c>
      <c r="AF67">
        <f>IF(OR('Исходные данные'!$B$22&lt;&gt;"Да",'Исходные данные'!$B$26="",C67&lt;'Исходные данные'!$B$26),0,DATEDIF(DATE(YEAR('Исходные данные'!$B$26),MONTH('Исходные данные'!$B$26),1),B67,"m")+1)</f>
        <v>0</v>
      </c>
      <c r="AG67">
        <f>IF(OR(AF67&lt;1,AF67&gt;N('Исходные данные'!$B$25),AE67+AD67&lt;=0),0,-(AE67+AD67)*N('Исходные данные'!$B$24)*IF(AF67=1,C67-'Исходные данные'!$B$26+1,DAY(C67))/365)</f>
        <v>0</v>
      </c>
      <c r="AH67">
        <f>IF(OR(AF67&lt;1,AF67&gt;N('Исходные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данные'!$B$25)-AG67))</f>
        <v>0</v>
      </c>
      <c r="AI67">
        <f>IF(OR('Исходные данные'!$B$22&lt;&gt;"Да",AE67+AD67&lt;=0),0,IF(AND('Исходные данные'!$B$91&lt;&gt;"",B67&lt;&gt;"",YEAR(B67)=YEAR('Исходные данные'!$B$91),MONTH(B67)=MONTH('Исходные данные'!$B$91)),-(AE67+AD67),IF(OR(AF67&lt;1,AF67&gt;N('Исходные данные'!$B$25)),0,IF('Исходные данные'!$B$27="Равными долями",-MIN(AE67+AD67,N('Исходные данные'!$B$23)/N('Исходные данные'!$B$25)),-MIN(AE67+AD67,IF(AF67=N('Исходные данные'!$B$25),AE67+AD67,MAX(0,AH67+AG67)))))))</f>
        <v>0</v>
      </c>
      <c r="AJ67">
        <f t="shared" si="46"/>
        <v>0</v>
      </c>
      <c r="AK67">
        <f t="shared" si="47"/>
        <v>0</v>
      </c>
      <c r="AL67">
        <f>IF(OR(B67="",'Исходные данные'!$B$51&lt;&gt;"Да",'Исходные данные'!$B$61=""),0,IF(AND(YEAR(B67)=YEAR('Исходные данные'!$B$61),MONTH(B67)=MONTH('Исходные данные'!$B$61)),N('Исходные данные'!$B$18)*N('Исходные данные'!$B$62),0))</f>
        <v>0</v>
      </c>
      <c r="AM67">
        <f t="shared" ref="AM67:AM98" si="59">AQ66</f>
        <v>0</v>
      </c>
      <c r="AN67">
        <f t="shared" si="48"/>
        <v>0</v>
      </c>
      <c r="AO67">
        <f t="shared" si="49"/>
        <v>0</v>
      </c>
      <c r="AP67">
        <f>IF('Исходные данные'!$B$51="Да",-MAX(0,AN67-AO67-AM67),0)</f>
        <v>0</v>
      </c>
      <c r="AQ67">
        <f>IF('Исходные данные'!$B$51="Да",MAX(0,AM67+AO67-AN67),0)</f>
        <v>0</v>
      </c>
      <c r="AR67">
        <f>IF('Исходные данные'!$B$53="Выручка",MAX(0,L67+(Q67-R67)+(U67-V67)),IF('Исходные данные'!$B$53="Прибыль до налога",MAX(0,L67+(Q67-R67)+(U67-V67)+N('Исходные данные'!$B$54)*((O67+P67)+(S67+T67)+W67+X67)+IF('Исходные данные'!$B$55="Да",AG67,0)-N('Исходные данные'!$B$56)/12),IF('Исходные данные'!$B$53="Пользовательская база",MAX(0,N('Исходные данные'!$B$57)/12),0)))</f>
        <v>0</v>
      </c>
      <c r="AS67">
        <f>IF(E67=1,-AR67*N('Исходные данные'!$B$50),0)</f>
        <v>0</v>
      </c>
      <c r="AT67">
        <f t="shared" si="50"/>
        <v>0</v>
      </c>
      <c r="AU67">
        <f>IF(OR(B67="",N('Исходные данные'!$B$80)&lt;=0,'Исходные данные'!$B$88=""),0,MAX(0,IF('Исходные данные'!$B$88="Последние 12 месяцев",SUMIFS($Y$2:$Y$194,$B$2:$B$194,"&gt;="&amp;EDATE(B67,-11),$B$2:$B$194,"&lt;="&amp;B67),IF('Исходные данные'!$B$88="Пользовательский NOI",N('Исходные данные'!$B$89),AT67))/N('Исходные данные'!$B$80)*(1+N('Исходные данные'!$B$81))))</f>
        <v>0</v>
      </c>
      <c r="AV67">
        <f>IF(OR(E67&lt;&gt;1,B67="",'Исходные данные'!$B$91=""),0,IF(AND(YEAR(B67)=YEAR('Исходные данные'!$B$91),MONTH(B67)=MONTH('Исходные данные'!$B$91)),AU67,0))</f>
        <v>0</v>
      </c>
      <c r="AW67">
        <f>-AV67*N('Исходные данные'!$B$73)</f>
        <v>0</v>
      </c>
      <c r="AX67">
        <f>IF(AV67=0,0,-N('Исходные данные'!$B$87)-IF('Исходные данные'!$B$82="Да",IF('Исходные данные'!$B$84="С выручки",AV67,IF('Исходные данные'!$B$84="С прибыли",MAX(0,AV67+AW67-IF('Исходные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67">
        <f t="shared" si="51"/>
        <v>0</v>
      </c>
      <c r="AZ67">
        <f t="shared" si="52"/>
        <v>0</v>
      </c>
      <c r="BA67">
        <f t="shared" si="53"/>
        <v>0</v>
      </c>
      <c r="BB67" t="str">
        <f t="shared" ref="BB67:BB98" si="60">IF(E67=1,BB66+BA67,"")</f>
        <v/>
      </c>
      <c r="BC67">
        <f>IF(OR(E67=0,'Исходные данные'!$B$9="",'Исходные данные'!$B$90=""),0,BA67/(1+'Исходные данные'!$B$90)^((D67-'Исходные данные'!$B$9)/365))</f>
        <v>0</v>
      </c>
      <c r="BD67">
        <f>IF(AND(E67=1,BB67&gt;=0,BB66&lt;0,MIN($BB$2:BB67)&lt;0),1,0)</f>
        <v>0</v>
      </c>
      <c r="BE67">
        <f t="shared" si="54"/>
        <v>0</v>
      </c>
      <c r="BF67">
        <f t="shared" si="55"/>
        <v>0</v>
      </c>
      <c r="BG67">
        <f t="shared" si="56"/>
        <v>0</v>
      </c>
      <c r="BH67">
        <f t="shared" si="57"/>
        <v>1</v>
      </c>
      <c r="BI67">
        <f>AZ67+N67+AP67-AR67*N('Исходные данные'!$B$50)</f>
        <v>0</v>
      </c>
      <c r="BJ67">
        <f t="shared" si="20"/>
        <v>0</v>
      </c>
      <c r="BK67">
        <f>IF(AND(BJ67&gt;=0,BJ66&lt;0,MIN($BJ$2:BJ67)&lt;0),1,0)</f>
        <v>0</v>
      </c>
    </row>
    <row r="68" spans="1:63" x14ac:dyDescent="0.2">
      <c r="A68">
        <v>67</v>
      </c>
      <c r="B68" t="str">
        <f>IF('Исходные данные'!$B$9="","",EDATE(DATE(YEAR('Исходные данные'!$B$9),MONTH('Исходные данные'!$B$9),1),A68-1))</f>
        <v/>
      </c>
      <c r="C68" t="str">
        <f t="shared" si="41"/>
        <v/>
      </c>
      <c r="D68" t="str">
        <f>IF(B68="","",IF('Исходные данные'!$B$91&lt;&gt;"",IF(AND(YEAR(B68)=YEAR('Исходные данные'!$B$91),MONTH(B68)=MONTH('Исходные данные'!$B$91)),'Исходные данные'!$B$91,IF('Исходные данные'!$B$13&lt;&gt;"",IF(AND(YEAR(B68)=YEAR('Исходные данные'!$B$13),MONTH(B68)=MONTH('Исходные данные'!$B$13)),'Исходные данные'!$B$13,IF('Исходные данные'!$B$26&lt;&gt;"",IF(AND(YEAR(B68)=YEAR('Исходные данные'!$B$26),MONTH(B68)=MONTH('Исходные данные'!$B$26)),'Исходные данные'!$B$26,IF(A68=1,'Исходные данные'!$B$9,C68)),IF(A68=1,'Исходные данные'!$B$9,C68))),IF('Исходные данные'!$B$26&lt;&gt;"",IF(AND(YEAR(B68)=YEAR('Исходные данные'!$B$26),MONTH(B68)=MONTH('Исходные данные'!$B$26)),'Исходные данные'!$B$26,IF(A68=1,'Исходные данные'!$B$9,C68)),IF(A68=1,'Исходные данные'!$B$9,C68)))),IF('Исходные данные'!$B$13&lt;&gt;"",IF(AND(YEAR(B68)=YEAR('Исходные данные'!$B$13),MONTH(B68)=MONTH('Исходные данные'!$B$13)),'Исходные данные'!$B$13,IF('Исходные данные'!$B$26&lt;&gt;"",IF(AND(YEAR(B68)=YEAR('Исходные данные'!$B$26),MONTH(B68)=MONTH('Исходные данные'!$B$26)),'Исходные данные'!$B$26,IF(A68=1,'Исходные данные'!$B$9,C68)),IF(A68=1,'Исходные данные'!$B$9,C68))),IF('Исходные данные'!$B$26&lt;&gt;"",IF(AND(YEAR(B68)=YEAR('Исходные данные'!$B$26),MONTH(B68)=MONTH('Исходные данные'!$B$26)),'Исходные данные'!$B$26,IF(A68=1,'Исходные данные'!$B$9,C68)),IF(A68=1,'Исходные данные'!$B$9,C68)))))</f>
        <v/>
      </c>
      <c r="E68">
        <f>IF(OR(B68="",'Исходные данные'!$B$91=""),0,--(B68&lt;=DATE(YEAR('Исходные данные'!$B$91),MONTH('Исходные данные'!$B$91),1)))</f>
        <v>0</v>
      </c>
      <c r="F68">
        <f>IF(OR(B68="",'Исходные данные'!$B$30="",C68&lt;'Исходные данные'!$B$30),0,DATEDIF(DATE(YEAR('Исходные данные'!$B$30),MONTH('Исходные данные'!$B$30),1),B68,"m")+1)</f>
        <v>0</v>
      </c>
      <c r="G68">
        <f t="shared" si="42"/>
        <v>0</v>
      </c>
      <c r="H68">
        <f>IF(F68=0,0,IF(G68=1,N('Исходные данные'!$B$31),IF(G68=2,N('Исходные данные'!$B$32),IF(G68=3,N('Исходные данные'!$B$33),N('Исходные данные'!$B$33)*(1+N('Исходные данные'!$B$34))^(G68-3)))))</f>
        <v>0</v>
      </c>
      <c r="I68">
        <f>IF(OR(F68=0,N('Исходные данные'!$B$5)=0,H68=0),0,'Исходные данные'!$B$5*H68*IF(AND(B68&lt;='Исходные данные'!$B$30,C68&gt;='Исходные данные'!$B$30),(C68-'Исходные данные'!$B$30+1)/DAY(C68),1))</f>
        <v>0</v>
      </c>
      <c r="J68">
        <f>IF(AND(F68&gt;0,F68&lt;=N('Исходные данные'!$B$37)),-I68,0)</f>
        <v>0</v>
      </c>
      <c r="K68">
        <f>IF(OR(F68=0,F68&lt;=N('Исходные данные'!$B$37)),0,-(I68+J68)*N('Исходные данные'!$B$38))</f>
        <v>0</v>
      </c>
      <c r="L68">
        <f t="shared" si="43"/>
        <v>0</v>
      </c>
      <c r="M68">
        <f>IF('Исходные данные'!$B$51="Да",L68*N('Исходные данные'!$B$52),0)</f>
        <v>0</v>
      </c>
      <c r="N68">
        <f t="shared" si="44"/>
        <v>0</v>
      </c>
      <c r="O68">
        <f>IF(OR(B68="",IF('Исходные данные'!$B$45="",'Исходные данные'!$B$10,'Исходные данные'!$B$45)="",C68&lt;IF('Исходные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данные'!$B$45)),1),B68,"m")/12))*IF(AND(B68&lt;=IF('Исходные данные'!$B$45="",'Исходные данные'!$B$10,'Исходные данные'!$B$45),C68&gt;=IF('Исходные данные'!$B$45="",'Исходные данные'!$B$10,'Исходные данные'!$B$45)),(C68-IF('Исходные данные'!$B$45="",'Исходные данные'!$B$10,'Исходные данные'!$B$45)+1)/DAY(C68),1)*IF('Исходные данные'!$B$43="Без НДС",1+N('Исходные данные'!$B$44),1))</f>
        <v>0</v>
      </c>
      <c r="P68">
        <f>IF('Исходные данные'!$B$51="Да",-O68*N('Исходные данные'!$B$44)/(1+N('Исходные данные'!$B$44)),0)</f>
        <v>0</v>
      </c>
      <c r="Q68">
        <f>IF('Исходные данные'!$B$35="Да",-O68,0)</f>
        <v>0</v>
      </c>
      <c r="R68">
        <f>IF(AND('Исходные данные'!$B$51="Да",Q68&gt;0),Q68*N('Исходные данные'!$B$52)/(1+N('Исходные данные'!$B$52)),0)</f>
        <v>0</v>
      </c>
      <c r="S68">
        <f>IF(OR(B68="",IF('Исходные данные'!$B$45="",'Исходные данные'!$B$10,'Исходные данные'!$B$45)="",C68&lt;IF('Исходные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данные'!$B$45)),1),B68,"m")/12))*IF(AND(B68&lt;=IF('Исходные данные'!$B$45="",'Исходные данные'!$B$10,'Исходные данные'!$B$45),C68&gt;=IF('Исходные данные'!$B$45="",'Исходные данные'!$B$10,'Исходные данные'!$B$45)),(C68-IF('Исходные данные'!$B$45="",'Исходные данные'!$B$10,'Исходные данные'!$B$45)+1)/DAY(C68),1)*IF('Исходные данные'!$B$43="Без НДС",1+N('Исходные данные'!$B$44),1))</f>
        <v>0</v>
      </c>
      <c r="T68">
        <f>IF('Исходные данные'!$B$51="Да",-S68*N('Исходные данные'!$B$44)/(1+N('Исходные данные'!$B$44)),0)</f>
        <v>0</v>
      </c>
      <c r="U68">
        <f>IF('Исходные данные'!$B$36="Да",-S68,0)</f>
        <v>0</v>
      </c>
      <c r="V68">
        <f>IF(AND('Исходные данные'!$B$51="Да",U68&gt;0),U68*N('Исходные данные'!$B$52)/(1+N('Исходные данные'!$B$52)),0)</f>
        <v>0</v>
      </c>
      <c r="W68">
        <f>IF(OR(B68="",IF('Исходные данные'!$B$69="",'Исходные данные'!$B$10,'Исходные данные'!$B$69)="",C68&lt;IF('Исходные данные'!$B$69="",'Исходные данные'!$B$10,'Исходные данные'!$B$69)),0,-N('Исходные данные'!$B$16)*N('Исходные данные'!$B$68)*N('Исходные данные'!$B$67)/12*IF(AND(B68&lt;=IF('Исходные данные'!$B$69="",'Исходные данные'!$B$10,'Исходные данные'!$B$69),C68&gt;=IF('Исходные данные'!$B$69="",'Исходные данные'!$B$10,'Исходные данные'!$B$69)),(C68-IF('Исходные данные'!$B$69="",'Исходные данные'!$B$10,'Исходные данные'!$B$69)+1)/DAY(C68),1))</f>
        <v>0</v>
      </c>
      <c r="X68">
        <f>IF(OR(B68="",IF('Исходные данные'!$B$76="",'Исходные данные'!$B$10,'Исходные данные'!$B$76)="",C68&lt;IF('Исходные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данные'!$B$76)),1),B68,"m")/12))*IF(AND(B68&lt;=IF('Исходные данные'!$B$76="",'Исходные данные'!$B$10,'Исходные данные'!$B$76),C68&gt;=IF('Исходные данные'!$B$76="",'Исходные данные'!$B$10,'Исходные данные'!$B$76)),(C68-IF('Исходные данные'!$B$76="",'Исходные данные'!$B$10,'Исходные данные'!$B$76)+1)/DAY(C68),1))</f>
        <v>0</v>
      </c>
      <c r="Y68">
        <f t="shared" si="45"/>
        <v>0</v>
      </c>
      <c r="Z68">
        <f>IF(OR(B68="",N('Исходные данные'!$B$19)=0),0,-SUMIFS('Исходные данные'!$I$6:$I$186,'Исходные данные'!$F$6:$F$186,B68)*N('Исходные данные'!$B$17)/N('Исходные данные'!$B$19))</f>
        <v>0</v>
      </c>
      <c r="AA68">
        <f>IF(OR(B68="",N('Исходные данные'!$B$19)=0),0,-SUMIFS('Исходные данные'!$I$6:$I$186,'Исходные данные'!$F$6:$F$186,B68)*N('Исходные данные'!$B$18)/N('Исходные данные'!$B$19))</f>
        <v>0</v>
      </c>
      <c r="AB68">
        <f>IF(OR(B68="",'Исходные данные'!$B$13=""),0,IF(AND(YEAR(B68)=YEAR('Исходные данные'!$B$13),MONTH(B68)=MONTH('Исходные данные'!$B$13)),-N('Исходные данные'!$B$11),0))</f>
        <v>0</v>
      </c>
      <c r="AC68">
        <f>IF(A68=1,-N('Исходные данные'!$B$19)*N('Исходные данные'!$B$72),0)</f>
        <v>0</v>
      </c>
      <c r="AD68">
        <f>IF(OR(B68="",'Исходные данные'!$B$22&lt;&gt;"Да",'Исходные данные'!$B$26=""),0,IF(AND(YEAR(B68)=YEAR('Исходные данные'!$B$26),MONTH(B68)=MONTH('Исходные данные'!$B$26)),N('Исходные данные'!$B$23),0))</f>
        <v>0</v>
      </c>
      <c r="AE68">
        <f t="shared" si="58"/>
        <v>0</v>
      </c>
      <c r="AF68">
        <f>IF(OR('Исходные данные'!$B$22&lt;&gt;"Да",'Исходные данные'!$B$26="",C68&lt;'Исходные данные'!$B$26),0,DATEDIF(DATE(YEAR('Исходные данные'!$B$26),MONTH('Исходные данные'!$B$26),1),B68,"m")+1)</f>
        <v>0</v>
      </c>
      <c r="AG68">
        <f>IF(OR(AF68&lt;1,AF68&gt;N('Исходные данные'!$B$25),AE68+AD68&lt;=0),0,-(AE68+AD68)*N('Исходные данные'!$B$24)*IF(AF68=1,C68-'Исходные данные'!$B$26+1,DAY(C68))/365)</f>
        <v>0</v>
      </c>
      <c r="AH68">
        <f>IF(OR(AF68&lt;1,AF68&gt;N('Исходные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данные'!$B$25)-AG68))</f>
        <v>0</v>
      </c>
      <c r="AI68">
        <f>IF(OR('Исходные данные'!$B$22&lt;&gt;"Да",AE68+AD68&lt;=0),0,IF(AND('Исходные данные'!$B$91&lt;&gt;"",B68&lt;&gt;"",YEAR(B68)=YEAR('Исходные данные'!$B$91),MONTH(B68)=MONTH('Исходные данные'!$B$91)),-(AE68+AD68),IF(OR(AF68&lt;1,AF68&gt;N('Исходные данные'!$B$25)),0,IF('Исходные данные'!$B$27="Равными долями",-MIN(AE68+AD68,N('Исходные данные'!$B$23)/N('Исходные данные'!$B$25)),-MIN(AE68+AD68,IF(AF68=N('Исходные данные'!$B$25),AE68+AD68,MAX(0,AH68+AG68)))))))</f>
        <v>0</v>
      </c>
      <c r="AJ68">
        <f t="shared" si="46"/>
        <v>0</v>
      </c>
      <c r="AK68">
        <f t="shared" si="47"/>
        <v>0</v>
      </c>
      <c r="AL68">
        <f>IF(OR(B68="",'Исходные данные'!$B$51&lt;&gt;"Да",'Исходные данные'!$B$61=""),0,IF(AND(YEAR(B68)=YEAR('Исходные данные'!$B$61),MONTH(B68)=MONTH('Исходные данные'!$B$61)),N('Исходные данные'!$B$18)*N('Исходные данные'!$B$62),0))</f>
        <v>0</v>
      </c>
      <c r="AM68">
        <f t="shared" si="59"/>
        <v>0</v>
      </c>
      <c r="AN68">
        <f t="shared" si="48"/>
        <v>0</v>
      </c>
      <c r="AO68">
        <f t="shared" si="49"/>
        <v>0</v>
      </c>
      <c r="AP68">
        <f>IF('Исходные данные'!$B$51="Да",-MAX(0,AN68-AO68-AM68),0)</f>
        <v>0</v>
      </c>
      <c r="AQ68">
        <f>IF('Исходные данные'!$B$51="Да",MAX(0,AM68+AO68-AN68),0)</f>
        <v>0</v>
      </c>
      <c r="AR68">
        <f>IF('Исходные данные'!$B$53="Выручка",MAX(0,L68+(Q68-R68)+(U68-V68)),IF('Исходные данные'!$B$53="Прибыль до налога",MAX(0,L68+(Q68-R68)+(U68-V68)+N('Исходные данные'!$B$54)*((O68+P68)+(S68+T68)+W68+X68)+IF('Исходные данные'!$B$55="Да",AG68,0)-N('Исходные данные'!$B$56)/12),IF('Исходные данные'!$B$53="Пользовательская база",MAX(0,N('Исходные данные'!$B$57)/12),0)))</f>
        <v>0</v>
      </c>
      <c r="AS68">
        <f>IF(E68=1,-AR68*N('Исходные данные'!$B$50),0)</f>
        <v>0</v>
      </c>
      <c r="AT68">
        <f t="shared" si="50"/>
        <v>0</v>
      </c>
      <c r="AU68">
        <f>IF(OR(B68="",N('Исходные данные'!$B$80)&lt;=0,'Исходные данные'!$B$88=""),0,MAX(0,IF('Исходные данные'!$B$88="Последние 12 месяцев",SUMIFS($Y$2:$Y$194,$B$2:$B$194,"&gt;="&amp;EDATE(B68,-11),$B$2:$B$194,"&lt;="&amp;B68),IF('Исходные данные'!$B$88="Пользовательский NOI",N('Исходные данные'!$B$89),AT68))/N('Исходные данные'!$B$80)*(1+N('Исходные данные'!$B$81))))</f>
        <v>0</v>
      </c>
      <c r="AV68">
        <f>IF(OR(E68&lt;&gt;1,B68="",'Исходные данные'!$B$91=""),0,IF(AND(YEAR(B68)=YEAR('Исходные данные'!$B$91),MONTH(B68)=MONTH('Исходные данные'!$B$91)),AU68,0))</f>
        <v>0</v>
      </c>
      <c r="AW68">
        <f>-AV68*N('Исходные данные'!$B$73)</f>
        <v>0</v>
      </c>
      <c r="AX68">
        <f>IF(AV68=0,0,-N('Исходные данные'!$B$87)-IF('Исходные данные'!$B$82="Да",IF('Исходные данные'!$B$84="С выручки",AV68,IF('Исходные данные'!$B$84="С прибыли",MAX(0,AV68+AW68-IF('Исходные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68">
        <f t="shared" si="51"/>
        <v>0</v>
      </c>
      <c r="AZ68">
        <f t="shared" si="52"/>
        <v>0</v>
      </c>
      <c r="BA68">
        <f t="shared" si="53"/>
        <v>0</v>
      </c>
      <c r="BB68" t="str">
        <f t="shared" si="60"/>
        <v/>
      </c>
      <c r="BC68">
        <f>IF(OR(E68=0,'Исходные данные'!$B$9="",'Исходные данные'!$B$90=""),0,BA68/(1+'Исходные данные'!$B$90)^((D68-'Исходные данные'!$B$9)/365))</f>
        <v>0</v>
      </c>
      <c r="BD68">
        <f>IF(AND(E68=1,BB68&gt;=0,BB67&lt;0,MIN($BB$2:BB68)&lt;0),1,0)</f>
        <v>0</v>
      </c>
      <c r="BE68">
        <f t="shared" si="54"/>
        <v>0</v>
      </c>
      <c r="BF68">
        <f t="shared" si="55"/>
        <v>0</v>
      </c>
      <c r="BG68">
        <f t="shared" si="56"/>
        <v>0</v>
      </c>
      <c r="BH68">
        <f t="shared" si="57"/>
        <v>1</v>
      </c>
      <c r="BI68">
        <f>AZ68+N68+AP68-AR68*N('Исходные данные'!$B$50)</f>
        <v>0</v>
      </c>
      <c r="BJ68">
        <f t="shared" ref="BJ68:BJ131" si="61">BJ67+BI68</f>
        <v>0</v>
      </c>
      <c r="BK68">
        <f>IF(AND(BJ68&gt;=0,BJ67&lt;0,MIN($BJ$2:BJ68)&lt;0),1,0)</f>
        <v>0</v>
      </c>
    </row>
    <row r="69" spans="1:63" x14ac:dyDescent="0.2">
      <c r="A69">
        <v>68</v>
      </c>
      <c r="B69" t="str">
        <f>IF('Исходные данные'!$B$9="","",EDATE(DATE(YEAR('Исходные данные'!$B$9),MONTH('Исходные данные'!$B$9),1),A69-1))</f>
        <v/>
      </c>
      <c r="C69" t="str">
        <f t="shared" si="41"/>
        <v/>
      </c>
      <c r="D69" t="str">
        <f>IF(B69="","",IF('Исходные данные'!$B$91&lt;&gt;"",IF(AND(YEAR(B69)=YEAR('Исходные данные'!$B$91),MONTH(B69)=MONTH('Исходные данные'!$B$91)),'Исходные данные'!$B$91,IF('Исходные данные'!$B$13&lt;&gt;"",IF(AND(YEAR(B69)=YEAR('Исходные данные'!$B$13),MONTH(B69)=MONTH('Исходные данные'!$B$13)),'Исходные данные'!$B$13,IF('Исходные данные'!$B$26&lt;&gt;"",IF(AND(YEAR(B69)=YEAR('Исходные данные'!$B$26),MONTH(B69)=MONTH('Исходные данные'!$B$26)),'Исходные данные'!$B$26,IF(A69=1,'Исходные данные'!$B$9,C69)),IF(A69=1,'Исходные данные'!$B$9,C69))),IF('Исходные данные'!$B$26&lt;&gt;"",IF(AND(YEAR(B69)=YEAR('Исходные данные'!$B$26),MONTH(B69)=MONTH('Исходные данные'!$B$26)),'Исходные данные'!$B$26,IF(A69=1,'Исходные данные'!$B$9,C69)),IF(A69=1,'Исходные данные'!$B$9,C69)))),IF('Исходные данные'!$B$13&lt;&gt;"",IF(AND(YEAR(B69)=YEAR('Исходные данные'!$B$13),MONTH(B69)=MONTH('Исходные данные'!$B$13)),'Исходные данные'!$B$13,IF('Исходные данные'!$B$26&lt;&gt;"",IF(AND(YEAR(B69)=YEAR('Исходные данные'!$B$26),MONTH(B69)=MONTH('Исходные данные'!$B$26)),'Исходные данные'!$B$26,IF(A69=1,'Исходные данные'!$B$9,C69)),IF(A69=1,'Исходные данные'!$B$9,C69))),IF('Исходные данные'!$B$26&lt;&gt;"",IF(AND(YEAR(B69)=YEAR('Исходные данные'!$B$26),MONTH(B69)=MONTH('Исходные данные'!$B$26)),'Исходные данные'!$B$26,IF(A69=1,'Исходные данные'!$B$9,C69)),IF(A69=1,'Исходные данные'!$B$9,C69)))))</f>
        <v/>
      </c>
      <c r="E69">
        <f>IF(OR(B69="",'Исходные данные'!$B$91=""),0,--(B69&lt;=DATE(YEAR('Исходные данные'!$B$91),MONTH('Исходные данные'!$B$91),1)))</f>
        <v>0</v>
      </c>
      <c r="F69">
        <f>IF(OR(B69="",'Исходные данные'!$B$30="",C69&lt;'Исходные данные'!$B$30),0,DATEDIF(DATE(YEAR('Исходные данные'!$B$30),MONTH('Исходные данные'!$B$30),1),B69,"m")+1)</f>
        <v>0</v>
      </c>
      <c r="G69">
        <f t="shared" si="42"/>
        <v>0</v>
      </c>
      <c r="H69">
        <f>IF(F69=0,0,IF(G69=1,N('Исходные данные'!$B$31),IF(G69=2,N('Исходные данные'!$B$32),IF(G69=3,N('Исходные данные'!$B$33),N('Исходные данные'!$B$33)*(1+N('Исходные данные'!$B$34))^(G69-3)))))</f>
        <v>0</v>
      </c>
      <c r="I69">
        <f>IF(OR(F69=0,N('Исходные данные'!$B$5)=0,H69=0),0,'Исходные данные'!$B$5*H69*IF(AND(B69&lt;='Исходные данные'!$B$30,C69&gt;='Исходные данные'!$B$30),(C69-'Исходные данные'!$B$30+1)/DAY(C69),1))</f>
        <v>0</v>
      </c>
      <c r="J69">
        <f>IF(AND(F69&gt;0,F69&lt;=N('Исходные данные'!$B$37)),-I69,0)</f>
        <v>0</v>
      </c>
      <c r="K69">
        <f>IF(OR(F69=0,F69&lt;=N('Исходные данные'!$B$37)),0,-(I69+J69)*N('Исходные данные'!$B$38))</f>
        <v>0</v>
      </c>
      <c r="L69">
        <f t="shared" si="43"/>
        <v>0</v>
      </c>
      <c r="M69">
        <f>IF('Исходные данные'!$B$51="Да",L69*N('Исходные данные'!$B$52),0)</f>
        <v>0</v>
      </c>
      <c r="N69">
        <f t="shared" si="44"/>
        <v>0</v>
      </c>
      <c r="O69">
        <f>IF(OR(B69="",IF('Исходные данные'!$B$45="",'Исходные данные'!$B$10,'Исходные данные'!$B$45)="",C69&lt;IF('Исходные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данные'!$B$45)),1),B69,"m")/12))*IF(AND(B69&lt;=IF('Исходные данные'!$B$45="",'Исходные данные'!$B$10,'Исходные данные'!$B$45),C69&gt;=IF('Исходные данные'!$B$45="",'Исходные данные'!$B$10,'Исходные данные'!$B$45)),(C69-IF('Исходные данные'!$B$45="",'Исходные данные'!$B$10,'Исходные данные'!$B$45)+1)/DAY(C69),1)*IF('Исходные данные'!$B$43="Без НДС",1+N('Исходные данные'!$B$44),1))</f>
        <v>0</v>
      </c>
      <c r="P69">
        <f>IF('Исходные данные'!$B$51="Да",-O69*N('Исходные данные'!$B$44)/(1+N('Исходные данные'!$B$44)),0)</f>
        <v>0</v>
      </c>
      <c r="Q69">
        <f>IF('Исходные данные'!$B$35="Да",-O69,0)</f>
        <v>0</v>
      </c>
      <c r="R69">
        <f>IF(AND('Исходные данные'!$B$51="Да",Q69&gt;0),Q69*N('Исходные данные'!$B$52)/(1+N('Исходные данные'!$B$52)),0)</f>
        <v>0</v>
      </c>
      <c r="S69">
        <f>IF(OR(B69="",IF('Исходные данные'!$B$45="",'Исходные данные'!$B$10,'Исходные данные'!$B$45)="",C69&lt;IF('Исходные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данные'!$B$45)),1),B69,"m")/12))*IF(AND(B69&lt;=IF('Исходные данные'!$B$45="",'Исходные данные'!$B$10,'Исходные данные'!$B$45),C69&gt;=IF('Исходные данные'!$B$45="",'Исходные данные'!$B$10,'Исходные данные'!$B$45)),(C69-IF('Исходные данные'!$B$45="",'Исходные данные'!$B$10,'Исходные данные'!$B$45)+1)/DAY(C69),1)*IF('Исходные данные'!$B$43="Без НДС",1+N('Исходные данные'!$B$44),1))</f>
        <v>0</v>
      </c>
      <c r="T69">
        <f>IF('Исходные данные'!$B$51="Да",-S69*N('Исходные данные'!$B$44)/(1+N('Исходные данные'!$B$44)),0)</f>
        <v>0</v>
      </c>
      <c r="U69">
        <f>IF('Исходные данные'!$B$36="Да",-S69,0)</f>
        <v>0</v>
      </c>
      <c r="V69">
        <f>IF(AND('Исходные данные'!$B$51="Да",U69&gt;0),U69*N('Исходные данные'!$B$52)/(1+N('Исходные данные'!$B$52)),0)</f>
        <v>0</v>
      </c>
      <c r="W69">
        <f>IF(OR(B69="",IF('Исходные данные'!$B$69="",'Исходные данные'!$B$10,'Исходные данные'!$B$69)="",C69&lt;IF('Исходные данные'!$B$69="",'Исходные данные'!$B$10,'Исходные данные'!$B$69)),0,-N('Исходные данные'!$B$16)*N('Исходные данные'!$B$68)*N('Исходные данные'!$B$67)/12*IF(AND(B69&lt;=IF('Исходные данные'!$B$69="",'Исходные данные'!$B$10,'Исходные данные'!$B$69),C69&gt;=IF('Исходные данные'!$B$69="",'Исходные данные'!$B$10,'Исходные данные'!$B$69)),(C69-IF('Исходные данные'!$B$69="",'Исходные данные'!$B$10,'Исходные данные'!$B$69)+1)/DAY(C69),1))</f>
        <v>0</v>
      </c>
      <c r="X69">
        <f>IF(OR(B69="",IF('Исходные данные'!$B$76="",'Исходные данные'!$B$10,'Исходные данные'!$B$76)="",C69&lt;IF('Исходные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данные'!$B$76)),1),B69,"m")/12))*IF(AND(B69&lt;=IF('Исходные данные'!$B$76="",'Исходные данные'!$B$10,'Исходные данные'!$B$76),C69&gt;=IF('Исходные данные'!$B$76="",'Исходные данные'!$B$10,'Исходные данные'!$B$76)),(C69-IF('Исходные данные'!$B$76="",'Исходные данные'!$B$10,'Исходные данные'!$B$76)+1)/DAY(C69),1))</f>
        <v>0</v>
      </c>
      <c r="Y69">
        <f t="shared" si="45"/>
        <v>0</v>
      </c>
      <c r="Z69">
        <f>IF(OR(B69="",N('Исходные данные'!$B$19)=0),0,-SUMIFS('Исходные данные'!$I$6:$I$186,'Исходные данные'!$F$6:$F$186,B69)*N('Исходные данные'!$B$17)/N('Исходные данные'!$B$19))</f>
        <v>0</v>
      </c>
      <c r="AA69">
        <f>IF(OR(B69="",N('Исходные данные'!$B$19)=0),0,-SUMIFS('Исходные данные'!$I$6:$I$186,'Исходные данные'!$F$6:$F$186,B69)*N('Исходные данные'!$B$18)/N('Исходные данные'!$B$19))</f>
        <v>0</v>
      </c>
      <c r="AB69">
        <f>IF(OR(B69="",'Исходные данные'!$B$13=""),0,IF(AND(YEAR(B69)=YEAR('Исходные данные'!$B$13),MONTH(B69)=MONTH('Исходные данные'!$B$13)),-N('Исходные данные'!$B$11),0))</f>
        <v>0</v>
      </c>
      <c r="AC69">
        <f>IF(A69=1,-N('Исходные данные'!$B$19)*N('Исходные данные'!$B$72),0)</f>
        <v>0</v>
      </c>
      <c r="AD69">
        <f>IF(OR(B69="",'Исходные данные'!$B$22&lt;&gt;"Да",'Исходные данные'!$B$26=""),0,IF(AND(YEAR(B69)=YEAR('Исходные данные'!$B$26),MONTH(B69)=MONTH('Исходные данные'!$B$26)),N('Исходные данные'!$B$23),0))</f>
        <v>0</v>
      </c>
      <c r="AE69">
        <f t="shared" si="58"/>
        <v>0</v>
      </c>
      <c r="AF69">
        <f>IF(OR('Исходные данные'!$B$22&lt;&gt;"Да",'Исходные данные'!$B$26="",C69&lt;'Исходные данные'!$B$26),0,DATEDIF(DATE(YEAR('Исходные данные'!$B$26),MONTH('Исходные данные'!$B$26),1),B69,"m")+1)</f>
        <v>0</v>
      </c>
      <c r="AG69">
        <f>IF(OR(AF69&lt;1,AF69&gt;N('Исходные данные'!$B$25),AE69+AD69&lt;=0),0,-(AE69+AD69)*N('Исходные данные'!$B$24)*IF(AF69=1,C69-'Исходные данные'!$B$26+1,DAY(C69))/365)</f>
        <v>0</v>
      </c>
      <c r="AH69">
        <f>IF(OR(AF69&lt;1,AF69&gt;N('Исходные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данные'!$B$25)-AG69))</f>
        <v>0</v>
      </c>
      <c r="AI69">
        <f>IF(OR('Исходные данные'!$B$22&lt;&gt;"Да",AE69+AD69&lt;=0),0,IF(AND('Исходные данные'!$B$91&lt;&gt;"",B69&lt;&gt;"",YEAR(B69)=YEAR('Исходные данные'!$B$91),MONTH(B69)=MONTH('Исходные данные'!$B$91)),-(AE69+AD69),IF(OR(AF69&lt;1,AF69&gt;N('Исходные данные'!$B$25)),0,IF('Исходные данные'!$B$27="Равными долями",-MIN(AE69+AD69,N('Исходные данные'!$B$23)/N('Исходные данные'!$B$25)),-MIN(AE69+AD69,IF(AF69=N('Исходные данные'!$B$25),AE69+AD69,MAX(0,AH69+AG69)))))))</f>
        <v>0</v>
      </c>
      <c r="AJ69">
        <f t="shared" si="46"/>
        <v>0</v>
      </c>
      <c r="AK69">
        <f t="shared" si="47"/>
        <v>0</v>
      </c>
      <c r="AL69">
        <f>IF(OR(B69="",'Исходные данные'!$B$51&lt;&gt;"Да",'Исходные данные'!$B$61=""),0,IF(AND(YEAR(B69)=YEAR('Исходные данные'!$B$61),MONTH(B69)=MONTH('Исходные данные'!$B$61)),N('Исходные данные'!$B$18)*N('Исходные данные'!$B$62),0))</f>
        <v>0</v>
      </c>
      <c r="AM69">
        <f t="shared" si="59"/>
        <v>0</v>
      </c>
      <c r="AN69">
        <f t="shared" si="48"/>
        <v>0</v>
      </c>
      <c r="AO69">
        <f t="shared" si="49"/>
        <v>0</v>
      </c>
      <c r="AP69">
        <f>IF('Исходные данные'!$B$51="Да",-MAX(0,AN69-AO69-AM69),0)</f>
        <v>0</v>
      </c>
      <c r="AQ69">
        <f>IF('Исходные данные'!$B$51="Да",MAX(0,AM69+AO69-AN69),0)</f>
        <v>0</v>
      </c>
      <c r="AR69">
        <f>IF('Исходные данные'!$B$53="Выручка",MAX(0,L69+(Q69-R69)+(U69-V69)),IF('Исходные данные'!$B$53="Прибыль до налога",MAX(0,L69+(Q69-R69)+(U69-V69)+N('Исходные данные'!$B$54)*((O69+P69)+(S69+T69)+W69+X69)+IF('Исходные данные'!$B$55="Да",AG69,0)-N('Исходные данные'!$B$56)/12),IF('Исходные данные'!$B$53="Пользовательская база",MAX(0,N('Исходные данные'!$B$57)/12),0)))</f>
        <v>0</v>
      </c>
      <c r="AS69">
        <f>IF(E69=1,-AR69*N('Исходные данные'!$B$50),0)</f>
        <v>0</v>
      </c>
      <c r="AT69">
        <f t="shared" si="50"/>
        <v>0</v>
      </c>
      <c r="AU69">
        <f>IF(OR(B69="",N('Исходные данные'!$B$80)&lt;=0,'Исходные данные'!$B$88=""),0,MAX(0,IF('Исходные данные'!$B$88="Последние 12 месяцев",SUMIFS($Y$2:$Y$194,$B$2:$B$194,"&gt;="&amp;EDATE(B69,-11),$B$2:$B$194,"&lt;="&amp;B69),IF('Исходные данные'!$B$88="Пользовательский NOI",N('Исходные данные'!$B$89),AT69))/N('Исходные данные'!$B$80)*(1+N('Исходные данные'!$B$81))))</f>
        <v>0</v>
      </c>
      <c r="AV69">
        <f>IF(OR(E69&lt;&gt;1,B69="",'Исходные данные'!$B$91=""),0,IF(AND(YEAR(B69)=YEAR('Исходные данные'!$B$91),MONTH(B69)=MONTH('Исходные данные'!$B$91)),AU69,0))</f>
        <v>0</v>
      </c>
      <c r="AW69">
        <f>-AV69*N('Исходные данные'!$B$73)</f>
        <v>0</v>
      </c>
      <c r="AX69">
        <f>IF(AV69=0,0,-N('Исходные данные'!$B$87)-IF('Исходные данные'!$B$82="Да",IF('Исходные данные'!$B$84="С выручки",AV69,IF('Исходные данные'!$B$84="С прибыли",MAX(0,AV69+AW69-IF('Исходные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69">
        <f t="shared" si="51"/>
        <v>0</v>
      </c>
      <c r="AZ69">
        <f t="shared" si="52"/>
        <v>0</v>
      </c>
      <c r="BA69">
        <f t="shared" si="53"/>
        <v>0</v>
      </c>
      <c r="BB69" t="str">
        <f t="shared" si="60"/>
        <v/>
      </c>
      <c r="BC69">
        <f>IF(OR(E69=0,'Исходные данные'!$B$9="",'Исходные данные'!$B$90=""),0,BA69/(1+'Исходные данные'!$B$90)^((D69-'Исходные данные'!$B$9)/365))</f>
        <v>0</v>
      </c>
      <c r="BD69">
        <f>IF(AND(E69=1,BB69&gt;=0,BB68&lt;0,MIN($BB$2:BB69)&lt;0),1,0)</f>
        <v>0</v>
      </c>
      <c r="BE69">
        <f t="shared" si="54"/>
        <v>0</v>
      </c>
      <c r="BF69">
        <f t="shared" si="55"/>
        <v>0</v>
      </c>
      <c r="BG69">
        <f t="shared" si="56"/>
        <v>0</v>
      </c>
      <c r="BH69">
        <f t="shared" si="57"/>
        <v>1</v>
      </c>
      <c r="BI69">
        <f>AZ69+N69+AP69-AR69*N('Исходные данные'!$B$50)</f>
        <v>0</v>
      </c>
      <c r="BJ69">
        <f t="shared" si="61"/>
        <v>0</v>
      </c>
      <c r="BK69">
        <f>IF(AND(BJ69&gt;=0,BJ68&lt;0,MIN($BJ$2:BJ69)&lt;0),1,0)</f>
        <v>0</v>
      </c>
    </row>
    <row r="70" spans="1:63" x14ac:dyDescent="0.2">
      <c r="A70">
        <v>69</v>
      </c>
      <c r="B70" t="str">
        <f>IF('Исходные данные'!$B$9="","",EDATE(DATE(YEAR('Исходные данные'!$B$9),MONTH('Исходные данные'!$B$9),1),A70-1))</f>
        <v/>
      </c>
      <c r="C70" t="str">
        <f t="shared" si="41"/>
        <v/>
      </c>
      <c r="D70" t="str">
        <f>IF(B70="","",IF('Исходные данные'!$B$91&lt;&gt;"",IF(AND(YEAR(B70)=YEAR('Исходные данные'!$B$91),MONTH(B70)=MONTH('Исходные данные'!$B$91)),'Исходные данные'!$B$91,IF('Исходные данные'!$B$13&lt;&gt;"",IF(AND(YEAR(B70)=YEAR('Исходные данные'!$B$13),MONTH(B70)=MONTH('Исходные данные'!$B$13)),'Исходные данные'!$B$13,IF('Исходные данные'!$B$26&lt;&gt;"",IF(AND(YEAR(B70)=YEAR('Исходные данные'!$B$26),MONTH(B70)=MONTH('Исходные данные'!$B$26)),'Исходные данные'!$B$26,IF(A70=1,'Исходные данные'!$B$9,C70)),IF(A70=1,'Исходные данные'!$B$9,C70))),IF('Исходные данные'!$B$26&lt;&gt;"",IF(AND(YEAR(B70)=YEAR('Исходные данные'!$B$26),MONTH(B70)=MONTH('Исходные данные'!$B$26)),'Исходные данные'!$B$26,IF(A70=1,'Исходные данные'!$B$9,C70)),IF(A70=1,'Исходные данные'!$B$9,C70)))),IF('Исходные данные'!$B$13&lt;&gt;"",IF(AND(YEAR(B70)=YEAR('Исходные данные'!$B$13),MONTH(B70)=MONTH('Исходные данные'!$B$13)),'Исходные данные'!$B$13,IF('Исходные данные'!$B$26&lt;&gt;"",IF(AND(YEAR(B70)=YEAR('Исходные данные'!$B$26),MONTH(B70)=MONTH('Исходные данные'!$B$26)),'Исходные данные'!$B$26,IF(A70=1,'Исходные данные'!$B$9,C70)),IF(A70=1,'Исходные данные'!$B$9,C70))),IF('Исходные данные'!$B$26&lt;&gt;"",IF(AND(YEAR(B70)=YEAR('Исходные данные'!$B$26),MONTH(B70)=MONTH('Исходные данные'!$B$26)),'Исходные данные'!$B$26,IF(A70=1,'Исходные данные'!$B$9,C70)),IF(A70=1,'Исходные данные'!$B$9,C70)))))</f>
        <v/>
      </c>
      <c r="E70">
        <f>IF(OR(B70="",'Исходные данные'!$B$91=""),0,--(B70&lt;=DATE(YEAR('Исходные данные'!$B$91),MONTH('Исходные данные'!$B$91),1)))</f>
        <v>0</v>
      </c>
      <c r="F70">
        <f>IF(OR(B70="",'Исходные данные'!$B$30="",C70&lt;'Исходные данные'!$B$30),0,DATEDIF(DATE(YEAR('Исходные данные'!$B$30),MONTH('Исходные данные'!$B$30),1),B70,"m")+1)</f>
        <v>0</v>
      </c>
      <c r="G70">
        <f t="shared" si="42"/>
        <v>0</v>
      </c>
      <c r="H70">
        <f>IF(F70=0,0,IF(G70=1,N('Исходные данные'!$B$31),IF(G70=2,N('Исходные данные'!$B$32),IF(G70=3,N('Исходные данные'!$B$33),N('Исходные данные'!$B$33)*(1+N('Исходные данные'!$B$34))^(G70-3)))))</f>
        <v>0</v>
      </c>
      <c r="I70">
        <f>IF(OR(F70=0,N('Исходные данные'!$B$5)=0,H70=0),0,'Исходные данные'!$B$5*H70*IF(AND(B70&lt;='Исходные данные'!$B$30,C70&gt;='Исходные данные'!$B$30),(C70-'Исходные данные'!$B$30+1)/DAY(C70),1))</f>
        <v>0</v>
      </c>
      <c r="J70">
        <f>IF(AND(F70&gt;0,F70&lt;=N('Исходные данные'!$B$37)),-I70,0)</f>
        <v>0</v>
      </c>
      <c r="K70">
        <f>IF(OR(F70=0,F70&lt;=N('Исходные данные'!$B$37)),0,-(I70+J70)*N('Исходные данные'!$B$38))</f>
        <v>0</v>
      </c>
      <c r="L70">
        <f t="shared" si="43"/>
        <v>0</v>
      </c>
      <c r="M70">
        <f>IF('Исходные данные'!$B$51="Да",L70*N('Исходные данные'!$B$52),0)</f>
        <v>0</v>
      </c>
      <c r="N70">
        <f t="shared" si="44"/>
        <v>0</v>
      </c>
      <c r="O70">
        <f>IF(OR(B70="",IF('Исходные данные'!$B$45="",'Исходные данные'!$B$10,'Исходные данные'!$B$45)="",C70&lt;IF('Исходные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данные'!$B$45)),1),B70,"m")/12))*IF(AND(B70&lt;=IF('Исходные данные'!$B$45="",'Исходные данные'!$B$10,'Исходные данные'!$B$45),C70&gt;=IF('Исходные данные'!$B$45="",'Исходные данные'!$B$10,'Исходные данные'!$B$45)),(C70-IF('Исходные данные'!$B$45="",'Исходные данные'!$B$10,'Исходные данные'!$B$45)+1)/DAY(C70),1)*IF('Исходные данные'!$B$43="Без НДС",1+N('Исходные данные'!$B$44),1))</f>
        <v>0</v>
      </c>
      <c r="P70">
        <f>IF('Исходные данные'!$B$51="Да",-O70*N('Исходные данные'!$B$44)/(1+N('Исходные данные'!$B$44)),0)</f>
        <v>0</v>
      </c>
      <c r="Q70">
        <f>IF('Исходные данные'!$B$35="Да",-O70,0)</f>
        <v>0</v>
      </c>
      <c r="R70">
        <f>IF(AND('Исходные данные'!$B$51="Да",Q70&gt;0),Q70*N('Исходные данные'!$B$52)/(1+N('Исходные данные'!$B$52)),0)</f>
        <v>0</v>
      </c>
      <c r="S70">
        <f>IF(OR(B70="",IF('Исходные данные'!$B$45="",'Исходные данные'!$B$10,'Исходные данные'!$B$45)="",C70&lt;IF('Исходные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данные'!$B$45)),1),B70,"m")/12))*IF(AND(B70&lt;=IF('Исходные данные'!$B$45="",'Исходные данные'!$B$10,'Исходные данные'!$B$45),C70&gt;=IF('Исходные данные'!$B$45="",'Исходные данные'!$B$10,'Исходные данные'!$B$45)),(C70-IF('Исходные данные'!$B$45="",'Исходные данные'!$B$10,'Исходные данные'!$B$45)+1)/DAY(C70),1)*IF('Исходные данные'!$B$43="Без НДС",1+N('Исходные данные'!$B$44),1))</f>
        <v>0</v>
      </c>
      <c r="T70">
        <f>IF('Исходные данные'!$B$51="Да",-S70*N('Исходные данные'!$B$44)/(1+N('Исходные данные'!$B$44)),0)</f>
        <v>0</v>
      </c>
      <c r="U70">
        <f>IF('Исходные данные'!$B$36="Да",-S70,0)</f>
        <v>0</v>
      </c>
      <c r="V70">
        <f>IF(AND('Исходные данные'!$B$51="Да",U70&gt;0),U70*N('Исходные данные'!$B$52)/(1+N('Исходные данные'!$B$52)),0)</f>
        <v>0</v>
      </c>
      <c r="W70">
        <f>IF(OR(B70="",IF('Исходные данные'!$B$69="",'Исходные данные'!$B$10,'Исходные данные'!$B$69)="",C70&lt;IF('Исходные данные'!$B$69="",'Исходные данные'!$B$10,'Исходные данные'!$B$69)),0,-N('Исходные данные'!$B$16)*N('Исходные данные'!$B$68)*N('Исходные данные'!$B$67)/12*IF(AND(B70&lt;=IF('Исходные данные'!$B$69="",'Исходные данные'!$B$10,'Исходные данные'!$B$69),C70&gt;=IF('Исходные данные'!$B$69="",'Исходные данные'!$B$10,'Исходные данные'!$B$69)),(C70-IF('Исходные данные'!$B$69="",'Исходные данные'!$B$10,'Исходные данные'!$B$69)+1)/DAY(C70),1))</f>
        <v>0</v>
      </c>
      <c r="X70">
        <f>IF(OR(B70="",IF('Исходные данные'!$B$76="",'Исходные данные'!$B$10,'Исходные данные'!$B$76)="",C70&lt;IF('Исходные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данные'!$B$76)),1),B70,"m")/12))*IF(AND(B70&lt;=IF('Исходные данные'!$B$76="",'Исходные данные'!$B$10,'Исходные данные'!$B$76),C70&gt;=IF('Исходные данные'!$B$76="",'Исходные данные'!$B$10,'Исходные данные'!$B$76)),(C70-IF('Исходные данные'!$B$76="",'Исходные данные'!$B$10,'Исходные данные'!$B$76)+1)/DAY(C70),1))</f>
        <v>0</v>
      </c>
      <c r="Y70">
        <f t="shared" si="45"/>
        <v>0</v>
      </c>
      <c r="Z70">
        <f>IF(OR(B70="",N('Исходные данные'!$B$19)=0),0,-SUMIFS('Исходные данные'!$I$6:$I$186,'Исходные данные'!$F$6:$F$186,B70)*N('Исходные данные'!$B$17)/N('Исходные данные'!$B$19))</f>
        <v>0</v>
      </c>
      <c r="AA70">
        <f>IF(OR(B70="",N('Исходные данные'!$B$19)=0),0,-SUMIFS('Исходные данные'!$I$6:$I$186,'Исходные данные'!$F$6:$F$186,B70)*N('Исходные данные'!$B$18)/N('Исходные данные'!$B$19))</f>
        <v>0</v>
      </c>
      <c r="AB70">
        <f>IF(OR(B70="",'Исходные данные'!$B$13=""),0,IF(AND(YEAR(B70)=YEAR('Исходные данные'!$B$13),MONTH(B70)=MONTH('Исходные данные'!$B$13)),-N('Исходные данные'!$B$11),0))</f>
        <v>0</v>
      </c>
      <c r="AC70">
        <f>IF(A70=1,-N('Исходные данные'!$B$19)*N('Исходные данные'!$B$72),0)</f>
        <v>0</v>
      </c>
      <c r="AD70">
        <f>IF(OR(B70="",'Исходные данные'!$B$22&lt;&gt;"Да",'Исходные данные'!$B$26=""),0,IF(AND(YEAR(B70)=YEAR('Исходные данные'!$B$26),MONTH(B70)=MONTH('Исходные данные'!$B$26)),N('Исходные данные'!$B$23),0))</f>
        <v>0</v>
      </c>
      <c r="AE70">
        <f t="shared" si="58"/>
        <v>0</v>
      </c>
      <c r="AF70">
        <f>IF(OR('Исходные данные'!$B$22&lt;&gt;"Да",'Исходные данные'!$B$26="",C70&lt;'Исходные данные'!$B$26),0,DATEDIF(DATE(YEAR('Исходные данные'!$B$26),MONTH('Исходные данные'!$B$26),1),B70,"m")+1)</f>
        <v>0</v>
      </c>
      <c r="AG70">
        <f>IF(OR(AF70&lt;1,AF70&gt;N('Исходные данные'!$B$25),AE70+AD70&lt;=0),0,-(AE70+AD70)*N('Исходные данные'!$B$24)*IF(AF70=1,C70-'Исходные данные'!$B$26+1,DAY(C70))/365)</f>
        <v>0</v>
      </c>
      <c r="AH70">
        <f>IF(OR(AF70&lt;1,AF70&gt;N('Исходные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данные'!$B$25)-AG70))</f>
        <v>0</v>
      </c>
      <c r="AI70">
        <f>IF(OR('Исходные данные'!$B$22&lt;&gt;"Да",AE70+AD70&lt;=0),0,IF(AND('Исходные данные'!$B$91&lt;&gt;"",B70&lt;&gt;"",YEAR(B70)=YEAR('Исходные данные'!$B$91),MONTH(B70)=MONTH('Исходные данные'!$B$91)),-(AE70+AD70),IF(OR(AF70&lt;1,AF70&gt;N('Исходные данные'!$B$25)),0,IF('Исходные данные'!$B$27="Равными долями",-MIN(AE70+AD70,N('Исходные данные'!$B$23)/N('Исходные данные'!$B$25)),-MIN(AE70+AD70,IF(AF70=N('Исходные данные'!$B$25),AE70+AD70,MAX(0,AH70+AG70)))))))</f>
        <v>0</v>
      </c>
      <c r="AJ70">
        <f t="shared" si="46"/>
        <v>0</v>
      </c>
      <c r="AK70">
        <f t="shared" si="47"/>
        <v>0</v>
      </c>
      <c r="AL70">
        <f>IF(OR(B70="",'Исходные данные'!$B$51&lt;&gt;"Да",'Исходные данные'!$B$61=""),0,IF(AND(YEAR(B70)=YEAR('Исходные данные'!$B$61),MONTH(B70)=MONTH('Исходные данные'!$B$61)),N('Исходные данные'!$B$18)*N('Исходные данные'!$B$62),0))</f>
        <v>0</v>
      </c>
      <c r="AM70">
        <f t="shared" si="59"/>
        <v>0</v>
      </c>
      <c r="AN70">
        <f t="shared" si="48"/>
        <v>0</v>
      </c>
      <c r="AO70">
        <f t="shared" si="49"/>
        <v>0</v>
      </c>
      <c r="AP70">
        <f>IF('Исходные данные'!$B$51="Да",-MAX(0,AN70-AO70-AM70),0)</f>
        <v>0</v>
      </c>
      <c r="AQ70">
        <f>IF('Исходные данные'!$B$51="Да",MAX(0,AM70+AO70-AN70),0)</f>
        <v>0</v>
      </c>
      <c r="AR70">
        <f>IF('Исходные данные'!$B$53="Выручка",MAX(0,L70+(Q70-R70)+(U70-V70)),IF('Исходные данные'!$B$53="Прибыль до налога",MAX(0,L70+(Q70-R70)+(U70-V70)+N('Исходные данные'!$B$54)*((O70+P70)+(S70+T70)+W70+X70)+IF('Исходные данные'!$B$55="Да",AG70,0)-N('Исходные данные'!$B$56)/12),IF('Исходные данные'!$B$53="Пользовательская база",MAX(0,N('Исходные данные'!$B$57)/12),0)))</f>
        <v>0</v>
      </c>
      <c r="AS70">
        <f>IF(E70=1,-AR70*N('Исходные данные'!$B$50),0)</f>
        <v>0</v>
      </c>
      <c r="AT70">
        <f t="shared" si="50"/>
        <v>0</v>
      </c>
      <c r="AU70">
        <f>IF(OR(B70="",N('Исходные данные'!$B$80)&lt;=0,'Исходные данные'!$B$88=""),0,MAX(0,IF('Исходные данные'!$B$88="Последние 12 месяцев",SUMIFS($Y$2:$Y$194,$B$2:$B$194,"&gt;="&amp;EDATE(B70,-11),$B$2:$B$194,"&lt;="&amp;B70),IF('Исходные данные'!$B$88="Пользовательский NOI",N('Исходные данные'!$B$89),AT70))/N('Исходные данные'!$B$80)*(1+N('Исходные данные'!$B$81))))</f>
        <v>0</v>
      </c>
      <c r="AV70">
        <f>IF(OR(E70&lt;&gt;1,B70="",'Исходные данные'!$B$91=""),0,IF(AND(YEAR(B70)=YEAR('Исходные данные'!$B$91),MONTH(B70)=MONTH('Исходные данные'!$B$91)),AU70,0))</f>
        <v>0</v>
      </c>
      <c r="AW70">
        <f>-AV70*N('Исходные данные'!$B$73)</f>
        <v>0</v>
      </c>
      <c r="AX70">
        <f>IF(AV70=0,0,-N('Исходные данные'!$B$87)-IF('Исходные данные'!$B$82="Да",IF('Исходные данные'!$B$84="С выручки",AV70,IF('Исходные данные'!$B$84="С прибыли",MAX(0,AV70+AW70-IF('Исходные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70">
        <f t="shared" si="51"/>
        <v>0</v>
      </c>
      <c r="AZ70">
        <f t="shared" si="52"/>
        <v>0</v>
      </c>
      <c r="BA70">
        <f t="shared" si="53"/>
        <v>0</v>
      </c>
      <c r="BB70" t="str">
        <f t="shared" si="60"/>
        <v/>
      </c>
      <c r="BC70">
        <f>IF(OR(E70=0,'Исходные данные'!$B$9="",'Исходные данные'!$B$90=""),0,BA70/(1+'Исходные данные'!$B$90)^((D70-'Исходные данные'!$B$9)/365))</f>
        <v>0</v>
      </c>
      <c r="BD70">
        <f>IF(AND(E70=1,BB70&gt;=0,BB69&lt;0,MIN($BB$2:BB70)&lt;0),1,0)</f>
        <v>0</v>
      </c>
      <c r="BE70">
        <f t="shared" si="54"/>
        <v>0</v>
      </c>
      <c r="BF70">
        <f t="shared" si="55"/>
        <v>0</v>
      </c>
      <c r="BG70">
        <f t="shared" si="56"/>
        <v>0</v>
      </c>
      <c r="BH70">
        <f t="shared" si="57"/>
        <v>1</v>
      </c>
      <c r="BI70">
        <f>AZ70+N70+AP70-AR70*N('Исходные данные'!$B$50)</f>
        <v>0</v>
      </c>
      <c r="BJ70">
        <f t="shared" si="61"/>
        <v>0</v>
      </c>
      <c r="BK70">
        <f>IF(AND(BJ70&gt;=0,BJ69&lt;0,MIN($BJ$2:BJ70)&lt;0),1,0)</f>
        <v>0</v>
      </c>
    </row>
    <row r="71" spans="1:63" x14ac:dyDescent="0.2">
      <c r="A71">
        <v>70</v>
      </c>
      <c r="B71" t="str">
        <f>IF('Исходные данные'!$B$9="","",EDATE(DATE(YEAR('Исходные данные'!$B$9),MONTH('Исходные данные'!$B$9),1),A71-1))</f>
        <v/>
      </c>
      <c r="C71" t="str">
        <f t="shared" si="41"/>
        <v/>
      </c>
      <c r="D71" t="str">
        <f>IF(B71="","",IF('Исходные данные'!$B$91&lt;&gt;"",IF(AND(YEAR(B71)=YEAR('Исходные данные'!$B$91),MONTH(B71)=MONTH('Исходные данные'!$B$91)),'Исходные данные'!$B$91,IF('Исходные данные'!$B$13&lt;&gt;"",IF(AND(YEAR(B71)=YEAR('Исходные данные'!$B$13),MONTH(B71)=MONTH('Исходные данные'!$B$13)),'Исходные данные'!$B$13,IF('Исходные данные'!$B$26&lt;&gt;"",IF(AND(YEAR(B71)=YEAR('Исходные данные'!$B$26),MONTH(B71)=MONTH('Исходные данные'!$B$26)),'Исходные данные'!$B$26,IF(A71=1,'Исходные данные'!$B$9,C71)),IF(A71=1,'Исходные данные'!$B$9,C71))),IF('Исходные данные'!$B$26&lt;&gt;"",IF(AND(YEAR(B71)=YEAR('Исходные данные'!$B$26),MONTH(B71)=MONTH('Исходные данные'!$B$26)),'Исходные данные'!$B$26,IF(A71=1,'Исходные данные'!$B$9,C71)),IF(A71=1,'Исходные данные'!$B$9,C71)))),IF('Исходные данные'!$B$13&lt;&gt;"",IF(AND(YEAR(B71)=YEAR('Исходные данные'!$B$13),MONTH(B71)=MONTH('Исходные данные'!$B$13)),'Исходные данные'!$B$13,IF('Исходные данные'!$B$26&lt;&gt;"",IF(AND(YEAR(B71)=YEAR('Исходные данные'!$B$26),MONTH(B71)=MONTH('Исходные данные'!$B$26)),'Исходные данные'!$B$26,IF(A71=1,'Исходные данные'!$B$9,C71)),IF(A71=1,'Исходные данные'!$B$9,C71))),IF('Исходные данные'!$B$26&lt;&gt;"",IF(AND(YEAR(B71)=YEAR('Исходные данные'!$B$26),MONTH(B71)=MONTH('Исходные данные'!$B$26)),'Исходные данные'!$B$26,IF(A71=1,'Исходные данные'!$B$9,C71)),IF(A71=1,'Исходные данные'!$B$9,C71)))))</f>
        <v/>
      </c>
      <c r="E71">
        <f>IF(OR(B71="",'Исходные данные'!$B$91=""),0,--(B71&lt;=DATE(YEAR('Исходные данные'!$B$91),MONTH('Исходные данные'!$B$91),1)))</f>
        <v>0</v>
      </c>
      <c r="F71">
        <f>IF(OR(B71="",'Исходные данные'!$B$30="",C71&lt;'Исходные данные'!$B$30),0,DATEDIF(DATE(YEAR('Исходные данные'!$B$30),MONTH('Исходные данные'!$B$30),1),B71,"m")+1)</f>
        <v>0</v>
      </c>
      <c r="G71">
        <f t="shared" si="42"/>
        <v>0</v>
      </c>
      <c r="H71">
        <f>IF(F71=0,0,IF(G71=1,N('Исходные данные'!$B$31),IF(G71=2,N('Исходные данные'!$B$32),IF(G71=3,N('Исходные данные'!$B$33),N('Исходные данные'!$B$33)*(1+N('Исходные данные'!$B$34))^(G71-3)))))</f>
        <v>0</v>
      </c>
      <c r="I71">
        <f>IF(OR(F71=0,N('Исходные данные'!$B$5)=0,H71=0),0,'Исходные данные'!$B$5*H71*IF(AND(B71&lt;='Исходные данные'!$B$30,C71&gt;='Исходные данные'!$B$30),(C71-'Исходные данные'!$B$30+1)/DAY(C71),1))</f>
        <v>0</v>
      </c>
      <c r="J71">
        <f>IF(AND(F71&gt;0,F71&lt;=N('Исходные данные'!$B$37)),-I71,0)</f>
        <v>0</v>
      </c>
      <c r="K71">
        <f>IF(OR(F71=0,F71&lt;=N('Исходные данные'!$B$37)),0,-(I71+J71)*N('Исходные данные'!$B$38))</f>
        <v>0</v>
      </c>
      <c r="L71">
        <f t="shared" si="43"/>
        <v>0</v>
      </c>
      <c r="M71">
        <f>IF('Исходные данные'!$B$51="Да",L71*N('Исходные данные'!$B$52),0)</f>
        <v>0</v>
      </c>
      <c r="N71">
        <f t="shared" si="44"/>
        <v>0</v>
      </c>
      <c r="O71">
        <f>IF(OR(B71="",IF('Исходные данные'!$B$45="",'Исходные данные'!$B$10,'Исходные данные'!$B$45)="",C71&lt;IF('Исходные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данные'!$B$45)),1),B71,"m")/12))*IF(AND(B71&lt;=IF('Исходные данные'!$B$45="",'Исходные данные'!$B$10,'Исходные данные'!$B$45),C71&gt;=IF('Исходные данные'!$B$45="",'Исходные данные'!$B$10,'Исходные данные'!$B$45)),(C71-IF('Исходные данные'!$B$45="",'Исходные данные'!$B$10,'Исходные данные'!$B$45)+1)/DAY(C71),1)*IF('Исходные данные'!$B$43="Без НДС",1+N('Исходные данные'!$B$44),1))</f>
        <v>0</v>
      </c>
      <c r="P71">
        <f>IF('Исходные данные'!$B$51="Да",-O71*N('Исходные данные'!$B$44)/(1+N('Исходные данные'!$B$44)),0)</f>
        <v>0</v>
      </c>
      <c r="Q71">
        <f>IF('Исходные данные'!$B$35="Да",-O71,0)</f>
        <v>0</v>
      </c>
      <c r="R71">
        <f>IF(AND('Исходные данные'!$B$51="Да",Q71&gt;0),Q71*N('Исходные данные'!$B$52)/(1+N('Исходные данные'!$B$52)),0)</f>
        <v>0</v>
      </c>
      <c r="S71">
        <f>IF(OR(B71="",IF('Исходные данные'!$B$45="",'Исходные данные'!$B$10,'Исходные данные'!$B$45)="",C71&lt;IF('Исходные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данные'!$B$45)),1),B71,"m")/12))*IF(AND(B71&lt;=IF('Исходные данные'!$B$45="",'Исходные данные'!$B$10,'Исходные данные'!$B$45),C71&gt;=IF('Исходные данные'!$B$45="",'Исходные данные'!$B$10,'Исходные данные'!$B$45)),(C71-IF('Исходные данные'!$B$45="",'Исходные данные'!$B$10,'Исходные данные'!$B$45)+1)/DAY(C71),1)*IF('Исходные данные'!$B$43="Без НДС",1+N('Исходные данные'!$B$44),1))</f>
        <v>0</v>
      </c>
      <c r="T71">
        <f>IF('Исходные данные'!$B$51="Да",-S71*N('Исходные данные'!$B$44)/(1+N('Исходные данные'!$B$44)),0)</f>
        <v>0</v>
      </c>
      <c r="U71">
        <f>IF('Исходные данные'!$B$36="Да",-S71,0)</f>
        <v>0</v>
      </c>
      <c r="V71">
        <f>IF(AND('Исходные данные'!$B$51="Да",U71&gt;0),U71*N('Исходные данные'!$B$52)/(1+N('Исходные данные'!$B$52)),0)</f>
        <v>0</v>
      </c>
      <c r="W71">
        <f>IF(OR(B71="",IF('Исходные данные'!$B$69="",'Исходные данные'!$B$10,'Исходные данные'!$B$69)="",C71&lt;IF('Исходные данные'!$B$69="",'Исходные данные'!$B$10,'Исходные данные'!$B$69)),0,-N('Исходные данные'!$B$16)*N('Исходные данные'!$B$68)*N('Исходные данные'!$B$67)/12*IF(AND(B71&lt;=IF('Исходные данные'!$B$69="",'Исходные данные'!$B$10,'Исходные данные'!$B$69),C71&gt;=IF('Исходные данные'!$B$69="",'Исходные данные'!$B$10,'Исходные данные'!$B$69)),(C71-IF('Исходные данные'!$B$69="",'Исходные данные'!$B$10,'Исходные данные'!$B$69)+1)/DAY(C71),1))</f>
        <v>0</v>
      </c>
      <c r="X71">
        <f>IF(OR(B71="",IF('Исходные данные'!$B$76="",'Исходные данные'!$B$10,'Исходные данные'!$B$76)="",C71&lt;IF('Исходные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данные'!$B$76)),1),B71,"m")/12))*IF(AND(B71&lt;=IF('Исходные данные'!$B$76="",'Исходные данные'!$B$10,'Исходные данные'!$B$76),C71&gt;=IF('Исходные данные'!$B$76="",'Исходные данные'!$B$10,'Исходные данные'!$B$76)),(C71-IF('Исходные данные'!$B$76="",'Исходные данные'!$B$10,'Исходные данные'!$B$76)+1)/DAY(C71),1))</f>
        <v>0</v>
      </c>
      <c r="Y71">
        <f t="shared" si="45"/>
        <v>0</v>
      </c>
      <c r="Z71">
        <f>IF(OR(B71="",N('Исходные данные'!$B$19)=0),0,-SUMIFS('Исходные данные'!$I$6:$I$186,'Исходные данные'!$F$6:$F$186,B71)*N('Исходные данные'!$B$17)/N('Исходные данные'!$B$19))</f>
        <v>0</v>
      </c>
      <c r="AA71">
        <f>IF(OR(B71="",N('Исходные данные'!$B$19)=0),0,-SUMIFS('Исходные данные'!$I$6:$I$186,'Исходные данные'!$F$6:$F$186,B71)*N('Исходные данные'!$B$18)/N('Исходные данные'!$B$19))</f>
        <v>0</v>
      </c>
      <c r="AB71">
        <f>IF(OR(B71="",'Исходные данные'!$B$13=""),0,IF(AND(YEAR(B71)=YEAR('Исходные данные'!$B$13),MONTH(B71)=MONTH('Исходные данные'!$B$13)),-N('Исходные данные'!$B$11),0))</f>
        <v>0</v>
      </c>
      <c r="AC71">
        <f>IF(A71=1,-N('Исходные данные'!$B$19)*N('Исходные данные'!$B$72),0)</f>
        <v>0</v>
      </c>
      <c r="AD71">
        <f>IF(OR(B71="",'Исходные данные'!$B$22&lt;&gt;"Да",'Исходные данные'!$B$26=""),0,IF(AND(YEAR(B71)=YEAR('Исходные данные'!$B$26),MONTH(B71)=MONTH('Исходные данные'!$B$26)),N('Исходные данные'!$B$23),0))</f>
        <v>0</v>
      </c>
      <c r="AE71">
        <f t="shared" si="58"/>
        <v>0</v>
      </c>
      <c r="AF71">
        <f>IF(OR('Исходные данные'!$B$22&lt;&gt;"Да",'Исходные данные'!$B$26="",C71&lt;'Исходные данные'!$B$26),0,DATEDIF(DATE(YEAR('Исходные данные'!$B$26),MONTH('Исходные данные'!$B$26),1),B71,"m")+1)</f>
        <v>0</v>
      </c>
      <c r="AG71">
        <f>IF(OR(AF71&lt;1,AF71&gt;N('Исходные данные'!$B$25),AE71+AD71&lt;=0),0,-(AE71+AD71)*N('Исходные данные'!$B$24)*IF(AF71=1,C71-'Исходные данные'!$B$26+1,DAY(C71))/365)</f>
        <v>0</v>
      </c>
      <c r="AH71">
        <f>IF(OR(AF71&lt;1,AF71&gt;N('Исходные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данные'!$B$25)-AG71))</f>
        <v>0</v>
      </c>
      <c r="AI71">
        <f>IF(OR('Исходные данные'!$B$22&lt;&gt;"Да",AE71+AD71&lt;=0),0,IF(AND('Исходные данные'!$B$91&lt;&gt;"",B71&lt;&gt;"",YEAR(B71)=YEAR('Исходные данные'!$B$91),MONTH(B71)=MONTH('Исходные данные'!$B$91)),-(AE71+AD71),IF(OR(AF71&lt;1,AF71&gt;N('Исходные данные'!$B$25)),0,IF('Исходные данные'!$B$27="Равными долями",-MIN(AE71+AD71,N('Исходные данные'!$B$23)/N('Исходные данные'!$B$25)),-MIN(AE71+AD71,IF(AF71=N('Исходные данные'!$B$25),AE71+AD71,MAX(0,AH71+AG71)))))))</f>
        <v>0</v>
      </c>
      <c r="AJ71">
        <f t="shared" si="46"/>
        <v>0</v>
      </c>
      <c r="AK71">
        <f t="shared" si="47"/>
        <v>0</v>
      </c>
      <c r="AL71">
        <f>IF(OR(B71="",'Исходные данные'!$B$51&lt;&gt;"Да",'Исходные данные'!$B$61=""),0,IF(AND(YEAR(B71)=YEAR('Исходные данные'!$B$61),MONTH(B71)=MONTH('Исходные данные'!$B$61)),N('Исходные данные'!$B$18)*N('Исходные данные'!$B$62),0))</f>
        <v>0</v>
      </c>
      <c r="AM71">
        <f t="shared" si="59"/>
        <v>0</v>
      </c>
      <c r="AN71">
        <f t="shared" si="48"/>
        <v>0</v>
      </c>
      <c r="AO71">
        <f t="shared" si="49"/>
        <v>0</v>
      </c>
      <c r="AP71">
        <f>IF('Исходные данные'!$B$51="Да",-MAX(0,AN71-AO71-AM71),0)</f>
        <v>0</v>
      </c>
      <c r="AQ71">
        <f>IF('Исходные данные'!$B$51="Да",MAX(0,AM71+AO71-AN71),0)</f>
        <v>0</v>
      </c>
      <c r="AR71">
        <f>IF('Исходные данные'!$B$53="Выручка",MAX(0,L71+(Q71-R71)+(U71-V71)),IF('Исходные данные'!$B$53="Прибыль до налога",MAX(0,L71+(Q71-R71)+(U71-V71)+N('Исходные данные'!$B$54)*((O71+P71)+(S71+T71)+W71+X71)+IF('Исходные данные'!$B$55="Да",AG71,0)-N('Исходные данные'!$B$56)/12),IF('Исходные данные'!$B$53="Пользовательская база",MAX(0,N('Исходные данные'!$B$57)/12),0)))</f>
        <v>0</v>
      </c>
      <c r="AS71">
        <f>IF(E71=1,-AR71*N('Исходные данные'!$B$50),0)</f>
        <v>0</v>
      </c>
      <c r="AT71">
        <f t="shared" si="50"/>
        <v>0</v>
      </c>
      <c r="AU71">
        <f>IF(OR(B71="",N('Исходные данные'!$B$80)&lt;=0,'Исходные данные'!$B$88=""),0,MAX(0,IF('Исходные данные'!$B$88="Последние 12 месяцев",SUMIFS($Y$2:$Y$194,$B$2:$B$194,"&gt;="&amp;EDATE(B71,-11),$B$2:$B$194,"&lt;="&amp;B71),IF('Исходные данные'!$B$88="Пользовательский NOI",N('Исходные данные'!$B$89),AT71))/N('Исходные данные'!$B$80)*(1+N('Исходные данные'!$B$81))))</f>
        <v>0</v>
      </c>
      <c r="AV71">
        <f>IF(OR(E71&lt;&gt;1,B71="",'Исходные данные'!$B$91=""),0,IF(AND(YEAR(B71)=YEAR('Исходные данные'!$B$91),MONTH(B71)=MONTH('Исходные данные'!$B$91)),AU71,0))</f>
        <v>0</v>
      </c>
      <c r="AW71">
        <f>-AV71*N('Исходные данные'!$B$73)</f>
        <v>0</v>
      </c>
      <c r="AX71">
        <f>IF(AV71=0,0,-N('Исходные данные'!$B$87)-IF('Исходные данные'!$B$82="Да",IF('Исходные данные'!$B$84="С выручки",AV71,IF('Исходные данные'!$B$84="С прибыли",MAX(0,AV71+AW71-IF('Исходные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71">
        <f t="shared" si="51"/>
        <v>0</v>
      </c>
      <c r="AZ71">
        <f t="shared" si="52"/>
        <v>0</v>
      </c>
      <c r="BA71">
        <f t="shared" si="53"/>
        <v>0</v>
      </c>
      <c r="BB71" t="str">
        <f t="shared" si="60"/>
        <v/>
      </c>
      <c r="BC71">
        <f>IF(OR(E71=0,'Исходные данные'!$B$9="",'Исходные данные'!$B$90=""),0,BA71/(1+'Исходные данные'!$B$90)^((D71-'Исходные данные'!$B$9)/365))</f>
        <v>0</v>
      </c>
      <c r="BD71">
        <f>IF(AND(E71=1,BB71&gt;=0,BB70&lt;0,MIN($BB$2:BB71)&lt;0),1,0)</f>
        <v>0</v>
      </c>
      <c r="BE71">
        <f t="shared" si="54"/>
        <v>0</v>
      </c>
      <c r="BF71">
        <f t="shared" si="55"/>
        <v>0</v>
      </c>
      <c r="BG71">
        <f t="shared" si="56"/>
        <v>0</v>
      </c>
      <c r="BH71">
        <f t="shared" si="57"/>
        <v>1</v>
      </c>
      <c r="BI71">
        <f>AZ71+N71+AP71-AR71*N('Исходные данные'!$B$50)</f>
        <v>0</v>
      </c>
      <c r="BJ71">
        <f t="shared" si="61"/>
        <v>0</v>
      </c>
      <c r="BK71">
        <f>IF(AND(BJ71&gt;=0,BJ70&lt;0,MIN($BJ$2:BJ71)&lt;0),1,0)</f>
        <v>0</v>
      </c>
    </row>
    <row r="72" spans="1:63" x14ac:dyDescent="0.2">
      <c r="A72">
        <v>71</v>
      </c>
      <c r="B72" t="str">
        <f>IF('Исходные данные'!$B$9="","",EDATE(DATE(YEAR('Исходные данные'!$B$9),MONTH('Исходные данные'!$B$9),1),A72-1))</f>
        <v/>
      </c>
      <c r="C72" t="str">
        <f t="shared" si="41"/>
        <v/>
      </c>
      <c r="D72" t="str">
        <f>IF(B72="","",IF('Исходные данные'!$B$91&lt;&gt;"",IF(AND(YEAR(B72)=YEAR('Исходные данные'!$B$91),MONTH(B72)=MONTH('Исходные данные'!$B$91)),'Исходные данные'!$B$91,IF('Исходные данные'!$B$13&lt;&gt;"",IF(AND(YEAR(B72)=YEAR('Исходные данные'!$B$13),MONTH(B72)=MONTH('Исходные данные'!$B$13)),'Исходные данные'!$B$13,IF('Исходные данные'!$B$26&lt;&gt;"",IF(AND(YEAR(B72)=YEAR('Исходные данные'!$B$26),MONTH(B72)=MONTH('Исходные данные'!$B$26)),'Исходные данные'!$B$26,IF(A72=1,'Исходные данные'!$B$9,C72)),IF(A72=1,'Исходные данные'!$B$9,C72))),IF('Исходные данные'!$B$26&lt;&gt;"",IF(AND(YEAR(B72)=YEAR('Исходные данные'!$B$26),MONTH(B72)=MONTH('Исходные данные'!$B$26)),'Исходные данные'!$B$26,IF(A72=1,'Исходные данные'!$B$9,C72)),IF(A72=1,'Исходные данные'!$B$9,C72)))),IF('Исходные данные'!$B$13&lt;&gt;"",IF(AND(YEAR(B72)=YEAR('Исходные данные'!$B$13),MONTH(B72)=MONTH('Исходные данные'!$B$13)),'Исходные данные'!$B$13,IF('Исходные данные'!$B$26&lt;&gt;"",IF(AND(YEAR(B72)=YEAR('Исходные данные'!$B$26),MONTH(B72)=MONTH('Исходные данные'!$B$26)),'Исходные данные'!$B$26,IF(A72=1,'Исходные данные'!$B$9,C72)),IF(A72=1,'Исходные данные'!$B$9,C72))),IF('Исходные данные'!$B$26&lt;&gt;"",IF(AND(YEAR(B72)=YEAR('Исходные данные'!$B$26),MONTH(B72)=MONTH('Исходные данные'!$B$26)),'Исходные данные'!$B$26,IF(A72=1,'Исходные данные'!$B$9,C72)),IF(A72=1,'Исходные данные'!$B$9,C72)))))</f>
        <v/>
      </c>
      <c r="E72">
        <f>IF(OR(B72="",'Исходные данные'!$B$91=""),0,--(B72&lt;=DATE(YEAR('Исходные данные'!$B$91),MONTH('Исходные данные'!$B$91),1)))</f>
        <v>0</v>
      </c>
      <c r="F72">
        <f>IF(OR(B72="",'Исходные данные'!$B$30="",C72&lt;'Исходные данные'!$B$30),0,DATEDIF(DATE(YEAR('Исходные данные'!$B$30),MONTH('Исходные данные'!$B$30),1),B72,"m")+1)</f>
        <v>0</v>
      </c>
      <c r="G72">
        <f t="shared" si="42"/>
        <v>0</v>
      </c>
      <c r="H72">
        <f>IF(F72=0,0,IF(G72=1,N('Исходные данные'!$B$31),IF(G72=2,N('Исходные данные'!$B$32),IF(G72=3,N('Исходные данные'!$B$33),N('Исходные данные'!$B$33)*(1+N('Исходные данные'!$B$34))^(G72-3)))))</f>
        <v>0</v>
      </c>
      <c r="I72">
        <f>IF(OR(F72=0,N('Исходные данные'!$B$5)=0,H72=0),0,'Исходные данные'!$B$5*H72*IF(AND(B72&lt;='Исходные данные'!$B$30,C72&gt;='Исходные данные'!$B$30),(C72-'Исходные данные'!$B$30+1)/DAY(C72),1))</f>
        <v>0</v>
      </c>
      <c r="J72">
        <f>IF(AND(F72&gt;0,F72&lt;=N('Исходные данные'!$B$37)),-I72,0)</f>
        <v>0</v>
      </c>
      <c r="K72">
        <f>IF(OR(F72=0,F72&lt;=N('Исходные данные'!$B$37)),0,-(I72+J72)*N('Исходные данные'!$B$38))</f>
        <v>0</v>
      </c>
      <c r="L72">
        <f t="shared" si="43"/>
        <v>0</v>
      </c>
      <c r="M72">
        <f>IF('Исходные данные'!$B$51="Да",L72*N('Исходные данные'!$B$52),0)</f>
        <v>0</v>
      </c>
      <c r="N72">
        <f t="shared" si="44"/>
        <v>0</v>
      </c>
      <c r="O72">
        <f>IF(OR(B72="",IF('Исходные данные'!$B$45="",'Исходные данные'!$B$10,'Исходные данные'!$B$45)="",C72&lt;IF('Исходные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данные'!$B$45)),1),B72,"m")/12))*IF(AND(B72&lt;=IF('Исходные данные'!$B$45="",'Исходные данные'!$B$10,'Исходные данные'!$B$45),C72&gt;=IF('Исходные данные'!$B$45="",'Исходные данные'!$B$10,'Исходные данные'!$B$45)),(C72-IF('Исходные данные'!$B$45="",'Исходные данные'!$B$10,'Исходные данные'!$B$45)+1)/DAY(C72),1)*IF('Исходные данные'!$B$43="Без НДС",1+N('Исходные данные'!$B$44),1))</f>
        <v>0</v>
      </c>
      <c r="P72">
        <f>IF('Исходные данные'!$B$51="Да",-O72*N('Исходные данные'!$B$44)/(1+N('Исходные данные'!$B$44)),0)</f>
        <v>0</v>
      </c>
      <c r="Q72">
        <f>IF('Исходные данные'!$B$35="Да",-O72,0)</f>
        <v>0</v>
      </c>
      <c r="R72">
        <f>IF(AND('Исходные данные'!$B$51="Да",Q72&gt;0),Q72*N('Исходные данные'!$B$52)/(1+N('Исходные данные'!$B$52)),0)</f>
        <v>0</v>
      </c>
      <c r="S72">
        <f>IF(OR(B72="",IF('Исходные данные'!$B$45="",'Исходные данные'!$B$10,'Исходные данные'!$B$45)="",C72&lt;IF('Исходные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данные'!$B$45)),1),B72,"m")/12))*IF(AND(B72&lt;=IF('Исходные данные'!$B$45="",'Исходные данные'!$B$10,'Исходные данные'!$B$45),C72&gt;=IF('Исходные данные'!$B$45="",'Исходные данные'!$B$10,'Исходные данные'!$B$45)),(C72-IF('Исходные данные'!$B$45="",'Исходные данные'!$B$10,'Исходные данные'!$B$45)+1)/DAY(C72),1)*IF('Исходные данные'!$B$43="Без НДС",1+N('Исходные данные'!$B$44),1))</f>
        <v>0</v>
      </c>
      <c r="T72">
        <f>IF('Исходные данные'!$B$51="Да",-S72*N('Исходные данные'!$B$44)/(1+N('Исходные данные'!$B$44)),0)</f>
        <v>0</v>
      </c>
      <c r="U72">
        <f>IF('Исходные данные'!$B$36="Да",-S72,0)</f>
        <v>0</v>
      </c>
      <c r="V72">
        <f>IF(AND('Исходные данные'!$B$51="Да",U72&gt;0),U72*N('Исходные данные'!$B$52)/(1+N('Исходные данные'!$B$52)),0)</f>
        <v>0</v>
      </c>
      <c r="W72">
        <f>IF(OR(B72="",IF('Исходные данные'!$B$69="",'Исходные данные'!$B$10,'Исходные данные'!$B$69)="",C72&lt;IF('Исходные данные'!$B$69="",'Исходные данные'!$B$10,'Исходные данные'!$B$69)),0,-N('Исходные данные'!$B$16)*N('Исходные данные'!$B$68)*N('Исходные данные'!$B$67)/12*IF(AND(B72&lt;=IF('Исходные данные'!$B$69="",'Исходные данные'!$B$10,'Исходные данные'!$B$69),C72&gt;=IF('Исходные данные'!$B$69="",'Исходные данные'!$B$10,'Исходные данные'!$B$69)),(C72-IF('Исходные данные'!$B$69="",'Исходные данные'!$B$10,'Исходные данные'!$B$69)+1)/DAY(C72),1))</f>
        <v>0</v>
      </c>
      <c r="X72">
        <f>IF(OR(B72="",IF('Исходные данные'!$B$76="",'Исходные данные'!$B$10,'Исходные данные'!$B$76)="",C72&lt;IF('Исходные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данные'!$B$76)),1),B72,"m")/12))*IF(AND(B72&lt;=IF('Исходные данные'!$B$76="",'Исходные данные'!$B$10,'Исходные данные'!$B$76),C72&gt;=IF('Исходные данные'!$B$76="",'Исходные данные'!$B$10,'Исходные данные'!$B$76)),(C72-IF('Исходные данные'!$B$76="",'Исходные данные'!$B$10,'Исходные данные'!$B$76)+1)/DAY(C72),1))</f>
        <v>0</v>
      </c>
      <c r="Y72">
        <f t="shared" si="45"/>
        <v>0</v>
      </c>
      <c r="Z72">
        <f>IF(OR(B72="",N('Исходные данные'!$B$19)=0),0,-SUMIFS('Исходные данные'!$I$6:$I$186,'Исходные данные'!$F$6:$F$186,B72)*N('Исходные данные'!$B$17)/N('Исходные данные'!$B$19))</f>
        <v>0</v>
      </c>
      <c r="AA72">
        <f>IF(OR(B72="",N('Исходные данные'!$B$19)=0),0,-SUMIFS('Исходные данные'!$I$6:$I$186,'Исходные данные'!$F$6:$F$186,B72)*N('Исходные данные'!$B$18)/N('Исходные данные'!$B$19))</f>
        <v>0</v>
      </c>
      <c r="AB72">
        <f>IF(OR(B72="",'Исходные данные'!$B$13=""),0,IF(AND(YEAR(B72)=YEAR('Исходные данные'!$B$13),MONTH(B72)=MONTH('Исходные данные'!$B$13)),-N('Исходные данные'!$B$11),0))</f>
        <v>0</v>
      </c>
      <c r="AC72">
        <f>IF(A72=1,-N('Исходные данные'!$B$19)*N('Исходные данные'!$B$72),0)</f>
        <v>0</v>
      </c>
      <c r="AD72">
        <f>IF(OR(B72="",'Исходные данные'!$B$22&lt;&gt;"Да",'Исходные данные'!$B$26=""),0,IF(AND(YEAR(B72)=YEAR('Исходные данные'!$B$26),MONTH(B72)=MONTH('Исходные данные'!$B$26)),N('Исходные данные'!$B$23),0))</f>
        <v>0</v>
      </c>
      <c r="AE72">
        <f t="shared" si="58"/>
        <v>0</v>
      </c>
      <c r="AF72">
        <f>IF(OR('Исходные данные'!$B$22&lt;&gt;"Да",'Исходные данные'!$B$26="",C72&lt;'Исходные данные'!$B$26),0,DATEDIF(DATE(YEAR('Исходные данные'!$B$26),MONTH('Исходные данные'!$B$26),1),B72,"m")+1)</f>
        <v>0</v>
      </c>
      <c r="AG72">
        <f>IF(OR(AF72&lt;1,AF72&gt;N('Исходные данные'!$B$25),AE72+AD72&lt;=0),0,-(AE72+AD72)*N('Исходные данные'!$B$24)*IF(AF72=1,C72-'Исходные данные'!$B$26+1,DAY(C72))/365)</f>
        <v>0</v>
      </c>
      <c r="AH72">
        <f>IF(OR(AF72&lt;1,AF72&gt;N('Исходные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данные'!$B$25)-AG72))</f>
        <v>0</v>
      </c>
      <c r="AI72">
        <f>IF(OR('Исходные данные'!$B$22&lt;&gt;"Да",AE72+AD72&lt;=0),0,IF(AND('Исходные данные'!$B$91&lt;&gt;"",B72&lt;&gt;"",YEAR(B72)=YEAR('Исходные данные'!$B$91),MONTH(B72)=MONTH('Исходные данные'!$B$91)),-(AE72+AD72),IF(OR(AF72&lt;1,AF72&gt;N('Исходные данные'!$B$25)),0,IF('Исходные данные'!$B$27="Равными долями",-MIN(AE72+AD72,N('Исходные данные'!$B$23)/N('Исходные данные'!$B$25)),-MIN(AE72+AD72,IF(AF72=N('Исходные данные'!$B$25),AE72+AD72,MAX(0,AH72+AG72)))))))</f>
        <v>0</v>
      </c>
      <c r="AJ72">
        <f t="shared" si="46"/>
        <v>0</v>
      </c>
      <c r="AK72">
        <f t="shared" si="47"/>
        <v>0</v>
      </c>
      <c r="AL72">
        <f>IF(OR(B72="",'Исходные данные'!$B$51&lt;&gt;"Да",'Исходные данные'!$B$61=""),0,IF(AND(YEAR(B72)=YEAR('Исходные данные'!$B$61),MONTH(B72)=MONTH('Исходные данные'!$B$61)),N('Исходные данные'!$B$18)*N('Исходные данные'!$B$62),0))</f>
        <v>0</v>
      </c>
      <c r="AM72">
        <f t="shared" si="59"/>
        <v>0</v>
      </c>
      <c r="AN72">
        <f t="shared" si="48"/>
        <v>0</v>
      </c>
      <c r="AO72">
        <f t="shared" si="49"/>
        <v>0</v>
      </c>
      <c r="AP72">
        <f>IF('Исходные данные'!$B$51="Да",-MAX(0,AN72-AO72-AM72),0)</f>
        <v>0</v>
      </c>
      <c r="AQ72">
        <f>IF('Исходные данные'!$B$51="Да",MAX(0,AM72+AO72-AN72),0)</f>
        <v>0</v>
      </c>
      <c r="AR72">
        <f>IF('Исходные данные'!$B$53="Выручка",MAX(0,L72+(Q72-R72)+(U72-V72)),IF('Исходные данные'!$B$53="Прибыль до налога",MAX(0,L72+(Q72-R72)+(U72-V72)+N('Исходные данные'!$B$54)*((O72+P72)+(S72+T72)+W72+X72)+IF('Исходные данные'!$B$55="Да",AG72,0)-N('Исходные данные'!$B$56)/12),IF('Исходные данные'!$B$53="Пользовательская база",MAX(0,N('Исходные данные'!$B$57)/12),0)))</f>
        <v>0</v>
      </c>
      <c r="AS72">
        <f>IF(E72=1,-AR72*N('Исходные данные'!$B$50),0)</f>
        <v>0</v>
      </c>
      <c r="AT72">
        <f t="shared" si="50"/>
        <v>0</v>
      </c>
      <c r="AU72">
        <f>IF(OR(B72="",N('Исходные данные'!$B$80)&lt;=0,'Исходные данные'!$B$88=""),0,MAX(0,IF('Исходные данные'!$B$88="Последние 12 месяцев",SUMIFS($Y$2:$Y$194,$B$2:$B$194,"&gt;="&amp;EDATE(B72,-11),$B$2:$B$194,"&lt;="&amp;B72),IF('Исходные данные'!$B$88="Пользовательский NOI",N('Исходные данные'!$B$89),AT72))/N('Исходные данные'!$B$80)*(1+N('Исходные данные'!$B$81))))</f>
        <v>0</v>
      </c>
      <c r="AV72">
        <f>IF(OR(E72&lt;&gt;1,B72="",'Исходные данные'!$B$91=""),0,IF(AND(YEAR(B72)=YEAR('Исходные данные'!$B$91),MONTH(B72)=MONTH('Исходные данные'!$B$91)),AU72,0))</f>
        <v>0</v>
      </c>
      <c r="AW72">
        <f>-AV72*N('Исходные данные'!$B$73)</f>
        <v>0</v>
      </c>
      <c r="AX72">
        <f>IF(AV72=0,0,-N('Исходные данные'!$B$87)-IF('Исходные данные'!$B$82="Да",IF('Исходные данные'!$B$84="С выручки",AV72,IF('Исходные данные'!$B$84="С прибыли",MAX(0,AV72+AW72-IF('Исходные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72">
        <f t="shared" si="51"/>
        <v>0</v>
      </c>
      <c r="AZ72">
        <f t="shared" si="52"/>
        <v>0</v>
      </c>
      <c r="BA72">
        <f t="shared" si="53"/>
        <v>0</v>
      </c>
      <c r="BB72" t="str">
        <f t="shared" si="60"/>
        <v/>
      </c>
      <c r="BC72">
        <f>IF(OR(E72=0,'Исходные данные'!$B$9="",'Исходные данные'!$B$90=""),0,BA72/(1+'Исходные данные'!$B$90)^((D72-'Исходные данные'!$B$9)/365))</f>
        <v>0</v>
      </c>
      <c r="BD72">
        <f>IF(AND(E72=1,BB72&gt;=0,BB71&lt;0,MIN($BB$2:BB72)&lt;0),1,0)</f>
        <v>0</v>
      </c>
      <c r="BE72">
        <f t="shared" si="54"/>
        <v>0</v>
      </c>
      <c r="BF72">
        <f t="shared" si="55"/>
        <v>0</v>
      </c>
      <c r="BG72">
        <f t="shared" si="56"/>
        <v>0</v>
      </c>
      <c r="BH72">
        <f t="shared" si="57"/>
        <v>1</v>
      </c>
      <c r="BI72">
        <f>AZ72+N72+AP72-AR72*N('Исходные данные'!$B$50)</f>
        <v>0</v>
      </c>
      <c r="BJ72">
        <f t="shared" si="61"/>
        <v>0</v>
      </c>
      <c r="BK72">
        <f>IF(AND(BJ72&gt;=0,BJ71&lt;0,MIN($BJ$2:BJ72)&lt;0),1,0)</f>
        <v>0</v>
      </c>
    </row>
    <row r="73" spans="1:63" x14ac:dyDescent="0.2">
      <c r="A73">
        <v>72</v>
      </c>
      <c r="B73" t="str">
        <f>IF('Исходные данные'!$B$9="","",EDATE(DATE(YEAR('Исходные данные'!$B$9),MONTH('Исходные данные'!$B$9),1),A73-1))</f>
        <v/>
      </c>
      <c r="C73" t="str">
        <f t="shared" si="41"/>
        <v/>
      </c>
      <c r="D73" t="str">
        <f>IF(B73="","",IF('Исходные данные'!$B$91&lt;&gt;"",IF(AND(YEAR(B73)=YEAR('Исходные данные'!$B$91),MONTH(B73)=MONTH('Исходные данные'!$B$91)),'Исходные данные'!$B$91,IF('Исходные данные'!$B$13&lt;&gt;"",IF(AND(YEAR(B73)=YEAR('Исходные данные'!$B$13),MONTH(B73)=MONTH('Исходные данные'!$B$13)),'Исходные данные'!$B$13,IF('Исходные данные'!$B$26&lt;&gt;"",IF(AND(YEAR(B73)=YEAR('Исходные данные'!$B$26),MONTH(B73)=MONTH('Исходные данные'!$B$26)),'Исходные данные'!$B$26,IF(A73=1,'Исходные данные'!$B$9,C73)),IF(A73=1,'Исходные данные'!$B$9,C73))),IF('Исходные данные'!$B$26&lt;&gt;"",IF(AND(YEAR(B73)=YEAR('Исходные данные'!$B$26),MONTH(B73)=MONTH('Исходные данные'!$B$26)),'Исходные данные'!$B$26,IF(A73=1,'Исходные данные'!$B$9,C73)),IF(A73=1,'Исходные данные'!$B$9,C73)))),IF('Исходные данные'!$B$13&lt;&gt;"",IF(AND(YEAR(B73)=YEAR('Исходные данные'!$B$13),MONTH(B73)=MONTH('Исходные данные'!$B$13)),'Исходные данные'!$B$13,IF('Исходные данные'!$B$26&lt;&gt;"",IF(AND(YEAR(B73)=YEAR('Исходные данные'!$B$26),MONTH(B73)=MONTH('Исходные данные'!$B$26)),'Исходные данные'!$B$26,IF(A73=1,'Исходные данные'!$B$9,C73)),IF(A73=1,'Исходные данные'!$B$9,C73))),IF('Исходные данные'!$B$26&lt;&gt;"",IF(AND(YEAR(B73)=YEAR('Исходные данные'!$B$26),MONTH(B73)=MONTH('Исходные данные'!$B$26)),'Исходные данные'!$B$26,IF(A73=1,'Исходные данные'!$B$9,C73)),IF(A73=1,'Исходные данные'!$B$9,C73)))))</f>
        <v/>
      </c>
      <c r="E73">
        <f>IF(OR(B73="",'Исходные данные'!$B$91=""),0,--(B73&lt;=DATE(YEAR('Исходные данные'!$B$91),MONTH('Исходные данные'!$B$91),1)))</f>
        <v>0</v>
      </c>
      <c r="F73">
        <f>IF(OR(B73="",'Исходные данные'!$B$30="",C73&lt;'Исходные данные'!$B$30),0,DATEDIF(DATE(YEAR('Исходные данные'!$B$30),MONTH('Исходные данные'!$B$30),1),B73,"m")+1)</f>
        <v>0</v>
      </c>
      <c r="G73">
        <f t="shared" si="42"/>
        <v>0</v>
      </c>
      <c r="H73">
        <f>IF(F73=0,0,IF(G73=1,N('Исходные данные'!$B$31),IF(G73=2,N('Исходные данные'!$B$32),IF(G73=3,N('Исходные данные'!$B$33),N('Исходные данные'!$B$33)*(1+N('Исходные данные'!$B$34))^(G73-3)))))</f>
        <v>0</v>
      </c>
      <c r="I73">
        <f>IF(OR(F73=0,N('Исходные данные'!$B$5)=0,H73=0),0,'Исходные данные'!$B$5*H73*IF(AND(B73&lt;='Исходные данные'!$B$30,C73&gt;='Исходные данные'!$B$30),(C73-'Исходные данные'!$B$30+1)/DAY(C73),1))</f>
        <v>0</v>
      </c>
      <c r="J73">
        <f>IF(AND(F73&gt;0,F73&lt;=N('Исходные данные'!$B$37)),-I73,0)</f>
        <v>0</v>
      </c>
      <c r="K73">
        <f>IF(OR(F73=0,F73&lt;=N('Исходные данные'!$B$37)),0,-(I73+J73)*N('Исходные данные'!$B$38))</f>
        <v>0</v>
      </c>
      <c r="L73">
        <f t="shared" si="43"/>
        <v>0</v>
      </c>
      <c r="M73">
        <f>IF('Исходные данные'!$B$51="Да",L73*N('Исходные данные'!$B$52),0)</f>
        <v>0</v>
      </c>
      <c r="N73">
        <f t="shared" si="44"/>
        <v>0</v>
      </c>
      <c r="O73">
        <f>IF(OR(B73="",IF('Исходные данные'!$B$45="",'Исходные данные'!$B$10,'Исходные данные'!$B$45)="",C73&lt;IF('Исходные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данные'!$B$45)),1),B73,"m")/12))*IF(AND(B73&lt;=IF('Исходные данные'!$B$45="",'Исходные данные'!$B$10,'Исходные данные'!$B$45),C73&gt;=IF('Исходные данные'!$B$45="",'Исходные данные'!$B$10,'Исходные данные'!$B$45)),(C73-IF('Исходные данные'!$B$45="",'Исходные данные'!$B$10,'Исходные данные'!$B$45)+1)/DAY(C73),1)*IF('Исходные данные'!$B$43="Без НДС",1+N('Исходные данные'!$B$44),1))</f>
        <v>0</v>
      </c>
      <c r="P73">
        <f>IF('Исходные данные'!$B$51="Да",-O73*N('Исходные данные'!$B$44)/(1+N('Исходные данные'!$B$44)),0)</f>
        <v>0</v>
      </c>
      <c r="Q73">
        <f>IF('Исходные данные'!$B$35="Да",-O73,0)</f>
        <v>0</v>
      </c>
      <c r="R73">
        <f>IF(AND('Исходные данные'!$B$51="Да",Q73&gt;0),Q73*N('Исходные данные'!$B$52)/(1+N('Исходные данные'!$B$52)),0)</f>
        <v>0</v>
      </c>
      <c r="S73">
        <f>IF(OR(B73="",IF('Исходные данные'!$B$45="",'Исходные данные'!$B$10,'Исходные данные'!$B$45)="",C73&lt;IF('Исходные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данные'!$B$45)),1),B73,"m")/12))*IF(AND(B73&lt;=IF('Исходные данные'!$B$45="",'Исходные данные'!$B$10,'Исходные данные'!$B$45),C73&gt;=IF('Исходные данные'!$B$45="",'Исходные данные'!$B$10,'Исходные данные'!$B$45)),(C73-IF('Исходные данные'!$B$45="",'Исходные данные'!$B$10,'Исходные данные'!$B$45)+1)/DAY(C73),1)*IF('Исходные данные'!$B$43="Без НДС",1+N('Исходные данные'!$B$44),1))</f>
        <v>0</v>
      </c>
      <c r="T73">
        <f>IF('Исходные данные'!$B$51="Да",-S73*N('Исходные данные'!$B$44)/(1+N('Исходные данные'!$B$44)),0)</f>
        <v>0</v>
      </c>
      <c r="U73">
        <f>IF('Исходные данные'!$B$36="Да",-S73,0)</f>
        <v>0</v>
      </c>
      <c r="V73">
        <f>IF(AND('Исходные данные'!$B$51="Да",U73&gt;0),U73*N('Исходные данные'!$B$52)/(1+N('Исходные данные'!$B$52)),0)</f>
        <v>0</v>
      </c>
      <c r="W73">
        <f>IF(OR(B73="",IF('Исходные данные'!$B$69="",'Исходные данные'!$B$10,'Исходные данные'!$B$69)="",C73&lt;IF('Исходные данные'!$B$69="",'Исходные данные'!$B$10,'Исходные данные'!$B$69)),0,-N('Исходные данные'!$B$16)*N('Исходные данные'!$B$68)*N('Исходные данные'!$B$67)/12*IF(AND(B73&lt;=IF('Исходные данные'!$B$69="",'Исходные данные'!$B$10,'Исходные данные'!$B$69),C73&gt;=IF('Исходные данные'!$B$69="",'Исходные данные'!$B$10,'Исходные данные'!$B$69)),(C73-IF('Исходные данные'!$B$69="",'Исходные данные'!$B$10,'Исходные данные'!$B$69)+1)/DAY(C73),1))</f>
        <v>0</v>
      </c>
      <c r="X73">
        <f>IF(OR(B73="",IF('Исходные данные'!$B$76="",'Исходные данные'!$B$10,'Исходные данные'!$B$76)="",C73&lt;IF('Исходные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данные'!$B$76)),1),B73,"m")/12))*IF(AND(B73&lt;=IF('Исходные данные'!$B$76="",'Исходные данные'!$B$10,'Исходные данные'!$B$76),C73&gt;=IF('Исходные данные'!$B$76="",'Исходные данные'!$B$10,'Исходные данные'!$B$76)),(C73-IF('Исходные данные'!$B$76="",'Исходные данные'!$B$10,'Исходные данные'!$B$76)+1)/DAY(C73),1))</f>
        <v>0</v>
      </c>
      <c r="Y73">
        <f t="shared" si="45"/>
        <v>0</v>
      </c>
      <c r="Z73">
        <f>IF(OR(B73="",N('Исходные данные'!$B$19)=0),0,-SUMIFS('Исходные данные'!$I$6:$I$186,'Исходные данные'!$F$6:$F$186,B73)*N('Исходные данные'!$B$17)/N('Исходные данные'!$B$19))</f>
        <v>0</v>
      </c>
      <c r="AA73">
        <f>IF(OR(B73="",N('Исходные данные'!$B$19)=0),0,-SUMIFS('Исходные данные'!$I$6:$I$186,'Исходные данные'!$F$6:$F$186,B73)*N('Исходные данные'!$B$18)/N('Исходные данные'!$B$19))</f>
        <v>0</v>
      </c>
      <c r="AB73">
        <f>IF(OR(B73="",'Исходные данные'!$B$13=""),0,IF(AND(YEAR(B73)=YEAR('Исходные данные'!$B$13),MONTH(B73)=MONTH('Исходные данные'!$B$13)),-N('Исходные данные'!$B$11),0))</f>
        <v>0</v>
      </c>
      <c r="AC73">
        <f>IF(A73=1,-N('Исходные данные'!$B$19)*N('Исходные данные'!$B$72),0)</f>
        <v>0</v>
      </c>
      <c r="AD73">
        <f>IF(OR(B73="",'Исходные данные'!$B$22&lt;&gt;"Да",'Исходные данные'!$B$26=""),0,IF(AND(YEAR(B73)=YEAR('Исходные данные'!$B$26),MONTH(B73)=MONTH('Исходные данные'!$B$26)),N('Исходные данные'!$B$23),0))</f>
        <v>0</v>
      </c>
      <c r="AE73">
        <f t="shared" si="58"/>
        <v>0</v>
      </c>
      <c r="AF73">
        <f>IF(OR('Исходные данные'!$B$22&lt;&gt;"Да",'Исходные данные'!$B$26="",C73&lt;'Исходные данные'!$B$26),0,DATEDIF(DATE(YEAR('Исходные данные'!$B$26),MONTH('Исходные данные'!$B$26),1),B73,"m")+1)</f>
        <v>0</v>
      </c>
      <c r="AG73">
        <f>IF(OR(AF73&lt;1,AF73&gt;N('Исходные данные'!$B$25),AE73+AD73&lt;=0),0,-(AE73+AD73)*N('Исходные данные'!$B$24)*IF(AF73=1,C73-'Исходные данные'!$B$26+1,DAY(C73))/365)</f>
        <v>0</v>
      </c>
      <c r="AH73">
        <f>IF(OR(AF73&lt;1,AF73&gt;N('Исходные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данные'!$B$25)-AG73))</f>
        <v>0</v>
      </c>
      <c r="AI73">
        <f>IF(OR('Исходные данные'!$B$22&lt;&gt;"Да",AE73+AD73&lt;=0),0,IF(AND('Исходные данные'!$B$91&lt;&gt;"",B73&lt;&gt;"",YEAR(B73)=YEAR('Исходные данные'!$B$91),MONTH(B73)=MONTH('Исходные данные'!$B$91)),-(AE73+AD73),IF(OR(AF73&lt;1,AF73&gt;N('Исходные данные'!$B$25)),0,IF('Исходные данные'!$B$27="Равными долями",-MIN(AE73+AD73,N('Исходные данные'!$B$23)/N('Исходные данные'!$B$25)),-MIN(AE73+AD73,IF(AF73=N('Исходные данные'!$B$25),AE73+AD73,MAX(0,AH73+AG73)))))))</f>
        <v>0</v>
      </c>
      <c r="AJ73">
        <f t="shared" si="46"/>
        <v>0</v>
      </c>
      <c r="AK73">
        <f t="shared" si="47"/>
        <v>0</v>
      </c>
      <c r="AL73">
        <f>IF(OR(B73="",'Исходные данные'!$B$51&lt;&gt;"Да",'Исходные данные'!$B$61=""),0,IF(AND(YEAR(B73)=YEAR('Исходные данные'!$B$61),MONTH(B73)=MONTH('Исходные данные'!$B$61)),N('Исходные данные'!$B$18)*N('Исходные данные'!$B$62),0))</f>
        <v>0</v>
      </c>
      <c r="AM73">
        <f t="shared" si="59"/>
        <v>0</v>
      </c>
      <c r="AN73">
        <f t="shared" si="48"/>
        <v>0</v>
      </c>
      <c r="AO73">
        <f t="shared" si="49"/>
        <v>0</v>
      </c>
      <c r="AP73">
        <f>IF('Исходные данные'!$B$51="Да",-MAX(0,AN73-AO73-AM73),0)</f>
        <v>0</v>
      </c>
      <c r="AQ73">
        <f>IF('Исходные данные'!$B$51="Да",MAX(0,AM73+AO73-AN73),0)</f>
        <v>0</v>
      </c>
      <c r="AR73">
        <f>IF('Исходные данные'!$B$53="Выручка",MAX(0,L73+(Q73-R73)+(U73-V73)),IF('Исходные данные'!$B$53="Прибыль до налога",MAX(0,L73+(Q73-R73)+(U73-V73)+N('Исходные данные'!$B$54)*((O73+P73)+(S73+T73)+W73+X73)+IF('Исходные данные'!$B$55="Да",AG73,0)-N('Исходные данные'!$B$56)/12),IF('Исходные данные'!$B$53="Пользовательская база",MAX(0,N('Исходные данные'!$B$57)/12),0)))</f>
        <v>0</v>
      </c>
      <c r="AS73">
        <f>IF(E73=1,-AR73*N('Исходные данные'!$B$50),0)</f>
        <v>0</v>
      </c>
      <c r="AT73">
        <f t="shared" si="50"/>
        <v>0</v>
      </c>
      <c r="AU73">
        <f>IF(OR(B73="",N('Исходные данные'!$B$80)&lt;=0,'Исходные данные'!$B$88=""),0,MAX(0,IF('Исходные данные'!$B$88="Последние 12 месяцев",SUMIFS($Y$2:$Y$194,$B$2:$B$194,"&gt;="&amp;EDATE(B73,-11),$B$2:$B$194,"&lt;="&amp;B73),IF('Исходные данные'!$B$88="Пользовательский NOI",N('Исходные данные'!$B$89),AT73))/N('Исходные данные'!$B$80)*(1+N('Исходные данные'!$B$81))))</f>
        <v>0</v>
      </c>
      <c r="AV73">
        <f>IF(OR(E73&lt;&gt;1,B73="",'Исходные данные'!$B$91=""),0,IF(AND(YEAR(B73)=YEAR('Исходные данные'!$B$91),MONTH(B73)=MONTH('Исходные данные'!$B$91)),AU73,0))</f>
        <v>0</v>
      </c>
      <c r="AW73">
        <f>-AV73*N('Исходные данные'!$B$73)</f>
        <v>0</v>
      </c>
      <c r="AX73">
        <f>IF(AV73=0,0,-N('Исходные данные'!$B$87)-IF('Исходные данные'!$B$82="Да",IF('Исходные данные'!$B$84="С выручки",AV73,IF('Исходные данные'!$B$84="С прибыли",MAX(0,AV73+AW73-IF('Исходные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73">
        <f t="shared" si="51"/>
        <v>0</v>
      </c>
      <c r="AZ73">
        <f t="shared" si="52"/>
        <v>0</v>
      </c>
      <c r="BA73">
        <f t="shared" si="53"/>
        <v>0</v>
      </c>
      <c r="BB73" t="str">
        <f t="shared" si="60"/>
        <v/>
      </c>
      <c r="BC73">
        <f>IF(OR(E73=0,'Исходные данные'!$B$9="",'Исходные данные'!$B$90=""),0,BA73/(1+'Исходные данные'!$B$90)^((D73-'Исходные данные'!$B$9)/365))</f>
        <v>0</v>
      </c>
      <c r="BD73">
        <f>IF(AND(E73=1,BB73&gt;=0,BB72&lt;0,MIN($BB$2:BB73)&lt;0),1,0)</f>
        <v>0</v>
      </c>
      <c r="BE73">
        <f t="shared" si="54"/>
        <v>0</v>
      </c>
      <c r="BF73">
        <f t="shared" si="55"/>
        <v>0</v>
      </c>
      <c r="BG73">
        <f t="shared" si="56"/>
        <v>0</v>
      </c>
      <c r="BH73">
        <f t="shared" si="57"/>
        <v>1</v>
      </c>
      <c r="BI73">
        <f>AZ73+N73+AP73-AR73*N('Исходные данные'!$B$50)</f>
        <v>0</v>
      </c>
      <c r="BJ73">
        <f t="shared" si="61"/>
        <v>0</v>
      </c>
      <c r="BK73">
        <f>IF(AND(BJ73&gt;=0,BJ72&lt;0,MIN($BJ$2:BJ73)&lt;0),1,0)</f>
        <v>0</v>
      </c>
    </row>
    <row r="74" spans="1:63" x14ac:dyDescent="0.2">
      <c r="A74">
        <v>73</v>
      </c>
      <c r="B74" t="str">
        <f>IF('Исходные данные'!$B$9="","",EDATE(DATE(YEAR('Исходные данные'!$B$9),MONTH('Исходные данные'!$B$9),1),A74-1))</f>
        <v/>
      </c>
      <c r="C74" t="str">
        <f t="shared" si="41"/>
        <v/>
      </c>
      <c r="D74" t="str">
        <f>IF(B74="","",IF('Исходные данные'!$B$91&lt;&gt;"",IF(AND(YEAR(B74)=YEAR('Исходные данные'!$B$91),MONTH(B74)=MONTH('Исходные данные'!$B$91)),'Исходные данные'!$B$91,IF('Исходные данные'!$B$13&lt;&gt;"",IF(AND(YEAR(B74)=YEAR('Исходные данные'!$B$13),MONTH(B74)=MONTH('Исходные данные'!$B$13)),'Исходные данные'!$B$13,IF('Исходные данные'!$B$26&lt;&gt;"",IF(AND(YEAR(B74)=YEAR('Исходные данные'!$B$26),MONTH(B74)=MONTH('Исходные данные'!$B$26)),'Исходные данные'!$B$26,IF(A74=1,'Исходные данные'!$B$9,C74)),IF(A74=1,'Исходные данные'!$B$9,C74))),IF('Исходные данные'!$B$26&lt;&gt;"",IF(AND(YEAR(B74)=YEAR('Исходные данные'!$B$26),MONTH(B74)=MONTH('Исходные данные'!$B$26)),'Исходные данные'!$B$26,IF(A74=1,'Исходные данные'!$B$9,C74)),IF(A74=1,'Исходные данные'!$B$9,C74)))),IF('Исходные данные'!$B$13&lt;&gt;"",IF(AND(YEAR(B74)=YEAR('Исходные данные'!$B$13),MONTH(B74)=MONTH('Исходные данные'!$B$13)),'Исходные данные'!$B$13,IF('Исходные данные'!$B$26&lt;&gt;"",IF(AND(YEAR(B74)=YEAR('Исходные данные'!$B$26),MONTH(B74)=MONTH('Исходные данные'!$B$26)),'Исходные данные'!$B$26,IF(A74=1,'Исходные данные'!$B$9,C74)),IF(A74=1,'Исходные данные'!$B$9,C74))),IF('Исходные данные'!$B$26&lt;&gt;"",IF(AND(YEAR(B74)=YEAR('Исходные данные'!$B$26),MONTH(B74)=MONTH('Исходные данные'!$B$26)),'Исходные данные'!$B$26,IF(A74=1,'Исходные данные'!$B$9,C74)),IF(A74=1,'Исходные данные'!$B$9,C74)))))</f>
        <v/>
      </c>
      <c r="E74">
        <f>IF(OR(B74="",'Исходные данные'!$B$91=""),0,--(B74&lt;=DATE(YEAR('Исходные данные'!$B$91),MONTH('Исходные данные'!$B$91),1)))</f>
        <v>0</v>
      </c>
      <c r="F74">
        <f>IF(OR(B74="",'Исходные данные'!$B$30="",C74&lt;'Исходные данные'!$B$30),0,DATEDIF(DATE(YEAR('Исходные данные'!$B$30),MONTH('Исходные данные'!$B$30),1),B74,"m")+1)</f>
        <v>0</v>
      </c>
      <c r="G74">
        <f t="shared" si="42"/>
        <v>0</v>
      </c>
      <c r="H74">
        <f>IF(F74=0,0,IF(G74=1,N('Исходные данные'!$B$31),IF(G74=2,N('Исходные данные'!$B$32),IF(G74=3,N('Исходные данные'!$B$33),N('Исходные данные'!$B$33)*(1+N('Исходные данные'!$B$34))^(G74-3)))))</f>
        <v>0</v>
      </c>
      <c r="I74">
        <f>IF(OR(F74=0,N('Исходные данные'!$B$5)=0,H74=0),0,'Исходные данные'!$B$5*H74*IF(AND(B74&lt;='Исходные данные'!$B$30,C74&gt;='Исходные данные'!$B$30),(C74-'Исходные данные'!$B$30+1)/DAY(C74),1))</f>
        <v>0</v>
      </c>
      <c r="J74">
        <f>IF(AND(F74&gt;0,F74&lt;=N('Исходные данные'!$B$37)),-I74,0)</f>
        <v>0</v>
      </c>
      <c r="K74">
        <f>IF(OR(F74=0,F74&lt;=N('Исходные данные'!$B$37)),0,-(I74+J74)*N('Исходные данные'!$B$38))</f>
        <v>0</v>
      </c>
      <c r="L74">
        <f t="shared" si="43"/>
        <v>0</v>
      </c>
      <c r="M74">
        <f>IF('Исходные данные'!$B$51="Да",L74*N('Исходные данные'!$B$52),0)</f>
        <v>0</v>
      </c>
      <c r="N74">
        <f t="shared" si="44"/>
        <v>0</v>
      </c>
      <c r="O74">
        <f>IF(OR(B74="",IF('Исходные данные'!$B$45="",'Исходные данные'!$B$10,'Исходные данные'!$B$45)="",C74&lt;IF('Исходные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данные'!$B$45)),1),B74,"m")/12))*IF(AND(B74&lt;=IF('Исходные данные'!$B$45="",'Исходные данные'!$B$10,'Исходные данные'!$B$45),C74&gt;=IF('Исходные данные'!$B$45="",'Исходные данные'!$B$10,'Исходные данные'!$B$45)),(C74-IF('Исходные данные'!$B$45="",'Исходные данные'!$B$10,'Исходные данные'!$B$45)+1)/DAY(C74),1)*IF('Исходные данные'!$B$43="Без НДС",1+N('Исходные данные'!$B$44),1))</f>
        <v>0</v>
      </c>
      <c r="P74">
        <f>IF('Исходные данные'!$B$51="Да",-O74*N('Исходные данные'!$B$44)/(1+N('Исходные данные'!$B$44)),0)</f>
        <v>0</v>
      </c>
      <c r="Q74">
        <f>IF('Исходные данные'!$B$35="Да",-O74,0)</f>
        <v>0</v>
      </c>
      <c r="R74">
        <f>IF(AND('Исходные данные'!$B$51="Да",Q74&gt;0),Q74*N('Исходные данные'!$B$52)/(1+N('Исходные данные'!$B$52)),0)</f>
        <v>0</v>
      </c>
      <c r="S74">
        <f>IF(OR(B74="",IF('Исходные данные'!$B$45="",'Исходные данные'!$B$10,'Исходные данные'!$B$45)="",C74&lt;IF('Исходные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данные'!$B$45)),1),B74,"m")/12))*IF(AND(B74&lt;=IF('Исходные данные'!$B$45="",'Исходные данные'!$B$10,'Исходные данные'!$B$45),C74&gt;=IF('Исходные данные'!$B$45="",'Исходные данные'!$B$10,'Исходные данные'!$B$45)),(C74-IF('Исходные данные'!$B$45="",'Исходные данные'!$B$10,'Исходные данные'!$B$45)+1)/DAY(C74),1)*IF('Исходные данные'!$B$43="Без НДС",1+N('Исходные данные'!$B$44),1))</f>
        <v>0</v>
      </c>
      <c r="T74">
        <f>IF('Исходные данные'!$B$51="Да",-S74*N('Исходные данные'!$B$44)/(1+N('Исходные данные'!$B$44)),0)</f>
        <v>0</v>
      </c>
      <c r="U74">
        <f>IF('Исходные данные'!$B$36="Да",-S74,0)</f>
        <v>0</v>
      </c>
      <c r="V74">
        <f>IF(AND('Исходные данные'!$B$51="Да",U74&gt;0),U74*N('Исходные данные'!$B$52)/(1+N('Исходные данные'!$B$52)),0)</f>
        <v>0</v>
      </c>
      <c r="W74">
        <f>IF(OR(B74="",IF('Исходные данные'!$B$69="",'Исходные данные'!$B$10,'Исходные данные'!$B$69)="",C74&lt;IF('Исходные данные'!$B$69="",'Исходные данные'!$B$10,'Исходные данные'!$B$69)),0,-N('Исходные данные'!$B$16)*N('Исходные данные'!$B$68)*N('Исходные данные'!$B$67)/12*IF(AND(B74&lt;=IF('Исходные данные'!$B$69="",'Исходные данные'!$B$10,'Исходные данные'!$B$69),C74&gt;=IF('Исходные данные'!$B$69="",'Исходные данные'!$B$10,'Исходные данные'!$B$69)),(C74-IF('Исходные данные'!$B$69="",'Исходные данные'!$B$10,'Исходные данные'!$B$69)+1)/DAY(C74),1))</f>
        <v>0</v>
      </c>
      <c r="X74">
        <f>IF(OR(B74="",IF('Исходные данные'!$B$76="",'Исходные данные'!$B$10,'Исходные данные'!$B$76)="",C74&lt;IF('Исходные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данные'!$B$76)),1),B74,"m")/12))*IF(AND(B74&lt;=IF('Исходные данные'!$B$76="",'Исходные данные'!$B$10,'Исходные данные'!$B$76),C74&gt;=IF('Исходные данные'!$B$76="",'Исходные данные'!$B$10,'Исходные данные'!$B$76)),(C74-IF('Исходные данные'!$B$76="",'Исходные данные'!$B$10,'Исходные данные'!$B$76)+1)/DAY(C74),1))</f>
        <v>0</v>
      </c>
      <c r="Y74">
        <f t="shared" si="45"/>
        <v>0</v>
      </c>
      <c r="Z74">
        <f>IF(OR(B74="",N('Исходные данные'!$B$19)=0),0,-SUMIFS('Исходные данные'!$I$6:$I$186,'Исходные данные'!$F$6:$F$186,B74)*N('Исходные данные'!$B$17)/N('Исходные данные'!$B$19))</f>
        <v>0</v>
      </c>
      <c r="AA74">
        <f>IF(OR(B74="",N('Исходные данные'!$B$19)=0),0,-SUMIFS('Исходные данные'!$I$6:$I$186,'Исходные данные'!$F$6:$F$186,B74)*N('Исходные данные'!$B$18)/N('Исходные данные'!$B$19))</f>
        <v>0</v>
      </c>
      <c r="AB74">
        <f>IF(OR(B74="",'Исходные данные'!$B$13=""),0,IF(AND(YEAR(B74)=YEAR('Исходные данные'!$B$13),MONTH(B74)=MONTH('Исходные данные'!$B$13)),-N('Исходные данные'!$B$11),0))</f>
        <v>0</v>
      </c>
      <c r="AC74">
        <f>IF(A74=1,-N('Исходные данные'!$B$19)*N('Исходные данные'!$B$72),0)</f>
        <v>0</v>
      </c>
      <c r="AD74">
        <f>IF(OR(B74="",'Исходные данные'!$B$22&lt;&gt;"Да",'Исходные данные'!$B$26=""),0,IF(AND(YEAR(B74)=YEAR('Исходные данные'!$B$26),MONTH(B74)=MONTH('Исходные данные'!$B$26)),N('Исходные данные'!$B$23),0))</f>
        <v>0</v>
      </c>
      <c r="AE74">
        <f t="shared" si="58"/>
        <v>0</v>
      </c>
      <c r="AF74">
        <f>IF(OR('Исходные данные'!$B$22&lt;&gt;"Да",'Исходные данные'!$B$26="",C74&lt;'Исходные данные'!$B$26),0,DATEDIF(DATE(YEAR('Исходные данные'!$B$26),MONTH('Исходные данные'!$B$26),1),B74,"m")+1)</f>
        <v>0</v>
      </c>
      <c r="AG74">
        <f>IF(OR(AF74&lt;1,AF74&gt;N('Исходные данные'!$B$25),AE74+AD74&lt;=0),0,-(AE74+AD74)*N('Исходные данные'!$B$24)*IF(AF74=1,C74-'Исходные данные'!$B$26+1,DAY(C74))/365)</f>
        <v>0</v>
      </c>
      <c r="AH74">
        <f>IF(OR(AF74&lt;1,AF74&gt;N('Исходные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данные'!$B$25)-AG74))</f>
        <v>0</v>
      </c>
      <c r="AI74">
        <f>IF(OR('Исходные данные'!$B$22&lt;&gt;"Да",AE74+AD74&lt;=0),0,IF(AND('Исходные данные'!$B$91&lt;&gt;"",B74&lt;&gt;"",YEAR(B74)=YEAR('Исходные данные'!$B$91),MONTH(B74)=MONTH('Исходные данные'!$B$91)),-(AE74+AD74),IF(OR(AF74&lt;1,AF74&gt;N('Исходные данные'!$B$25)),0,IF('Исходные данные'!$B$27="Равными долями",-MIN(AE74+AD74,N('Исходные данные'!$B$23)/N('Исходные данные'!$B$25)),-MIN(AE74+AD74,IF(AF74=N('Исходные данные'!$B$25),AE74+AD74,MAX(0,AH74+AG74)))))))</f>
        <v>0</v>
      </c>
      <c r="AJ74">
        <f t="shared" si="46"/>
        <v>0</v>
      </c>
      <c r="AK74">
        <f t="shared" si="47"/>
        <v>0</v>
      </c>
      <c r="AL74">
        <f>IF(OR(B74="",'Исходные данные'!$B$51&lt;&gt;"Да",'Исходные данные'!$B$61=""),0,IF(AND(YEAR(B74)=YEAR('Исходные данные'!$B$61),MONTH(B74)=MONTH('Исходные данные'!$B$61)),N('Исходные данные'!$B$18)*N('Исходные данные'!$B$62),0))</f>
        <v>0</v>
      </c>
      <c r="AM74">
        <f t="shared" si="59"/>
        <v>0</v>
      </c>
      <c r="AN74">
        <f t="shared" si="48"/>
        <v>0</v>
      </c>
      <c r="AO74">
        <f t="shared" si="49"/>
        <v>0</v>
      </c>
      <c r="AP74">
        <f>IF('Исходные данные'!$B$51="Да",-MAX(0,AN74-AO74-AM74),0)</f>
        <v>0</v>
      </c>
      <c r="AQ74">
        <f>IF('Исходные данные'!$B$51="Да",MAX(0,AM74+AO74-AN74),0)</f>
        <v>0</v>
      </c>
      <c r="AR74">
        <f>IF('Исходные данные'!$B$53="Выручка",MAX(0,L74+(Q74-R74)+(U74-V74)),IF('Исходные данные'!$B$53="Прибыль до налога",MAX(0,L74+(Q74-R74)+(U74-V74)+N('Исходные данные'!$B$54)*((O74+P74)+(S74+T74)+W74+X74)+IF('Исходные данные'!$B$55="Да",AG74,0)-N('Исходные данные'!$B$56)/12),IF('Исходные данные'!$B$53="Пользовательская база",MAX(0,N('Исходные данные'!$B$57)/12),0)))</f>
        <v>0</v>
      </c>
      <c r="AS74">
        <f>IF(E74=1,-AR74*N('Исходные данные'!$B$50),0)</f>
        <v>0</v>
      </c>
      <c r="AT74">
        <f t="shared" si="50"/>
        <v>0</v>
      </c>
      <c r="AU74">
        <f>IF(OR(B74="",N('Исходные данные'!$B$80)&lt;=0,'Исходные данные'!$B$88=""),0,MAX(0,IF('Исходные данные'!$B$88="Последние 12 месяцев",SUMIFS($Y$2:$Y$194,$B$2:$B$194,"&gt;="&amp;EDATE(B74,-11),$B$2:$B$194,"&lt;="&amp;B74),IF('Исходные данные'!$B$88="Пользовательский NOI",N('Исходные данные'!$B$89),AT74))/N('Исходные данные'!$B$80)*(1+N('Исходные данные'!$B$81))))</f>
        <v>0</v>
      </c>
      <c r="AV74">
        <f>IF(OR(E74&lt;&gt;1,B74="",'Исходные данные'!$B$91=""),0,IF(AND(YEAR(B74)=YEAR('Исходные данные'!$B$91),MONTH(B74)=MONTH('Исходные данные'!$B$91)),AU74,0))</f>
        <v>0</v>
      </c>
      <c r="AW74">
        <f>-AV74*N('Исходные данные'!$B$73)</f>
        <v>0</v>
      </c>
      <c r="AX74">
        <f>IF(AV74=0,0,-N('Исходные данные'!$B$87)-IF('Исходные данные'!$B$82="Да",IF('Исходные данные'!$B$84="С выручки",AV74,IF('Исходные данные'!$B$84="С прибыли",MAX(0,AV74+AW74-IF('Исходные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74">
        <f t="shared" si="51"/>
        <v>0</v>
      </c>
      <c r="AZ74">
        <f t="shared" si="52"/>
        <v>0</v>
      </c>
      <c r="BA74">
        <f t="shared" si="53"/>
        <v>0</v>
      </c>
      <c r="BB74" t="str">
        <f t="shared" si="60"/>
        <v/>
      </c>
      <c r="BC74">
        <f>IF(OR(E74=0,'Исходные данные'!$B$9="",'Исходные данные'!$B$90=""),0,BA74/(1+'Исходные данные'!$B$90)^((D74-'Исходные данные'!$B$9)/365))</f>
        <v>0</v>
      </c>
      <c r="BD74">
        <f>IF(AND(E74=1,BB74&gt;=0,BB73&lt;0,MIN($BB$2:BB74)&lt;0),1,0)</f>
        <v>0</v>
      </c>
      <c r="BE74">
        <f t="shared" si="54"/>
        <v>0</v>
      </c>
      <c r="BF74">
        <f t="shared" si="55"/>
        <v>0</v>
      </c>
      <c r="BG74">
        <f t="shared" si="56"/>
        <v>0</v>
      </c>
      <c r="BH74">
        <f t="shared" si="57"/>
        <v>1</v>
      </c>
      <c r="BI74">
        <f>AZ74+N74+AP74-AR74*N('Исходные данные'!$B$50)</f>
        <v>0</v>
      </c>
      <c r="BJ74">
        <f t="shared" si="61"/>
        <v>0</v>
      </c>
      <c r="BK74">
        <f>IF(AND(BJ74&gt;=0,BJ73&lt;0,MIN($BJ$2:BJ74)&lt;0),1,0)</f>
        <v>0</v>
      </c>
    </row>
    <row r="75" spans="1:63" x14ac:dyDescent="0.2">
      <c r="A75">
        <v>74</v>
      </c>
      <c r="B75" t="str">
        <f>IF('Исходные данные'!$B$9="","",EDATE(DATE(YEAR('Исходные данные'!$B$9),MONTH('Исходные данные'!$B$9),1),A75-1))</f>
        <v/>
      </c>
      <c r="C75" t="str">
        <f t="shared" si="41"/>
        <v/>
      </c>
      <c r="D75" t="str">
        <f>IF(B75="","",IF('Исходные данные'!$B$91&lt;&gt;"",IF(AND(YEAR(B75)=YEAR('Исходные данные'!$B$91),MONTH(B75)=MONTH('Исходные данные'!$B$91)),'Исходные данные'!$B$91,IF('Исходные данные'!$B$13&lt;&gt;"",IF(AND(YEAR(B75)=YEAR('Исходные данные'!$B$13),MONTH(B75)=MONTH('Исходные данные'!$B$13)),'Исходные данные'!$B$13,IF('Исходные данные'!$B$26&lt;&gt;"",IF(AND(YEAR(B75)=YEAR('Исходные данные'!$B$26),MONTH(B75)=MONTH('Исходные данные'!$B$26)),'Исходные данные'!$B$26,IF(A75=1,'Исходные данные'!$B$9,C75)),IF(A75=1,'Исходные данные'!$B$9,C75))),IF('Исходные данные'!$B$26&lt;&gt;"",IF(AND(YEAR(B75)=YEAR('Исходные данные'!$B$26),MONTH(B75)=MONTH('Исходные данные'!$B$26)),'Исходные данные'!$B$26,IF(A75=1,'Исходные данные'!$B$9,C75)),IF(A75=1,'Исходные данные'!$B$9,C75)))),IF('Исходные данные'!$B$13&lt;&gt;"",IF(AND(YEAR(B75)=YEAR('Исходные данные'!$B$13),MONTH(B75)=MONTH('Исходные данные'!$B$13)),'Исходные данные'!$B$13,IF('Исходные данные'!$B$26&lt;&gt;"",IF(AND(YEAR(B75)=YEAR('Исходные данные'!$B$26),MONTH(B75)=MONTH('Исходные данные'!$B$26)),'Исходные данные'!$B$26,IF(A75=1,'Исходные данные'!$B$9,C75)),IF(A75=1,'Исходные данные'!$B$9,C75))),IF('Исходные данные'!$B$26&lt;&gt;"",IF(AND(YEAR(B75)=YEAR('Исходные данные'!$B$26),MONTH(B75)=MONTH('Исходные данные'!$B$26)),'Исходные данные'!$B$26,IF(A75=1,'Исходные данные'!$B$9,C75)),IF(A75=1,'Исходные данные'!$B$9,C75)))))</f>
        <v/>
      </c>
      <c r="E75">
        <f>IF(OR(B75="",'Исходные данные'!$B$91=""),0,--(B75&lt;=DATE(YEAR('Исходные данные'!$B$91),MONTH('Исходные данные'!$B$91),1)))</f>
        <v>0</v>
      </c>
      <c r="F75">
        <f>IF(OR(B75="",'Исходные данные'!$B$30="",C75&lt;'Исходные данные'!$B$30),0,DATEDIF(DATE(YEAR('Исходные данные'!$B$30),MONTH('Исходные данные'!$B$30),1),B75,"m")+1)</f>
        <v>0</v>
      </c>
      <c r="G75">
        <f t="shared" si="42"/>
        <v>0</v>
      </c>
      <c r="H75">
        <f>IF(F75=0,0,IF(G75=1,N('Исходные данные'!$B$31),IF(G75=2,N('Исходные данные'!$B$32),IF(G75=3,N('Исходные данные'!$B$33),N('Исходные данные'!$B$33)*(1+N('Исходные данные'!$B$34))^(G75-3)))))</f>
        <v>0</v>
      </c>
      <c r="I75">
        <f>IF(OR(F75=0,N('Исходные данные'!$B$5)=0,H75=0),0,'Исходные данные'!$B$5*H75*IF(AND(B75&lt;='Исходные данные'!$B$30,C75&gt;='Исходные данные'!$B$30),(C75-'Исходные данные'!$B$30+1)/DAY(C75),1))</f>
        <v>0</v>
      </c>
      <c r="J75">
        <f>IF(AND(F75&gt;0,F75&lt;=N('Исходные данные'!$B$37)),-I75,0)</f>
        <v>0</v>
      </c>
      <c r="K75">
        <f>IF(OR(F75=0,F75&lt;=N('Исходные данные'!$B$37)),0,-(I75+J75)*N('Исходные данные'!$B$38))</f>
        <v>0</v>
      </c>
      <c r="L75">
        <f t="shared" si="43"/>
        <v>0</v>
      </c>
      <c r="M75">
        <f>IF('Исходные данные'!$B$51="Да",L75*N('Исходные данные'!$B$52),0)</f>
        <v>0</v>
      </c>
      <c r="N75">
        <f t="shared" si="44"/>
        <v>0</v>
      </c>
      <c r="O75">
        <f>IF(OR(B75="",IF('Исходные данные'!$B$45="",'Исходные данные'!$B$10,'Исходные данные'!$B$45)="",C75&lt;IF('Исходные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данные'!$B$45)),1),B75,"m")/12))*IF(AND(B75&lt;=IF('Исходные данные'!$B$45="",'Исходные данные'!$B$10,'Исходные данные'!$B$45),C75&gt;=IF('Исходные данные'!$B$45="",'Исходные данные'!$B$10,'Исходные данные'!$B$45)),(C75-IF('Исходные данные'!$B$45="",'Исходные данные'!$B$10,'Исходные данные'!$B$45)+1)/DAY(C75),1)*IF('Исходные данные'!$B$43="Без НДС",1+N('Исходные данные'!$B$44),1))</f>
        <v>0</v>
      </c>
      <c r="P75">
        <f>IF('Исходные данные'!$B$51="Да",-O75*N('Исходные данные'!$B$44)/(1+N('Исходные данные'!$B$44)),0)</f>
        <v>0</v>
      </c>
      <c r="Q75">
        <f>IF('Исходные данные'!$B$35="Да",-O75,0)</f>
        <v>0</v>
      </c>
      <c r="R75">
        <f>IF(AND('Исходные данные'!$B$51="Да",Q75&gt;0),Q75*N('Исходные данные'!$B$52)/(1+N('Исходные данные'!$B$52)),0)</f>
        <v>0</v>
      </c>
      <c r="S75">
        <f>IF(OR(B75="",IF('Исходные данные'!$B$45="",'Исходные данные'!$B$10,'Исходные данные'!$B$45)="",C75&lt;IF('Исходные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данные'!$B$45)),1),B75,"m")/12))*IF(AND(B75&lt;=IF('Исходные данные'!$B$45="",'Исходные данные'!$B$10,'Исходные данные'!$B$45),C75&gt;=IF('Исходные данные'!$B$45="",'Исходные данные'!$B$10,'Исходные данные'!$B$45)),(C75-IF('Исходные данные'!$B$45="",'Исходные данные'!$B$10,'Исходные данные'!$B$45)+1)/DAY(C75),1)*IF('Исходные данные'!$B$43="Без НДС",1+N('Исходные данные'!$B$44),1))</f>
        <v>0</v>
      </c>
      <c r="T75">
        <f>IF('Исходные данные'!$B$51="Да",-S75*N('Исходные данные'!$B$44)/(1+N('Исходные данные'!$B$44)),0)</f>
        <v>0</v>
      </c>
      <c r="U75">
        <f>IF('Исходные данные'!$B$36="Да",-S75,0)</f>
        <v>0</v>
      </c>
      <c r="V75">
        <f>IF(AND('Исходные данные'!$B$51="Да",U75&gt;0),U75*N('Исходные данные'!$B$52)/(1+N('Исходные данные'!$B$52)),0)</f>
        <v>0</v>
      </c>
      <c r="W75">
        <f>IF(OR(B75="",IF('Исходные данные'!$B$69="",'Исходные данные'!$B$10,'Исходные данные'!$B$69)="",C75&lt;IF('Исходные данные'!$B$69="",'Исходные данные'!$B$10,'Исходные данные'!$B$69)),0,-N('Исходные данные'!$B$16)*N('Исходные данные'!$B$68)*N('Исходные данные'!$B$67)/12*IF(AND(B75&lt;=IF('Исходные данные'!$B$69="",'Исходные данные'!$B$10,'Исходные данные'!$B$69),C75&gt;=IF('Исходные данные'!$B$69="",'Исходные данные'!$B$10,'Исходные данные'!$B$69)),(C75-IF('Исходные данные'!$B$69="",'Исходные данные'!$B$10,'Исходные данные'!$B$69)+1)/DAY(C75),1))</f>
        <v>0</v>
      </c>
      <c r="X75">
        <f>IF(OR(B75="",IF('Исходные данные'!$B$76="",'Исходные данные'!$B$10,'Исходные данные'!$B$76)="",C75&lt;IF('Исходные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данные'!$B$76)),1),B75,"m")/12))*IF(AND(B75&lt;=IF('Исходные данные'!$B$76="",'Исходные данные'!$B$10,'Исходные данные'!$B$76),C75&gt;=IF('Исходные данные'!$B$76="",'Исходные данные'!$B$10,'Исходные данные'!$B$76)),(C75-IF('Исходные данные'!$B$76="",'Исходные данные'!$B$10,'Исходные данные'!$B$76)+1)/DAY(C75),1))</f>
        <v>0</v>
      </c>
      <c r="Y75">
        <f t="shared" si="45"/>
        <v>0</v>
      </c>
      <c r="Z75">
        <f>IF(OR(B75="",N('Исходные данные'!$B$19)=0),0,-SUMIFS('Исходные данные'!$I$6:$I$186,'Исходные данные'!$F$6:$F$186,B75)*N('Исходные данные'!$B$17)/N('Исходные данные'!$B$19))</f>
        <v>0</v>
      </c>
      <c r="AA75">
        <f>IF(OR(B75="",N('Исходные данные'!$B$19)=0),0,-SUMIFS('Исходные данные'!$I$6:$I$186,'Исходные данные'!$F$6:$F$186,B75)*N('Исходные данные'!$B$18)/N('Исходные данные'!$B$19))</f>
        <v>0</v>
      </c>
      <c r="AB75">
        <f>IF(OR(B75="",'Исходные данные'!$B$13=""),0,IF(AND(YEAR(B75)=YEAR('Исходные данные'!$B$13),MONTH(B75)=MONTH('Исходные данные'!$B$13)),-N('Исходные данные'!$B$11),0))</f>
        <v>0</v>
      </c>
      <c r="AC75">
        <f>IF(A75=1,-N('Исходные данные'!$B$19)*N('Исходные данные'!$B$72),0)</f>
        <v>0</v>
      </c>
      <c r="AD75">
        <f>IF(OR(B75="",'Исходные данные'!$B$22&lt;&gt;"Да",'Исходные данные'!$B$26=""),0,IF(AND(YEAR(B75)=YEAR('Исходные данные'!$B$26),MONTH(B75)=MONTH('Исходные данные'!$B$26)),N('Исходные данные'!$B$23),0))</f>
        <v>0</v>
      </c>
      <c r="AE75">
        <f t="shared" si="58"/>
        <v>0</v>
      </c>
      <c r="AF75">
        <f>IF(OR('Исходные данные'!$B$22&lt;&gt;"Да",'Исходные данные'!$B$26="",C75&lt;'Исходные данные'!$B$26),0,DATEDIF(DATE(YEAR('Исходные данные'!$B$26),MONTH('Исходные данные'!$B$26),1),B75,"m")+1)</f>
        <v>0</v>
      </c>
      <c r="AG75">
        <f>IF(OR(AF75&lt;1,AF75&gt;N('Исходные данные'!$B$25),AE75+AD75&lt;=0),0,-(AE75+AD75)*N('Исходные данные'!$B$24)*IF(AF75=1,C75-'Исходные данные'!$B$26+1,DAY(C75))/365)</f>
        <v>0</v>
      </c>
      <c r="AH75">
        <f>IF(OR(AF75&lt;1,AF75&gt;N('Исходные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данные'!$B$25)-AG75))</f>
        <v>0</v>
      </c>
      <c r="AI75">
        <f>IF(OR('Исходные данные'!$B$22&lt;&gt;"Да",AE75+AD75&lt;=0),0,IF(AND('Исходные данные'!$B$91&lt;&gt;"",B75&lt;&gt;"",YEAR(B75)=YEAR('Исходные данные'!$B$91),MONTH(B75)=MONTH('Исходные данные'!$B$91)),-(AE75+AD75),IF(OR(AF75&lt;1,AF75&gt;N('Исходные данные'!$B$25)),0,IF('Исходные данные'!$B$27="Равными долями",-MIN(AE75+AD75,N('Исходные данные'!$B$23)/N('Исходные данные'!$B$25)),-MIN(AE75+AD75,IF(AF75=N('Исходные данные'!$B$25),AE75+AD75,MAX(0,AH75+AG75)))))))</f>
        <v>0</v>
      </c>
      <c r="AJ75">
        <f t="shared" si="46"/>
        <v>0</v>
      </c>
      <c r="AK75">
        <f t="shared" si="47"/>
        <v>0</v>
      </c>
      <c r="AL75">
        <f>IF(OR(B75="",'Исходные данные'!$B$51&lt;&gt;"Да",'Исходные данные'!$B$61=""),0,IF(AND(YEAR(B75)=YEAR('Исходные данные'!$B$61),MONTH(B75)=MONTH('Исходные данные'!$B$61)),N('Исходные данные'!$B$18)*N('Исходные данные'!$B$62),0))</f>
        <v>0</v>
      </c>
      <c r="AM75">
        <f t="shared" si="59"/>
        <v>0</v>
      </c>
      <c r="AN75">
        <f t="shared" si="48"/>
        <v>0</v>
      </c>
      <c r="AO75">
        <f t="shared" si="49"/>
        <v>0</v>
      </c>
      <c r="AP75">
        <f>IF('Исходные данные'!$B$51="Да",-MAX(0,AN75-AO75-AM75),0)</f>
        <v>0</v>
      </c>
      <c r="AQ75">
        <f>IF('Исходные данные'!$B$51="Да",MAX(0,AM75+AO75-AN75),0)</f>
        <v>0</v>
      </c>
      <c r="AR75">
        <f>IF('Исходные данные'!$B$53="Выручка",MAX(0,L75+(Q75-R75)+(U75-V75)),IF('Исходные данные'!$B$53="Прибыль до налога",MAX(0,L75+(Q75-R75)+(U75-V75)+N('Исходные данные'!$B$54)*((O75+P75)+(S75+T75)+W75+X75)+IF('Исходные данные'!$B$55="Да",AG75,0)-N('Исходные данные'!$B$56)/12),IF('Исходные данные'!$B$53="Пользовательская база",MAX(0,N('Исходные данные'!$B$57)/12),0)))</f>
        <v>0</v>
      </c>
      <c r="AS75">
        <f>IF(E75=1,-AR75*N('Исходные данные'!$B$50),0)</f>
        <v>0</v>
      </c>
      <c r="AT75">
        <f t="shared" si="50"/>
        <v>0</v>
      </c>
      <c r="AU75">
        <f>IF(OR(B75="",N('Исходные данные'!$B$80)&lt;=0,'Исходные данные'!$B$88=""),0,MAX(0,IF('Исходные данные'!$B$88="Последние 12 месяцев",SUMIFS($Y$2:$Y$194,$B$2:$B$194,"&gt;="&amp;EDATE(B75,-11),$B$2:$B$194,"&lt;="&amp;B75),IF('Исходные данные'!$B$88="Пользовательский NOI",N('Исходные данные'!$B$89),AT75))/N('Исходные данные'!$B$80)*(1+N('Исходные данные'!$B$81))))</f>
        <v>0</v>
      </c>
      <c r="AV75">
        <f>IF(OR(E75&lt;&gt;1,B75="",'Исходные данные'!$B$91=""),0,IF(AND(YEAR(B75)=YEAR('Исходные данные'!$B$91),MONTH(B75)=MONTH('Исходные данные'!$B$91)),AU75,0))</f>
        <v>0</v>
      </c>
      <c r="AW75">
        <f>-AV75*N('Исходные данные'!$B$73)</f>
        <v>0</v>
      </c>
      <c r="AX75">
        <f>IF(AV75=0,0,-N('Исходные данные'!$B$87)-IF('Исходные данные'!$B$82="Да",IF('Исходные данные'!$B$84="С выручки",AV75,IF('Исходные данные'!$B$84="С прибыли",MAX(0,AV75+AW75-IF('Исходные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75">
        <f t="shared" si="51"/>
        <v>0</v>
      </c>
      <c r="AZ75">
        <f t="shared" si="52"/>
        <v>0</v>
      </c>
      <c r="BA75">
        <f t="shared" si="53"/>
        <v>0</v>
      </c>
      <c r="BB75" t="str">
        <f t="shared" si="60"/>
        <v/>
      </c>
      <c r="BC75">
        <f>IF(OR(E75=0,'Исходные данные'!$B$9="",'Исходные данные'!$B$90=""),0,BA75/(1+'Исходные данные'!$B$90)^((D75-'Исходные данные'!$B$9)/365))</f>
        <v>0</v>
      </c>
      <c r="BD75">
        <f>IF(AND(E75=1,BB75&gt;=0,BB74&lt;0,MIN($BB$2:BB75)&lt;0),1,0)</f>
        <v>0</v>
      </c>
      <c r="BE75">
        <f t="shared" si="54"/>
        <v>0</v>
      </c>
      <c r="BF75">
        <f t="shared" si="55"/>
        <v>0</v>
      </c>
      <c r="BG75">
        <f t="shared" si="56"/>
        <v>0</v>
      </c>
      <c r="BH75">
        <f t="shared" si="57"/>
        <v>1</v>
      </c>
      <c r="BI75">
        <f>AZ75+N75+AP75-AR75*N('Исходные данные'!$B$50)</f>
        <v>0</v>
      </c>
      <c r="BJ75">
        <f t="shared" si="61"/>
        <v>0</v>
      </c>
      <c r="BK75">
        <f>IF(AND(BJ75&gt;=0,BJ74&lt;0,MIN($BJ$2:BJ75)&lt;0),1,0)</f>
        <v>0</v>
      </c>
    </row>
    <row r="76" spans="1:63" x14ac:dyDescent="0.2">
      <c r="A76">
        <v>75</v>
      </c>
      <c r="B76" t="str">
        <f>IF('Исходные данные'!$B$9="","",EDATE(DATE(YEAR('Исходные данные'!$B$9),MONTH('Исходные данные'!$B$9),1),A76-1))</f>
        <v/>
      </c>
      <c r="C76" t="str">
        <f t="shared" si="41"/>
        <v/>
      </c>
      <c r="D76" t="str">
        <f>IF(B76="","",IF('Исходные данные'!$B$91&lt;&gt;"",IF(AND(YEAR(B76)=YEAR('Исходные данные'!$B$91),MONTH(B76)=MONTH('Исходные данные'!$B$91)),'Исходные данные'!$B$91,IF('Исходные данные'!$B$13&lt;&gt;"",IF(AND(YEAR(B76)=YEAR('Исходные данные'!$B$13),MONTH(B76)=MONTH('Исходные данные'!$B$13)),'Исходные данные'!$B$13,IF('Исходные данные'!$B$26&lt;&gt;"",IF(AND(YEAR(B76)=YEAR('Исходные данные'!$B$26),MONTH(B76)=MONTH('Исходные данные'!$B$26)),'Исходные данные'!$B$26,IF(A76=1,'Исходные данные'!$B$9,C76)),IF(A76=1,'Исходные данные'!$B$9,C76))),IF('Исходные данные'!$B$26&lt;&gt;"",IF(AND(YEAR(B76)=YEAR('Исходные данные'!$B$26),MONTH(B76)=MONTH('Исходные данные'!$B$26)),'Исходные данные'!$B$26,IF(A76=1,'Исходные данные'!$B$9,C76)),IF(A76=1,'Исходные данные'!$B$9,C76)))),IF('Исходные данные'!$B$13&lt;&gt;"",IF(AND(YEAR(B76)=YEAR('Исходные данные'!$B$13),MONTH(B76)=MONTH('Исходные данные'!$B$13)),'Исходные данные'!$B$13,IF('Исходные данные'!$B$26&lt;&gt;"",IF(AND(YEAR(B76)=YEAR('Исходные данные'!$B$26),MONTH(B76)=MONTH('Исходные данные'!$B$26)),'Исходные данные'!$B$26,IF(A76=1,'Исходные данные'!$B$9,C76)),IF(A76=1,'Исходные данные'!$B$9,C76))),IF('Исходные данные'!$B$26&lt;&gt;"",IF(AND(YEAR(B76)=YEAR('Исходные данные'!$B$26),MONTH(B76)=MONTH('Исходные данные'!$B$26)),'Исходные данные'!$B$26,IF(A76=1,'Исходные данные'!$B$9,C76)),IF(A76=1,'Исходные данные'!$B$9,C76)))))</f>
        <v/>
      </c>
      <c r="E76">
        <f>IF(OR(B76="",'Исходные данные'!$B$91=""),0,--(B76&lt;=DATE(YEAR('Исходные данные'!$B$91),MONTH('Исходные данные'!$B$91),1)))</f>
        <v>0</v>
      </c>
      <c r="F76">
        <f>IF(OR(B76="",'Исходные данные'!$B$30="",C76&lt;'Исходные данные'!$B$30),0,DATEDIF(DATE(YEAR('Исходные данные'!$B$30),MONTH('Исходные данные'!$B$30),1),B76,"m")+1)</f>
        <v>0</v>
      </c>
      <c r="G76">
        <f t="shared" si="42"/>
        <v>0</v>
      </c>
      <c r="H76">
        <f>IF(F76=0,0,IF(G76=1,N('Исходные данные'!$B$31),IF(G76=2,N('Исходные данные'!$B$32),IF(G76=3,N('Исходные данные'!$B$33),N('Исходные данные'!$B$33)*(1+N('Исходные данные'!$B$34))^(G76-3)))))</f>
        <v>0</v>
      </c>
      <c r="I76">
        <f>IF(OR(F76=0,N('Исходные данные'!$B$5)=0,H76=0),0,'Исходные данные'!$B$5*H76*IF(AND(B76&lt;='Исходные данные'!$B$30,C76&gt;='Исходные данные'!$B$30),(C76-'Исходные данные'!$B$30+1)/DAY(C76),1))</f>
        <v>0</v>
      </c>
      <c r="J76">
        <f>IF(AND(F76&gt;0,F76&lt;=N('Исходные данные'!$B$37)),-I76,0)</f>
        <v>0</v>
      </c>
      <c r="K76">
        <f>IF(OR(F76=0,F76&lt;=N('Исходные данные'!$B$37)),0,-(I76+J76)*N('Исходные данные'!$B$38))</f>
        <v>0</v>
      </c>
      <c r="L76">
        <f t="shared" si="43"/>
        <v>0</v>
      </c>
      <c r="M76">
        <f>IF('Исходные данные'!$B$51="Да",L76*N('Исходные данные'!$B$52),0)</f>
        <v>0</v>
      </c>
      <c r="N76">
        <f t="shared" si="44"/>
        <v>0</v>
      </c>
      <c r="O76">
        <f>IF(OR(B76="",IF('Исходные данные'!$B$45="",'Исходные данные'!$B$10,'Исходные данные'!$B$45)="",C76&lt;IF('Исходные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данные'!$B$45)),1),B76,"m")/12))*IF(AND(B76&lt;=IF('Исходные данные'!$B$45="",'Исходные данные'!$B$10,'Исходные данные'!$B$45),C76&gt;=IF('Исходные данные'!$B$45="",'Исходные данные'!$B$10,'Исходные данные'!$B$45)),(C76-IF('Исходные данные'!$B$45="",'Исходные данные'!$B$10,'Исходные данные'!$B$45)+1)/DAY(C76),1)*IF('Исходные данные'!$B$43="Без НДС",1+N('Исходные данные'!$B$44),1))</f>
        <v>0</v>
      </c>
      <c r="P76">
        <f>IF('Исходные данные'!$B$51="Да",-O76*N('Исходные данные'!$B$44)/(1+N('Исходные данные'!$B$44)),0)</f>
        <v>0</v>
      </c>
      <c r="Q76">
        <f>IF('Исходные данные'!$B$35="Да",-O76,0)</f>
        <v>0</v>
      </c>
      <c r="R76">
        <f>IF(AND('Исходные данные'!$B$51="Да",Q76&gt;0),Q76*N('Исходные данные'!$B$52)/(1+N('Исходные данные'!$B$52)),0)</f>
        <v>0</v>
      </c>
      <c r="S76">
        <f>IF(OR(B76="",IF('Исходные данные'!$B$45="",'Исходные данные'!$B$10,'Исходные данные'!$B$45)="",C76&lt;IF('Исходные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данные'!$B$45)),1),B76,"m")/12))*IF(AND(B76&lt;=IF('Исходные данные'!$B$45="",'Исходные данные'!$B$10,'Исходные данные'!$B$45),C76&gt;=IF('Исходные данные'!$B$45="",'Исходные данные'!$B$10,'Исходные данные'!$B$45)),(C76-IF('Исходные данные'!$B$45="",'Исходные данные'!$B$10,'Исходные данные'!$B$45)+1)/DAY(C76),1)*IF('Исходные данные'!$B$43="Без НДС",1+N('Исходные данные'!$B$44),1))</f>
        <v>0</v>
      </c>
      <c r="T76">
        <f>IF('Исходные данные'!$B$51="Да",-S76*N('Исходные данные'!$B$44)/(1+N('Исходные данные'!$B$44)),0)</f>
        <v>0</v>
      </c>
      <c r="U76">
        <f>IF('Исходные данные'!$B$36="Да",-S76,0)</f>
        <v>0</v>
      </c>
      <c r="V76">
        <f>IF(AND('Исходные данные'!$B$51="Да",U76&gt;0),U76*N('Исходные данные'!$B$52)/(1+N('Исходные данные'!$B$52)),0)</f>
        <v>0</v>
      </c>
      <c r="W76">
        <f>IF(OR(B76="",IF('Исходные данные'!$B$69="",'Исходные данные'!$B$10,'Исходные данные'!$B$69)="",C76&lt;IF('Исходные данные'!$B$69="",'Исходные данные'!$B$10,'Исходные данные'!$B$69)),0,-N('Исходные данные'!$B$16)*N('Исходные данные'!$B$68)*N('Исходные данные'!$B$67)/12*IF(AND(B76&lt;=IF('Исходные данные'!$B$69="",'Исходные данные'!$B$10,'Исходные данные'!$B$69),C76&gt;=IF('Исходные данные'!$B$69="",'Исходные данные'!$B$10,'Исходные данные'!$B$69)),(C76-IF('Исходные данные'!$B$69="",'Исходные данные'!$B$10,'Исходные данные'!$B$69)+1)/DAY(C76),1))</f>
        <v>0</v>
      </c>
      <c r="X76">
        <f>IF(OR(B76="",IF('Исходные данные'!$B$76="",'Исходные данные'!$B$10,'Исходные данные'!$B$76)="",C76&lt;IF('Исходные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данные'!$B$76)),1),B76,"m")/12))*IF(AND(B76&lt;=IF('Исходные данные'!$B$76="",'Исходные данные'!$B$10,'Исходные данные'!$B$76),C76&gt;=IF('Исходные данные'!$B$76="",'Исходные данные'!$B$10,'Исходные данные'!$B$76)),(C76-IF('Исходные данные'!$B$76="",'Исходные данные'!$B$10,'Исходные данные'!$B$76)+1)/DAY(C76),1))</f>
        <v>0</v>
      </c>
      <c r="Y76">
        <f t="shared" si="45"/>
        <v>0</v>
      </c>
      <c r="Z76">
        <f>IF(OR(B76="",N('Исходные данные'!$B$19)=0),0,-SUMIFS('Исходные данные'!$I$6:$I$186,'Исходные данные'!$F$6:$F$186,B76)*N('Исходные данные'!$B$17)/N('Исходные данные'!$B$19))</f>
        <v>0</v>
      </c>
      <c r="AA76">
        <f>IF(OR(B76="",N('Исходные данные'!$B$19)=0),0,-SUMIFS('Исходные данные'!$I$6:$I$186,'Исходные данные'!$F$6:$F$186,B76)*N('Исходные данные'!$B$18)/N('Исходные данные'!$B$19))</f>
        <v>0</v>
      </c>
      <c r="AB76">
        <f>IF(OR(B76="",'Исходные данные'!$B$13=""),0,IF(AND(YEAR(B76)=YEAR('Исходные данные'!$B$13),MONTH(B76)=MONTH('Исходные данные'!$B$13)),-N('Исходные данные'!$B$11),0))</f>
        <v>0</v>
      </c>
      <c r="AC76">
        <f>IF(A76=1,-N('Исходные данные'!$B$19)*N('Исходные данные'!$B$72),0)</f>
        <v>0</v>
      </c>
      <c r="AD76">
        <f>IF(OR(B76="",'Исходные данные'!$B$22&lt;&gt;"Да",'Исходные данные'!$B$26=""),0,IF(AND(YEAR(B76)=YEAR('Исходные данные'!$B$26),MONTH(B76)=MONTH('Исходные данные'!$B$26)),N('Исходные данные'!$B$23),0))</f>
        <v>0</v>
      </c>
      <c r="AE76">
        <f t="shared" si="58"/>
        <v>0</v>
      </c>
      <c r="AF76">
        <f>IF(OR('Исходные данные'!$B$22&lt;&gt;"Да",'Исходные данные'!$B$26="",C76&lt;'Исходные данные'!$B$26),0,DATEDIF(DATE(YEAR('Исходные данные'!$B$26),MONTH('Исходные данные'!$B$26),1),B76,"m")+1)</f>
        <v>0</v>
      </c>
      <c r="AG76">
        <f>IF(OR(AF76&lt;1,AF76&gt;N('Исходные данные'!$B$25),AE76+AD76&lt;=0),0,-(AE76+AD76)*N('Исходные данные'!$B$24)*IF(AF76=1,C76-'Исходные данные'!$B$26+1,DAY(C76))/365)</f>
        <v>0</v>
      </c>
      <c r="AH76">
        <f>IF(OR(AF76&lt;1,AF76&gt;N('Исходные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данные'!$B$25)-AG76))</f>
        <v>0</v>
      </c>
      <c r="AI76">
        <f>IF(OR('Исходные данные'!$B$22&lt;&gt;"Да",AE76+AD76&lt;=0),0,IF(AND('Исходные данные'!$B$91&lt;&gt;"",B76&lt;&gt;"",YEAR(B76)=YEAR('Исходные данные'!$B$91),MONTH(B76)=MONTH('Исходные данные'!$B$91)),-(AE76+AD76),IF(OR(AF76&lt;1,AF76&gt;N('Исходные данные'!$B$25)),0,IF('Исходные данные'!$B$27="Равными долями",-MIN(AE76+AD76,N('Исходные данные'!$B$23)/N('Исходные данные'!$B$25)),-MIN(AE76+AD76,IF(AF76=N('Исходные данные'!$B$25),AE76+AD76,MAX(0,AH76+AG76)))))))</f>
        <v>0</v>
      </c>
      <c r="AJ76">
        <f t="shared" si="46"/>
        <v>0</v>
      </c>
      <c r="AK76">
        <f t="shared" si="47"/>
        <v>0</v>
      </c>
      <c r="AL76">
        <f>IF(OR(B76="",'Исходные данные'!$B$51&lt;&gt;"Да",'Исходные данные'!$B$61=""),0,IF(AND(YEAR(B76)=YEAR('Исходные данные'!$B$61),MONTH(B76)=MONTH('Исходные данные'!$B$61)),N('Исходные данные'!$B$18)*N('Исходные данные'!$B$62),0))</f>
        <v>0</v>
      </c>
      <c r="AM76">
        <f t="shared" si="59"/>
        <v>0</v>
      </c>
      <c r="AN76">
        <f t="shared" si="48"/>
        <v>0</v>
      </c>
      <c r="AO76">
        <f t="shared" si="49"/>
        <v>0</v>
      </c>
      <c r="AP76">
        <f>IF('Исходные данные'!$B$51="Да",-MAX(0,AN76-AO76-AM76),0)</f>
        <v>0</v>
      </c>
      <c r="AQ76">
        <f>IF('Исходные данные'!$B$51="Да",MAX(0,AM76+AO76-AN76),0)</f>
        <v>0</v>
      </c>
      <c r="AR76">
        <f>IF('Исходные данные'!$B$53="Выручка",MAX(0,L76+(Q76-R76)+(U76-V76)),IF('Исходные данные'!$B$53="Прибыль до налога",MAX(0,L76+(Q76-R76)+(U76-V76)+N('Исходные данные'!$B$54)*((O76+P76)+(S76+T76)+W76+X76)+IF('Исходные данные'!$B$55="Да",AG76,0)-N('Исходные данные'!$B$56)/12),IF('Исходные данные'!$B$53="Пользовательская база",MAX(0,N('Исходные данные'!$B$57)/12),0)))</f>
        <v>0</v>
      </c>
      <c r="AS76">
        <f>IF(E76=1,-AR76*N('Исходные данные'!$B$50),0)</f>
        <v>0</v>
      </c>
      <c r="AT76">
        <f t="shared" si="50"/>
        <v>0</v>
      </c>
      <c r="AU76">
        <f>IF(OR(B76="",N('Исходные данные'!$B$80)&lt;=0,'Исходные данные'!$B$88=""),0,MAX(0,IF('Исходные данные'!$B$88="Последние 12 месяцев",SUMIFS($Y$2:$Y$194,$B$2:$B$194,"&gt;="&amp;EDATE(B76,-11),$B$2:$B$194,"&lt;="&amp;B76),IF('Исходные данные'!$B$88="Пользовательский NOI",N('Исходные данные'!$B$89),AT76))/N('Исходные данные'!$B$80)*(1+N('Исходные данные'!$B$81))))</f>
        <v>0</v>
      </c>
      <c r="AV76">
        <f>IF(OR(E76&lt;&gt;1,B76="",'Исходные данные'!$B$91=""),0,IF(AND(YEAR(B76)=YEAR('Исходные данные'!$B$91),MONTH(B76)=MONTH('Исходные данные'!$B$91)),AU76,0))</f>
        <v>0</v>
      </c>
      <c r="AW76">
        <f>-AV76*N('Исходные данные'!$B$73)</f>
        <v>0</v>
      </c>
      <c r="AX76">
        <f>IF(AV76=0,0,-N('Исходные данные'!$B$87)-IF('Исходные данные'!$B$82="Да",IF('Исходные данные'!$B$84="С выручки",AV76,IF('Исходные данные'!$B$84="С прибыли",MAX(0,AV76+AW76-IF('Исходные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76">
        <f t="shared" si="51"/>
        <v>0</v>
      </c>
      <c r="AZ76">
        <f t="shared" si="52"/>
        <v>0</v>
      </c>
      <c r="BA76">
        <f t="shared" si="53"/>
        <v>0</v>
      </c>
      <c r="BB76" t="str">
        <f t="shared" si="60"/>
        <v/>
      </c>
      <c r="BC76">
        <f>IF(OR(E76=0,'Исходные данные'!$B$9="",'Исходные данные'!$B$90=""),0,BA76/(1+'Исходные данные'!$B$90)^((D76-'Исходные данные'!$B$9)/365))</f>
        <v>0</v>
      </c>
      <c r="BD76">
        <f>IF(AND(E76=1,BB76&gt;=0,BB75&lt;0,MIN($BB$2:BB76)&lt;0),1,0)</f>
        <v>0</v>
      </c>
      <c r="BE76">
        <f t="shared" si="54"/>
        <v>0</v>
      </c>
      <c r="BF76">
        <f t="shared" si="55"/>
        <v>0</v>
      </c>
      <c r="BG76">
        <f t="shared" si="56"/>
        <v>0</v>
      </c>
      <c r="BH76">
        <f t="shared" si="57"/>
        <v>1</v>
      </c>
      <c r="BI76">
        <f>AZ76+N76+AP76-AR76*N('Исходные данные'!$B$50)</f>
        <v>0</v>
      </c>
      <c r="BJ76">
        <f t="shared" si="61"/>
        <v>0</v>
      </c>
      <c r="BK76">
        <f>IF(AND(BJ76&gt;=0,BJ75&lt;0,MIN($BJ$2:BJ76)&lt;0),1,0)</f>
        <v>0</v>
      </c>
    </row>
    <row r="77" spans="1:63" x14ac:dyDescent="0.2">
      <c r="A77">
        <v>76</v>
      </c>
      <c r="B77" t="str">
        <f>IF('Исходные данные'!$B$9="","",EDATE(DATE(YEAR('Исходные данные'!$B$9),MONTH('Исходные данные'!$B$9),1),A77-1))</f>
        <v/>
      </c>
      <c r="C77" t="str">
        <f t="shared" si="41"/>
        <v/>
      </c>
      <c r="D77" t="str">
        <f>IF(B77="","",IF('Исходные данные'!$B$91&lt;&gt;"",IF(AND(YEAR(B77)=YEAR('Исходные данные'!$B$91),MONTH(B77)=MONTH('Исходные данные'!$B$91)),'Исходные данные'!$B$91,IF('Исходные данные'!$B$13&lt;&gt;"",IF(AND(YEAR(B77)=YEAR('Исходные данные'!$B$13),MONTH(B77)=MONTH('Исходные данные'!$B$13)),'Исходные данные'!$B$13,IF('Исходные данные'!$B$26&lt;&gt;"",IF(AND(YEAR(B77)=YEAR('Исходные данные'!$B$26),MONTH(B77)=MONTH('Исходные данные'!$B$26)),'Исходные данные'!$B$26,IF(A77=1,'Исходные данные'!$B$9,C77)),IF(A77=1,'Исходные данные'!$B$9,C77))),IF('Исходные данные'!$B$26&lt;&gt;"",IF(AND(YEAR(B77)=YEAR('Исходные данные'!$B$26),MONTH(B77)=MONTH('Исходные данные'!$B$26)),'Исходные данные'!$B$26,IF(A77=1,'Исходные данные'!$B$9,C77)),IF(A77=1,'Исходные данные'!$B$9,C77)))),IF('Исходные данные'!$B$13&lt;&gt;"",IF(AND(YEAR(B77)=YEAR('Исходные данные'!$B$13),MONTH(B77)=MONTH('Исходные данные'!$B$13)),'Исходные данные'!$B$13,IF('Исходные данные'!$B$26&lt;&gt;"",IF(AND(YEAR(B77)=YEAR('Исходные данные'!$B$26),MONTH(B77)=MONTH('Исходные данные'!$B$26)),'Исходные данные'!$B$26,IF(A77=1,'Исходные данные'!$B$9,C77)),IF(A77=1,'Исходные данные'!$B$9,C77))),IF('Исходные данные'!$B$26&lt;&gt;"",IF(AND(YEAR(B77)=YEAR('Исходные данные'!$B$26),MONTH(B77)=MONTH('Исходные данные'!$B$26)),'Исходные данные'!$B$26,IF(A77=1,'Исходные данные'!$B$9,C77)),IF(A77=1,'Исходные данные'!$B$9,C77)))))</f>
        <v/>
      </c>
      <c r="E77">
        <f>IF(OR(B77="",'Исходные данные'!$B$91=""),0,--(B77&lt;=DATE(YEAR('Исходные данные'!$B$91),MONTH('Исходные данные'!$B$91),1)))</f>
        <v>0</v>
      </c>
      <c r="F77">
        <f>IF(OR(B77="",'Исходные данные'!$B$30="",C77&lt;'Исходные данные'!$B$30),0,DATEDIF(DATE(YEAR('Исходные данные'!$B$30),MONTH('Исходные данные'!$B$30),1),B77,"m")+1)</f>
        <v>0</v>
      </c>
      <c r="G77">
        <f t="shared" si="42"/>
        <v>0</v>
      </c>
      <c r="H77">
        <f>IF(F77=0,0,IF(G77=1,N('Исходные данные'!$B$31),IF(G77=2,N('Исходные данные'!$B$32),IF(G77=3,N('Исходные данные'!$B$33),N('Исходные данные'!$B$33)*(1+N('Исходные данные'!$B$34))^(G77-3)))))</f>
        <v>0</v>
      </c>
      <c r="I77">
        <f>IF(OR(F77=0,N('Исходные данные'!$B$5)=0,H77=0),0,'Исходные данные'!$B$5*H77*IF(AND(B77&lt;='Исходные данные'!$B$30,C77&gt;='Исходные данные'!$B$30),(C77-'Исходные данные'!$B$30+1)/DAY(C77),1))</f>
        <v>0</v>
      </c>
      <c r="J77">
        <f>IF(AND(F77&gt;0,F77&lt;=N('Исходные данные'!$B$37)),-I77,0)</f>
        <v>0</v>
      </c>
      <c r="K77">
        <f>IF(OR(F77=0,F77&lt;=N('Исходные данные'!$B$37)),0,-(I77+J77)*N('Исходные данные'!$B$38))</f>
        <v>0</v>
      </c>
      <c r="L77">
        <f t="shared" si="43"/>
        <v>0</v>
      </c>
      <c r="M77">
        <f>IF('Исходные данные'!$B$51="Да",L77*N('Исходные данные'!$B$52),0)</f>
        <v>0</v>
      </c>
      <c r="N77">
        <f t="shared" si="44"/>
        <v>0</v>
      </c>
      <c r="O77">
        <f>IF(OR(B77="",IF('Исходные данные'!$B$45="",'Исходные данные'!$B$10,'Исходные данные'!$B$45)="",C77&lt;IF('Исходные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данные'!$B$45)),1),B77,"m")/12))*IF(AND(B77&lt;=IF('Исходные данные'!$B$45="",'Исходные данные'!$B$10,'Исходные данные'!$B$45),C77&gt;=IF('Исходные данные'!$B$45="",'Исходные данные'!$B$10,'Исходные данные'!$B$45)),(C77-IF('Исходные данные'!$B$45="",'Исходные данные'!$B$10,'Исходные данные'!$B$45)+1)/DAY(C77),1)*IF('Исходные данные'!$B$43="Без НДС",1+N('Исходные данные'!$B$44),1))</f>
        <v>0</v>
      </c>
      <c r="P77">
        <f>IF('Исходные данные'!$B$51="Да",-O77*N('Исходные данные'!$B$44)/(1+N('Исходные данные'!$B$44)),0)</f>
        <v>0</v>
      </c>
      <c r="Q77">
        <f>IF('Исходные данные'!$B$35="Да",-O77,0)</f>
        <v>0</v>
      </c>
      <c r="R77">
        <f>IF(AND('Исходные данные'!$B$51="Да",Q77&gt;0),Q77*N('Исходные данные'!$B$52)/(1+N('Исходные данные'!$B$52)),0)</f>
        <v>0</v>
      </c>
      <c r="S77">
        <f>IF(OR(B77="",IF('Исходные данные'!$B$45="",'Исходные данные'!$B$10,'Исходные данные'!$B$45)="",C77&lt;IF('Исходные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данные'!$B$45)),1),B77,"m")/12))*IF(AND(B77&lt;=IF('Исходные данные'!$B$45="",'Исходные данные'!$B$10,'Исходные данные'!$B$45),C77&gt;=IF('Исходные данные'!$B$45="",'Исходные данные'!$B$10,'Исходные данные'!$B$45)),(C77-IF('Исходные данные'!$B$45="",'Исходные данные'!$B$10,'Исходные данные'!$B$45)+1)/DAY(C77),1)*IF('Исходные данные'!$B$43="Без НДС",1+N('Исходные данные'!$B$44),1))</f>
        <v>0</v>
      </c>
      <c r="T77">
        <f>IF('Исходные данные'!$B$51="Да",-S77*N('Исходные данные'!$B$44)/(1+N('Исходные данные'!$B$44)),0)</f>
        <v>0</v>
      </c>
      <c r="U77">
        <f>IF('Исходные данные'!$B$36="Да",-S77,0)</f>
        <v>0</v>
      </c>
      <c r="V77">
        <f>IF(AND('Исходные данные'!$B$51="Да",U77&gt;0),U77*N('Исходные данные'!$B$52)/(1+N('Исходные данные'!$B$52)),0)</f>
        <v>0</v>
      </c>
      <c r="W77">
        <f>IF(OR(B77="",IF('Исходные данные'!$B$69="",'Исходные данные'!$B$10,'Исходные данные'!$B$69)="",C77&lt;IF('Исходные данные'!$B$69="",'Исходные данные'!$B$10,'Исходные данные'!$B$69)),0,-N('Исходные данные'!$B$16)*N('Исходные данные'!$B$68)*N('Исходные данные'!$B$67)/12*IF(AND(B77&lt;=IF('Исходные данные'!$B$69="",'Исходные данные'!$B$10,'Исходные данные'!$B$69),C77&gt;=IF('Исходные данные'!$B$69="",'Исходные данные'!$B$10,'Исходные данные'!$B$69)),(C77-IF('Исходные данные'!$B$69="",'Исходные данные'!$B$10,'Исходные данные'!$B$69)+1)/DAY(C77),1))</f>
        <v>0</v>
      </c>
      <c r="X77">
        <f>IF(OR(B77="",IF('Исходные данные'!$B$76="",'Исходные данные'!$B$10,'Исходные данные'!$B$76)="",C77&lt;IF('Исходные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данные'!$B$76)),1),B77,"m")/12))*IF(AND(B77&lt;=IF('Исходные данные'!$B$76="",'Исходные данные'!$B$10,'Исходные данные'!$B$76),C77&gt;=IF('Исходные данные'!$B$76="",'Исходные данные'!$B$10,'Исходные данные'!$B$76)),(C77-IF('Исходные данные'!$B$76="",'Исходные данные'!$B$10,'Исходные данные'!$B$76)+1)/DAY(C77),1))</f>
        <v>0</v>
      </c>
      <c r="Y77">
        <f t="shared" si="45"/>
        <v>0</v>
      </c>
      <c r="Z77">
        <f>IF(OR(B77="",N('Исходные данные'!$B$19)=0),0,-SUMIFS('Исходные данные'!$I$6:$I$186,'Исходные данные'!$F$6:$F$186,B77)*N('Исходные данные'!$B$17)/N('Исходные данные'!$B$19))</f>
        <v>0</v>
      </c>
      <c r="AA77">
        <f>IF(OR(B77="",N('Исходные данные'!$B$19)=0),0,-SUMIFS('Исходные данные'!$I$6:$I$186,'Исходные данные'!$F$6:$F$186,B77)*N('Исходные данные'!$B$18)/N('Исходные данные'!$B$19))</f>
        <v>0</v>
      </c>
      <c r="AB77">
        <f>IF(OR(B77="",'Исходные данные'!$B$13=""),0,IF(AND(YEAR(B77)=YEAR('Исходные данные'!$B$13),MONTH(B77)=MONTH('Исходные данные'!$B$13)),-N('Исходные данные'!$B$11),0))</f>
        <v>0</v>
      </c>
      <c r="AC77">
        <f>IF(A77=1,-N('Исходные данные'!$B$19)*N('Исходные данные'!$B$72),0)</f>
        <v>0</v>
      </c>
      <c r="AD77">
        <f>IF(OR(B77="",'Исходные данные'!$B$22&lt;&gt;"Да",'Исходные данные'!$B$26=""),0,IF(AND(YEAR(B77)=YEAR('Исходные данные'!$B$26),MONTH(B77)=MONTH('Исходные данные'!$B$26)),N('Исходные данные'!$B$23),0))</f>
        <v>0</v>
      </c>
      <c r="AE77">
        <f t="shared" si="58"/>
        <v>0</v>
      </c>
      <c r="AF77">
        <f>IF(OR('Исходные данные'!$B$22&lt;&gt;"Да",'Исходные данные'!$B$26="",C77&lt;'Исходные данные'!$B$26),0,DATEDIF(DATE(YEAR('Исходные данные'!$B$26),MONTH('Исходные данные'!$B$26),1),B77,"m")+1)</f>
        <v>0</v>
      </c>
      <c r="AG77">
        <f>IF(OR(AF77&lt;1,AF77&gt;N('Исходные данные'!$B$25),AE77+AD77&lt;=0),0,-(AE77+AD77)*N('Исходные данные'!$B$24)*IF(AF77=1,C77-'Исходные данные'!$B$26+1,DAY(C77))/365)</f>
        <v>0</v>
      </c>
      <c r="AH77">
        <f>IF(OR(AF77&lt;1,AF77&gt;N('Исходные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данные'!$B$25)-AG77))</f>
        <v>0</v>
      </c>
      <c r="AI77">
        <f>IF(OR('Исходные данные'!$B$22&lt;&gt;"Да",AE77+AD77&lt;=0),0,IF(AND('Исходные данные'!$B$91&lt;&gt;"",B77&lt;&gt;"",YEAR(B77)=YEAR('Исходные данные'!$B$91),MONTH(B77)=MONTH('Исходные данные'!$B$91)),-(AE77+AD77),IF(OR(AF77&lt;1,AF77&gt;N('Исходные данные'!$B$25)),0,IF('Исходные данные'!$B$27="Равными долями",-MIN(AE77+AD77,N('Исходные данные'!$B$23)/N('Исходные данные'!$B$25)),-MIN(AE77+AD77,IF(AF77=N('Исходные данные'!$B$25),AE77+AD77,MAX(0,AH77+AG77)))))))</f>
        <v>0</v>
      </c>
      <c r="AJ77">
        <f t="shared" si="46"/>
        <v>0</v>
      </c>
      <c r="AK77">
        <f t="shared" si="47"/>
        <v>0</v>
      </c>
      <c r="AL77">
        <f>IF(OR(B77="",'Исходные данные'!$B$51&lt;&gt;"Да",'Исходные данные'!$B$61=""),0,IF(AND(YEAR(B77)=YEAR('Исходные данные'!$B$61),MONTH(B77)=MONTH('Исходные данные'!$B$61)),N('Исходные данные'!$B$18)*N('Исходные данные'!$B$62),0))</f>
        <v>0</v>
      </c>
      <c r="AM77">
        <f t="shared" si="59"/>
        <v>0</v>
      </c>
      <c r="AN77">
        <f t="shared" si="48"/>
        <v>0</v>
      </c>
      <c r="AO77">
        <f t="shared" si="49"/>
        <v>0</v>
      </c>
      <c r="AP77">
        <f>IF('Исходные данные'!$B$51="Да",-MAX(0,AN77-AO77-AM77),0)</f>
        <v>0</v>
      </c>
      <c r="AQ77">
        <f>IF('Исходные данные'!$B$51="Да",MAX(0,AM77+AO77-AN77),0)</f>
        <v>0</v>
      </c>
      <c r="AR77">
        <f>IF('Исходные данные'!$B$53="Выручка",MAX(0,L77+(Q77-R77)+(U77-V77)),IF('Исходные данные'!$B$53="Прибыль до налога",MAX(0,L77+(Q77-R77)+(U77-V77)+N('Исходные данные'!$B$54)*((O77+P77)+(S77+T77)+W77+X77)+IF('Исходные данные'!$B$55="Да",AG77,0)-N('Исходные данные'!$B$56)/12),IF('Исходные данные'!$B$53="Пользовательская база",MAX(0,N('Исходные данные'!$B$57)/12),0)))</f>
        <v>0</v>
      </c>
      <c r="AS77">
        <f>IF(E77=1,-AR77*N('Исходные данные'!$B$50),0)</f>
        <v>0</v>
      </c>
      <c r="AT77">
        <f t="shared" si="50"/>
        <v>0</v>
      </c>
      <c r="AU77">
        <f>IF(OR(B77="",N('Исходные данные'!$B$80)&lt;=0,'Исходные данные'!$B$88=""),0,MAX(0,IF('Исходные данные'!$B$88="Последние 12 месяцев",SUMIFS($Y$2:$Y$194,$B$2:$B$194,"&gt;="&amp;EDATE(B77,-11),$B$2:$B$194,"&lt;="&amp;B77),IF('Исходные данные'!$B$88="Пользовательский NOI",N('Исходные данные'!$B$89),AT77))/N('Исходные данные'!$B$80)*(1+N('Исходные данные'!$B$81))))</f>
        <v>0</v>
      </c>
      <c r="AV77">
        <f>IF(OR(E77&lt;&gt;1,B77="",'Исходные данные'!$B$91=""),0,IF(AND(YEAR(B77)=YEAR('Исходные данные'!$B$91),MONTH(B77)=MONTH('Исходные данные'!$B$91)),AU77,0))</f>
        <v>0</v>
      </c>
      <c r="AW77">
        <f>-AV77*N('Исходные данные'!$B$73)</f>
        <v>0</v>
      </c>
      <c r="AX77">
        <f>IF(AV77=0,0,-N('Исходные данные'!$B$87)-IF('Исходные данные'!$B$82="Да",IF('Исходные данные'!$B$84="С выручки",AV77,IF('Исходные данные'!$B$84="С прибыли",MAX(0,AV77+AW77-IF('Исходные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77">
        <f t="shared" si="51"/>
        <v>0</v>
      </c>
      <c r="AZ77">
        <f t="shared" si="52"/>
        <v>0</v>
      </c>
      <c r="BA77">
        <f t="shared" si="53"/>
        <v>0</v>
      </c>
      <c r="BB77" t="str">
        <f t="shared" si="60"/>
        <v/>
      </c>
      <c r="BC77">
        <f>IF(OR(E77=0,'Исходные данные'!$B$9="",'Исходные данные'!$B$90=""),0,BA77/(1+'Исходные данные'!$B$90)^((D77-'Исходные данные'!$B$9)/365))</f>
        <v>0</v>
      </c>
      <c r="BD77">
        <f>IF(AND(E77=1,BB77&gt;=0,BB76&lt;0,MIN($BB$2:BB77)&lt;0),1,0)</f>
        <v>0</v>
      </c>
      <c r="BE77">
        <f t="shared" si="54"/>
        <v>0</v>
      </c>
      <c r="BF77">
        <f t="shared" si="55"/>
        <v>0</v>
      </c>
      <c r="BG77">
        <f t="shared" si="56"/>
        <v>0</v>
      </c>
      <c r="BH77">
        <f t="shared" si="57"/>
        <v>1</v>
      </c>
      <c r="BI77">
        <f>AZ77+N77+AP77-AR77*N('Исходные данные'!$B$50)</f>
        <v>0</v>
      </c>
      <c r="BJ77">
        <f t="shared" si="61"/>
        <v>0</v>
      </c>
      <c r="BK77">
        <f>IF(AND(BJ77&gt;=0,BJ76&lt;0,MIN($BJ$2:BJ77)&lt;0),1,0)</f>
        <v>0</v>
      </c>
    </row>
    <row r="78" spans="1:63" x14ac:dyDescent="0.2">
      <c r="A78">
        <v>77</v>
      </c>
      <c r="B78" t="str">
        <f>IF('Исходные данные'!$B$9="","",EDATE(DATE(YEAR('Исходные данные'!$B$9),MONTH('Исходные данные'!$B$9),1),A78-1))</f>
        <v/>
      </c>
      <c r="C78" t="str">
        <f t="shared" si="41"/>
        <v/>
      </c>
      <c r="D78" t="str">
        <f>IF(B78="","",IF('Исходные данные'!$B$91&lt;&gt;"",IF(AND(YEAR(B78)=YEAR('Исходные данные'!$B$91),MONTH(B78)=MONTH('Исходные данные'!$B$91)),'Исходные данные'!$B$91,IF('Исходные данные'!$B$13&lt;&gt;"",IF(AND(YEAR(B78)=YEAR('Исходные данные'!$B$13),MONTH(B78)=MONTH('Исходные данные'!$B$13)),'Исходные данные'!$B$13,IF('Исходные данные'!$B$26&lt;&gt;"",IF(AND(YEAR(B78)=YEAR('Исходные данные'!$B$26),MONTH(B78)=MONTH('Исходные данные'!$B$26)),'Исходные данные'!$B$26,IF(A78=1,'Исходные данные'!$B$9,C78)),IF(A78=1,'Исходные данные'!$B$9,C78))),IF('Исходные данные'!$B$26&lt;&gt;"",IF(AND(YEAR(B78)=YEAR('Исходные данные'!$B$26),MONTH(B78)=MONTH('Исходные данные'!$B$26)),'Исходные данные'!$B$26,IF(A78=1,'Исходные данные'!$B$9,C78)),IF(A78=1,'Исходные данные'!$B$9,C78)))),IF('Исходные данные'!$B$13&lt;&gt;"",IF(AND(YEAR(B78)=YEAR('Исходные данные'!$B$13),MONTH(B78)=MONTH('Исходные данные'!$B$13)),'Исходные данные'!$B$13,IF('Исходные данные'!$B$26&lt;&gt;"",IF(AND(YEAR(B78)=YEAR('Исходные данные'!$B$26),MONTH(B78)=MONTH('Исходные данные'!$B$26)),'Исходные данные'!$B$26,IF(A78=1,'Исходные данные'!$B$9,C78)),IF(A78=1,'Исходные данные'!$B$9,C78))),IF('Исходные данные'!$B$26&lt;&gt;"",IF(AND(YEAR(B78)=YEAR('Исходные данные'!$B$26),MONTH(B78)=MONTH('Исходные данные'!$B$26)),'Исходные данные'!$B$26,IF(A78=1,'Исходные данные'!$B$9,C78)),IF(A78=1,'Исходные данные'!$B$9,C78)))))</f>
        <v/>
      </c>
      <c r="E78">
        <f>IF(OR(B78="",'Исходные данные'!$B$91=""),0,--(B78&lt;=DATE(YEAR('Исходные данные'!$B$91),MONTH('Исходные данные'!$B$91),1)))</f>
        <v>0</v>
      </c>
      <c r="F78">
        <f>IF(OR(B78="",'Исходные данные'!$B$30="",C78&lt;'Исходные данные'!$B$30),0,DATEDIF(DATE(YEAR('Исходные данные'!$B$30),MONTH('Исходные данные'!$B$30),1),B78,"m")+1)</f>
        <v>0</v>
      </c>
      <c r="G78">
        <f t="shared" si="42"/>
        <v>0</v>
      </c>
      <c r="H78">
        <f>IF(F78=0,0,IF(G78=1,N('Исходные данные'!$B$31),IF(G78=2,N('Исходные данные'!$B$32),IF(G78=3,N('Исходные данные'!$B$33),N('Исходные данные'!$B$33)*(1+N('Исходные данные'!$B$34))^(G78-3)))))</f>
        <v>0</v>
      </c>
      <c r="I78">
        <f>IF(OR(F78=0,N('Исходные данные'!$B$5)=0,H78=0),0,'Исходные данные'!$B$5*H78*IF(AND(B78&lt;='Исходные данные'!$B$30,C78&gt;='Исходные данные'!$B$30),(C78-'Исходные данные'!$B$30+1)/DAY(C78),1))</f>
        <v>0</v>
      </c>
      <c r="J78">
        <f>IF(AND(F78&gt;0,F78&lt;=N('Исходные данные'!$B$37)),-I78,0)</f>
        <v>0</v>
      </c>
      <c r="K78">
        <f>IF(OR(F78=0,F78&lt;=N('Исходные данные'!$B$37)),0,-(I78+J78)*N('Исходные данные'!$B$38))</f>
        <v>0</v>
      </c>
      <c r="L78">
        <f t="shared" si="43"/>
        <v>0</v>
      </c>
      <c r="M78">
        <f>IF('Исходные данные'!$B$51="Да",L78*N('Исходные данные'!$B$52),0)</f>
        <v>0</v>
      </c>
      <c r="N78">
        <f t="shared" si="44"/>
        <v>0</v>
      </c>
      <c r="O78">
        <f>IF(OR(B78="",IF('Исходные данные'!$B$45="",'Исходные данные'!$B$10,'Исходные данные'!$B$45)="",C78&lt;IF('Исходные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данные'!$B$45)),1),B78,"m")/12))*IF(AND(B78&lt;=IF('Исходные данные'!$B$45="",'Исходные данные'!$B$10,'Исходные данные'!$B$45),C78&gt;=IF('Исходные данные'!$B$45="",'Исходные данные'!$B$10,'Исходные данные'!$B$45)),(C78-IF('Исходные данные'!$B$45="",'Исходные данные'!$B$10,'Исходные данные'!$B$45)+1)/DAY(C78),1)*IF('Исходные данные'!$B$43="Без НДС",1+N('Исходные данные'!$B$44),1))</f>
        <v>0</v>
      </c>
      <c r="P78">
        <f>IF('Исходные данные'!$B$51="Да",-O78*N('Исходные данные'!$B$44)/(1+N('Исходные данные'!$B$44)),0)</f>
        <v>0</v>
      </c>
      <c r="Q78">
        <f>IF('Исходные данные'!$B$35="Да",-O78,0)</f>
        <v>0</v>
      </c>
      <c r="R78">
        <f>IF(AND('Исходные данные'!$B$51="Да",Q78&gt;0),Q78*N('Исходные данные'!$B$52)/(1+N('Исходные данные'!$B$52)),0)</f>
        <v>0</v>
      </c>
      <c r="S78">
        <f>IF(OR(B78="",IF('Исходные данные'!$B$45="",'Исходные данные'!$B$10,'Исходные данные'!$B$45)="",C78&lt;IF('Исходные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данные'!$B$45)),1),B78,"m")/12))*IF(AND(B78&lt;=IF('Исходные данные'!$B$45="",'Исходные данные'!$B$10,'Исходные данные'!$B$45),C78&gt;=IF('Исходные данные'!$B$45="",'Исходные данные'!$B$10,'Исходные данные'!$B$45)),(C78-IF('Исходные данные'!$B$45="",'Исходные данные'!$B$10,'Исходные данные'!$B$45)+1)/DAY(C78),1)*IF('Исходные данные'!$B$43="Без НДС",1+N('Исходные данные'!$B$44),1))</f>
        <v>0</v>
      </c>
      <c r="T78">
        <f>IF('Исходные данные'!$B$51="Да",-S78*N('Исходные данные'!$B$44)/(1+N('Исходные данные'!$B$44)),0)</f>
        <v>0</v>
      </c>
      <c r="U78">
        <f>IF('Исходные данные'!$B$36="Да",-S78,0)</f>
        <v>0</v>
      </c>
      <c r="V78">
        <f>IF(AND('Исходные данные'!$B$51="Да",U78&gt;0),U78*N('Исходные данные'!$B$52)/(1+N('Исходные данные'!$B$52)),0)</f>
        <v>0</v>
      </c>
      <c r="W78">
        <f>IF(OR(B78="",IF('Исходные данные'!$B$69="",'Исходные данные'!$B$10,'Исходные данные'!$B$69)="",C78&lt;IF('Исходные данные'!$B$69="",'Исходные данные'!$B$10,'Исходные данные'!$B$69)),0,-N('Исходные данные'!$B$16)*N('Исходные данные'!$B$68)*N('Исходные данные'!$B$67)/12*IF(AND(B78&lt;=IF('Исходные данные'!$B$69="",'Исходные данные'!$B$10,'Исходные данные'!$B$69),C78&gt;=IF('Исходные данные'!$B$69="",'Исходные данные'!$B$10,'Исходные данные'!$B$69)),(C78-IF('Исходные данные'!$B$69="",'Исходные данные'!$B$10,'Исходные данные'!$B$69)+1)/DAY(C78),1))</f>
        <v>0</v>
      </c>
      <c r="X78">
        <f>IF(OR(B78="",IF('Исходные данные'!$B$76="",'Исходные данные'!$B$10,'Исходные данные'!$B$76)="",C78&lt;IF('Исходные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данные'!$B$76)),1),B78,"m")/12))*IF(AND(B78&lt;=IF('Исходные данные'!$B$76="",'Исходные данные'!$B$10,'Исходные данные'!$B$76),C78&gt;=IF('Исходные данные'!$B$76="",'Исходные данные'!$B$10,'Исходные данные'!$B$76)),(C78-IF('Исходные данные'!$B$76="",'Исходные данные'!$B$10,'Исходные данные'!$B$76)+1)/DAY(C78),1))</f>
        <v>0</v>
      </c>
      <c r="Y78">
        <f t="shared" si="45"/>
        <v>0</v>
      </c>
      <c r="Z78">
        <f>IF(OR(B78="",N('Исходные данные'!$B$19)=0),0,-SUMIFS('Исходные данные'!$I$6:$I$186,'Исходные данные'!$F$6:$F$186,B78)*N('Исходные данные'!$B$17)/N('Исходные данные'!$B$19))</f>
        <v>0</v>
      </c>
      <c r="AA78">
        <f>IF(OR(B78="",N('Исходные данные'!$B$19)=0),0,-SUMIFS('Исходные данные'!$I$6:$I$186,'Исходные данные'!$F$6:$F$186,B78)*N('Исходные данные'!$B$18)/N('Исходные данные'!$B$19))</f>
        <v>0</v>
      </c>
      <c r="AB78">
        <f>IF(OR(B78="",'Исходные данные'!$B$13=""),0,IF(AND(YEAR(B78)=YEAR('Исходные данные'!$B$13),MONTH(B78)=MONTH('Исходные данные'!$B$13)),-N('Исходные данные'!$B$11),0))</f>
        <v>0</v>
      </c>
      <c r="AC78">
        <f>IF(A78=1,-N('Исходные данные'!$B$19)*N('Исходные данные'!$B$72),0)</f>
        <v>0</v>
      </c>
      <c r="AD78">
        <f>IF(OR(B78="",'Исходные данные'!$B$22&lt;&gt;"Да",'Исходные данные'!$B$26=""),0,IF(AND(YEAR(B78)=YEAR('Исходные данные'!$B$26),MONTH(B78)=MONTH('Исходные данные'!$B$26)),N('Исходные данные'!$B$23),0))</f>
        <v>0</v>
      </c>
      <c r="AE78">
        <f t="shared" si="58"/>
        <v>0</v>
      </c>
      <c r="AF78">
        <f>IF(OR('Исходные данные'!$B$22&lt;&gt;"Да",'Исходные данные'!$B$26="",C78&lt;'Исходные данные'!$B$26),0,DATEDIF(DATE(YEAR('Исходные данные'!$B$26),MONTH('Исходные данные'!$B$26),1),B78,"m")+1)</f>
        <v>0</v>
      </c>
      <c r="AG78">
        <f>IF(OR(AF78&lt;1,AF78&gt;N('Исходные данные'!$B$25),AE78+AD78&lt;=0),0,-(AE78+AD78)*N('Исходные данные'!$B$24)*IF(AF78=1,C78-'Исходные данные'!$B$26+1,DAY(C78))/365)</f>
        <v>0</v>
      </c>
      <c r="AH78">
        <f>IF(OR(AF78&lt;1,AF78&gt;N('Исходные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данные'!$B$25)-AG78))</f>
        <v>0</v>
      </c>
      <c r="AI78">
        <f>IF(OR('Исходные данные'!$B$22&lt;&gt;"Да",AE78+AD78&lt;=0),0,IF(AND('Исходные данные'!$B$91&lt;&gt;"",B78&lt;&gt;"",YEAR(B78)=YEAR('Исходные данные'!$B$91),MONTH(B78)=MONTH('Исходные данные'!$B$91)),-(AE78+AD78),IF(OR(AF78&lt;1,AF78&gt;N('Исходные данные'!$B$25)),0,IF('Исходные данные'!$B$27="Равными долями",-MIN(AE78+AD78,N('Исходные данные'!$B$23)/N('Исходные данные'!$B$25)),-MIN(AE78+AD78,IF(AF78=N('Исходные данные'!$B$25),AE78+AD78,MAX(0,AH78+AG78)))))))</f>
        <v>0</v>
      </c>
      <c r="AJ78">
        <f t="shared" si="46"/>
        <v>0</v>
      </c>
      <c r="AK78">
        <f t="shared" si="47"/>
        <v>0</v>
      </c>
      <c r="AL78">
        <f>IF(OR(B78="",'Исходные данные'!$B$51&lt;&gt;"Да",'Исходные данные'!$B$61=""),0,IF(AND(YEAR(B78)=YEAR('Исходные данные'!$B$61),MONTH(B78)=MONTH('Исходные данные'!$B$61)),N('Исходные данные'!$B$18)*N('Исходные данные'!$B$62),0))</f>
        <v>0</v>
      </c>
      <c r="AM78">
        <f t="shared" si="59"/>
        <v>0</v>
      </c>
      <c r="AN78">
        <f t="shared" si="48"/>
        <v>0</v>
      </c>
      <c r="AO78">
        <f t="shared" si="49"/>
        <v>0</v>
      </c>
      <c r="AP78">
        <f>IF('Исходные данные'!$B$51="Да",-MAX(0,AN78-AO78-AM78),0)</f>
        <v>0</v>
      </c>
      <c r="AQ78">
        <f>IF('Исходные данные'!$B$51="Да",MAX(0,AM78+AO78-AN78),0)</f>
        <v>0</v>
      </c>
      <c r="AR78">
        <f>IF('Исходные данные'!$B$53="Выручка",MAX(0,L78+(Q78-R78)+(U78-V78)),IF('Исходные данные'!$B$53="Прибыль до налога",MAX(0,L78+(Q78-R78)+(U78-V78)+N('Исходные данные'!$B$54)*((O78+P78)+(S78+T78)+W78+X78)+IF('Исходные данные'!$B$55="Да",AG78,0)-N('Исходные данные'!$B$56)/12),IF('Исходные данные'!$B$53="Пользовательская база",MAX(0,N('Исходные данные'!$B$57)/12),0)))</f>
        <v>0</v>
      </c>
      <c r="AS78">
        <f>IF(E78=1,-AR78*N('Исходные данные'!$B$50),0)</f>
        <v>0</v>
      </c>
      <c r="AT78">
        <f t="shared" si="50"/>
        <v>0</v>
      </c>
      <c r="AU78">
        <f>IF(OR(B78="",N('Исходные данные'!$B$80)&lt;=0,'Исходные данные'!$B$88=""),0,MAX(0,IF('Исходные данные'!$B$88="Последние 12 месяцев",SUMIFS($Y$2:$Y$194,$B$2:$B$194,"&gt;="&amp;EDATE(B78,-11),$B$2:$B$194,"&lt;="&amp;B78),IF('Исходные данные'!$B$88="Пользовательский NOI",N('Исходные данные'!$B$89),AT78))/N('Исходные данные'!$B$80)*(1+N('Исходные данные'!$B$81))))</f>
        <v>0</v>
      </c>
      <c r="AV78">
        <f>IF(OR(E78&lt;&gt;1,B78="",'Исходные данные'!$B$91=""),0,IF(AND(YEAR(B78)=YEAR('Исходные данные'!$B$91),MONTH(B78)=MONTH('Исходные данные'!$B$91)),AU78,0))</f>
        <v>0</v>
      </c>
      <c r="AW78">
        <f>-AV78*N('Исходные данные'!$B$73)</f>
        <v>0</v>
      </c>
      <c r="AX78">
        <f>IF(AV78=0,0,-N('Исходные данные'!$B$87)-IF('Исходные данные'!$B$82="Да",IF('Исходные данные'!$B$84="С выручки",AV78,IF('Исходные данные'!$B$84="С прибыли",MAX(0,AV78+AW78-IF('Исходные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78">
        <f t="shared" si="51"/>
        <v>0</v>
      </c>
      <c r="AZ78">
        <f t="shared" si="52"/>
        <v>0</v>
      </c>
      <c r="BA78">
        <f t="shared" si="53"/>
        <v>0</v>
      </c>
      <c r="BB78" t="str">
        <f t="shared" si="60"/>
        <v/>
      </c>
      <c r="BC78">
        <f>IF(OR(E78=0,'Исходные данные'!$B$9="",'Исходные данные'!$B$90=""),0,BA78/(1+'Исходные данные'!$B$90)^((D78-'Исходные данные'!$B$9)/365))</f>
        <v>0</v>
      </c>
      <c r="BD78">
        <f>IF(AND(E78=1,BB78&gt;=0,BB77&lt;0,MIN($BB$2:BB78)&lt;0),1,0)</f>
        <v>0</v>
      </c>
      <c r="BE78">
        <f t="shared" si="54"/>
        <v>0</v>
      </c>
      <c r="BF78">
        <f t="shared" si="55"/>
        <v>0</v>
      </c>
      <c r="BG78">
        <f t="shared" si="56"/>
        <v>0</v>
      </c>
      <c r="BH78">
        <f t="shared" si="57"/>
        <v>1</v>
      </c>
      <c r="BI78">
        <f>AZ78+N78+AP78-AR78*N('Исходные данные'!$B$50)</f>
        <v>0</v>
      </c>
      <c r="BJ78">
        <f t="shared" si="61"/>
        <v>0</v>
      </c>
      <c r="BK78">
        <f>IF(AND(BJ78&gt;=0,BJ77&lt;0,MIN($BJ$2:BJ78)&lt;0),1,0)</f>
        <v>0</v>
      </c>
    </row>
    <row r="79" spans="1:63" x14ac:dyDescent="0.2">
      <c r="A79">
        <v>78</v>
      </c>
      <c r="B79" t="str">
        <f>IF('Исходные данные'!$B$9="","",EDATE(DATE(YEAR('Исходные данные'!$B$9),MONTH('Исходные данные'!$B$9),1),A79-1))</f>
        <v/>
      </c>
      <c r="C79" t="str">
        <f t="shared" si="41"/>
        <v/>
      </c>
      <c r="D79" t="str">
        <f>IF(B79="","",IF('Исходные данные'!$B$91&lt;&gt;"",IF(AND(YEAR(B79)=YEAR('Исходные данные'!$B$91),MONTH(B79)=MONTH('Исходные данные'!$B$91)),'Исходные данные'!$B$91,IF('Исходные данные'!$B$13&lt;&gt;"",IF(AND(YEAR(B79)=YEAR('Исходные данные'!$B$13),MONTH(B79)=MONTH('Исходные данные'!$B$13)),'Исходные данные'!$B$13,IF('Исходные данные'!$B$26&lt;&gt;"",IF(AND(YEAR(B79)=YEAR('Исходные данные'!$B$26),MONTH(B79)=MONTH('Исходные данные'!$B$26)),'Исходные данные'!$B$26,IF(A79=1,'Исходные данные'!$B$9,C79)),IF(A79=1,'Исходные данные'!$B$9,C79))),IF('Исходные данные'!$B$26&lt;&gt;"",IF(AND(YEAR(B79)=YEAR('Исходные данные'!$B$26),MONTH(B79)=MONTH('Исходные данные'!$B$26)),'Исходные данные'!$B$26,IF(A79=1,'Исходные данные'!$B$9,C79)),IF(A79=1,'Исходные данные'!$B$9,C79)))),IF('Исходные данные'!$B$13&lt;&gt;"",IF(AND(YEAR(B79)=YEAR('Исходные данные'!$B$13),MONTH(B79)=MONTH('Исходные данные'!$B$13)),'Исходные данные'!$B$13,IF('Исходные данные'!$B$26&lt;&gt;"",IF(AND(YEAR(B79)=YEAR('Исходные данные'!$B$26),MONTH(B79)=MONTH('Исходные данные'!$B$26)),'Исходные данные'!$B$26,IF(A79=1,'Исходные данные'!$B$9,C79)),IF(A79=1,'Исходные данные'!$B$9,C79))),IF('Исходные данные'!$B$26&lt;&gt;"",IF(AND(YEAR(B79)=YEAR('Исходные данные'!$B$26),MONTH(B79)=MONTH('Исходные данные'!$B$26)),'Исходные данные'!$B$26,IF(A79=1,'Исходные данные'!$B$9,C79)),IF(A79=1,'Исходные данные'!$B$9,C79)))))</f>
        <v/>
      </c>
      <c r="E79">
        <f>IF(OR(B79="",'Исходные данные'!$B$91=""),0,--(B79&lt;=DATE(YEAR('Исходные данные'!$B$91),MONTH('Исходные данные'!$B$91),1)))</f>
        <v>0</v>
      </c>
      <c r="F79">
        <f>IF(OR(B79="",'Исходные данные'!$B$30="",C79&lt;'Исходные данные'!$B$30),0,DATEDIF(DATE(YEAR('Исходные данные'!$B$30),MONTH('Исходные данные'!$B$30),1),B79,"m")+1)</f>
        <v>0</v>
      </c>
      <c r="G79">
        <f t="shared" si="42"/>
        <v>0</v>
      </c>
      <c r="H79">
        <f>IF(F79=0,0,IF(G79=1,N('Исходные данные'!$B$31),IF(G79=2,N('Исходные данные'!$B$32),IF(G79=3,N('Исходные данные'!$B$33),N('Исходные данные'!$B$33)*(1+N('Исходные данные'!$B$34))^(G79-3)))))</f>
        <v>0</v>
      </c>
      <c r="I79">
        <f>IF(OR(F79=0,N('Исходные данные'!$B$5)=0,H79=0),0,'Исходные данные'!$B$5*H79*IF(AND(B79&lt;='Исходные данные'!$B$30,C79&gt;='Исходные данные'!$B$30),(C79-'Исходные данные'!$B$30+1)/DAY(C79),1))</f>
        <v>0</v>
      </c>
      <c r="J79">
        <f>IF(AND(F79&gt;0,F79&lt;=N('Исходные данные'!$B$37)),-I79,0)</f>
        <v>0</v>
      </c>
      <c r="K79">
        <f>IF(OR(F79=0,F79&lt;=N('Исходные данные'!$B$37)),0,-(I79+J79)*N('Исходные данные'!$B$38))</f>
        <v>0</v>
      </c>
      <c r="L79">
        <f t="shared" si="43"/>
        <v>0</v>
      </c>
      <c r="M79">
        <f>IF('Исходные данные'!$B$51="Да",L79*N('Исходные данные'!$B$52),0)</f>
        <v>0</v>
      </c>
      <c r="N79">
        <f t="shared" si="44"/>
        <v>0</v>
      </c>
      <c r="O79">
        <f>IF(OR(B79="",IF('Исходные данные'!$B$45="",'Исходные данные'!$B$10,'Исходные данные'!$B$45)="",C79&lt;IF('Исходные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данные'!$B$45)),1),B79,"m")/12))*IF(AND(B79&lt;=IF('Исходные данные'!$B$45="",'Исходные данные'!$B$10,'Исходные данные'!$B$45),C79&gt;=IF('Исходные данные'!$B$45="",'Исходные данные'!$B$10,'Исходные данные'!$B$45)),(C79-IF('Исходные данные'!$B$45="",'Исходные данные'!$B$10,'Исходные данные'!$B$45)+1)/DAY(C79),1)*IF('Исходные данные'!$B$43="Без НДС",1+N('Исходные данные'!$B$44),1))</f>
        <v>0</v>
      </c>
      <c r="P79">
        <f>IF('Исходные данные'!$B$51="Да",-O79*N('Исходные данные'!$B$44)/(1+N('Исходные данные'!$B$44)),0)</f>
        <v>0</v>
      </c>
      <c r="Q79">
        <f>IF('Исходные данные'!$B$35="Да",-O79,0)</f>
        <v>0</v>
      </c>
      <c r="R79">
        <f>IF(AND('Исходные данные'!$B$51="Да",Q79&gt;0),Q79*N('Исходные данные'!$B$52)/(1+N('Исходные данные'!$B$52)),0)</f>
        <v>0</v>
      </c>
      <c r="S79">
        <f>IF(OR(B79="",IF('Исходные данные'!$B$45="",'Исходные данные'!$B$10,'Исходные данные'!$B$45)="",C79&lt;IF('Исходные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данные'!$B$45)),1),B79,"m")/12))*IF(AND(B79&lt;=IF('Исходные данные'!$B$45="",'Исходные данные'!$B$10,'Исходные данные'!$B$45),C79&gt;=IF('Исходные данные'!$B$45="",'Исходные данные'!$B$10,'Исходные данные'!$B$45)),(C79-IF('Исходные данные'!$B$45="",'Исходные данные'!$B$10,'Исходные данные'!$B$45)+1)/DAY(C79),1)*IF('Исходные данные'!$B$43="Без НДС",1+N('Исходные данные'!$B$44),1))</f>
        <v>0</v>
      </c>
      <c r="T79">
        <f>IF('Исходные данные'!$B$51="Да",-S79*N('Исходные данные'!$B$44)/(1+N('Исходные данные'!$B$44)),0)</f>
        <v>0</v>
      </c>
      <c r="U79">
        <f>IF('Исходные данные'!$B$36="Да",-S79,0)</f>
        <v>0</v>
      </c>
      <c r="V79">
        <f>IF(AND('Исходные данные'!$B$51="Да",U79&gt;0),U79*N('Исходные данные'!$B$52)/(1+N('Исходные данные'!$B$52)),0)</f>
        <v>0</v>
      </c>
      <c r="W79">
        <f>IF(OR(B79="",IF('Исходные данные'!$B$69="",'Исходные данные'!$B$10,'Исходные данные'!$B$69)="",C79&lt;IF('Исходные данные'!$B$69="",'Исходные данные'!$B$10,'Исходные данные'!$B$69)),0,-N('Исходные данные'!$B$16)*N('Исходные данные'!$B$68)*N('Исходные данные'!$B$67)/12*IF(AND(B79&lt;=IF('Исходные данные'!$B$69="",'Исходные данные'!$B$10,'Исходные данные'!$B$69),C79&gt;=IF('Исходные данные'!$B$69="",'Исходные данные'!$B$10,'Исходные данные'!$B$69)),(C79-IF('Исходные данные'!$B$69="",'Исходные данные'!$B$10,'Исходные данные'!$B$69)+1)/DAY(C79),1))</f>
        <v>0</v>
      </c>
      <c r="X79">
        <f>IF(OR(B79="",IF('Исходные данные'!$B$76="",'Исходные данные'!$B$10,'Исходные данные'!$B$76)="",C79&lt;IF('Исходные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данные'!$B$76)),1),B79,"m")/12))*IF(AND(B79&lt;=IF('Исходные данные'!$B$76="",'Исходные данные'!$B$10,'Исходные данные'!$B$76),C79&gt;=IF('Исходные данные'!$B$76="",'Исходные данные'!$B$10,'Исходные данные'!$B$76)),(C79-IF('Исходные данные'!$B$76="",'Исходные данные'!$B$10,'Исходные данные'!$B$76)+1)/DAY(C79),1))</f>
        <v>0</v>
      </c>
      <c r="Y79">
        <f t="shared" si="45"/>
        <v>0</v>
      </c>
      <c r="Z79">
        <f>IF(OR(B79="",N('Исходные данные'!$B$19)=0),0,-SUMIFS('Исходные данные'!$I$6:$I$186,'Исходные данные'!$F$6:$F$186,B79)*N('Исходные данные'!$B$17)/N('Исходные данные'!$B$19))</f>
        <v>0</v>
      </c>
      <c r="AA79">
        <f>IF(OR(B79="",N('Исходные данные'!$B$19)=0),0,-SUMIFS('Исходные данные'!$I$6:$I$186,'Исходные данные'!$F$6:$F$186,B79)*N('Исходные данные'!$B$18)/N('Исходные данные'!$B$19))</f>
        <v>0</v>
      </c>
      <c r="AB79">
        <f>IF(OR(B79="",'Исходные данные'!$B$13=""),0,IF(AND(YEAR(B79)=YEAR('Исходные данные'!$B$13),MONTH(B79)=MONTH('Исходные данные'!$B$13)),-N('Исходные данные'!$B$11),0))</f>
        <v>0</v>
      </c>
      <c r="AC79">
        <f>IF(A79=1,-N('Исходные данные'!$B$19)*N('Исходные данные'!$B$72),0)</f>
        <v>0</v>
      </c>
      <c r="AD79">
        <f>IF(OR(B79="",'Исходные данные'!$B$22&lt;&gt;"Да",'Исходные данные'!$B$26=""),0,IF(AND(YEAR(B79)=YEAR('Исходные данные'!$B$26),MONTH(B79)=MONTH('Исходные данные'!$B$26)),N('Исходные данные'!$B$23),0))</f>
        <v>0</v>
      </c>
      <c r="AE79">
        <f t="shared" si="58"/>
        <v>0</v>
      </c>
      <c r="AF79">
        <f>IF(OR('Исходные данные'!$B$22&lt;&gt;"Да",'Исходные данные'!$B$26="",C79&lt;'Исходные данные'!$B$26),0,DATEDIF(DATE(YEAR('Исходные данные'!$B$26),MONTH('Исходные данные'!$B$26),1),B79,"m")+1)</f>
        <v>0</v>
      </c>
      <c r="AG79">
        <f>IF(OR(AF79&lt;1,AF79&gt;N('Исходные данные'!$B$25),AE79+AD79&lt;=0),0,-(AE79+AD79)*N('Исходные данные'!$B$24)*IF(AF79=1,C79-'Исходные данные'!$B$26+1,DAY(C79))/365)</f>
        <v>0</v>
      </c>
      <c r="AH79">
        <f>IF(OR(AF79&lt;1,AF79&gt;N('Исходные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данные'!$B$25)-AG79))</f>
        <v>0</v>
      </c>
      <c r="AI79">
        <f>IF(OR('Исходные данные'!$B$22&lt;&gt;"Да",AE79+AD79&lt;=0),0,IF(AND('Исходные данные'!$B$91&lt;&gt;"",B79&lt;&gt;"",YEAR(B79)=YEAR('Исходные данные'!$B$91),MONTH(B79)=MONTH('Исходные данные'!$B$91)),-(AE79+AD79),IF(OR(AF79&lt;1,AF79&gt;N('Исходные данные'!$B$25)),0,IF('Исходные данные'!$B$27="Равными долями",-MIN(AE79+AD79,N('Исходные данные'!$B$23)/N('Исходные данные'!$B$25)),-MIN(AE79+AD79,IF(AF79=N('Исходные данные'!$B$25),AE79+AD79,MAX(0,AH79+AG79)))))))</f>
        <v>0</v>
      </c>
      <c r="AJ79">
        <f t="shared" si="46"/>
        <v>0</v>
      </c>
      <c r="AK79">
        <f t="shared" si="47"/>
        <v>0</v>
      </c>
      <c r="AL79">
        <f>IF(OR(B79="",'Исходные данные'!$B$51&lt;&gt;"Да",'Исходные данные'!$B$61=""),0,IF(AND(YEAR(B79)=YEAR('Исходные данные'!$B$61),MONTH(B79)=MONTH('Исходные данные'!$B$61)),N('Исходные данные'!$B$18)*N('Исходные данные'!$B$62),0))</f>
        <v>0</v>
      </c>
      <c r="AM79">
        <f t="shared" si="59"/>
        <v>0</v>
      </c>
      <c r="AN79">
        <f t="shared" si="48"/>
        <v>0</v>
      </c>
      <c r="AO79">
        <f t="shared" si="49"/>
        <v>0</v>
      </c>
      <c r="AP79">
        <f>IF('Исходные данные'!$B$51="Да",-MAX(0,AN79-AO79-AM79),0)</f>
        <v>0</v>
      </c>
      <c r="AQ79">
        <f>IF('Исходные данные'!$B$51="Да",MAX(0,AM79+AO79-AN79),0)</f>
        <v>0</v>
      </c>
      <c r="AR79">
        <f>IF('Исходные данные'!$B$53="Выручка",MAX(0,L79+(Q79-R79)+(U79-V79)),IF('Исходные данные'!$B$53="Прибыль до налога",MAX(0,L79+(Q79-R79)+(U79-V79)+N('Исходные данные'!$B$54)*((O79+P79)+(S79+T79)+W79+X79)+IF('Исходные данные'!$B$55="Да",AG79,0)-N('Исходные данные'!$B$56)/12),IF('Исходные данные'!$B$53="Пользовательская база",MAX(0,N('Исходные данные'!$B$57)/12),0)))</f>
        <v>0</v>
      </c>
      <c r="AS79">
        <f>IF(E79=1,-AR79*N('Исходные данные'!$B$50),0)</f>
        <v>0</v>
      </c>
      <c r="AT79">
        <f t="shared" si="50"/>
        <v>0</v>
      </c>
      <c r="AU79">
        <f>IF(OR(B79="",N('Исходные данные'!$B$80)&lt;=0,'Исходные данные'!$B$88=""),0,MAX(0,IF('Исходные данные'!$B$88="Последние 12 месяцев",SUMIFS($Y$2:$Y$194,$B$2:$B$194,"&gt;="&amp;EDATE(B79,-11),$B$2:$B$194,"&lt;="&amp;B79),IF('Исходные данные'!$B$88="Пользовательский NOI",N('Исходные данные'!$B$89),AT79))/N('Исходные данные'!$B$80)*(1+N('Исходные данные'!$B$81))))</f>
        <v>0</v>
      </c>
      <c r="AV79">
        <f>IF(OR(E79&lt;&gt;1,B79="",'Исходные данные'!$B$91=""),0,IF(AND(YEAR(B79)=YEAR('Исходные данные'!$B$91),MONTH(B79)=MONTH('Исходные данные'!$B$91)),AU79,0))</f>
        <v>0</v>
      </c>
      <c r="AW79">
        <f>-AV79*N('Исходные данные'!$B$73)</f>
        <v>0</v>
      </c>
      <c r="AX79">
        <f>IF(AV79=0,0,-N('Исходные данные'!$B$87)-IF('Исходные данные'!$B$82="Да",IF('Исходные данные'!$B$84="С выручки",AV79,IF('Исходные данные'!$B$84="С прибыли",MAX(0,AV79+AW79-IF('Исходные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79">
        <f t="shared" si="51"/>
        <v>0</v>
      </c>
      <c r="AZ79">
        <f t="shared" si="52"/>
        <v>0</v>
      </c>
      <c r="BA79">
        <f t="shared" si="53"/>
        <v>0</v>
      </c>
      <c r="BB79" t="str">
        <f t="shared" si="60"/>
        <v/>
      </c>
      <c r="BC79">
        <f>IF(OR(E79=0,'Исходные данные'!$B$9="",'Исходные данные'!$B$90=""),0,BA79/(1+'Исходные данные'!$B$90)^((D79-'Исходные данные'!$B$9)/365))</f>
        <v>0</v>
      </c>
      <c r="BD79">
        <f>IF(AND(E79=1,BB79&gt;=0,BB78&lt;0,MIN($BB$2:BB79)&lt;0),1,0)</f>
        <v>0</v>
      </c>
      <c r="BE79">
        <f t="shared" si="54"/>
        <v>0</v>
      </c>
      <c r="BF79">
        <f t="shared" si="55"/>
        <v>0</v>
      </c>
      <c r="BG79">
        <f t="shared" si="56"/>
        <v>0</v>
      </c>
      <c r="BH79">
        <f t="shared" si="57"/>
        <v>1</v>
      </c>
      <c r="BI79">
        <f>AZ79+N79+AP79-AR79*N('Исходные данные'!$B$50)</f>
        <v>0</v>
      </c>
      <c r="BJ79">
        <f t="shared" si="61"/>
        <v>0</v>
      </c>
      <c r="BK79">
        <f>IF(AND(BJ79&gt;=0,BJ78&lt;0,MIN($BJ$2:BJ79)&lt;0),1,0)</f>
        <v>0</v>
      </c>
    </row>
    <row r="80" spans="1:63" x14ac:dyDescent="0.2">
      <c r="A80">
        <v>79</v>
      </c>
      <c r="B80" t="str">
        <f>IF('Исходные данные'!$B$9="","",EDATE(DATE(YEAR('Исходные данные'!$B$9),MONTH('Исходные данные'!$B$9),1),A80-1))</f>
        <v/>
      </c>
      <c r="C80" t="str">
        <f t="shared" si="41"/>
        <v/>
      </c>
      <c r="D80" t="str">
        <f>IF(B80="","",IF('Исходные данные'!$B$91&lt;&gt;"",IF(AND(YEAR(B80)=YEAR('Исходные данные'!$B$91),MONTH(B80)=MONTH('Исходные данные'!$B$91)),'Исходные данные'!$B$91,IF('Исходные данные'!$B$13&lt;&gt;"",IF(AND(YEAR(B80)=YEAR('Исходные данные'!$B$13),MONTH(B80)=MONTH('Исходные данные'!$B$13)),'Исходные данные'!$B$13,IF('Исходные данные'!$B$26&lt;&gt;"",IF(AND(YEAR(B80)=YEAR('Исходные данные'!$B$26),MONTH(B80)=MONTH('Исходные данные'!$B$26)),'Исходные данные'!$B$26,IF(A80=1,'Исходные данные'!$B$9,C80)),IF(A80=1,'Исходные данные'!$B$9,C80))),IF('Исходные данные'!$B$26&lt;&gt;"",IF(AND(YEAR(B80)=YEAR('Исходные данные'!$B$26),MONTH(B80)=MONTH('Исходные данные'!$B$26)),'Исходные данные'!$B$26,IF(A80=1,'Исходные данные'!$B$9,C80)),IF(A80=1,'Исходные данные'!$B$9,C80)))),IF('Исходные данные'!$B$13&lt;&gt;"",IF(AND(YEAR(B80)=YEAR('Исходные данные'!$B$13),MONTH(B80)=MONTH('Исходные данные'!$B$13)),'Исходные данные'!$B$13,IF('Исходные данные'!$B$26&lt;&gt;"",IF(AND(YEAR(B80)=YEAR('Исходные данные'!$B$26),MONTH(B80)=MONTH('Исходные данные'!$B$26)),'Исходные данные'!$B$26,IF(A80=1,'Исходные данные'!$B$9,C80)),IF(A80=1,'Исходные данные'!$B$9,C80))),IF('Исходные данные'!$B$26&lt;&gt;"",IF(AND(YEAR(B80)=YEAR('Исходные данные'!$B$26),MONTH(B80)=MONTH('Исходные данные'!$B$26)),'Исходные данные'!$B$26,IF(A80=1,'Исходные данные'!$B$9,C80)),IF(A80=1,'Исходные данные'!$B$9,C80)))))</f>
        <v/>
      </c>
      <c r="E80">
        <f>IF(OR(B80="",'Исходные данные'!$B$91=""),0,--(B80&lt;=DATE(YEAR('Исходные данные'!$B$91),MONTH('Исходные данные'!$B$91),1)))</f>
        <v>0</v>
      </c>
      <c r="F80">
        <f>IF(OR(B80="",'Исходные данные'!$B$30="",C80&lt;'Исходные данные'!$B$30),0,DATEDIF(DATE(YEAR('Исходные данные'!$B$30),MONTH('Исходные данные'!$B$30),1),B80,"m")+1)</f>
        <v>0</v>
      </c>
      <c r="G80">
        <f t="shared" si="42"/>
        <v>0</v>
      </c>
      <c r="H80">
        <f>IF(F80=0,0,IF(G80=1,N('Исходные данные'!$B$31),IF(G80=2,N('Исходные данные'!$B$32),IF(G80=3,N('Исходные данные'!$B$33),N('Исходные данные'!$B$33)*(1+N('Исходные данные'!$B$34))^(G80-3)))))</f>
        <v>0</v>
      </c>
      <c r="I80">
        <f>IF(OR(F80=0,N('Исходные данные'!$B$5)=0,H80=0),0,'Исходные данные'!$B$5*H80*IF(AND(B80&lt;='Исходные данные'!$B$30,C80&gt;='Исходные данные'!$B$30),(C80-'Исходные данные'!$B$30+1)/DAY(C80),1))</f>
        <v>0</v>
      </c>
      <c r="J80">
        <f>IF(AND(F80&gt;0,F80&lt;=N('Исходные данные'!$B$37)),-I80,0)</f>
        <v>0</v>
      </c>
      <c r="K80">
        <f>IF(OR(F80=0,F80&lt;=N('Исходные данные'!$B$37)),0,-(I80+J80)*N('Исходные данные'!$B$38))</f>
        <v>0</v>
      </c>
      <c r="L80">
        <f t="shared" si="43"/>
        <v>0</v>
      </c>
      <c r="M80">
        <f>IF('Исходные данные'!$B$51="Да",L80*N('Исходные данные'!$B$52),0)</f>
        <v>0</v>
      </c>
      <c r="N80">
        <f t="shared" si="44"/>
        <v>0</v>
      </c>
      <c r="O80">
        <f>IF(OR(B80="",IF('Исходные данные'!$B$45="",'Исходные данные'!$B$10,'Исходные данные'!$B$45)="",C80&lt;IF('Исходные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данные'!$B$45)),1),B80,"m")/12))*IF(AND(B80&lt;=IF('Исходные данные'!$B$45="",'Исходные данные'!$B$10,'Исходные данные'!$B$45),C80&gt;=IF('Исходные данные'!$B$45="",'Исходные данные'!$B$10,'Исходные данные'!$B$45)),(C80-IF('Исходные данные'!$B$45="",'Исходные данные'!$B$10,'Исходные данные'!$B$45)+1)/DAY(C80),1)*IF('Исходные данные'!$B$43="Без НДС",1+N('Исходные данные'!$B$44),1))</f>
        <v>0</v>
      </c>
      <c r="P80">
        <f>IF('Исходные данные'!$B$51="Да",-O80*N('Исходные данные'!$B$44)/(1+N('Исходные данные'!$B$44)),0)</f>
        <v>0</v>
      </c>
      <c r="Q80">
        <f>IF('Исходные данные'!$B$35="Да",-O80,0)</f>
        <v>0</v>
      </c>
      <c r="R80">
        <f>IF(AND('Исходные данные'!$B$51="Да",Q80&gt;0),Q80*N('Исходные данные'!$B$52)/(1+N('Исходные данные'!$B$52)),0)</f>
        <v>0</v>
      </c>
      <c r="S80">
        <f>IF(OR(B80="",IF('Исходные данные'!$B$45="",'Исходные данные'!$B$10,'Исходные данные'!$B$45)="",C80&lt;IF('Исходные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данные'!$B$45)),1),B80,"m")/12))*IF(AND(B80&lt;=IF('Исходные данные'!$B$45="",'Исходные данные'!$B$10,'Исходные данные'!$B$45),C80&gt;=IF('Исходные данные'!$B$45="",'Исходные данные'!$B$10,'Исходные данные'!$B$45)),(C80-IF('Исходные данные'!$B$45="",'Исходные данные'!$B$10,'Исходные данные'!$B$45)+1)/DAY(C80),1)*IF('Исходные данные'!$B$43="Без НДС",1+N('Исходные данные'!$B$44),1))</f>
        <v>0</v>
      </c>
      <c r="T80">
        <f>IF('Исходные данные'!$B$51="Да",-S80*N('Исходные данные'!$B$44)/(1+N('Исходные данные'!$B$44)),0)</f>
        <v>0</v>
      </c>
      <c r="U80">
        <f>IF('Исходные данные'!$B$36="Да",-S80,0)</f>
        <v>0</v>
      </c>
      <c r="V80">
        <f>IF(AND('Исходные данные'!$B$51="Да",U80&gt;0),U80*N('Исходные данные'!$B$52)/(1+N('Исходные данные'!$B$52)),0)</f>
        <v>0</v>
      </c>
      <c r="W80">
        <f>IF(OR(B80="",IF('Исходные данные'!$B$69="",'Исходные данные'!$B$10,'Исходные данные'!$B$69)="",C80&lt;IF('Исходные данные'!$B$69="",'Исходные данные'!$B$10,'Исходные данные'!$B$69)),0,-N('Исходные данные'!$B$16)*N('Исходные данные'!$B$68)*N('Исходные данные'!$B$67)/12*IF(AND(B80&lt;=IF('Исходные данные'!$B$69="",'Исходные данные'!$B$10,'Исходные данные'!$B$69),C80&gt;=IF('Исходные данные'!$B$69="",'Исходные данные'!$B$10,'Исходные данные'!$B$69)),(C80-IF('Исходные данные'!$B$69="",'Исходные данные'!$B$10,'Исходные данные'!$B$69)+1)/DAY(C80),1))</f>
        <v>0</v>
      </c>
      <c r="X80">
        <f>IF(OR(B80="",IF('Исходные данные'!$B$76="",'Исходные данные'!$B$10,'Исходные данные'!$B$76)="",C80&lt;IF('Исходные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данные'!$B$76)),1),B80,"m")/12))*IF(AND(B80&lt;=IF('Исходные данные'!$B$76="",'Исходные данные'!$B$10,'Исходные данные'!$B$76),C80&gt;=IF('Исходные данные'!$B$76="",'Исходные данные'!$B$10,'Исходные данные'!$B$76)),(C80-IF('Исходные данные'!$B$76="",'Исходные данные'!$B$10,'Исходные данные'!$B$76)+1)/DAY(C80),1))</f>
        <v>0</v>
      </c>
      <c r="Y80">
        <f t="shared" si="45"/>
        <v>0</v>
      </c>
      <c r="Z80">
        <f>IF(OR(B80="",N('Исходные данные'!$B$19)=0),0,-SUMIFS('Исходные данные'!$I$6:$I$186,'Исходные данные'!$F$6:$F$186,B80)*N('Исходные данные'!$B$17)/N('Исходные данные'!$B$19))</f>
        <v>0</v>
      </c>
      <c r="AA80">
        <f>IF(OR(B80="",N('Исходные данные'!$B$19)=0),0,-SUMIFS('Исходные данные'!$I$6:$I$186,'Исходные данные'!$F$6:$F$186,B80)*N('Исходные данные'!$B$18)/N('Исходные данные'!$B$19))</f>
        <v>0</v>
      </c>
      <c r="AB80">
        <f>IF(OR(B80="",'Исходные данные'!$B$13=""),0,IF(AND(YEAR(B80)=YEAR('Исходные данные'!$B$13),MONTH(B80)=MONTH('Исходные данные'!$B$13)),-N('Исходные данные'!$B$11),0))</f>
        <v>0</v>
      </c>
      <c r="AC80">
        <f>IF(A80=1,-N('Исходные данные'!$B$19)*N('Исходные данные'!$B$72),0)</f>
        <v>0</v>
      </c>
      <c r="AD80">
        <f>IF(OR(B80="",'Исходные данные'!$B$22&lt;&gt;"Да",'Исходные данные'!$B$26=""),0,IF(AND(YEAR(B80)=YEAR('Исходные данные'!$B$26),MONTH(B80)=MONTH('Исходные данные'!$B$26)),N('Исходные данные'!$B$23),0))</f>
        <v>0</v>
      </c>
      <c r="AE80">
        <f t="shared" si="58"/>
        <v>0</v>
      </c>
      <c r="AF80">
        <f>IF(OR('Исходные данные'!$B$22&lt;&gt;"Да",'Исходные данные'!$B$26="",C80&lt;'Исходные данные'!$B$26),0,DATEDIF(DATE(YEAR('Исходные данные'!$B$26),MONTH('Исходные данные'!$B$26),1),B80,"m")+1)</f>
        <v>0</v>
      </c>
      <c r="AG80">
        <f>IF(OR(AF80&lt;1,AF80&gt;N('Исходные данные'!$B$25),AE80+AD80&lt;=0),0,-(AE80+AD80)*N('Исходные данные'!$B$24)*IF(AF80=1,C80-'Исходные данные'!$B$26+1,DAY(C80))/365)</f>
        <v>0</v>
      </c>
      <c r="AH80">
        <f>IF(OR(AF80&lt;1,AF80&gt;N('Исходные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данные'!$B$25)-AG80))</f>
        <v>0</v>
      </c>
      <c r="AI80">
        <f>IF(OR('Исходные данные'!$B$22&lt;&gt;"Да",AE80+AD80&lt;=0),0,IF(AND('Исходные данные'!$B$91&lt;&gt;"",B80&lt;&gt;"",YEAR(B80)=YEAR('Исходные данные'!$B$91),MONTH(B80)=MONTH('Исходные данные'!$B$91)),-(AE80+AD80),IF(OR(AF80&lt;1,AF80&gt;N('Исходные данные'!$B$25)),0,IF('Исходные данные'!$B$27="Равными долями",-MIN(AE80+AD80,N('Исходные данные'!$B$23)/N('Исходные данные'!$B$25)),-MIN(AE80+AD80,IF(AF80=N('Исходные данные'!$B$25),AE80+AD80,MAX(0,AH80+AG80)))))))</f>
        <v>0</v>
      </c>
      <c r="AJ80">
        <f t="shared" si="46"/>
        <v>0</v>
      </c>
      <c r="AK80">
        <f t="shared" si="47"/>
        <v>0</v>
      </c>
      <c r="AL80">
        <f>IF(OR(B80="",'Исходные данные'!$B$51&lt;&gt;"Да",'Исходные данные'!$B$61=""),0,IF(AND(YEAR(B80)=YEAR('Исходные данные'!$B$61),MONTH(B80)=MONTH('Исходные данные'!$B$61)),N('Исходные данные'!$B$18)*N('Исходные данные'!$B$62),0))</f>
        <v>0</v>
      </c>
      <c r="AM80">
        <f t="shared" si="59"/>
        <v>0</v>
      </c>
      <c r="AN80">
        <f t="shared" si="48"/>
        <v>0</v>
      </c>
      <c r="AO80">
        <f t="shared" si="49"/>
        <v>0</v>
      </c>
      <c r="AP80">
        <f>IF('Исходные данные'!$B$51="Да",-MAX(0,AN80-AO80-AM80),0)</f>
        <v>0</v>
      </c>
      <c r="AQ80">
        <f>IF('Исходные данные'!$B$51="Да",MAX(0,AM80+AO80-AN80),0)</f>
        <v>0</v>
      </c>
      <c r="AR80">
        <f>IF('Исходные данные'!$B$53="Выручка",MAX(0,L80+(Q80-R80)+(U80-V80)),IF('Исходные данные'!$B$53="Прибыль до налога",MAX(0,L80+(Q80-R80)+(U80-V80)+N('Исходные данные'!$B$54)*((O80+P80)+(S80+T80)+W80+X80)+IF('Исходные данные'!$B$55="Да",AG80,0)-N('Исходные данные'!$B$56)/12),IF('Исходные данные'!$B$53="Пользовательская база",MAX(0,N('Исходные данные'!$B$57)/12),0)))</f>
        <v>0</v>
      </c>
      <c r="AS80">
        <f>IF(E80=1,-AR80*N('Исходные данные'!$B$50),0)</f>
        <v>0</v>
      </c>
      <c r="AT80">
        <f t="shared" si="50"/>
        <v>0</v>
      </c>
      <c r="AU80">
        <f>IF(OR(B80="",N('Исходные данные'!$B$80)&lt;=0,'Исходные данные'!$B$88=""),0,MAX(0,IF('Исходные данные'!$B$88="Последние 12 месяцев",SUMIFS($Y$2:$Y$194,$B$2:$B$194,"&gt;="&amp;EDATE(B80,-11),$B$2:$B$194,"&lt;="&amp;B80),IF('Исходные данные'!$B$88="Пользовательский NOI",N('Исходные данные'!$B$89),AT80))/N('Исходные данные'!$B$80)*(1+N('Исходные данные'!$B$81))))</f>
        <v>0</v>
      </c>
      <c r="AV80">
        <f>IF(OR(E80&lt;&gt;1,B80="",'Исходные данные'!$B$91=""),0,IF(AND(YEAR(B80)=YEAR('Исходные данные'!$B$91),MONTH(B80)=MONTH('Исходные данные'!$B$91)),AU80,0))</f>
        <v>0</v>
      </c>
      <c r="AW80">
        <f>-AV80*N('Исходные данные'!$B$73)</f>
        <v>0</v>
      </c>
      <c r="AX80">
        <f>IF(AV80=0,0,-N('Исходные данные'!$B$87)-IF('Исходные данные'!$B$82="Да",IF('Исходные данные'!$B$84="С выручки",AV80,IF('Исходные данные'!$B$84="С прибыли",MAX(0,AV80+AW80-IF('Исходные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80">
        <f t="shared" si="51"/>
        <v>0</v>
      </c>
      <c r="AZ80">
        <f t="shared" si="52"/>
        <v>0</v>
      </c>
      <c r="BA80">
        <f t="shared" si="53"/>
        <v>0</v>
      </c>
      <c r="BB80" t="str">
        <f t="shared" si="60"/>
        <v/>
      </c>
      <c r="BC80">
        <f>IF(OR(E80=0,'Исходные данные'!$B$9="",'Исходные данные'!$B$90=""),0,BA80/(1+'Исходные данные'!$B$90)^((D80-'Исходные данные'!$B$9)/365))</f>
        <v>0</v>
      </c>
      <c r="BD80">
        <f>IF(AND(E80=1,BB80&gt;=0,BB79&lt;0,MIN($BB$2:BB80)&lt;0),1,0)</f>
        <v>0</v>
      </c>
      <c r="BE80">
        <f t="shared" si="54"/>
        <v>0</v>
      </c>
      <c r="BF80">
        <f t="shared" si="55"/>
        <v>0</v>
      </c>
      <c r="BG80">
        <f t="shared" si="56"/>
        <v>0</v>
      </c>
      <c r="BH80">
        <f t="shared" si="57"/>
        <v>1</v>
      </c>
      <c r="BI80">
        <f>AZ80+N80+AP80-AR80*N('Исходные данные'!$B$50)</f>
        <v>0</v>
      </c>
      <c r="BJ80">
        <f t="shared" si="61"/>
        <v>0</v>
      </c>
      <c r="BK80">
        <f>IF(AND(BJ80&gt;=0,BJ79&lt;0,MIN($BJ$2:BJ80)&lt;0),1,0)</f>
        <v>0</v>
      </c>
    </row>
    <row r="81" spans="1:63" x14ac:dyDescent="0.2">
      <c r="A81">
        <v>80</v>
      </c>
      <c r="B81" t="str">
        <f>IF('Исходные данные'!$B$9="","",EDATE(DATE(YEAR('Исходные данные'!$B$9),MONTH('Исходные данные'!$B$9),1),A81-1))</f>
        <v/>
      </c>
      <c r="C81" t="str">
        <f t="shared" si="41"/>
        <v/>
      </c>
      <c r="D81" t="str">
        <f>IF(B81="","",IF('Исходные данные'!$B$91&lt;&gt;"",IF(AND(YEAR(B81)=YEAR('Исходные данные'!$B$91),MONTH(B81)=MONTH('Исходные данные'!$B$91)),'Исходные данные'!$B$91,IF('Исходные данные'!$B$13&lt;&gt;"",IF(AND(YEAR(B81)=YEAR('Исходные данные'!$B$13),MONTH(B81)=MONTH('Исходные данные'!$B$13)),'Исходные данные'!$B$13,IF('Исходные данные'!$B$26&lt;&gt;"",IF(AND(YEAR(B81)=YEAR('Исходные данные'!$B$26),MONTH(B81)=MONTH('Исходные данные'!$B$26)),'Исходные данные'!$B$26,IF(A81=1,'Исходные данные'!$B$9,C81)),IF(A81=1,'Исходные данные'!$B$9,C81))),IF('Исходные данные'!$B$26&lt;&gt;"",IF(AND(YEAR(B81)=YEAR('Исходные данные'!$B$26),MONTH(B81)=MONTH('Исходные данные'!$B$26)),'Исходные данные'!$B$26,IF(A81=1,'Исходные данные'!$B$9,C81)),IF(A81=1,'Исходные данные'!$B$9,C81)))),IF('Исходные данные'!$B$13&lt;&gt;"",IF(AND(YEAR(B81)=YEAR('Исходные данные'!$B$13),MONTH(B81)=MONTH('Исходные данные'!$B$13)),'Исходные данные'!$B$13,IF('Исходные данные'!$B$26&lt;&gt;"",IF(AND(YEAR(B81)=YEAR('Исходные данные'!$B$26),MONTH(B81)=MONTH('Исходные данные'!$B$26)),'Исходные данные'!$B$26,IF(A81=1,'Исходные данные'!$B$9,C81)),IF(A81=1,'Исходные данные'!$B$9,C81))),IF('Исходные данные'!$B$26&lt;&gt;"",IF(AND(YEAR(B81)=YEAR('Исходные данные'!$B$26),MONTH(B81)=MONTH('Исходные данные'!$B$26)),'Исходные данные'!$B$26,IF(A81=1,'Исходные данные'!$B$9,C81)),IF(A81=1,'Исходные данные'!$B$9,C81)))))</f>
        <v/>
      </c>
      <c r="E81">
        <f>IF(OR(B81="",'Исходные данные'!$B$91=""),0,--(B81&lt;=DATE(YEAR('Исходные данные'!$B$91),MONTH('Исходные данные'!$B$91),1)))</f>
        <v>0</v>
      </c>
      <c r="F81">
        <f>IF(OR(B81="",'Исходные данные'!$B$30="",C81&lt;'Исходные данные'!$B$30),0,DATEDIF(DATE(YEAR('Исходные данные'!$B$30),MONTH('Исходные данные'!$B$30),1),B81,"m")+1)</f>
        <v>0</v>
      </c>
      <c r="G81">
        <f t="shared" si="42"/>
        <v>0</v>
      </c>
      <c r="H81">
        <f>IF(F81=0,0,IF(G81=1,N('Исходные данные'!$B$31),IF(G81=2,N('Исходные данные'!$B$32),IF(G81=3,N('Исходные данные'!$B$33),N('Исходные данные'!$B$33)*(1+N('Исходные данные'!$B$34))^(G81-3)))))</f>
        <v>0</v>
      </c>
      <c r="I81">
        <f>IF(OR(F81=0,N('Исходные данные'!$B$5)=0,H81=0),0,'Исходные данные'!$B$5*H81*IF(AND(B81&lt;='Исходные данные'!$B$30,C81&gt;='Исходные данные'!$B$30),(C81-'Исходные данные'!$B$30+1)/DAY(C81),1))</f>
        <v>0</v>
      </c>
      <c r="J81">
        <f>IF(AND(F81&gt;0,F81&lt;=N('Исходные данные'!$B$37)),-I81,0)</f>
        <v>0</v>
      </c>
      <c r="K81">
        <f>IF(OR(F81=0,F81&lt;=N('Исходные данные'!$B$37)),0,-(I81+J81)*N('Исходные данные'!$B$38))</f>
        <v>0</v>
      </c>
      <c r="L81">
        <f t="shared" si="43"/>
        <v>0</v>
      </c>
      <c r="M81">
        <f>IF('Исходные данные'!$B$51="Да",L81*N('Исходные данные'!$B$52),0)</f>
        <v>0</v>
      </c>
      <c r="N81">
        <f t="shared" si="44"/>
        <v>0</v>
      </c>
      <c r="O81">
        <f>IF(OR(B81="",IF('Исходные данные'!$B$45="",'Исходные данные'!$B$10,'Исходные данные'!$B$45)="",C81&lt;IF('Исходные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данные'!$B$45)),1),B81,"m")/12))*IF(AND(B81&lt;=IF('Исходные данные'!$B$45="",'Исходные данные'!$B$10,'Исходные данные'!$B$45),C81&gt;=IF('Исходные данные'!$B$45="",'Исходные данные'!$B$10,'Исходные данные'!$B$45)),(C81-IF('Исходные данные'!$B$45="",'Исходные данные'!$B$10,'Исходные данные'!$B$45)+1)/DAY(C81),1)*IF('Исходные данные'!$B$43="Без НДС",1+N('Исходные данные'!$B$44),1))</f>
        <v>0</v>
      </c>
      <c r="P81">
        <f>IF('Исходные данные'!$B$51="Да",-O81*N('Исходные данные'!$B$44)/(1+N('Исходные данные'!$B$44)),0)</f>
        <v>0</v>
      </c>
      <c r="Q81">
        <f>IF('Исходные данные'!$B$35="Да",-O81,0)</f>
        <v>0</v>
      </c>
      <c r="R81">
        <f>IF(AND('Исходные данные'!$B$51="Да",Q81&gt;0),Q81*N('Исходные данные'!$B$52)/(1+N('Исходные данные'!$B$52)),0)</f>
        <v>0</v>
      </c>
      <c r="S81">
        <f>IF(OR(B81="",IF('Исходные данные'!$B$45="",'Исходные данные'!$B$10,'Исходные данные'!$B$45)="",C81&lt;IF('Исходные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данные'!$B$45)),1),B81,"m")/12))*IF(AND(B81&lt;=IF('Исходные данные'!$B$45="",'Исходные данные'!$B$10,'Исходные данные'!$B$45),C81&gt;=IF('Исходные данные'!$B$45="",'Исходные данные'!$B$10,'Исходные данные'!$B$45)),(C81-IF('Исходные данные'!$B$45="",'Исходные данные'!$B$10,'Исходные данные'!$B$45)+1)/DAY(C81),1)*IF('Исходные данные'!$B$43="Без НДС",1+N('Исходные данные'!$B$44),1))</f>
        <v>0</v>
      </c>
      <c r="T81">
        <f>IF('Исходные данные'!$B$51="Да",-S81*N('Исходные данные'!$B$44)/(1+N('Исходные данные'!$B$44)),0)</f>
        <v>0</v>
      </c>
      <c r="U81">
        <f>IF('Исходные данные'!$B$36="Да",-S81,0)</f>
        <v>0</v>
      </c>
      <c r="V81">
        <f>IF(AND('Исходные данные'!$B$51="Да",U81&gt;0),U81*N('Исходные данные'!$B$52)/(1+N('Исходные данные'!$B$52)),0)</f>
        <v>0</v>
      </c>
      <c r="W81">
        <f>IF(OR(B81="",IF('Исходные данные'!$B$69="",'Исходные данные'!$B$10,'Исходные данные'!$B$69)="",C81&lt;IF('Исходные данные'!$B$69="",'Исходные данные'!$B$10,'Исходные данные'!$B$69)),0,-N('Исходные данные'!$B$16)*N('Исходные данные'!$B$68)*N('Исходные данные'!$B$67)/12*IF(AND(B81&lt;=IF('Исходные данные'!$B$69="",'Исходные данные'!$B$10,'Исходные данные'!$B$69),C81&gt;=IF('Исходные данные'!$B$69="",'Исходные данные'!$B$10,'Исходные данные'!$B$69)),(C81-IF('Исходные данные'!$B$69="",'Исходные данные'!$B$10,'Исходные данные'!$B$69)+1)/DAY(C81),1))</f>
        <v>0</v>
      </c>
      <c r="X81">
        <f>IF(OR(B81="",IF('Исходные данные'!$B$76="",'Исходные данные'!$B$10,'Исходные данные'!$B$76)="",C81&lt;IF('Исходные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данные'!$B$76)),1),B81,"m")/12))*IF(AND(B81&lt;=IF('Исходные данные'!$B$76="",'Исходные данные'!$B$10,'Исходные данные'!$B$76),C81&gt;=IF('Исходные данные'!$B$76="",'Исходные данные'!$B$10,'Исходные данные'!$B$76)),(C81-IF('Исходные данные'!$B$76="",'Исходные данные'!$B$10,'Исходные данные'!$B$76)+1)/DAY(C81),1))</f>
        <v>0</v>
      </c>
      <c r="Y81">
        <f t="shared" si="45"/>
        <v>0</v>
      </c>
      <c r="Z81">
        <f>IF(OR(B81="",N('Исходные данные'!$B$19)=0),0,-SUMIFS('Исходные данные'!$I$6:$I$186,'Исходные данные'!$F$6:$F$186,B81)*N('Исходные данные'!$B$17)/N('Исходные данные'!$B$19))</f>
        <v>0</v>
      </c>
      <c r="AA81">
        <f>IF(OR(B81="",N('Исходные данные'!$B$19)=0),0,-SUMIFS('Исходные данные'!$I$6:$I$186,'Исходные данные'!$F$6:$F$186,B81)*N('Исходные данные'!$B$18)/N('Исходные данные'!$B$19))</f>
        <v>0</v>
      </c>
      <c r="AB81">
        <f>IF(OR(B81="",'Исходные данные'!$B$13=""),0,IF(AND(YEAR(B81)=YEAR('Исходные данные'!$B$13),MONTH(B81)=MONTH('Исходные данные'!$B$13)),-N('Исходные данные'!$B$11),0))</f>
        <v>0</v>
      </c>
      <c r="AC81">
        <f>IF(A81=1,-N('Исходные данные'!$B$19)*N('Исходные данные'!$B$72),0)</f>
        <v>0</v>
      </c>
      <c r="AD81">
        <f>IF(OR(B81="",'Исходные данные'!$B$22&lt;&gt;"Да",'Исходные данные'!$B$26=""),0,IF(AND(YEAR(B81)=YEAR('Исходные данные'!$B$26),MONTH(B81)=MONTH('Исходные данные'!$B$26)),N('Исходные данные'!$B$23),0))</f>
        <v>0</v>
      </c>
      <c r="AE81">
        <f t="shared" si="58"/>
        <v>0</v>
      </c>
      <c r="AF81">
        <f>IF(OR('Исходные данные'!$B$22&lt;&gt;"Да",'Исходные данные'!$B$26="",C81&lt;'Исходные данные'!$B$26),0,DATEDIF(DATE(YEAR('Исходные данные'!$B$26),MONTH('Исходные данные'!$B$26),1),B81,"m")+1)</f>
        <v>0</v>
      </c>
      <c r="AG81">
        <f>IF(OR(AF81&lt;1,AF81&gt;N('Исходные данные'!$B$25),AE81+AD81&lt;=0),0,-(AE81+AD81)*N('Исходные данные'!$B$24)*IF(AF81=1,C81-'Исходные данные'!$B$26+1,DAY(C81))/365)</f>
        <v>0</v>
      </c>
      <c r="AH81">
        <f>IF(OR(AF81&lt;1,AF81&gt;N('Исходные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данные'!$B$25)-AG81))</f>
        <v>0</v>
      </c>
      <c r="AI81">
        <f>IF(OR('Исходные данные'!$B$22&lt;&gt;"Да",AE81+AD81&lt;=0),0,IF(AND('Исходные данные'!$B$91&lt;&gt;"",B81&lt;&gt;"",YEAR(B81)=YEAR('Исходные данные'!$B$91),MONTH(B81)=MONTH('Исходные данные'!$B$91)),-(AE81+AD81),IF(OR(AF81&lt;1,AF81&gt;N('Исходные данные'!$B$25)),0,IF('Исходные данные'!$B$27="Равными долями",-MIN(AE81+AD81,N('Исходные данные'!$B$23)/N('Исходные данные'!$B$25)),-MIN(AE81+AD81,IF(AF81=N('Исходные данные'!$B$25),AE81+AD81,MAX(0,AH81+AG81)))))))</f>
        <v>0</v>
      </c>
      <c r="AJ81">
        <f t="shared" si="46"/>
        <v>0</v>
      </c>
      <c r="AK81">
        <f t="shared" si="47"/>
        <v>0</v>
      </c>
      <c r="AL81">
        <f>IF(OR(B81="",'Исходные данные'!$B$51&lt;&gt;"Да",'Исходные данные'!$B$61=""),0,IF(AND(YEAR(B81)=YEAR('Исходные данные'!$B$61),MONTH(B81)=MONTH('Исходные данные'!$B$61)),N('Исходные данные'!$B$18)*N('Исходные данные'!$B$62),0))</f>
        <v>0</v>
      </c>
      <c r="AM81">
        <f t="shared" si="59"/>
        <v>0</v>
      </c>
      <c r="AN81">
        <f t="shared" si="48"/>
        <v>0</v>
      </c>
      <c r="AO81">
        <f t="shared" si="49"/>
        <v>0</v>
      </c>
      <c r="AP81">
        <f>IF('Исходные данные'!$B$51="Да",-MAX(0,AN81-AO81-AM81),0)</f>
        <v>0</v>
      </c>
      <c r="AQ81">
        <f>IF('Исходные данные'!$B$51="Да",MAX(0,AM81+AO81-AN81),0)</f>
        <v>0</v>
      </c>
      <c r="AR81">
        <f>IF('Исходные данные'!$B$53="Выручка",MAX(0,L81+(Q81-R81)+(U81-V81)),IF('Исходные данные'!$B$53="Прибыль до налога",MAX(0,L81+(Q81-R81)+(U81-V81)+N('Исходные данные'!$B$54)*((O81+P81)+(S81+T81)+W81+X81)+IF('Исходные данные'!$B$55="Да",AG81,0)-N('Исходные данные'!$B$56)/12),IF('Исходные данные'!$B$53="Пользовательская база",MAX(0,N('Исходные данные'!$B$57)/12),0)))</f>
        <v>0</v>
      </c>
      <c r="AS81">
        <f>IF(E81=1,-AR81*N('Исходные данные'!$B$50),0)</f>
        <v>0</v>
      </c>
      <c r="AT81">
        <f t="shared" si="50"/>
        <v>0</v>
      </c>
      <c r="AU81">
        <f>IF(OR(B81="",N('Исходные данные'!$B$80)&lt;=0,'Исходные данные'!$B$88=""),0,MAX(0,IF('Исходные данные'!$B$88="Последние 12 месяцев",SUMIFS($Y$2:$Y$194,$B$2:$B$194,"&gt;="&amp;EDATE(B81,-11),$B$2:$B$194,"&lt;="&amp;B81),IF('Исходные данные'!$B$88="Пользовательский NOI",N('Исходные данные'!$B$89),AT81))/N('Исходные данные'!$B$80)*(1+N('Исходные данные'!$B$81))))</f>
        <v>0</v>
      </c>
      <c r="AV81">
        <f>IF(OR(E81&lt;&gt;1,B81="",'Исходные данные'!$B$91=""),0,IF(AND(YEAR(B81)=YEAR('Исходные данные'!$B$91),MONTH(B81)=MONTH('Исходные данные'!$B$91)),AU81,0))</f>
        <v>0</v>
      </c>
      <c r="AW81">
        <f>-AV81*N('Исходные данные'!$B$73)</f>
        <v>0</v>
      </c>
      <c r="AX81">
        <f>IF(AV81=0,0,-N('Исходные данные'!$B$87)-IF('Исходные данные'!$B$82="Да",IF('Исходные данные'!$B$84="С выручки",AV81,IF('Исходные данные'!$B$84="С прибыли",MAX(0,AV81+AW81-IF('Исходные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81">
        <f t="shared" si="51"/>
        <v>0</v>
      </c>
      <c r="AZ81">
        <f t="shared" si="52"/>
        <v>0</v>
      </c>
      <c r="BA81">
        <f t="shared" si="53"/>
        <v>0</v>
      </c>
      <c r="BB81" t="str">
        <f t="shared" si="60"/>
        <v/>
      </c>
      <c r="BC81">
        <f>IF(OR(E81=0,'Исходные данные'!$B$9="",'Исходные данные'!$B$90=""),0,BA81/(1+'Исходные данные'!$B$90)^((D81-'Исходные данные'!$B$9)/365))</f>
        <v>0</v>
      </c>
      <c r="BD81">
        <f>IF(AND(E81=1,BB81&gt;=0,BB80&lt;0,MIN($BB$2:BB81)&lt;0),1,0)</f>
        <v>0</v>
      </c>
      <c r="BE81">
        <f t="shared" si="54"/>
        <v>0</v>
      </c>
      <c r="BF81">
        <f t="shared" si="55"/>
        <v>0</v>
      </c>
      <c r="BG81">
        <f t="shared" si="56"/>
        <v>0</v>
      </c>
      <c r="BH81">
        <f t="shared" si="57"/>
        <v>1</v>
      </c>
      <c r="BI81">
        <f>AZ81+N81+AP81-AR81*N('Исходные данные'!$B$50)</f>
        <v>0</v>
      </c>
      <c r="BJ81">
        <f t="shared" si="61"/>
        <v>0</v>
      </c>
      <c r="BK81">
        <f>IF(AND(BJ81&gt;=0,BJ80&lt;0,MIN($BJ$2:BJ81)&lt;0),1,0)</f>
        <v>0</v>
      </c>
    </row>
    <row r="82" spans="1:63" x14ac:dyDescent="0.2">
      <c r="A82">
        <v>81</v>
      </c>
      <c r="B82" t="str">
        <f>IF('Исходные данные'!$B$9="","",EDATE(DATE(YEAR('Исходные данные'!$B$9),MONTH('Исходные данные'!$B$9),1),A82-1))</f>
        <v/>
      </c>
      <c r="C82" t="str">
        <f t="shared" si="41"/>
        <v/>
      </c>
      <c r="D82" t="str">
        <f>IF(B82="","",IF('Исходные данные'!$B$91&lt;&gt;"",IF(AND(YEAR(B82)=YEAR('Исходные данные'!$B$91),MONTH(B82)=MONTH('Исходные данные'!$B$91)),'Исходные данные'!$B$91,IF('Исходные данные'!$B$13&lt;&gt;"",IF(AND(YEAR(B82)=YEAR('Исходные данные'!$B$13),MONTH(B82)=MONTH('Исходные данные'!$B$13)),'Исходные данные'!$B$13,IF('Исходные данные'!$B$26&lt;&gt;"",IF(AND(YEAR(B82)=YEAR('Исходные данные'!$B$26),MONTH(B82)=MONTH('Исходные данные'!$B$26)),'Исходные данные'!$B$26,IF(A82=1,'Исходные данные'!$B$9,C82)),IF(A82=1,'Исходные данные'!$B$9,C82))),IF('Исходные данные'!$B$26&lt;&gt;"",IF(AND(YEAR(B82)=YEAR('Исходные данные'!$B$26),MONTH(B82)=MONTH('Исходные данные'!$B$26)),'Исходные данные'!$B$26,IF(A82=1,'Исходные данные'!$B$9,C82)),IF(A82=1,'Исходные данные'!$B$9,C82)))),IF('Исходные данные'!$B$13&lt;&gt;"",IF(AND(YEAR(B82)=YEAR('Исходные данные'!$B$13),MONTH(B82)=MONTH('Исходные данные'!$B$13)),'Исходные данные'!$B$13,IF('Исходные данные'!$B$26&lt;&gt;"",IF(AND(YEAR(B82)=YEAR('Исходные данные'!$B$26),MONTH(B82)=MONTH('Исходные данные'!$B$26)),'Исходные данные'!$B$26,IF(A82=1,'Исходные данные'!$B$9,C82)),IF(A82=1,'Исходные данные'!$B$9,C82))),IF('Исходные данные'!$B$26&lt;&gt;"",IF(AND(YEAR(B82)=YEAR('Исходные данные'!$B$26),MONTH(B82)=MONTH('Исходные данные'!$B$26)),'Исходные данные'!$B$26,IF(A82=1,'Исходные данные'!$B$9,C82)),IF(A82=1,'Исходные данные'!$B$9,C82)))))</f>
        <v/>
      </c>
      <c r="E82">
        <f>IF(OR(B82="",'Исходные данные'!$B$91=""),0,--(B82&lt;=DATE(YEAR('Исходные данные'!$B$91),MONTH('Исходные данные'!$B$91),1)))</f>
        <v>0</v>
      </c>
      <c r="F82">
        <f>IF(OR(B82="",'Исходные данные'!$B$30="",C82&lt;'Исходные данные'!$B$30),0,DATEDIF(DATE(YEAR('Исходные данные'!$B$30),MONTH('Исходные данные'!$B$30),1),B82,"m")+1)</f>
        <v>0</v>
      </c>
      <c r="G82">
        <f t="shared" si="42"/>
        <v>0</v>
      </c>
      <c r="H82">
        <f>IF(F82=0,0,IF(G82=1,N('Исходные данные'!$B$31),IF(G82=2,N('Исходные данные'!$B$32),IF(G82=3,N('Исходные данные'!$B$33),N('Исходные данные'!$B$33)*(1+N('Исходные данные'!$B$34))^(G82-3)))))</f>
        <v>0</v>
      </c>
      <c r="I82">
        <f>IF(OR(F82=0,N('Исходные данные'!$B$5)=0,H82=0),0,'Исходные данные'!$B$5*H82*IF(AND(B82&lt;='Исходные данные'!$B$30,C82&gt;='Исходные данные'!$B$30),(C82-'Исходные данные'!$B$30+1)/DAY(C82),1))</f>
        <v>0</v>
      </c>
      <c r="J82">
        <f>IF(AND(F82&gt;0,F82&lt;=N('Исходные данные'!$B$37)),-I82,0)</f>
        <v>0</v>
      </c>
      <c r="K82">
        <f>IF(OR(F82=0,F82&lt;=N('Исходные данные'!$B$37)),0,-(I82+J82)*N('Исходные данные'!$B$38))</f>
        <v>0</v>
      </c>
      <c r="L82">
        <f t="shared" si="43"/>
        <v>0</v>
      </c>
      <c r="M82">
        <f>IF('Исходные данные'!$B$51="Да",L82*N('Исходные данные'!$B$52),0)</f>
        <v>0</v>
      </c>
      <c r="N82">
        <f t="shared" si="44"/>
        <v>0</v>
      </c>
      <c r="O82">
        <f>IF(OR(B82="",IF('Исходные данные'!$B$45="",'Исходные данные'!$B$10,'Исходные данные'!$B$45)="",C82&lt;IF('Исходные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данные'!$B$45)),1),B82,"m")/12))*IF(AND(B82&lt;=IF('Исходные данные'!$B$45="",'Исходные данные'!$B$10,'Исходные данные'!$B$45),C82&gt;=IF('Исходные данные'!$B$45="",'Исходные данные'!$B$10,'Исходные данные'!$B$45)),(C82-IF('Исходные данные'!$B$45="",'Исходные данные'!$B$10,'Исходные данные'!$B$45)+1)/DAY(C82),1)*IF('Исходные данные'!$B$43="Без НДС",1+N('Исходные данные'!$B$44),1))</f>
        <v>0</v>
      </c>
      <c r="P82">
        <f>IF('Исходные данные'!$B$51="Да",-O82*N('Исходные данные'!$B$44)/(1+N('Исходные данные'!$B$44)),0)</f>
        <v>0</v>
      </c>
      <c r="Q82">
        <f>IF('Исходные данные'!$B$35="Да",-O82,0)</f>
        <v>0</v>
      </c>
      <c r="R82">
        <f>IF(AND('Исходные данные'!$B$51="Да",Q82&gt;0),Q82*N('Исходные данные'!$B$52)/(1+N('Исходные данные'!$B$52)),0)</f>
        <v>0</v>
      </c>
      <c r="S82">
        <f>IF(OR(B82="",IF('Исходные данные'!$B$45="",'Исходные данные'!$B$10,'Исходные данные'!$B$45)="",C82&lt;IF('Исходные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данные'!$B$45)),1),B82,"m")/12))*IF(AND(B82&lt;=IF('Исходные данные'!$B$45="",'Исходные данные'!$B$10,'Исходные данные'!$B$45),C82&gt;=IF('Исходные данные'!$B$45="",'Исходные данные'!$B$10,'Исходные данные'!$B$45)),(C82-IF('Исходные данные'!$B$45="",'Исходные данные'!$B$10,'Исходные данные'!$B$45)+1)/DAY(C82),1)*IF('Исходные данные'!$B$43="Без НДС",1+N('Исходные данные'!$B$44),1))</f>
        <v>0</v>
      </c>
      <c r="T82">
        <f>IF('Исходные данные'!$B$51="Да",-S82*N('Исходные данные'!$B$44)/(1+N('Исходные данные'!$B$44)),0)</f>
        <v>0</v>
      </c>
      <c r="U82">
        <f>IF('Исходные данные'!$B$36="Да",-S82,0)</f>
        <v>0</v>
      </c>
      <c r="V82">
        <f>IF(AND('Исходные данные'!$B$51="Да",U82&gt;0),U82*N('Исходные данные'!$B$52)/(1+N('Исходные данные'!$B$52)),0)</f>
        <v>0</v>
      </c>
      <c r="W82">
        <f>IF(OR(B82="",IF('Исходные данные'!$B$69="",'Исходные данные'!$B$10,'Исходные данные'!$B$69)="",C82&lt;IF('Исходные данные'!$B$69="",'Исходные данные'!$B$10,'Исходные данные'!$B$69)),0,-N('Исходные данные'!$B$16)*N('Исходные данные'!$B$68)*N('Исходные данные'!$B$67)/12*IF(AND(B82&lt;=IF('Исходные данные'!$B$69="",'Исходные данные'!$B$10,'Исходные данные'!$B$69),C82&gt;=IF('Исходные данные'!$B$69="",'Исходные данные'!$B$10,'Исходные данные'!$B$69)),(C82-IF('Исходные данные'!$B$69="",'Исходные данные'!$B$10,'Исходные данные'!$B$69)+1)/DAY(C82),1))</f>
        <v>0</v>
      </c>
      <c r="X82">
        <f>IF(OR(B82="",IF('Исходные данные'!$B$76="",'Исходные данные'!$B$10,'Исходные данные'!$B$76)="",C82&lt;IF('Исходные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данные'!$B$76)),1),B82,"m")/12))*IF(AND(B82&lt;=IF('Исходные данные'!$B$76="",'Исходные данные'!$B$10,'Исходные данные'!$B$76),C82&gt;=IF('Исходные данные'!$B$76="",'Исходные данные'!$B$10,'Исходные данные'!$B$76)),(C82-IF('Исходные данные'!$B$76="",'Исходные данные'!$B$10,'Исходные данные'!$B$76)+1)/DAY(C82),1))</f>
        <v>0</v>
      </c>
      <c r="Y82">
        <f t="shared" si="45"/>
        <v>0</v>
      </c>
      <c r="Z82">
        <f>IF(OR(B82="",N('Исходные данные'!$B$19)=0),0,-SUMIFS('Исходные данные'!$I$6:$I$186,'Исходные данные'!$F$6:$F$186,B82)*N('Исходные данные'!$B$17)/N('Исходные данные'!$B$19))</f>
        <v>0</v>
      </c>
      <c r="AA82">
        <f>IF(OR(B82="",N('Исходные данные'!$B$19)=0),0,-SUMIFS('Исходные данные'!$I$6:$I$186,'Исходные данные'!$F$6:$F$186,B82)*N('Исходные данные'!$B$18)/N('Исходные данные'!$B$19))</f>
        <v>0</v>
      </c>
      <c r="AB82">
        <f>IF(OR(B82="",'Исходные данные'!$B$13=""),0,IF(AND(YEAR(B82)=YEAR('Исходные данные'!$B$13),MONTH(B82)=MONTH('Исходные данные'!$B$13)),-N('Исходные данные'!$B$11),0))</f>
        <v>0</v>
      </c>
      <c r="AC82">
        <f>IF(A82=1,-N('Исходные данные'!$B$19)*N('Исходные данные'!$B$72),0)</f>
        <v>0</v>
      </c>
      <c r="AD82">
        <f>IF(OR(B82="",'Исходные данные'!$B$22&lt;&gt;"Да",'Исходные данные'!$B$26=""),0,IF(AND(YEAR(B82)=YEAR('Исходные данные'!$B$26),MONTH(B82)=MONTH('Исходные данные'!$B$26)),N('Исходные данные'!$B$23),0))</f>
        <v>0</v>
      </c>
      <c r="AE82">
        <f t="shared" si="58"/>
        <v>0</v>
      </c>
      <c r="AF82">
        <f>IF(OR('Исходные данные'!$B$22&lt;&gt;"Да",'Исходные данные'!$B$26="",C82&lt;'Исходные данные'!$B$26),0,DATEDIF(DATE(YEAR('Исходные данные'!$B$26),MONTH('Исходные данные'!$B$26),1),B82,"m")+1)</f>
        <v>0</v>
      </c>
      <c r="AG82">
        <f>IF(OR(AF82&lt;1,AF82&gt;N('Исходные данные'!$B$25),AE82+AD82&lt;=0),0,-(AE82+AD82)*N('Исходные данные'!$B$24)*IF(AF82=1,C82-'Исходные данные'!$B$26+1,DAY(C82))/365)</f>
        <v>0</v>
      </c>
      <c r="AH82">
        <f>IF(OR(AF82&lt;1,AF82&gt;N('Исходные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данные'!$B$25)-AG82))</f>
        <v>0</v>
      </c>
      <c r="AI82">
        <f>IF(OR('Исходные данные'!$B$22&lt;&gt;"Да",AE82+AD82&lt;=0),0,IF(AND('Исходные данные'!$B$91&lt;&gt;"",B82&lt;&gt;"",YEAR(B82)=YEAR('Исходные данные'!$B$91),MONTH(B82)=MONTH('Исходные данные'!$B$91)),-(AE82+AD82),IF(OR(AF82&lt;1,AF82&gt;N('Исходные данные'!$B$25)),0,IF('Исходные данные'!$B$27="Равными долями",-MIN(AE82+AD82,N('Исходные данные'!$B$23)/N('Исходные данные'!$B$25)),-MIN(AE82+AD82,IF(AF82=N('Исходные данные'!$B$25),AE82+AD82,MAX(0,AH82+AG82)))))))</f>
        <v>0</v>
      </c>
      <c r="AJ82">
        <f t="shared" si="46"/>
        <v>0</v>
      </c>
      <c r="AK82">
        <f t="shared" si="47"/>
        <v>0</v>
      </c>
      <c r="AL82">
        <f>IF(OR(B82="",'Исходные данные'!$B$51&lt;&gt;"Да",'Исходные данные'!$B$61=""),0,IF(AND(YEAR(B82)=YEAR('Исходные данные'!$B$61),MONTH(B82)=MONTH('Исходные данные'!$B$61)),N('Исходные данные'!$B$18)*N('Исходные данные'!$B$62),0))</f>
        <v>0</v>
      </c>
      <c r="AM82">
        <f t="shared" si="59"/>
        <v>0</v>
      </c>
      <c r="AN82">
        <f t="shared" si="48"/>
        <v>0</v>
      </c>
      <c r="AO82">
        <f t="shared" si="49"/>
        <v>0</v>
      </c>
      <c r="AP82">
        <f>IF('Исходные данные'!$B$51="Да",-MAX(0,AN82-AO82-AM82),0)</f>
        <v>0</v>
      </c>
      <c r="AQ82">
        <f>IF('Исходные данные'!$B$51="Да",MAX(0,AM82+AO82-AN82),0)</f>
        <v>0</v>
      </c>
      <c r="AR82">
        <f>IF('Исходные данные'!$B$53="Выручка",MAX(0,L82+(Q82-R82)+(U82-V82)),IF('Исходные данные'!$B$53="Прибыль до налога",MAX(0,L82+(Q82-R82)+(U82-V82)+N('Исходные данные'!$B$54)*((O82+P82)+(S82+T82)+W82+X82)+IF('Исходные данные'!$B$55="Да",AG82,0)-N('Исходные данные'!$B$56)/12),IF('Исходные данные'!$B$53="Пользовательская база",MAX(0,N('Исходные данные'!$B$57)/12),0)))</f>
        <v>0</v>
      </c>
      <c r="AS82">
        <f>IF(E82=1,-AR82*N('Исходные данные'!$B$50),0)</f>
        <v>0</v>
      </c>
      <c r="AT82">
        <f t="shared" si="50"/>
        <v>0</v>
      </c>
      <c r="AU82">
        <f>IF(OR(B82="",N('Исходные данные'!$B$80)&lt;=0,'Исходные данные'!$B$88=""),0,MAX(0,IF('Исходные данные'!$B$88="Последние 12 месяцев",SUMIFS($Y$2:$Y$194,$B$2:$B$194,"&gt;="&amp;EDATE(B82,-11),$B$2:$B$194,"&lt;="&amp;B82),IF('Исходные данные'!$B$88="Пользовательский NOI",N('Исходные данные'!$B$89),AT82))/N('Исходные данные'!$B$80)*(1+N('Исходные данные'!$B$81))))</f>
        <v>0</v>
      </c>
      <c r="AV82">
        <f>IF(OR(E82&lt;&gt;1,B82="",'Исходные данные'!$B$91=""),0,IF(AND(YEAR(B82)=YEAR('Исходные данные'!$B$91),MONTH(B82)=MONTH('Исходные данные'!$B$91)),AU82,0))</f>
        <v>0</v>
      </c>
      <c r="AW82">
        <f>-AV82*N('Исходные данные'!$B$73)</f>
        <v>0</v>
      </c>
      <c r="AX82">
        <f>IF(AV82=0,0,-N('Исходные данные'!$B$87)-IF('Исходные данные'!$B$82="Да",IF('Исходные данные'!$B$84="С выручки",AV82,IF('Исходные данные'!$B$84="С прибыли",MAX(0,AV82+AW82-IF('Исходные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82">
        <f t="shared" si="51"/>
        <v>0</v>
      </c>
      <c r="AZ82">
        <f t="shared" si="52"/>
        <v>0</v>
      </c>
      <c r="BA82">
        <f t="shared" si="53"/>
        <v>0</v>
      </c>
      <c r="BB82" t="str">
        <f t="shared" si="60"/>
        <v/>
      </c>
      <c r="BC82">
        <f>IF(OR(E82=0,'Исходные данные'!$B$9="",'Исходные данные'!$B$90=""),0,BA82/(1+'Исходные данные'!$B$90)^((D82-'Исходные данные'!$B$9)/365))</f>
        <v>0</v>
      </c>
      <c r="BD82">
        <f>IF(AND(E82=1,BB82&gt;=0,BB81&lt;0,MIN($BB$2:BB82)&lt;0),1,0)</f>
        <v>0</v>
      </c>
      <c r="BE82">
        <f t="shared" si="54"/>
        <v>0</v>
      </c>
      <c r="BF82">
        <f t="shared" si="55"/>
        <v>0</v>
      </c>
      <c r="BG82">
        <f t="shared" si="56"/>
        <v>0</v>
      </c>
      <c r="BH82">
        <f t="shared" si="57"/>
        <v>1</v>
      </c>
      <c r="BI82">
        <f>AZ82+N82+AP82-AR82*N('Исходные данные'!$B$50)</f>
        <v>0</v>
      </c>
      <c r="BJ82">
        <f t="shared" si="61"/>
        <v>0</v>
      </c>
      <c r="BK82">
        <f>IF(AND(BJ82&gt;=0,BJ81&lt;0,MIN($BJ$2:BJ82)&lt;0),1,0)</f>
        <v>0</v>
      </c>
    </row>
    <row r="83" spans="1:63" x14ac:dyDescent="0.2">
      <c r="A83">
        <v>82</v>
      </c>
      <c r="B83" t="str">
        <f>IF('Исходные данные'!$B$9="","",EDATE(DATE(YEAR('Исходные данные'!$B$9),MONTH('Исходные данные'!$B$9),1),A83-1))</f>
        <v/>
      </c>
      <c r="C83" t="str">
        <f t="shared" si="41"/>
        <v/>
      </c>
      <c r="D83" t="str">
        <f>IF(B83="","",IF('Исходные данные'!$B$91&lt;&gt;"",IF(AND(YEAR(B83)=YEAR('Исходные данные'!$B$91),MONTH(B83)=MONTH('Исходные данные'!$B$91)),'Исходные данные'!$B$91,IF('Исходные данные'!$B$13&lt;&gt;"",IF(AND(YEAR(B83)=YEAR('Исходные данные'!$B$13),MONTH(B83)=MONTH('Исходные данные'!$B$13)),'Исходные данные'!$B$13,IF('Исходные данные'!$B$26&lt;&gt;"",IF(AND(YEAR(B83)=YEAR('Исходные данные'!$B$26),MONTH(B83)=MONTH('Исходные данные'!$B$26)),'Исходные данные'!$B$26,IF(A83=1,'Исходные данные'!$B$9,C83)),IF(A83=1,'Исходные данные'!$B$9,C83))),IF('Исходные данные'!$B$26&lt;&gt;"",IF(AND(YEAR(B83)=YEAR('Исходные данные'!$B$26),MONTH(B83)=MONTH('Исходные данные'!$B$26)),'Исходные данные'!$B$26,IF(A83=1,'Исходные данные'!$B$9,C83)),IF(A83=1,'Исходные данные'!$B$9,C83)))),IF('Исходные данные'!$B$13&lt;&gt;"",IF(AND(YEAR(B83)=YEAR('Исходные данные'!$B$13),MONTH(B83)=MONTH('Исходные данные'!$B$13)),'Исходные данные'!$B$13,IF('Исходные данные'!$B$26&lt;&gt;"",IF(AND(YEAR(B83)=YEAR('Исходные данные'!$B$26),MONTH(B83)=MONTH('Исходные данные'!$B$26)),'Исходные данные'!$B$26,IF(A83=1,'Исходные данные'!$B$9,C83)),IF(A83=1,'Исходные данные'!$B$9,C83))),IF('Исходные данные'!$B$26&lt;&gt;"",IF(AND(YEAR(B83)=YEAR('Исходные данные'!$B$26),MONTH(B83)=MONTH('Исходные данные'!$B$26)),'Исходные данные'!$B$26,IF(A83=1,'Исходные данные'!$B$9,C83)),IF(A83=1,'Исходные данные'!$B$9,C83)))))</f>
        <v/>
      </c>
      <c r="E83">
        <f>IF(OR(B83="",'Исходные данные'!$B$91=""),0,--(B83&lt;=DATE(YEAR('Исходные данные'!$B$91),MONTH('Исходные данные'!$B$91),1)))</f>
        <v>0</v>
      </c>
      <c r="F83">
        <f>IF(OR(B83="",'Исходные данные'!$B$30="",C83&lt;'Исходные данные'!$B$30),0,DATEDIF(DATE(YEAR('Исходные данные'!$B$30),MONTH('Исходные данные'!$B$30),1),B83,"m")+1)</f>
        <v>0</v>
      </c>
      <c r="G83">
        <f t="shared" si="42"/>
        <v>0</v>
      </c>
      <c r="H83">
        <f>IF(F83=0,0,IF(G83=1,N('Исходные данные'!$B$31),IF(G83=2,N('Исходные данные'!$B$32),IF(G83=3,N('Исходные данные'!$B$33),N('Исходные данные'!$B$33)*(1+N('Исходные данные'!$B$34))^(G83-3)))))</f>
        <v>0</v>
      </c>
      <c r="I83">
        <f>IF(OR(F83=0,N('Исходные данные'!$B$5)=0,H83=0),0,'Исходные данные'!$B$5*H83*IF(AND(B83&lt;='Исходные данные'!$B$30,C83&gt;='Исходные данные'!$B$30),(C83-'Исходные данные'!$B$30+1)/DAY(C83),1))</f>
        <v>0</v>
      </c>
      <c r="J83">
        <f>IF(AND(F83&gt;0,F83&lt;=N('Исходные данные'!$B$37)),-I83,0)</f>
        <v>0</v>
      </c>
      <c r="K83">
        <f>IF(OR(F83=0,F83&lt;=N('Исходные данные'!$B$37)),0,-(I83+J83)*N('Исходные данные'!$B$38))</f>
        <v>0</v>
      </c>
      <c r="L83">
        <f t="shared" si="43"/>
        <v>0</v>
      </c>
      <c r="M83">
        <f>IF('Исходные данные'!$B$51="Да",L83*N('Исходные данные'!$B$52),0)</f>
        <v>0</v>
      </c>
      <c r="N83">
        <f t="shared" si="44"/>
        <v>0</v>
      </c>
      <c r="O83">
        <f>IF(OR(B83="",IF('Исходные данные'!$B$45="",'Исходные данные'!$B$10,'Исходные данные'!$B$45)="",C83&lt;IF('Исходные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данные'!$B$45)),1),B83,"m")/12))*IF(AND(B83&lt;=IF('Исходные данные'!$B$45="",'Исходные данные'!$B$10,'Исходные данные'!$B$45),C83&gt;=IF('Исходные данные'!$B$45="",'Исходные данные'!$B$10,'Исходные данные'!$B$45)),(C83-IF('Исходные данные'!$B$45="",'Исходные данные'!$B$10,'Исходные данные'!$B$45)+1)/DAY(C83),1)*IF('Исходные данные'!$B$43="Без НДС",1+N('Исходные данные'!$B$44),1))</f>
        <v>0</v>
      </c>
      <c r="P83">
        <f>IF('Исходные данные'!$B$51="Да",-O83*N('Исходные данные'!$B$44)/(1+N('Исходные данные'!$B$44)),0)</f>
        <v>0</v>
      </c>
      <c r="Q83">
        <f>IF('Исходные данные'!$B$35="Да",-O83,0)</f>
        <v>0</v>
      </c>
      <c r="R83">
        <f>IF(AND('Исходные данные'!$B$51="Да",Q83&gt;0),Q83*N('Исходные данные'!$B$52)/(1+N('Исходные данные'!$B$52)),0)</f>
        <v>0</v>
      </c>
      <c r="S83">
        <f>IF(OR(B83="",IF('Исходные данные'!$B$45="",'Исходные данные'!$B$10,'Исходные данные'!$B$45)="",C83&lt;IF('Исходные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данные'!$B$45)),1),B83,"m")/12))*IF(AND(B83&lt;=IF('Исходные данные'!$B$45="",'Исходные данные'!$B$10,'Исходные данные'!$B$45),C83&gt;=IF('Исходные данные'!$B$45="",'Исходные данные'!$B$10,'Исходные данные'!$B$45)),(C83-IF('Исходные данные'!$B$45="",'Исходные данные'!$B$10,'Исходные данные'!$B$45)+1)/DAY(C83),1)*IF('Исходные данные'!$B$43="Без НДС",1+N('Исходные данные'!$B$44),1))</f>
        <v>0</v>
      </c>
      <c r="T83">
        <f>IF('Исходные данные'!$B$51="Да",-S83*N('Исходные данные'!$B$44)/(1+N('Исходные данные'!$B$44)),0)</f>
        <v>0</v>
      </c>
      <c r="U83">
        <f>IF('Исходные данные'!$B$36="Да",-S83,0)</f>
        <v>0</v>
      </c>
      <c r="V83">
        <f>IF(AND('Исходные данные'!$B$51="Да",U83&gt;0),U83*N('Исходные данные'!$B$52)/(1+N('Исходные данные'!$B$52)),0)</f>
        <v>0</v>
      </c>
      <c r="W83">
        <f>IF(OR(B83="",IF('Исходные данные'!$B$69="",'Исходные данные'!$B$10,'Исходные данные'!$B$69)="",C83&lt;IF('Исходные данные'!$B$69="",'Исходные данные'!$B$10,'Исходные данные'!$B$69)),0,-N('Исходные данные'!$B$16)*N('Исходные данные'!$B$68)*N('Исходные данные'!$B$67)/12*IF(AND(B83&lt;=IF('Исходные данные'!$B$69="",'Исходные данные'!$B$10,'Исходные данные'!$B$69),C83&gt;=IF('Исходные данные'!$B$69="",'Исходные данные'!$B$10,'Исходные данные'!$B$69)),(C83-IF('Исходные данные'!$B$69="",'Исходные данные'!$B$10,'Исходные данные'!$B$69)+1)/DAY(C83),1))</f>
        <v>0</v>
      </c>
      <c r="X83">
        <f>IF(OR(B83="",IF('Исходные данные'!$B$76="",'Исходные данные'!$B$10,'Исходные данные'!$B$76)="",C83&lt;IF('Исходные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данные'!$B$76)),1),B83,"m")/12))*IF(AND(B83&lt;=IF('Исходные данные'!$B$76="",'Исходные данные'!$B$10,'Исходные данные'!$B$76),C83&gt;=IF('Исходные данные'!$B$76="",'Исходные данные'!$B$10,'Исходные данные'!$B$76)),(C83-IF('Исходные данные'!$B$76="",'Исходные данные'!$B$10,'Исходные данные'!$B$76)+1)/DAY(C83),1))</f>
        <v>0</v>
      </c>
      <c r="Y83">
        <f t="shared" si="45"/>
        <v>0</v>
      </c>
      <c r="Z83">
        <f>IF(OR(B83="",N('Исходные данные'!$B$19)=0),0,-SUMIFS('Исходные данные'!$I$6:$I$186,'Исходные данные'!$F$6:$F$186,B83)*N('Исходные данные'!$B$17)/N('Исходные данные'!$B$19))</f>
        <v>0</v>
      </c>
      <c r="AA83">
        <f>IF(OR(B83="",N('Исходные данные'!$B$19)=0),0,-SUMIFS('Исходные данные'!$I$6:$I$186,'Исходные данные'!$F$6:$F$186,B83)*N('Исходные данные'!$B$18)/N('Исходные данные'!$B$19))</f>
        <v>0</v>
      </c>
      <c r="AB83">
        <f>IF(OR(B83="",'Исходные данные'!$B$13=""),0,IF(AND(YEAR(B83)=YEAR('Исходные данные'!$B$13),MONTH(B83)=MONTH('Исходные данные'!$B$13)),-N('Исходные данные'!$B$11),0))</f>
        <v>0</v>
      </c>
      <c r="AC83">
        <f>IF(A83=1,-N('Исходные данные'!$B$19)*N('Исходные данные'!$B$72),0)</f>
        <v>0</v>
      </c>
      <c r="AD83">
        <f>IF(OR(B83="",'Исходные данные'!$B$22&lt;&gt;"Да",'Исходные данные'!$B$26=""),0,IF(AND(YEAR(B83)=YEAR('Исходные данные'!$B$26),MONTH(B83)=MONTH('Исходные данные'!$B$26)),N('Исходные данные'!$B$23),0))</f>
        <v>0</v>
      </c>
      <c r="AE83">
        <f t="shared" si="58"/>
        <v>0</v>
      </c>
      <c r="AF83">
        <f>IF(OR('Исходные данные'!$B$22&lt;&gt;"Да",'Исходные данные'!$B$26="",C83&lt;'Исходные данные'!$B$26),0,DATEDIF(DATE(YEAR('Исходные данные'!$B$26),MONTH('Исходные данные'!$B$26),1),B83,"m")+1)</f>
        <v>0</v>
      </c>
      <c r="AG83">
        <f>IF(OR(AF83&lt;1,AF83&gt;N('Исходные данные'!$B$25),AE83+AD83&lt;=0),0,-(AE83+AD83)*N('Исходные данные'!$B$24)*IF(AF83=1,C83-'Исходные данные'!$B$26+1,DAY(C83))/365)</f>
        <v>0</v>
      </c>
      <c r="AH83">
        <f>IF(OR(AF83&lt;1,AF83&gt;N('Исходные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данные'!$B$25)-AG83))</f>
        <v>0</v>
      </c>
      <c r="AI83">
        <f>IF(OR('Исходные данные'!$B$22&lt;&gt;"Да",AE83+AD83&lt;=0),0,IF(AND('Исходные данные'!$B$91&lt;&gt;"",B83&lt;&gt;"",YEAR(B83)=YEAR('Исходные данные'!$B$91),MONTH(B83)=MONTH('Исходные данные'!$B$91)),-(AE83+AD83),IF(OR(AF83&lt;1,AF83&gt;N('Исходные данные'!$B$25)),0,IF('Исходные данные'!$B$27="Равными долями",-MIN(AE83+AD83,N('Исходные данные'!$B$23)/N('Исходные данные'!$B$25)),-MIN(AE83+AD83,IF(AF83=N('Исходные данные'!$B$25),AE83+AD83,MAX(0,AH83+AG83)))))))</f>
        <v>0</v>
      </c>
      <c r="AJ83">
        <f t="shared" si="46"/>
        <v>0</v>
      </c>
      <c r="AK83">
        <f t="shared" si="47"/>
        <v>0</v>
      </c>
      <c r="AL83">
        <f>IF(OR(B83="",'Исходные данные'!$B$51&lt;&gt;"Да",'Исходные данные'!$B$61=""),0,IF(AND(YEAR(B83)=YEAR('Исходные данные'!$B$61),MONTH(B83)=MONTH('Исходные данные'!$B$61)),N('Исходные данные'!$B$18)*N('Исходные данные'!$B$62),0))</f>
        <v>0</v>
      </c>
      <c r="AM83">
        <f t="shared" si="59"/>
        <v>0</v>
      </c>
      <c r="AN83">
        <f t="shared" si="48"/>
        <v>0</v>
      </c>
      <c r="AO83">
        <f t="shared" si="49"/>
        <v>0</v>
      </c>
      <c r="AP83">
        <f>IF('Исходные данные'!$B$51="Да",-MAX(0,AN83-AO83-AM83),0)</f>
        <v>0</v>
      </c>
      <c r="AQ83">
        <f>IF('Исходные данные'!$B$51="Да",MAX(0,AM83+AO83-AN83),0)</f>
        <v>0</v>
      </c>
      <c r="AR83">
        <f>IF('Исходные данные'!$B$53="Выручка",MAX(0,L83+(Q83-R83)+(U83-V83)),IF('Исходные данные'!$B$53="Прибыль до налога",MAX(0,L83+(Q83-R83)+(U83-V83)+N('Исходные данные'!$B$54)*((O83+P83)+(S83+T83)+W83+X83)+IF('Исходные данные'!$B$55="Да",AG83,0)-N('Исходные данные'!$B$56)/12),IF('Исходные данные'!$B$53="Пользовательская база",MAX(0,N('Исходные данные'!$B$57)/12),0)))</f>
        <v>0</v>
      </c>
      <c r="AS83">
        <f>IF(E83=1,-AR83*N('Исходные данные'!$B$50),0)</f>
        <v>0</v>
      </c>
      <c r="AT83">
        <f t="shared" si="50"/>
        <v>0</v>
      </c>
      <c r="AU83">
        <f>IF(OR(B83="",N('Исходные данные'!$B$80)&lt;=0,'Исходные данные'!$B$88=""),0,MAX(0,IF('Исходные данные'!$B$88="Последние 12 месяцев",SUMIFS($Y$2:$Y$194,$B$2:$B$194,"&gt;="&amp;EDATE(B83,-11),$B$2:$B$194,"&lt;="&amp;B83),IF('Исходные данные'!$B$88="Пользовательский NOI",N('Исходные данные'!$B$89),AT83))/N('Исходные данные'!$B$80)*(1+N('Исходные данные'!$B$81))))</f>
        <v>0</v>
      </c>
      <c r="AV83">
        <f>IF(OR(E83&lt;&gt;1,B83="",'Исходные данные'!$B$91=""),0,IF(AND(YEAR(B83)=YEAR('Исходные данные'!$B$91),MONTH(B83)=MONTH('Исходные данные'!$B$91)),AU83,0))</f>
        <v>0</v>
      </c>
      <c r="AW83">
        <f>-AV83*N('Исходные данные'!$B$73)</f>
        <v>0</v>
      </c>
      <c r="AX83">
        <f>IF(AV83=0,0,-N('Исходные данные'!$B$87)-IF('Исходные данные'!$B$82="Да",IF('Исходные данные'!$B$84="С выручки",AV83,IF('Исходные данные'!$B$84="С прибыли",MAX(0,AV83+AW83-IF('Исходные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83">
        <f t="shared" si="51"/>
        <v>0</v>
      </c>
      <c r="AZ83">
        <f t="shared" si="52"/>
        <v>0</v>
      </c>
      <c r="BA83">
        <f t="shared" si="53"/>
        <v>0</v>
      </c>
      <c r="BB83" t="str">
        <f t="shared" si="60"/>
        <v/>
      </c>
      <c r="BC83">
        <f>IF(OR(E83=0,'Исходные данные'!$B$9="",'Исходные данные'!$B$90=""),0,BA83/(1+'Исходные данные'!$B$90)^((D83-'Исходные данные'!$B$9)/365))</f>
        <v>0</v>
      </c>
      <c r="BD83">
        <f>IF(AND(E83=1,BB83&gt;=0,BB82&lt;0,MIN($BB$2:BB83)&lt;0),1,0)</f>
        <v>0</v>
      </c>
      <c r="BE83">
        <f t="shared" si="54"/>
        <v>0</v>
      </c>
      <c r="BF83">
        <f t="shared" si="55"/>
        <v>0</v>
      </c>
      <c r="BG83">
        <f t="shared" si="56"/>
        <v>0</v>
      </c>
      <c r="BH83">
        <f t="shared" si="57"/>
        <v>1</v>
      </c>
      <c r="BI83">
        <f>AZ83+N83+AP83-AR83*N('Исходные данные'!$B$50)</f>
        <v>0</v>
      </c>
      <c r="BJ83">
        <f t="shared" si="61"/>
        <v>0</v>
      </c>
      <c r="BK83">
        <f>IF(AND(BJ83&gt;=0,BJ82&lt;0,MIN($BJ$2:BJ83)&lt;0),1,0)</f>
        <v>0</v>
      </c>
    </row>
    <row r="84" spans="1:63" x14ac:dyDescent="0.2">
      <c r="A84">
        <v>83</v>
      </c>
      <c r="B84" t="str">
        <f>IF('Исходные данные'!$B$9="","",EDATE(DATE(YEAR('Исходные данные'!$B$9),MONTH('Исходные данные'!$B$9),1),A84-1))</f>
        <v/>
      </c>
      <c r="C84" t="str">
        <f t="shared" si="41"/>
        <v/>
      </c>
      <c r="D84" t="str">
        <f>IF(B84="","",IF('Исходные данные'!$B$91&lt;&gt;"",IF(AND(YEAR(B84)=YEAR('Исходные данные'!$B$91),MONTH(B84)=MONTH('Исходные данные'!$B$91)),'Исходные данные'!$B$91,IF('Исходные данные'!$B$13&lt;&gt;"",IF(AND(YEAR(B84)=YEAR('Исходные данные'!$B$13),MONTH(B84)=MONTH('Исходные данные'!$B$13)),'Исходные данные'!$B$13,IF('Исходные данные'!$B$26&lt;&gt;"",IF(AND(YEAR(B84)=YEAR('Исходные данные'!$B$26),MONTH(B84)=MONTH('Исходные данные'!$B$26)),'Исходные данные'!$B$26,IF(A84=1,'Исходные данные'!$B$9,C84)),IF(A84=1,'Исходные данные'!$B$9,C84))),IF('Исходные данные'!$B$26&lt;&gt;"",IF(AND(YEAR(B84)=YEAR('Исходные данные'!$B$26),MONTH(B84)=MONTH('Исходные данные'!$B$26)),'Исходные данные'!$B$26,IF(A84=1,'Исходные данные'!$B$9,C84)),IF(A84=1,'Исходные данные'!$B$9,C84)))),IF('Исходные данные'!$B$13&lt;&gt;"",IF(AND(YEAR(B84)=YEAR('Исходные данные'!$B$13),MONTH(B84)=MONTH('Исходные данные'!$B$13)),'Исходные данные'!$B$13,IF('Исходные данные'!$B$26&lt;&gt;"",IF(AND(YEAR(B84)=YEAR('Исходные данные'!$B$26),MONTH(B84)=MONTH('Исходные данные'!$B$26)),'Исходные данные'!$B$26,IF(A84=1,'Исходные данные'!$B$9,C84)),IF(A84=1,'Исходные данные'!$B$9,C84))),IF('Исходные данные'!$B$26&lt;&gt;"",IF(AND(YEAR(B84)=YEAR('Исходные данные'!$B$26),MONTH(B84)=MONTH('Исходные данные'!$B$26)),'Исходные данные'!$B$26,IF(A84=1,'Исходные данные'!$B$9,C84)),IF(A84=1,'Исходные данные'!$B$9,C84)))))</f>
        <v/>
      </c>
      <c r="E84">
        <f>IF(OR(B84="",'Исходные данные'!$B$91=""),0,--(B84&lt;=DATE(YEAR('Исходные данные'!$B$91),MONTH('Исходные данные'!$B$91),1)))</f>
        <v>0</v>
      </c>
      <c r="F84">
        <f>IF(OR(B84="",'Исходные данные'!$B$30="",C84&lt;'Исходные данные'!$B$30),0,DATEDIF(DATE(YEAR('Исходные данные'!$B$30),MONTH('Исходные данные'!$B$30),1),B84,"m")+1)</f>
        <v>0</v>
      </c>
      <c r="G84">
        <f t="shared" si="42"/>
        <v>0</v>
      </c>
      <c r="H84">
        <f>IF(F84=0,0,IF(G84=1,N('Исходные данные'!$B$31),IF(G84=2,N('Исходные данные'!$B$32),IF(G84=3,N('Исходные данные'!$B$33),N('Исходные данные'!$B$33)*(1+N('Исходные данные'!$B$34))^(G84-3)))))</f>
        <v>0</v>
      </c>
      <c r="I84">
        <f>IF(OR(F84=0,N('Исходные данные'!$B$5)=0,H84=0),0,'Исходные данные'!$B$5*H84*IF(AND(B84&lt;='Исходные данные'!$B$30,C84&gt;='Исходные данные'!$B$30),(C84-'Исходные данные'!$B$30+1)/DAY(C84),1))</f>
        <v>0</v>
      </c>
      <c r="J84">
        <f>IF(AND(F84&gt;0,F84&lt;=N('Исходные данные'!$B$37)),-I84,0)</f>
        <v>0</v>
      </c>
      <c r="K84">
        <f>IF(OR(F84=0,F84&lt;=N('Исходные данные'!$B$37)),0,-(I84+J84)*N('Исходные данные'!$B$38))</f>
        <v>0</v>
      </c>
      <c r="L84">
        <f t="shared" si="43"/>
        <v>0</v>
      </c>
      <c r="M84">
        <f>IF('Исходные данные'!$B$51="Да",L84*N('Исходные данные'!$B$52),0)</f>
        <v>0</v>
      </c>
      <c r="N84">
        <f t="shared" si="44"/>
        <v>0</v>
      </c>
      <c r="O84">
        <f>IF(OR(B84="",IF('Исходные данные'!$B$45="",'Исходные данные'!$B$10,'Исходные данные'!$B$45)="",C84&lt;IF('Исходные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данные'!$B$45)),1),B84,"m")/12))*IF(AND(B84&lt;=IF('Исходные данные'!$B$45="",'Исходные данные'!$B$10,'Исходные данные'!$B$45),C84&gt;=IF('Исходные данные'!$B$45="",'Исходные данные'!$B$10,'Исходные данные'!$B$45)),(C84-IF('Исходные данные'!$B$45="",'Исходные данные'!$B$10,'Исходные данные'!$B$45)+1)/DAY(C84),1)*IF('Исходные данные'!$B$43="Без НДС",1+N('Исходные данные'!$B$44),1))</f>
        <v>0</v>
      </c>
      <c r="P84">
        <f>IF('Исходные данные'!$B$51="Да",-O84*N('Исходные данные'!$B$44)/(1+N('Исходные данные'!$B$44)),0)</f>
        <v>0</v>
      </c>
      <c r="Q84">
        <f>IF('Исходные данные'!$B$35="Да",-O84,0)</f>
        <v>0</v>
      </c>
      <c r="R84">
        <f>IF(AND('Исходные данные'!$B$51="Да",Q84&gt;0),Q84*N('Исходные данные'!$B$52)/(1+N('Исходные данные'!$B$52)),0)</f>
        <v>0</v>
      </c>
      <c r="S84">
        <f>IF(OR(B84="",IF('Исходные данные'!$B$45="",'Исходные данные'!$B$10,'Исходные данные'!$B$45)="",C84&lt;IF('Исходные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данные'!$B$45)),1),B84,"m")/12))*IF(AND(B84&lt;=IF('Исходные данные'!$B$45="",'Исходные данные'!$B$10,'Исходные данные'!$B$45),C84&gt;=IF('Исходные данные'!$B$45="",'Исходные данные'!$B$10,'Исходные данные'!$B$45)),(C84-IF('Исходные данные'!$B$45="",'Исходные данные'!$B$10,'Исходные данные'!$B$45)+1)/DAY(C84),1)*IF('Исходные данные'!$B$43="Без НДС",1+N('Исходные данные'!$B$44),1))</f>
        <v>0</v>
      </c>
      <c r="T84">
        <f>IF('Исходные данные'!$B$51="Да",-S84*N('Исходные данные'!$B$44)/(1+N('Исходные данные'!$B$44)),0)</f>
        <v>0</v>
      </c>
      <c r="U84">
        <f>IF('Исходные данные'!$B$36="Да",-S84,0)</f>
        <v>0</v>
      </c>
      <c r="V84">
        <f>IF(AND('Исходные данные'!$B$51="Да",U84&gt;0),U84*N('Исходные данные'!$B$52)/(1+N('Исходные данные'!$B$52)),0)</f>
        <v>0</v>
      </c>
      <c r="W84">
        <f>IF(OR(B84="",IF('Исходные данные'!$B$69="",'Исходные данные'!$B$10,'Исходные данные'!$B$69)="",C84&lt;IF('Исходные данные'!$B$69="",'Исходные данные'!$B$10,'Исходные данные'!$B$69)),0,-N('Исходные данные'!$B$16)*N('Исходные данные'!$B$68)*N('Исходные данные'!$B$67)/12*IF(AND(B84&lt;=IF('Исходные данные'!$B$69="",'Исходные данные'!$B$10,'Исходные данные'!$B$69),C84&gt;=IF('Исходные данные'!$B$69="",'Исходные данные'!$B$10,'Исходные данные'!$B$69)),(C84-IF('Исходные данные'!$B$69="",'Исходные данные'!$B$10,'Исходные данные'!$B$69)+1)/DAY(C84),1))</f>
        <v>0</v>
      </c>
      <c r="X84">
        <f>IF(OR(B84="",IF('Исходные данные'!$B$76="",'Исходные данные'!$B$10,'Исходные данные'!$B$76)="",C84&lt;IF('Исходные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данные'!$B$76)),1),B84,"m")/12))*IF(AND(B84&lt;=IF('Исходные данные'!$B$76="",'Исходные данные'!$B$10,'Исходные данные'!$B$76),C84&gt;=IF('Исходные данные'!$B$76="",'Исходные данные'!$B$10,'Исходные данные'!$B$76)),(C84-IF('Исходные данные'!$B$76="",'Исходные данные'!$B$10,'Исходные данные'!$B$76)+1)/DAY(C84),1))</f>
        <v>0</v>
      </c>
      <c r="Y84">
        <f t="shared" si="45"/>
        <v>0</v>
      </c>
      <c r="Z84">
        <f>IF(OR(B84="",N('Исходные данные'!$B$19)=0),0,-SUMIFS('Исходные данные'!$I$6:$I$186,'Исходные данные'!$F$6:$F$186,B84)*N('Исходные данные'!$B$17)/N('Исходные данные'!$B$19))</f>
        <v>0</v>
      </c>
      <c r="AA84">
        <f>IF(OR(B84="",N('Исходные данные'!$B$19)=0),0,-SUMIFS('Исходные данные'!$I$6:$I$186,'Исходные данные'!$F$6:$F$186,B84)*N('Исходные данные'!$B$18)/N('Исходные данные'!$B$19))</f>
        <v>0</v>
      </c>
      <c r="AB84">
        <f>IF(OR(B84="",'Исходные данные'!$B$13=""),0,IF(AND(YEAR(B84)=YEAR('Исходные данные'!$B$13),MONTH(B84)=MONTH('Исходные данные'!$B$13)),-N('Исходные данные'!$B$11),0))</f>
        <v>0</v>
      </c>
      <c r="AC84">
        <f>IF(A84=1,-N('Исходные данные'!$B$19)*N('Исходные данные'!$B$72),0)</f>
        <v>0</v>
      </c>
      <c r="AD84">
        <f>IF(OR(B84="",'Исходные данные'!$B$22&lt;&gt;"Да",'Исходные данные'!$B$26=""),0,IF(AND(YEAR(B84)=YEAR('Исходные данные'!$B$26),MONTH(B84)=MONTH('Исходные данные'!$B$26)),N('Исходные данные'!$B$23),0))</f>
        <v>0</v>
      </c>
      <c r="AE84">
        <f t="shared" si="58"/>
        <v>0</v>
      </c>
      <c r="AF84">
        <f>IF(OR('Исходные данные'!$B$22&lt;&gt;"Да",'Исходные данные'!$B$26="",C84&lt;'Исходные данные'!$B$26),0,DATEDIF(DATE(YEAR('Исходные данные'!$B$26),MONTH('Исходные данные'!$B$26),1),B84,"m")+1)</f>
        <v>0</v>
      </c>
      <c r="AG84">
        <f>IF(OR(AF84&lt;1,AF84&gt;N('Исходные данные'!$B$25),AE84+AD84&lt;=0),0,-(AE84+AD84)*N('Исходные данные'!$B$24)*IF(AF84=1,C84-'Исходные данные'!$B$26+1,DAY(C84))/365)</f>
        <v>0</v>
      </c>
      <c r="AH84">
        <f>IF(OR(AF84&lt;1,AF84&gt;N('Исходные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данные'!$B$25)-AG84))</f>
        <v>0</v>
      </c>
      <c r="AI84">
        <f>IF(OR('Исходные данные'!$B$22&lt;&gt;"Да",AE84+AD84&lt;=0),0,IF(AND('Исходные данные'!$B$91&lt;&gt;"",B84&lt;&gt;"",YEAR(B84)=YEAR('Исходные данные'!$B$91),MONTH(B84)=MONTH('Исходные данные'!$B$91)),-(AE84+AD84),IF(OR(AF84&lt;1,AF84&gt;N('Исходные данные'!$B$25)),0,IF('Исходные данные'!$B$27="Равными долями",-MIN(AE84+AD84,N('Исходные данные'!$B$23)/N('Исходные данные'!$B$25)),-MIN(AE84+AD84,IF(AF84=N('Исходные данные'!$B$25),AE84+AD84,MAX(0,AH84+AG84)))))))</f>
        <v>0</v>
      </c>
      <c r="AJ84">
        <f t="shared" si="46"/>
        <v>0</v>
      </c>
      <c r="AK84">
        <f t="shared" si="47"/>
        <v>0</v>
      </c>
      <c r="AL84">
        <f>IF(OR(B84="",'Исходные данные'!$B$51&lt;&gt;"Да",'Исходные данные'!$B$61=""),0,IF(AND(YEAR(B84)=YEAR('Исходные данные'!$B$61),MONTH(B84)=MONTH('Исходные данные'!$B$61)),N('Исходные данные'!$B$18)*N('Исходные данные'!$B$62),0))</f>
        <v>0</v>
      </c>
      <c r="AM84">
        <f t="shared" si="59"/>
        <v>0</v>
      </c>
      <c r="AN84">
        <f t="shared" si="48"/>
        <v>0</v>
      </c>
      <c r="AO84">
        <f t="shared" si="49"/>
        <v>0</v>
      </c>
      <c r="AP84">
        <f>IF('Исходные данные'!$B$51="Да",-MAX(0,AN84-AO84-AM84),0)</f>
        <v>0</v>
      </c>
      <c r="AQ84">
        <f>IF('Исходные данные'!$B$51="Да",MAX(0,AM84+AO84-AN84),0)</f>
        <v>0</v>
      </c>
      <c r="AR84">
        <f>IF('Исходные данные'!$B$53="Выручка",MAX(0,L84+(Q84-R84)+(U84-V84)),IF('Исходные данные'!$B$53="Прибыль до налога",MAX(0,L84+(Q84-R84)+(U84-V84)+N('Исходные данные'!$B$54)*((O84+P84)+(S84+T84)+W84+X84)+IF('Исходные данные'!$B$55="Да",AG84,0)-N('Исходные данные'!$B$56)/12),IF('Исходные данные'!$B$53="Пользовательская база",MAX(0,N('Исходные данные'!$B$57)/12),0)))</f>
        <v>0</v>
      </c>
      <c r="AS84">
        <f>IF(E84=1,-AR84*N('Исходные данные'!$B$50),0)</f>
        <v>0</v>
      </c>
      <c r="AT84">
        <f t="shared" si="50"/>
        <v>0</v>
      </c>
      <c r="AU84">
        <f>IF(OR(B84="",N('Исходные данные'!$B$80)&lt;=0,'Исходные данные'!$B$88=""),0,MAX(0,IF('Исходные данные'!$B$88="Последние 12 месяцев",SUMIFS($Y$2:$Y$194,$B$2:$B$194,"&gt;="&amp;EDATE(B84,-11),$B$2:$B$194,"&lt;="&amp;B84),IF('Исходные данные'!$B$88="Пользовательский NOI",N('Исходные данные'!$B$89),AT84))/N('Исходные данные'!$B$80)*(1+N('Исходные данные'!$B$81))))</f>
        <v>0</v>
      </c>
      <c r="AV84">
        <f>IF(OR(E84&lt;&gt;1,B84="",'Исходные данные'!$B$91=""),0,IF(AND(YEAR(B84)=YEAR('Исходные данные'!$B$91),MONTH(B84)=MONTH('Исходные данные'!$B$91)),AU84,0))</f>
        <v>0</v>
      </c>
      <c r="AW84">
        <f>-AV84*N('Исходные данные'!$B$73)</f>
        <v>0</v>
      </c>
      <c r="AX84">
        <f>IF(AV84=0,0,-N('Исходные данные'!$B$87)-IF('Исходные данные'!$B$82="Да",IF('Исходные данные'!$B$84="С выручки",AV84,IF('Исходные данные'!$B$84="С прибыли",MAX(0,AV84+AW84-IF('Исходные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84">
        <f t="shared" si="51"/>
        <v>0</v>
      </c>
      <c r="AZ84">
        <f t="shared" si="52"/>
        <v>0</v>
      </c>
      <c r="BA84">
        <f t="shared" si="53"/>
        <v>0</v>
      </c>
      <c r="BB84" t="str">
        <f t="shared" si="60"/>
        <v/>
      </c>
      <c r="BC84">
        <f>IF(OR(E84=0,'Исходные данные'!$B$9="",'Исходные данные'!$B$90=""),0,BA84/(1+'Исходные данные'!$B$90)^((D84-'Исходные данные'!$B$9)/365))</f>
        <v>0</v>
      </c>
      <c r="BD84">
        <f>IF(AND(E84=1,BB84&gt;=0,BB83&lt;0,MIN($BB$2:BB84)&lt;0),1,0)</f>
        <v>0</v>
      </c>
      <c r="BE84">
        <f t="shared" si="54"/>
        <v>0</v>
      </c>
      <c r="BF84">
        <f t="shared" si="55"/>
        <v>0</v>
      </c>
      <c r="BG84">
        <f t="shared" si="56"/>
        <v>0</v>
      </c>
      <c r="BH84">
        <f t="shared" si="57"/>
        <v>1</v>
      </c>
      <c r="BI84">
        <f>AZ84+N84+AP84-AR84*N('Исходные данные'!$B$50)</f>
        <v>0</v>
      </c>
      <c r="BJ84">
        <f t="shared" si="61"/>
        <v>0</v>
      </c>
      <c r="BK84">
        <f>IF(AND(BJ84&gt;=0,BJ83&lt;0,MIN($BJ$2:BJ84)&lt;0),1,0)</f>
        <v>0</v>
      </c>
    </row>
    <row r="85" spans="1:63" x14ac:dyDescent="0.2">
      <c r="A85">
        <v>84</v>
      </c>
      <c r="B85" t="str">
        <f>IF('Исходные данные'!$B$9="","",EDATE(DATE(YEAR('Исходные данные'!$B$9),MONTH('Исходные данные'!$B$9),1),A85-1))</f>
        <v/>
      </c>
      <c r="C85" t="str">
        <f t="shared" si="41"/>
        <v/>
      </c>
      <c r="D85" t="str">
        <f>IF(B85="","",IF('Исходные данные'!$B$91&lt;&gt;"",IF(AND(YEAR(B85)=YEAR('Исходные данные'!$B$91),MONTH(B85)=MONTH('Исходные данные'!$B$91)),'Исходные данные'!$B$91,IF('Исходные данные'!$B$13&lt;&gt;"",IF(AND(YEAR(B85)=YEAR('Исходные данные'!$B$13),MONTH(B85)=MONTH('Исходные данные'!$B$13)),'Исходные данные'!$B$13,IF('Исходные данные'!$B$26&lt;&gt;"",IF(AND(YEAR(B85)=YEAR('Исходные данные'!$B$26),MONTH(B85)=MONTH('Исходные данные'!$B$26)),'Исходные данные'!$B$26,IF(A85=1,'Исходные данные'!$B$9,C85)),IF(A85=1,'Исходные данные'!$B$9,C85))),IF('Исходные данные'!$B$26&lt;&gt;"",IF(AND(YEAR(B85)=YEAR('Исходные данные'!$B$26),MONTH(B85)=MONTH('Исходные данные'!$B$26)),'Исходные данные'!$B$26,IF(A85=1,'Исходные данные'!$B$9,C85)),IF(A85=1,'Исходные данные'!$B$9,C85)))),IF('Исходные данные'!$B$13&lt;&gt;"",IF(AND(YEAR(B85)=YEAR('Исходные данные'!$B$13),MONTH(B85)=MONTH('Исходные данные'!$B$13)),'Исходные данные'!$B$13,IF('Исходные данные'!$B$26&lt;&gt;"",IF(AND(YEAR(B85)=YEAR('Исходные данные'!$B$26),MONTH(B85)=MONTH('Исходные данные'!$B$26)),'Исходные данные'!$B$26,IF(A85=1,'Исходные данные'!$B$9,C85)),IF(A85=1,'Исходные данные'!$B$9,C85))),IF('Исходные данные'!$B$26&lt;&gt;"",IF(AND(YEAR(B85)=YEAR('Исходные данные'!$B$26),MONTH(B85)=MONTH('Исходные данные'!$B$26)),'Исходные данные'!$B$26,IF(A85=1,'Исходные данные'!$B$9,C85)),IF(A85=1,'Исходные данные'!$B$9,C85)))))</f>
        <v/>
      </c>
      <c r="E85">
        <f>IF(OR(B85="",'Исходные данные'!$B$91=""),0,--(B85&lt;=DATE(YEAR('Исходные данные'!$B$91),MONTH('Исходные данные'!$B$91),1)))</f>
        <v>0</v>
      </c>
      <c r="F85">
        <f>IF(OR(B85="",'Исходные данные'!$B$30="",C85&lt;'Исходные данные'!$B$30),0,DATEDIF(DATE(YEAR('Исходные данные'!$B$30),MONTH('Исходные данные'!$B$30),1),B85,"m")+1)</f>
        <v>0</v>
      </c>
      <c r="G85">
        <f t="shared" si="42"/>
        <v>0</v>
      </c>
      <c r="H85">
        <f>IF(F85=0,0,IF(G85=1,N('Исходные данные'!$B$31),IF(G85=2,N('Исходные данные'!$B$32),IF(G85=3,N('Исходные данные'!$B$33),N('Исходные данные'!$B$33)*(1+N('Исходные данные'!$B$34))^(G85-3)))))</f>
        <v>0</v>
      </c>
      <c r="I85">
        <f>IF(OR(F85=0,N('Исходные данные'!$B$5)=0,H85=0),0,'Исходные данные'!$B$5*H85*IF(AND(B85&lt;='Исходные данные'!$B$30,C85&gt;='Исходные данные'!$B$30),(C85-'Исходные данные'!$B$30+1)/DAY(C85),1))</f>
        <v>0</v>
      </c>
      <c r="J85">
        <f>IF(AND(F85&gt;0,F85&lt;=N('Исходные данные'!$B$37)),-I85,0)</f>
        <v>0</v>
      </c>
      <c r="K85">
        <f>IF(OR(F85=0,F85&lt;=N('Исходные данные'!$B$37)),0,-(I85+J85)*N('Исходные данные'!$B$38))</f>
        <v>0</v>
      </c>
      <c r="L85">
        <f t="shared" si="43"/>
        <v>0</v>
      </c>
      <c r="M85">
        <f>IF('Исходные данные'!$B$51="Да",L85*N('Исходные данные'!$B$52),0)</f>
        <v>0</v>
      </c>
      <c r="N85">
        <f t="shared" si="44"/>
        <v>0</v>
      </c>
      <c r="O85">
        <f>IF(OR(B85="",IF('Исходные данные'!$B$45="",'Исходные данные'!$B$10,'Исходные данные'!$B$45)="",C85&lt;IF('Исходные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данные'!$B$45)),1),B85,"m")/12))*IF(AND(B85&lt;=IF('Исходные данные'!$B$45="",'Исходные данные'!$B$10,'Исходные данные'!$B$45),C85&gt;=IF('Исходные данные'!$B$45="",'Исходные данные'!$B$10,'Исходные данные'!$B$45)),(C85-IF('Исходные данные'!$B$45="",'Исходные данные'!$B$10,'Исходные данные'!$B$45)+1)/DAY(C85),1)*IF('Исходные данные'!$B$43="Без НДС",1+N('Исходные данные'!$B$44),1))</f>
        <v>0</v>
      </c>
      <c r="P85">
        <f>IF('Исходные данные'!$B$51="Да",-O85*N('Исходные данные'!$B$44)/(1+N('Исходные данные'!$B$44)),0)</f>
        <v>0</v>
      </c>
      <c r="Q85">
        <f>IF('Исходные данные'!$B$35="Да",-O85,0)</f>
        <v>0</v>
      </c>
      <c r="R85">
        <f>IF(AND('Исходные данные'!$B$51="Да",Q85&gt;0),Q85*N('Исходные данные'!$B$52)/(1+N('Исходные данные'!$B$52)),0)</f>
        <v>0</v>
      </c>
      <c r="S85">
        <f>IF(OR(B85="",IF('Исходные данные'!$B$45="",'Исходные данные'!$B$10,'Исходные данные'!$B$45)="",C85&lt;IF('Исходные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данные'!$B$45)),1),B85,"m")/12))*IF(AND(B85&lt;=IF('Исходные данные'!$B$45="",'Исходные данные'!$B$10,'Исходные данные'!$B$45),C85&gt;=IF('Исходные данные'!$B$45="",'Исходные данные'!$B$10,'Исходные данные'!$B$45)),(C85-IF('Исходные данные'!$B$45="",'Исходные данные'!$B$10,'Исходные данные'!$B$45)+1)/DAY(C85),1)*IF('Исходные данные'!$B$43="Без НДС",1+N('Исходные данные'!$B$44),1))</f>
        <v>0</v>
      </c>
      <c r="T85">
        <f>IF('Исходные данные'!$B$51="Да",-S85*N('Исходные данные'!$B$44)/(1+N('Исходные данные'!$B$44)),0)</f>
        <v>0</v>
      </c>
      <c r="U85">
        <f>IF('Исходные данные'!$B$36="Да",-S85,0)</f>
        <v>0</v>
      </c>
      <c r="V85">
        <f>IF(AND('Исходные данные'!$B$51="Да",U85&gt;0),U85*N('Исходные данные'!$B$52)/(1+N('Исходные данные'!$B$52)),0)</f>
        <v>0</v>
      </c>
      <c r="W85">
        <f>IF(OR(B85="",IF('Исходные данные'!$B$69="",'Исходные данные'!$B$10,'Исходные данные'!$B$69)="",C85&lt;IF('Исходные данные'!$B$69="",'Исходные данные'!$B$10,'Исходные данные'!$B$69)),0,-N('Исходные данные'!$B$16)*N('Исходные данные'!$B$68)*N('Исходные данные'!$B$67)/12*IF(AND(B85&lt;=IF('Исходные данные'!$B$69="",'Исходные данные'!$B$10,'Исходные данные'!$B$69),C85&gt;=IF('Исходные данные'!$B$69="",'Исходные данные'!$B$10,'Исходные данные'!$B$69)),(C85-IF('Исходные данные'!$B$69="",'Исходные данные'!$B$10,'Исходные данные'!$B$69)+1)/DAY(C85),1))</f>
        <v>0</v>
      </c>
      <c r="X85">
        <f>IF(OR(B85="",IF('Исходные данные'!$B$76="",'Исходные данные'!$B$10,'Исходные данные'!$B$76)="",C85&lt;IF('Исходные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данные'!$B$76)),1),B85,"m")/12))*IF(AND(B85&lt;=IF('Исходные данные'!$B$76="",'Исходные данные'!$B$10,'Исходные данные'!$B$76),C85&gt;=IF('Исходные данные'!$B$76="",'Исходные данные'!$B$10,'Исходные данные'!$B$76)),(C85-IF('Исходные данные'!$B$76="",'Исходные данные'!$B$10,'Исходные данные'!$B$76)+1)/DAY(C85),1))</f>
        <v>0</v>
      </c>
      <c r="Y85">
        <f t="shared" si="45"/>
        <v>0</v>
      </c>
      <c r="Z85">
        <f>IF(OR(B85="",N('Исходные данные'!$B$19)=0),0,-SUMIFS('Исходные данные'!$I$6:$I$186,'Исходные данные'!$F$6:$F$186,B85)*N('Исходные данные'!$B$17)/N('Исходные данные'!$B$19))</f>
        <v>0</v>
      </c>
      <c r="AA85">
        <f>IF(OR(B85="",N('Исходные данные'!$B$19)=0),0,-SUMIFS('Исходные данные'!$I$6:$I$186,'Исходные данные'!$F$6:$F$186,B85)*N('Исходные данные'!$B$18)/N('Исходные данные'!$B$19))</f>
        <v>0</v>
      </c>
      <c r="AB85">
        <f>IF(OR(B85="",'Исходные данные'!$B$13=""),0,IF(AND(YEAR(B85)=YEAR('Исходные данные'!$B$13),MONTH(B85)=MONTH('Исходные данные'!$B$13)),-N('Исходные данные'!$B$11),0))</f>
        <v>0</v>
      </c>
      <c r="AC85">
        <f>IF(A85=1,-N('Исходные данные'!$B$19)*N('Исходные данные'!$B$72),0)</f>
        <v>0</v>
      </c>
      <c r="AD85">
        <f>IF(OR(B85="",'Исходные данные'!$B$22&lt;&gt;"Да",'Исходные данные'!$B$26=""),0,IF(AND(YEAR(B85)=YEAR('Исходные данные'!$B$26),MONTH(B85)=MONTH('Исходные данные'!$B$26)),N('Исходные данные'!$B$23),0))</f>
        <v>0</v>
      </c>
      <c r="AE85">
        <f t="shared" si="58"/>
        <v>0</v>
      </c>
      <c r="AF85">
        <f>IF(OR('Исходные данные'!$B$22&lt;&gt;"Да",'Исходные данные'!$B$26="",C85&lt;'Исходные данные'!$B$26),0,DATEDIF(DATE(YEAR('Исходные данные'!$B$26),MONTH('Исходные данные'!$B$26),1),B85,"m")+1)</f>
        <v>0</v>
      </c>
      <c r="AG85">
        <f>IF(OR(AF85&lt;1,AF85&gt;N('Исходные данные'!$B$25),AE85+AD85&lt;=0),0,-(AE85+AD85)*N('Исходные данные'!$B$24)*IF(AF85=1,C85-'Исходные данные'!$B$26+1,DAY(C85))/365)</f>
        <v>0</v>
      </c>
      <c r="AH85">
        <f>IF(OR(AF85&lt;1,AF85&gt;N('Исходные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данные'!$B$25)-AG85))</f>
        <v>0</v>
      </c>
      <c r="AI85">
        <f>IF(OR('Исходные данные'!$B$22&lt;&gt;"Да",AE85+AD85&lt;=0),0,IF(AND('Исходные данные'!$B$91&lt;&gt;"",B85&lt;&gt;"",YEAR(B85)=YEAR('Исходные данные'!$B$91),MONTH(B85)=MONTH('Исходные данные'!$B$91)),-(AE85+AD85),IF(OR(AF85&lt;1,AF85&gt;N('Исходные данные'!$B$25)),0,IF('Исходные данные'!$B$27="Равными долями",-MIN(AE85+AD85,N('Исходные данные'!$B$23)/N('Исходные данные'!$B$25)),-MIN(AE85+AD85,IF(AF85=N('Исходные данные'!$B$25),AE85+AD85,MAX(0,AH85+AG85)))))))</f>
        <v>0</v>
      </c>
      <c r="AJ85">
        <f t="shared" si="46"/>
        <v>0</v>
      </c>
      <c r="AK85">
        <f t="shared" si="47"/>
        <v>0</v>
      </c>
      <c r="AL85">
        <f>IF(OR(B85="",'Исходные данные'!$B$51&lt;&gt;"Да",'Исходные данные'!$B$61=""),0,IF(AND(YEAR(B85)=YEAR('Исходные данные'!$B$61),MONTH(B85)=MONTH('Исходные данные'!$B$61)),N('Исходные данные'!$B$18)*N('Исходные данные'!$B$62),0))</f>
        <v>0</v>
      </c>
      <c r="AM85">
        <f t="shared" si="59"/>
        <v>0</v>
      </c>
      <c r="AN85">
        <f t="shared" si="48"/>
        <v>0</v>
      </c>
      <c r="AO85">
        <f t="shared" si="49"/>
        <v>0</v>
      </c>
      <c r="AP85">
        <f>IF('Исходные данные'!$B$51="Да",-MAX(0,AN85-AO85-AM85),0)</f>
        <v>0</v>
      </c>
      <c r="AQ85">
        <f>IF('Исходные данные'!$B$51="Да",MAX(0,AM85+AO85-AN85),0)</f>
        <v>0</v>
      </c>
      <c r="AR85">
        <f>IF('Исходные данные'!$B$53="Выручка",MAX(0,L85+(Q85-R85)+(U85-V85)),IF('Исходные данные'!$B$53="Прибыль до налога",MAX(0,L85+(Q85-R85)+(U85-V85)+N('Исходные данные'!$B$54)*((O85+P85)+(S85+T85)+W85+X85)+IF('Исходные данные'!$B$55="Да",AG85,0)-N('Исходные данные'!$B$56)/12),IF('Исходные данные'!$B$53="Пользовательская база",MAX(0,N('Исходные данные'!$B$57)/12),0)))</f>
        <v>0</v>
      </c>
      <c r="AS85">
        <f>IF(E85=1,-AR85*N('Исходные данные'!$B$50),0)</f>
        <v>0</v>
      </c>
      <c r="AT85">
        <f t="shared" si="50"/>
        <v>0</v>
      </c>
      <c r="AU85">
        <f>IF(OR(B85="",N('Исходные данные'!$B$80)&lt;=0,'Исходные данные'!$B$88=""),0,MAX(0,IF('Исходные данные'!$B$88="Последние 12 месяцев",SUMIFS($Y$2:$Y$194,$B$2:$B$194,"&gt;="&amp;EDATE(B85,-11),$B$2:$B$194,"&lt;="&amp;B85),IF('Исходные данные'!$B$88="Пользовательский NOI",N('Исходные данные'!$B$89),AT85))/N('Исходные данные'!$B$80)*(1+N('Исходные данные'!$B$81))))</f>
        <v>0</v>
      </c>
      <c r="AV85">
        <f>IF(OR(E85&lt;&gt;1,B85="",'Исходные данные'!$B$91=""),0,IF(AND(YEAR(B85)=YEAR('Исходные данные'!$B$91),MONTH(B85)=MONTH('Исходные данные'!$B$91)),AU85,0))</f>
        <v>0</v>
      </c>
      <c r="AW85">
        <f>-AV85*N('Исходные данные'!$B$73)</f>
        <v>0</v>
      </c>
      <c r="AX85">
        <f>IF(AV85=0,0,-N('Исходные данные'!$B$87)-IF('Исходные данные'!$B$82="Да",IF('Исходные данные'!$B$84="С выручки",AV85,IF('Исходные данные'!$B$84="С прибыли",MAX(0,AV85+AW85-IF('Исходные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85">
        <f t="shared" si="51"/>
        <v>0</v>
      </c>
      <c r="AZ85">
        <f t="shared" si="52"/>
        <v>0</v>
      </c>
      <c r="BA85">
        <f t="shared" si="53"/>
        <v>0</v>
      </c>
      <c r="BB85" t="str">
        <f t="shared" si="60"/>
        <v/>
      </c>
      <c r="BC85">
        <f>IF(OR(E85=0,'Исходные данные'!$B$9="",'Исходные данные'!$B$90=""),0,BA85/(1+'Исходные данные'!$B$90)^((D85-'Исходные данные'!$B$9)/365))</f>
        <v>0</v>
      </c>
      <c r="BD85">
        <f>IF(AND(E85=1,BB85&gt;=0,BB84&lt;0,MIN($BB$2:BB85)&lt;0),1,0)</f>
        <v>0</v>
      </c>
      <c r="BE85">
        <f t="shared" si="54"/>
        <v>0</v>
      </c>
      <c r="BF85">
        <f t="shared" si="55"/>
        <v>0</v>
      </c>
      <c r="BG85">
        <f t="shared" si="56"/>
        <v>0</v>
      </c>
      <c r="BH85">
        <f t="shared" si="57"/>
        <v>1</v>
      </c>
      <c r="BI85">
        <f>AZ85+N85+AP85-AR85*N('Исходные данные'!$B$50)</f>
        <v>0</v>
      </c>
      <c r="BJ85">
        <f t="shared" si="61"/>
        <v>0</v>
      </c>
      <c r="BK85">
        <f>IF(AND(BJ85&gt;=0,BJ84&lt;0,MIN($BJ$2:BJ85)&lt;0),1,0)</f>
        <v>0</v>
      </c>
    </row>
    <row r="86" spans="1:63" x14ac:dyDescent="0.2">
      <c r="A86">
        <v>85</v>
      </c>
      <c r="B86" t="str">
        <f>IF('Исходные данные'!$B$9="","",EDATE(DATE(YEAR('Исходные данные'!$B$9),MONTH('Исходные данные'!$B$9),1),A86-1))</f>
        <v/>
      </c>
      <c r="C86" t="str">
        <f t="shared" si="41"/>
        <v/>
      </c>
      <c r="D86" t="str">
        <f>IF(B86="","",IF('Исходные данные'!$B$91&lt;&gt;"",IF(AND(YEAR(B86)=YEAR('Исходные данные'!$B$91),MONTH(B86)=MONTH('Исходные данные'!$B$91)),'Исходные данные'!$B$91,IF('Исходные данные'!$B$13&lt;&gt;"",IF(AND(YEAR(B86)=YEAR('Исходные данные'!$B$13),MONTH(B86)=MONTH('Исходные данные'!$B$13)),'Исходные данные'!$B$13,IF('Исходные данные'!$B$26&lt;&gt;"",IF(AND(YEAR(B86)=YEAR('Исходные данные'!$B$26),MONTH(B86)=MONTH('Исходные данные'!$B$26)),'Исходные данные'!$B$26,IF(A86=1,'Исходные данные'!$B$9,C86)),IF(A86=1,'Исходные данные'!$B$9,C86))),IF('Исходные данные'!$B$26&lt;&gt;"",IF(AND(YEAR(B86)=YEAR('Исходные данные'!$B$26),MONTH(B86)=MONTH('Исходные данные'!$B$26)),'Исходные данные'!$B$26,IF(A86=1,'Исходные данные'!$B$9,C86)),IF(A86=1,'Исходные данные'!$B$9,C86)))),IF('Исходные данные'!$B$13&lt;&gt;"",IF(AND(YEAR(B86)=YEAR('Исходные данные'!$B$13),MONTH(B86)=MONTH('Исходные данные'!$B$13)),'Исходные данные'!$B$13,IF('Исходные данные'!$B$26&lt;&gt;"",IF(AND(YEAR(B86)=YEAR('Исходные данные'!$B$26),MONTH(B86)=MONTH('Исходные данные'!$B$26)),'Исходные данные'!$B$26,IF(A86=1,'Исходные данные'!$B$9,C86)),IF(A86=1,'Исходные данные'!$B$9,C86))),IF('Исходные данные'!$B$26&lt;&gt;"",IF(AND(YEAR(B86)=YEAR('Исходные данные'!$B$26),MONTH(B86)=MONTH('Исходные данные'!$B$26)),'Исходные данные'!$B$26,IF(A86=1,'Исходные данные'!$B$9,C86)),IF(A86=1,'Исходные данные'!$B$9,C86)))))</f>
        <v/>
      </c>
      <c r="E86">
        <f>IF(OR(B86="",'Исходные данные'!$B$91=""),0,--(B86&lt;=DATE(YEAR('Исходные данные'!$B$91),MONTH('Исходные данные'!$B$91),1)))</f>
        <v>0</v>
      </c>
      <c r="F86">
        <f>IF(OR(B86="",'Исходные данные'!$B$30="",C86&lt;'Исходные данные'!$B$30),0,DATEDIF(DATE(YEAR('Исходные данные'!$B$30),MONTH('Исходные данные'!$B$30),1),B86,"m")+1)</f>
        <v>0</v>
      </c>
      <c r="G86">
        <f t="shared" si="42"/>
        <v>0</v>
      </c>
      <c r="H86">
        <f>IF(F86=0,0,IF(G86=1,N('Исходные данные'!$B$31),IF(G86=2,N('Исходные данные'!$B$32),IF(G86=3,N('Исходные данные'!$B$33),N('Исходные данные'!$B$33)*(1+N('Исходные данные'!$B$34))^(G86-3)))))</f>
        <v>0</v>
      </c>
      <c r="I86">
        <f>IF(OR(F86=0,N('Исходные данные'!$B$5)=0,H86=0),0,'Исходные данные'!$B$5*H86*IF(AND(B86&lt;='Исходные данные'!$B$30,C86&gt;='Исходные данные'!$B$30),(C86-'Исходные данные'!$B$30+1)/DAY(C86),1))</f>
        <v>0</v>
      </c>
      <c r="J86">
        <f>IF(AND(F86&gt;0,F86&lt;=N('Исходные данные'!$B$37)),-I86,0)</f>
        <v>0</v>
      </c>
      <c r="K86">
        <f>IF(OR(F86=0,F86&lt;=N('Исходные данные'!$B$37)),0,-(I86+J86)*N('Исходные данные'!$B$38))</f>
        <v>0</v>
      </c>
      <c r="L86">
        <f t="shared" si="43"/>
        <v>0</v>
      </c>
      <c r="M86">
        <f>IF('Исходные данные'!$B$51="Да",L86*N('Исходные данные'!$B$52),0)</f>
        <v>0</v>
      </c>
      <c r="N86">
        <f t="shared" si="44"/>
        <v>0</v>
      </c>
      <c r="O86">
        <f>IF(OR(B86="",IF('Исходные данные'!$B$45="",'Исходные данные'!$B$10,'Исходные данные'!$B$45)="",C86&lt;IF('Исходные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данные'!$B$45)),1),B86,"m")/12))*IF(AND(B86&lt;=IF('Исходные данные'!$B$45="",'Исходные данные'!$B$10,'Исходные данные'!$B$45),C86&gt;=IF('Исходные данные'!$B$45="",'Исходные данные'!$B$10,'Исходные данные'!$B$45)),(C86-IF('Исходные данные'!$B$45="",'Исходные данные'!$B$10,'Исходные данные'!$B$45)+1)/DAY(C86),1)*IF('Исходные данные'!$B$43="Без НДС",1+N('Исходные данные'!$B$44),1))</f>
        <v>0</v>
      </c>
      <c r="P86">
        <f>IF('Исходные данные'!$B$51="Да",-O86*N('Исходные данные'!$B$44)/(1+N('Исходные данные'!$B$44)),0)</f>
        <v>0</v>
      </c>
      <c r="Q86">
        <f>IF('Исходные данные'!$B$35="Да",-O86,0)</f>
        <v>0</v>
      </c>
      <c r="R86">
        <f>IF(AND('Исходные данные'!$B$51="Да",Q86&gt;0),Q86*N('Исходные данные'!$B$52)/(1+N('Исходные данные'!$B$52)),0)</f>
        <v>0</v>
      </c>
      <c r="S86">
        <f>IF(OR(B86="",IF('Исходные данные'!$B$45="",'Исходные данные'!$B$10,'Исходные данные'!$B$45)="",C86&lt;IF('Исходные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данные'!$B$45)),1),B86,"m")/12))*IF(AND(B86&lt;=IF('Исходные данные'!$B$45="",'Исходные данные'!$B$10,'Исходные данные'!$B$45),C86&gt;=IF('Исходные данные'!$B$45="",'Исходные данные'!$B$10,'Исходные данные'!$B$45)),(C86-IF('Исходные данные'!$B$45="",'Исходные данные'!$B$10,'Исходные данные'!$B$45)+1)/DAY(C86),1)*IF('Исходные данные'!$B$43="Без НДС",1+N('Исходные данные'!$B$44),1))</f>
        <v>0</v>
      </c>
      <c r="T86">
        <f>IF('Исходные данные'!$B$51="Да",-S86*N('Исходные данные'!$B$44)/(1+N('Исходные данные'!$B$44)),0)</f>
        <v>0</v>
      </c>
      <c r="U86">
        <f>IF('Исходные данные'!$B$36="Да",-S86,0)</f>
        <v>0</v>
      </c>
      <c r="V86">
        <f>IF(AND('Исходные данные'!$B$51="Да",U86&gt;0),U86*N('Исходные данные'!$B$52)/(1+N('Исходные данные'!$B$52)),0)</f>
        <v>0</v>
      </c>
      <c r="W86">
        <f>IF(OR(B86="",IF('Исходные данные'!$B$69="",'Исходные данные'!$B$10,'Исходные данные'!$B$69)="",C86&lt;IF('Исходные данные'!$B$69="",'Исходные данные'!$B$10,'Исходные данные'!$B$69)),0,-N('Исходные данные'!$B$16)*N('Исходные данные'!$B$68)*N('Исходные данные'!$B$67)/12*IF(AND(B86&lt;=IF('Исходные данные'!$B$69="",'Исходные данные'!$B$10,'Исходные данные'!$B$69),C86&gt;=IF('Исходные данные'!$B$69="",'Исходные данные'!$B$10,'Исходные данные'!$B$69)),(C86-IF('Исходные данные'!$B$69="",'Исходные данные'!$B$10,'Исходные данные'!$B$69)+1)/DAY(C86),1))</f>
        <v>0</v>
      </c>
      <c r="X86">
        <f>IF(OR(B86="",IF('Исходные данные'!$B$76="",'Исходные данные'!$B$10,'Исходные данные'!$B$76)="",C86&lt;IF('Исходные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данные'!$B$76)),1),B86,"m")/12))*IF(AND(B86&lt;=IF('Исходные данные'!$B$76="",'Исходные данные'!$B$10,'Исходные данные'!$B$76),C86&gt;=IF('Исходные данные'!$B$76="",'Исходные данные'!$B$10,'Исходные данные'!$B$76)),(C86-IF('Исходные данные'!$B$76="",'Исходные данные'!$B$10,'Исходные данные'!$B$76)+1)/DAY(C86),1))</f>
        <v>0</v>
      </c>
      <c r="Y86">
        <f t="shared" si="45"/>
        <v>0</v>
      </c>
      <c r="Z86">
        <f>IF(OR(B86="",N('Исходные данные'!$B$19)=0),0,-SUMIFS('Исходные данные'!$I$6:$I$186,'Исходные данные'!$F$6:$F$186,B86)*N('Исходные данные'!$B$17)/N('Исходные данные'!$B$19))</f>
        <v>0</v>
      </c>
      <c r="AA86">
        <f>IF(OR(B86="",N('Исходные данные'!$B$19)=0),0,-SUMIFS('Исходные данные'!$I$6:$I$186,'Исходные данные'!$F$6:$F$186,B86)*N('Исходные данные'!$B$18)/N('Исходные данные'!$B$19))</f>
        <v>0</v>
      </c>
      <c r="AB86">
        <f>IF(OR(B86="",'Исходные данные'!$B$13=""),0,IF(AND(YEAR(B86)=YEAR('Исходные данные'!$B$13),MONTH(B86)=MONTH('Исходные данные'!$B$13)),-N('Исходные данные'!$B$11),0))</f>
        <v>0</v>
      </c>
      <c r="AC86">
        <f>IF(A86=1,-N('Исходные данные'!$B$19)*N('Исходные данные'!$B$72),0)</f>
        <v>0</v>
      </c>
      <c r="AD86">
        <f>IF(OR(B86="",'Исходные данные'!$B$22&lt;&gt;"Да",'Исходные данные'!$B$26=""),0,IF(AND(YEAR(B86)=YEAR('Исходные данные'!$B$26),MONTH(B86)=MONTH('Исходные данные'!$B$26)),N('Исходные данные'!$B$23),0))</f>
        <v>0</v>
      </c>
      <c r="AE86">
        <f t="shared" si="58"/>
        <v>0</v>
      </c>
      <c r="AF86">
        <f>IF(OR('Исходные данные'!$B$22&lt;&gt;"Да",'Исходные данные'!$B$26="",C86&lt;'Исходные данные'!$B$26),0,DATEDIF(DATE(YEAR('Исходные данные'!$B$26),MONTH('Исходные данные'!$B$26),1),B86,"m")+1)</f>
        <v>0</v>
      </c>
      <c r="AG86">
        <f>IF(OR(AF86&lt;1,AF86&gt;N('Исходные данные'!$B$25),AE86+AD86&lt;=0),0,-(AE86+AD86)*N('Исходные данные'!$B$24)*IF(AF86=1,C86-'Исходные данные'!$B$26+1,DAY(C86))/365)</f>
        <v>0</v>
      </c>
      <c r="AH86">
        <f>IF(OR(AF86&lt;1,AF86&gt;N('Исходные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данные'!$B$25)-AG86))</f>
        <v>0</v>
      </c>
      <c r="AI86">
        <f>IF(OR('Исходные данные'!$B$22&lt;&gt;"Да",AE86+AD86&lt;=0),0,IF(AND('Исходные данные'!$B$91&lt;&gt;"",B86&lt;&gt;"",YEAR(B86)=YEAR('Исходные данные'!$B$91),MONTH(B86)=MONTH('Исходные данные'!$B$91)),-(AE86+AD86),IF(OR(AF86&lt;1,AF86&gt;N('Исходные данные'!$B$25)),0,IF('Исходные данные'!$B$27="Равными долями",-MIN(AE86+AD86,N('Исходные данные'!$B$23)/N('Исходные данные'!$B$25)),-MIN(AE86+AD86,IF(AF86=N('Исходные данные'!$B$25),AE86+AD86,MAX(0,AH86+AG86)))))))</f>
        <v>0</v>
      </c>
      <c r="AJ86">
        <f t="shared" si="46"/>
        <v>0</v>
      </c>
      <c r="AK86">
        <f t="shared" si="47"/>
        <v>0</v>
      </c>
      <c r="AL86">
        <f>IF(OR(B86="",'Исходные данные'!$B$51&lt;&gt;"Да",'Исходные данные'!$B$61=""),0,IF(AND(YEAR(B86)=YEAR('Исходные данные'!$B$61),MONTH(B86)=MONTH('Исходные данные'!$B$61)),N('Исходные данные'!$B$18)*N('Исходные данные'!$B$62),0))</f>
        <v>0</v>
      </c>
      <c r="AM86">
        <f t="shared" si="59"/>
        <v>0</v>
      </c>
      <c r="AN86">
        <f t="shared" si="48"/>
        <v>0</v>
      </c>
      <c r="AO86">
        <f t="shared" si="49"/>
        <v>0</v>
      </c>
      <c r="AP86">
        <f>IF('Исходные данные'!$B$51="Да",-MAX(0,AN86-AO86-AM86),0)</f>
        <v>0</v>
      </c>
      <c r="AQ86">
        <f>IF('Исходные данные'!$B$51="Да",MAX(0,AM86+AO86-AN86),0)</f>
        <v>0</v>
      </c>
      <c r="AR86">
        <f>IF('Исходные данные'!$B$53="Выручка",MAX(0,L86+(Q86-R86)+(U86-V86)),IF('Исходные данные'!$B$53="Прибыль до налога",MAX(0,L86+(Q86-R86)+(U86-V86)+N('Исходные данные'!$B$54)*((O86+P86)+(S86+T86)+W86+X86)+IF('Исходные данные'!$B$55="Да",AG86,0)-N('Исходные данные'!$B$56)/12),IF('Исходные данные'!$B$53="Пользовательская база",MAX(0,N('Исходные данные'!$B$57)/12),0)))</f>
        <v>0</v>
      </c>
      <c r="AS86">
        <f>IF(E86=1,-AR86*N('Исходные данные'!$B$50),0)</f>
        <v>0</v>
      </c>
      <c r="AT86">
        <f t="shared" si="50"/>
        <v>0</v>
      </c>
      <c r="AU86">
        <f>IF(OR(B86="",N('Исходные данные'!$B$80)&lt;=0,'Исходные данные'!$B$88=""),0,MAX(0,IF('Исходные данные'!$B$88="Последние 12 месяцев",SUMIFS($Y$2:$Y$194,$B$2:$B$194,"&gt;="&amp;EDATE(B86,-11),$B$2:$B$194,"&lt;="&amp;B86),IF('Исходные данные'!$B$88="Пользовательский NOI",N('Исходные данные'!$B$89),AT86))/N('Исходные данные'!$B$80)*(1+N('Исходные данные'!$B$81))))</f>
        <v>0</v>
      </c>
      <c r="AV86">
        <f>IF(OR(E86&lt;&gt;1,B86="",'Исходные данные'!$B$91=""),0,IF(AND(YEAR(B86)=YEAR('Исходные данные'!$B$91),MONTH(B86)=MONTH('Исходные данные'!$B$91)),AU86,0))</f>
        <v>0</v>
      </c>
      <c r="AW86">
        <f>-AV86*N('Исходные данные'!$B$73)</f>
        <v>0</v>
      </c>
      <c r="AX86">
        <f>IF(AV86=0,0,-N('Исходные данные'!$B$87)-IF('Исходные данные'!$B$82="Да",IF('Исходные данные'!$B$84="С выручки",AV86,IF('Исходные данные'!$B$84="С прибыли",MAX(0,AV86+AW86-IF('Исходные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86">
        <f t="shared" si="51"/>
        <v>0</v>
      </c>
      <c r="AZ86">
        <f t="shared" si="52"/>
        <v>0</v>
      </c>
      <c r="BA86">
        <f t="shared" si="53"/>
        <v>0</v>
      </c>
      <c r="BB86" t="str">
        <f t="shared" si="60"/>
        <v/>
      </c>
      <c r="BC86">
        <f>IF(OR(E86=0,'Исходные данные'!$B$9="",'Исходные данные'!$B$90=""),0,BA86/(1+'Исходные данные'!$B$90)^((D86-'Исходные данные'!$B$9)/365))</f>
        <v>0</v>
      </c>
      <c r="BD86">
        <f>IF(AND(E86=1,BB86&gt;=0,BB85&lt;0,MIN($BB$2:BB86)&lt;0),1,0)</f>
        <v>0</v>
      </c>
      <c r="BE86">
        <f t="shared" si="54"/>
        <v>0</v>
      </c>
      <c r="BF86">
        <f t="shared" si="55"/>
        <v>0</v>
      </c>
      <c r="BG86">
        <f t="shared" si="56"/>
        <v>0</v>
      </c>
      <c r="BH86">
        <f t="shared" si="57"/>
        <v>1</v>
      </c>
      <c r="BI86">
        <f>AZ86+N86+AP86-AR86*N('Исходные данные'!$B$50)</f>
        <v>0</v>
      </c>
      <c r="BJ86">
        <f t="shared" si="61"/>
        <v>0</v>
      </c>
      <c r="BK86">
        <f>IF(AND(BJ86&gt;=0,BJ85&lt;0,MIN($BJ$2:BJ86)&lt;0),1,0)</f>
        <v>0</v>
      </c>
    </row>
    <row r="87" spans="1:63" x14ac:dyDescent="0.2">
      <c r="A87">
        <v>86</v>
      </c>
      <c r="B87" t="str">
        <f>IF('Исходные данные'!$B$9="","",EDATE(DATE(YEAR('Исходные данные'!$B$9),MONTH('Исходные данные'!$B$9),1),A87-1))</f>
        <v/>
      </c>
      <c r="C87" t="str">
        <f t="shared" si="41"/>
        <v/>
      </c>
      <c r="D87" t="str">
        <f>IF(B87="","",IF('Исходные данные'!$B$91&lt;&gt;"",IF(AND(YEAR(B87)=YEAR('Исходные данные'!$B$91),MONTH(B87)=MONTH('Исходные данные'!$B$91)),'Исходные данные'!$B$91,IF('Исходные данные'!$B$13&lt;&gt;"",IF(AND(YEAR(B87)=YEAR('Исходные данные'!$B$13),MONTH(B87)=MONTH('Исходные данные'!$B$13)),'Исходные данные'!$B$13,IF('Исходные данные'!$B$26&lt;&gt;"",IF(AND(YEAR(B87)=YEAR('Исходные данные'!$B$26),MONTH(B87)=MONTH('Исходные данные'!$B$26)),'Исходные данные'!$B$26,IF(A87=1,'Исходные данные'!$B$9,C87)),IF(A87=1,'Исходные данные'!$B$9,C87))),IF('Исходные данные'!$B$26&lt;&gt;"",IF(AND(YEAR(B87)=YEAR('Исходные данные'!$B$26),MONTH(B87)=MONTH('Исходные данные'!$B$26)),'Исходные данные'!$B$26,IF(A87=1,'Исходные данные'!$B$9,C87)),IF(A87=1,'Исходные данные'!$B$9,C87)))),IF('Исходные данные'!$B$13&lt;&gt;"",IF(AND(YEAR(B87)=YEAR('Исходные данные'!$B$13),MONTH(B87)=MONTH('Исходные данные'!$B$13)),'Исходные данные'!$B$13,IF('Исходные данные'!$B$26&lt;&gt;"",IF(AND(YEAR(B87)=YEAR('Исходные данные'!$B$26),MONTH(B87)=MONTH('Исходные данные'!$B$26)),'Исходные данные'!$B$26,IF(A87=1,'Исходные данные'!$B$9,C87)),IF(A87=1,'Исходные данные'!$B$9,C87))),IF('Исходные данные'!$B$26&lt;&gt;"",IF(AND(YEAR(B87)=YEAR('Исходные данные'!$B$26),MONTH(B87)=MONTH('Исходные данные'!$B$26)),'Исходные данные'!$B$26,IF(A87=1,'Исходные данные'!$B$9,C87)),IF(A87=1,'Исходные данные'!$B$9,C87)))))</f>
        <v/>
      </c>
      <c r="E87">
        <f>IF(OR(B87="",'Исходные данные'!$B$91=""),0,--(B87&lt;=DATE(YEAR('Исходные данные'!$B$91),MONTH('Исходные данные'!$B$91),1)))</f>
        <v>0</v>
      </c>
      <c r="F87">
        <f>IF(OR(B87="",'Исходные данные'!$B$30="",C87&lt;'Исходные данные'!$B$30),0,DATEDIF(DATE(YEAR('Исходные данные'!$B$30),MONTH('Исходные данные'!$B$30),1),B87,"m")+1)</f>
        <v>0</v>
      </c>
      <c r="G87">
        <f t="shared" si="42"/>
        <v>0</v>
      </c>
      <c r="H87">
        <f>IF(F87=0,0,IF(G87=1,N('Исходные данные'!$B$31),IF(G87=2,N('Исходные данные'!$B$32),IF(G87=3,N('Исходные данные'!$B$33),N('Исходные данные'!$B$33)*(1+N('Исходные данные'!$B$34))^(G87-3)))))</f>
        <v>0</v>
      </c>
      <c r="I87">
        <f>IF(OR(F87=0,N('Исходные данные'!$B$5)=0,H87=0),0,'Исходные данные'!$B$5*H87*IF(AND(B87&lt;='Исходные данные'!$B$30,C87&gt;='Исходные данные'!$B$30),(C87-'Исходные данные'!$B$30+1)/DAY(C87),1))</f>
        <v>0</v>
      </c>
      <c r="J87">
        <f>IF(AND(F87&gt;0,F87&lt;=N('Исходные данные'!$B$37)),-I87,0)</f>
        <v>0</v>
      </c>
      <c r="K87">
        <f>IF(OR(F87=0,F87&lt;=N('Исходные данные'!$B$37)),0,-(I87+J87)*N('Исходные данные'!$B$38))</f>
        <v>0</v>
      </c>
      <c r="L87">
        <f t="shared" si="43"/>
        <v>0</v>
      </c>
      <c r="M87">
        <f>IF('Исходные данные'!$B$51="Да",L87*N('Исходные данные'!$B$52),0)</f>
        <v>0</v>
      </c>
      <c r="N87">
        <f t="shared" si="44"/>
        <v>0</v>
      </c>
      <c r="O87">
        <f>IF(OR(B87="",IF('Исходные данные'!$B$45="",'Исходные данные'!$B$10,'Исходные данные'!$B$45)="",C87&lt;IF('Исходные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данные'!$B$45)),1),B87,"m")/12))*IF(AND(B87&lt;=IF('Исходные данные'!$B$45="",'Исходные данные'!$B$10,'Исходные данные'!$B$45),C87&gt;=IF('Исходные данные'!$B$45="",'Исходные данные'!$B$10,'Исходные данные'!$B$45)),(C87-IF('Исходные данные'!$B$45="",'Исходные данные'!$B$10,'Исходные данные'!$B$45)+1)/DAY(C87),1)*IF('Исходные данные'!$B$43="Без НДС",1+N('Исходные данные'!$B$44),1))</f>
        <v>0</v>
      </c>
      <c r="P87">
        <f>IF('Исходные данные'!$B$51="Да",-O87*N('Исходные данные'!$B$44)/(1+N('Исходные данные'!$B$44)),0)</f>
        <v>0</v>
      </c>
      <c r="Q87">
        <f>IF('Исходные данные'!$B$35="Да",-O87,0)</f>
        <v>0</v>
      </c>
      <c r="R87">
        <f>IF(AND('Исходные данные'!$B$51="Да",Q87&gt;0),Q87*N('Исходные данные'!$B$52)/(1+N('Исходные данные'!$B$52)),0)</f>
        <v>0</v>
      </c>
      <c r="S87">
        <f>IF(OR(B87="",IF('Исходные данные'!$B$45="",'Исходные данные'!$B$10,'Исходные данные'!$B$45)="",C87&lt;IF('Исходные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данные'!$B$45)),1),B87,"m")/12))*IF(AND(B87&lt;=IF('Исходные данные'!$B$45="",'Исходные данные'!$B$10,'Исходные данные'!$B$45),C87&gt;=IF('Исходные данные'!$B$45="",'Исходные данные'!$B$10,'Исходные данные'!$B$45)),(C87-IF('Исходные данные'!$B$45="",'Исходные данные'!$B$10,'Исходные данные'!$B$45)+1)/DAY(C87),1)*IF('Исходные данные'!$B$43="Без НДС",1+N('Исходные данные'!$B$44),1))</f>
        <v>0</v>
      </c>
      <c r="T87">
        <f>IF('Исходные данные'!$B$51="Да",-S87*N('Исходные данные'!$B$44)/(1+N('Исходные данные'!$B$44)),0)</f>
        <v>0</v>
      </c>
      <c r="U87">
        <f>IF('Исходные данные'!$B$36="Да",-S87,0)</f>
        <v>0</v>
      </c>
      <c r="V87">
        <f>IF(AND('Исходные данные'!$B$51="Да",U87&gt;0),U87*N('Исходные данные'!$B$52)/(1+N('Исходные данные'!$B$52)),0)</f>
        <v>0</v>
      </c>
      <c r="W87">
        <f>IF(OR(B87="",IF('Исходные данные'!$B$69="",'Исходные данные'!$B$10,'Исходные данные'!$B$69)="",C87&lt;IF('Исходные данные'!$B$69="",'Исходные данные'!$B$10,'Исходные данные'!$B$69)),0,-N('Исходные данные'!$B$16)*N('Исходные данные'!$B$68)*N('Исходные данные'!$B$67)/12*IF(AND(B87&lt;=IF('Исходные данные'!$B$69="",'Исходные данные'!$B$10,'Исходные данные'!$B$69),C87&gt;=IF('Исходные данные'!$B$69="",'Исходные данные'!$B$10,'Исходные данные'!$B$69)),(C87-IF('Исходные данные'!$B$69="",'Исходные данные'!$B$10,'Исходные данные'!$B$69)+1)/DAY(C87),1))</f>
        <v>0</v>
      </c>
      <c r="X87">
        <f>IF(OR(B87="",IF('Исходные данные'!$B$76="",'Исходные данные'!$B$10,'Исходные данные'!$B$76)="",C87&lt;IF('Исходные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данные'!$B$76)),1),B87,"m")/12))*IF(AND(B87&lt;=IF('Исходные данные'!$B$76="",'Исходные данные'!$B$10,'Исходные данные'!$B$76),C87&gt;=IF('Исходные данные'!$B$76="",'Исходные данные'!$B$10,'Исходные данные'!$B$76)),(C87-IF('Исходные данные'!$B$76="",'Исходные данные'!$B$10,'Исходные данные'!$B$76)+1)/DAY(C87),1))</f>
        <v>0</v>
      </c>
      <c r="Y87">
        <f t="shared" si="45"/>
        <v>0</v>
      </c>
      <c r="Z87">
        <f>IF(OR(B87="",N('Исходные данные'!$B$19)=0),0,-SUMIFS('Исходные данные'!$I$6:$I$186,'Исходные данные'!$F$6:$F$186,B87)*N('Исходные данные'!$B$17)/N('Исходные данные'!$B$19))</f>
        <v>0</v>
      </c>
      <c r="AA87">
        <f>IF(OR(B87="",N('Исходные данные'!$B$19)=0),0,-SUMIFS('Исходные данные'!$I$6:$I$186,'Исходные данные'!$F$6:$F$186,B87)*N('Исходные данные'!$B$18)/N('Исходные данные'!$B$19))</f>
        <v>0</v>
      </c>
      <c r="AB87">
        <f>IF(OR(B87="",'Исходные данные'!$B$13=""),0,IF(AND(YEAR(B87)=YEAR('Исходные данные'!$B$13),MONTH(B87)=MONTH('Исходные данные'!$B$13)),-N('Исходные данные'!$B$11),0))</f>
        <v>0</v>
      </c>
      <c r="AC87">
        <f>IF(A87=1,-N('Исходные данные'!$B$19)*N('Исходные данные'!$B$72),0)</f>
        <v>0</v>
      </c>
      <c r="AD87">
        <f>IF(OR(B87="",'Исходные данные'!$B$22&lt;&gt;"Да",'Исходные данные'!$B$26=""),0,IF(AND(YEAR(B87)=YEAR('Исходные данные'!$B$26),MONTH(B87)=MONTH('Исходные данные'!$B$26)),N('Исходные данные'!$B$23),0))</f>
        <v>0</v>
      </c>
      <c r="AE87">
        <f t="shared" si="58"/>
        <v>0</v>
      </c>
      <c r="AF87">
        <f>IF(OR('Исходные данные'!$B$22&lt;&gt;"Да",'Исходные данные'!$B$26="",C87&lt;'Исходные данные'!$B$26),0,DATEDIF(DATE(YEAR('Исходные данные'!$B$26),MONTH('Исходные данные'!$B$26),1),B87,"m")+1)</f>
        <v>0</v>
      </c>
      <c r="AG87">
        <f>IF(OR(AF87&lt;1,AF87&gt;N('Исходные данные'!$B$25),AE87+AD87&lt;=0),0,-(AE87+AD87)*N('Исходные данные'!$B$24)*IF(AF87=1,C87-'Исходные данные'!$B$26+1,DAY(C87))/365)</f>
        <v>0</v>
      </c>
      <c r="AH87">
        <f>IF(OR(AF87&lt;1,AF87&gt;N('Исходные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данные'!$B$25)-AG87))</f>
        <v>0</v>
      </c>
      <c r="AI87">
        <f>IF(OR('Исходные данные'!$B$22&lt;&gt;"Да",AE87+AD87&lt;=0),0,IF(AND('Исходные данные'!$B$91&lt;&gt;"",B87&lt;&gt;"",YEAR(B87)=YEAR('Исходные данные'!$B$91),MONTH(B87)=MONTH('Исходные данные'!$B$91)),-(AE87+AD87),IF(OR(AF87&lt;1,AF87&gt;N('Исходные данные'!$B$25)),0,IF('Исходные данные'!$B$27="Равными долями",-MIN(AE87+AD87,N('Исходные данные'!$B$23)/N('Исходные данные'!$B$25)),-MIN(AE87+AD87,IF(AF87=N('Исходные данные'!$B$25),AE87+AD87,MAX(0,AH87+AG87)))))))</f>
        <v>0</v>
      </c>
      <c r="AJ87">
        <f t="shared" si="46"/>
        <v>0</v>
      </c>
      <c r="AK87">
        <f t="shared" si="47"/>
        <v>0</v>
      </c>
      <c r="AL87">
        <f>IF(OR(B87="",'Исходные данные'!$B$51&lt;&gt;"Да",'Исходные данные'!$B$61=""),0,IF(AND(YEAR(B87)=YEAR('Исходные данные'!$B$61),MONTH(B87)=MONTH('Исходные данные'!$B$61)),N('Исходные данные'!$B$18)*N('Исходные данные'!$B$62),0))</f>
        <v>0</v>
      </c>
      <c r="AM87">
        <f t="shared" si="59"/>
        <v>0</v>
      </c>
      <c r="AN87">
        <f t="shared" si="48"/>
        <v>0</v>
      </c>
      <c r="AO87">
        <f t="shared" si="49"/>
        <v>0</v>
      </c>
      <c r="AP87">
        <f>IF('Исходные данные'!$B$51="Да",-MAX(0,AN87-AO87-AM87),0)</f>
        <v>0</v>
      </c>
      <c r="AQ87">
        <f>IF('Исходные данные'!$B$51="Да",MAX(0,AM87+AO87-AN87),0)</f>
        <v>0</v>
      </c>
      <c r="AR87">
        <f>IF('Исходные данные'!$B$53="Выручка",MAX(0,L87+(Q87-R87)+(U87-V87)),IF('Исходные данные'!$B$53="Прибыль до налога",MAX(0,L87+(Q87-R87)+(U87-V87)+N('Исходные данные'!$B$54)*((O87+P87)+(S87+T87)+W87+X87)+IF('Исходные данные'!$B$55="Да",AG87,0)-N('Исходные данные'!$B$56)/12),IF('Исходные данные'!$B$53="Пользовательская база",MAX(0,N('Исходные данные'!$B$57)/12),0)))</f>
        <v>0</v>
      </c>
      <c r="AS87">
        <f>IF(E87=1,-AR87*N('Исходные данные'!$B$50),0)</f>
        <v>0</v>
      </c>
      <c r="AT87">
        <f t="shared" si="50"/>
        <v>0</v>
      </c>
      <c r="AU87">
        <f>IF(OR(B87="",N('Исходные данные'!$B$80)&lt;=0,'Исходные данные'!$B$88=""),0,MAX(0,IF('Исходные данные'!$B$88="Последние 12 месяцев",SUMIFS($Y$2:$Y$194,$B$2:$B$194,"&gt;="&amp;EDATE(B87,-11),$B$2:$B$194,"&lt;="&amp;B87),IF('Исходные данные'!$B$88="Пользовательский NOI",N('Исходные данные'!$B$89),AT87))/N('Исходные данные'!$B$80)*(1+N('Исходные данные'!$B$81))))</f>
        <v>0</v>
      </c>
      <c r="AV87">
        <f>IF(OR(E87&lt;&gt;1,B87="",'Исходные данные'!$B$91=""),0,IF(AND(YEAR(B87)=YEAR('Исходные данные'!$B$91),MONTH(B87)=MONTH('Исходные данные'!$B$91)),AU87,0))</f>
        <v>0</v>
      </c>
      <c r="AW87">
        <f>-AV87*N('Исходные данные'!$B$73)</f>
        <v>0</v>
      </c>
      <c r="AX87">
        <f>IF(AV87=0,0,-N('Исходные данные'!$B$87)-IF('Исходные данные'!$B$82="Да",IF('Исходные данные'!$B$84="С выручки",AV87,IF('Исходные данные'!$B$84="С прибыли",MAX(0,AV87+AW87-IF('Исходные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87">
        <f t="shared" si="51"/>
        <v>0</v>
      </c>
      <c r="AZ87">
        <f t="shared" si="52"/>
        <v>0</v>
      </c>
      <c r="BA87">
        <f t="shared" si="53"/>
        <v>0</v>
      </c>
      <c r="BB87" t="str">
        <f t="shared" si="60"/>
        <v/>
      </c>
      <c r="BC87">
        <f>IF(OR(E87=0,'Исходные данные'!$B$9="",'Исходные данные'!$B$90=""),0,BA87/(1+'Исходные данные'!$B$90)^((D87-'Исходные данные'!$B$9)/365))</f>
        <v>0</v>
      </c>
      <c r="BD87">
        <f>IF(AND(E87=1,BB87&gt;=0,BB86&lt;0,MIN($BB$2:BB87)&lt;0),1,0)</f>
        <v>0</v>
      </c>
      <c r="BE87">
        <f t="shared" si="54"/>
        <v>0</v>
      </c>
      <c r="BF87">
        <f t="shared" si="55"/>
        <v>0</v>
      </c>
      <c r="BG87">
        <f t="shared" si="56"/>
        <v>0</v>
      </c>
      <c r="BH87">
        <f t="shared" si="57"/>
        <v>1</v>
      </c>
      <c r="BI87">
        <f>AZ87+N87+AP87-AR87*N('Исходные данные'!$B$50)</f>
        <v>0</v>
      </c>
      <c r="BJ87">
        <f t="shared" si="61"/>
        <v>0</v>
      </c>
      <c r="BK87">
        <f>IF(AND(BJ87&gt;=0,BJ86&lt;0,MIN($BJ$2:BJ87)&lt;0),1,0)</f>
        <v>0</v>
      </c>
    </row>
    <row r="88" spans="1:63" x14ac:dyDescent="0.2">
      <c r="A88">
        <v>87</v>
      </c>
      <c r="B88" t="str">
        <f>IF('Исходные данные'!$B$9="","",EDATE(DATE(YEAR('Исходные данные'!$B$9),MONTH('Исходные данные'!$B$9),1),A88-1))</f>
        <v/>
      </c>
      <c r="C88" t="str">
        <f t="shared" si="41"/>
        <v/>
      </c>
      <c r="D88" t="str">
        <f>IF(B88="","",IF('Исходные данные'!$B$91&lt;&gt;"",IF(AND(YEAR(B88)=YEAR('Исходные данные'!$B$91),MONTH(B88)=MONTH('Исходные данные'!$B$91)),'Исходные данные'!$B$91,IF('Исходные данные'!$B$13&lt;&gt;"",IF(AND(YEAR(B88)=YEAR('Исходные данные'!$B$13),MONTH(B88)=MONTH('Исходные данные'!$B$13)),'Исходные данные'!$B$13,IF('Исходные данные'!$B$26&lt;&gt;"",IF(AND(YEAR(B88)=YEAR('Исходные данные'!$B$26),MONTH(B88)=MONTH('Исходные данные'!$B$26)),'Исходные данные'!$B$26,IF(A88=1,'Исходные данные'!$B$9,C88)),IF(A88=1,'Исходные данные'!$B$9,C88))),IF('Исходные данные'!$B$26&lt;&gt;"",IF(AND(YEAR(B88)=YEAR('Исходные данные'!$B$26),MONTH(B88)=MONTH('Исходные данные'!$B$26)),'Исходные данные'!$B$26,IF(A88=1,'Исходные данные'!$B$9,C88)),IF(A88=1,'Исходные данные'!$B$9,C88)))),IF('Исходные данные'!$B$13&lt;&gt;"",IF(AND(YEAR(B88)=YEAR('Исходные данные'!$B$13),MONTH(B88)=MONTH('Исходные данные'!$B$13)),'Исходные данные'!$B$13,IF('Исходные данные'!$B$26&lt;&gt;"",IF(AND(YEAR(B88)=YEAR('Исходные данные'!$B$26),MONTH(B88)=MONTH('Исходные данные'!$B$26)),'Исходные данные'!$B$26,IF(A88=1,'Исходные данные'!$B$9,C88)),IF(A88=1,'Исходные данные'!$B$9,C88))),IF('Исходные данные'!$B$26&lt;&gt;"",IF(AND(YEAR(B88)=YEAR('Исходные данные'!$B$26),MONTH(B88)=MONTH('Исходные данные'!$B$26)),'Исходные данные'!$B$26,IF(A88=1,'Исходные данные'!$B$9,C88)),IF(A88=1,'Исходные данные'!$B$9,C88)))))</f>
        <v/>
      </c>
      <c r="E88">
        <f>IF(OR(B88="",'Исходные данные'!$B$91=""),0,--(B88&lt;=DATE(YEAR('Исходные данные'!$B$91),MONTH('Исходные данные'!$B$91),1)))</f>
        <v>0</v>
      </c>
      <c r="F88">
        <f>IF(OR(B88="",'Исходные данные'!$B$30="",C88&lt;'Исходные данные'!$B$30),0,DATEDIF(DATE(YEAR('Исходные данные'!$B$30),MONTH('Исходные данные'!$B$30),1),B88,"m")+1)</f>
        <v>0</v>
      </c>
      <c r="G88">
        <f t="shared" si="42"/>
        <v>0</v>
      </c>
      <c r="H88">
        <f>IF(F88=0,0,IF(G88=1,N('Исходные данные'!$B$31),IF(G88=2,N('Исходные данные'!$B$32),IF(G88=3,N('Исходные данные'!$B$33),N('Исходные данные'!$B$33)*(1+N('Исходные данные'!$B$34))^(G88-3)))))</f>
        <v>0</v>
      </c>
      <c r="I88">
        <f>IF(OR(F88=0,N('Исходные данные'!$B$5)=0,H88=0),0,'Исходные данные'!$B$5*H88*IF(AND(B88&lt;='Исходные данные'!$B$30,C88&gt;='Исходные данные'!$B$30),(C88-'Исходные данные'!$B$30+1)/DAY(C88),1))</f>
        <v>0</v>
      </c>
      <c r="J88">
        <f>IF(AND(F88&gt;0,F88&lt;=N('Исходные данные'!$B$37)),-I88,0)</f>
        <v>0</v>
      </c>
      <c r="K88">
        <f>IF(OR(F88=0,F88&lt;=N('Исходные данные'!$B$37)),0,-(I88+J88)*N('Исходные данные'!$B$38))</f>
        <v>0</v>
      </c>
      <c r="L88">
        <f t="shared" si="43"/>
        <v>0</v>
      </c>
      <c r="M88">
        <f>IF('Исходные данные'!$B$51="Да",L88*N('Исходные данные'!$B$52),0)</f>
        <v>0</v>
      </c>
      <c r="N88">
        <f t="shared" si="44"/>
        <v>0</v>
      </c>
      <c r="O88">
        <f>IF(OR(B88="",IF('Исходные данные'!$B$45="",'Исходные данные'!$B$10,'Исходные данные'!$B$45)="",C88&lt;IF('Исходные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данные'!$B$45)),1),B88,"m")/12))*IF(AND(B88&lt;=IF('Исходные данные'!$B$45="",'Исходные данные'!$B$10,'Исходные данные'!$B$45),C88&gt;=IF('Исходные данные'!$B$45="",'Исходные данные'!$B$10,'Исходные данные'!$B$45)),(C88-IF('Исходные данные'!$B$45="",'Исходные данные'!$B$10,'Исходные данные'!$B$45)+1)/DAY(C88),1)*IF('Исходные данные'!$B$43="Без НДС",1+N('Исходные данные'!$B$44),1))</f>
        <v>0</v>
      </c>
      <c r="P88">
        <f>IF('Исходные данные'!$B$51="Да",-O88*N('Исходные данные'!$B$44)/(1+N('Исходные данные'!$B$44)),0)</f>
        <v>0</v>
      </c>
      <c r="Q88">
        <f>IF('Исходные данные'!$B$35="Да",-O88,0)</f>
        <v>0</v>
      </c>
      <c r="R88">
        <f>IF(AND('Исходные данные'!$B$51="Да",Q88&gt;0),Q88*N('Исходные данные'!$B$52)/(1+N('Исходные данные'!$B$52)),0)</f>
        <v>0</v>
      </c>
      <c r="S88">
        <f>IF(OR(B88="",IF('Исходные данные'!$B$45="",'Исходные данные'!$B$10,'Исходные данные'!$B$45)="",C88&lt;IF('Исходные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данные'!$B$45)),1),B88,"m")/12))*IF(AND(B88&lt;=IF('Исходные данные'!$B$45="",'Исходные данные'!$B$10,'Исходные данные'!$B$45),C88&gt;=IF('Исходные данные'!$B$45="",'Исходные данные'!$B$10,'Исходные данные'!$B$45)),(C88-IF('Исходные данные'!$B$45="",'Исходные данные'!$B$10,'Исходные данные'!$B$45)+1)/DAY(C88),1)*IF('Исходные данные'!$B$43="Без НДС",1+N('Исходные данные'!$B$44),1))</f>
        <v>0</v>
      </c>
      <c r="T88">
        <f>IF('Исходные данные'!$B$51="Да",-S88*N('Исходные данные'!$B$44)/(1+N('Исходные данные'!$B$44)),0)</f>
        <v>0</v>
      </c>
      <c r="U88">
        <f>IF('Исходные данные'!$B$36="Да",-S88,0)</f>
        <v>0</v>
      </c>
      <c r="V88">
        <f>IF(AND('Исходные данные'!$B$51="Да",U88&gt;0),U88*N('Исходные данные'!$B$52)/(1+N('Исходные данные'!$B$52)),0)</f>
        <v>0</v>
      </c>
      <c r="W88">
        <f>IF(OR(B88="",IF('Исходные данные'!$B$69="",'Исходные данные'!$B$10,'Исходные данные'!$B$69)="",C88&lt;IF('Исходные данные'!$B$69="",'Исходные данные'!$B$10,'Исходные данные'!$B$69)),0,-N('Исходные данные'!$B$16)*N('Исходные данные'!$B$68)*N('Исходные данные'!$B$67)/12*IF(AND(B88&lt;=IF('Исходные данные'!$B$69="",'Исходные данные'!$B$10,'Исходные данные'!$B$69),C88&gt;=IF('Исходные данные'!$B$69="",'Исходные данные'!$B$10,'Исходные данные'!$B$69)),(C88-IF('Исходные данные'!$B$69="",'Исходные данные'!$B$10,'Исходные данные'!$B$69)+1)/DAY(C88),1))</f>
        <v>0</v>
      </c>
      <c r="X88">
        <f>IF(OR(B88="",IF('Исходные данные'!$B$76="",'Исходные данные'!$B$10,'Исходные данные'!$B$76)="",C88&lt;IF('Исходные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данные'!$B$76)),1),B88,"m")/12))*IF(AND(B88&lt;=IF('Исходные данные'!$B$76="",'Исходные данные'!$B$10,'Исходные данные'!$B$76),C88&gt;=IF('Исходные данные'!$B$76="",'Исходные данные'!$B$10,'Исходные данные'!$B$76)),(C88-IF('Исходные данные'!$B$76="",'Исходные данные'!$B$10,'Исходные данные'!$B$76)+1)/DAY(C88),1))</f>
        <v>0</v>
      </c>
      <c r="Y88">
        <f t="shared" si="45"/>
        <v>0</v>
      </c>
      <c r="Z88">
        <f>IF(OR(B88="",N('Исходные данные'!$B$19)=0),0,-SUMIFS('Исходные данные'!$I$6:$I$186,'Исходные данные'!$F$6:$F$186,B88)*N('Исходные данные'!$B$17)/N('Исходные данные'!$B$19))</f>
        <v>0</v>
      </c>
      <c r="AA88">
        <f>IF(OR(B88="",N('Исходные данные'!$B$19)=0),0,-SUMIFS('Исходные данные'!$I$6:$I$186,'Исходные данные'!$F$6:$F$186,B88)*N('Исходные данные'!$B$18)/N('Исходные данные'!$B$19))</f>
        <v>0</v>
      </c>
      <c r="AB88">
        <f>IF(OR(B88="",'Исходные данные'!$B$13=""),0,IF(AND(YEAR(B88)=YEAR('Исходные данные'!$B$13),MONTH(B88)=MONTH('Исходные данные'!$B$13)),-N('Исходные данные'!$B$11),0))</f>
        <v>0</v>
      </c>
      <c r="AC88">
        <f>IF(A88=1,-N('Исходные данные'!$B$19)*N('Исходные данные'!$B$72),0)</f>
        <v>0</v>
      </c>
      <c r="AD88">
        <f>IF(OR(B88="",'Исходные данные'!$B$22&lt;&gt;"Да",'Исходные данные'!$B$26=""),0,IF(AND(YEAR(B88)=YEAR('Исходные данные'!$B$26),MONTH(B88)=MONTH('Исходные данные'!$B$26)),N('Исходные данные'!$B$23),0))</f>
        <v>0</v>
      </c>
      <c r="AE88">
        <f t="shared" si="58"/>
        <v>0</v>
      </c>
      <c r="AF88">
        <f>IF(OR('Исходные данные'!$B$22&lt;&gt;"Да",'Исходные данные'!$B$26="",C88&lt;'Исходные данные'!$B$26),0,DATEDIF(DATE(YEAR('Исходные данные'!$B$26),MONTH('Исходные данные'!$B$26),1),B88,"m")+1)</f>
        <v>0</v>
      </c>
      <c r="AG88">
        <f>IF(OR(AF88&lt;1,AF88&gt;N('Исходные данные'!$B$25),AE88+AD88&lt;=0),0,-(AE88+AD88)*N('Исходные данные'!$B$24)*IF(AF88=1,C88-'Исходные данные'!$B$26+1,DAY(C88))/365)</f>
        <v>0</v>
      </c>
      <c r="AH88">
        <f>IF(OR(AF88&lt;1,AF88&gt;N('Исходные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данные'!$B$25)-AG88))</f>
        <v>0</v>
      </c>
      <c r="AI88">
        <f>IF(OR('Исходные данные'!$B$22&lt;&gt;"Да",AE88+AD88&lt;=0),0,IF(AND('Исходные данные'!$B$91&lt;&gt;"",B88&lt;&gt;"",YEAR(B88)=YEAR('Исходные данные'!$B$91),MONTH(B88)=MONTH('Исходные данные'!$B$91)),-(AE88+AD88),IF(OR(AF88&lt;1,AF88&gt;N('Исходные данные'!$B$25)),0,IF('Исходные данные'!$B$27="Равными долями",-MIN(AE88+AD88,N('Исходные данные'!$B$23)/N('Исходные данные'!$B$25)),-MIN(AE88+AD88,IF(AF88=N('Исходные данные'!$B$25),AE88+AD88,MAX(0,AH88+AG88)))))))</f>
        <v>0</v>
      </c>
      <c r="AJ88">
        <f t="shared" si="46"/>
        <v>0</v>
      </c>
      <c r="AK88">
        <f t="shared" si="47"/>
        <v>0</v>
      </c>
      <c r="AL88">
        <f>IF(OR(B88="",'Исходные данные'!$B$51&lt;&gt;"Да",'Исходные данные'!$B$61=""),0,IF(AND(YEAR(B88)=YEAR('Исходные данные'!$B$61),MONTH(B88)=MONTH('Исходные данные'!$B$61)),N('Исходные данные'!$B$18)*N('Исходные данные'!$B$62),0))</f>
        <v>0</v>
      </c>
      <c r="AM88">
        <f t="shared" si="59"/>
        <v>0</v>
      </c>
      <c r="AN88">
        <f t="shared" si="48"/>
        <v>0</v>
      </c>
      <c r="AO88">
        <f t="shared" si="49"/>
        <v>0</v>
      </c>
      <c r="AP88">
        <f>IF('Исходные данные'!$B$51="Да",-MAX(0,AN88-AO88-AM88),0)</f>
        <v>0</v>
      </c>
      <c r="AQ88">
        <f>IF('Исходные данные'!$B$51="Да",MAX(0,AM88+AO88-AN88),0)</f>
        <v>0</v>
      </c>
      <c r="AR88">
        <f>IF('Исходные данные'!$B$53="Выручка",MAX(0,L88+(Q88-R88)+(U88-V88)),IF('Исходные данные'!$B$53="Прибыль до налога",MAX(0,L88+(Q88-R88)+(U88-V88)+N('Исходные данные'!$B$54)*((O88+P88)+(S88+T88)+W88+X88)+IF('Исходные данные'!$B$55="Да",AG88,0)-N('Исходные данные'!$B$56)/12),IF('Исходные данные'!$B$53="Пользовательская база",MAX(0,N('Исходные данные'!$B$57)/12),0)))</f>
        <v>0</v>
      </c>
      <c r="AS88">
        <f>IF(E88=1,-AR88*N('Исходные данные'!$B$50),0)</f>
        <v>0</v>
      </c>
      <c r="AT88">
        <f t="shared" si="50"/>
        <v>0</v>
      </c>
      <c r="AU88">
        <f>IF(OR(B88="",N('Исходные данные'!$B$80)&lt;=0,'Исходные данные'!$B$88=""),0,MAX(0,IF('Исходные данные'!$B$88="Последние 12 месяцев",SUMIFS($Y$2:$Y$194,$B$2:$B$194,"&gt;="&amp;EDATE(B88,-11),$B$2:$B$194,"&lt;="&amp;B88),IF('Исходные данные'!$B$88="Пользовательский NOI",N('Исходные данные'!$B$89),AT88))/N('Исходные данные'!$B$80)*(1+N('Исходные данные'!$B$81))))</f>
        <v>0</v>
      </c>
      <c r="AV88">
        <f>IF(OR(E88&lt;&gt;1,B88="",'Исходные данные'!$B$91=""),0,IF(AND(YEAR(B88)=YEAR('Исходные данные'!$B$91),MONTH(B88)=MONTH('Исходные данные'!$B$91)),AU88,0))</f>
        <v>0</v>
      </c>
      <c r="AW88">
        <f>-AV88*N('Исходные данные'!$B$73)</f>
        <v>0</v>
      </c>
      <c r="AX88">
        <f>IF(AV88=0,0,-N('Исходные данные'!$B$87)-IF('Исходные данные'!$B$82="Да",IF('Исходные данные'!$B$84="С выручки",AV88,IF('Исходные данные'!$B$84="С прибыли",MAX(0,AV88+AW88-IF('Исходные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88">
        <f t="shared" si="51"/>
        <v>0</v>
      </c>
      <c r="AZ88">
        <f t="shared" si="52"/>
        <v>0</v>
      </c>
      <c r="BA88">
        <f t="shared" si="53"/>
        <v>0</v>
      </c>
      <c r="BB88" t="str">
        <f t="shared" si="60"/>
        <v/>
      </c>
      <c r="BC88">
        <f>IF(OR(E88=0,'Исходные данные'!$B$9="",'Исходные данные'!$B$90=""),0,BA88/(1+'Исходные данные'!$B$90)^((D88-'Исходные данные'!$B$9)/365))</f>
        <v>0</v>
      </c>
      <c r="BD88">
        <f>IF(AND(E88=1,BB88&gt;=0,BB87&lt;0,MIN($BB$2:BB88)&lt;0),1,0)</f>
        <v>0</v>
      </c>
      <c r="BE88">
        <f t="shared" si="54"/>
        <v>0</v>
      </c>
      <c r="BF88">
        <f t="shared" si="55"/>
        <v>0</v>
      </c>
      <c r="BG88">
        <f t="shared" si="56"/>
        <v>0</v>
      </c>
      <c r="BH88">
        <f t="shared" si="57"/>
        <v>1</v>
      </c>
      <c r="BI88">
        <f>AZ88+N88+AP88-AR88*N('Исходные данные'!$B$50)</f>
        <v>0</v>
      </c>
      <c r="BJ88">
        <f t="shared" si="61"/>
        <v>0</v>
      </c>
      <c r="BK88">
        <f>IF(AND(BJ88&gt;=0,BJ87&lt;0,MIN($BJ$2:BJ88)&lt;0),1,0)</f>
        <v>0</v>
      </c>
    </row>
    <row r="89" spans="1:63" x14ac:dyDescent="0.2">
      <c r="A89">
        <v>88</v>
      </c>
      <c r="B89" t="str">
        <f>IF('Исходные данные'!$B$9="","",EDATE(DATE(YEAR('Исходные данные'!$B$9),MONTH('Исходные данные'!$B$9),1),A89-1))</f>
        <v/>
      </c>
      <c r="C89" t="str">
        <f t="shared" si="41"/>
        <v/>
      </c>
      <c r="D89" t="str">
        <f>IF(B89="","",IF('Исходные данные'!$B$91&lt;&gt;"",IF(AND(YEAR(B89)=YEAR('Исходные данные'!$B$91),MONTH(B89)=MONTH('Исходные данные'!$B$91)),'Исходные данные'!$B$91,IF('Исходные данные'!$B$13&lt;&gt;"",IF(AND(YEAR(B89)=YEAR('Исходные данные'!$B$13),MONTH(B89)=MONTH('Исходные данные'!$B$13)),'Исходные данные'!$B$13,IF('Исходные данные'!$B$26&lt;&gt;"",IF(AND(YEAR(B89)=YEAR('Исходные данные'!$B$26),MONTH(B89)=MONTH('Исходные данные'!$B$26)),'Исходные данные'!$B$26,IF(A89=1,'Исходные данные'!$B$9,C89)),IF(A89=1,'Исходные данные'!$B$9,C89))),IF('Исходные данные'!$B$26&lt;&gt;"",IF(AND(YEAR(B89)=YEAR('Исходные данные'!$B$26),MONTH(B89)=MONTH('Исходные данные'!$B$26)),'Исходные данные'!$B$26,IF(A89=1,'Исходные данные'!$B$9,C89)),IF(A89=1,'Исходные данные'!$B$9,C89)))),IF('Исходные данные'!$B$13&lt;&gt;"",IF(AND(YEAR(B89)=YEAR('Исходные данные'!$B$13),MONTH(B89)=MONTH('Исходные данные'!$B$13)),'Исходные данные'!$B$13,IF('Исходные данные'!$B$26&lt;&gt;"",IF(AND(YEAR(B89)=YEAR('Исходные данные'!$B$26),MONTH(B89)=MONTH('Исходные данные'!$B$26)),'Исходные данные'!$B$26,IF(A89=1,'Исходные данные'!$B$9,C89)),IF(A89=1,'Исходные данные'!$B$9,C89))),IF('Исходные данные'!$B$26&lt;&gt;"",IF(AND(YEAR(B89)=YEAR('Исходные данные'!$B$26),MONTH(B89)=MONTH('Исходные данные'!$B$26)),'Исходные данные'!$B$26,IF(A89=1,'Исходные данные'!$B$9,C89)),IF(A89=1,'Исходные данные'!$B$9,C89)))))</f>
        <v/>
      </c>
      <c r="E89">
        <f>IF(OR(B89="",'Исходные данные'!$B$91=""),0,--(B89&lt;=DATE(YEAR('Исходные данные'!$B$91),MONTH('Исходные данные'!$B$91),1)))</f>
        <v>0</v>
      </c>
      <c r="F89">
        <f>IF(OR(B89="",'Исходные данные'!$B$30="",C89&lt;'Исходные данные'!$B$30),0,DATEDIF(DATE(YEAR('Исходные данные'!$B$30),MONTH('Исходные данные'!$B$30),1),B89,"m")+1)</f>
        <v>0</v>
      </c>
      <c r="G89">
        <f t="shared" si="42"/>
        <v>0</v>
      </c>
      <c r="H89">
        <f>IF(F89=0,0,IF(G89=1,N('Исходные данные'!$B$31),IF(G89=2,N('Исходные данные'!$B$32),IF(G89=3,N('Исходные данные'!$B$33),N('Исходные данные'!$B$33)*(1+N('Исходные данные'!$B$34))^(G89-3)))))</f>
        <v>0</v>
      </c>
      <c r="I89">
        <f>IF(OR(F89=0,N('Исходные данные'!$B$5)=0,H89=0),0,'Исходные данные'!$B$5*H89*IF(AND(B89&lt;='Исходные данные'!$B$30,C89&gt;='Исходные данные'!$B$30),(C89-'Исходные данные'!$B$30+1)/DAY(C89),1))</f>
        <v>0</v>
      </c>
      <c r="J89">
        <f>IF(AND(F89&gt;0,F89&lt;=N('Исходные данные'!$B$37)),-I89,0)</f>
        <v>0</v>
      </c>
      <c r="K89">
        <f>IF(OR(F89=0,F89&lt;=N('Исходные данные'!$B$37)),0,-(I89+J89)*N('Исходные данные'!$B$38))</f>
        <v>0</v>
      </c>
      <c r="L89">
        <f t="shared" si="43"/>
        <v>0</v>
      </c>
      <c r="M89">
        <f>IF('Исходные данные'!$B$51="Да",L89*N('Исходные данные'!$B$52),0)</f>
        <v>0</v>
      </c>
      <c r="N89">
        <f t="shared" si="44"/>
        <v>0</v>
      </c>
      <c r="O89">
        <f>IF(OR(B89="",IF('Исходные данные'!$B$45="",'Исходные данные'!$B$10,'Исходные данные'!$B$45)="",C89&lt;IF('Исходные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данные'!$B$45)),1),B89,"m")/12))*IF(AND(B89&lt;=IF('Исходные данные'!$B$45="",'Исходные данные'!$B$10,'Исходные данные'!$B$45),C89&gt;=IF('Исходные данные'!$B$45="",'Исходные данные'!$B$10,'Исходные данные'!$B$45)),(C89-IF('Исходные данные'!$B$45="",'Исходные данные'!$B$10,'Исходные данные'!$B$45)+1)/DAY(C89),1)*IF('Исходные данные'!$B$43="Без НДС",1+N('Исходные данные'!$B$44),1))</f>
        <v>0</v>
      </c>
      <c r="P89">
        <f>IF('Исходные данные'!$B$51="Да",-O89*N('Исходные данные'!$B$44)/(1+N('Исходные данные'!$B$44)),0)</f>
        <v>0</v>
      </c>
      <c r="Q89">
        <f>IF('Исходные данные'!$B$35="Да",-O89,0)</f>
        <v>0</v>
      </c>
      <c r="R89">
        <f>IF(AND('Исходные данные'!$B$51="Да",Q89&gt;0),Q89*N('Исходные данные'!$B$52)/(1+N('Исходные данные'!$B$52)),0)</f>
        <v>0</v>
      </c>
      <c r="S89">
        <f>IF(OR(B89="",IF('Исходные данные'!$B$45="",'Исходные данные'!$B$10,'Исходные данные'!$B$45)="",C89&lt;IF('Исходные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данные'!$B$45)),1),B89,"m")/12))*IF(AND(B89&lt;=IF('Исходные данные'!$B$45="",'Исходные данные'!$B$10,'Исходные данные'!$B$45),C89&gt;=IF('Исходные данные'!$B$45="",'Исходные данные'!$B$10,'Исходные данные'!$B$45)),(C89-IF('Исходные данные'!$B$45="",'Исходные данные'!$B$10,'Исходные данные'!$B$45)+1)/DAY(C89),1)*IF('Исходные данные'!$B$43="Без НДС",1+N('Исходные данные'!$B$44),1))</f>
        <v>0</v>
      </c>
      <c r="T89">
        <f>IF('Исходные данные'!$B$51="Да",-S89*N('Исходные данные'!$B$44)/(1+N('Исходные данные'!$B$44)),0)</f>
        <v>0</v>
      </c>
      <c r="U89">
        <f>IF('Исходные данные'!$B$36="Да",-S89,0)</f>
        <v>0</v>
      </c>
      <c r="V89">
        <f>IF(AND('Исходные данные'!$B$51="Да",U89&gt;0),U89*N('Исходные данные'!$B$52)/(1+N('Исходные данные'!$B$52)),0)</f>
        <v>0</v>
      </c>
      <c r="W89">
        <f>IF(OR(B89="",IF('Исходные данные'!$B$69="",'Исходные данные'!$B$10,'Исходные данные'!$B$69)="",C89&lt;IF('Исходные данные'!$B$69="",'Исходные данные'!$B$10,'Исходные данные'!$B$69)),0,-N('Исходные данные'!$B$16)*N('Исходные данные'!$B$68)*N('Исходные данные'!$B$67)/12*IF(AND(B89&lt;=IF('Исходные данные'!$B$69="",'Исходные данные'!$B$10,'Исходные данные'!$B$69),C89&gt;=IF('Исходные данные'!$B$69="",'Исходные данные'!$B$10,'Исходные данные'!$B$69)),(C89-IF('Исходные данные'!$B$69="",'Исходные данные'!$B$10,'Исходные данные'!$B$69)+1)/DAY(C89),1))</f>
        <v>0</v>
      </c>
      <c r="X89">
        <f>IF(OR(B89="",IF('Исходные данные'!$B$76="",'Исходные данные'!$B$10,'Исходные данные'!$B$76)="",C89&lt;IF('Исходные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данные'!$B$76)),1),B89,"m")/12))*IF(AND(B89&lt;=IF('Исходные данные'!$B$76="",'Исходные данные'!$B$10,'Исходные данные'!$B$76),C89&gt;=IF('Исходные данные'!$B$76="",'Исходные данные'!$B$10,'Исходные данные'!$B$76)),(C89-IF('Исходные данные'!$B$76="",'Исходные данные'!$B$10,'Исходные данные'!$B$76)+1)/DAY(C89),1))</f>
        <v>0</v>
      </c>
      <c r="Y89">
        <f t="shared" si="45"/>
        <v>0</v>
      </c>
      <c r="Z89">
        <f>IF(OR(B89="",N('Исходные данные'!$B$19)=0),0,-SUMIFS('Исходные данные'!$I$6:$I$186,'Исходные данные'!$F$6:$F$186,B89)*N('Исходные данные'!$B$17)/N('Исходные данные'!$B$19))</f>
        <v>0</v>
      </c>
      <c r="AA89">
        <f>IF(OR(B89="",N('Исходные данные'!$B$19)=0),0,-SUMIFS('Исходные данные'!$I$6:$I$186,'Исходные данные'!$F$6:$F$186,B89)*N('Исходные данные'!$B$18)/N('Исходные данные'!$B$19))</f>
        <v>0</v>
      </c>
      <c r="AB89">
        <f>IF(OR(B89="",'Исходные данные'!$B$13=""),0,IF(AND(YEAR(B89)=YEAR('Исходные данные'!$B$13),MONTH(B89)=MONTH('Исходные данные'!$B$13)),-N('Исходные данные'!$B$11),0))</f>
        <v>0</v>
      </c>
      <c r="AC89">
        <f>IF(A89=1,-N('Исходные данные'!$B$19)*N('Исходные данные'!$B$72),0)</f>
        <v>0</v>
      </c>
      <c r="AD89">
        <f>IF(OR(B89="",'Исходные данные'!$B$22&lt;&gt;"Да",'Исходные данные'!$B$26=""),0,IF(AND(YEAR(B89)=YEAR('Исходные данные'!$B$26),MONTH(B89)=MONTH('Исходные данные'!$B$26)),N('Исходные данные'!$B$23),0))</f>
        <v>0</v>
      </c>
      <c r="AE89">
        <f t="shared" si="58"/>
        <v>0</v>
      </c>
      <c r="AF89">
        <f>IF(OR('Исходные данные'!$B$22&lt;&gt;"Да",'Исходные данные'!$B$26="",C89&lt;'Исходные данные'!$B$26),0,DATEDIF(DATE(YEAR('Исходные данные'!$B$26),MONTH('Исходные данные'!$B$26),1),B89,"m")+1)</f>
        <v>0</v>
      </c>
      <c r="AG89">
        <f>IF(OR(AF89&lt;1,AF89&gt;N('Исходные данные'!$B$25),AE89+AD89&lt;=0),0,-(AE89+AD89)*N('Исходные данные'!$B$24)*IF(AF89=1,C89-'Исходные данные'!$B$26+1,DAY(C89))/365)</f>
        <v>0</v>
      </c>
      <c r="AH89">
        <f>IF(OR(AF89&lt;1,AF89&gt;N('Исходные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данные'!$B$25)-AG89))</f>
        <v>0</v>
      </c>
      <c r="AI89">
        <f>IF(OR('Исходные данные'!$B$22&lt;&gt;"Да",AE89+AD89&lt;=0),0,IF(AND('Исходные данные'!$B$91&lt;&gt;"",B89&lt;&gt;"",YEAR(B89)=YEAR('Исходные данные'!$B$91),MONTH(B89)=MONTH('Исходные данные'!$B$91)),-(AE89+AD89),IF(OR(AF89&lt;1,AF89&gt;N('Исходные данные'!$B$25)),0,IF('Исходные данные'!$B$27="Равными долями",-MIN(AE89+AD89,N('Исходные данные'!$B$23)/N('Исходные данные'!$B$25)),-MIN(AE89+AD89,IF(AF89=N('Исходные данные'!$B$25),AE89+AD89,MAX(0,AH89+AG89)))))))</f>
        <v>0</v>
      </c>
      <c r="AJ89">
        <f t="shared" si="46"/>
        <v>0</v>
      </c>
      <c r="AK89">
        <f t="shared" si="47"/>
        <v>0</v>
      </c>
      <c r="AL89">
        <f>IF(OR(B89="",'Исходные данные'!$B$51&lt;&gt;"Да",'Исходные данные'!$B$61=""),0,IF(AND(YEAR(B89)=YEAR('Исходные данные'!$B$61),MONTH(B89)=MONTH('Исходные данные'!$B$61)),N('Исходные данные'!$B$18)*N('Исходные данные'!$B$62),0))</f>
        <v>0</v>
      </c>
      <c r="AM89">
        <f t="shared" si="59"/>
        <v>0</v>
      </c>
      <c r="AN89">
        <f t="shared" si="48"/>
        <v>0</v>
      </c>
      <c r="AO89">
        <f t="shared" si="49"/>
        <v>0</v>
      </c>
      <c r="AP89">
        <f>IF('Исходные данные'!$B$51="Да",-MAX(0,AN89-AO89-AM89),0)</f>
        <v>0</v>
      </c>
      <c r="AQ89">
        <f>IF('Исходные данные'!$B$51="Да",MAX(0,AM89+AO89-AN89),0)</f>
        <v>0</v>
      </c>
      <c r="AR89">
        <f>IF('Исходные данные'!$B$53="Выручка",MAX(0,L89+(Q89-R89)+(U89-V89)),IF('Исходные данные'!$B$53="Прибыль до налога",MAX(0,L89+(Q89-R89)+(U89-V89)+N('Исходные данные'!$B$54)*((O89+P89)+(S89+T89)+W89+X89)+IF('Исходные данные'!$B$55="Да",AG89,0)-N('Исходные данные'!$B$56)/12),IF('Исходные данные'!$B$53="Пользовательская база",MAX(0,N('Исходные данные'!$B$57)/12),0)))</f>
        <v>0</v>
      </c>
      <c r="AS89">
        <f>IF(E89=1,-AR89*N('Исходные данные'!$B$50),0)</f>
        <v>0</v>
      </c>
      <c r="AT89">
        <f t="shared" si="50"/>
        <v>0</v>
      </c>
      <c r="AU89">
        <f>IF(OR(B89="",N('Исходные данные'!$B$80)&lt;=0,'Исходные данные'!$B$88=""),0,MAX(0,IF('Исходные данные'!$B$88="Последние 12 месяцев",SUMIFS($Y$2:$Y$194,$B$2:$B$194,"&gt;="&amp;EDATE(B89,-11),$B$2:$B$194,"&lt;="&amp;B89),IF('Исходные данные'!$B$88="Пользовательский NOI",N('Исходные данные'!$B$89),AT89))/N('Исходные данные'!$B$80)*(1+N('Исходные данные'!$B$81))))</f>
        <v>0</v>
      </c>
      <c r="AV89">
        <f>IF(OR(E89&lt;&gt;1,B89="",'Исходные данные'!$B$91=""),0,IF(AND(YEAR(B89)=YEAR('Исходные данные'!$B$91),MONTH(B89)=MONTH('Исходные данные'!$B$91)),AU89,0))</f>
        <v>0</v>
      </c>
      <c r="AW89">
        <f>-AV89*N('Исходные данные'!$B$73)</f>
        <v>0</v>
      </c>
      <c r="AX89">
        <f>IF(AV89=0,0,-N('Исходные данные'!$B$87)-IF('Исходные данные'!$B$82="Да",IF('Исходные данные'!$B$84="С выручки",AV89,IF('Исходные данные'!$B$84="С прибыли",MAX(0,AV89+AW89-IF('Исходные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89">
        <f t="shared" si="51"/>
        <v>0</v>
      </c>
      <c r="AZ89">
        <f t="shared" si="52"/>
        <v>0</v>
      </c>
      <c r="BA89">
        <f t="shared" si="53"/>
        <v>0</v>
      </c>
      <c r="BB89" t="str">
        <f t="shared" si="60"/>
        <v/>
      </c>
      <c r="BC89">
        <f>IF(OR(E89=0,'Исходные данные'!$B$9="",'Исходные данные'!$B$90=""),0,BA89/(1+'Исходные данные'!$B$90)^((D89-'Исходные данные'!$B$9)/365))</f>
        <v>0</v>
      </c>
      <c r="BD89">
        <f>IF(AND(E89=1,BB89&gt;=0,BB88&lt;0,MIN($BB$2:BB89)&lt;0),1,0)</f>
        <v>0</v>
      </c>
      <c r="BE89">
        <f t="shared" si="54"/>
        <v>0</v>
      </c>
      <c r="BF89">
        <f t="shared" si="55"/>
        <v>0</v>
      </c>
      <c r="BG89">
        <f t="shared" si="56"/>
        <v>0</v>
      </c>
      <c r="BH89">
        <f t="shared" si="57"/>
        <v>1</v>
      </c>
      <c r="BI89">
        <f>AZ89+N89+AP89-AR89*N('Исходные данные'!$B$50)</f>
        <v>0</v>
      </c>
      <c r="BJ89">
        <f t="shared" si="61"/>
        <v>0</v>
      </c>
      <c r="BK89">
        <f>IF(AND(BJ89&gt;=0,BJ88&lt;0,MIN($BJ$2:BJ89)&lt;0),1,0)</f>
        <v>0</v>
      </c>
    </row>
    <row r="90" spans="1:63" x14ac:dyDescent="0.2">
      <c r="A90">
        <v>89</v>
      </c>
      <c r="B90" t="str">
        <f>IF('Исходные данные'!$B$9="","",EDATE(DATE(YEAR('Исходные данные'!$B$9),MONTH('Исходные данные'!$B$9),1),A90-1))</f>
        <v/>
      </c>
      <c r="C90" t="str">
        <f t="shared" si="41"/>
        <v/>
      </c>
      <c r="D90" t="str">
        <f>IF(B90="","",IF('Исходные данные'!$B$91&lt;&gt;"",IF(AND(YEAR(B90)=YEAR('Исходные данные'!$B$91),MONTH(B90)=MONTH('Исходные данные'!$B$91)),'Исходные данные'!$B$91,IF('Исходные данные'!$B$13&lt;&gt;"",IF(AND(YEAR(B90)=YEAR('Исходные данные'!$B$13),MONTH(B90)=MONTH('Исходные данные'!$B$13)),'Исходные данные'!$B$13,IF('Исходные данные'!$B$26&lt;&gt;"",IF(AND(YEAR(B90)=YEAR('Исходные данные'!$B$26),MONTH(B90)=MONTH('Исходные данные'!$B$26)),'Исходные данные'!$B$26,IF(A90=1,'Исходные данные'!$B$9,C90)),IF(A90=1,'Исходные данные'!$B$9,C90))),IF('Исходные данные'!$B$26&lt;&gt;"",IF(AND(YEAR(B90)=YEAR('Исходные данные'!$B$26),MONTH(B90)=MONTH('Исходные данные'!$B$26)),'Исходные данные'!$B$26,IF(A90=1,'Исходные данные'!$B$9,C90)),IF(A90=1,'Исходные данные'!$B$9,C90)))),IF('Исходные данные'!$B$13&lt;&gt;"",IF(AND(YEAR(B90)=YEAR('Исходные данные'!$B$13),MONTH(B90)=MONTH('Исходные данные'!$B$13)),'Исходные данные'!$B$13,IF('Исходные данные'!$B$26&lt;&gt;"",IF(AND(YEAR(B90)=YEAR('Исходные данные'!$B$26),MONTH(B90)=MONTH('Исходные данные'!$B$26)),'Исходные данные'!$B$26,IF(A90=1,'Исходные данные'!$B$9,C90)),IF(A90=1,'Исходные данные'!$B$9,C90))),IF('Исходные данные'!$B$26&lt;&gt;"",IF(AND(YEAR(B90)=YEAR('Исходные данные'!$B$26),MONTH(B90)=MONTH('Исходные данные'!$B$26)),'Исходные данные'!$B$26,IF(A90=1,'Исходные данные'!$B$9,C90)),IF(A90=1,'Исходные данные'!$B$9,C90)))))</f>
        <v/>
      </c>
      <c r="E90">
        <f>IF(OR(B90="",'Исходные данные'!$B$91=""),0,--(B90&lt;=DATE(YEAR('Исходные данные'!$B$91),MONTH('Исходные данные'!$B$91),1)))</f>
        <v>0</v>
      </c>
      <c r="F90">
        <f>IF(OR(B90="",'Исходные данные'!$B$30="",C90&lt;'Исходные данные'!$B$30),0,DATEDIF(DATE(YEAR('Исходные данные'!$B$30),MONTH('Исходные данные'!$B$30),1),B90,"m")+1)</f>
        <v>0</v>
      </c>
      <c r="G90">
        <f t="shared" si="42"/>
        <v>0</v>
      </c>
      <c r="H90">
        <f>IF(F90=0,0,IF(G90=1,N('Исходные данные'!$B$31),IF(G90=2,N('Исходные данные'!$B$32),IF(G90=3,N('Исходные данные'!$B$33),N('Исходные данные'!$B$33)*(1+N('Исходные данные'!$B$34))^(G90-3)))))</f>
        <v>0</v>
      </c>
      <c r="I90">
        <f>IF(OR(F90=0,N('Исходные данные'!$B$5)=0,H90=0),0,'Исходные данные'!$B$5*H90*IF(AND(B90&lt;='Исходные данные'!$B$30,C90&gt;='Исходные данные'!$B$30),(C90-'Исходные данные'!$B$30+1)/DAY(C90),1))</f>
        <v>0</v>
      </c>
      <c r="J90">
        <f>IF(AND(F90&gt;0,F90&lt;=N('Исходные данные'!$B$37)),-I90,0)</f>
        <v>0</v>
      </c>
      <c r="K90">
        <f>IF(OR(F90=0,F90&lt;=N('Исходные данные'!$B$37)),0,-(I90+J90)*N('Исходные данные'!$B$38))</f>
        <v>0</v>
      </c>
      <c r="L90">
        <f t="shared" si="43"/>
        <v>0</v>
      </c>
      <c r="M90">
        <f>IF('Исходные данные'!$B$51="Да",L90*N('Исходные данные'!$B$52),0)</f>
        <v>0</v>
      </c>
      <c r="N90">
        <f t="shared" si="44"/>
        <v>0</v>
      </c>
      <c r="O90">
        <f>IF(OR(B90="",IF('Исходные данные'!$B$45="",'Исходные данные'!$B$10,'Исходные данные'!$B$45)="",C90&lt;IF('Исходные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данные'!$B$45)),1),B90,"m")/12))*IF(AND(B90&lt;=IF('Исходные данные'!$B$45="",'Исходные данные'!$B$10,'Исходные данные'!$B$45),C90&gt;=IF('Исходные данные'!$B$45="",'Исходные данные'!$B$10,'Исходные данные'!$B$45)),(C90-IF('Исходные данные'!$B$45="",'Исходные данные'!$B$10,'Исходные данные'!$B$45)+1)/DAY(C90),1)*IF('Исходные данные'!$B$43="Без НДС",1+N('Исходные данные'!$B$44),1))</f>
        <v>0</v>
      </c>
      <c r="P90">
        <f>IF('Исходные данные'!$B$51="Да",-O90*N('Исходные данные'!$B$44)/(1+N('Исходные данные'!$B$44)),0)</f>
        <v>0</v>
      </c>
      <c r="Q90">
        <f>IF('Исходные данные'!$B$35="Да",-O90,0)</f>
        <v>0</v>
      </c>
      <c r="R90">
        <f>IF(AND('Исходные данные'!$B$51="Да",Q90&gt;0),Q90*N('Исходные данные'!$B$52)/(1+N('Исходные данные'!$B$52)),0)</f>
        <v>0</v>
      </c>
      <c r="S90">
        <f>IF(OR(B90="",IF('Исходные данные'!$B$45="",'Исходные данные'!$B$10,'Исходные данные'!$B$45)="",C90&lt;IF('Исходные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данные'!$B$45)),1),B90,"m")/12))*IF(AND(B90&lt;=IF('Исходные данные'!$B$45="",'Исходные данные'!$B$10,'Исходные данные'!$B$45),C90&gt;=IF('Исходные данные'!$B$45="",'Исходные данные'!$B$10,'Исходные данные'!$B$45)),(C90-IF('Исходные данные'!$B$45="",'Исходные данные'!$B$10,'Исходные данные'!$B$45)+1)/DAY(C90),1)*IF('Исходные данные'!$B$43="Без НДС",1+N('Исходные данные'!$B$44),1))</f>
        <v>0</v>
      </c>
      <c r="T90">
        <f>IF('Исходные данные'!$B$51="Да",-S90*N('Исходные данные'!$B$44)/(1+N('Исходные данные'!$B$44)),0)</f>
        <v>0</v>
      </c>
      <c r="U90">
        <f>IF('Исходные данные'!$B$36="Да",-S90,0)</f>
        <v>0</v>
      </c>
      <c r="V90">
        <f>IF(AND('Исходные данные'!$B$51="Да",U90&gt;0),U90*N('Исходные данные'!$B$52)/(1+N('Исходные данные'!$B$52)),0)</f>
        <v>0</v>
      </c>
      <c r="W90">
        <f>IF(OR(B90="",IF('Исходные данные'!$B$69="",'Исходные данные'!$B$10,'Исходные данные'!$B$69)="",C90&lt;IF('Исходные данные'!$B$69="",'Исходные данные'!$B$10,'Исходные данные'!$B$69)),0,-N('Исходные данные'!$B$16)*N('Исходные данные'!$B$68)*N('Исходные данные'!$B$67)/12*IF(AND(B90&lt;=IF('Исходные данные'!$B$69="",'Исходные данные'!$B$10,'Исходные данные'!$B$69),C90&gt;=IF('Исходные данные'!$B$69="",'Исходные данные'!$B$10,'Исходные данные'!$B$69)),(C90-IF('Исходные данные'!$B$69="",'Исходные данные'!$B$10,'Исходные данные'!$B$69)+1)/DAY(C90),1))</f>
        <v>0</v>
      </c>
      <c r="X90">
        <f>IF(OR(B90="",IF('Исходные данные'!$B$76="",'Исходные данные'!$B$10,'Исходные данные'!$B$76)="",C90&lt;IF('Исходные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данные'!$B$76)),1),B90,"m")/12))*IF(AND(B90&lt;=IF('Исходные данные'!$B$76="",'Исходные данные'!$B$10,'Исходные данные'!$B$76),C90&gt;=IF('Исходные данные'!$B$76="",'Исходные данные'!$B$10,'Исходные данные'!$B$76)),(C90-IF('Исходные данные'!$B$76="",'Исходные данные'!$B$10,'Исходные данные'!$B$76)+1)/DAY(C90),1))</f>
        <v>0</v>
      </c>
      <c r="Y90">
        <f t="shared" si="45"/>
        <v>0</v>
      </c>
      <c r="Z90">
        <f>IF(OR(B90="",N('Исходные данные'!$B$19)=0),0,-SUMIFS('Исходные данные'!$I$6:$I$186,'Исходные данные'!$F$6:$F$186,B90)*N('Исходные данные'!$B$17)/N('Исходные данные'!$B$19))</f>
        <v>0</v>
      </c>
      <c r="AA90">
        <f>IF(OR(B90="",N('Исходные данные'!$B$19)=0),0,-SUMIFS('Исходные данные'!$I$6:$I$186,'Исходные данные'!$F$6:$F$186,B90)*N('Исходные данные'!$B$18)/N('Исходные данные'!$B$19))</f>
        <v>0</v>
      </c>
      <c r="AB90">
        <f>IF(OR(B90="",'Исходные данные'!$B$13=""),0,IF(AND(YEAR(B90)=YEAR('Исходные данные'!$B$13),MONTH(B90)=MONTH('Исходные данные'!$B$13)),-N('Исходные данные'!$B$11),0))</f>
        <v>0</v>
      </c>
      <c r="AC90">
        <f>IF(A90=1,-N('Исходные данные'!$B$19)*N('Исходные данные'!$B$72),0)</f>
        <v>0</v>
      </c>
      <c r="AD90">
        <f>IF(OR(B90="",'Исходные данные'!$B$22&lt;&gt;"Да",'Исходные данные'!$B$26=""),0,IF(AND(YEAR(B90)=YEAR('Исходные данные'!$B$26),MONTH(B90)=MONTH('Исходные данные'!$B$26)),N('Исходные данные'!$B$23),0))</f>
        <v>0</v>
      </c>
      <c r="AE90">
        <f t="shared" si="58"/>
        <v>0</v>
      </c>
      <c r="AF90">
        <f>IF(OR('Исходные данные'!$B$22&lt;&gt;"Да",'Исходные данные'!$B$26="",C90&lt;'Исходные данные'!$B$26),0,DATEDIF(DATE(YEAR('Исходные данные'!$B$26),MONTH('Исходные данные'!$B$26),1),B90,"m")+1)</f>
        <v>0</v>
      </c>
      <c r="AG90">
        <f>IF(OR(AF90&lt;1,AF90&gt;N('Исходные данные'!$B$25),AE90+AD90&lt;=0),0,-(AE90+AD90)*N('Исходные данные'!$B$24)*IF(AF90=1,C90-'Исходные данные'!$B$26+1,DAY(C90))/365)</f>
        <v>0</v>
      </c>
      <c r="AH90">
        <f>IF(OR(AF90&lt;1,AF90&gt;N('Исходные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данные'!$B$25)-AG90))</f>
        <v>0</v>
      </c>
      <c r="AI90">
        <f>IF(OR('Исходные данные'!$B$22&lt;&gt;"Да",AE90+AD90&lt;=0),0,IF(AND('Исходные данные'!$B$91&lt;&gt;"",B90&lt;&gt;"",YEAR(B90)=YEAR('Исходные данные'!$B$91),MONTH(B90)=MONTH('Исходные данные'!$B$91)),-(AE90+AD90),IF(OR(AF90&lt;1,AF90&gt;N('Исходные данные'!$B$25)),0,IF('Исходные данные'!$B$27="Равными долями",-MIN(AE90+AD90,N('Исходные данные'!$B$23)/N('Исходные данные'!$B$25)),-MIN(AE90+AD90,IF(AF90=N('Исходные данные'!$B$25),AE90+AD90,MAX(0,AH90+AG90)))))))</f>
        <v>0</v>
      </c>
      <c r="AJ90">
        <f t="shared" si="46"/>
        <v>0</v>
      </c>
      <c r="AK90">
        <f t="shared" si="47"/>
        <v>0</v>
      </c>
      <c r="AL90">
        <f>IF(OR(B90="",'Исходные данные'!$B$51&lt;&gt;"Да",'Исходные данные'!$B$61=""),0,IF(AND(YEAR(B90)=YEAR('Исходные данные'!$B$61),MONTH(B90)=MONTH('Исходные данные'!$B$61)),N('Исходные данные'!$B$18)*N('Исходные данные'!$B$62),0))</f>
        <v>0</v>
      </c>
      <c r="AM90">
        <f t="shared" si="59"/>
        <v>0</v>
      </c>
      <c r="AN90">
        <f t="shared" si="48"/>
        <v>0</v>
      </c>
      <c r="AO90">
        <f t="shared" si="49"/>
        <v>0</v>
      </c>
      <c r="AP90">
        <f>IF('Исходные данные'!$B$51="Да",-MAX(0,AN90-AO90-AM90),0)</f>
        <v>0</v>
      </c>
      <c r="AQ90">
        <f>IF('Исходные данные'!$B$51="Да",MAX(0,AM90+AO90-AN90),0)</f>
        <v>0</v>
      </c>
      <c r="AR90">
        <f>IF('Исходные данные'!$B$53="Выручка",MAX(0,L90+(Q90-R90)+(U90-V90)),IF('Исходные данные'!$B$53="Прибыль до налога",MAX(0,L90+(Q90-R90)+(U90-V90)+N('Исходные данные'!$B$54)*((O90+P90)+(S90+T90)+W90+X90)+IF('Исходные данные'!$B$55="Да",AG90,0)-N('Исходные данные'!$B$56)/12),IF('Исходные данные'!$B$53="Пользовательская база",MAX(0,N('Исходные данные'!$B$57)/12),0)))</f>
        <v>0</v>
      </c>
      <c r="AS90">
        <f>IF(E90=1,-AR90*N('Исходные данные'!$B$50),0)</f>
        <v>0</v>
      </c>
      <c r="AT90">
        <f t="shared" si="50"/>
        <v>0</v>
      </c>
      <c r="AU90">
        <f>IF(OR(B90="",N('Исходные данные'!$B$80)&lt;=0,'Исходные данные'!$B$88=""),0,MAX(0,IF('Исходные данные'!$B$88="Последние 12 месяцев",SUMIFS($Y$2:$Y$194,$B$2:$B$194,"&gt;="&amp;EDATE(B90,-11),$B$2:$B$194,"&lt;="&amp;B90),IF('Исходные данные'!$B$88="Пользовательский NOI",N('Исходные данные'!$B$89),AT90))/N('Исходные данные'!$B$80)*(1+N('Исходные данные'!$B$81))))</f>
        <v>0</v>
      </c>
      <c r="AV90">
        <f>IF(OR(E90&lt;&gt;1,B90="",'Исходные данные'!$B$91=""),0,IF(AND(YEAR(B90)=YEAR('Исходные данные'!$B$91),MONTH(B90)=MONTH('Исходные данные'!$B$91)),AU90,0))</f>
        <v>0</v>
      </c>
      <c r="AW90">
        <f>-AV90*N('Исходные данные'!$B$73)</f>
        <v>0</v>
      </c>
      <c r="AX90">
        <f>IF(AV90=0,0,-N('Исходные данные'!$B$87)-IF('Исходные данные'!$B$82="Да",IF('Исходные данные'!$B$84="С выручки",AV90,IF('Исходные данные'!$B$84="С прибыли",MAX(0,AV90+AW90-IF('Исходные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90">
        <f t="shared" si="51"/>
        <v>0</v>
      </c>
      <c r="AZ90">
        <f t="shared" si="52"/>
        <v>0</v>
      </c>
      <c r="BA90">
        <f t="shared" si="53"/>
        <v>0</v>
      </c>
      <c r="BB90" t="str">
        <f t="shared" si="60"/>
        <v/>
      </c>
      <c r="BC90">
        <f>IF(OR(E90=0,'Исходные данные'!$B$9="",'Исходные данные'!$B$90=""),0,BA90/(1+'Исходные данные'!$B$90)^((D90-'Исходные данные'!$B$9)/365))</f>
        <v>0</v>
      </c>
      <c r="BD90">
        <f>IF(AND(E90=1,BB90&gt;=0,BB89&lt;0,MIN($BB$2:BB90)&lt;0),1,0)</f>
        <v>0</v>
      </c>
      <c r="BE90">
        <f t="shared" si="54"/>
        <v>0</v>
      </c>
      <c r="BF90">
        <f t="shared" si="55"/>
        <v>0</v>
      </c>
      <c r="BG90">
        <f t="shared" si="56"/>
        <v>0</v>
      </c>
      <c r="BH90">
        <f t="shared" si="57"/>
        <v>1</v>
      </c>
      <c r="BI90">
        <f>AZ90+N90+AP90-AR90*N('Исходные данные'!$B$50)</f>
        <v>0</v>
      </c>
      <c r="BJ90">
        <f t="shared" si="61"/>
        <v>0</v>
      </c>
      <c r="BK90">
        <f>IF(AND(BJ90&gt;=0,BJ89&lt;0,MIN($BJ$2:BJ90)&lt;0),1,0)</f>
        <v>0</v>
      </c>
    </row>
    <row r="91" spans="1:63" x14ac:dyDescent="0.2">
      <c r="A91">
        <v>90</v>
      </c>
      <c r="B91" t="str">
        <f>IF('Исходные данные'!$B$9="","",EDATE(DATE(YEAR('Исходные данные'!$B$9),MONTH('Исходные данные'!$B$9),1),A91-1))</f>
        <v/>
      </c>
      <c r="C91" t="str">
        <f t="shared" si="41"/>
        <v/>
      </c>
      <c r="D91" t="str">
        <f>IF(B91="","",IF('Исходные данные'!$B$91&lt;&gt;"",IF(AND(YEAR(B91)=YEAR('Исходные данные'!$B$91),MONTH(B91)=MONTH('Исходные данные'!$B$91)),'Исходные данные'!$B$91,IF('Исходные данные'!$B$13&lt;&gt;"",IF(AND(YEAR(B91)=YEAR('Исходные данные'!$B$13),MONTH(B91)=MONTH('Исходные данные'!$B$13)),'Исходные данные'!$B$13,IF('Исходные данные'!$B$26&lt;&gt;"",IF(AND(YEAR(B91)=YEAR('Исходные данные'!$B$26),MONTH(B91)=MONTH('Исходные данные'!$B$26)),'Исходные данные'!$B$26,IF(A91=1,'Исходные данные'!$B$9,C91)),IF(A91=1,'Исходные данные'!$B$9,C91))),IF('Исходные данные'!$B$26&lt;&gt;"",IF(AND(YEAR(B91)=YEAR('Исходные данные'!$B$26),MONTH(B91)=MONTH('Исходные данные'!$B$26)),'Исходные данные'!$B$26,IF(A91=1,'Исходные данные'!$B$9,C91)),IF(A91=1,'Исходные данные'!$B$9,C91)))),IF('Исходные данные'!$B$13&lt;&gt;"",IF(AND(YEAR(B91)=YEAR('Исходные данные'!$B$13),MONTH(B91)=MONTH('Исходные данные'!$B$13)),'Исходные данные'!$B$13,IF('Исходные данные'!$B$26&lt;&gt;"",IF(AND(YEAR(B91)=YEAR('Исходные данные'!$B$26),MONTH(B91)=MONTH('Исходные данные'!$B$26)),'Исходные данные'!$B$26,IF(A91=1,'Исходные данные'!$B$9,C91)),IF(A91=1,'Исходные данные'!$B$9,C91))),IF('Исходные данные'!$B$26&lt;&gt;"",IF(AND(YEAR(B91)=YEAR('Исходные данные'!$B$26),MONTH(B91)=MONTH('Исходные данные'!$B$26)),'Исходные данные'!$B$26,IF(A91=1,'Исходные данные'!$B$9,C91)),IF(A91=1,'Исходные данные'!$B$9,C91)))))</f>
        <v/>
      </c>
      <c r="E91">
        <f>IF(OR(B91="",'Исходные данные'!$B$91=""),0,--(B91&lt;=DATE(YEAR('Исходные данные'!$B$91),MONTH('Исходные данные'!$B$91),1)))</f>
        <v>0</v>
      </c>
      <c r="F91">
        <f>IF(OR(B91="",'Исходные данные'!$B$30="",C91&lt;'Исходные данные'!$B$30),0,DATEDIF(DATE(YEAR('Исходные данные'!$B$30),MONTH('Исходные данные'!$B$30),1),B91,"m")+1)</f>
        <v>0</v>
      </c>
      <c r="G91">
        <f t="shared" si="42"/>
        <v>0</v>
      </c>
      <c r="H91">
        <f>IF(F91=0,0,IF(G91=1,N('Исходные данные'!$B$31),IF(G91=2,N('Исходные данные'!$B$32),IF(G91=3,N('Исходные данные'!$B$33),N('Исходные данные'!$B$33)*(1+N('Исходные данные'!$B$34))^(G91-3)))))</f>
        <v>0</v>
      </c>
      <c r="I91">
        <f>IF(OR(F91=0,N('Исходные данные'!$B$5)=0,H91=0),0,'Исходные данные'!$B$5*H91*IF(AND(B91&lt;='Исходные данные'!$B$30,C91&gt;='Исходные данные'!$B$30),(C91-'Исходные данные'!$B$30+1)/DAY(C91),1))</f>
        <v>0</v>
      </c>
      <c r="J91">
        <f>IF(AND(F91&gt;0,F91&lt;=N('Исходные данные'!$B$37)),-I91,0)</f>
        <v>0</v>
      </c>
      <c r="K91">
        <f>IF(OR(F91=0,F91&lt;=N('Исходные данные'!$B$37)),0,-(I91+J91)*N('Исходные данные'!$B$38))</f>
        <v>0</v>
      </c>
      <c r="L91">
        <f t="shared" si="43"/>
        <v>0</v>
      </c>
      <c r="M91">
        <f>IF('Исходные данные'!$B$51="Да",L91*N('Исходные данные'!$B$52),0)</f>
        <v>0</v>
      </c>
      <c r="N91">
        <f t="shared" si="44"/>
        <v>0</v>
      </c>
      <c r="O91">
        <f>IF(OR(B91="",IF('Исходные данные'!$B$45="",'Исходные данные'!$B$10,'Исходные данные'!$B$45)="",C91&lt;IF('Исходные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данные'!$B$45)),1),B91,"m")/12))*IF(AND(B91&lt;=IF('Исходные данные'!$B$45="",'Исходные данные'!$B$10,'Исходные данные'!$B$45),C91&gt;=IF('Исходные данные'!$B$45="",'Исходные данные'!$B$10,'Исходные данные'!$B$45)),(C91-IF('Исходные данные'!$B$45="",'Исходные данные'!$B$10,'Исходные данные'!$B$45)+1)/DAY(C91),1)*IF('Исходные данные'!$B$43="Без НДС",1+N('Исходные данные'!$B$44),1))</f>
        <v>0</v>
      </c>
      <c r="P91">
        <f>IF('Исходные данные'!$B$51="Да",-O91*N('Исходные данные'!$B$44)/(1+N('Исходные данные'!$B$44)),0)</f>
        <v>0</v>
      </c>
      <c r="Q91">
        <f>IF('Исходные данные'!$B$35="Да",-O91,0)</f>
        <v>0</v>
      </c>
      <c r="R91">
        <f>IF(AND('Исходные данные'!$B$51="Да",Q91&gt;0),Q91*N('Исходные данные'!$B$52)/(1+N('Исходные данные'!$B$52)),0)</f>
        <v>0</v>
      </c>
      <c r="S91">
        <f>IF(OR(B91="",IF('Исходные данные'!$B$45="",'Исходные данные'!$B$10,'Исходные данные'!$B$45)="",C91&lt;IF('Исходные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данные'!$B$45)),1),B91,"m")/12))*IF(AND(B91&lt;=IF('Исходные данные'!$B$45="",'Исходные данные'!$B$10,'Исходные данные'!$B$45),C91&gt;=IF('Исходные данные'!$B$45="",'Исходные данные'!$B$10,'Исходные данные'!$B$45)),(C91-IF('Исходные данные'!$B$45="",'Исходные данные'!$B$10,'Исходные данные'!$B$45)+1)/DAY(C91),1)*IF('Исходные данные'!$B$43="Без НДС",1+N('Исходные данные'!$B$44),1))</f>
        <v>0</v>
      </c>
      <c r="T91">
        <f>IF('Исходные данные'!$B$51="Да",-S91*N('Исходные данные'!$B$44)/(1+N('Исходные данные'!$B$44)),0)</f>
        <v>0</v>
      </c>
      <c r="U91">
        <f>IF('Исходные данные'!$B$36="Да",-S91,0)</f>
        <v>0</v>
      </c>
      <c r="V91">
        <f>IF(AND('Исходные данные'!$B$51="Да",U91&gt;0),U91*N('Исходные данные'!$B$52)/(1+N('Исходные данные'!$B$52)),0)</f>
        <v>0</v>
      </c>
      <c r="W91">
        <f>IF(OR(B91="",IF('Исходные данные'!$B$69="",'Исходные данные'!$B$10,'Исходные данные'!$B$69)="",C91&lt;IF('Исходные данные'!$B$69="",'Исходные данные'!$B$10,'Исходные данные'!$B$69)),0,-N('Исходные данные'!$B$16)*N('Исходные данные'!$B$68)*N('Исходные данные'!$B$67)/12*IF(AND(B91&lt;=IF('Исходные данные'!$B$69="",'Исходные данные'!$B$10,'Исходные данные'!$B$69),C91&gt;=IF('Исходные данные'!$B$69="",'Исходные данные'!$B$10,'Исходные данные'!$B$69)),(C91-IF('Исходные данные'!$B$69="",'Исходные данные'!$B$10,'Исходные данные'!$B$69)+1)/DAY(C91),1))</f>
        <v>0</v>
      </c>
      <c r="X91">
        <f>IF(OR(B91="",IF('Исходные данные'!$B$76="",'Исходные данные'!$B$10,'Исходные данные'!$B$76)="",C91&lt;IF('Исходные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данные'!$B$76)),1),B91,"m")/12))*IF(AND(B91&lt;=IF('Исходные данные'!$B$76="",'Исходные данные'!$B$10,'Исходные данные'!$B$76),C91&gt;=IF('Исходные данные'!$B$76="",'Исходные данные'!$B$10,'Исходные данные'!$B$76)),(C91-IF('Исходные данные'!$B$76="",'Исходные данные'!$B$10,'Исходные данные'!$B$76)+1)/DAY(C91),1))</f>
        <v>0</v>
      </c>
      <c r="Y91">
        <f t="shared" si="45"/>
        <v>0</v>
      </c>
      <c r="Z91">
        <f>IF(OR(B91="",N('Исходные данные'!$B$19)=0),0,-SUMIFS('Исходные данные'!$I$6:$I$186,'Исходные данные'!$F$6:$F$186,B91)*N('Исходные данные'!$B$17)/N('Исходные данные'!$B$19))</f>
        <v>0</v>
      </c>
      <c r="AA91">
        <f>IF(OR(B91="",N('Исходные данные'!$B$19)=0),0,-SUMIFS('Исходные данные'!$I$6:$I$186,'Исходные данные'!$F$6:$F$186,B91)*N('Исходные данные'!$B$18)/N('Исходные данные'!$B$19))</f>
        <v>0</v>
      </c>
      <c r="AB91">
        <f>IF(OR(B91="",'Исходные данные'!$B$13=""),0,IF(AND(YEAR(B91)=YEAR('Исходные данные'!$B$13),MONTH(B91)=MONTH('Исходные данные'!$B$13)),-N('Исходные данные'!$B$11),0))</f>
        <v>0</v>
      </c>
      <c r="AC91">
        <f>IF(A91=1,-N('Исходные данные'!$B$19)*N('Исходные данные'!$B$72),0)</f>
        <v>0</v>
      </c>
      <c r="AD91">
        <f>IF(OR(B91="",'Исходные данные'!$B$22&lt;&gt;"Да",'Исходные данные'!$B$26=""),0,IF(AND(YEAR(B91)=YEAR('Исходные данные'!$B$26),MONTH(B91)=MONTH('Исходные данные'!$B$26)),N('Исходные данные'!$B$23),0))</f>
        <v>0</v>
      </c>
      <c r="AE91">
        <f t="shared" si="58"/>
        <v>0</v>
      </c>
      <c r="AF91">
        <f>IF(OR('Исходные данные'!$B$22&lt;&gt;"Да",'Исходные данные'!$B$26="",C91&lt;'Исходные данные'!$B$26),0,DATEDIF(DATE(YEAR('Исходные данные'!$B$26),MONTH('Исходные данные'!$B$26),1),B91,"m")+1)</f>
        <v>0</v>
      </c>
      <c r="AG91">
        <f>IF(OR(AF91&lt;1,AF91&gt;N('Исходные данные'!$B$25),AE91+AD91&lt;=0),0,-(AE91+AD91)*N('Исходные данные'!$B$24)*IF(AF91=1,C91-'Исходные данные'!$B$26+1,DAY(C91))/365)</f>
        <v>0</v>
      </c>
      <c r="AH91">
        <f>IF(OR(AF91&lt;1,AF91&gt;N('Исходные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данные'!$B$25)-AG91))</f>
        <v>0</v>
      </c>
      <c r="AI91">
        <f>IF(OR('Исходные данные'!$B$22&lt;&gt;"Да",AE91+AD91&lt;=0),0,IF(AND('Исходные данные'!$B$91&lt;&gt;"",B91&lt;&gt;"",YEAR(B91)=YEAR('Исходные данные'!$B$91),MONTH(B91)=MONTH('Исходные данные'!$B$91)),-(AE91+AD91),IF(OR(AF91&lt;1,AF91&gt;N('Исходные данные'!$B$25)),0,IF('Исходные данные'!$B$27="Равными долями",-MIN(AE91+AD91,N('Исходные данные'!$B$23)/N('Исходные данные'!$B$25)),-MIN(AE91+AD91,IF(AF91=N('Исходные данные'!$B$25),AE91+AD91,MAX(0,AH91+AG91)))))))</f>
        <v>0</v>
      </c>
      <c r="AJ91">
        <f t="shared" si="46"/>
        <v>0</v>
      </c>
      <c r="AK91">
        <f t="shared" si="47"/>
        <v>0</v>
      </c>
      <c r="AL91">
        <f>IF(OR(B91="",'Исходные данные'!$B$51&lt;&gt;"Да",'Исходные данные'!$B$61=""),0,IF(AND(YEAR(B91)=YEAR('Исходные данные'!$B$61),MONTH(B91)=MONTH('Исходные данные'!$B$61)),N('Исходные данные'!$B$18)*N('Исходные данные'!$B$62),0))</f>
        <v>0</v>
      </c>
      <c r="AM91">
        <f t="shared" si="59"/>
        <v>0</v>
      </c>
      <c r="AN91">
        <f t="shared" si="48"/>
        <v>0</v>
      </c>
      <c r="AO91">
        <f t="shared" si="49"/>
        <v>0</v>
      </c>
      <c r="AP91">
        <f>IF('Исходные данные'!$B$51="Да",-MAX(0,AN91-AO91-AM91),0)</f>
        <v>0</v>
      </c>
      <c r="AQ91">
        <f>IF('Исходные данные'!$B$51="Да",MAX(0,AM91+AO91-AN91),0)</f>
        <v>0</v>
      </c>
      <c r="AR91">
        <f>IF('Исходные данные'!$B$53="Выручка",MAX(0,L91+(Q91-R91)+(U91-V91)),IF('Исходные данные'!$B$53="Прибыль до налога",MAX(0,L91+(Q91-R91)+(U91-V91)+N('Исходные данные'!$B$54)*((O91+P91)+(S91+T91)+W91+X91)+IF('Исходные данные'!$B$55="Да",AG91,0)-N('Исходные данные'!$B$56)/12),IF('Исходные данные'!$B$53="Пользовательская база",MAX(0,N('Исходные данные'!$B$57)/12),0)))</f>
        <v>0</v>
      </c>
      <c r="AS91">
        <f>IF(E91=1,-AR91*N('Исходные данные'!$B$50),0)</f>
        <v>0</v>
      </c>
      <c r="AT91">
        <f t="shared" si="50"/>
        <v>0</v>
      </c>
      <c r="AU91">
        <f>IF(OR(B91="",N('Исходные данные'!$B$80)&lt;=0,'Исходные данные'!$B$88=""),0,MAX(0,IF('Исходные данные'!$B$88="Последние 12 месяцев",SUMIFS($Y$2:$Y$194,$B$2:$B$194,"&gt;="&amp;EDATE(B91,-11),$B$2:$B$194,"&lt;="&amp;B91),IF('Исходные данные'!$B$88="Пользовательский NOI",N('Исходные данные'!$B$89),AT91))/N('Исходные данные'!$B$80)*(1+N('Исходные данные'!$B$81))))</f>
        <v>0</v>
      </c>
      <c r="AV91">
        <f>IF(OR(E91&lt;&gt;1,B91="",'Исходные данные'!$B$91=""),0,IF(AND(YEAR(B91)=YEAR('Исходные данные'!$B$91),MONTH(B91)=MONTH('Исходные данные'!$B$91)),AU91,0))</f>
        <v>0</v>
      </c>
      <c r="AW91">
        <f>-AV91*N('Исходные данные'!$B$73)</f>
        <v>0</v>
      </c>
      <c r="AX91">
        <f>IF(AV91=0,0,-N('Исходные данные'!$B$87)-IF('Исходные данные'!$B$82="Да",IF('Исходные данные'!$B$84="С выручки",AV91,IF('Исходные данные'!$B$84="С прибыли",MAX(0,AV91+AW91-IF('Исходные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91">
        <f t="shared" si="51"/>
        <v>0</v>
      </c>
      <c r="AZ91">
        <f t="shared" si="52"/>
        <v>0</v>
      </c>
      <c r="BA91">
        <f t="shared" si="53"/>
        <v>0</v>
      </c>
      <c r="BB91" t="str">
        <f t="shared" si="60"/>
        <v/>
      </c>
      <c r="BC91">
        <f>IF(OR(E91=0,'Исходные данные'!$B$9="",'Исходные данные'!$B$90=""),0,BA91/(1+'Исходные данные'!$B$90)^((D91-'Исходные данные'!$B$9)/365))</f>
        <v>0</v>
      </c>
      <c r="BD91">
        <f>IF(AND(E91=1,BB91&gt;=0,BB90&lt;0,MIN($BB$2:BB91)&lt;0),1,0)</f>
        <v>0</v>
      </c>
      <c r="BE91">
        <f t="shared" si="54"/>
        <v>0</v>
      </c>
      <c r="BF91">
        <f t="shared" si="55"/>
        <v>0</v>
      </c>
      <c r="BG91">
        <f t="shared" si="56"/>
        <v>0</v>
      </c>
      <c r="BH91">
        <f t="shared" si="57"/>
        <v>1</v>
      </c>
      <c r="BI91">
        <f>AZ91+N91+AP91-AR91*N('Исходные данные'!$B$50)</f>
        <v>0</v>
      </c>
      <c r="BJ91">
        <f t="shared" si="61"/>
        <v>0</v>
      </c>
      <c r="BK91">
        <f>IF(AND(BJ91&gt;=0,BJ90&lt;0,MIN($BJ$2:BJ91)&lt;0),1,0)</f>
        <v>0</v>
      </c>
    </row>
    <row r="92" spans="1:63" x14ac:dyDescent="0.2">
      <c r="A92">
        <v>91</v>
      </c>
      <c r="B92" t="str">
        <f>IF('Исходные данные'!$B$9="","",EDATE(DATE(YEAR('Исходные данные'!$B$9),MONTH('Исходные данные'!$B$9),1),A92-1))</f>
        <v/>
      </c>
      <c r="C92" t="str">
        <f t="shared" si="41"/>
        <v/>
      </c>
      <c r="D92" t="str">
        <f>IF(B92="","",IF('Исходные данные'!$B$91&lt;&gt;"",IF(AND(YEAR(B92)=YEAR('Исходные данные'!$B$91),MONTH(B92)=MONTH('Исходные данные'!$B$91)),'Исходные данные'!$B$91,IF('Исходные данные'!$B$13&lt;&gt;"",IF(AND(YEAR(B92)=YEAR('Исходные данные'!$B$13),MONTH(B92)=MONTH('Исходные данные'!$B$13)),'Исходные данные'!$B$13,IF('Исходные данные'!$B$26&lt;&gt;"",IF(AND(YEAR(B92)=YEAR('Исходные данные'!$B$26),MONTH(B92)=MONTH('Исходные данные'!$B$26)),'Исходные данные'!$B$26,IF(A92=1,'Исходные данные'!$B$9,C92)),IF(A92=1,'Исходные данные'!$B$9,C92))),IF('Исходные данные'!$B$26&lt;&gt;"",IF(AND(YEAR(B92)=YEAR('Исходные данные'!$B$26),MONTH(B92)=MONTH('Исходные данные'!$B$26)),'Исходные данные'!$B$26,IF(A92=1,'Исходные данные'!$B$9,C92)),IF(A92=1,'Исходные данные'!$B$9,C92)))),IF('Исходные данные'!$B$13&lt;&gt;"",IF(AND(YEAR(B92)=YEAR('Исходные данные'!$B$13),MONTH(B92)=MONTH('Исходные данные'!$B$13)),'Исходные данные'!$B$13,IF('Исходные данные'!$B$26&lt;&gt;"",IF(AND(YEAR(B92)=YEAR('Исходные данные'!$B$26),MONTH(B92)=MONTH('Исходные данные'!$B$26)),'Исходные данные'!$B$26,IF(A92=1,'Исходные данные'!$B$9,C92)),IF(A92=1,'Исходные данные'!$B$9,C92))),IF('Исходные данные'!$B$26&lt;&gt;"",IF(AND(YEAR(B92)=YEAR('Исходные данные'!$B$26),MONTH(B92)=MONTH('Исходные данные'!$B$26)),'Исходные данные'!$B$26,IF(A92=1,'Исходные данные'!$B$9,C92)),IF(A92=1,'Исходные данные'!$B$9,C92)))))</f>
        <v/>
      </c>
      <c r="E92">
        <f>IF(OR(B92="",'Исходные данные'!$B$91=""),0,--(B92&lt;=DATE(YEAR('Исходные данные'!$B$91),MONTH('Исходные данные'!$B$91),1)))</f>
        <v>0</v>
      </c>
      <c r="F92">
        <f>IF(OR(B92="",'Исходные данные'!$B$30="",C92&lt;'Исходные данные'!$B$30),0,DATEDIF(DATE(YEAR('Исходные данные'!$B$30),MONTH('Исходные данные'!$B$30),1),B92,"m")+1)</f>
        <v>0</v>
      </c>
      <c r="G92">
        <f t="shared" si="42"/>
        <v>0</v>
      </c>
      <c r="H92">
        <f>IF(F92=0,0,IF(G92=1,N('Исходные данные'!$B$31),IF(G92=2,N('Исходные данные'!$B$32),IF(G92=3,N('Исходные данные'!$B$33),N('Исходные данные'!$B$33)*(1+N('Исходные данные'!$B$34))^(G92-3)))))</f>
        <v>0</v>
      </c>
      <c r="I92">
        <f>IF(OR(F92=0,N('Исходные данные'!$B$5)=0,H92=0),0,'Исходные данные'!$B$5*H92*IF(AND(B92&lt;='Исходные данные'!$B$30,C92&gt;='Исходные данные'!$B$30),(C92-'Исходные данные'!$B$30+1)/DAY(C92),1))</f>
        <v>0</v>
      </c>
      <c r="J92">
        <f>IF(AND(F92&gt;0,F92&lt;=N('Исходные данные'!$B$37)),-I92,0)</f>
        <v>0</v>
      </c>
      <c r="K92">
        <f>IF(OR(F92=0,F92&lt;=N('Исходные данные'!$B$37)),0,-(I92+J92)*N('Исходные данные'!$B$38))</f>
        <v>0</v>
      </c>
      <c r="L92">
        <f t="shared" si="43"/>
        <v>0</v>
      </c>
      <c r="M92">
        <f>IF('Исходные данные'!$B$51="Да",L92*N('Исходные данные'!$B$52),0)</f>
        <v>0</v>
      </c>
      <c r="N92">
        <f t="shared" si="44"/>
        <v>0</v>
      </c>
      <c r="O92">
        <f>IF(OR(B92="",IF('Исходные данные'!$B$45="",'Исходные данные'!$B$10,'Исходные данные'!$B$45)="",C92&lt;IF('Исходные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данные'!$B$45)),1),B92,"m")/12))*IF(AND(B92&lt;=IF('Исходные данные'!$B$45="",'Исходные данные'!$B$10,'Исходные данные'!$B$45),C92&gt;=IF('Исходные данные'!$B$45="",'Исходные данные'!$B$10,'Исходные данные'!$B$45)),(C92-IF('Исходные данные'!$B$45="",'Исходные данные'!$B$10,'Исходные данные'!$B$45)+1)/DAY(C92),1)*IF('Исходные данные'!$B$43="Без НДС",1+N('Исходные данные'!$B$44),1))</f>
        <v>0</v>
      </c>
      <c r="P92">
        <f>IF('Исходные данные'!$B$51="Да",-O92*N('Исходные данные'!$B$44)/(1+N('Исходные данные'!$B$44)),0)</f>
        <v>0</v>
      </c>
      <c r="Q92">
        <f>IF('Исходные данные'!$B$35="Да",-O92,0)</f>
        <v>0</v>
      </c>
      <c r="R92">
        <f>IF(AND('Исходные данные'!$B$51="Да",Q92&gt;0),Q92*N('Исходные данные'!$B$52)/(1+N('Исходные данные'!$B$52)),0)</f>
        <v>0</v>
      </c>
      <c r="S92">
        <f>IF(OR(B92="",IF('Исходные данные'!$B$45="",'Исходные данные'!$B$10,'Исходные данные'!$B$45)="",C92&lt;IF('Исходные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данные'!$B$45)),1),B92,"m")/12))*IF(AND(B92&lt;=IF('Исходные данные'!$B$45="",'Исходные данные'!$B$10,'Исходные данные'!$B$45),C92&gt;=IF('Исходные данные'!$B$45="",'Исходные данные'!$B$10,'Исходные данные'!$B$45)),(C92-IF('Исходные данные'!$B$45="",'Исходные данные'!$B$10,'Исходные данные'!$B$45)+1)/DAY(C92),1)*IF('Исходные данные'!$B$43="Без НДС",1+N('Исходные данные'!$B$44),1))</f>
        <v>0</v>
      </c>
      <c r="T92">
        <f>IF('Исходные данные'!$B$51="Да",-S92*N('Исходные данные'!$B$44)/(1+N('Исходные данные'!$B$44)),0)</f>
        <v>0</v>
      </c>
      <c r="U92">
        <f>IF('Исходные данные'!$B$36="Да",-S92,0)</f>
        <v>0</v>
      </c>
      <c r="V92">
        <f>IF(AND('Исходные данные'!$B$51="Да",U92&gt;0),U92*N('Исходные данные'!$B$52)/(1+N('Исходные данные'!$B$52)),0)</f>
        <v>0</v>
      </c>
      <c r="W92">
        <f>IF(OR(B92="",IF('Исходные данные'!$B$69="",'Исходные данные'!$B$10,'Исходные данные'!$B$69)="",C92&lt;IF('Исходные данные'!$B$69="",'Исходные данные'!$B$10,'Исходные данные'!$B$69)),0,-N('Исходные данные'!$B$16)*N('Исходные данные'!$B$68)*N('Исходные данные'!$B$67)/12*IF(AND(B92&lt;=IF('Исходные данные'!$B$69="",'Исходные данные'!$B$10,'Исходные данные'!$B$69),C92&gt;=IF('Исходные данные'!$B$69="",'Исходные данные'!$B$10,'Исходные данные'!$B$69)),(C92-IF('Исходные данные'!$B$69="",'Исходные данные'!$B$10,'Исходные данные'!$B$69)+1)/DAY(C92),1))</f>
        <v>0</v>
      </c>
      <c r="X92">
        <f>IF(OR(B92="",IF('Исходные данные'!$B$76="",'Исходные данные'!$B$10,'Исходные данные'!$B$76)="",C92&lt;IF('Исходные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данные'!$B$76)),1),B92,"m")/12))*IF(AND(B92&lt;=IF('Исходные данные'!$B$76="",'Исходные данные'!$B$10,'Исходные данные'!$B$76),C92&gt;=IF('Исходные данные'!$B$76="",'Исходные данные'!$B$10,'Исходные данные'!$B$76)),(C92-IF('Исходные данные'!$B$76="",'Исходные данные'!$B$10,'Исходные данные'!$B$76)+1)/DAY(C92),1))</f>
        <v>0</v>
      </c>
      <c r="Y92">
        <f t="shared" si="45"/>
        <v>0</v>
      </c>
      <c r="Z92">
        <f>IF(OR(B92="",N('Исходные данные'!$B$19)=0),0,-SUMIFS('Исходные данные'!$I$6:$I$186,'Исходные данные'!$F$6:$F$186,B92)*N('Исходные данные'!$B$17)/N('Исходные данные'!$B$19))</f>
        <v>0</v>
      </c>
      <c r="AA92">
        <f>IF(OR(B92="",N('Исходные данные'!$B$19)=0),0,-SUMIFS('Исходные данные'!$I$6:$I$186,'Исходные данные'!$F$6:$F$186,B92)*N('Исходные данные'!$B$18)/N('Исходные данные'!$B$19))</f>
        <v>0</v>
      </c>
      <c r="AB92">
        <f>IF(OR(B92="",'Исходные данные'!$B$13=""),0,IF(AND(YEAR(B92)=YEAR('Исходные данные'!$B$13),MONTH(B92)=MONTH('Исходные данные'!$B$13)),-N('Исходные данные'!$B$11),0))</f>
        <v>0</v>
      </c>
      <c r="AC92">
        <f>IF(A92=1,-N('Исходные данные'!$B$19)*N('Исходные данные'!$B$72),0)</f>
        <v>0</v>
      </c>
      <c r="AD92">
        <f>IF(OR(B92="",'Исходные данные'!$B$22&lt;&gt;"Да",'Исходные данные'!$B$26=""),0,IF(AND(YEAR(B92)=YEAR('Исходные данные'!$B$26),MONTH(B92)=MONTH('Исходные данные'!$B$26)),N('Исходные данные'!$B$23),0))</f>
        <v>0</v>
      </c>
      <c r="AE92">
        <f t="shared" si="58"/>
        <v>0</v>
      </c>
      <c r="AF92">
        <f>IF(OR('Исходные данные'!$B$22&lt;&gt;"Да",'Исходные данные'!$B$26="",C92&lt;'Исходные данные'!$B$26),0,DATEDIF(DATE(YEAR('Исходные данные'!$B$26),MONTH('Исходные данные'!$B$26),1),B92,"m")+1)</f>
        <v>0</v>
      </c>
      <c r="AG92">
        <f>IF(OR(AF92&lt;1,AF92&gt;N('Исходные данные'!$B$25),AE92+AD92&lt;=0),0,-(AE92+AD92)*N('Исходные данные'!$B$24)*IF(AF92=1,C92-'Исходные данные'!$B$26+1,DAY(C92))/365)</f>
        <v>0</v>
      </c>
      <c r="AH92">
        <f>IF(OR(AF92&lt;1,AF92&gt;N('Исходные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данные'!$B$25)-AG92))</f>
        <v>0</v>
      </c>
      <c r="AI92">
        <f>IF(OR('Исходные данные'!$B$22&lt;&gt;"Да",AE92+AD92&lt;=0),0,IF(AND('Исходные данные'!$B$91&lt;&gt;"",B92&lt;&gt;"",YEAR(B92)=YEAR('Исходные данные'!$B$91),MONTH(B92)=MONTH('Исходные данные'!$B$91)),-(AE92+AD92),IF(OR(AF92&lt;1,AF92&gt;N('Исходные данные'!$B$25)),0,IF('Исходные данные'!$B$27="Равными долями",-MIN(AE92+AD92,N('Исходные данные'!$B$23)/N('Исходные данные'!$B$25)),-MIN(AE92+AD92,IF(AF92=N('Исходные данные'!$B$25),AE92+AD92,MAX(0,AH92+AG92)))))))</f>
        <v>0</v>
      </c>
      <c r="AJ92">
        <f t="shared" si="46"/>
        <v>0</v>
      </c>
      <c r="AK92">
        <f t="shared" si="47"/>
        <v>0</v>
      </c>
      <c r="AL92">
        <f>IF(OR(B92="",'Исходные данные'!$B$51&lt;&gt;"Да",'Исходные данные'!$B$61=""),0,IF(AND(YEAR(B92)=YEAR('Исходные данные'!$B$61),MONTH(B92)=MONTH('Исходные данные'!$B$61)),N('Исходные данные'!$B$18)*N('Исходные данные'!$B$62),0))</f>
        <v>0</v>
      </c>
      <c r="AM92">
        <f t="shared" si="59"/>
        <v>0</v>
      </c>
      <c r="AN92">
        <f t="shared" si="48"/>
        <v>0</v>
      </c>
      <c r="AO92">
        <f t="shared" si="49"/>
        <v>0</v>
      </c>
      <c r="AP92">
        <f>IF('Исходные данные'!$B$51="Да",-MAX(0,AN92-AO92-AM92),0)</f>
        <v>0</v>
      </c>
      <c r="AQ92">
        <f>IF('Исходные данные'!$B$51="Да",MAX(0,AM92+AO92-AN92),0)</f>
        <v>0</v>
      </c>
      <c r="AR92">
        <f>IF('Исходные данные'!$B$53="Выручка",MAX(0,L92+(Q92-R92)+(U92-V92)),IF('Исходные данные'!$B$53="Прибыль до налога",MAX(0,L92+(Q92-R92)+(U92-V92)+N('Исходные данные'!$B$54)*((O92+P92)+(S92+T92)+W92+X92)+IF('Исходные данные'!$B$55="Да",AG92,0)-N('Исходные данные'!$B$56)/12),IF('Исходные данные'!$B$53="Пользовательская база",MAX(0,N('Исходные данные'!$B$57)/12),0)))</f>
        <v>0</v>
      </c>
      <c r="AS92">
        <f>IF(E92=1,-AR92*N('Исходные данные'!$B$50),0)</f>
        <v>0</v>
      </c>
      <c r="AT92">
        <f t="shared" si="50"/>
        <v>0</v>
      </c>
      <c r="AU92">
        <f>IF(OR(B92="",N('Исходные данные'!$B$80)&lt;=0,'Исходные данные'!$B$88=""),0,MAX(0,IF('Исходные данные'!$B$88="Последние 12 месяцев",SUMIFS($Y$2:$Y$194,$B$2:$B$194,"&gt;="&amp;EDATE(B92,-11),$B$2:$B$194,"&lt;="&amp;B92),IF('Исходные данные'!$B$88="Пользовательский NOI",N('Исходные данные'!$B$89),AT92))/N('Исходные данные'!$B$80)*(1+N('Исходные данные'!$B$81))))</f>
        <v>0</v>
      </c>
      <c r="AV92">
        <f>IF(OR(E92&lt;&gt;1,B92="",'Исходные данные'!$B$91=""),0,IF(AND(YEAR(B92)=YEAR('Исходные данные'!$B$91),MONTH(B92)=MONTH('Исходные данные'!$B$91)),AU92,0))</f>
        <v>0</v>
      </c>
      <c r="AW92">
        <f>-AV92*N('Исходные данные'!$B$73)</f>
        <v>0</v>
      </c>
      <c r="AX92">
        <f>IF(AV92=0,0,-N('Исходные данные'!$B$87)-IF('Исходные данные'!$B$82="Да",IF('Исходные данные'!$B$84="С выручки",AV92,IF('Исходные данные'!$B$84="С прибыли",MAX(0,AV92+AW92-IF('Исходные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92">
        <f t="shared" si="51"/>
        <v>0</v>
      </c>
      <c r="AZ92">
        <f t="shared" si="52"/>
        <v>0</v>
      </c>
      <c r="BA92">
        <f t="shared" si="53"/>
        <v>0</v>
      </c>
      <c r="BB92" t="str">
        <f t="shared" si="60"/>
        <v/>
      </c>
      <c r="BC92">
        <f>IF(OR(E92=0,'Исходные данные'!$B$9="",'Исходные данные'!$B$90=""),0,BA92/(1+'Исходные данные'!$B$90)^((D92-'Исходные данные'!$B$9)/365))</f>
        <v>0</v>
      </c>
      <c r="BD92">
        <f>IF(AND(E92=1,BB92&gt;=0,BB91&lt;0,MIN($BB$2:BB92)&lt;0),1,0)</f>
        <v>0</v>
      </c>
      <c r="BE92">
        <f t="shared" si="54"/>
        <v>0</v>
      </c>
      <c r="BF92">
        <f t="shared" si="55"/>
        <v>0</v>
      </c>
      <c r="BG92">
        <f t="shared" si="56"/>
        <v>0</v>
      </c>
      <c r="BH92">
        <f t="shared" si="57"/>
        <v>1</v>
      </c>
      <c r="BI92">
        <f>AZ92+N92+AP92-AR92*N('Исходные данные'!$B$50)</f>
        <v>0</v>
      </c>
      <c r="BJ92">
        <f t="shared" si="61"/>
        <v>0</v>
      </c>
      <c r="BK92">
        <f>IF(AND(BJ92&gt;=0,BJ91&lt;0,MIN($BJ$2:BJ92)&lt;0),1,0)</f>
        <v>0</v>
      </c>
    </row>
    <row r="93" spans="1:63" x14ac:dyDescent="0.2">
      <c r="A93">
        <v>92</v>
      </c>
      <c r="B93" t="str">
        <f>IF('Исходные данные'!$B$9="","",EDATE(DATE(YEAR('Исходные данные'!$B$9),MONTH('Исходные данные'!$B$9),1),A93-1))</f>
        <v/>
      </c>
      <c r="C93" t="str">
        <f t="shared" si="41"/>
        <v/>
      </c>
      <c r="D93" t="str">
        <f>IF(B93="","",IF('Исходные данные'!$B$91&lt;&gt;"",IF(AND(YEAR(B93)=YEAR('Исходные данные'!$B$91),MONTH(B93)=MONTH('Исходные данные'!$B$91)),'Исходные данные'!$B$91,IF('Исходные данные'!$B$13&lt;&gt;"",IF(AND(YEAR(B93)=YEAR('Исходные данные'!$B$13),MONTH(B93)=MONTH('Исходные данные'!$B$13)),'Исходные данные'!$B$13,IF('Исходные данные'!$B$26&lt;&gt;"",IF(AND(YEAR(B93)=YEAR('Исходные данные'!$B$26),MONTH(B93)=MONTH('Исходные данные'!$B$26)),'Исходные данные'!$B$26,IF(A93=1,'Исходные данные'!$B$9,C93)),IF(A93=1,'Исходные данные'!$B$9,C93))),IF('Исходные данные'!$B$26&lt;&gt;"",IF(AND(YEAR(B93)=YEAR('Исходные данные'!$B$26),MONTH(B93)=MONTH('Исходные данные'!$B$26)),'Исходные данные'!$B$26,IF(A93=1,'Исходные данные'!$B$9,C93)),IF(A93=1,'Исходные данные'!$B$9,C93)))),IF('Исходные данные'!$B$13&lt;&gt;"",IF(AND(YEAR(B93)=YEAR('Исходные данные'!$B$13),MONTH(B93)=MONTH('Исходные данные'!$B$13)),'Исходные данные'!$B$13,IF('Исходные данные'!$B$26&lt;&gt;"",IF(AND(YEAR(B93)=YEAR('Исходные данные'!$B$26),MONTH(B93)=MONTH('Исходные данные'!$B$26)),'Исходные данные'!$B$26,IF(A93=1,'Исходные данные'!$B$9,C93)),IF(A93=1,'Исходные данные'!$B$9,C93))),IF('Исходные данные'!$B$26&lt;&gt;"",IF(AND(YEAR(B93)=YEAR('Исходные данные'!$B$26),MONTH(B93)=MONTH('Исходные данные'!$B$26)),'Исходные данные'!$B$26,IF(A93=1,'Исходные данные'!$B$9,C93)),IF(A93=1,'Исходные данные'!$B$9,C93)))))</f>
        <v/>
      </c>
      <c r="E93">
        <f>IF(OR(B93="",'Исходные данные'!$B$91=""),0,--(B93&lt;=DATE(YEAR('Исходные данные'!$B$91),MONTH('Исходные данные'!$B$91),1)))</f>
        <v>0</v>
      </c>
      <c r="F93">
        <f>IF(OR(B93="",'Исходные данные'!$B$30="",C93&lt;'Исходные данные'!$B$30),0,DATEDIF(DATE(YEAR('Исходные данные'!$B$30),MONTH('Исходные данные'!$B$30),1),B93,"m")+1)</f>
        <v>0</v>
      </c>
      <c r="G93">
        <f t="shared" si="42"/>
        <v>0</v>
      </c>
      <c r="H93">
        <f>IF(F93=0,0,IF(G93=1,N('Исходные данные'!$B$31),IF(G93=2,N('Исходные данные'!$B$32),IF(G93=3,N('Исходные данные'!$B$33),N('Исходные данные'!$B$33)*(1+N('Исходные данные'!$B$34))^(G93-3)))))</f>
        <v>0</v>
      </c>
      <c r="I93">
        <f>IF(OR(F93=0,N('Исходные данные'!$B$5)=0,H93=0),0,'Исходные данные'!$B$5*H93*IF(AND(B93&lt;='Исходные данные'!$B$30,C93&gt;='Исходные данные'!$B$30),(C93-'Исходные данные'!$B$30+1)/DAY(C93),1))</f>
        <v>0</v>
      </c>
      <c r="J93">
        <f>IF(AND(F93&gt;0,F93&lt;=N('Исходные данные'!$B$37)),-I93,0)</f>
        <v>0</v>
      </c>
      <c r="K93">
        <f>IF(OR(F93=0,F93&lt;=N('Исходные данные'!$B$37)),0,-(I93+J93)*N('Исходные данные'!$B$38))</f>
        <v>0</v>
      </c>
      <c r="L93">
        <f t="shared" si="43"/>
        <v>0</v>
      </c>
      <c r="M93">
        <f>IF('Исходные данные'!$B$51="Да",L93*N('Исходные данные'!$B$52),0)</f>
        <v>0</v>
      </c>
      <c r="N93">
        <f t="shared" si="44"/>
        <v>0</v>
      </c>
      <c r="O93">
        <f>IF(OR(B93="",IF('Исходные данные'!$B$45="",'Исходные данные'!$B$10,'Исходные данные'!$B$45)="",C93&lt;IF('Исходные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данные'!$B$45)),1),B93,"m")/12))*IF(AND(B93&lt;=IF('Исходные данные'!$B$45="",'Исходные данные'!$B$10,'Исходные данные'!$B$45),C93&gt;=IF('Исходные данные'!$B$45="",'Исходные данные'!$B$10,'Исходные данные'!$B$45)),(C93-IF('Исходные данные'!$B$45="",'Исходные данные'!$B$10,'Исходные данные'!$B$45)+1)/DAY(C93),1)*IF('Исходные данные'!$B$43="Без НДС",1+N('Исходные данные'!$B$44),1))</f>
        <v>0</v>
      </c>
      <c r="P93">
        <f>IF('Исходные данные'!$B$51="Да",-O93*N('Исходные данные'!$B$44)/(1+N('Исходные данные'!$B$44)),0)</f>
        <v>0</v>
      </c>
      <c r="Q93">
        <f>IF('Исходные данные'!$B$35="Да",-O93,0)</f>
        <v>0</v>
      </c>
      <c r="R93">
        <f>IF(AND('Исходные данные'!$B$51="Да",Q93&gt;0),Q93*N('Исходные данные'!$B$52)/(1+N('Исходные данные'!$B$52)),0)</f>
        <v>0</v>
      </c>
      <c r="S93">
        <f>IF(OR(B93="",IF('Исходные данные'!$B$45="",'Исходные данные'!$B$10,'Исходные данные'!$B$45)="",C93&lt;IF('Исходные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данные'!$B$45)),1),B93,"m")/12))*IF(AND(B93&lt;=IF('Исходные данные'!$B$45="",'Исходные данные'!$B$10,'Исходные данные'!$B$45),C93&gt;=IF('Исходные данные'!$B$45="",'Исходные данные'!$B$10,'Исходные данные'!$B$45)),(C93-IF('Исходные данные'!$B$45="",'Исходные данные'!$B$10,'Исходные данные'!$B$45)+1)/DAY(C93),1)*IF('Исходные данные'!$B$43="Без НДС",1+N('Исходные данные'!$B$44),1))</f>
        <v>0</v>
      </c>
      <c r="T93">
        <f>IF('Исходные данные'!$B$51="Да",-S93*N('Исходные данные'!$B$44)/(1+N('Исходные данные'!$B$44)),0)</f>
        <v>0</v>
      </c>
      <c r="U93">
        <f>IF('Исходные данные'!$B$36="Да",-S93,0)</f>
        <v>0</v>
      </c>
      <c r="V93">
        <f>IF(AND('Исходные данные'!$B$51="Да",U93&gt;0),U93*N('Исходные данные'!$B$52)/(1+N('Исходные данные'!$B$52)),0)</f>
        <v>0</v>
      </c>
      <c r="W93">
        <f>IF(OR(B93="",IF('Исходные данные'!$B$69="",'Исходные данные'!$B$10,'Исходные данные'!$B$69)="",C93&lt;IF('Исходные данные'!$B$69="",'Исходные данные'!$B$10,'Исходные данные'!$B$69)),0,-N('Исходные данные'!$B$16)*N('Исходные данные'!$B$68)*N('Исходные данные'!$B$67)/12*IF(AND(B93&lt;=IF('Исходные данные'!$B$69="",'Исходные данные'!$B$10,'Исходные данные'!$B$69),C93&gt;=IF('Исходные данные'!$B$69="",'Исходные данные'!$B$10,'Исходные данные'!$B$69)),(C93-IF('Исходные данные'!$B$69="",'Исходные данные'!$B$10,'Исходные данные'!$B$69)+1)/DAY(C93),1))</f>
        <v>0</v>
      </c>
      <c r="X93">
        <f>IF(OR(B93="",IF('Исходные данные'!$B$76="",'Исходные данные'!$B$10,'Исходные данные'!$B$76)="",C93&lt;IF('Исходные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данные'!$B$76)),1),B93,"m")/12))*IF(AND(B93&lt;=IF('Исходные данные'!$B$76="",'Исходные данные'!$B$10,'Исходные данные'!$B$76),C93&gt;=IF('Исходные данные'!$B$76="",'Исходные данные'!$B$10,'Исходные данные'!$B$76)),(C93-IF('Исходные данные'!$B$76="",'Исходные данные'!$B$10,'Исходные данные'!$B$76)+1)/DAY(C93),1))</f>
        <v>0</v>
      </c>
      <c r="Y93">
        <f t="shared" si="45"/>
        <v>0</v>
      </c>
      <c r="Z93">
        <f>IF(OR(B93="",N('Исходные данные'!$B$19)=0),0,-SUMIFS('Исходные данные'!$I$6:$I$186,'Исходные данные'!$F$6:$F$186,B93)*N('Исходные данные'!$B$17)/N('Исходные данные'!$B$19))</f>
        <v>0</v>
      </c>
      <c r="AA93">
        <f>IF(OR(B93="",N('Исходные данные'!$B$19)=0),0,-SUMIFS('Исходные данные'!$I$6:$I$186,'Исходные данные'!$F$6:$F$186,B93)*N('Исходные данные'!$B$18)/N('Исходные данные'!$B$19))</f>
        <v>0</v>
      </c>
      <c r="AB93">
        <f>IF(OR(B93="",'Исходные данные'!$B$13=""),0,IF(AND(YEAR(B93)=YEAR('Исходные данные'!$B$13),MONTH(B93)=MONTH('Исходные данные'!$B$13)),-N('Исходные данные'!$B$11),0))</f>
        <v>0</v>
      </c>
      <c r="AC93">
        <f>IF(A93=1,-N('Исходные данные'!$B$19)*N('Исходные данные'!$B$72),0)</f>
        <v>0</v>
      </c>
      <c r="AD93">
        <f>IF(OR(B93="",'Исходные данные'!$B$22&lt;&gt;"Да",'Исходные данные'!$B$26=""),0,IF(AND(YEAR(B93)=YEAR('Исходные данные'!$B$26),MONTH(B93)=MONTH('Исходные данные'!$B$26)),N('Исходные данные'!$B$23),0))</f>
        <v>0</v>
      </c>
      <c r="AE93">
        <f t="shared" si="58"/>
        <v>0</v>
      </c>
      <c r="AF93">
        <f>IF(OR('Исходные данные'!$B$22&lt;&gt;"Да",'Исходные данные'!$B$26="",C93&lt;'Исходные данные'!$B$26),0,DATEDIF(DATE(YEAR('Исходные данные'!$B$26),MONTH('Исходные данные'!$B$26),1),B93,"m")+1)</f>
        <v>0</v>
      </c>
      <c r="AG93">
        <f>IF(OR(AF93&lt;1,AF93&gt;N('Исходные данные'!$B$25),AE93+AD93&lt;=0),0,-(AE93+AD93)*N('Исходные данные'!$B$24)*IF(AF93=1,C93-'Исходные данные'!$B$26+1,DAY(C93))/365)</f>
        <v>0</v>
      </c>
      <c r="AH93">
        <f>IF(OR(AF93&lt;1,AF93&gt;N('Исходные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данные'!$B$25)-AG93))</f>
        <v>0</v>
      </c>
      <c r="AI93">
        <f>IF(OR('Исходные данные'!$B$22&lt;&gt;"Да",AE93+AD93&lt;=0),0,IF(AND('Исходные данные'!$B$91&lt;&gt;"",B93&lt;&gt;"",YEAR(B93)=YEAR('Исходные данные'!$B$91),MONTH(B93)=MONTH('Исходные данные'!$B$91)),-(AE93+AD93),IF(OR(AF93&lt;1,AF93&gt;N('Исходные данные'!$B$25)),0,IF('Исходные данные'!$B$27="Равными долями",-MIN(AE93+AD93,N('Исходные данные'!$B$23)/N('Исходные данные'!$B$25)),-MIN(AE93+AD93,IF(AF93=N('Исходные данные'!$B$25),AE93+AD93,MAX(0,AH93+AG93)))))))</f>
        <v>0</v>
      </c>
      <c r="AJ93">
        <f t="shared" si="46"/>
        <v>0</v>
      </c>
      <c r="AK93">
        <f t="shared" si="47"/>
        <v>0</v>
      </c>
      <c r="AL93">
        <f>IF(OR(B93="",'Исходные данные'!$B$51&lt;&gt;"Да",'Исходные данные'!$B$61=""),0,IF(AND(YEAR(B93)=YEAR('Исходные данные'!$B$61),MONTH(B93)=MONTH('Исходные данные'!$B$61)),N('Исходные данные'!$B$18)*N('Исходные данные'!$B$62),0))</f>
        <v>0</v>
      </c>
      <c r="AM93">
        <f t="shared" si="59"/>
        <v>0</v>
      </c>
      <c r="AN93">
        <f t="shared" si="48"/>
        <v>0</v>
      </c>
      <c r="AO93">
        <f t="shared" si="49"/>
        <v>0</v>
      </c>
      <c r="AP93">
        <f>IF('Исходные данные'!$B$51="Да",-MAX(0,AN93-AO93-AM93),0)</f>
        <v>0</v>
      </c>
      <c r="AQ93">
        <f>IF('Исходные данные'!$B$51="Да",MAX(0,AM93+AO93-AN93),0)</f>
        <v>0</v>
      </c>
      <c r="AR93">
        <f>IF('Исходные данные'!$B$53="Выручка",MAX(0,L93+(Q93-R93)+(U93-V93)),IF('Исходные данные'!$B$53="Прибыль до налога",MAX(0,L93+(Q93-R93)+(U93-V93)+N('Исходные данные'!$B$54)*((O93+P93)+(S93+T93)+W93+X93)+IF('Исходные данные'!$B$55="Да",AG93,0)-N('Исходные данные'!$B$56)/12),IF('Исходные данные'!$B$53="Пользовательская база",MAX(0,N('Исходные данные'!$B$57)/12),0)))</f>
        <v>0</v>
      </c>
      <c r="AS93">
        <f>IF(E93=1,-AR93*N('Исходные данные'!$B$50),0)</f>
        <v>0</v>
      </c>
      <c r="AT93">
        <f t="shared" si="50"/>
        <v>0</v>
      </c>
      <c r="AU93">
        <f>IF(OR(B93="",N('Исходные данные'!$B$80)&lt;=0,'Исходные данные'!$B$88=""),0,MAX(0,IF('Исходные данные'!$B$88="Последние 12 месяцев",SUMIFS($Y$2:$Y$194,$B$2:$B$194,"&gt;="&amp;EDATE(B93,-11),$B$2:$B$194,"&lt;="&amp;B93),IF('Исходные данные'!$B$88="Пользовательский NOI",N('Исходные данные'!$B$89),AT93))/N('Исходные данные'!$B$80)*(1+N('Исходные данные'!$B$81))))</f>
        <v>0</v>
      </c>
      <c r="AV93">
        <f>IF(OR(E93&lt;&gt;1,B93="",'Исходные данные'!$B$91=""),0,IF(AND(YEAR(B93)=YEAR('Исходные данные'!$B$91),MONTH(B93)=MONTH('Исходные данные'!$B$91)),AU93,0))</f>
        <v>0</v>
      </c>
      <c r="AW93">
        <f>-AV93*N('Исходные данные'!$B$73)</f>
        <v>0</v>
      </c>
      <c r="AX93">
        <f>IF(AV93=0,0,-N('Исходные данные'!$B$87)-IF('Исходные данные'!$B$82="Да",IF('Исходные данные'!$B$84="С выручки",AV93,IF('Исходные данные'!$B$84="С прибыли",MAX(0,AV93+AW93-IF('Исходные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93">
        <f t="shared" si="51"/>
        <v>0</v>
      </c>
      <c r="AZ93">
        <f t="shared" si="52"/>
        <v>0</v>
      </c>
      <c r="BA93">
        <f t="shared" si="53"/>
        <v>0</v>
      </c>
      <c r="BB93" t="str">
        <f t="shared" si="60"/>
        <v/>
      </c>
      <c r="BC93">
        <f>IF(OR(E93=0,'Исходные данные'!$B$9="",'Исходные данные'!$B$90=""),0,BA93/(1+'Исходные данные'!$B$90)^((D93-'Исходные данные'!$B$9)/365))</f>
        <v>0</v>
      </c>
      <c r="BD93">
        <f>IF(AND(E93=1,BB93&gt;=0,BB92&lt;0,MIN($BB$2:BB93)&lt;0),1,0)</f>
        <v>0</v>
      </c>
      <c r="BE93">
        <f t="shared" si="54"/>
        <v>0</v>
      </c>
      <c r="BF93">
        <f t="shared" si="55"/>
        <v>0</v>
      </c>
      <c r="BG93">
        <f t="shared" si="56"/>
        <v>0</v>
      </c>
      <c r="BH93">
        <f t="shared" si="57"/>
        <v>1</v>
      </c>
      <c r="BI93">
        <f>AZ93+N93+AP93-AR93*N('Исходные данные'!$B$50)</f>
        <v>0</v>
      </c>
      <c r="BJ93">
        <f t="shared" si="61"/>
        <v>0</v>
      </c>
      <c r="BK93">
        <f>IF(AND(BJ93&gt;=0,BJ92&lt;0,MIN($BJ$2:BJ93)&lt;0),1,0)</f>
        <v>0</v>
      </c>
    </row>
    <row r="94" spans="1:63" x14ac:dyDescent="0.2">
      <c r="A94">
        <v>93</v>
      </c>
      <c r="B94" t="str">
        <f>IF('Исходные данные'!$B$9="","",EDATE(DATE(YEAR('Исходные данные'!$B$9),MONTH('Исходные данные'!$B$9),1),A94-1))</f>
        <v/>
      </c>
      <c r="C94" t="str">
        <f t="shared" si="41"/>
        <v/>
      </c>
      <c r="D94" t="str">
        <f>IF(B94="","",IF('Исходные данные'!$B$91&lt;&gt;"",IF(AND(YEAR(B94)=YEAR('Исходные данные'!$B$91),MONTH(B94)=MONTH('Исходные данные'!$B$91)),'Исходные данные'!$B$91,IF('Исходные данные'!$B$13&lt;&gt;"",IF(AND(YEAR(B94)=YEAR('Исходные данные'!$B$13),MONTH(B94)=MONTH('Исходные данные'!$B$13)),'Исходные данные'!$B$13,IF('Исходные данные'!$B$26&lt;&gt;"",IF(AND(YEAR(B94)=YEAR('Исходные данные'!$B$26),MONTH(B94)=MONTH('Исходные данные'!$B$26)),'Исходные данные'!$B$26,IF(A94=1,'Исходные данные'!$B$9,C94)),IF(A94=1,'Исходные данные'!$B$9,C94))),IF('Исходные данные'!$B$26&lt;&gt;"",IF(AND(YEAR(B94)=YEAR('Исходные данные'!$B$26),MONTH(B94)=MONTH('Исходные данные'!$B$26)),'Исходные данные'!$B$26,IF(A94=1,'Исходные данные'!$B$9,C94)),IF(A94=1,'Исходные данные'!$B$9,C94)))),IF('Исходные данные'!$B$13&lt;&gt;"",IF(AND(YEAR(B94)=YEAR('Исходные данные'!$B$13),MONTH(B94)=MONTH('Исходные данные'!$B$13)),'Исходные данные'!$B$13,IF('Исходные данные'!$B$26&lt;&gt;"",IF(AND(YEAR(B94)=YEAR('Исходные данные'!$B$26),MONTH(B94)=MONTH('Исходные данные'!$B$26)),'Исходные данные'!$B$26,IF(A94=1,'Исходные данные'!$B$9,C94)),IF(A94=1,'Исходные данные'!$B$9,C94))),IF('Исходные данные'!$B$26&lt;&gt;"",IF(AND(YEAR(B94)=YEAR('Исходные данные'!$B$26),MONTH(B94)=MONTH('Исходные данные'!$B$26)),'Исходные данные'!$B$26,IF(A94=1,'Исходные данные'!$B$9,C94)),IF(A94=1,'Исходные данные'!$B$9,C94)))))</f>
        <v/>
      </c>
      <c r="E94">
        <f>IF(OR(B94="",'Исходные данные'!$B$91=""),0,--(B94&lt;=DATE(YEAR('Исходные данные'!$B$91),MONTH('Исходные данные'!$B$91),1)))</f>
        <v>0</v>
      </c>
      <c r="F94">
        <f>IF(OR(B94="",'Исходные данные'!$B$30="",C94&lt;'Исходные данные'!$B$30),0,DATEDIF(DATE(YEAR('Исходные данные'!$B$30),MONTH('Исходные данные'!$B$30),1),B94,"m")+1)</f>
        <v>0</v>
      </c>
      <c r="G94">
        <f t="shared" si="42"/>
        <v>0</v>
      </c>
      <c r="H94">
        <f>IF(F94=0,0,IF(G94=1,N('Исходные данные'!$B$31),IF(G94=2,N('Исходные данные'!$B$32),IF(G94=3,N('Исходные данные'!$B$33),N('Исходные данные'!$B$33)*(1+N('Исходные данные'!$B$34))^(G94-3)))))</f>
        <v>0</v>
      </c>
      <c r="I94">
        <f>IF(OR(F94=0,N('Исходные данные'!$B$5)=0,H94=0),0,'Исходные данные'!$B$5*H94*IF(AND(B94&lt;='Исходные данные'!$B$30,C94&gt;='Исходные данные'!$B$30),(C94-'Исходные данные'!$B$30+1)/DAY(C94),1))</f>
        <v>0</v>
      </c>
      <c r="J94">
        <f>IF(AND(F94&gt;0,F94&lt;=N('Исходные данные'!$B$37)),-I94,0)</f>
        <v>0</v>
      </c>
      <c r="K94">
        <f>IF(OR(F94=0,F94&lt;=N('Исходные данные'!$B$37)),0,-(I94+J94)*N('Исходные данные'!$B$38))</f>
        <v>0</v>
      </c>
      <c r="L94">
        <f t="shared" si="43"/>
        <v>0</v>
      </c>
      <c r="M94">
        <f>IF('Исходные данные'!$B$51="Да",L94*N('Исходные данные'!$B$52),0)</f>
        <v>0</v>
      </c>
      <c r="N94">
        <f t="shared" si="44"/>
        <v>0</v>
      </c>
      <c r="O94">
        <f>IF(OR(B94="",IF('Исходные данные'!$B$45="",'Исходные данные'!$B$10,'Исходные данные'!$B$45)="",C94&lt;IF('Исходные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данные'!$B$45)),1),B94,"m")/12))*IF(AND(B94&lt;=IF('Исходные данные'!$B$45="",'Исходные данные'!$B$10,'Исходные данные'!$B$45),C94&gt;=IF('Исходные данные'!$B$45="",'Исходные данные'!$B$10,'Исходные данные'!$B$45)),(C94-IF('Исходные данные'!$B$45="",'Исходные данные'!$B$10,'Исходные данные'!$B$45)+1)/DAY(C94),1)*IF('Исходные данные'!$B$43="Без НДС",1+N('Исходные данные'!$B$44),1))</f>
        <v>0</v>
      </c>
      <c r="P94">
        <f>IF('Исходные данные'!$B$51="Да",-O94*N('Исходные данные'!$B$44)/(1+N('Исходные данные'!$B$44)),0)</f>
        <v>0</v>
      </c>
      <c r="Q94">
        <f>IF('Исходные данные'!$B$35="Да",-O94,0)</f>
        <v>0</v>
      </c>
      <c r="R94">
        <f>IF(AND('Исходные данные'!$B$51="Да",Q94&gt;0),Q94*N('Исходные данные'!$B$52)/(1+N('Исходные данные'!$B$52)),0)</f>
        <v>0</v>
      </c>
      <c r="S94">
        <f>IF(OR(B94="",IF('Исходные данные'!$B$45="",'Исходные данные'!$B$10,'Исходные данные'!$B$45)="",C94&lt;IF('Исходные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данные'!$B$45)),1),B94,"m")/12))*IF(AND(B94&lt;=IF('Исходные данные'!$B$45="",'Исходные данные'!$B$10,'Исходные данные'!$B$45),C94&gt;=IF('Исходные данные'!$B$45="",'Исходные данные'!$B$10,'Исходные данные'!$B$45)),(C94-IF('Исходные данные'!$B$45="",'Исходные данные'!$B$10,'Исходные данные'!$B$45)+1)/DAY(C94),1)*IF('Исходные данные'!$B$43="Без НДС",1+N('Исходные данные'!$B$44),1))</f>
        <v>0</v>
      </c>
      <c r="T94">
        <f>IF('Исходные данные'!$B$51="Да",-S94*N('Исходные данные'!$B$44)/(1+N('Исходные данные'!$B$44)),0)</f>
        <v>0</v>
      </c>
      <c r="U94">
        <f>IF('Исходные данные'!$B$36="Да",-S94,0)</f>
        <v>0</v>
      </c>
      <c r="V94">
        <f>IF(AND('Исходные данные'!$B$51="Да",U94&gt;0),U94*N('Исходные данные'!$B$52)/(1+N('Исходные данные'!$B$52)),0)</f>
        <v>0</v>
      </c>
      <c r="W94">
        <f>IF(OR(B94="",IF('Исходные данные'!$B$69="",'Исходные данные'!$B$10,'Исходные данные'!$B$69)="",C94&lt;IF('Исходные данные'!$B$69="",'Исходные данные'!$B$10,'Исходные данные'!$B$69)),0,-N('Исходные данные'!$B$16)*N('Исходные данные'!$B$68)*N('Исходные данные'!$B$67)/12*IF(AND(B94&lt;=IF('Исходные данные'!$B$69="",'Исходные данные'!$B$10,'Исходные данные'!$B$69),C94&gt;=IF('Исходные данные'!$B$69="",'Исходные данные'!$B$10,'Исходные данные'!$B$69)),(C94-IF('Исходные данные'!$B$69="",'Исходные данные'!$B$10,'Исходные данные'!$B$69)+1)/DAY(C94),1))</f>
        <v>0</v>
      </c>
      <c r="X94">
        <f>IF(OR(B94="",IF('Исходные данные'!$B$76="",'Исходные данные'!$B$10,'Исходные данные'!$B$76)="",C94&lt;IF('Исходные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данные'!$B$76)),1),B94,"m")/12))*IF(AND(B94&lt;=IF('Исходные данные'!$B$76="",'Исходные данные'!$B$10,'Исходные данные'!$B$76),C94&gt;=IF('Исходные данные'!$B$76="",'Исходные данные'!$B$10,'Исходные данные'!$B$76)),(C94-IF('Исходные данные'!$B$76="",'Исходные данные'!$B$10,'Исходные данные'!$B$76)+1)/DAY(C94),1))</f>
        <v>0</v>
      </c>
      <c r="Y94">
        <f t="shared" si="45"/>
        <v>0</v>
      </c>
      <c r="Z94">
        <f>IF(OR(B94="",N('Исходные данные'!$B$19)=0),0,-SUMIFS('Исходные данные'!$I$6:$I$186,'Исходные данные'!$F$6:$F$186,B94)*N('Исходные данные'!$B$17)/N('Исходные данные'!$B$19))</f>
        <v>0</v>
      </c>
      <c r="AA94">
        <f>IF(OR(B94="",N('Исходные данные'!$B$19)=0),0,-SUMIFS('Исходные данные'!$I$6:$I$186,'Исходные данные'!$F$6:$F$186,B94)*N('Исходные данные'!$B$18)/N('Исходные данные'!$B$19))</f>
        <v>0</v>
      </c>
      <c r="AB94">
        <f>IF(OR(B94="",'Исходные данные'!$B$13=""),0,IF(AND(YEAR(B94)=YEAR('Исходные данные'!$B$13),MONTH(B94)=MONTH('Исходные данные'!$B$13)),-N('Исходные данные'!$B$11),0))</f>
        <v>0</v>
      </c>
      <c r="AC94">
        <f>IF(A94=1,-N('Исходные данные'!$B$19)*N('Исходные данные'!$B$72),0)</f>
        <v>0</v>
      </c>
      <c r="AD94">
        <f>IF(OR(B94="",'Исходные данные'!$B$22&lt;&gt;"Да",'Исходные данные'!$B$26=""),0,IF(AND(YEAR(B94)=YEAR('Исходные данные'!$B$26),MONTH(B94)=MONTH('Исходные данные'!$B$26)),N('Исходные данные'!$B$23),0))</f>
        <v>0</v>
      </c>
      <c r="AE94">
        <f t="shared" si="58"/>
        <v>0</v>
      </c>
      <c r="AF94">
        <f>IF(OR('Исходные данные'!$B$22&lt;&gt;"Да",'Исходные данные'!$B$26="",C94&lt;'Исходные данные'!$B$26),0,DATEDIF(DATE(YEAR('Исходные данные'!$B$26),MONTH('Исходные данные'!$B$26),1),B94,"m")+1)</f>
        <v>0</v>
      </c>
      <c r="AG94">
        <f>IF(OR(AF94&lt;1,AF94&gt;N('Исходные данные'!$B$25),AE94+AD94&lt;=0),0,-(AE94+AD94)*N('Исходные данные'!$B$24)*IF(AF94=1,C94-'Исходные данные'!$B$26+1,DAY(C94))/365)</f>
        <v>0</v>
      </c>
      <c r="AH94">
        <f>IF(OR(AF94&lt;1,AF94&gt;N('Исходные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данные'!$B$25)-AG94))</f>
        <v>0</v>
      </c>
      <c r="AI94">
        <f>IF(OR('Исходные данные'!$B$22&lt;&gt;"Да",AE94+AD94&lt;=0),0,IF(AND('Исходные данные'!$B$91&lt;&gt;"",B94&lt;&gt;"",YEAR(B94)=YEAR('Исходные данные'!$B$91),MONTH(B94)=MONTH('Исходные данные'!$B$91)),-(AE94+AD94),IF(OR(AF94&lt;1,AF94&gt;N('Исходные данные'!$B$25)),0,IF('Исходные данные'!$B$27="Равными долями",-MIN(AE94+AD94,N('Исходные данные'!$B$23)/N('Исходные данные'!$B$25)),-MIN(AE94+AD94,IF(AF94=N('Исходные данные'!$B$25),AE94+AD94,MAX(0,AH94+AG94)))))))</f>
        <v>0</v>
      </c>
      <c r="AJ94">
        <f t="shared" si="46"/>
        <v>0</v>
      </c>
      <c r="AK94">
        <f t="shared" si="47"/>
        <v>0</v>
      </c>
      <c r="AL94">
        <f>IF(OR(B94="",'Исходные данные'!$B$51&lt;&gt;"Да",'Исходные данные'!$B$61=""),0,IF(AND(YEAR(B94)=YEAR('Исходные данные'!$B$61),MONTH(B94)=MONTH('Исходные данные'!$B$61)),N('Исходные данные'!$B$18)*N('Исходные данные'!$B$62),0))</f>
        <v>0</v>
      </c>
      <c r="AM94">
        <f t="shared" si="59"/>
        <v>0</v>
      </c>
      <c r="AN94">
        <f t="shared" si="48"/>
        <v>0</v>
      </c>
      <c r="AO94">
        <f t="shared" si="49"/>
        <v>0</v>
      </c>
      <c r="AP94">
        <f>IF('Исходные данные'!$B$51="Да",-MAX(0,AN94-AO94-AM94),0)</f>
        <v>0</v>
      </c>
      <c r="AQ94">
        <f>IF('Исходные данные'!$B$51="Да",MAX(0,AM94+AO94-AN94),0)</f>
        <v>0</v>
      </c>
      <c r="AR94">
        <f>IF('Исходные данные'!$B$53="Выручка",MAX(0,L94+(Q94-R94)+(U94-V94)),IF('Исходные данные'!$B$53="Прибыль до налога",MAX(0,L94+(Q94-R94)+(U94-V94)+N('Исходные данные'!$B$54)*((O94+P94)+(S94+T94)+W94+X94)+IF('Исходные данные'!$B$55="Да",AG94,0)-N('Исходные данные'!$B$56)/12),IF('Исходные данные'!$B$53="Пользовательская база",MAX(0,N('Исходные данные'!$B$57)/12),0)))</f>
        <v>0</v>
      </c>
      <c r="AS94">
        <f>IF(E94=1,-AR94*N('Исходные данные'!$B$50),0)</f>
        <v>0</v>
      </c>
      <c r="AT94">
        <f t="shared" si="50"/>
        <v>0</v>
      </c>
      <c r="AU94">
        <f>IF(OR(B94="",N('Исходные данные'!$B$80)&lt;=0,'Исходные данные'!$B$88=""),0,MAX(0,IF('Исходные данные'!$B$88="Последние 12 месяцев",SUMIFS($Y$2:$Y$194,$B$2:$B$194,"&gt;="&amp;EDATE(B94,-11),$B$2:$B$194,"&lt;="&amp;B94),IF('Исходные данные'!$B$88="Пользовательский NOI",N('Исходные данные'!$B$89),AT94))/N('Исходные данные'!$B$80)*(1+N('Исходные данные'!$B$81))))</f>
        <v>0</v>
      </c>
      <c r="AV94">
        <f>IF(OR(E94&lt;&gt;1,B94="",'Исходные данные'!$B$91=""),0,IF(AND(YEAR(B94)=YEAR('Исходные данные'!$B$91),MONTH(B94)=MONTH('Исходные данные'!$B$91)),AU94,0))</f>
        <v>0</v>
      </c>
      <c r="AW94">
        <f>-AV94*N('Исходные данные'!$B$73)</f>
        <v>0</v>
      </c>
      <c r="AX94">
        <f>IF(AV94=0,0,-N('Исходные данные'!$B$87)-IF('Исходные данные'!$B$82="Да",IF('Исходные данные'!$B$84="С выручки",AV94,IF('Исходные данные'!$B$84="С прибыли",MAX(0,AV94+AW94-IF('Исходные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94">
        <f t="shared" si="51"/>
        <v>0</v>
      </c>
      <c r="AZ94">
        <f t="shared" si="52"/>
        <v>0</v>
      </c>
      <c r="BA94">
        <f t="shared" si="53"/>
        <v>0</v>
      </c>
      <c r="BB94" t="str">
        <f t="shared" si="60"/>
        <v/>
      </c>
      <c r="BC94">
        <f>IF(OR(E94=0,'Исходные данные'!$B$9="",'Исходные данные'!$B$90=""),0,BA94/(1+'Исходные данные'!$B$90)^((D94-'Исходные данные'!$B$9)/365))</f>
        <v>0</v>
      </c>
      <c r="BD94">
        <f>IF(AND(E94=1,BB94&gt;=0,BB93&lt;0,MIN($BB$2:BB94)&lt;0),1,0)</f>
        <v>0</v>
      </c>
      <c r="BE94">
        <f t="shared" si="54"/>
        <v>0</v>
      </c>
      <c r="BF94">
        <f t="shared" si="55"/>
        <v>0</v>
      </c>
      <c r="BG94">
        <f t="shared" si="56"/>
        <v>0</v>
      </c>
      <c r="BH94">
        <f t="shared" si="57"/>
        <v>1</v>
      </c>
      <c r="BI94">
        <f>AZ94+N94+AP94-AR94*N('Исходные данные'!$B$50)</f>
        <v>0</v>
      </c>
      <c r="BJ94">
        <f t="shared" si="61"/>
        <v>0</v>
      </c>
      <c r="BK94">
        <f>IF(AND(BJ94&gt;=0,BJ93&lt;0,MIN($BJ$2:BJ94)&lt;0),1,0)</f>
        <v>0</v>
      </c>
    </row>
    <row r="95" spans="1:63" x14ac:dyDescent="0.2">
      <c r="A95">
        <v>94</v>
      </c>
      <c r="B95" t="str">
        <f>IF('Исходные данные'!$B$9="","",EDATE(DATE(YEAR('Исходные данные'!$B$9),MONTH('Исходные данные'!$B$9),1),A95-1))</f>
        <v/>
      </c>
      <c r="C95" t="str">
        <f t="shared" si="41"/>
        <v/>
      </c>
      <c r="D95" t="str">
        <f>IF(B95="","",IF('Исходные данные'!$B$91&lt;&gt;"",IF(AND(YEAR(B95)=YEAR('Исходные данные'!$B$91),MONTH(B95)=MONTH('Исходные данные'!$B$91)),'Исходные данные'!$B$91,IF('Исходные данные'!$B$13&lt;&gt;"",IF(AND(YEAR(B95)=YEAR('Исходные данные'!$B$13),MONTH(B95)=MONTH('Исходные данные'!$B$13)),'Исходные данные'!$B$13,IF('Исходные данные'!$B$26&lt;&gt;"",IF(AND(YEAR(B95)=YEAR('Исходные данные'!$B$26),MONTH(B95)=MONTH('Исходные данные'!$B$26)),'Исходные данные'!$B$26,IF(A95=1,'Исходные данные'!$B$9,C95)),IF(A95=1,'Исходные данные'!$B$9,C95))),IF('Исходные данные'!$B$26&lt;&gt;"",IF(AND(YEAR(B95)=YEAR('Исходные данные'!$B$26),MONTH(B95)=MONTH('Исходные данные'!$B$26)),'Исходные данные'!$B$26,IF(A95=1,'Исходные данные'!$B$9,C95)),IF(A95=1,'Исходные данные'!$B$9,C95)))),IF('Исходные данные'!$B$13&lt;&gt;"",IF(AND(YEAR(B95)=YEAR('Исходные данные'!$B$13),MONTH(B95)=MONTH('Исходные данные'!$B$13)),'Исходные данные'!$B$13,IF('Исходные данные'!$B$26&lt;&gt;"",IF(AND(YEAR(B95)=YEAR('Исходные данные'!$B$26),MONTH(B95)=MONTH('Исходные данные'!$B$26)),'Исходные данные'!$B$26,IF(A95=1,'Исходные данные'!$B$9,C95)),IF(A95=1,'Исходные данные'!$B$9,C95))),IF('Исходные данные'!$B$26&lt;&gt;"",IF(AND(YEAR(B95)=YEAR('Исходные данные'!$B$26),MONTH(B95)=MONTH('Исходные данные'!$B$26)),'Исходные данные'!$B$26,IF(A95=1,'Исходные данные'!$B$9,C95)),IF(A95=1,'Исходные данные'!$B$9,C95)))))</f>
        <v/>
      </c>
      <c r="E95">
        <f>IF(OR(B95="",'Исходные данные'!$B$91=""),0,--(B95&lt;=DATE(YEAR('Исходные данные'!$B$91),MONTH('Исходные данные'!$B$91),1)))</f>
        <v>0</v>
      </c>
      <c r="F95">
        <f>IF(OR(B95="",'Исходные данные'!$B$30="",C95&lt;'Исходные данные'!$B$30),0,DATEDIF(DATE(YEAR('Исходные данные'!$B$30),MONTH('Исходные данные'!$B$30),1),B95,"m")+1)</f>
        <v>0</v>
      </c>
      <c r="G95">
        <f t="shared" si="42"/>
        <v>0</v>
      </c>
      <c r="H95">
        <f>IF(F95=0,0,IF(G95=1,N('Исходные данные'!$B$31),IF(G95=2,N('Исходные данные'!$B$32),IF(G95=3,N('Исходные данные'!$B$33),N('Исходные данные'!$B$33)*(1+N('Исходные данные'!$B$34))^(G95-3)))))</f>
        <v>0</v>
      </c>
      <c r="I95">
        <f>IF(OR(F95=0,N('Исходные данные'!$B$5)=0,H95=0),0,'Исходные данные'!$B$5*H95*IF(AND(B95&lt;='Исходные данные'!$B$30,C95&gt;='Исходные данные'!$B$30),(C95-'Исходные данные'!$B$30+1)/DAY(C95),1))</f>
        <v>0</v>
      </c>
      <c r="J95">
        <f>IF(AND(F95&gt;0,F95&lt;=N('Исходные данные'!$B$37)),-I95,0)</f>
        <v>0</v>
      </c>
      <c r="K95">
        <f>IF(OR(F95=0,F95&lt;=N('Исходные данные'!$B$37)),0,-(I95+J95)*N('Исходные данные'!$B$38))</f>
        <v>0</v>
      </c>
      <c r="L95">
        <f t="shared" si="43"/>
        <v>0</v>
      </c>
      <c r="M95">
        <f>IF('Исходные данные'!$B$51="Да",L95*N('Исходные данные'!$B$52),0)</f>
        <v>0</v>
      </c>
      <c r="N95">
        <f t="shared" si="44"/>
        <v>0</v>
      </c>
      <c r="O95">
        <f>IF(OR(B95="",IF('Исходные данные'!$B$45="",'Исходные данные'!$B$10,'Исходные данные'!$B$45)="",C95&lt;IF('Исходные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данные'!$B$45)),1),B95,"m")/12))*IF(AND(B95&lt;=IF('Исходные данные'!$B$45="",'Исходные данные'!$B$10,'Исходные данные'!$B$45),C95&gt;=IF('Исходные данные'!$B$45="",'Исходные данные'!$B$10,'Исходные данные'!$B$45)),(C95-IF('Исходные данные'!$B$45="",'Исходные данные'!$B$10,'Исходные данные'!$B$45)+1)/DAY(C95),1)*IF('Исходные данные'!$B$43="Без НДС",1+N('Исходные данные'!$B$44),1))</f>
        <v>0</v>
      </c>
      <c r="P95">
        <f>IF('Исходные данные'!$B$51="Да",-O95*N('Исходные данные'!$B$44)/(1+N('Исходные данные'!$B$44)),0)</f>
        <v>0</v>
      </c>
      <c r="Q95">
        <f>IF('Исходные данные'!$B$35="Да",-O95,0)</f>
        <v>0</v>
      </c>
      <c r="R95">
        <f>IF(AND('Исходные данные'!$B$51="Да",Q95&gt;0),Q95*N('Исходные данные'!$B$52)/(1+N('Исходные данные'!$B$52)),0)</f>
        <v>0</v>
      </c>
      <c r="S95">
        <f>IF(OR(B95="",IF('Исходные данные'!$B$45="",'Исходные данные'!$B$10,'Исходные данные'!$B$45)="",C95&lt;IF('Исходные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данные'!$B$45)),1),B95,"m")/12))*IF(AND(B95&lt;=IF('Исходные данные'!$B$45="",'Исходные данные'!$B$10,'Исходные данные'!$B$45),C95&gt;=IF('Исходные данные'!$B$45="",'Исходные данные'!$B$10,'Исходные данные'!$B$45)),(C95-IF('Исходные данные'!$B$45="",'Исходные данные'!$B$10,'Исходные данные'!$B$45)+1)/DAY(C95),1)*IF('Исходные данные'!$B$43="Без НДС",1+N('Исходные данные'!$B$44),1))</f>
        <v>0</v>
      </c>
      <c r="T95">
        <f>IF('Исходные данные'!$B$51="Да",-S95*N('Исходные данные'!$B$44)/(1+N('Исходные данные'!$B$44)),0)</f>
        <v>0</v>
      </c>
      <c r="U95">
        <f>IF('Исходные данные'!$B$36="Да",-S95,0)</f>
        <v>0</v>
      </c>
      <c r="V95">
        <f>IF(AND('Исходные данные'!$B$51="Да",U95&gt;0),U95*N('Исходные данные'!$B$52)/(1+N('Исходные данные'!$B$52)),0)</f>
        <v>0</v>
      </c>
      <c r="W95">
        <f>IF(OR(B95="",IF('Исходные данные'!$B$69="",'Исходные данные'!$B$10,'Исходные данные'!$B$69)="",C95&lt;IF('Исходные данные'!$B$69="",'Исходные данные'!$B$10,'Исходные данные'!$B$69)),0,-N('Исходные данные'!$B$16)*N('Исходные данные'!$B$68)*N('Исходные данные'!$B$67)/12*IF(AND(B95&lt;=IF('Исходные данные'!$B$69="",'Исходные данные'!$B$10,'Исходные данные'!$B$69),C95&gt;=IF('Исходные данные'!$B$69="",'Исходные данные'!$B$10,'Исходные данные'!$B$69)),(C95-IF('Исходные данные'!$B$69="",'Исходные данные'!$B$10,'Исходные данные'!$B$69)+1)/DAY(C95),1))</f>
        <v>0</v>
      </c>
      <c r="X95">
        <f>IF(OR(B95="",IF('Исходные данные'!$B$76="",'Исходные данные'!$B$10,'Исходные данные'!$B$76)="",C95&lt;IF('Исходные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данные'!$B$76)),1),B95,"m")/12))*IF(AND(B95&lt;=IF('Исходные данные'!$B$76="",'Исходные данные'!$B$10,'Исходные данные'!$B$76),C95&gt;=IF('Исходные данные'!$B$76="",'Исходные данные'!$B$10,'Исходные данные'!$B$76)),(C95-IF('Исходные данные'!$B$76="",'Исходные данные'!$B$10,'Исходные данные'!$B$76)+1)/DAY(C95),1))</f>
        <v>0</v>
      </c>
      <c r="Y95">
        <f t="shared" si="45"/>
        <v>0</v>
      </c>
      <c r="Z95">
        <f>IF(OR(B95="",N('Исходные данные'!$B$19)=0),0,-SUMIFS('Исходные данные'!$I$6:$I$186,'Исходные данные'!$F$6:$F$186,B95)*N('Исходные данные'!$B$17)/N('Исходные данные'!$B$19))</f>
        <v>0</v>
      </c>
      <c r="AA95">
        <f>IF(OR(B95="",N('Исходные данные'!$B$19)=0),0,-SUMIFS('Исходные данные'!$I$6:$I$186,'Исходные данные'!$F$6:$F$186,B95)*N('Исходные данные'!$B$18)/N('Исходные данные'!$B$19))</f>
        <v>0</v>
      </c>
      <c r="AB95">
        <f>IF(OR(B95="",'Исходные данные'!$B$13=""),0,IF(AND(YEAR(B95)=YEAR('Исходные данные'!$B$13),MONTH(B95)=MONTH('Исходные данные'!$B$13)),-N('Исходные данные'!$B$11),0))</f>
        <v>0</v>
      </c>
      <c r="AC95">
        <f>IF(A95=1,-N('Исходные данные'!$B$19)*N('Исходные данные'!$B$72),0)</f>
        <v>0</v>
      </c>
      <c r="AD95">
        <f>IF(OR(B95="",'Исходные данные'!$B$22&lt;&gt;"Да",'Исходные данные'!$B$26=""),0,IF(AND(YEAR(B95)=YEAR('Исходные данные'!$B$26),MONTH(B95)=MONTH('Исходные данные'!$B$26)),N('Исходные данные'!$B$23),0))</f>
        <v>0</v>
      </c>
      <c r="AE95">
        <f t="shared" si="58"/>
        <v>0</v>
      </c>
      <c r="AF95">
        <f>IF(OR('Исходные данные'!$B$22&lt;&gt;"Да",'Исходные данные'!$B$26="",C95&lt;'Исходные данные'!$B$26),0,DATEDIF(DATE(YEAR('Исходные данные'!$B$26),MONTH('Исходные данные'!$B$26),1),B95,"m")+1)</f>
        <v>0</v>
      </c>
      <c r="AG95">
        <f>IF(OR(AF95&lt;1,AF95&gt;N('Исходные данные'!$B$25),AE95+AD95&lt;=0),0,-(AE95+AD95)*N('Исходные данные'!$B$24)*IF(AF95=1,C95-'Исходные данные'!$B$26+1,DAY(C95))/365)</f>
        <v>0</v>
      </c>
      <c r="AH95">
        <f>IF(OR(AF95&lt;1,AF95&gt;N('Исходные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данные'!$B$25)-AG95))</f>
        <v>0</v>
      </c>
      <c r="AI95">
        <f>IF(OR('Исходные данные'!$B$22&lt;&gt;"Да",AE95+AD95&lt;=0),0,IF(AND('Исходные данные'!$B$91&lt;&gt;"",B95&lt;&gt;"",YEAR(B95)=YEAR('Исходные данные'!$B$91),MONTH(B95)=MONTH('Исходные данные'!$B$91)),-(AE95+AD95),IF(OR(AF95&lt;1,AF95&gt;N('Исходные данные'!$B$25)),0,IF('Исходные данные'!$B$27="Равными долями",-MIN(AE95+AD95,N('Исходные данные'!$B$23)/N('Исходные данные'!$B$25)),-MIN(AE95+AD95,IF(AF95=N('Исходные данные'!$B$25),AE95+AD95,MAX(0,AH95+AG95)))))))</f>
        <v>0</v>
      </c>
      <c r="AJ95">
        <f t="shared" si="46"/>
        <v>0</v>
      </c>
      <c r="AK95">
        <f t="shared" si="47"/>
        <v>0</v>
      </c>
      <c r="AL95">
        <f>IF(OR(B95="",'Исходные данные'!$B$51&lt;&gt;"Да",'Исходные данные'!$B$61=""),0,IF(AND(YEAR(B95)=YEAR('Исходные данные'!$B$61),MONTH(B95)=MONTH('Исходные данные'!$B$61)),N('Исходные данные'!$B$18)*N('Исходные данные'!$B$62),0))</f>
        <v>0</v>
      </c>
      <c r="AM95">
        <f t="shared" si="59"/>
        <v>0</v>
      </c>
      <c r="AN95">
        <f t="shared" si="48"/>
        <v>0</v>
      </c>
      <c r="AO95">
        <f t="shared" si="49"/>
        <v>0</v>
      </c>
      <c r="AP95">
        <f>IF('Исходные данные'!$B$51="Да",-MAX(0,AN95-AO95-AM95),0)</f>
        <v>0</v>
      </c>
      <c r="AQ95">
        <f>IF('Исходные данные'!$B$51="Да",MAX(0,AM95+AO95-AN95),0)</f>
        <v>0</v>
      </c>
      <c r="AR95">
        <f>IF('Исходные данные'!$B$53="Выручка",MAX(0,L95+(Q95-R95)+(U95-V95)),IF('Исходные данные'!$B$53="Прибыль до налога",MAX(0,L95+(Q95-R95)+(U95-V95)+N('Исходные данные'!$B$54)*((O95+P95)+(S95+T95)+W95+X95)+IF('Исходные данные'!$B$55="Да",AG95,0)-N('Исходные данные'!$B$56)/12),IF('Исходные данные'!$B$53="Пользовательская база",MAX(0,N('Исходные данные'!$B$57)/12),0)))</f>
        <v>0</v>
      </c>
      <c r="AS95">
        <f>IF(E95=1,-AR95*N('Исходные данные'!$B$50),0)</f>
        <v>0</v>
      </c>
      <c r="AT95">
        <f t="shared" si="50"/>
        <v>0</v>
      </c>
      <c r="AU95">
        <f>IF(OR(B95="",N('Исходные данные'!$B$80)&lt;=0,'Исходные данные'!$B$88=""),0,MAX(0,IF('Исходные данные'!$B$88="Последние 12 месяцев",SUMIFS($Y$2:$Y$194,$B$2:$B$194,"&gt;="&amp;EDATE(B95,-11),$B$2:$B$194,"&lt;="&amp;B95),IF('Исходные данные'!$B$88="Пользовательский NOI",N('Исходные данные'!$B$89),AT95))/N('Исходные данные'!$B$80)*(1+N('Исходные данные'!$B$81))))</f>
        <v>0</v>
      </c>
      <c r="AV95">
        <f>IF(OR(E95&lt;&gt;1,B95="",'Исходные данные'!$B$91=""),0,IF(AND(YEAR(B95)=YEAR('Исходные данные'!$B$91),MONTH(B95)=MONTH('Исходные данные'!$B$91)),AU95,0))</f>
        <v>0</v>
      </c>
      <c r="AW95">
        <f>-AV95*N('Исходные данные'!$B$73)</f>
        <v>0</v>
      </c>
      <c r="AX95">
        <f>IF(AV95=0,0,-N('Исходные данные'!$B$87)-IF('Исходные данные'!$B$82="Да",IF('Исходные данные'!$B$84="С выручки",AV95,IF('Исходные данные'!$B$84="С прибыли",MAX(0,AV95+AW95-IF('Исходные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95">
        <f t="shared" si="51"/>
        <v>0</v>
      </c>
      <c r="AZ95">
        <f t="shared" si="52"/>
        <v>0</v>
      </c>
      <c r="BA95">
        <f t="shared" si="53"/>
        <v>0</v>
      </c>
      <c r="BB95" t="str">
        <f t="shared" si="60"/>
        <v/>
      </c>
      <c r="BC95">
        <f>IF(OR(E95=0,'Исходные данные'!$B$9="",'Исходные данные'!$B$90=""),0,BA95/(1+'Исходные данные'!$B$90)^((D95-'Исходные данные'!$B$9)/365))</f>
        <v>0</v>
      </c>
      <c r="BD95">
        <f>IF(AND(E95=1,BB95&gt;=0,BB94&lt;0,MIN($BB$2:BB95)&lt;0),1,0)</f>
        <v>0</v>
      </c>
      <c r="BE95">
        <f t="shared" si="54"/>
        <v>0</v>
      </c>
      <c r="BF95">
        <f t="shared" si="55"/>
        <v>0</v>
      </c>
      <c r="BG95">
        <f t="shared" si="56"/>
        <v>0</v>
      </c>
      <c r="BH95">
        <f t="shared" si="57"/>
        <v>1</v>
      </c>
      <c r="BI95">
        <f>AZ95+N95+AP95-AR95*N('Исходные данные'!$B$50)</f>
        <v>0</v>
      </c>
      <c r="BJ95">
        <f t="shared" si="61"/>
        <v>0</v>
      </c>
      <c r="BK95">
        <f>IF(AND(BJ95&gt;=0,BJ94&lt;0,MIN($BJ$2:BJ95)&lt;0),1,0)</f>
        <v>0</v>
      </c>
    </row>
    <row r="96" spans="1:63" x14ac:dyDescent="0.2">
      <c r="A96">
        <v>95</v>
      </c>
      <c r="B96" t="str">
        <f>IF('Исходные данные'!$B$9="","",EDATE(DATE(YEAR('Исходные данные'!$B$9),MONTH('Исходные данные'!$B$9),1),A96-1))</f>
        <v/>
      </c>
      <c r="C96" t="str">
        <f t="shared" si="41"/>
        <v/>
      </c>
      <c r="D96" t="str">
        <f>IF(B96="","",IF('Исходные данные'!$B$91&lt;&gt;"",IF(AND(YEAR(B96)=YEAR('Исходные данные'!$B$91),MONTH(B96)=MONTH('Исходные данные'!$B$91)),'Исходные данные'!$B$91,IF('Исходные данные'!$B$13&lt;&gt;"",IF(AND(YEAR(B96)=YEAR('Исходные данные'!$B$13),MONTH(B96)=MONTH('Исходные данные'!$B$13)),'Исходные данные'!$B$13,IF('Исходные данные'!$B$26&lt;&gt;"",IF(AND(YEAR(B96)=YEAR('Исходные данные'!$B$26),MONTH(B96)=MONTH('Исходные данные'!$B$26)),'Исходные данные'!$B$26,IF(A96=1,'Исходные данные'!$B$9,C96)),IF(A96=1,'Исходные данные'!$B$9,C96))),IF('Исходные данные'!$B$26&lt;&gt;"",IF(AND(YEAR(B96)=YEAR('Исходные данные'!$B$26),MONTH(B96)=MONTH('Исходные данные'!$B$26)),'Исходные данные'!$B$26,IF(A96=1,'Исходные данные'!$B$9,C96)),IF(A96=1,'Исходные данные'!$B$9,C96)))),IF('Исходные данные'!$B$13&lt;&gt;"",IF(AND(YEAR(B96)=YEAR('Исходные данные'!$B$13),MONTH(B96)=MONTH('Исходные данные'!$B$13)),'Исходные данные'!$B$13,IF('Исходные данные'!$B$26&lt;&gt;"",IF(AND(YEAR(B96)=YEAR('Исходные данные'!$B$26),MONTH(B96)=MONTH('Исходные данные'!$B$26)),'Исходные данные'!$B$26,IF(A96=1,'Исходные данные'!$B$9,C96)),IF(A96=1,'Исходные данные'!$B$9,C96))),IF('Исходные данные'!$B$26&lt;&gt;"",IF(AND(YEAR(B96)=YEAR('Исходные данные'!$B$26),MONTH(B96)=MONTH('Исходные данные'!$B$26)),'Исходные данные'!$B$26,IF(A96=1,'Исходные данные'!$B$9,C96)),IF(A96=1,'Исходные данные'!$B$9,C96)))))</f>
        <v/>
      </c>
      <c r="E96">
        <f>IF(OR(B96="",'Исходные данные'!$B$91=""),0,--(B96&lt;=DATE(YEAR('Исходные данные'!$B$91),MONTH('Исходные данные'!$B$91),1)))</f>
        <v>0</v>
      </c>
      <c r="F96">
        <f>IF(OR(B96="",'Исходные данные'!$B$30="",C96&lt;'Исходные данные'!$B$30),0,DATEDIF(DATE(YEAR('Исходные данные'!$B$30),MONTH('Исходные данные'!$B$30),1),B96,"m")+1)</f>
        <v>0</v>
      </c>
      <c r="G96">
        <f t="shared" si="42"/>
        <v>0</v>
      </c>
      <c r="H96">
        <f>IF(F96=0,0,IF(G96=1,N('Исходные данные'!$B$31),IF(G96=2,N('Исходные данные'!$B$32),IF(G96=3,N('Исходные данные'!$B$33),N('Исходные данные'!$B$33)*(1+N('Исходные данные'!$B$34))^(G96-3)))))</f>
        <v>0</v>
      </c>
      <c r="I96">
        <f>IF(OR(F96=0,N('Исходные данные'!$B$5)=0,H96=0),0,'Исходные данные'!$B$5*H96*IF(AND(B96&lt;='Исходные данные'!$B$30,C96&gt;='Исходные данные'!$B$30),(C96-'Исходные данные'!$B$30+1)/DAY(C96),1))</f>
        <v>0</v>
      </c>
      <c r="J96">
        <f>IF(AND(F96&gt;0,F96&lt;=N('Исходные данные'!$B$37)),-I96,0)</f>
        <v>0</v>
      </c>
      <c r="K96">
        <f>IF(OR(F96=0,F96&lt;=N('Исходные данные'!$B$37)),0,-(I96+J96)*N('Исходные данные'!$B$38))</f>
        <v>0</v>
      </c>
      <c r="L96">
        <f t="shared" si="43"/>
        <v>0</v>
      </c>
      <c r="M96">
        <f>IF('Исходные данные'!$B$51="Да",L96*N('Исходные данные'!$B$52),0)</f>
        <v>0</v>
      </c>
      <c r="N96">
        <f t="shared" si="44"/>
        <v>0</v>
      </c>
      <c r="O96">
        <f>IF(OR(B96="",IF('Исходные данные'!$B$45="",'Исходные данные'!$B$10,'Исходные данные'!$B$45)="",C96&lt;IF('Исходные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данные'!$B$45)),1),B96,"m")/12))*IF(AND(B96&lt;=IF('Исходные данные'!$B$45="",'Исходные данные'!$B$10,'Исходные данные'!$B$45),C96&gt;=IF('Исходные данные'!$B$45="",'Исходные данные'!$B$10,'Исходные данные'!$B$45)),(C96-IF('Исходные данные'!$B$45="",'Исходные данные'!$B$10,'Исходные данные'!$B$45)+1)/DAY(C96),1)*IF('Исходные данные'!$B$43="Без НДС",1+N('Исходные данные'!$B$44),1))</f>
        <v>0</v>
      </c>
      <c r="P96">
        <f>IF('Исходные данные'!$B$51="Да",-O96*N('Исходные данные'!$B$44)/(1+N('Исходные данные'!$B$44)),0)</f>
        <v>0</v>
      </c>
      <c r="Q96">
        <f>IF('Исходные данные'!$B$35="Да",-O96,0)</f>
        <v>0</v>
      </c>
      <c r="R96">
        <f>IF(AND('Исходные данные'!$B$51="Да",Q96&gt;0),Q96*N('Исходные данные'!$B$52)/(1+N('Исходные данные'!$B$52)),0)</f>
        <v>0</v>
      </c>
      <c r="S96">
        <f>IF(OR(B96="",IF('Исходные данные'!$B$45="",'Исходные данные'!$B$10,'Исходные данные'!$B$45)="",C96&lt;IF('Исходные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данные'!$B$45)),1),B96,"m")/12))*IF(AND(B96&lt;=IF('Исходные данные'!$B$45="",'Исходные данные'!$B$10,'Исходные данные'!$B$45),C96&gt;=IF('Исходные данные'!$B$45="",'Исходные данные'!$B$10,'Исходные данные'!$B$45)),(C96-IF('Исходные данные'!$B$45="",'Исходные данные'!$B$10,'Исходные данные'!$B$45)+1)/DAY(C96),1)*IF('Исходные данные'!$B$43="Без НДС",1+N('Исходные данные'!$B$44),1))</f>
        <v>0</v>
      </c>
      <c r="T96">
        <f>IF('Исходные данные'!$B$51="Да",-S96*N('Исходные данные'!$B$44)/(1+N('Исходные данные'!$B$44)),0)</f>
        <v>0</v>
      </c>
      <c r="U96">
        <f>IF('Исходные данные'!$B$36="Да",-S96,0)</f>
        <v>0</v>
      </c>
      <c r="V96">
        <f>IF(AND('Исходные данные'!$B$51="Да",U96&gt;0),U96*N('Исходные данные'!$B$52)/(1+N('Исходные данные'!$B$52)),0)</f>
        <v>0</v>
      </c>
      <c r="W96">
        <f>IF(OR(B96="",IF('Исходные данные'!$B$69="",'Исходные данные'!$B$10,'Исходные данные'!$B$69)="",C96&lt;IF('Исходные данные'!$B$69="",'Исходные данные'!$B$10,'Исходные данные'!$B$69)),0,-N('Исходные данные'!$B$16)*N('Исходные данные'!$B$68)*N('Исходные данные'!$B$67)/12*IF(AND(B96&lt;=IF('Исходные данные'!$B$69="",'Исходные данные'!$B$10,'Исходные данные'!$B$69),C96&gt;=IF('Исходные данные'!$B$69="",'Исходные данные'!$B$10,'Исходные данные'!$B$69)),(C96-IF('Исходные данные'!$B$69="",'Исходные данные'!$B$10,'Исходные данные'!$B$69)+1)/DAY(C96),1))</f>
        <v>0</v>
      </c>
      <c r="X96">
        <f>IF(OR(B96="",IF('Исходные данные'!$B$76="",'Исходные данные'!$B$10,'Исходные данные'!$B$76)="",C96&lt;IF('Исходные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данные'!$B$76)),1),B96,"m")/12))*IF(AND(B96&lt;=IF('Исходные данные'!$B$76="",'Исходные данные'!$B$10,'Исходные данные'!$B$76),C96&gt;=IF('Исходные данные'!$B$76="",'Исходные данные'!$B$10,'Исходные данные'!$B$76)),(C96-IF('Исходные данные'!$B$76="",'Исходные данные'!$B$10,'Исходные данные'!$B$76)+1)/DAY(C96),1))</f>
        <v>0</v>
      </c>
      <c r="Y96">
        <f t="shared" si="45"/>
        <v>0</v>
      </c>
      <c r="Z96">
        <f>IF(OR(B96="",N('Исходные данные'!$B$19)=0),0,-SUMIFS('Исходные данные'!$I$6:$I$186,'Исходные данные'!$F$6:$F$186,B96)*N('Исходные данные'!$B$17)/N('Исходные данные'!$B$19))</f>
        <v>0</v>
      </c>
      <c r="AA96">
        <f>IF(OR(B96="",N('Исходные данные'!$B$19)=0),0,-SUMIFS('Исходные данные'!$I$6:$I$186,'Исходные данные'!$F$6:$F$186,B96)*N('Исходные данные'!$B$18)/N('Исходные данные'!$B$19))</f>
        <v>0</v>
      </c>
      <c r="AB96">
        <f>IF(OR(B96="",'Исходные данные'!$B$13=""),0,IF(AND(YEAR(B96)=YEAR('Исходные данные'!$B$13),MONTH(B96)=MONTH('Исходные данные'!$B$13)),-N('Исходные данные'!$B$11),0))</f>
        <v>0</v>
      </c>
      <c r="AC96">
        <f>IF(A96=1,-N('Исходные данные'!$B$19)*N('Исходные данные'!$B$72),0)</f>
        <v>0</v>
      </c>
      <c r="AD96">
        <f>IF(OR(B96="",'Исходные данные'!$B$22&lt;&gt;"Да",'Исходные данные'!$B$26=""),0,IF(AND(YEAR(B96)=YEAR('Исходные данные'!$B$26),MONTH(B96)=MONTH('Исходные данные'!$B$26)),N('Исходные данные'!$B$23),0))</f>
        <v>0</v>
      </c>
      <c r="AE96">
        <f t="shared" si="58"/>
        <v>0</v>
      </c>
      <c r="AF96">
        <f>IF(OR('Исходные данные'!$B$22&lt;&gt;"Да",'Исходные данные'!$B$26="",C96&lt;'Исходные данные'!$B$26),0,DATEDIF(DATE(YEAR('Исходные данные'!$B$26),MONTH('Исходные данные'!$B$26),1),B96,"m")+1)</f>
        <v>0</v>
      </c>
      <c r="AG96">
        <f>IF(OR(AF96&lt;1,AF96&gt;N('Исходные данные'!$B$25),AE96+AD96&lt;=0),0,-(AE96+AD96)*N('Исходные данные'!$B$24)*IF(AF96=1,C96-'Исходные данные'!$B$26+1,DAY(C96))/365)</f>
        <v>0</v>
      </c>
      <c r="AH96">
        <f>IF(OR(AF96&lt;1,AF96&gt;N('Исходные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данные'!$B$25)-AG96))</f>
        <v>0</v>
      </c>
      <c r="AI96">
        <f>IF(OR('Исходные данные'!$B$22&lt;&gt;"Да",AE96+AD96&lt;=0),0,IF(AND('Исходные данные'!$B$91&lt;&gt;"",B96&lt;&gt;"",YEAR(B96)=YEAR('Исходные данные'!$B$91),MONTH(B96)=MONTH('Исходные данные'!$B$91)),-(AE96+AD96),IF(OR(AF96&lt;1,AF96&gt;N('Исходные данные'!$B$25)),0,IF('Исходные данные'!$B$27="Равными долями",-MIN(AE96+AD96,N('Исходные данные'!$B$23)/N('Исходные данные'!$B$25)),-MIN(AE96+AD96,IF(AF96=N('Исходные данные'!$B$25),AE96+AD96,MAX(0,AH96+AG96)))))))</f>
        <v>0</v>
      </c>
      <c r="AJ96">
        <f t="shared" si="46"/>
        <v>0</v>
      </c>
      <c r="AK96">
        <f t="shared" si="47"/>
        <v>0</v>
      </c>
      <c r="AL96">
        <f>IF(OR(B96="",'Исходные данные'!$B$51&lt;&gt;"Да",'Исходные данные'!$B$61=""),0,IF(AND(YEAR(B96)=YEAR('Исходные данные'!$B$61),MONTH(B96)=MONTH('Исходные данные'!$B$61)),N('Исходные данные'!$B$18)*N('Исходные данные'!$B$62),0))</f>
        <v>0</v>
      </c>
      <c r="AM96">
        <f t="shared" si="59"/>
        <v>0</v>
      </c>
      <c r="AN96">
        <f t="shared" si="48"/>
        <v>0</v>
      </c>
      <c r="AO96">
        <f t="shared" si="49"/>
        <v>0</v>
      </c>
      <c r="AP96">
        <f>IF('Исходные данные'!$B$51="Да",-MAX(0,AN96-AO96-AM96),0)</f>
        <v>0</v>
      </c>
      <c r="AQ96">
        <f>IF('Исходные данные'!$B$51="Да",MAX(0,AM96+AO96-AN96),0)</f>
        <v>0</v>
      </c>
      <c r="AR96">
        <f>IF('Исходные данные'!$B$53="Выручка",MAX(0,L96+(Q96-R96)+(U96-V96)),IF('Исходные данные'!$B$53="Прибыль до налога",MAX(0,L96+(Q96-R96)+(U96-V96)+N('Исходные данные'!$B$54)*((O96+P96)+(S96+T96)+W96+X96)+IF('Исходные данные'!$B$55="Да",AG96,0)-N('Исходные данные'!$B$56)/12),IF('Исходные данные'!$B$53="Пользовательская база",MAX(0,N('Исходные данные'!$B$57)/12),0)))</f>
        <v>0</v>
      </c>
      <c r="AS96">
        <f>IF(E96=1,-AR96*N('Исходные данные'!$B$50),0)</f>
        <v>0</v>
      </c>
      <c r="AT96">
        <f t="shared" si="50"/>
        <v>0</v>
      </c>
      <c r="AU96">
        <f>IF(OR(B96="",N('Исходные данные'!$B$80)&lt;=0,'Исходные данные'!$B$88=""),0,MAX(0,IF('Исходные данные'!$B$88="Последние 12 месяцев",SUMIFS($Y$2:$Y$194,$B$2:$B$194,"&gt;="&amp;EDATE(B96,-11),$B$2:$B$194,"&lt;="&amp;B96),IF('Исходные данные'!$B$88="Пользовательский NOI",N('Исходные данные'!$B$89),AT96))/N('Исходные данные'!$B$80)*(1+N('Исходные данные'!$B$81))))</f>
        <v>0</v>
      </c>
      <c r="AV96">
        <f>IF(OR(E96&lt;&gt;1,B96="",'Исходные данные'!$B$91=""),0,IF(AND(YEAR(B96)=YEAR('Исходные данные'!$B$91),MONTH(B96)=MONTH('Исходные данные'!$B$91)),AU96,0))</f>
        <v>0</v>
      </c>
      <c r="AW96">
        <f>-AV96*N('Исходные данные'!$B$73)</f>
        <v>0</v>
      </c>
      <c r="AX96">
        <f>IF(AV96=0,0,-N('Исходные данные'!$B$87)-IF('Исходные данные'!$B$82="Да",IF('Исходные данные'!$B$84="С выручки",AV96,IF('Исходные данные'!$B$84="С прибыли",MAX(0,AV96+AW96-IF('Исходные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96">
        <f t="shared" si="51"/>
        <v>0</v>
      </c>
      <c r="AZ96">
        <f t="shared" si="52"/>
        <v>0</v>
      </c>
      <c r="BA96">
        <f t="shared" si="53"/>
        <v>0</v>
      </c>
      <c r="BB96" t="str">
        <f t="shared" si="60"/>
        <v/>
      </c>
      <c r="BC96">
        <f>IF(OR(E96=0,'Исходные данные'!$B$9="",'Исходные данные'!$B$90=""),0,BA96/(1+'Исходные данные'!$B$90)^((D96-'Исходные данные'!$B$9)/365))</f>
        <v>0</v>
      </c>
      <c r="BD96">
        <f>IF(AND(E96=1,BB96&gt;=0,BB95&lt;0,MIN($BB$2:BB96)&lt;0),1,0)</f>
        <v>0</v>
      </c>
      <c r="BE96">
        <f t="shared" si="54"/>
        <v>0</v>
      </c>
      <c r="BF96">
        <f t="shared" si="55"/>
        <v>0</v>
      </c>
      <c r="BG96">
        <f t="shared" si="56"/>
        <v>0</v>
      </c>
      <c r="BH96">
        <f t="shared" si="57"/>
        <v>1</v>
      </c>
      <c r="BI96">
        <f>AZ96+N96+AP96-AR96*N('Исходные данные'!$B$50)</f>
        <v>0</v>
      </c>
      <c r="BJ96">
        <f t="shared" si="61"/>
        <v>0</v>
      </c>
      <c r="BK96">
        <f>IF(AND(BJ96&gt;=0,BJ95&lt;0,MIN($BJ$2:BJ96)&lt;0),1,0)</f>
        <v>0</v>
      </c>
    </row>
    <row r="97" spans="1:63" x14ac:dyDescent="0.2">
      <c r="A97">
        <v>96</v>
      </c>
      <c r="B97" t="str">
        <f>IF('Исходные данные'!$B$9="","",EDATE(DATE(YEAR('Исходные данные'!$B$9),MONTH('Исходные данные'!$B$9),1),A97-1))</f>
        <v/>
      </c>
      <c r="C97" t="str">
        <f t="shared" si="41"/>
        <v/>
      </c>
      <c r="D97" t="str">
        <f>IF(B97="","",IF('Исходные данные'!$B$91&lt;&gt;"",IF(AND(YEAR(B97)=YEAR('Исходные данные'!$B$91),MONTH(B97)=MONTH('Исходные данные'!$B$91)),'Исходные данные'!$B$91,IF('Исходные данные'!$B$13&lt;&gt;"",IF(AND(YEAR(B97)=YEAR('Исходные данные'!$B$13),MONTH(B97)=MONTH('Исходные данные'!$B$13)),'Исходные данные'!$B$13,IF('Исходные данные'!$B$26&lt;&gt;"",IF(AND(YEAR(B97)=YEAR('Исходные данные'!$B$26),MONTH(B97)=MONTH('Исходные данные'!$B$26)),'Исходные данные'!$B$26,IF(A97=1,'Исходные данные'!$B$9,C97)),IF(A97=1,'Исходные данные'!$B$9,C97))),IF('Исходные данные'!$B$26&lt;&gt;"",IF(AND(YEAR(B97)=YEAR('Исходные данные'!$B$26),MONTH(B97)=MONTH('Исходные данные'!$B$26)),'Исходные данные'!$B$26,IF(A97=1,'Исходные данные'!$B$9,C97)),IF(A97=1,'Исходные данные'!$B$9,C97)))),IF('Исходные данные'!$B$13&lt;&gt;"",IF(AND(YEAR(B97)=YEAR('Исходные данные'!$B$13),MONTH(B97)=MONTH('Исходные данные'!$B$13)),'Исходные данные'!$B$13,IF('Исходные данные'!$B$26&lt;&gt;"",IF(AND(YEAR(B97)=YEAR('Исходные данные'!$B$26),MONTH(B97)=MONTH('Исходные данные'!$B$26)),'Исходные данные'!$B$26,IF(A97=1,'Исходные данные'!$B$9,C97)),IF(A97=1,'Исходные данные'!$B$9,C97))),IF('Исходные данные'!$B$26&lt;&gt;"",IF(AND(YEAR(B97)=YEAR('Исходные данные'!$B$26),MONTH(B97)=MONTH('Исходные данные'!$B$26)),'Исходные данные'!$B$26,IF(A97=1,'Исходные данные'!$B$9,C97)),IF(A97=1,'Исходные данные'!$B$9,C97)))))</f>
        <v/>
      </c>
      <c r="E97">
        <f>IF(OR(B97="",'Исходные данные'!$B$91=""),0,--(B97&lt;=DATE(YEAR('Исходные данные'!$B$91),MONTH('Исходные данные'!$B$91),1)))</f>
        <v>0</v>
      </c>
      <c r="F97">
        <f>IF(OR(B97="",'Исходные данные'!$B$30="",C97&lt;'Исходные данные'!$B$30),0,DATEDIF(DATE(YEAR('Исходные данные'!$B$30),MONTH('Исходные данные'!$B$30),1),B97,"m")+1)</f>
        <v>0</v>
      </c>
      <c r="G97">
        <f t="shared" si="42"/>
        <v>0</v>
      </c>
      <c r="H97">
        <f>IF(F97=0,0,IF(G97=1,N('Исходные данные'!$B$31),IF(G97=2,N('Исходные данные'!$B$32),IF(G97=3,N('Исходные данные'!$B$33),N('Исходные данные'!$B$33)*(1+N('Исходные данные'!$B$34))^(G97-3)))))</f>
        <v>0</v>
      </c>
      <c r="I97">
        <f>IF(OR(F97=0,N('Исходные данные'!$B$5)=0,H97=0),0,'Исходные данные'!$B$5*H97*IF(AND(B97&lt;='Исходные данные'!$B$30,C97&gt;='Исходные данные'!$B$30),(C97-'Исходные данные'!$B$30+1)/DAY(C97),1))</f>
        <v>0</v>
      </c>
      <c r="J97">
        <f>IF(AND(F97&gt;0,F97&lt;=N('Исходные данные'!$B$37)),-I97,0)</f>
        <v>0</v>
      </c>
      <c r="K97">
        <f>IF(OR(F97=0,F97&lt;=N('Исходные данные'!$B$37)),0,-(I97+J97)*N('Исходные данные'!$B$38))</f>
        <v>0</v>
      </c>
      <c r="L97">
        <f t="shared" si="43"/>
        <v>0</v>
      </c>
      <c r="M97">
        <f>IF('Исходные данные'!$B$51="Да",L97*N('Исходные данные'!$B$52),0)</f>
        <v>0</v>
      </c>
      <c r="N97">
        <f t="shared" si="44"/>
        <v>0</v>
      </c>
      <c r="O97">
        <f>IF(OR(B97="",IF('Исходные данные'!$B$45="",'Исходные данные'!$B$10,'Исходные данные'!$B$45)="",C97&lt;IF('Исходные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данные'!$B$45)),1),B97,"m")/12))*IF(AND(B97&lt;=IF('Исходные данные'!$B$45="",'Исходные данные'!$B$10,'Исходные данные'!$B$45),C97&gt;=IF('Исходные данные'!$B$45="",'Исходные данные'!$B$10,'Исходные данные'!$B$45)),(C97-IF('Исходные данные'!$B$45="",'Исходные данные'!$B$10,'Исходные данные'!$B$45)+1)/DAY(C97),1)*IF('Исходные данные'!$B$43="Без НДС",1+N('Исходные данные'!$B$44),1))</f>
        <v>0</v>
      </c>
      <c r="P97">
        <f>IF('Исходные данные'!$B$51="Да",-O97*N('Исходные данные'!$B$44)/(1+N('Исходные данные'!$B$44)),0)</f>
        <v>0</v>
      </c>
      <c r="Q97">
        <f>IF('Исходные данные'!$B$35="Да",-O97,0)</f>
        <v>0</v>
      </c>
      <c r="R97">
        <f>IF(AND('Исходные данные'!$B$51="Да",Q97&gt;0),Q97*N('Исходные данные'!$B$52)/(1+N('Исходные данные'!$B$52)),0)</f>
        <v>0</v>
      </c>
      <c r="S97">
        <f>IF(OR(B97="",IF('Исходные данные'!$B$45="",'Исходные данные'!$B$10,'Исходные данные'!$B$45)="",C97&lt;IF('Исходные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данные'!$B$45)),1),B97,"m")/12))*IF(AND(B97&lt;=IF('Исходные данные'!$B$45="",'Исходные данные'!$B$10,'Исходные данные'!$B$45),C97&gt;=IF('Исходные данные'!$B$45="",'Исходные данные'!$B$10,'Исходные данные'!$B$45)),(C97-IF('Исходные данные'!$B$45="",'Исходные данные'!$B$10,'Исходные данные'!$B$45)+1)/DAY(C97),1)*IF('Исходные данные'!$B$43="Без НДС",1+N('Исходные данные'!$B$44),1))</f>
        <v>0</v>
      </c>
      <c r="T97">
        <f>IF('Исходные данные'!$B$51="Да",-S97*N('Исходные данные'!$B$44)/(1+N('Исходные данные'!$B$44)),0)</f>
        <v>0</v>
      </c>
      <c r="U97">
        <f>IF('Исходные данные'!$B$36="Да",-S97,0)</f>
        <v>0</v>
      </c>
      <c r="V97">
        <f>IF(AND('Исходные данные'!$B$51="Да",U97&gt;0),U97*N('Исходные данные'!$B$52)/(1+N('Исходные данные'!$B$52)),0)</f>
        <v>0</v>
      </c>
      <c r="W97">
        <f>IF(OR(B97="",IF('Исходные данные'!$B$69="",'Исходные данные'!$B$10,'Исходные данные'!$B$69)="",C97&lt;IF('Исходные данные'!$B$69="",'Исходные данные'!$B$10,'Исходные данные'!$B$69)),0,-N('Исходные данные'!$B$16)*N('Исходные данные'!$B$68)*N('Исходные данные'!$B$67)/12*IF(AND(B97&lt;=IF('Исходные данные'!$B$69="",'Исходные данные'!$B$10,'Исходные данные'!$B$69),C97&gt;=IF('Исходные данные'!$B$69="",'Исходные данные'!$B$10,'Исходные данные'!$B$69)),(C97-IF('Исходные данные'!$B$69="",'Исходные данные'!$B$10,'Исходные данные'!$B$69)+1)/DAY(C97),1))</f>
        <v>0</v>
      </c>
      <c r="X97">
        <f>IF(OR(B97="",IF('Исходные данные'!$B$76="",'Исходные данные'!$B$10,'Исходные данные'!$B$76)="",C97&lt;IF('Исходные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данные'!$B$76)),1),B97,"m")/12))*IF(AND(B97&lt;=IF('Исходные данные'!$B$76="",'Исходные данные'!$B$10,'Исходные данные'!$B$76),C97&gt;=IF('Исходные данные'!$B$76="",'Исходные данные'!$B$10,'Исходные данные'!$B$76)),(C97-IF('Исходные данные'!$B$76="",'Исходные данные'!$B$10,'Исходные данные'!$B$76)+1)/DAY(C97),1))</f>
        <v>0</v>
      </c>
      <c r="Y97">
        <f t="shared" si="45"/>
        <v>0</v>
      </c>
      <c r="Z97">
        <f>IF(OR(B97="",N('Исходные данные'!$B$19)=0),0,-SUMIFS('Исходные данные'!$I$6:$I$186,'Исходные данные'!$F$6:$F$186,B97)*N('Исходные данные'!$B$17)/N('Исходные данные'!$B$19))</f>
        <v>0</v>
      </c>
      <c r="AA97">
        <f>IF(OR(B97="",N('Исходные данные'!$B$19)=0),0,-SUMIFS('Исходные данные'!$I$6:$I$186,'Исходные данные'!$F$6:$F$186,B97)*N('Исходные данные'!$B$18)/N('Исходные данные'!$B$19))</f>
        <v>0</v>
      </c>
      <c r="AB97">
        <f>IF(OR(B97="",'Исходные данные'!$B$13=""),0,IF(AND(YEAR(B97)=YEAR('Исходные данные'!$B$13),MONTH(B97)=MONTH('Исходные данные'!$B$13)),-N('Исходные данные'!$B$11),0))</f>
        <v>0</v>
      </c>
      <c r="AC97">
        <f>IF(A97=1,-N('Исходные данные'!$B$19)*N('Исходные данные'!$B$72),0)</f>
        <v>0</v>
      </c>
      <c r="AD97">
        <f>IF(OR(B97="",'Исходные данные'!$B$22&lt;&gt;"Да",'Исходные данные'!$B$26=""),0,IF(AND(YEAR(B97)=YEAR('Исходные данные'!$B$26),MONTH(B97)=MONTH('Исходные данные'!$B$26)),N('Исходные данные'!$B$23),0))</f>
        <v>0</v>
      </c>
      <c r="AE97">
        <f t="shared" si="58"/>
        <v>0</v>
      </c>
      <c r="AF97">
        <f>IF(OR('Исходные данные'!$B$22&lt;&gt;"Да",'Исходные данные'!$B$26="",C97&lt;'Исходные данные'!$B$26),0,DATEDIF(DATE(YEAR('Исходные данные'!$B$26),MONTH('Исходные данные'!$B$26),1),B97,"m")+1)</f>
        <v>0</v>
      </c>
      <c r="AG97">
        <f>IF(OR(AF97&lt;1,AF97&gt;N('Исходные данные'!$B$25),AE97+AD97&lt;=0),0,-(AE97+AD97)*N('Исходные данные'!$B$24)*IF(AF97=1,C97-'Исходные данные'!$B$26+1,DAY(C97))/365)</f>
        <v>0</v>
      </c>
      <c r="AH97">
        <f>IF(OR(AF97&lt;1,AF97&gt;N('Исходные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данные'!$B$25)-AG97))</f>
        <v>0</v>
      </c>
      <c r="AI97">
        <f>IF(OR('Исходные данные'!$B$22&lt;&gt;"Да",AE97+AD97&lt;=0),0,IF(AND('Исходные данные'!$B$91&lt;&gt;"",B97&lt;&gt;"",YEAR(B97)=YEAR('Исходные данные'!$B$91),MONTH(B97)=MONTH('Исходные данные'!$B$91)),-(AE97+AD97),IF(OR(AF97&lt;1,AF97&gt;N('Исходные данные'!$B$25)),0,IF('Исходные данные'!$B$27="Равными долями",-MIN(AE97+AD97,N('Исходные данные'!$B$23)/N('Исходные данные'!$B$25)),-MIN(AE97+AD97,IF(AF97=N('Исходные данные'!$B$25),AE97+AD97,MAX(0,AH97+AG97)))))))</f>
        <v>0</v>
      </c>
      <c r="AJ97">
        <f t="shared" si="46"/>
        <v>0</v>
      </c>
      <c r="AK97">
        <f t="shared" si="47"/>
        <v>0</v>
      </c>
      <c r="AL97">
        <f>IF(OR(B97="",'Исходные данные'!$B$51&lt;&gt;"Да",'Исходные данные'!$B$61=""),0,IF(AND(YEAR(B97)=YEAR('Исходные данные'!$B$61),MONTH(B97)=MONTH('Исходные данные'!$B$61)),N('Исходные данные'!$B$18)*N('Исходные данные'!$B$62),0))</f>
        <v>0</v>
      </c>
      <c r="AM97">
        <f t="shared" si="59"/>
        <v>0</v>
      </c>
      <c r="AN97">
        <f t="shared" si="48"/>
        <v>0</v>
      </c>
      <c r="AO97">
        <f t="shared" si="49"/>
        <v>0</v>
      </c>
      <c r="AP97">
        <f>IF('Исходные данные'!$B$51="Да",-MAX(0,AN97-AO97-AM97),0)</f>
        <v>0</v>
      </c>
      <c r="AQ97">
        <f>IF('Исходные данные'!$B$51="Да",MAX(0,AM97+AO97-AN97),0)</f>
        <v>0</v>
      </c>
      <c r="AR97">
        <f>IF('Исходные данные'!$B$53="Выручка",MAX(0,L97+(Q97-R97)+(U97-V97)),IF('Исходные данные'!$B$53="Прибыль до налога",MAX(0,L97+(Q97-R97)+(U97-V97)+N('Исходные данные'!$B$54)*((O97+P97)+(S97+T97)+W97+X97)+IF('Исходные данные'!$B$55="Да",AG97,0)-N('Исходные данные'!$B$56)/12),IF('Исходные данные'!$B$53="Пользовательская база",MAX(0,N('Исходные данные'!$B$57)/12),0)))</f>
        <v>0</v>
      </c>
      <c r="AS97">
        <f>IF(E97=1,-AR97*N('Исходные данные'!$B$50),0)</f>
        <v>0</v>
      </c>
      <c r="AT97">
        <f t="shared" si="50"/>
        <v>0</v>
      </c>
      <c r="AU97">
        <f>IF(OR(B97="",N('Исходные данные'!$B$80)&lt;=0,'Исходные данные'!$B$88=""),0,MAX(0,IF('Исходные данные'!$B$88="Последние 12 месяцев",SUMIFS($Y$2:$Y$194,$B$2:$B$194,"&gt;="&amp;EDATE(B97,-11),$B$2:$B$194,"&lt;="&amp;B97),IF('Исходные данные'!$B$88="Пользовательский NOI",N('Исходные данные'!$B$89),AT97))/N('Исходные данные'!$B$80)*(1+N('Исходные данные'!$B$81))))</f>
        <v>0</v>
      </c>
      <c r="AV97">
        <f>IF(OR(E97&lt;&gt;1,B97="",'Исходные данные'!$B$91=""),0,IF(AND(YEAR(B97)=YEAR('Исходные данные'!$B$91),MONTH(B97)=MONTH('Исходные данные'!$B$91)),AU97,0))</f>
        <v>0</v>
      </c>
      <c r="AW97">
        <f>-AV97*N('Исходные данные'!$B$73)</f>
        <v>0</v>
      </c>
      <c r="AX97">
        <f>IF(AV97=0,0,-N('Исходные данные'!$B$87)-IF('Исходные данные'!$B$82="Да",IF('Исходные данные'!$B$84="С выручки",AV97,IF('Исходные данные'!$B$84="С прибыли",MAX(0,AV97+AW97-IF('Исходные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97">
        <f t="shared" si="51"/>
        <v>0</v>
      </c>
      <c r="AZ97">
        <f t="shared" si="52"/>
        <v>0</v>
      </c>
      <c r="BA97">
        <f t="shared" si="53"/>
        <v>0</v>
      </c>
      <c r="BB97" t="str">
        <f t="shared" si="60"/>
        <v/>
      </c>
      <c r="BC97">
        <f>IF(OR(E97=0,'Исходные данные'!$B$9="",'Исходные данные'!$B$90=""),0,BA97/(1+'Исходные данные'!$B$90)^((D97-'Исходные данные'!$B$9)/365))</f>
        <v>0</v>
      </c>
      <c r="BD97">
        <f>IF(AND(E97=1,BB97&gt;=0,BB96&lt;0,MIN($BB$2:BB97)&lt;0),1,0)</f>
        <v>0</v>
      </c>
      <c r="BE97">
        <f t="shared" si="54"/>
        <v>0</v>
      </c>
      <c r="BF97">
        <f t="shared" si="55"/>
        <v>0</v>
      </c>
      <c r="BG97">
        <f t="shared" si="56"/>
        <v>0</v>
      </c>
      <c r="BH97">
        <f t="shared" si="57"/>
        <v>1</v>
      </c>
      <c r="BI97">
        <f>AZ97+N97+AP97-AR97*N('Исходные данные'!$B$50)</f>
        <v>0</v>
      </c>
      <c r="BJ97">
        <f t="shared" si="61"/>
        <v>0</v>
      </c>
      <c r="BK97">
        <f>IF(AND(BJ97&gt;=0,BJ96&lt;0,MIN($BJ$2:BJ97)&lt;0),1,0)</f>
        <v>0</v>
      </c>
    </row>
    <row r="98" spans="1:63" x14ac:dyDescent="0.2">
      <c r="A98">
        <v>97</v>
      </c>
      <c r="B98" t="str">
        <f>IF('Исходные данные'!$B$9="","",EDATE(DATE(YEAR('Исходные данные'!$B$9),MONTH('Исходные данные'!$B$9),1),A98-1))</f>
        <v/>
      </c>
      <c r="C98" t="str">
        <f t="shared" ref="C98:C129" si="62">IF(B98="","",EOMONTH(B98,0))</f>
        <v/>
      </c>
      <c r="D98" t="str">
        <f>IF(B98="","",IF('Исходные данные'!$B$91&lt;&gt;"",IF(AND(YEAR(B98)=YEAR('Исходные данные'!$B$91),MONTH(B98)=MONTH('Исходные данные'!$B$91)),'Исходные данные'!$B$91,IF('Исходные данные'!$B$13&lt;&gt;"",IF(AND(YEAR(B98)=YEAR('Исходные данные'!$B$13),MONTH(B98)=MONTH('Исходные данные'!$B$13)),'Исходные данные'!$B$13,IF('Исходные данные'!$B$26&lt;&gt;"",IF(AND(YEAR(B98)=YEAR('Исходные данные'!$B$26),MONTH(B98)=MONTH('Исходные данные'!$B$26)),'Исходные данные'!$B$26,IF(A98=1,'Исходные данные'!$B$9,C98)),IF(A98=1,'Исходные данные'!$B$9,C98))),IF('Исходные данные'!$B$26&lt;&gt;"",IF(AND(YEAR(B98)=YEAR('Исходные данные'!$B$26),MONTH(B98)=MONTH('Исходные данные'!$B$26)),'Исходные данные'!$B$26,IF(A98=1,'Исходные данные'!$B$9,C98)),IF(A98=1,'Исходные данные'!$B$9,C98)))),IF('Исходные данные'!$B$13&lt;&gt;"",IF(AND(YEAR(B98)=YEAR('Исходные данные'!$B$13),MONTH(B98)=MONTH('Исходные данные'!$B$13)),'Исходные данные'!$B$13,IF('Исходные данные'!$B$26&lt;&gt;"",IF(AND(YEAR(B98)=YEAR('Исходные данные'!$B$26),MONTH(B98)=MONTH('Исходные данные'!$B$26)),'Исходные данные'!$B$26,IF(A98=1,'Исходные данные'!$B$9,C98)),IF(A98=1,'Исходные данные'!$B$9,C98))),IF('Исходные данные'!$B$26&lt;&gt;"",IF(AND(YEAR(B98)=YEAR('Исходные данные'!$B$26),MONTH(B98)=MONTH('Исходные данные'!$B$26)),'Исходные данные'!$B$26,IF(A98=1,'Исходные данные'!$B$9,C98)),IF(A98=1,'Исходные данные'!$B$9,C98)))))</f>
        <v/>
      </c>
      <c r="E98">
        <f>IF(OR(B98="",'Исходные данные'!$B$91=""),0,--(B98&lt;=DATE(YEAR('Исходные данные'!$B$91),MONTH('Исходные данные'!$B$91),1)))</f>
        <v>0</v>
      </c>
      <c r="F98">
        <f>IF(OR(B98="",'Исходные данные'!$B$30="",C98&lt;'Исходные данные'!$B$30),0,DATEDIF(DATE(YEAR('Исходные данные'!$B$30),MONTH('Исходные данные'!$B$30),1),B98,"m")+1)</f>
        <v>0</v>
      </c>
      <c r="G98">
        <f t="shared" ref="G98:G129" si="63">IF(F98=0,0,1+INT((F98-1)/12))</f>
        <v>0</v>
      </c>
      <c r="H98">
        <f>IF(F98=0,0,IF(G98=1,N('Исходные данные'!$B$31),IF(G98=2,N('Исходные данные'!$B$32),IF(G98=3,N('Исходные данные'!$B$33),N('Исходные данные'!$B$33)*(1+N('Исходные данные'!$B$34))^(G98-3)))))</f>
        <v>0</v>
      </c>
      <c r="I98">
        <f>IF(OR(F98=0,N('Исходные данные'!$B$5)=0,H98=0),0,'Исходные данные'!$B$5*H98*IF(AND(B98&lt;='Исходные данные'!$B$30,C98&gt;='Исходные данные'!$B$30),(C98-'Исходные данные'!$B$30+1)/DAY(C98),1))</f>
        <v>0</v>
      </c>
      <c r="J98">
        <f>IF(AND(F98&gt;0,F98&lt;=N('Исходные данные'!$B$37)),-I98,0)</f>
        <v>0</v>
      </c>
      <c r="K98">
        <f>IF(OR(F98=0,F98&lt;=N('Исходные данные'!$B$37)),0,-(I98+J98)*N('Исходные данные'!$B$38))</f>
        <v>0</v>
      </c>
      <c r="L98">
        <f t="shared" ref="L98:L129" si="64">I98+J98+K98</f>
        <v>0</v>
      </c>
      <c r="M98">
        <f>IF('Исходные данные'!$B$51="Да",L98*N('Исходные данные'!$B$52),0)</f>
        <v>0</v>
      </c>
      <c r="N98">
        <f t="shared" ref="N98:N129" si="65">L98+M98</f>
        <v>0</v>
      </c>
      <c r="O98">
        <f>IF(OR(B98="",IF('Исходные данные'!$B$45="",'Исходные данные'!$B$10,'Исходные данные'!$B$45)="",C98&lt;IF('Исходные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данные'!$B$45)),1),B98,"m")/12))*IF(AND(B98&lt;=IF('Исходные данные'!$B$45="",'Исходные данные'!$B$10,'Исходные данные'!$B$45),C98&gt;=IF('Исходные данные'!$B$45="",'Исходные данные'!$B$10,'Исходные данные'!$B$45)),(C98-IF('Исходные данные'!$B$45="",'Исходные данные'!$B$10,'Исходные данные'!$B$45)+1)/DAY(C98),1)*IF('Исходные данные'!$B$43="Без НДС",1+N('Исходные данные'!$B$44),1))</f>
        <v>0</v>
      </c>
      <c r="P98">
        <f>IF('Исходные данные'!$B$51="Да",-O98*N('Исходные данные'!$B$44)/(1+N('Исходные данные'!$B$44)),0)</f>
        <v>0</v>
      </c>
      <c r="Q98">
        <f>IF('Исходные данные'!$B$35="Да",-O98,0)</f>
        <v>0</v>
      </c>
      <c r="R98">
        <f>IF(AND('Исходные данные'!$B$51="Да",Q98&gt;0),Q98*N('Исходные данные'!$B$52)/(1+N('Исходные данные'!$B$52)),0)</f>
        <v>0</v>
      </c>
      <c r="S98">
        <f>IF(OR(B98="",IF('Исходные данные'!$B$45="",'Исходные данные'!$B$10,'Исходные данные'!$B$45)="",C98&lt;IF('Исходные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данные'!$B$45)),1),B98,"m")/12))*IF(AND(B98&lt;=IF('Исходные данные'!$B$45="",'Исходные данные'!$B$10,'Исходные данные'!$B$45),C98&gt;=IF('Исходные данные'!$B$45="",'Исходные данные'!$B$10,'Исходные данные'!$B$45)),(C98-IF('Исходные данные'!$B$45="",'Исходные данные'!$B$10,'Исходные данные'!$B$45)+1)/DAY(C98),1)*IF('Исходные данные'!$B$43="Без НДС",1+N('Исходные данные'!$B$44),1))</f>
        <v>0</v>
      </c>
      <c r="T98">
        <f>IF('Исходные данные'!$B$51="Да",-S98*N('Исходные данные'!$B$44)/(1+N('Исходные данные'!$B$44)),0)</f>
        <v>0</v>
      </c>
      <c r="U98">
        <f>IF('Исходные данные'!$B$36="Да",-S98,0)</f>
        <v>0</v>
      </c>
      <c r="V98">
        <f>IF(AND('Исходные данные'!$B$51="Да",U98&gt;0),U98*N('Исходные данные'!$B$52)/(1+N('Исходные данные'!$B$52)),0)</f>
        <v>0</v>
      </c>
      <c r="W98">
        <f>IF(OR(B98="",IF('Исходные данные'!$B$69="",'Исходные данные'!$B$10,'Исходные данные'!$B$69)="",C98&lt;IF('Исходные данные'!$B$69="",'Исходные данные'!$B$10,'Исходные данные'!$B$69)),0,-N('Исходные данные'!$B$16)*N('Исходные данные'!$B$68)*N('Исходные данные'!$B$67)/12*IF(AND(B98&lt;=IF('Исходные данные'!$B$69="",'Исходные данные'!$B$10,'Исходные данные'!$B$69),C98&gt;=IF('Исходные данные'!$B$69="",'Исходные данные'!$B$10,'Исходные данные'!$B$69)),(C98-IF('Исходные данные'!$B$69="",'Исходные данные'!$B$10,'Исходные данные'!$B$69)+1)/DAY(C98),1))</f>
        <v>0</v>
      </c>
      <c r="X98">
        <f>IF(OR(B98="",IF('Исходные данные'!$B$76="",'Исходные данные'!$B$10,'Исходные данные'!$B$76)="",C98&lt;IF('Исходные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данные'!$B$76)),1),B98,"m")/12))*IF(AND(B98&lt;=IF('Исходные данные'!$B$76="",'Исходные данные'!$B$10,'Исходные данные'!$B$76),C98&gt;=IF('Исходные данные'!$B$76="",'Исходные данные'!$B$10,'Исходные данные'!$B$76)),(C98-IF('Исходные данные'!$B$76="",'Исходные данные'!$B$10,'Исходные данные'!$B$76)+1)/DAY(C98),1))</f>
        <v>0</v>
      </c>
      <c r="Y98">
        <f t="shared" ref="Y98:Y129" si="66">L98+(Q98-R98)+(U98-V98)+(O98+P98)+(S98+T98)+W98+X98</f>
        <v>0</v>
      </c>
      <c r="Z98">
        <f>IF(OR(B98="",N('Исходные данные'!$B$19)=0),0,-SUMIFS('Исходные данные'!$I$6:$I$186,'Исходные данные'!$F$6:$F$186,B98)*N('Исходные данные'!$B$17)/N('Исходные данные'!$B$19))</f>
        <v>0</v>
      </c>
      <c r="AA98">
        <f>IF(OR(B98="",N('Исходные данные'!$B$19)=0),0,-SUMIFS('Исходные данные'!$I$6:$I$186,'Исходные данные'!$F$6:$F$186,B98)*N('Исходные данные'!$B$18)/N('Исходные данные'!$B$19))</f>
        <v>0</v>
      </c>
      <c r="AB98">
        <f>IF(OR(B98="",'Исходные данные'!$B$13=""),0,IF(AND(YEAR(B98)=YEAR('Исходные данные'!$B$13),MONTH(B98)=MONTH('Исходные данные'!$B$13)),-N('Исходные данные'!$B$11),0))</f>
        <v>0</v>
      </c>
      <c r="AC98">
        <f>IF(A98=1,-N('Исходные данные'!$B$19)*N('Исходные данные'!$B$72),0)</f>
        <v>0</v>
      </c>
      <c r="AD98">
        <f>IF(OR(B98="",'Исходные данные'!$B$22&lt;&gt;"Да",'Исходные данные'!$B$26=""),0,IF(AND(YEAR(B98)=YEAR('Исходные данные'!$B$26),MONTH(B98)=MONTH('Исходные данные'!$B$26)),N('Исходные данные'!$B$23),0))</f>
        <v>0</v>
      </c>
      <c r="AE98">
        <f t="shared" si="58"/>
        <v>0</v>
      </c>
      <c r="AF98">
        <f>IF(OR('Исходные данные'!$B$22&lt;&gt;"Да",'Исходные данные'!$B$26="",C98&lt;'Исходные данные'!$B$26),0,DATEDIF(DATE(YEAR('Исходные данные'!$B$26),MONTH('Исходные данные'!$B$26),1),B98,"m")+1)</f>
        <v>0</v>
      </c>
      <c r="AG98">
        <f>IF(OR(AF98&lt;1,AF98&gt;N('Исходные данные'!$B$25),AE98+AD98&lt;=0),0,-(AE98+AD98)*N('Исходные данные'!$B$24)*IF(AF98=1,C98-'Исходные данные'!$B$26+1,DAY(C98))/365)</f>
        <v>0</v>
      </c>
      <c r="AH98">
        <f>IF(OR(AF98&lt;1,AF98&gt;N('Исходные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данные'!$B$25)-AG98))</f>
        <v>0</v>
      </c>
      <c r="AI98">
        <f>IF(OR('Исходные данные'!$B$22&lt;&gt;"Да",AE98+AD98&lt;=0),0,IF(AND('Исходные данные'!$B$91&lt;&gt;"",B98&lt;&gt;"",YEAR(B98)=YEAR('Исходные данные'!$B$91),MONTH(B98)=MONTH('Исходные данные'!$B$91)),-(AE98+AD98),IF(OR(AF98&lt;1,AF98&gt;N('Исходные данные'!$B$25)),0,IF('Исходные данные'!$B$27="Равными долями",-MIN(AE98+AD98,N('Исходные данные'!$B$23)/N('Исходные данные'!$B$25)),-MIN(AE98+AD98,IF(AF98=N('Исходные данные'!$B$25),AE98+AD98,MAX(0,AH98+AG98)))))))</f>
        <v>0</v>
      </c>
      <c r="AJ98">
        <f t="shared" ref="AJ98:AJ129" si="67">AG98+AI98</f>
        <v>0</v>
      </c>
      <c r="AK98">
        <f t="shared" ref="AK98:AK129" si="68">MAX(0,AE98+AD98+AI98)</f>
        <v>0</v>
      </c>
      <c r="AL98">
        <f>IF(OR(B98="",'Исходные данные'!$B$51&lt;&gt;"Да",'Исходные данные'!$B$61=""),0,IF(AND(YEAR(B98)=YEAR('Исходные данные'!$B$61),MONTH(B98)=MONTH('Исходные данные'!$B$61)),N('Исходные данные'!$B$18)*N('Исходные данные'!$B$62),0))</f>
        <v>0</v>
      </c>
      <c r="AM98">
        <f t="shared" si="59"/>
        <v>0</v>
      </c>
      <c r="AN98">
        <f t="shared" ref="AN98:AN129" si="69">M98+R98+V98</f>
        <v>0</v>
      </c>
      <c r="AO98">
        <f t="shared" ref="AO98:AO129" si="70">P98+T98</f>
        <v>0</v>
      </c>
      <c r="AP98">
        <f>IF('Исходные данные'!$B$51="Да",-MAX(0,AN98-AO98-AM98),0)</f>
        <v>0</v>
      </c>
      <c r="AQ98">
        <f>IF('Исходные данные'!$B$51="Да",MAX(0,AM98+AO98-AN98),0)</f>
        <v>0</v>
      </c>
      <c r="AR98">
        <f>IF('Исходные данные'!$B$53="Выручка",MAX(0,L98+(Q98-R98)+(U98-V98)),IF('Исходные данные'!$B$53="Прибыль до налога",MAX(0,L98+(Q98-R98)+(U98-V98)+N('Исходные данные'!$B$54)*((O98+P98)+(S98+T98)+W98+X98)+IF('Исходные данные'!$B$55="Да",AG98,0)-N('Исходные данные'!$B$56)/12),IF('Исходные данные'!$B$53="Пользовательская база",MAX(0,N('Исходные данные'!$B$57)/12),0)))</f>
        <v>0</v>
      </c>
      <c r="AS98">
        <f>IF(E98=1,-AR98*N('Исходные данные'!$B$50),0)</f>
        <v>0</v>
      </c>
      <c r="AT98">
        <f t="shared" ref="AT98:AT129" si="71">IF(B98="",0,SUMIFS($Y$2:$Y$194,$B$2:$B$194,"&gt;"&amp;B98,$B$2:$B$194,"&lt;="&amp;EDATE(B98,12)))</f>
        <v>0</v>
      </c>
      <c r="AU98">
        <f>IF(OR(B98="",N('Исходные данные'!$B$80)&lt;=0,'Исходные данные'!$B$88=""),0,MAX(0,IF('Исходные данные'!$B$88="Последние 12 месяцев",SUMIFS($Y$2:$Y$194,$B$2:$B$194,"&gt;="&amp;EDATE(B98,-11),$B$2:$B$194,"&lt;="&amp;B98),IF('Исходные данные'!$B$88="Пользовательский NOI",N('Исходные данные'!$B$89),AT98))/N('Исходные данные'!$B$80)*(1+N('Исходные данные'!$B$81))))</f>
        <v>0</v>
      </c>
      <c r="AV98">
        <f>IF(OR(E98&lt;&gt;1,B98="",'Исходные данные'!$B$91=""),0,IF(AND(YEAR(B98)=YEAR('Исходные данные'!$B$91),MONTH(B98)=MONTH('Исходные данные'!$B$91)),AU98,0))</f>
        <v>0</v>
      </c>
      <c r="AW98">
        <f>-AV98*N('Исходные данные'!$B$73)</f>
        <v>0</v>
      </c>
      <c r="AX98">
        <f>IF(AV98=0,0,-N('Исходные данные'!$B$87)-IF('Исходные данные'!$B$82="Да",IF('Исходные данные'!$B$84="С выручки",AV98,IF('Исходные данные'!$B$84="С прибыли",MAX(0,AV98+AW98-IF('Исходные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98">
        <f t="shared" ref="AY98:AY129" si="72">AV98+AW98+AX98</f>
        <v>0</v>
      </c>
      <c r="AZ98">
        <f t="shared" ref="AZ98:AZ129" si="73">Z98+AA98+AB98+AC98+AD98+AI98+AG98+O98+Q98+S98+U98+W98+X98+AL98</f>
        <v>0</v>
      </c>
      <c r="BA98">
        <f t="shared" ref="BA98:BA129" si="74">IF(E98=1,AZ98+N98+AP98+AS98+AY98,0)</f>
        <v>0</v>
      </c>
      <c r="BB98" t="str">
        <f t="shared" si="60"/>
        <v/>
      </c>
      <c r="BC98">
        <f>IF(OR(E98=0,'Исходные данные'!$B$9="",'Исходные данные'!$B$90=""),0,BA98/(1+'Исходные данные'!$B$90)^((D98-'Исходные данные'!$B$9)/365))</f>
        <v>0</v>
      </c>
      <c r="BD98">
        <f>IF(AND(E98=1,BB98&gt;=0,BB97&lt;0,MIN($BB$2:BB98)&lt;0),1,0)</f>
        <v>0</v>
      </c>
      <c r="BE98">
        <f t="shared" ref="BE98:BE129" si="75">IF(E98=1,N98+O98+Q98+S98+U98+W98+X98+AP98+AS98,0)</f>
        <v>0</v>
      </c>
      <c r="BF98">
        <f t="shared" ref="BF98:BF129" si="76">Y98</f>
        <v>0</v>
      </c>
      <c r="BG98">
        <f t="shared" ref="BG98:BG129" si="77">IF(E98=1,Y98+AG98+AS98+Z98+AA98+AB98+AC98+AL98+AY98,0)</f>
        <v>0</v>
      </c>
      <c r="BH98">
        <f t="shared" ref="BH98:BH129" si="78">--AND(Z98&lt;=0,AA98&lt;=0,AB98&lt;=0,AC98&lt;=0,AD98&gt;=0,AI98&lt;=0,AG98&lt;=0,O98&lt;=0,Q98&gt;=0,S98&lt;=0,U98&gt;=0,W98&lt;=0,X98&lt;=0,AL98&gt;=0,AP98&lt;=0,AS98&lt;=0,AV98&gt;=0,AW98&lt;=0,AX98&lt;=0,AK98&gt;=-0.01)</f>
        <v>1</v>
      </c>
      <c r="BI98">
        <f>AZ98+N98+AP98-AR98*N('Исходные данные'!$B$50)</f>
        <v>0</v>
      </c>
      <c r="BJ98">
        <f t="shared" si="61"/>
        <v>0</v>
      </c>
      <c r="BK98">
        <f>IF(AND(BJ98&gt;=0,BJ97&lt;0,MIN($BJ$2:BJ98)&lt;0),1,0)</f>
        <v>0</v>
      </c>
    </row>
    <row r="99" spans="1:63" x14ac:dyDescent="0.2">
      <c r="A99">
        <v>98</v>
      </c>
      <c r="B99" t="str">
        <f>IF('Исходные данные'!$B$9="","",EDATE(DATE(YEAR('Исходные данные'!$B$9),MONTH('Исходные данные'!$B$9),1),A99-1))</f>
        <v/>
      </c>
      <c r="C99" t="str">
        <f t="shared" si="62"/>
        <v/>
      </c>
      <c r="D99" t="str">
        <f>IF(B99="","",IF('Исходные данные'!$B$91&lt;&gt;"",IF(AND(YEAR(B99)=YEAR('Исходные данные'!$B$91),MONTH(B99)=MONTH('Исходные данные'!$B$91)),'Исходные данные'!$B$91,IF('Исходные данные'!$B$13&lt;&gt;"",IF(AND(YEAR(B99)=YEAR('Исходные данные'!$B$13),MONTH(B99)=MONTH('Исходные данные'!$B$13)),'Исходные данные'!$B$13,IF('Исходные данные'!$B$26&lt;&gt;"",IF(AND(YEAR(B99)=YEAR('Исходные данные'!$B$26),MONTH(B99)=MONTH('Исходные данные'!$B$26)),'Исходные данные'!$B$26,IF(A99=1,'Исходные данные'!$B$9,C99)),IF(A99=1,'Исходные данные'!$B$9,C99))),IF('Исходные данные'!$B$26&lt;&gt;"",IF(AND(YEAR(B99)=YEAR('Исходные данные'!$B$26),MONTH(B99)=MONTH('Исходные данные'!$B$26)),'Исходные данные'!$B$26,IF(A99=1,'Исходные данные'!$B$9,C99)),IF(A99=1,'Исходные данные'!$B$9,C99)))),IF('Исходные данные'!$B$13&lt;&gt;"",IF(AND(YEAR(B99)=YEAR('Исходные данные'!$B$13),MONTH(B99)=MONTH('Исходные данные'!$B$13)),'Исходные данные'!$B$13,IF('Исходные данные'!$B$26&lt;&gt;"",IF(AND(YEAR(B99)=YEAR('Исходные данные'!$B$26),MONTH(B99)=MONTH('Исходные данные'!$B$26)),'Исходные данные'!$B$26,IF(A99=1,'Исходные данные'!$B$9,C99)),IF(A99=1,'Исходные данные'!$B$9,C99))),IF('Исходные данные'!$B$26&lt;&gt;"",IF(AND(YEAR(B99)=YEAR('Исходные данные'!$B$26),MONTH(B99)=MONTH('Исходные данные'!$B$26)),'Исходные данные'!$B$26,IF(A99=1,'Исходные данные'!$B$9,C99)),IF(A99=1,'Исходные данные'!$B$9,C99)))))</f>
        <v/>
      </c>
      <c r="E99">
        <f>IF(OR(B99="",'Исходные данные'!$B$91=""),0,--(B99&lt;=DATE(YEAR('Исходные данные'!$B$91),MONTH('Исходные данные'!$B$91),1)))</f>
        <v>0</v>
      </c>
      <c r="F99">
        <f>IF(OR(B99="",'Исходные данные'!$B$30="",C99&lt;'Исходные данные'!$B$30),0,DATEDIF(DATE(YEAR('Исходные данные'!$B$30),MONTH('Исходные данные'!$B$30),1),B99,"m")+1)</f>
        <v>0</v>
      </c>
      <c r="G99">
        <f t="shared" si="63"/>
        <v>0</v>
      </c>
      <c r="H99">
        <f>IF(F99=0,0,IF(G99=1,N('Исходные данные'!$B$31),IF(G99=2,N('Исходные данные'!$B$32),IF(G99=3,N('Исходные данные'!$B$33),N('Исходные данные'!$B$33)*(1+N('Исходные данные'!$B$34))^(G99-3)))))</f>
        <v>0</v>
      </c>
      <c r="I99">
        <f>IF(OR(F99=0,N('Исходные данные'!$B$5)=0,H99=0),0,'Исходные данные'!$B$5*H99*IF(AND(B99&lt;='Исходные данные'!$B$30,C99&gt;='Исходные данные'!$B$30),(C99-'Исходные данные'!$B$30+1)/DAY(C99),1))</f>
        <v>0</v>
      </c>
      <c r="J99">
        <f>IF(AND(F99&gt;0,F99&lt;=N('Исходные данные'!$B$37)),-I99,0)</f>
        <v>0</v>
      </c>
      <c r="K99">
        <f>IF(OR(F99=0,F99&lt;=N('Исходные данные'!$B$37)),0,-(I99+J99)*N('Исходные данные'!$B$38))</f>
        <v>0</v>
      </c>
      <c r="L99">
        <f t="shared" si="64"/>
        <v>0</v>
      </c>
      <c r="M99">
        <f>IF('Исходные данные'!$B$51="Да",L99*N('Исходные данные'!$B$52),0)</f>
        <v>0</v>
      </c>
      <c r="N99">
        <f t="shared" si="65"/>
        <v>0</v>
      </c>
      <c r="O99">
        <f>IF(OR(B99="",IF('Исходные данные'!$B$45="",'Исходные данные'!$B$10,'Исходные данные'!$B$45)="",C99&lt;IF('Исходные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данные'!$B$45)),1),B99,"m")/12))*IF(AND(B99&lt;=IF('Исходные данные'!$B$45="",'Исходные данные'!$B$10,'Исходные данные'!$B$45),C99&gt;=IF('Исходные данные'!$B$45="",'Исходные данные'!$B$10,'Исходные данные'!$B$45)),(C99-IF('Исходные данные'!$B$45="",'Исходные данные'!$B$10,'Исходные данные'!$B$45)+1)/DAY(C99),1)*IF('Исходные данные'!$B$43="Без НДС",1+N('Исходные данные'!$B$44),1))</f>
        <v>0</v>
      </c>
      <c r="P99">
        <f>IF('Исходные данные'!$B$51="Да",-O99*N('Исходные данные'!$B$44)/(1+N('Исходные данные'!$B$44)),0)</f>
        <v>0</v>
      </c>
      <c r="Q99">
        <f>IF('Исходные данные'!$B$35="Да",-O99,0)</f>
        <v>0</v>
      </c>
      <c r="R99">
        <f>IF(AND('Исходные данные'!$B$51="Да",Q99&gt;0),Q99*N('Исходные данные'!$B$52)/(1+N('Исходные данные'!$B$52)),0)</f>
        <v>0</v>
      </c>
      <c r="S99">
        <f>IF(OR(B99="",IF('Исходные данные'!$B$45="",'Исходные данные'!$B$10,'Исходные данные'!$B$45)="",C99&lt;IF('Исходные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данные'!$B$45)),1),B99,"m")/12))*IF(AND(B99&lt;=IF('Исходные данные'!$B$45="",'Исходные данные'!$B$10,'Исходные данные'!$B$45),C99&gt;=IF('Исходные данные'!$B$45="",'Исходные данные'!$B$10,'Исходные данные'!$B$45)),(C99-IF('Исходные данные'!$B$45="",'Исходные данные'!$B$10,'Исходные данные'!$B$45)+1)/DAY(C99),1)*IF('Исходные данные'!$B$43="Без НДС",1+N('Исходные данные'!$B$44),1))</f>
        <v>0</v>
      </c>
      <c r="T99">
        <f>IF('Исходные данные'!$B$51="Да",-S99*N('Исходные данные'!$B$44)/(1+N('Исходные данные'!$B$44)),0)</f>
        <v>0</v>
      </c>
      <c r="U99">
        <f>IF('Исходные данные'!$B$36="Да",-S99,0)</f>
        <v>0</v>
      </c>
      <c r="V99">
        <f>IF(AND('Исходные данные'!$B$51="Да",U99&gt;0),U99*N('Исходные данные'!$B$52)/(1+N('Исходные данные'!$B$52)),0)</f>
        <v>0</v>
      </c>
      <c r="W99">
        <f>IF(OR(B99="",IF('Исходные данные'!$B$69="",'Исходные данные'!$B$10,'Исходные данные'!$B$69)="",C99&lt;IF('Исходные данные'!$B$69="",'Исходные данные'!$B$10,'Исходные данные'!$B$69)),0,-N('Исходные данные'!$B$16)*N('Исходные данные'!$B$68)*N('Исходные данные'!$B$67)/12*IF(AND(B99&lt;=IF('Исходные данные'!$B$69="",'Исходные данные'!$B$10,'Исходные данные'!$B$69),C99&gt;=IF('Исходные данные'!$B$69="",'Исходные данные'!$B$10,'Исходные данные'!$B$69)),(C99-IF('Исходные данные'!$B$69="",'Исходные данные'!$B$10,'Исходные данные'!$B$69)+1)/DAY(C99),1))</f>
        <v>0</v>
      </c>
      <c r="X99">
        <f>IF(OR(B99="",IF('Исходные данные'!$B$76="",'Исходные данные'!$B$10,'Исходные данные'!$B$76)="",C99&lt;IF('Исходные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данные'!$B$76)),1),B99,"m")/12))*IF(AND(B99&lt;=IF('Исходные данные'!$B$76="",'Исходные данные'!$B$10,'Исходные данные'!$B$76),C99&gt;=IF('Исходные данные'!$B$76="",'Исходные данные'!$B$10,'Исходные данные'!$B$76)),(C99-IF('Исходные данные'!$B$76="",'Исходные данные'!$B$10,'Исходные данные'!$B$76)+1)/DAY(C99),1))</f>
        <v>0</v>
      </c>
      <c r="Y99">
        <f t="shared" si="66"/>
        <v>0</v>
      </c>
      <c r="Z99">
        <f>IF(OR(B99="",N('Исходные данные'!$B$19)=0),0,-SUMIFS('Исходные данные'!$I$6:$I$186,'Исходные данные'!$F$6:$F$186,B99)*N('Исходные данные'!$B$17)/N('Исходные данные'!$B$19))</f>
        <v>0</v>
      </c>
      <c r="AA99">
        <f>IF(OR(B99="",N('Исходные данные'!$B$19)=0),0,-SUMIFS('Исходные данные'!$I$6:$I$186,'Исходные данные'!$F$6:$F$186,B99)*N('Исходные данные'!$B$18)/N('Исходные данные'!$B$19))</f>
        <v>0</v>
      </c>
      <c r="AB99">
        <f>IF(OR(B99="",'Исходные данные'!$B$13=""),0,IF(AND(YEAR(B99)=YEAR('Исходные данные'!$B$13),MONTH(B99)=MONTH('Исходные данные'!$B$13)),-N('Исходные данные'!$B$11),0))</f>
        <v>0</v>
      </c>
      <c r="AC99">
        <f>IF(A99=1,-N('Исходные данные'!$B$19)*N('Исходные данные'!$B$72),0)</f>
        <v>0</v>
      </c>
      <c r="AD99">
        <f>IF(OR(B99="",'Исходные данные'!$B$22&lt;&gt;"Да",'Исходные данные'!$B$26=""),0,IF(AND(YEAR(B99)=YEAR('Исходные данные'!$B$26),MONTH(B99)=MONTH('Исходные данные'!$B$26)),N('Исходные данные'!$B$23),0))</f>
        <v>0</v>
      </c>
      <c r="AE99">
        <f t="shared" ref="AE99:AE130" si="79">AK98</f>
        <v>0</v>
      </c>
      <c r="AF99">
        <f>IF(OR('Исходные данные'!$B$22&lt;&gt;"Да",'Исходные данные'!$B$26="",C99&lt;'Исходные данные'!$B$26),0,DATEDIF(DATE(YEAR('Исходные данные'!$B$26),MONTH('Исходные данные'!$B$26),1),B99,"m")+1)</f>
        <v>0</v>
      </c>
      <c r="AG99">
        <f>IF(OR(AF99&lt;1,AF99&gt;N('Исходные данные'!$B$25),AE99+AD99&lt;=0),0,-(AE99+AD99)*N('Исходные данные'!$B$24)*IF(AF99=1,C99-'Исходные данные'!$B$26+1,DAY(C99))/365)</f>
        <v>0</v>
      </c>
      <c r="AH99">
        <f>IF(OR(AF99&lt;1,AF99&gt;N('Исходные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данные'!$B$25)-AG99))</f>
        <v>0</v>
      </c>
      <c r="AI99">
        <f>IF(OR('Исходные данные'!$B$22&lt;&gt;"Да",AE99+AD99&lt;=0),0,IF(AND('Исходные данные'!$B$91&lt;&gt;"",B99&lt;&gt;"",YEAR(B99)=YEAR('Исходные данные'!$B$91),MONTH(B99)=MONTH('Исходные данные'!$B$91)),-(AE99+AD99),IF(OR(AF99&lt;1,AF99&gt;N('Исходные данные'!$B$25)),0,IF('Исходные данные'!$B$27="Равными долями",-MIN(AE99+AD99,N('Исходные данные'!$B$23)/N('Исходные данные'!$B$25)),-MIN(AE99+AD99,IF(AF99=N('Исходные данные'!$B$25),AE99+AD99,MAX(0,AH99+AG99)))))))</f>
        <v>0</v>
      </c>
      <c r="AJ99">
        <f t="shared" si="67"/>
        <v>0</v>
      </c>
      <c r="AK99">
        <f t="shared" si="68"/>
        <v>0</v>
      </c>
      <c r="AL99">
        <f>IF(OR(B99="",'Исходные данные'!$B$51&lt;&gt;"Да",'Исходные данные'!$B$61=""),0,IF(AND(YEAR(B99)=YEAR('Исходные данные'!$B$61),MONTH(B99)=MONTH('Исходные данные'!$B$61)),N('Исходные данные'!$B$18)*N('Исходные данные'!$B$62),0))</f>
        <v>0</v>
      </c>
      <c r="AM99">
        <f t="shared" ref="AM99:AM130" si="80">AQ98</f>
        <v>0</v>
      </c>
      <c r="AN99">
        <f t="shared" si="69"/>
        <v>0</v>
      </c>
      <c r="AO99">
        <f t="shared" si="70"/>
        <v>0</v>
      </c>
      <c r="AP99">
        <f>IF('Исходные данные'!$B$51="Да",-MAX(0,AN99-AO99-AM99),0)</f>
        <v>0</v>
      </c>
      <c r="AQ99">
        <f>IF('Исходные данные'!$B$51="Да",MAX(0,AM99+AO99-AN99),0)</f>
        <v>0</v>
      </c>
      <c r="AR99">
        <f>IF('Исходные данные'!$B$53="Выручка",MAX(0,L99+(Q99-R99)+(U99-V99)),IF('Исходные данные'!$B$53="Прибыль до налога",MAX(0,L99+(Q99-R99)+(U99-V99)+N('Исходные данные'!$B$54)*((O99+P99)+(S99+T99)+W99+X99)+IF('Исходные данные'!$B$55="Да",AG99,0)-N('Исходные данные'!$B$56)/12),IF('Исходные данные'!$B$53="Пользовательская база",MAX(0,N('Исходные данные'!$B$57)/12),0)))</f>
        <v>0</v>
      </c>
      <c r="AS99">
        <f>IF(E99=1,-AR99*N('Исходные данные'!$B$50),0)</f>
        <v>0</v>
      </c>
      <c r="AT99">
        <f t="shared" si="71"/>
        <v>0</v>
      </c>
      <c r="AU99">
        <f>IF(OR(B99="",N('Исходные данные'!$B$80)&lt;=0,'Исходные данные'!$B$88=""),0,MAX(0,IF('Исходные данные'!$B$88="Последние 12 месяцев",SUMIFS($Y$2:$Y$194,$B$2:$B$194,"&gt;="&amp;EDATE(B99,-11),$B$2:$B$194,"&lt;="&amp;B99),IF('Исходные данные'!$B$88="Пользовательский NOI",N('Исходные данные'!$B$89),AT99))/N('Исходные данные'!$B$80)*(1+N('Исходные данные'!$B$81))))</f>
        <v>0</v>
      </c>
      <c r="AV99">
        <f>IF(OR(E99&lt;&gt;1,B99="",'Исходные данные'!$B$91=""),0,IF(AND(YEAR(B99)=YEAR('Исходные данные'!$B$91),MONTH(B99)=MONTH('Исходные данные'!$B$91)),AU99,0))</f>
        <v>0</v>
      </c>
      <c r="AW99">
        <f>-AV99*N('Исходные данные'!$B$73)</f>
        <v>0</v>
      </c>
      <c r="AX99">
        <f>IF(AV99=0,0,-N('Исходные данные'!$B$87)-IF('Исходные данные'!$B$82="Да",IF('Исходные данные'!$B$84="С выручки",AV99,IF('Исходные данные'!$B$84="С прибыли",MAX(0,AV99+AW99-IF('Исходные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99">
        <f t="shared" si="72"/>
        <v>0</v>
      </c>
      <c r="AZ99">
        <f t="shared" si="73"/>
        <v>0</v>
      </c>
      <c r="BA99">
        <f t="shared" si="74"/>
        <v>0</v>
      </c>
      <c r="BB99" t="str">
        <f t="shared" ref="BB99:BB130" si="81">IF(E99=1,BB98+BA99,"")</f>
        <v/>
      </c>
      <c r="BC99">
        <f>IF(OR(E99=0,'Исходные данные'!$B$9="",'Исходные данные'!$B$90=""),0,BA99/(1+'Исходные данные'!$B$90)^((D99-'Исходные данные'!$B$9)/365))</f>
        <v>0</v>
      </c>
      <c r="BD99">
        <f>IF(AND(E99=1,BB99&gt;=0,BB98&lt;0,MIN($BB$2:BB99)&lt;0),1,0)</f>
        <v>0</v>
      </c>
      <c r="BE99">
        <f t="shared" si="75"/>
        <v>0</v>
      </c>
      <c r="BF99">
        <f t="shared" si="76"/>
        <v>0</v>
      </c>
      <c r="BG99">
        <f t="shared" si="77"/>
        <v>0</v>
      </c>
      <c r="BH99">
        <f t="shared" si="78"/>
        <v>1</v>
      </c>
      <c r="BI99">
        <f>AZ99+N99+AP99-AR99*N('Исходные данные'!$B$50)</f>
        <v>0</v>
      </c>
      <c r="BJ99">
        <f t="shared" si="61"/>
        <v>0</v>
      </c>
      <c r="BK99">
        <f>IF(AND(BJ99&gt;=0,BJ98&lt;0,MIN($BJ$2:BJ99)&lt;0),1,0)</f>
        <v>0</v>
      </c>
    </row>
    <row r="100" spans="1:63" x14ac:dyDescent="0.2">
      <c r="A100">
        <v>99</v>
      </c>
      <c r="B100" t="str">
        <f>IF('Исходные данные'!$B$9="","",EDATE(DATE(YEAR('Исходные данные'!$B$9),MONTH('Исходные данные'!$B$9),1),A100-1))</f>
        <v/>
      </c>
      <c r="C100" t="str">
        <f t="shared" si="62"/>
        <v/>
      </c>
      <c r="D100" t="str">
        <f>IF(B100="","",IF('Исходные данные'!$B$91&lt;&gt;"",IF(AND(YEAR(B100)=YEAR('Исходные данные'!$B$91),MONTH(B100)=MONTH('Исходные данные'!$B$91)),'Исходные данные'!$B$91,IF('Исходные данные'!$B$13&lt;&gt;"",IF(AND(YEAR(B100)=YEAR('Исходные данные'!$B$13),MONTH(B100)=MONTH('Исходные данные'!$B$13)),'Исходные данные'!$B$13,IF('Исходные данные'!$B$26&lt;&gt;"",IF(AND(YEAR(B100)=YEAR('Исходные данные'!$B$26),MONTH(B100)=MONTH('Исходные данные'!$B$26)),'Исходные данные'!$B$26,IF(A100=1,'Исходные данные'!$B$9,C100)),IF(A100=1,'Исходные данные'!$B$9,C100))),IF('Исходные данные'!$B$26&lt;&gt;"",IF(AND(YEAR(B100)=YEAR('Исходные данные'!$B$26),MONTH(B100)=MONTH('Исходные данные'!$B$26)),'Исходные данные'!$B$26,IF(A100=1,'Исходные данные'!$B$9,C100)),IF(A100=1,'Исходные данные'!$B$9,C100)))),IF('Исходные данные'!$B$13&lt;&gt;"",IF(AND(YEAR(B100)=YEAR('Исходные данные'!$B$13),MONTH(B100)=MONTH('Исходные данные'!$B$13)),'Исходные данные'!$B$13,IF('Исходные данные'!$B$26&lt;&gt;"",IF(AND(YEAR(B100)=YEAR('Исходные данные'!$B$26),MONTH(B100)=MONTH('Исходные данные'!$B$26)),'Исходные данные'!$B$26,IF(A100=1,'Исходные данные'!$B$9,C100)),IF(A100=1,'Исходные данные'!$B$9,C100))),IF('Исходные данные'!$B$26&lt;&gt;"",IF(AND(YEAR(B100)=YEAR('Исходные данные'!$B$26),MONTH(B100)=MONTH('Исходные данные'!$B$26)),'Исходные данные'!$B$26,IF(A100=1,'Исходные данные'!$B$9,C100)),IF(A100=1,'Исходные данные'!$B$9,C100)))))</f>
        <v/>
      </c>
      <c r="E100">
        <f>IF(OR(B100="",'Исходные данные'!$B$91=""),0,--(B100&lt;=DATE(YEAR('Исходные данные'!$B$91),MONTH('Исходные данные'!$B$91),1)))</f>
        <v>0</v>
      </c>
      <c r="F100">
        <f>IF(OR(B100="",'Исходные данные'!$B$30="",C100&lt;'Исходные данные'!$B$30),0,DATEDIF(DATE(YEAR('Исходные данные'!$B$30),MONTH('Исходные данные'!$B$30),1),B100,"m")+1)</f>
        <v>0</v>
      </c>
      <c r="G100">
        <f t="shared" si="63"/>
        <v>0</v>
      </c>
      <c r="H100">
        <f>IF(F100=0,0,IF(G100=1,N('Исходные данные'!$B$31),IF(G100=2,N('Исходные данные'!$B$32),IF(G100=3,N('Исходные данные'!$B$33),N('Исходные данные'!$B$33)*(1+N('Исходные данные'!$B$34))^(G100-3)))))</f>
        <v>0</v>
      </c>
      <c r="I100">
        <f>IF(OR(F100=0,N('Исходные данные'!$B$5)=0,H100=0),0,'Исходные данные'!$B$5*H100*IF(AND(B100&lt;='Исходные данные'!$B$30,C100&gt;='Исходные данные'!$B$30),(C100-'Исходные данные'!$B$30+1)/DAY(C100),1))</f>
        <v>0</v>
      </c>
      <c r="J100">
        <f>IF(AND(F100&gt;0,F100&lt;=N('Исходные данные'!$B$37)),-I100,0)</f>
        <v>0</v>
      </c>
      <c r="K100">
        <f>IF(OR(F100=0,F100&lt;=N('Исходные данные'!$B$37)),0,-(I100+J100)*N('Исходные данные'!$B$38))</f>
        <v>0</v>
      </c>
      <c r="L100">
        <f t="shared" si="64"/>
        <v>0</v>
      </c>
      <c r="M100">
        <f>IF('Исходные данные'!$B$51="Да",L100*N('Исходные данные'!$B$52),0)</f>
        <v>0</v>
      </c>
      <c r="N100">
        <f t="shared" si="65"/>
        <v>0</v>
      </c>
      <c r="O100">
        <f>IF(OR(B100="",IF('Исходные данные'!$B$45="",'Исходные данные'!$B$10,'Исходные данные'!$B$45)="",C100&lt;IF('Исходные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данные'!$B$45)),1),B100,"m")/12))*IF(AND(B100&lt;=IF('Исходные данные'!$B$45="",'Исходные данные'!$B$10,'Исходные данные'!$B$45),C100&gt;=IF('Исходные данные'!$B$45="",'Исходные данные'!$B$10,'Исходные данные'!$B$45)),(C100-IF('Исходные данные'!$B$45="",'Исходные данные'!$B$10,'Исходные данные'!$B$45)+1)/DAY(C100),1)*IF('Исходные данные'!$B$43="Без НДС",1+N('Исходные данные'!$B$44),1))</f>
        <v>0</v>
      </c>
      <c r="P100">
        <f>IF('Исходные данные'!$B$51="Да",-O100*N('Исходные данные'!$B$44)/(1+N('Исходные данные'!$B$44)),0)</f>
        <v>0</v>
      </c>
      <c r="Q100">
        <f>IF('Исходные данные'!$B$35="Да",-O100,0)</f>
        <v>0</v>
      </c>
      <c r="R100">
        <f>IF(AND('Исходные данные'!$B$51="Да",Q100&gt;0),Q100*N('Исходные данные'!$B$52)/(1+N('Исходные данные'!$B$52)),0)</f>
        <v>0</v>
      </c>
      <c r="S100">
        <f>IF(OR(B100="",IF('Исходные данные'!$B$45="",'Исходные данные'!$B$10,'Исходные данные'!$B$45)="",C100&lt;IF('Исходные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данные'!$B$45)),1),B100,"m")/12))*IF(AND(B100&lt;=IF('Исходные данные'!$B$45="",'Исходные данные'!$B$10,'Исходные данные'!$B$45),C100&gt;=IF('Исходные данные'!$B$45="",'Исходные данные'!$B$10,'Исходные данные'!$B$45)),(C100-IF('Исходные данные'!$B$45="",'Исходные данные'!$B$10,'Исходные данные'!$B$45)+1)/DAY(C100),1)*IF('Исходные данные'!$B$43="Без НДС",1+N('Исходные данные'!$B$44),1))</f>
        <v>0</v>
      </c>
      <c r="T100">
        <f>IF('Исходные данные'!$B$51="Да",-S100*N('Исходные данные'!$B$44)/(1+N('Исходные данные'!$B$44)),0)</f>
        <v>0</v>
      </c>
      <c r="U100">
        <f>IF('Исходные данные'!$B$36="Да",-S100,0)</f>
        <v>0</v>
      </c>
      <c r="V100">
        <f>IF(AND('Исходные данные'!$B$51="Да",U100&gt;0),U100*N('Исходные данные'!$B$52)/(1+N('Исходные данные'!$B$52)),0)</f>
        <v>0</v>
      </c>
      <c r="W100">
        <f>IF(OR(B100="",IF('Исходные данные'!$B$69="",'Исходные данные'!$B$10,'Исходные данные'!$B$69)="",C100&lt;IF('Исходные данные'!$B$69="",'Исходные данные'!$B$10,'Исходные данные'!$B$69)),0,-N('Исходные данные'!$B$16)*N('Исходные данные'!$B$68)*N('Исходные данные'!$B$67)/12*IF(AND(B100&lt;=IF('Исходные данные'!$B$69="",'Исходные данные'!$B$10,'Исходные данные'!$B$69),C100&gt;=IF('Исходные данные'!$B$69="",'Исходные данные'!$B$10,'Исходные данные'!$B$69)),(C100-IF('Исходные данные'!$B$69="",'Исходные данные'!$B$10,'Исходные данные'!$B$69)+1)/DAY(C100),1))</f>
        <v>0</v>
      </c>
      <c r="X100">
        <f>IF(OR(B100="",IF('Исходные данные'!$B$76="",'Исходные данные'!$B$10,'Исходные данные'!$B$76)="",C100&lt;IF('Исходные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данные'!$B$76)),1),B100,"m")/12))*IF(AND(B100&lt;=IF('Исходные данные'!$B$76="",'Исходные данные'!$B$10,'Исходные данные'!$B$76),C100&gt;=IF('Исходные данные'!$B$76="",'Исходные данные'!$B$10,'Исходные данные'!$B$76)),(C100-IF('Исходные данные'!$B$76="",'Исходные данные'!$B$10,'Исходные данные'!$B$76)+1)/DAY(C100),1))</f>
        <v>0</v>
      </c>
      <c r="Y100">
        <f t="shared" si="66"/>
        <v>0</v>
      </c>
      <c r="Z100">
        <f>IF(OR(B100="",N('Исходные данные'!$B$19)=0),0,-SUMIFS('Исходные данные'!$I$6:$I$186,'Исходные данные'!$F$6:$F$186,B100)*N('Исходные данные'!$B$17)/N('Исходные данные'!$B$19))</f>
        <v>0</v>
      </c>
      <c r="AA100">
        <f>IF(OR(B100="",N('Исходные данные'!$B$19)=0),0,-SUMIFS('Исходные данные'!$I$6:$I$186,'Исходные данные'!$F$6:$F$186,B100)*N('Исходные данные'!$B$18)/N('Исходные данные'!$B$19))</f>
        <v>0</v>
      </c>
      <c r="AB100">
        <f>IF(OR(B100="",'Исходные данные'!$B$13=""),0,IF(AND(YEAR(B100)=YEAR('Исходные данные'!$B$13),MONTH(B100)=MONTH('Исходные данные'!$B$13)),-N('Исходные данные'!$B$11),0))</f>
        <v>0</v>
      </c>
      <c r="AC100">
        <f>IF(A100=1,-N('Исходные данные'!$B$19)*N('Исходные данные'!$B$72),0)</f>
        <v>0</v>
      </c>
      <c r="AD100">
        <f>IF(OR(B100="",'Исходные данные'!$B$22&lt;&gt;"Да",'Исходные данные'!$B$26=""),0,IF(AND(YEAR(B100)=YEAR('Исходные данные'!$B$26),MONTH(B100)=MONTH('Исходные данные'!$B$26)),N('Исходные данные'!$B$23),0))</f>
        <v>0</v>
      </c>
      <c r="AE100">
        <f t="shared" si="79"/>
        <v>0</v>
      </c>
      <c r="AF100">
        <f>IF(OR('Исходные данные'!$B$22&lt;&gt;"Да",'Исходные данные'!$B$26="",C100&lt;'Исходные данные'!$B$26),0,DATEDIF(DATE(YEAR('Исходные данные'!$B$26),MONTH('Исходные данные'!$B$26),1),B100,"m")+1)</f>
        <v>0</v>
      </c>
      <c r="AG100">
        <f>IF(OR(AF100&lt;1,AF100&gt;N('Исходные данные'!$B$25),AE100+AD100&lt;=0),0,-(AE100+AD100)*N('Исходные данные'!$B$24)*IF(AF100=1,C100-'Исходные данные'!$B$26+1,DAY(C100))/365)</f>
        <v>0</v>
      </c>
      <c r="AH100">
        <f>IF(OR(AF100&lt;1,AF100&gt;N('Исходные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данные'!$B$25)-AG100))</f>
        <v>0</v>
      </c>
      <c r="AI100">
        <f>IF(OR('Исходные данные'!$B$22&lt;&gt;"Да",AE100+AD100&lt;=0),0,IF(AND('Исходные данные'!$B$91&lt;&gt;"",B100&lt;&gt;"",YEAR(B100)=YEAR('Исходные данные'!$B$91),MONTH(B100)=MONTH('Исходные данные'!$B$91)),-(AE100+AD100),IF(OR(AF100&lt;1,AF100&gt;N('Исходные данные'!$B$25)),0,IF('Исходные данные'!$B$27="Равными долями",-MIN(AE100+AD100,N('Исходные данные'!$B$23)/N('Исходные данные'!$B$25)),-MIN(AE100+AD100,IF(AF100=N('Исходные данные'!$B$25),AE100+AD100,MAX(0,AH100+AG100)))))))</f>
        <v>0</v>
      </c>
      <c r="AJ100">
        <f t="shared" si="67"/>
        <v>0</v>
      </c>
      <c r="AK100">
        <f t="shared" si="68"/>
        <v>0</v>
      </c>
      <c r="AL100">
        <f>IF(OR(B100="",'Исходные данные'!$B$51&lt;&gt;"Да",'Исходные данные'!$B$61=""),0,IF(AND(YEAR(B100)=YEAR('Исходные данные'!$B$61),MONTH(B100)=MONTH('Исходные данные'!$B$61)),N('Исходные данные'!$B$18)*N('Исходные данные'!$B$62),0))</f>
        <v>0</v>
      </c>
      <c r="AM100">
        <f t="shared" si="80"/>
        <v>0</v>
      </c>
      <c r="AN100">
        <f t="shared" si="69"/>
        <v>0</v>
      </c>
      <c r="AO100">
        <f t="shared" si="70"/>
        <v>0</v>
      </c>
      <c r="AP100">
        <f>IF('Исходные данные'!$B$51="Да",-MAX(0,AN100-AO100-AM100),0)</f>
        <v>0</v>
      </c>
      <c r="AQ100">
        <f>IF('Исходные данные'!$B$51="Да",MAX(0,AM100+AO100-AN100),0)</f>
        <v>0</v>
      </c>
      <c r="AR100">
        <f>IF('Исходные данные'!$B$53="Выручка",MAX(0,L100+(Q100-R100)+(U100-V100)),IF('Исходные данные'!$B$53="Прибыль до налога",MAX(0,L100+(Q100-R100)+(U100-V100)+N('Исходные данные'!$B$54)*((O100+P100)+(S100+T100)+W100+X100)+IF('Исходные данные'!$B$55="Да",AG100,0)-N('Исходные данные'!$B$56)/12),IF('Исходные данные'!$B$53="Пользовательская база",MAX(0,N('Исходные данные'!$B$57)/12),0)))</f>
        <v>0</v>
      </c>
      <c r="AS100">
        <f>IF(E100=1,-AR100*N('Исходные данные'!$B$50),0)</f>
        <v>0</v>
      </c>
      <c r="AT100">
        <f t="shared" si="71"/>
        <v>0</v>
      </c>
      <c r="AU100">
        <f>IF(OR(B100="",N('Исходные данные'!$B$80)&lt;=0,'Исходные данные'!$B$88=""),0,MAX(0,IF('Исходные данные'!$B$88="Последние 12 месяцев",SUMIFS($Y$2:$Y$194,$B$2:$B$194,"&gt;="&amp;EDATE(B100,-11),$B$2:$B$194,"&lt;="&amp;B100),IF('Исходные данные'!$B$88="Пользовательский NOI",N('Исходные данные'!$B$89),AT100))/N('Исходные данные'!$B$80)*(1+N('Исходные данные'!$B$81))))</f>
        <v>0</v>
      </c>
      <c r="AV100">
        <f>IF(OR(E100&lt;&gt;1,B100="",'Исходные данные'!$B$91=""),0,IF(AND(YEAR(B100)=YEAR('Исходные данные'!$B$91),MONTH(B100)=MONTH('Исходные данные'!$B$91)),AU100,0))</f>
        <v>0</v>
      </c>
      <c r="AW100">
        <f>-AV100*N('Исходные данные'!$B$73)</f>
        <v>0</v>
      </c>
      <c r="AX100">
        <f>IF(AV100=0,0,-N('Исходные данные'!$B$87)-IF('Исходные данные'!$B$82="Да",IF('Исходные данные'!$B$84="С выручки",AV100,IF('Исходные данные'!$B$84="С прибыли",MAX(0,AV100+AW100-IF('Исходные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00">
        <f t="shared" si="72"/>
        <v>0</v>
      </c>
      <c r="AZ100">
        <f t="shared" si="73"/>
        <v>0</v>
      </c>
      <c r="BA100">
        <f t="shared" si="74"/>
        <v>0</v>
      </c>
      <c r="BB100" t="str">
        <f t="shared" si="81"/>
        <v/>
      </c>
      <c r="BC100">
        <f>IF(OR(E100=0,'Исходные данные'!$B$9="",'Исходные данные'!$B$90=""),0,BA100/(1+'Исходные данные'!$B$90)^((D100-'Исходные данные'!$B$9)/365))</f>
        <v>0</v>
      </c>
      <c r="BD100">
        <f>IF(AND(E100=1,BB100&gt;=0,BB99&lt;0,MIN($BB$2:BB100)&lt;0),1,0)</f>
        <v>0</v>
      </c>
      <c r="BE100">
        <f t="shared" si="75"/>
        <v>0</v>
      </c>
      <c r="BF100">
        <f t="shared" si="76"/>
        <v>0</v>
      </c>
      <c r="BG100">
        <f t="shared" si="77"/>
        <v>0</v>
      </c>
      <c r="BH100">
        <f t="shared" si="78"/>
        <v>1</v>
      </c>
      <c r="BI100">
        <f>AZ100+N100+AP100-AR100*N('Исходные данные'!$B$50)</f>
        <v>0</v>
      </c>
      <c r="BJ100">
        <f t="shared" si="61"/>
        <v>0</v>
      </c>
      <c r="BK100">
        <f>IF(AND(BJ100&gt;=0,BJ99&lt;0,MIN($BJ$2:BJ100)&lt;0),1,0)</f>
        <v>0</v>
      </c>
    </row>
    <row r="101" spans="1:63" x14ac:dyDescent="0.2">
      <c r="A101">
        <v>100</v>
      </c>
      <c r="B101" t="str">
        <f>IF('Исходные данные'!$B$9="","",EDATE(DATE(YEAR('Исходные данные'!$B$9),MONTH('Исходные данные'!$B$9),1),A101-1))</f>
        <v/>
      </c>
      <c r="C101" t="str">
        <f t="shared" si="62"/>
        <v/>
      </c>
      <c r="D101" t="str">
        <f>IF(B101="","",IF('Исходные данные'!$B$91&lt;&gt;"",IF(AND(YEAR(B101)=YEAR('Исходные данные'!$B$91),MONTH(B101)=MONTH('Исходные данные'!$B$91)),'Исходные данные'!$B$91,IF('Исходные данные'!$B$13&lt;&gt;"",IF(AND(YEAR(B101)=YEAR('Исходные данные'!$B$13),MONTH(B101)=MONTH('Исходные данные'!$B$13)),'Исходные данные'!$B$13,IF('Исходные данные'!$B$26&lt;&gt;"",IF(AND(YEAR(B101)=YEAR('Исходные данные'!$B$26),MONTH(B101)=MONTH('Исходные данные'!$B$26)),'Исходные данные'!$B$26,IF(A101=1,'Исходные данные'!$B$9,C101)),IF(A101=1,'Исходные данные'!$B$9,C101))),IF('Исходные данные'!$B$26&lt;&gt;"",IF(AND(YEAR(B101)=YEAR('Исходные данные'!$B$26),MONTH(B101)=MONTH('Исходные данные'!$B$26)),'Исходные данные'!$B$26,IF(A101=1,'Исходные данные'!$B$9,C101)),IF(A101=1,'Исходные данные'!$B$9,C101)))),IF('Исходные данные'!$B$13&lt;&gt;"",IF(AND(YEAR(B101)=YEAR('Исходные данные'!$B$13),MONTH(B101)=MONTH('Исходные данные'!$B$13)),'Исходные данные'!$B$13,IF('Исходные данные'!$B$26&lt;&gt;"",IF(AND(YEAR(B101)=YEAR('Исходные данные'!$B$26),MONTH(B101)=MONTH('Исходные данные'!$B$26)),'Исходные данные'!$B$26,IF(A101=1,'Исходные данные'!$B$9,C101)),IF(A101=1,'Исходные данные'!$B$9,C101))),IF('Исходные данные'!$B$26&lt;&gt;"",IF(AND(YEAR(B101)=YEAR('Исходные данные'!$B$26),MONTH(B101)=MONTH('Исходные данные'!$B$26)),'Исходные данные'!$B$26,IF(A101=1,'Исходные данные'!$B$9,C101)),IF(A101=1,'Исходные данные'!$B$9,C101)))))</f>
        <v/>
      </c>
      <c r="E101">
        <f>IF(OR(B101="",'Исходные данные'!$B$91=""),0,--(B101&lt;=DATE(YEAR('Исходные данные'!$B$91),MONTH('Исходные данные'!$B$91),1)))</f>
        <v>0</v>
      </c>
      <c r="F101">
        <f>IF(OR(B101="",'Исходные данные'!$B$30="",C101&lt;'Исходные данные'!$B$30),0,DATEDIF(DATE(YEAR('Исходные данные'!$B$30),MONTH('Исходные данные'!$B$30),1),B101,"m")+1)</f>
        <v>0</v>
      </c>
      <c r="G101">
        <f t="shared" si="63"/>
        <v>0</v>
      </c>
      <c r="H101">
        <f>IF(F101=0,0,IF(G101=1,N('Исходные данные'!$B$31),IF(G101=2,N('Исходные данные'!$B$32),IF(G101=3,N('Исходные данные'!$B$33),N('Исходные данные'!$B$33)*(1+N('Исходные данные'!$B$34))^(G101-3)))))</f>
        <v>0</v>
      </c>
      <c r="I101">
        <f>IF(OR(F101=0,N('Исходные данные'!$B$5)=0,H101=0),0,'Исходные данные'!$B$5*H101*IF(AND(B101&lt;='Исходные данные'!$B$30,C101&gt;='Исходные данные'!$B$30),(C101-'Исходные данные'!$B$30+1)/DAY(C101),1))</f>
        <v>0</v>
      </c>
      <c r="J101">
        <f>IF(AND(F101&gt;0,F101&lt;=N('Исходные данные'!$B$37)),-I101,0)</f>
        <v>0</v>
      </c>
      <c r="K101">
        <f>IF(OR(F101=0,F101&lt;=N('Исходные данные'!$B$37)),0,-(I101+J101)*N('Исходные данные'!$B$38))</f>
        <v>0</v>
      </c>
      <c r="L101">
        <f t="shared" si="64"/>
        <v>0</v>
      </c>
      <c r="M101">
        <f>IF('Исходные данные'!$B$51="Да",L101*N('Исходные данные'!$B$52),0)</f>
        <v>0</v>
      </c>
      <c r="N101">
        <f t="shared" si="65"/>
        <v>0</v>
      </c>
      <c r="O101">
        <f>IF(OR(B101="",IF('Исходные данные'!$B$45="",'Исходные данные'!$B$10,'Исходные данные'!$B$45)="",C101&lt;IF('Исходные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данные'!$B$45)),1),B101,"m")/12))*IF(AND(B101&lt;=IF('Исходные данные'!$B$45="",'Исходные данные'!$B$10,'Исходные данные'!$B$45),C101&gt;=IF('Исходные данные'!$B$45="",'Исходные данные'!$B$10,'Исходные данные'!$B$45)),(C101-IF('Исходные данные'!$B$45="",'Исходные данные'!$B$10,'Исходные данные'!$B$45)+1)/DAY(C101),1)*IF('Исходные данные'!$B$43="Без НДС",1+N('Исходные данные'!$B$44),1))</f>
        <v>0</v>
      </c>
      <c r="P101">
        <f>IF('Исходные данные'!$B$51="Да",-O101*N('Исходные данные'!$B$44)/(1+N('Исходные данные'!$B$44)),0)</f>
        <v>0</v>
      </c>
      <c r="Q101">
        <f>IF('Исходные данные'!$B$35="Да",-O101,0)</f>
        <v>0</v>
      </c>
      <c r="R101">
        <f>IF(AND('Исходные данные'!$B$51="Да",Q101&gt;0),Q101*N('Исходные данные'!$B$52)/(1+N('Исходные данные'!$B$52)),0)</f>
        <v>0</v>
      </c>
      <c r="S101">
        <f>IF(OR(B101="",IF('Исходные данные'!$B$45="",'Исходные данные'!$B$10,'Исходные данные'!$B$45)="",C101&lt;IF('Исходные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данные'!$B$45)),1),B101,"m")/12))*IF(AND(B101&lt;=IF('Исходные данные'!$B$45="",'Исходные данные'!$B$10,'Исходные данные'!$B$45),C101&gt;=IF('Исходные данные'!$B$45="",'Исходные данные'!$B$10,'Исходные данные'!$B$45)),(C101-IF('Исходные данные'!$B$45="",'Исходные данные'!$B$10,'Исходные данные'!$B$45)+1)/DAY(C101),1)*IF('Исходные данные'!$B$43="Без НДС",1+N('Исходные данные'!$B$44),1))</f>
        <v>0</v>
      </c>
      <c r="T101">
        <f>IF('Исходные данные'!$B$51="Да",-S101*N('Исходные данные'!$B$44)/(1+N('Исходные данные'!$B$44)),0)</f>
        <v>0</v>
      </c>
      <c r="U101">
        <f>IF('Исходные данные'!$B$36="Да",-S101,0)</f>
        <v>0</v>
      </c>
      <c r="V101">
        <f>IF(AND('Исходные данные'!$B$51="Да",U101&gt;0),U101*N('Исходные данные'!$B$52)/(1+N('Исходные данные'!$B$52)),0)</f>
        <v>0</v>
      </c>
      <c r="W101">
        <f>IF(OR(B101="",IF('Исходные данные'!$B$69="",'Исходные данные'!$B$10,'Исходные данные'!$B$69)="",C101&lt;IF('Исходные данные'!$B$69="",'Исходные данные'!$B$10,'Исходные данные'!$B$69)),0,-N('Исходные данные'!$B$16)*N('Исходные данные'!$B$68)*N('Исходные данные'!$B$67)/12*IF(AND(B101&lt;=IF('Исходные данные'!$B$69="",'Исходные данные'!$B$10,'Исходные данные'!$B$69),C101&gt;=IF('Исходные данные'!$B$69="",'Исходные данные'!$B$10,'Исходные данные'!$B$69)),(C101-IF('Исходные данные'!$B$69="",'Исходные данные'!$B$10,'Исходные данные'!$B$69)+1)/DAY(C101),1))</f>
        <v>0</v>
      </c>
      <c r="X101">
        <f>IF(OR(B101="",IF('Исходные данные'!$B$76="",'Исходные данные'!$B$10,'Исходные данные'!$B$76)="",C101&lt;IF('Исходные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данные'!$B$76)),1),B101,"m")/12))*IF(AND(B101&lt;=IF('Исходные данные'!$B$76="",'Исходные данные'!$B$10,'Исходные данные'!$B$76),C101&gt;=IF('Исходные данные'!$B$76="",'Исходные данные'!$B$10,'Исходные данные'!$B$76)),(C101-IF('Исходные данные'!$B$76="",'Исходные данные'!$B$10,'Исходные данные'!$B$76)+1)/DAY(C101),1))</f>
        <v>0</v>
      </c>
      <c r="Y101">
        <f t="shared" si="66"/>
        <v>0</v>
      </c>
      <c r="Z101">
        <f>IF(OR(B101="",N('Исходные данные'!$B$19)=0),0,-SUMIFS('Исходные данные'!$I$6:$I$186,'Исходные данные'!$F$6:$F$186,B101)*N('Исходные данные'!$B$17)/N('Исходные данные'!$B$19))</f>
        <v>0</v>
      </c>
      <c r="AA101">
        <f>IF(OR(B101="",N('Исходные данные'!$B$19)=0),0,-SUMIFS('Исходные данные'!$I$6:$I$186,'Исходные данные'!$F$6:$F$186,B101)*N('Исходные данные'!$B$18)/N('Исходные данные'!$B$19))</f>
        <v>0</v>
      </c>
      <c r="AB101">
        <f>IF(OR(B101="",'Исходные данные'!$B$13=""),0,IF(AND(YEAR(B101)=YEAR('Исходные данные'!$B$13),MONTH(B101)=MONTH('Исходные данные'!$B$13)),-N('Исходные данные'!$B$11),0))</f>
        <v>0</v>
      </c>
      <c r="AC101">
        <f>IF(A101=1,-N('Исходные данные'!$B$19)*N('Исходные данные'!$B$72),0)</f>
        <v>0</v>
      </c>
      <c r="AD101">
        <f>IF(OR(B101="",'Исходные данные'!$B$22&lt;&gt;"Да",'Исходные данные'!$B$26=""),0,IF(AND(YEAR(B101)=YEAR('Исходные данные'!$B$26),MONTH(B101)=MONTH('Исходные данные'!$B$26)),N('Исходные данные'!$B$23),0))</f>
        <v>0</v>
      </c>
      <c r="AE101">
        <f t="shared" si="79"/>
        <v>0</v>
      </c>
      <c r="AF101">
        <f>IF(OR('Исходные данные'!$B$22&lt;&gt;"Да",'Исходные данные'!$B$26="",C101&lt;'Исходные данные'!$B$26),0,DATEDIF(DATE(YEAR('Исходные данные'!$B$26),MONTH('Исходные данные'!$B$26),1),B101,"m")+1)</f>
        <v>0</v>
      </c>
      <c r="AG101">
        <f>IF(OR(AF101&lt;1,AF101&gt;N('Исходные данные'!$B$25),AE101+AD101&lt;=0),0,-(AE101+AD101)*N('Исходные данные'!$B$24)*IF(AF101=1,C101-'Исходные данные'!$B$26+1,DAY(C101))/365)</f>
        <v>0</v>
      </c>
      <c r="AH101">
        <f>IF(OR(AF101&lt;1,AF101&gt;N('Исходные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данные'!$B$25)-AG101))</f>
        <v>0</v>
      </c>
      <c r="AI101">
        <f>IF(OR('Исходные данные'!$B$22&lt;&gt;"Да",AE101+AD101&lt;=0),0,IF(AND('Исходные данные'!$B$91&lt;&gt;"",B101&lt;&gt;"",YEAR(B101)=YEAR('Исходные данные'!$B$91),MONTH(B101)=MONTH('Исходные данные'!$B$91)),-(AE101+AD101),IF(OR(AF101&lt;1,AF101&gt;N('Исходные данные'!$B$25)),0,IF('Исходные данные'!$B$27="Равными долями",-MIN(AE101+AD101,N('Исходные данные'!$B$23)/N('Исходные данные'!$B$25)),-MIN(AE101+AD101,IF(AF101=N('Исходные данные'!$B$25),AE101+AD101,MAX(0,AH101+AG101)))))))</f>
        <v>0</v>
      </c>
      <c r="AJ101">
        <f t="shared" si="67"/>
        <v>0</v>
      </c>
      <c r="AK101">
        <f t="shared" si="68"/>
        <v>0</v>
      </c>
      <c r="AL101">
        <f>IF(OR(B101="",'Исходные данные'!$B$51&lt;&gt;"Да",'Исходные данные'!$B$61=""),0,IF(AND(YEAR(B101)=YEAR('Исходные данные'!$B$61),MONTH(B101)=MONTH('Исходные данные'!$B$61)),N('Исходные данные'!$B$18)*N('Исходные данные'!$B$62),0))</f>
        <v>0</v>
      </c>
      <c r="AM101">
        <f t="shared" si="80"/>
        <v>0</v>
      </c>
      <c r="AN101">
        <f t="shared" si="69"/>
        <v>0</v>
      </c>
      <c r="AO101">
        <f t="shared" si="70"/>
        <v>0</v>
      </c>
      <c r="AP101">
        <f>IF('Исходные данные'!$B$51="Да",-MAX(0,AN101-AO101-AM101),0)</f>
        <v>0</v>
      </c>
      <c r="AQ101">
        <f>IF('Исходные данные'!$B$51="Да",MAX(0,AM101+AO101-AN101),0)</f>
        <v>0</v>
      </c>
      <c r="AR101">
        <f>IF('Исходные данные'!$B$53="Выручка",MAX(0,L101+(Q101-R101)+(U101-V101)),IF('Исходные данные'!$B$53="Прибыль до налога",MAX(0,L101+(Q101-R101)+(U101-V101)+N('Исходные данные'!$B$54)*((O101+P101)+(S101+T101)+W101+X101)+IF('Исходные данные'!$B$55="Да",AG101,0)-N('Исходные данные'!$B$56)/12),IF('Исходные данные'!$B$53="Пользовательская база",MAX(0,N('Исходные данные'!$B$57)/12),0)))</f>
        <v>0</v>
      </c>
      <c r="AS101">
        <f>IF(E101=1,-AR101*N('Исходные данные'!$B$50),0)</f>
        <v>0</v>
      </c>
      <c r="AT101">
        <f t="shared" si="71"/>
        <v>0</v>
      </c>
      <c r="AU101">
        <f>IF(OR(B101="",N('Исходные данные'!$B$80)&lt;=0,'Исходные данные'!$B$88=""),0,MAX(0,IF('Исходные данные'!$B$88="Последние 12 месяцев",SUMIFS($Y$2:$Y$194,$B$2:$B$194,"&gt;="&amp;EDATE(B101,-11),$B$2:$B$194,"&lt;="&amp;B101),IF('Исходные данные'!$B$88="Пользовательский NOI",N('Исходные данные'!$B$89),AT101))/N('Исходные данные'!$B$80)*(1+N('Исходные данные'!$B$81))))</f>
        <v>0</v>
      </c>
      <c r="AV101">
        <f>IF(OR(E101&lt;&gt;1,B101="",'Исходные данные'!$B$91=""),0,IF(AND(YEAR(B101)=YEAR('Исходные данные'!$B$91),MONTH(B101)=MONTH('Исходные данные'!$B$91)),AU101,0))</f>
        <v>0</v>
      </c>
      <c r="AW101">
        <f>-AV101*N('Исходные данные'!$B$73)</f>
        <v>0</v>
      </c>
      <c r="AX101">
        <f>IF(AV101=0,0,-N('Исходные данные'!$B$87)-IF('Исходные данные'!$B$82="Да",IF('Исходные данные'!$B$84="С выручки",AV101,IF('Исходные данные'!$B$84="С прибыли",MAX(0,AV101+AW101-IF('Исходные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01">
        <f t="shared" si="72"/>
        <v>0</v>
      </c>
      <c r="AZ101">
        <f t="shared" si="73"/>
        <v>0</v>
      </c>
      <c r="BA101">
        <f t="shared" si="74"/>
        <v>0</v>
      </c>
      <c r="BB101" t="str">
        <f t="shared" si="81"/>
        <v/>
      </c>
      <c r="BC101">
        <f>IF(OR(E101=0,'Исходные данные'!$B$9="",'Исходные данные'!$B$90=""),0,BA101/(1+'Исходные данные'!$B$90)^((D101-'Исходные данные'!$B$9)/365))</f>
        <v>0</v>
      </c>
      <c r="BD101">
        <f>IF(AND(E101=1,BB101&gt;=0,BB100&lt;0,MIN($BB$2:BB101)&lt;0),1,0)</f>
        <v>0</v>
      </c>
      <c r="BE101">
        <f t="shared" si="75"/>
        <v>0</v>
      </c>
      <c r="BF101">
        <f t="shared" si="76"/>
        <v>0</v>
      </c>
      <c r="BG101">
        <f t="shared" si="77"/>
        <v>0</v>
      </c>
      <c r="BH101">
        <f t="shared" si="78"/>
        <v>1</v>
      </c>
      <c r="BI101">
        <f>AZ101+N101+AP101-AR101*N('Исходные данные'!$B$50)</f>
        <v>0</v>
      </c>
      <c r="BJ101">
        <f t="shared" si="61"/>
        <v>0</v>
      </c>
      <c r="BK101">
        <f>IF(AND(BJ101&gt;=0,BJ100&lt;0,MIN($BJ$2:BJ101)&lt;0),1,0)</f>
        <v>0</v>
      </c>
    </row>
    <row r="102" spans="1:63" x14ac:dyDescent="0.2">
      <c r="A102">
        <v>101</v>
      </c>
      <c r="B102" t="str">
        <f>IF('Исходные данные'!$B$9="","",EDATE(DATE(YEAR('Исходные данные'!$B$9),MONTH('Исходные данные'!$B$9),1),A102-1))</f>
        <v/>
      </c>
      <c r="C102" t="str">
        <f t="shared" si="62"/>
        <v/>
      </c>
      <c r="D102" t="str">
        <f>IF(B102="","",IF('Исходные данные'!$B$91&lt;&gt;"",IF(AND(YEAR(B102)=YEAR('Исходные данные'!$B$91),MONTH(B102)=MONTH('Исходные данные'!$B$91)),'Исходные данные'!$B$91,IF('Исходные данные'!$B$13&lt;&gt;"",IF(AND(YEAR(B102)=YEAR('Исходные данные'!$B$13),MONTH(B102)=MONTH('Исходные данные'!$B$13)),'Исходные данные'!$B$13,IF('Исходные данные'!$B$26&lt;&gt;"",IF(AND(YEAR(B102)=YEAR('Исходные данные'!$B$26),MONTH(B102)=MONTH('Исходные данные'!$B$26)),'Исходные данные'!$B$26,IF(A102=1,'Исходные данные'!$B$9,C102)),IF(A102=1,'Исходные данные'!$B$9,C102))),IF('Исходные данные'!$B$26&lt;&gt;"",IF(AND(YEAR(B102)=YEAR('Исходные данные'!$B$26),MONTH(B102)=MONTH('Исходные данные'!$B$26)),'Исходные данные'!$B$26,IF(A102=1,'Исходные данные'!$B$9,C102)),IF(A102=1,'Исходные данные'!$B$9,C102)))),IF('Исходные данные'!$B$13&lt;&gt;"",IF(AND(YEAR(B102)=YEAR('Исходные данные'!$B$13),MONTH(B102)=MONTH('Исходные данные'!$B$13)),'Исходные данные'!$B$13,IF('Исходные данные'!$B$26&lt;&gt;"",IF(AND(YEAR(B102)=YEAR('Исходные данные'!$B$26),MONTH(B102)=MONTH('Исходные данные'!$B$26)),'Исходные данные'!$B$26,IF(A102=1,'Исходные данные'!$B$9,C102)),IF(A102=1,'Исходные данные'!$B$9,C102))),IF('Исходные данные'!$B$26&lt;&gt;"",IF(AND(YEAR(B102)=YEAR('Исходные данные'!$B$26),MONTH(B102)=MONTH('Исходные данные'!$B$26)),'Исходные данные'!$B$26,IF(A102=1,'Исходные данные'!$B$9,C102)),IF(A102=1,'Исходные данные'!$B$9,C102)))))</f>
        <v/>
      </c>
      <c r="E102">
        <f>IF(OR(B102="",'Исходные данные'!$B$91=""),0,--(B102&lt;=DATE(YEAR('Исходные данные'!$B$91),MONTH('Исходные данные'!$B$91),1)))</f>
        <v>0</v>
      </c>
      <c r="F102">
        <f>IF(OR(B102="",'Исходные данные'!$B$30="",C102&lt;'Исходные данные'!$B$30),0,DATEDIF(DATE(YEAR('Исходные данные'!$B$30),MONTH('Исходные данные'!$B$30),1),B102,"m")+1)</f>
        <v>0</v>
      </c>
      <c r="G102">
        <f t="shared" si="63"/>
        <v>0</v>
      </c>
      <c r="H102">
        <f>IF(F102=0,0,IF(G102=1,N('Исходные данные'!$B$31),IF(G102=2,N('Исходные данные'!$B$32),IF(G102=3,N('Исходные данные'!$B$33),N('Исходные данные'!$B$33)*(1+N('Исходные данные'!$B$34))^(G102-3)))))</f>
        <v>0</v>
      </c>
      <c r="I102">
        <f>IF(OR(F102=0,N('Исходные данные'!$B$5)=0,H102=0),0,'Исходные данные'!$B$5*H102*IF(AND(B102&lt;='Исходные данные'!$B$30,C102&gt;='Исходные данные'!$B$30),(C102-'Исходные данные'!$B$30+1)/DAY(C102),1))</f>
        <v>0</v>
      </c>
      <c r="J102">
        <f>IF(AND(F102&gt;0,F102&lt;=N('Исходные данные'!$B$37)),-I102,0)</f>
        <v>0</v>
      </c>
      <c r="K102">
        <f>IF(OR(F102=0,F102&lt;=N('Исходные данные'!$B$37)),0,-(I102+J102)*N('Исходные данные'!$B$38))</f>
        <v>0</v>
      </c>
      <c r="L102">
        <f t="shared" si="64"/>
        <v>0</v>
      </c>
      <c r="M102">
        <f>IF('Исходные данные'!$B$51="Да",L102*N('Исходные данные'!$B$52),0)</f>
        <v>0</v>
      </c>
      <c r="N102">
        <f t="shared" si="65"/>
        <v>0</v>
      </c>
      <c r="O102">
        <f>IF(OR(B102="",IF('Исходные данные'!$B$45="",'Исходные данные'!$B$10,'Исходные данные'!$B$45)="",C102&lt;IF('Исходные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данные'!$B$45)),1),B102,"m")/12))*IF(AND(B102&lt;=IF('Исходные данные'!$B$45="",'Исходные данные'!$B$10,'Исходные данные'!$B$45),C102&gt;=IF('Исходные данные'!$B$45="",'Исходные данные'!$B$10,'Исходные данные'!$B$45)),(C102-IF('Исходные данные'!$B$45="",'Исходные данные'!$B$10,'Исходные данные'!$B$45)+1)/DAY(C102),1)*IF('Исходные данные'!$B$43="Без НДС",1+N('Исходные данные'!$B$44),1))</f>
        <v>0</v>
      </c>
      <c r="P102">
        <f>IF('Исходные данные'!$B$51="Да",-O102*N('Исходные данные'!$B$44)/(1+N('Исходные данные'!$B$44)),0)</f>
        <v>0</v>
      </c>
      <c r="Q102">
        <f>IF('Исходные данные'!$B$35="Да",-O102,0)</f>
        <v>0</v>
      </c>
      <c r="R102">
        <f>IF(AND('Исходные данные'!$B$51="Да",Q102&gt;0),Q102*N('Исходные данные'!$B$52)/(1+N('Исходные данные'!$B$52)),0)</f>
        <v>0</v>
      </c>
      <c r="S102">
        <f>IF(OR(B102="",IF('Исходные данные'!$B$45="",'Исходные данные'!$B$10,'Исходные данные'!$B$45)="",C102&lt;IF('Исходные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данные'!$B$45)),1),B102,"m")/12))*IF(AND(B102&lt;=IF('Исходные данные'!$B$45="",'Исходные данные'!$B$10,'Исходные данные'!$B$45),C102&gt;=IF('Исходные данные'!$B$45="",'Исходные данные'!$B$10,'Исходные данные'!$B$45)),(C102-IF('Исходные данные'!$B$45="",'Исходные данные'!$B$10,'Исходные данные'!$B$45)+1)/DAY(C102),1)*IF('Исходные данные'!$B$43="Без НДС",1+N('Исходные данные'!$B$44),1))</f>
        <v>0</v>
      </c>
      <c r="T102">
        <f>IF('Исходные данные'!$B$51="Да",-S102*N('Исходные данные'!$B$44)/(1+N('Исходные данные'!$B$44)),0)</f>
        <v>0</v>
      </c>
      <c r="U102">
        <f>IF('Исходные данные'!$B$36="Да",-S102,0)</f>
        <v>0</v>
      </c>
      <c r="V102">
        <f>IF(AND('Исходные данные'!$B$51="Да",U102&gt;0),U102*N('Исходные данные'!$B$52)/(1+N('Исходные данные'!$B$52)),0)</f>
        <v>0</v>
      </c>
      <c r="W102">
        <f>IF(OR(B102="",IF('Исходные данные'!$B$69="",'Исходные данные'!$B$10,'Исходные данные'!$B$69)="",C102&lt;IF('Исходные данные'!$B$69="",'Исходные данные'!$B$10,'Исходные данные'!$B$69)),0,-N('Исходные данные'!$B$16)*N('Исходные данные'!$B$68)*N('Исходные данные'!$B$67)/12*IF(AND(B102&lt;=IF('Исходные данные'!$B$69="",'Исходные данные'!$B$10,'Исходные данные'!$B$69),C102&gt;=IF('Исходные данные'!$B$69="",'Исходные данные'!$B$10,'Исходные данные'!$B$69)),(C102-IF('Исходные данные'!$B$69="",'Исходные данные'!$B$10,'Исходные данные'!$B$69)+1)/DAY(C102),1))</f>
        <v>0</v>
      </c>
      <c r="X102">
        <f>IF(OR(B102="",IF('Исходные данные'!$B$76="",'Исходные данные'!$B$10,'Исходные данные'!$B$76)="",C102&lt;IF('Исходные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данные'!$B$76)),1),B102,"m")/12))*IF(AND(B102&lt;=IF('Исходные данные'!$B$76="",'Исходные данные'!$B$10,'Исходные данные'!$B$76),C102&gt;=IF('Исходные данные'!$B$76="",'Исходные данные'!$B$10,'Исходные данные'!$B$76)),(C102-IF('Исходные данные'!$B$76="",'Исходные данные'!$B$10,'Исходные данные'!$B$76)+1)/DAY(C102),1))</f>
        <v>0</v>
      </c>
      <c r="Y102">
        <f t="shared" si="66"/>
        <v>0</v>
      </c>
      <c r="Z102">
        <f>IF(OR(B102="",N('Исходные данные'!$B$19)=0),0,-SUMIFS('Исходные данные'!$I$6:$I$186,'Исходные данные'!$F$6:$F$186,B102)*N('Исходные данные'!$B$17)/N('Исходные данные'!$B$19))</f>
        <v>0</v>
      </c>
      <c r="AA102">
        <f>IF(OR(B102="",N('Исходные данные'!$B$19)=0),0,-SUMIFS('Исходные данные'!$I$6:$I$186,'Исходные данные'!$F$6:$F$186,B102)*N('Исходные данные'!$B$18)/N('Исходные данные'!$B$19))</f>
        <v>0</v>
      </c>
      <c r="AB102">
        <f>IF(OR(B102="",'Исходные данные'!$B$13=""),0,IF(AND(YEAR(B102)=YEAR('Исходные данные'!$B$13),MONTH(B102)=MONTH('Исходные данные'!$B$13)),-N('Исходные данные'!$B$11),0))</f>
        <v>0</v>
      </c>
      <c r="AC102">
        <f>IF(A102=1,-N('Исходные данные'!$B$19)*N('Исходные данные'!$B$72),0)</f>
        <v>0</v>
      </c>
      <c r="AD102">
        <f>IF(OR(B102="",'Исходные данные'!$B$22&lt;&gt;"Да",'Исходные данные'!$B$26=""),0,IF(AND(YEAR(B102)=YEAR('Исходные данные'!$B$26),MONTH(B102)=MONTH('Исходные данные'!$B$26)),N('Исходные данные'!$B$23),0))</f>
        <v>0</v>
      </c>
      <c r="AE102">
        <f t="shared" si="79"/>
        <v>0</v>
      </c>
      <c r="AF102">
        <f>IF(OR('Исходные данные'!$B$22&lt;&gt;"Да",'Исходные данные'!$B$26="",C102&lt;'Исходные данные'!$B$26),0,DATEDIF(DATE(YEAR('Исходные данные'!$B$26),MONTH('Исходные данные'!$B$26),1),B102,"m")+1)</f>
        <v>0</v>
      </c>
      <c r="AG102">
        <f>IF(OR(AF102&lt;1,AF102&gt;N('Исходные данные'!$B$25),AE102+AD102&lt;=0),0,-(AE102+AD102)*N('Исходные данные'!$B$24)*IF(AF102=1,C102-'Исходные данные'!$B$26+1,DAY(C102))/365)</f>
        <v>0</v>
      </c>
      <c r="AH102">
        <f>IF(OR(AF102&lt;1,AF102&gt;N('Исходные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данные'!$B$25)-AG102))</f>
        <v>0</v>
      </c>
      <c r="AI102">
        <f>IF(OR('Исходные данные'!$B$22&lt;&gt;"Да",AE102+AD102&lt;=0),0,IF(AND('Исходные данные'!$B$91&lt;&gt;"",B102&lt;&gt;"",YEAR(B102)=YEAR('Исходные данные'!$B$91),MONTH(B102)=MONTH('Исходные данные'!$B$91)),-(AE102+AD102),IF(OR(AF102&lt;1,AF102&gt;N('Исходные данные'!$B$25)),0,IF('Исходные данные'!$B$27="Равными долями",-MIN(AE102+AD102,N('Исходные данные'!$B$23)/N('Исходные данные'!$B$25)),-MIN(AE102+AD102,IF(AF102=N('Исходные данные'!$B$25),AE102+AD102,MAX(0,AH102+AG102)))))))</f>
        <v>0</v>
      </c>
      <c r="AJ102">
        <f t="shared" si="67"/>
        <v>0</v>
      </c>
      <c r="AK102">
        <f t="shared" si="68"/>
        <v>0</v>
      </c>
      <c r="AL102">
        <f>IF(OR(B102="",'Исходные данные'!$B$51&lt;&gt;"Да",'Исходные данные'!$B$61=""),0,IF(AND(YEAR(B102)=YEAR('Исходные данные'!$B$61),MONTH(B102)=MONTH('Исходные данные'!$B$61)),N('Исходные данные'!$B$18)*N('Исходные данные'!$B$62),0))</f>
        <v>0</v>
      </c>
      <c r="AM102">
        <f t="shared" si="80"/>
        <v>0</v>
      </c>
      <c r="AN102">
        <f t="shared" si="69"/>
        <v>0</v>
      </c>
      <c r="AO102">
        <f t="shared" si="70"/>
        <v>0</v>
      </c>
      <c r="AP102">
        <f>IF('Исходные данные'!$B$51="Да",-MAX(0,AN102-AO102-AM102),0)</f>
        <v>0</v>
      </c>
      <c r="AQ102">
        <f>IF('Исходные данные'!$B$51="Да",MAX(0,AM102+AO102-AN102),0)</f>
        <v>0</v>
      </c>
      <c r="AR102">
        <f>IF('Исходные данные'!$B$53="Выручка",MAX(0,L102+(Q102-R102)+(U102-V102)),IF('Исходные данные'!$B$53="Прибыль до налога",MAX(0,L102+(Q102-R102)+(U102-V102)+N('Исходные данные'!$B$54)*((O102+P102)+(S102+T102)+W102+X102)+IF('Исходные данные'!$B$55="Да",AG102,0)-N('Исходные данные'!$B$56)/12),IF('Исходные данные'!$B$53="Пользовательская база",MAX(0,N('Исходные данные'!$B$57)/12),0)))</f>
        <v>0</v>
      </c>
      <c r="AS102">
        <f>IF(E102=1,-AR102*N('Исходные данные'!$B$50),0)</f>
        <v>0</v>
      </c>
      <c r="AT102">
        <f t="shared" si="71"/>
        <v>0</v>
      </c>
      <c r="AU102">
        <f>IF(OR(B102="",N('Исходные данные'!$B$80)&lt;=0,'Исходные данные'!$B$88=""),0,MAX(0,IF('Исходные данные'!$B$88="Последние 12 месяцев",SUMIFS($Y$2:$Y$194,$B$2:$B$194,"&gt;="&amp;EDATE(B102,-11),$B$2:$B$194,"&lt;="&amp;B102),IF('Исходные данные'!$B$88="Пользовательский NOI",N('Исходные данные'!$B$89),AT102))/N('Исходные данные'!$B$80)*(1+N('Исходные данные'!$B$81))))</f>
        <v>0</v>
      </c>
      <c r="AV102">
        <f>IF(OR(E102&lt;&gt;1,B102="",'Исходные данные'!$B$91=""),0,IF(AND(YEAR(B102)=YEAR('Исходные данные'!$B$91),MONTH(B102)=MONTH('Исходные данные'!$B$91)),AU102,0))</f>
        <v>0</v>
      </c>
      <c r="AW102">
        <f>-AV102*N('Исходные данные'!$B$73)</f>
        <v>0</v>
      </c>
      <c r="AX102">
        <f>IF(AV102=0,0,-N('Исходные данные'!$B$87)-IF('Исходные данные'!$B$82="Да",IF('Исходные данные'!$B$84="С выручки",AV102,IF('Исходные данные'!$B$84="С прибыли",MAX(0,AV102+AW102-IF('Исходные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02">
        <f t="shared" si="72"/>
        <v>0</v>
      </c>
      <c r="AZ102">
        <f t="shared" si="73"/>
        <v>0</v>
      </c>
      <c r="BA102">
        <f t="shared" si="74"/>
        <v>0</v>
      </c>
      <c r="BB102" t="str">
        <f t="shared" si="81"/>
        <v/>
      </c>
      <c r="BC102">
        <f>IF(OR(E102=0,'Исходные данные'!$B$9="",'Исходные данные'!$B$90=""),0,BA102/(1+'Исходные данные'!$B$90)^((D102-'Исходные данные'!$B$9)/365))</f>
        <v>0</v>
      </c>
      <c r="BD102">
        <f>IF(AND(E102=1,BB102&gt;=0,BB101&lt;0,MIN($BB$2:BB102)&lt;0),1,0)</f>
        <v>0</v>
      </c>
      <c r="BE102">
        <f t="shared" si="75"/>
        <v>0</v>
      </c>
      <c r="BF102">
        <f t="shared" si="76"/>
        <v>0</v>
      </c>
      <c r="BG102">
        <f t="shared" si="77"/>
        <v>0</v>
      </c>
      <c r="BH102">
        <f t="shared" si="78"/>
        <v>1</v>
      </c>
      <c r="BI102">
        <f>AZ102+N102+AP102-AR102*N('Исходные данные'!$B$50)</f>
        <v>0</v>
      </c>
      <c r="BJ102">
        <f t="shared" si="61"/>
        <v>0</v>
      </c>
      <c r="BK102">
        <f>IF(AND(BJ102&gt;=0,BJ101&lt;0,MIN($BJ$2:BJ102)&lt;0),1,0)</f>
        <v>0</v>
      </c>
    </row>
    <row r="103" spans="1:63" x14ac:dyDescent="0.2">
      <c r="A103">
        <v>102</v>
      </c>
      <c r="B103" t="str">
        <f>IF('Исходные данные'!$B$9="","",EDATE(DATE(YEAR('Исходные данные'!$B$9),MONTH('Исходные данные'!$B$9),1),A103-1))</f>
        <v/>
      </c>
      <c r="C103" t="str">
        <f t="shared" si="62"/>
        <v/>
      </c>
      <c r="D103" t="str">
        <f>IF(B103="","",IF('Исходные данные'!$B$91&lt;&gt;"",IF(AND(YEAR(B103)=YEAR('Исходные данные'!$B$91),MONTH(B103)=MONTH('Исходные данные'!$B$91)),'Исходные данные'!$B$91,IF('Исходные данные'!$B$13&lt;&gt;"",IF(AND(YEAR(B103)=YEAR('Исходные данные'!$B$13),MONTH(B103)=MONTH('Исходные данные'!$B$13)),'Исходные данные'!$B$13,IF('Исходные данные'!$B$26&lt;&gt;"",IF(AND(YEAR(B103)=YEAR('Исходные данные'!$B$26),MONTH(B103)=MONTH('Исходные данные'!$B$26)),'Исходные данные'!$B$26,IF(A103=1,'Исходные данные'!$B$9,C103)),IF(A103=1,'Исходные данные'!$B$9,C103))),IF('Исходные данные'!$B$26&lt;&gt;"",IF(AND(YEAR(B103)=YEAR('Исходные данные'!$B$26),MONTH(B103)=MONTH('Исходные данные'!$B$26)),'Исходные данные'!$B$26,IF(A103=1,'Исходные данные'!$B$9,C103)),IF(A103=1,'Исходные данные'!$B$9,C103)))),IF('Исходные данные'!$B$13&lt;&gt;"",IF(AND(YEAR(B103)=YEAR('Исходные данные'!$B$13),MONTH(B103)=MONTH('Исходные данные'!$B$13)),'Исходные данные'!$B$13,IF('Исходные данные'!$B$26&lt;&gt;"",IF(AND(YEAR(B103)=YEAR('Исходные данные'!$B$26),MONTH(B103)=MONTH('Исходные данные'!$B$26)),'Исходные данные'!$B$26,IF(A103=1,'Исходные данные'!$B$9,C103)),IF(A103=1,'Исходные данные'!$B$9,C103))),IF('Исходные данные'!$B$26&lt;&gt;"",IF(AND(YEAR(B103)=YEAR('Исходные данные'!$B$26),MONTH(B103)=MONTH('Исходные данные'!$B$26)),'Исходные данные'!$B$26,IF(A103=1,'Исходные данные'!$B$9,C103)),IF(A103=1,'Исходные данные'!$B$9,C103)))))</f>
        <v/>
      </c>
      <c r="E103">
        <f>IF(OR(B103="",'Исходные данные'!$B$91=""),0,--(B103&lt;=DATE(YEAR('Исходные данные'!$B$91),MONTH('Исходные данные'!$B$91),1)))</f>
        <v>0</v>
      </c>
      <c r="F103">
        <f>IF(OR(B103="",'Исходные данные'!$B$30="",C103&lt;'Исходные данные'!$B$30),0,DATEDIF(DATE(YEAR('Исходные данные'!$B$30),MONTH('Исходные данные'!$B$30),1),B103,"m")+1)</f>
        <v>0</v>
      </c>
      <c r="G103">
        <f t="shared" si="63"/>
        <v>0</v>
      </c>
      <c r="H103">
        <f>IF(F103=0,0,IF(G103=1,N('Исходные данные'!$B$31),IF(G103=2,N('Исходные данные'!$B$32),IF(G103=3,N('Исходные данные'!$B$33),N('Исходные данные'!$B$33)*(1+N('Исходные данные'!$B$34))^(G103-3)))))</f>
        <v>0</v>
      </c>
      <c r="I103">
        <f>IF(OR(F103=0,N('Исходные данные'!$B$5)=0,H103=0),0,'Исходные данные'!$B$5*H103*IF(AND(B103&lt;='Исходные данные'!$B$30,C103&gt;='Исходные данные'!$B$30),(C103-'Исходные данные'!$B$30+1)/DAY(C103),1))</f>
        <v>0</v>
      </c>
      <c r="J103">
        <f>IF(AND(F103&gt;0,F103&lt;=N('Исходные данные'!$B$37)),-I103,0)</f>
        <v>0</v>
      </c>
      <c r="K103">
        <f>IF(OR(F103=0,F103&lt;=N('Исходные данные'!$B$37)),0,-(I103+J103)*N('Исходные данные'!$B$38))</f>
        <v>0</v>
      </c>
      <c r="L103">
        <f t="shared" si="64"/>
        <v>0</v>
      </c>
      <c r="M103">
        <f>IF('Исходные данные'!$B$51="Да",L103*N('Исходные данные'!$B$52),0)</f>
        <v>0</v>
      </c>
      <c r="N103">
        <f t="shared" si="65"/>
        <v>0</v>
      </c>
      <c r="O103">
        <f>IF(OR(B103="",IF('Исходные данные'!$B$45="",'Исходные данные'!$B$10,'Исходные данные'!$B$45)="",C103&lt;IF('Исходные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данные'!$B$45)),1),B103,"m")/12))*IF(AND(B103&lt;=IF('Исходные данные'!$B$45="",'Исходные данные'!$B$10,'Исходные данные'!$B$45),C103&gt;=IF('Исходные данные'!$B$45="",'Исходные данные'!$B$10,'Исходные данные'!$B$45)),(C103-IF('Исходные данные'!$B$45="",'Исходные данные'!$B$10,'Исходные данные'!$B$45)+1)/DAY(C103),1)*IF('Исходные данные'!$B$43="Без НДС",1+N('Исходные данные'!$B$44),1))</f>
        <v>0</v>
      </c>
      <c r="P103">
        <f>IF('Исходные данные'!$B$51="Да",-O103*N('Исходные данные'!$B$44)/(1+N('Исходные данные'!$B$44)),0)</f>
        <v>0</v>
      </c>
      <c r="Q103">
        <f>IF('Исходные данные'!$B$35="Да",-O103,0)</f>
        <v>0</v>
      </c>
      <c r="R103">
        <f>IF(AND('Исходные данные'!$B$51="Да",Q103&gt;0),Q103*N('Исходные данные'!$B$52)/(1+N('Исходные данные'!$B$52)),0)</f>
        <v>0</v>
      </c>
      <c r="S103">
        <f>IF(OR(B103="",IF('Исходные данные'!$B$45="",'Исходные данные'!$B$10,'Исходные данные'!$B$45)="",C103&lt;IF('Исходные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данные'!$B$45)),1),B103,"m")/12))*IF(AND(B103&lt;=IF('Исходные данные'!$B$45="",'Исходные данные'!$B$10,'Исходные данные'!$B$45),C103&gt;=IF('Исходные данные'!$B$45="",'Исходные данные'!$B$10,'Исходные данные'!$B$45)),(C103-IF('Исходные данные'!$B$45="",'Исходные данные'!$B$10,'Исходные данные'!$B$45)+1)/DAY(C103),1)*IF('Исходные данные'!$B$43="Без НДС",1+N('Исходные данные'!$B$44),1))</f>
        <v>0</v>
      </c>
      <c r="T103">
        <f>IF('Исходные данные'!$B$51="Да",-S103*N('Исходные данные'!$B$44)/(1+N('Исходные данные'!$B$44)),0)</f>
        <v>0</v>
      </c>
      <c r="U103">
        <f>IF('Исходные данные'!$B$36="Да",-S103,0)</f>
        <v>0</v>
      </c>
      <c r="V103">
        <f>IF(AND('Исходные данные'!$B$51="Да",U103&gt;0),U103*N('Исходные данные'!$B$52)/(1+N('Исходные данные'!$B$52)),0)</f>
        <v>0</v>
      </c>
      <c r="W103">
        <f>IF(OR(B103="",IF('Исходные данные'!$B$69="",'Исходные данные'!$B$10,'Исходные данные'!$B$69)="",C103&lt;IF('Исходные данные'!$B$69="",'Исходные данные'!$B$10,'Исходные данные'!$B$69)),0,-N('Исходные данные'!$B$16)*N('Исходные данные'!$B$68)*N('Исходные данные'!$B$67)/12*IF(AND(B103&lt;=IF('Исходные данные'!$B$69="",'Исходные данные'!$B$10,'Исходные данные'!$B$69),C103&gt;=IF('Исходные данные'!$B$69="",'Исходные данные'!$B$10,'Исходные данные'!$B$69)),(C103-IF('Исходные данные'!$B$69="",'Исходные данные'!$B$10,'Исходные данные'!$B$69)+1)/DAY(C103),1))</f>
        <v>0</v>
      </c>
      <c r="X103">
        <f>IF(OR(B103="",IF('Исходные данные'!$B$76="",'Исходные данные'!$B$10,'Исходные данные'!$B$76)="",C103&lt;IF('Исходные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данные'!$B$76)),1),B103,"m")/12))*IF(AND(B103&lt;=IF('Исходные данные'!$B$76="",'Исходные данные'!$B$10,'Исходные данные'!$B$76),C103&gt;=IF('Исходные данные'!$B$76="",'Исходные данные'!$B$10,'Исходные данные'!$B$76)),(C103-IF('Исходные данные'!$B$76="",'Исходные данные'!$B$10,'Исходные данные'!$B$76)+1)/DAY(C103),1))</f>
        <v>0</v>
      </c>
      <c r="Y103">
        <f t="shared" si="66"/>
        <v>0</v>
      </c>
      <c r="Z103">
        <f>IF(OR(B103="",N('Исходные данные'!$B$19)=0),0,-SUMIFS('Исходные данные'!$I$6:$I$186,'Исходные данные'!$F$6:$F$186,B103)*N('Исходные данные'!$B$17)/N('Исходные данные'!$B$19))</f>
        <v>0</v>
      </c>
      <c r="AA103">
        <f>IF(OR(B103="",N('Исходные данные'!$B$19)=0),0,-SUMIFS('Исходные данные'!$I$6:$I$186,'Исходные данные'!$F$6:$F$186,B103)*N('Исходные данные'!$B$18)/N('Исходные данные'!$B$19))</f>
        <v>0</v>
      </c>
      <c r="AB103">
        <f>IF(OR(B103="",'Исходные данные'!$B$13=""),0,IF(AND(YEAR(B103)=YEAR('Исходные данные'!$B$13),MONTH(B103)=MONTH('Исходные данные'!$B$13)),-N('Исходные данные'!$B$11),0))</f>
        <v>0</v>
      </c>
      <c r="AC103">
        <f>IF(A103=1,-N('Исходные данные'!$B$19)*N('Исходные данные'!$B$72),0)</f>
        <v>0</v>
      </c>
      <c r="AD103">
        <f>IF(OR(B103="",'Исходные данные'!$B$22&lt;&gt;"Да",'Исходные данные'!$B$26=""),0,IF(AND(YEAR(B103)=YEAR('Исходные данные'!$B$26),MONTH(B103)=MONTH('Исходные данные'!$B$26)),N('Исходные данные'!$B$23),0))</f>
        <v>0</v>
      </c>
      <c r="AE103">
        <f t="shared" si="79"/>
        <v>0</v>
      </c>
      <c r="AF103">
        <f>IF(OR('Исходные данные'!$B$22&lt;&gt;"Да",'Исходные данные'!$B$26="",C103&lt;'Исходные данные'!$B$26),0,DATEDIF(DATE(YEAR('Исходные данные'!$B$26),MONTH('Исходные данные'!$B$26),1),B103,"m")+1)</f>
        <v>0</v>
      </c>
      <c r="AG103">
        <f>IF(OR(AF103&lt;1,AF103&gt;N('Исходные данные'!$B$25),AE103+AD103&lt;=0),0,-(AE103+AD103)*N('Исходные данные'!$B$24)*IF(AF103=1,C103-'Исходные данные'!$B$26+1,DAY(C103))/365)</f>
        <v>0</v>
      </c>
      <c r="AH103">
        <f>IF(OR(AF103&lt;1,AF103&gt;N('Исходные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данные'!$B$25)-AG103))</f>
        <v>0</v>
      </c>
      <c r="AI103">
        <f>IF(OR('Исходные данные'!$B$22&lt;&gt;"Да",AE103+AD103&lt;=0),0,IF(AND('Исходные данные'!$B$91&lt;&gt;"",B103&lt;&gt;"",YEAR(B103)=YEAR('Исходные данные'!$B$91),MONTH(B103)=MONTH('Исходные данные'!$B$91)),-(AE103+AD103),IF(OR(AF103&lt;1,AF103&gt;N('Исходные данные'!$B$25)),0,IF('Исходные данные'!$B$27="Равными долями",-MIN(AE103+AD103,N('Исходные данные'!$B$23)/N('Исходные данные'!$B$25)),-MIN(AE103+AD103,IF(AF103=N('Исходные данные'!$B$25),AE103+AD103,MAX(0,AH103+AG103)))))))</f>
        <v>0</v>
      </c>
      <c r="AJ103">
        <f t="shared" si="67"/>
        <v>0</v>
      </c>
      <c r="AK103">
        <f t="shared" si="68"/>
        <v>0</v>
      </c>
      <c r="AL103">
        <f>IF(OR(B103="",'Исходные данные'!$B$51&lt;&gt;"Да",'Исходные данные'!$B$61=""),0,IF(AND(YEAR(B103)=YEAR('Исходные данные'!$B$61),MONTH(B103)=MONTH('Исходные данные'!$B$61)),N('Исходные данные'!$B$18)*N('Исходные данные'!$B$62),0))</f>
        <v>0</v>
      </c>
      <c r="AM103">
        <f t="shared" si="80"/>
        <v>0</v>
      </c>
      <c r="AN103">
        <f t="shared" si="69"/>
        <v>0</v>
      </c>
      <c r="AO103">
        <f t="shared" si="70"/>
        <v>0</v>
      </c>
      <c r="AP103">
        <f>IF('Исходные данные'!$B$51="Да",-MAX(0,AN103-AO103-AM103),0)</f>
        <v>0</v>
      </c>
      <c r="AQ103">
        <f>IF('Исходные данные'!$B$51="Да",MAX(0,AM103+AO103-AN103),0)</f>
        <v>0</v>
      </c>
      <c r="AR103">
        <f>IF('Исходные данные'!$B$53="Выручка",MAX(0,L103+(Q103-R103)+(U103-V103)),IF('Исходные данные'!$B$53="Прибыль до налога",MAX(0,L103+(Q103-R103)+(U103-V103)+N('Исходные данные'!$B$54)*((O103+P103)+(S103+T103)+W103+X103)+IF('Исходные данные'!$B$55="Да",AG103,0)-N('Исходные данные'!$B$56)/12),IF('Исходные данные'!$B$53="Пользовательская база",MAX(0,N('Исходные данные'!$B$57)/12),0)))</f>
        <v>0</v>
      </c>
      <c r="AS103">
        <f>IF(E103=1,-AR103*N('Исходные данные'!$B$50),0)</f>
        <v>0</v>
      </c>
      <c r="AT103">
        <f t="shared" si="71"/>
        <v>0</v>
      </c>
      <c r="AU103">
        <f>IF(OR(B103="",N('Исходные данные'!$B$80)&lt;=0,'Исходные данные'!$B$88=""),0,MAX(0,IF('Исходные данные'!$B$88="Последние 12 месяцев",SUMIFS($Y$2:$Y$194,$B$2:$B$194,"&gt;="&amp;EDATE(B103,-11),$B$2:$B$194,"&lt;="&amp;B103),IF('Исходные данные'!$B$88="Пользовательский NOI",N('Исходные данные'!$B$89),AT103))/N('Исходные данные'!$B$80)*(1+N('Исходные данные'!$B$81))))</f>
        <v>0</v>
      </c>
      <c r="AV103">
        <f>IF(OR(E103&lt;&gt;1,B103="",'Исходные данные'!$B$91=""),0,IF(AND(YEAR(B103)=YEAR('Исходные данные'!$B$91),MONTH(B103)=MONTH('Исходные данные'!$B$91)),AU103,0))</f>
        <v>0</v>
      </c>
      <c r="AW103">
        <f>-AV103*N('Исходные данные'!$B$73)</f>
        <v>0</v>
      </c>
      <c r="AX103">
        <f>IF(AV103=0,0,-N('Исходные данные'!$B$87)-IF('Исходные данные'!$B$82="Да",IF('Исходные данные'!$B$84="С выручки",AV103,IF('Исходные данные'!$B$84="С прибыли",MAX(0,AV103+AW103-IF('Исходные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03">
        <f t="shared" si="72"/>
        <v>0</v>
      </c>
      <c r="AZ103">
        <f t="shared" si="73"/>
        <v>0</v>
      </c>
      <c r="BA103">
        <f t="shared" si="74"/>
        <v>0</v>
      </c>
      <c r="BB103" t="str">
        <f t="shared" si="81"/>
        <v/>
      </c>
      <c r="BC103">
        <f>IF(OR(E103=0,'Исходные данные'!$B$9="",'Исходные данные'!$B$90=""),0,BA103/(1+'Исходные данные'!$B$90)^((D103-'Исходные данные'!$B$9)/365))</f>
        <v>0</v>
      </c>
      <c r="BD103">
        <f>IF(AND(E103=1,BB103&gt;=0,BB102&lt;0,MIN($BB$2:BB103)&lt;0),1,0)</f>
        <v>0</v>
      </c>
      <c r="BE103">
        <f t="shared" si="75"/>
        <v>0</v>
      </c>
      <c r="BF103">
        <f t="shared" si="76"/>
        <v>0</v>
      </c>
      <c r="BG103">
        <f t="shared" si="77"/>
        <v>0</v>
      </c>
      <c r="BH103">
        <f t="shared" si="78"/>
        <v>1</v>
      </c>
      <c r="BI103">
        <f>AZ103+N103+AP103-AR103*N('Исходные данные'!$B$50)</f>
        <v>0</v>
      </c>
      <c r="BJ103">
        <f t="shared" si="61"/>
        <v>0</v>
      </c>
      <c r="BK103">
        <f>IF(AND(BJ103&gt;=0,BJ102&lt;0,MIN($BJ$2:BJ103)&lt;0),1,0)</f>
        <v>0</v>
      </c>
    </row>
    <row r="104" spans="1:63" x14ac:dyDescent="0.2">
      <c r="A104">
        <v>103</v>
      </c>
      <c r="B104" t="str">
        <f>IF('Исходные данные'!$B$9="","",EDATE(DATE(YEAR('Исходные данные'!$B$9),MONTH('Исходные данные'!$B$9),1),A104-1))</f>
        <v/>
      </c>
      <c r="C104" t="str">
        <f t="shared" si="62"/>
        <v/>
      </c>
      <c r="D104" t="str">
        <f>IF(B104="","",IF('Исходные данные'!$B$91&lt;&gt;"",IF(AND(YEAR(B104)=YEAR('Исходные данные'!$B$91),MONTH(B104)=MONTH('Исходные данные'!$B$91)),'Исходные данные'!$B$91,IF('Исходные данные'!$B$13&lt;&gt;"",IF(AND(YEAR(B104)=YEAR('Исходные данные'!$B$13),MONTH(B104)=MONTH('Исходные данные'!$B$13)),'Исходные данные'!$B$13,IF('Исходные данные'!$B$26&lt;&gt;"",IF(AND(YEAR(B104)=YEAR('Исходные данные'!$B$26),MONTH(B104)=MONTH('Исходные данные'!$B$26)),'Исходные данные'!$B$26,IF(A104=1,'Исходные данные'!$B$9,C104)),IF(A104=1,'Исходные данные'!$B$9,C104))),IF('Исходные данные'!$B$26&lt;&gt;"",IF(AND(YEAR(B104)=YEAR('Исходные данные'!$B$26),MONTH(B104)=MONTH('Исходные данные'!$B$26)),'Исходные данные'!$B$26,IF(A104=1,'Исходные данные'!$B$9,C104)),IF(A104=1,'Исходные данные'!$B$9,C104)))),IF('Исходные данные'!$B$13&lt;&gt;"",IF(AND(YEAR(B104)=YEAR('Исходные данные'!$B$13),MONTH(B104)=MONTH('Исходные данные'!$B$13)),'Исходные данные'!$B$13,IF('Исходные данные'!$B$26&lt;&gt;"",IF(AND(YEAR(B104)=YEAR('Исходные данные'!$B$26),MONTH(B104)=MONTH('Исходные данные'!$B$26)),'Исходные данные'!$B$26,IF(A104=1,'Исходные данные'!$B$9,C104)),IF(A104=1,'Исходные данные'!$B$9,C104))),IF('Исходные данные'!$B$26&lt;&gt;"",IF(AND(YEAR(B104)=YEAR('Исходные данные'!$B$26),MONTH(B104)=MONTH('Исходные данные'!$B$26)),'Исходные данные'!$B$26,IF(A104=1,'Исходные данные'!$B$9,C104)),IF(A104=1,'Исходные данные'!$B$9,C104)))))</f>
        <v/>
      </c>
      <c r="E104">
        <f>IF(OR(B104="",'Исходные данные'!$B$91=""),0,--(B104&lt;=DATE(YEAR('Исходные данные'!$B$91),MONTH('Исходные данные'!$B$91),1)))</f>
        <v>0</v>
      </c>
      <c r="F104">
        <f>IF(OR(B104="",'Исходные данные'!$B$30="",C104&lt;'Исходные данные'!$B$30),0,DATEDIF(DATE(YEAR('Исходные данные'!$B$30),MONTH('Исходные данные'!$B$30),1),B104,"m")+1)</f>
        <v>0</v>
      </c>
      <c r="G104">
        <f t="shared" si="63"/>
        <v>0</v>
      </c>
      <c r="H104">
        <f>IF(F104=0,0,IF(G104=1,N('Исходные данные'!$B$31),IF(G104=2,N('Исходные данные'!$B$32),IF(G104=3,N('Исходные данные'!$B$33),N('Исходные данные'!$B$33)*(1+N('Исходные данные'!$B$34))^(G104-3)))))</f>
        <v>0</v>
      </c>
      <c r="I104">
        <f>IF(OR(F104=0,N('Исходные данные'!$B$5)=0,H104=0),0,'Исходные данные'!$B$5*H104*IF(AND(B104&lt;='Исходные данные'!$B$30,C104&gt;='Исходные данные'!$B$30),(C104-'Исходные данные'!$B$30+1)/DAY(C104),1))</f>
        <v>0</v>
      </c>
      <c r="J104">
        <f>IF(AND(F104&gt;0,F104&lt;=N('Исходные данные'!$B$37)),-I104,0)</f>
        <v>0</v>
      </c>
      <c r="K104">
        <f>IF(OR(F104=0,F104&lt;=N('Исходные данные'!$B$37)),0,-(I104+J104)*N('Исходные данные'!$B$38))</f>
        <v>0</v>
      </c>
      <c r="L104">
        <f t="shared" si="64"/>
        <v>0</v>
      </c>
      <c r="M104">
        <f>IF('Исходные данные'!$B$51="Да",L104*N('Исходные данные'!$B$52),0)</f>
        <v>0</v>
      </c>
      <c r="N104">
        <f t="shared" si="65"/>
        <v>0</v>
      </c>
      <c r="O104">
        <f>IF(OR(B104="",IF('Исходные данные'!$B$45="",'Исходные данные'!$B$10,'Исходные данные'!$B$45)="",C104&lt;IF('Исходные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данные'!$B$45)),1),B104,"m")/12))*IF(AND(B104&lt;=IF('Исходные данные'!$B$45="",'Исходные данные'!$B$10,'Исходные данные'!$B$45),C104&gt;=IF('Исходные данные'!$B$45="",'Исходные данные'!$B$10,'Исходные данные'!$B$45)),(C104-IF('Исходные данные'!$B$45="",'Исходные данные'!$B$10,'Исходные данные'!$B$45)+1)/DAY(C104),1)*IF('Исходные данные'!$B$43="Без НДС",1+N('Исходные данные'!$B$44),1))</f>
        <v>0</v>
      </c>
      <c r="P104">
        <f>IF('Исходные данные'!$B$51="Да",-O104*N('Исходные данные'!$B$44)/(1+N('Исходные данные'!$B$44)),0)</f>
        <v>0</v>
      </c>
      <c r="Q104">
        <f>IF('Исходные данные'!$B$35="Да",-O104,0)</f>
        <v>0</v>
      </c>
      <c r="R104">
        <f>IF(AND('Исходные данные'!$B$51="Да",Q104&gt;0),Q104*N('Исходные данные'!$B$52)/(1+N('Исходные данные'!$B$52)),0)</f>
        <v>0</v>
      </c>
      <c r="S104">
        <f>IF(OR(B104="",IF('Исходные данные'!$B$45="",'Исходные данные'!$B$10,'Исходные данные'!$B$45)="",C104&lt;IF('Исходные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данные'!$B$45)),1),B104,"m")/12))*IF(AND(B104&lt;=IF('Исходные данные'!$B$45="",'Исходные данные'!$B$10,'Исходные данные'!$B$45),C104&gt;=IF('Исходные данные'!$B$45="",'Исходные данные'!$B$10,'Исходные данные'!$B$45)),(C104-IF('Исходные данные'!$B$45="",'Исходные данные'!$B$10,'Исходные данные'!$B$45)+1)/DAY(C104),1)*IF('Исходные данные'!$B$43="Без НДС",1+N('Исходные данные'!$B$44),1))</f>
        <v>0</v>
      </c>
      <c r="T104">
        <f>IF('Исходные данные'!$B$51="Да",-S104*N('Исходные данные'!$B$44)/(1+N('Исходные данные'!$B$44)),0)</f>
        <v>0</v>
      </c>
      <c r="U104">
        <f>IF('Исходные данные'!$B$36="Да",-S104,0)</f>
        <v>0</v>
      </c>
      <c r="V104">
        <f>IF(AND('Исходные данные'!$B$51="Да",U104&gt;0),U104*N('Исходные данные'!$B$52)/(1+N('Исходные данные'!$B$52)),0)</f>
        <v>0</v>
      </c>
      <c r="W104">
        <f>IF(OR(B104="",IF('Исходные данные'!$B$69="",'Исходные данные'!$B$10,'Исходные данные'!$B$69)="",C104&lt;IF('Исходные данные'!$B$69="",'Исходные данные'!$B$10,'Исходные данные'!$B$69)),0,-N('Исходные данные'!$B$16)*N('Исходные данные'!$B$68)*N('Исходные данные'!$B$67)/12*IF(AND(B104&lt;=IF('Исходные данные'!$B$69="",'Исходные данные'!$B$10,'Исходные данные'!$B$69),C104&gt;=IF('Исходные данные'!$B$69="",'Исходные данные'!$B$10,'Исходные данные'!$B$69)),(C104-IF('Исходные данные'!$B$69="",'Исходные данные'!$B$10,'Исходные данные'!$B$69)+1)/DAY(C104),1))</f>
        <v>0</v>
      </c>
      <c r="X104">
        <f>IF(OR(B104="",IF('Исходные данные'!$B$76="",'Исходные данные'!$B$10,'Исходные данные'!$B$76)="",C104&lt;IF('Исходные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данные'!$B$76)),1),B104,"m")/12))*IF(AND(B104&lt;=IF('Исходные данные'!$B$76="",'Исходные данные'!$B$10,'Исходные данные'!$B$76),C104&gt;=IF('Исходные данные'!$B$76="",'Исходные данные'!$B$10,'Исходные данные'!$B$76)),(C104-IF('Исходные данные'!$B$76="",'Исходные данные'!$B$10,'Исходные данные'!$B$76)+1)/DAY(C104),1))</f>
        <v>0</v>
      </c>
      <c r="Y104">
        <f t="shared" si="66"/>
        <v>0</v>
      </c>
      <c r="Z104">
        <f>IF(OR(B104="",N('Исходные данные'!$B$19)=0),0,-SUMIFS('Исходные данные'!$I$6:$I$186,'Исходные данные'!$F$6:$F$186,B104)*N('Исходные данные'!$B$17)/N('Исходные данные'!$B$19))</f>
        <v>0</v>
      </c>
      <c r="AA104">
        <f>IF(OR(B104="",N('Исходные данные'!$B$19)=0),0,-SUMIFS('Исходные данные'!$I$6:$I$186,'Исходные данные'!$F$6:$F$186,B104)*N('Исходные данные'!$B$18)/N('Исходные данные'!$B$19))</f>
        <v>0</v>
      </c>
      <c r="AB104">
        <f>IF(OR(B104="",'Исходные данные'!$B$13=""),0,IF(AND(YEAR(B104)=YEAR('Исходные данные'!$B$13),MONTH(B104)=MONTH('Исходные данные'!$B$13)),-N('Исходные данные'!$B$11),0))</f>
        <v>0</v>
      </c>
      <c r="AC104">
        <f>IF(A104=1,-N('Исходные данные'!$B$19)*N('Исходные данные'!$B$72),0)</f>
        <v>0</v>
      </c>
      <c r="AD104">
        <f>IF(OR(B104="",'Исходные данные'!$B$22&lt;&gt;"Да",'Исходные данные'!$B$26=""),0,IF(AND(YEAR(B104)=YEAR('Исходные данные'!$B$26),MONTH(B104)=MONTH('Исходные данные'!$B$26)),N('Исходные данные'!$B$23),0))</f>
        <v>0</v>
      </c>
      <c r="AE104">
        <f t="shared" si="79"/>
        <v>0</v>
      </c>
      <c r="AF104">
        <f>IF(OR('Исходные данные'!$B$22&lt;&gt;"Да",'Исходные данные'!$B$26="",C104&lt;'Исходные данные'!$B$26),0,DATEDIF(DATE(YEAR('Исходные данные'!$B$26),MONTH('Исходные данные'!$B$26),1),B104,"m")+1)</f>
        <v>0</v>
      </c>
      <c r="AG104">
        <f>IF(OR(AF104&lt;1,AF104&gt;N('Исходные данные'!$B$25),AE104+AD104&lt;=0),0,-(AE104+AD104)*N('Исходные данные'!$B$24)*IF(AF104=1,C104-'Исходные данные'!$B$26+1,DAY(C104))/365)</f>
        <v>0</v>
      </c>
      <c r="AH104">
        <f>IF(OR(AF104&lt;1,AF104&gt;N('Исходные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данные'!$B$25)-AG104))</f>
        <v>0</v>
      </c>
      <c r="AI104">
        <f>IF(OR('Исходные данные'!$B$22&lt;&gt;"Да",AE104+AD104&lt;=0),0,IF(AND('Исходные данные'!$B$91&lt;&gt;"",B104&lt;&gt;"",YEAR(B104)=YEAR('Исходные данные'!$B$91),MONTH(B104)=MONTH('Исходные данные'!$B$91)),-(AE104+AD104),IF(OR(AF104&lt;1,AF104&gt;N('Исходные данные'!$B$25)),0,IF('Исходные данные'!$B$27="Равными долями",-MIN(AE104+AD104,N('Исходные данные'!$B$23)/N('Исходные данные'!$B$25)),-MIN(AE104+AD104,IF(AF104=N('Исходные данные'!$B$25),AE104+AD104,MAX(0,AH104+AG104)))))))</f>
        <v>0</v>
      </c>
      <c r="AJ104">
        <f t="shared" si="67"/>
        <v>0</v>
      </c>
      <c r="AK104">
        <f t="shared" si="68"/>
        <v>0</v>
      </c>
      <c r="AL104">
        <f>IF(OR(B104="",'Исходные данные'!$B$51&lt;&gt;"Да",'Исходные данные'!$B$61=""),0,IF(AND(YEAR(B104)=YEAR('Исходные данные'!$B$61),MONTH(B104)=MONTH('Исходные данные'!$B$61)),N('Исходные данные'!$B$18)*N('Исходные данные'!$B$62),0))</f>
        <v>0</v>
      </c>
      <c r="AM104">
        <f t="shared" si="80"/>
        <v>0</v>
      </c>
      <c r="AN104">
        <f t="shared" si="69"/>
        <v>0</v>
      </c>
      <c r="AO104">
        <f t="shared" si="70"/>
        <v>0</v>
      </c>
      <c r="AP104">
        <f>IF('Исходные данные'!$B$51="Да",-MAX(0,AN104-AO104-AM104),0)</f>
        <v>0</v>
      </c>
      <c r="AQ104">
        <f>IF('Исходные данные'!$B$51="Да",MAX(0,AM104+AO104-AN104),0)</f>
        <v>0</v>
      </c>
      <c r="AR104">
        <f>IF('Исходные данные'!$B$53="Выручка",MAX(0,L104+(Q104-R104)+(U104-V104)),IF('Исходные данные'!$B$53="Прибыль до налога",MAX(0,L104+(Q104-R104)+(U104-V104)+N('Исходные данные'!$B$54)*((O104+P104)+(S104+T104)+W104+X104)+IF('Исходные данные'!$B$55="Да",AG104,0)-N('Исходные данные'!$B$56)/12),IF('Исходные данные'!$B$53="Пользовательская база",MAX(0,N('Исходные данные'!$B$57)/12),0)))</f>
        <v>0</v>
      </c>
      <c r="AS104">
        <f>IF(E104=1,-AR104*N('Исходные данные'!$B$50),0)</f>
        <v>0</v>
      </c>
      <c r="AT104">
        <f t="shared" si="71"/>
        <v>0</v>
      </c>
      <c r="AU104">
        <f>IF(OR(B104="",N('Исходные данные'!$B$80)&lt;=0,'Исходные данные'!$B$88=""),0,MAX(0,IF('Исходные данные'!$B$88="Последние 12 месяцев",SUMIFS($Y$2:$Y$194,$B$2:$B$194,"&gt;="&amp;EDATE(B104,-11),$B$2:$B$194,"&lt;="&amp;B104),IF('Исходные данные'!$B$88="Пользовательский NOI",N('Исходные данные'!$B$89),AT104))/N('Исходные данные'!$B$80)*(1+N('Исходные данные'!$B$81))))</f>
        <v>0</v>
      </c>
      <c r="AV104">
        <f>IF(OR(E104&lt;&gt;1,B104="",'Исходные данные'!$B$91=""),0,IF(AND(YEAR(B104)=YEAR('Исходные данные'!$B$91),MONTH(B104)=MONTH('Исходные данные'!$B$91)),AU104,0))</f>
        <v>0</v>
      </c>
      <c r="AW104">
        <f>-AV104*N('Исходные данные'!$B$73)</f>
        <v>0</v>
      </c>
      <c r="AX104">
        <f>IF(AV104=0,0,-N('Исходные данные'!$B$87)-IF('Исходные данные'!$B$82="Да",IF('Исходные данные'!$B$84="С выручки",AV104,IF('Исходные данные'!$B$84="С прибыли",MAX(0,AV104+AW104-IF('Исходные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04">
        <f t="shared" si="72"/>
        <v>0</v>
      </c>
      <c r="AZ104">
        <f t="shared" si="73"/>
        <v>0</v>
      </c>
      <c r="BA104">
        <f t="shared" si="74"/>
        <v>0</v>
      </c>
      <c r="BB104" t="str">
        <f t="shared" si="81"/>
        <v/>
      </c>
      <c r="BC104">
        <f>IF(OR(E104=0,'Исходные данные'!$B$9="",'Исходные данные'!$B$90=""),0,BA104/(1+'Исходные данные'!$B$90)^((D104-'Исходные данные'!$B$9)/365))</f>
        <v>0</v>
      </c>
      <c r="BD104">
        <f>IF(AND(E104=1,BB104&gt;=0,BB103&lt;0,MIN($BB$2:BB104)&lt;0),1,0)</f>
        <v>0</v>
      </c>
      <c r="BE104">
        <f t="shared" si="75"/>
        <v>0</v>
      </c>
      <c r="BF104">
        <f t="shared" si="76"/>
        <v>0</v>
      </c>
      <c r="BG104">
        <f t="shared" si="77"/>
        <v>0</v>
      </c>
      <c r="BH104">
        <f t="shared" si="78"/>
        <v>1</v>
      </c>
      <c r="BI104">
        <f>AZ104+N104+AP104-AR104*N('Исходные данные'!$B$50)</f>
        <v>0</v>
      </c>
      <c r="BJ104">
        <f t="shared" si="61"/>
        <v>0</v>
      </c>
      <c r="BK104">
        <f>IF(AND(BJ104&gt;=0,BJ103&lt;0,MIN($BJ$2:BJ104)&lt;0),1,0)</f>
        <v>0</v>
      </c>
    </row>
    <row r="105" spans="1:63" x14ac:dyDescent="0.2">
      <c r="A105">
        <v>104</v>
      </c>
      <c r="B105" t="str">
        <f>IF('Исходные данные'!$B$9="","",EDATE(DATE(YEAR('Исходные данные'!$B$9),MONTH('Исходные данные'!$B$9),1),A105-1))</f>
        <v/>
      </c>
      <c r="C105" t="str">
        <f t="shared" si="62"/>
        <v/>
      </c>
      <c r="D105" t="str">
        <f>IF(B105="","",IF('Исходные данные'!$B$91&lt;&gt;"",IF(AND(YEAR(B105)=YEAR('Исходные данные'!$B$91),MONTH(B105)=MONTH('Исходные данные'!$B$91)),'Исходные данные'!$B$91,IF('Исходные данные'!$B$13&lt;&gt;"",IF(AND(YEAR(B105)=YEAR('Исходные данные'!$B$13),MONTH(B105)=MONTH('Исходные данные'!$B$13)),'Исходные данные'!$B$13,IF('Исходные данные'!$B$26&lt;&gt;"",IF(AND(YEAR(B105)=YEAR('Исходные данные'!$B$26),MONTH(B105)=MONTH('Исходные данные'!$B$26)),'Исходные данные'!$B$26,IF(A105=1,'Исходные данные'!$B$9,C105)),IF(A105=1,'Исходные данные'!$B$9,C105))),IF('Исходные данные'!$B$26&lt;&gt;"",IF(AND(YEAR(B105)=YEAR('Исходные данные'!$B$26),MONTH(B105)=MONTH('Исходные данные'!$B$26)),'Исходные данные'!$B$26,IF(A105=1,'Исходные данные'!$B$9,C105)),IF(A105=1,'Исходные данные'!$B$9,C105)))),IF('Исходные данные'!$B$13&lt;&gt;"",IF(AND(YEAR(B105)=YEAR('Исходные данные'!$B$13),MONTH(B105)=MONTH('Исходные данные'!$B$13)),'Исходные данные'!$B$13,IF('Исходные данные'!$B$26&lt;&gt;"",IF(AND(YEAR(B105)=YEAR('Исходные данные'!$B$26),MONTH(B105)=MONTH('Исходные данные'!$B$26)),'Исходные данные'!$B$26,IF(A105=1,'Исходные данные'!$B$9,C105)),IF(A105=1,'Исходные данные'!$B$9,C105))),IF('Исходные данные'!$B$26&lt;&gt;"",IF(AND(YEAR(B105)=YEAR('Исходные данные'!$B$26),MONTH(B105)=MONTH('Исходные данные'!$B$26)),'Исходные данные'!$B$26,IF(A105=1,'Исходные данные'!$B$9,C105)),IF(A105=1,'Исходные данные'!$B$9,C105)))))</f>
        <v/>
      </c>
      <c r="E105">
        <f>IF(OR(B105="",'Исходные данные'!$B$91=""),0,--(B105&lt;=DATE(YEAR('Исходные данные'!$B$91),MONTH('Исходные данные'!$B$91),1)))</f>
        <v>0</v>
      </c>
      <c r="F105">
        <f>IF(OR(B105="",'Исходные данные'!$B$30="",C105&lt;'Исходные данные'!$B$30),0,DATEDIF(DATE(YEAR('Исходные данные'!$B$30),MONTH('Исходные данные'!$B$30),1),B105,"m")+1)</f>
        <v>0</v>
      </c>
      <c r="G105">
        <f t="shared" si="63"/>
        <v>0</v>
      </c>
      <c r="H105">
        <f>IF(F105=0,0,IF(G105=1,N('Исходные данные'!$B$31),IF(G105=2,N('Исходные данные'!$B$32),IF(G105=3,N('Исходные данные'!$B$33),N('Исходные данные'!$B$33)*(1+N('Исходные данные'!$B$34))^(G105-3)))))</f>
        <v>0</v>
      </c>
      <c r="I105">
        <f>IF(OR(F105=0,N('Исходные данные'!$B$5)=0,H105=0),0,'Исходные данные'!$B$5*H105*IF(AND(B105&lt;='Исходные данные'!$B$30,C105&gt;='Исходные данные'!$B$30),(C105-'Исходные данные'!$B$30+1)/DAY(C105),1))</f>
        <v>0</v>
      </c>
      <c r="J105">
        <f>IF(AND(F105&gt;0,F105&lt;=N('Исходные данные'!$B$37)),-I105,0)</f>
        <v>0</v>
      </c>
      <c r="K105">
        <f>IF(OR(F105=0,F105&lt;=N('Исходные данные'!$B$37)),0,-(I105+J105)*N('Исходные данные'!$B$38))</f>
        <v>0</v>
      </c>
      <c r="L105">
        <f t="shared" si="64"/>
        <v>0</v>
      </c>
      <c r="M105">
        <f>IF('Исходные данные'!$B$51="Да",L105*N('Исходные данные'!$B$52),0)</f>
        <v>0</v>
      </c>
      <c r="N105">
        <f t="shared" si="65"/>
        <v>0</v>
      </c>
      <c r="O105">
        <f>IF(OR(B105="",IF('Исходные данные'!$B$45="",'Исходные данные'!$B$10,'Исходные данные'!$B$45)="",C105&lt;IF('Исходные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данные'!$B$45)),1),B105,"m")/12))*IF(AND(B105&lt;=IF('Исходные данные'!$B$45="",'Исходные данные'!$B$10,'Исходные данные'!$B$45),C105&gt;=IF('Исходные данные'!$B$45="",'Исходные данные'!$B$10,'Исходные данные'!$B$45)),(C105-IF('Исходные данные'!$B$45="",'Исходные данные'!$B$10,'Исходные данные'!$B$45)+1)/DAY(C105),1)*IF('Исходные данные'!$B$43="Без НДС",1+N('Исходные данные'!$B$44),1))</f>
        <v>0</v>
      </c>
      <c r="P105">
        <f>IF('Исходные данные'!$B$51="Да",-O105*N('Исходные данные'!$B$44)/(1+N('Исходные данные'!$B$44)),0)</f>
        <v>0</v>
      </c>
      <c r="Q105">
        <f>IF('Исходные данные'!$B$35="Да",-O105,0)</f>
        <v>0</v>
      </c>
      <c r="R105">
        <f>IF(AND('Исходные данные'!$B$51="Да",Q105&gt;0),Q105*N('Исходные данные'!$B$52)/(1+N('Исходные данные'!$B$52)),0)</f>
        <v>0</v>
      </c>
      <c r="S105">
        <f>IF(OR(B105="",IF('Исходные данные'!$B$45="",'Исходные данные'!$B$10,'Исходные данные'!$B$45)="",C105&lt;IF('Исходные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данные'!$B$45)),1),B105,"m")/12))*IF(AND(B105&lt;=IF('Исходные данные'!$B$45="",'Исходные данные'!$B$10,'Исходные данные'!$B$45),C105&gt;=IF('Исходные данные'!$B$45="",'Исходные данные'!$B$10,'Исходные данные'!$B$45)),(C105-IF('Исходные данные'!$B$45="",'Исходные данные'!$B$10,'Исходные данные'!$B$45)+1)/DAY(C105),1)*IF('Исходные данные'!$B$43="Без НДС",1+N('Исходные данные'!$B$44),1))</f>
        <v>0</v>
      </c>
      <c r="T105">
        <f>IF('Исходные данные'!$B$51="Да",-S105*N('Исходные данные'!$B$44)/(1+N('Исходные данные'!$B$44)),0)</f>
        <v>0</v>
      </c>
      <c r="U105">
        <f>IF('Исходные данные'!$B$36="Да",-S105,0)</f>
        <v>0</v>
      </c>
      <c r="V105">
        <f>IF(AND('Исходные данные'!$B$51="Да",U105&gt;0),U105*N('Исходные данные'!$B$52)/(1+N('Исходные данные'!$B$52)),0)</f>
        <v>0</v>
      </c>
      <c r="W105">
        <f>IF(OR(B105="",IF('Исходные данные'!$B$69="",'Исходные данные'!$B$10,'Исходные данные'!$B$69)="",C105&lt;IF('Исходные данные'!$B$69="",'Исходные данные'!$B$10,'Исходные данные'!$B$69)),0,-N('Исходные данные'!$B$16)*N('Исходные данные'!$B$68)*N('Исходные данные'!$B$67)/12*IF(AND(B105&lt;=IF('Исходные данные'!$B$69="",'Исходные данные'!$B$10,'Исходные данные'!$B$69),C105&gt;=IF('Исходные данные'!$B$69="",'Исходные данные'!$B$10,'Исходные данные'!$B$69)),(C105-IF('Исходные данные'!$B$69="",'Исходные данные'!$B$10,'Исходные данные'!$B$69)+1)/DAY(C105),1))</f>
        <v>0</v>
      </c>
      <c r="X105">
        <f>IF(OR(B105="",IF('Исходные данные'!$B$76="",'Исходные данные'!$B$10,'Исходные данные'!$B$76)="",C105&lt;IF('Исходные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данные'!$B$76)),1),B105,"m")/12))*IF(AND(B105&lt;=IF('Исходные данные'!$B$76="",'Исходные данные'!$B$10,'Исходные данные'!$B$76),C105&gt;=IF('Исходные данные'!$B$76="",'Исходные данные'!$B$10,'Исходные данные'!$B$76)),(C105-IF('Исходные данные'!$B$76="",'Исходные данные'!$B$10,'Исходные данные'!$B$76)+1)/DAY(C105),1))</f>
        <v>0</v>
      </c>
      <c r="Y105">
        <f t="shared" si="66"/>
        <v>0</v>
      </c>
      <c r="Z105">
        <f>IF(OR(B105="",N('Исходные данные'!$B$19)=0),0,-SUMIFS('Исходные данные'!$I$6:$I$186,'Исходные данные'!$F$6:$F$186,B105)*N('Исходные данные'!$B$17)/N('Исходные данные'!$B$19))</f>
        <v>0</v>
      </c>
      <c r="AA105">
        <f>IF(OR(B105="",N('Исходные данные'!$B$19)=0),0,-SUMIFS('Исходные данные'!$I$6:$I$186,'Исходные данные'!$F$6:$F$186,B105)*N('Исходные данные'!$B$18)/N('Исходные данные'!$B$19))</f>
        <v>0</v>
      </c>
      <c r="AB105">
        <f>IF(OR(B105="",'Исходные данные'!$B$13=""),0,IF(AND(YEAR(B105)=YEAR('Исходные данные'!$B$13),MONTH(B105)=MONTH('Исходные данные'!$B$13)),-N('Исходные данные'!$B$11),0))</f>
        <v>0</v>
      </c>
      <c r="AC105">
        <f>IF(A105=1,-N('Исходные данные'!$B$19)*N('Исходные данные'!$B$72),0)</f>
        <v>0</v>
      </c>
      <c r="AD105">
        <f>IF(OR(B105="",'Исходные данные'!$B$22&lt;&gt;"Да",'Исходные данные'!$B$26=""),0,IF(AND(YEAR(B105)=YEAR('Исходные данные'!$B$26),MONTH(B105)=MONTH('Исходные данные'!$B$26)),N('Исходные данные'!$B$23),0))</f>
        <v>0</v>
      </c>
      <c r="AE105">
        <f t="shared" si="79"/>
        <v>0</v>
      </c>
      <c r="AF105">
        <f>IF(OR('Исходные данные'!$B$22&lt;&gt;"Да",'Исходные данные'!$B$26="",C105&lt;'Исходные данные'!$B$26),0,DATEDIF(DATE(YEAR('Исходные данные'!$B$26),MONTH('Исходные данные'!$B$26),1),B105,"m")+1)</f>
        <v>0</v>
      </c>
      <c r="AG105">
        <f>IF(OR(AF105&lt;1,AF105&gt;N('Исходные данные'!$B$25),AE105+AD105&lt;=0),0,-(AE105+AD105)*N('Исходные данные'!$B$24)*IF(AF105=1,C105-'Исходные данные'!$B$26+1,DAY(C105))/365)</f>
        <v>0</v>
      </c>
      <c r="AH105">
        <f>IF(OR(AF105&lt;1,AF105&gt;N('Исходные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данные'!$B$25)-AG105))</f>
        <v>0</v>
      </c>
      <c r="AI105">
        <f>IF(OR('Исходные данные'!$B$22&lt;&gt;"Да",AE105+AD105&lt;=0),0,IF(AND('Исходные данные'!$B$91&lt;&gt;"",B105&lt;&gt;"",YEAR(B105)=YEAR('Исходные данные'!$B$91),MONTH(B105)=MONTH('Исходные данные'!$B$91)),-(AE105+AD105),IF(OR(AF105&lt;1,AF105&gt;N('Исходные данные'!$B$25)),0,IF('Исходные данные'!$B$27="Равными долями",-MIN(AE105+AD105,N('Исходные данные'!$B$23)/N('Исходные данные'!$B$25)),-MIN(AE105+AD105,IF(AF105=N('Исходные данные'!$B$25),AE105+AD105,MAX(0,AH105+AG105)))))))</f>
        <v>0</v>
      </c>
      <c r="AJ105">
        <f t="shared" si="67"/>
        <v>0</v>
      </c>
      <c r="AK105">
        <f t="shared" si="68"/>
        <v>0</v>
      </c>
      <c r="AL105">
        <f>IF(OR(B105="",'Исходные данные'!$B$51&lt;&gt;"Да",'Исходные данные'!$B$61=""),0,IF(AND(YEAR(B105)=YEAR('Исходные данные'!$B$61),MONTH(B105)=MONTH('Исходные данные'!$B$61)),N('Исходные данные'!$B$18)*N('Исходные данные'!$B$62),0))</f>
        <v>0</v>
      </c>
      <c r="AM105">
        <f t="shared" si="80"/>
        <v>0</v>
      </c>
      <c r="AN105">
        <f t="shared" si="69"/>
        <v>0</v>
      </c>
      <c r="AO105">
        <f t="shared" si="70"/>
        <v>0</v>
      </c>
      <c r="AP105">
        <f>IF('Исходные данные'!$B$51="Да",-MAX(0,AN105-AO105-AM105),0)</f>
        <v>0</v>
      </c>
      <c r="AQ105">
        <f>IF('Исходные данные'!$B$51="Да",MAX(0,AM105+AO105-AN105),0)</f>
        <v>0</v>
      </c>
      <c r="AR105">
        <f>IF('Исходные данные'!$B$53="Выручка",MAX(0,L105+(Q105-R105)+(U105-V105)),IF('Исходные данные'!$B$53="Прибыль до налога",MAX(0,L105+(Q105-R105)+(U105-V105)+N('Исходные данные'!$B$54)*((O105+P105)+(S105+T105)+W105+X105)+IF('Исходные данные'!$B$55="Да",AG105,0)-N('Исходные данные'!$B$56)/12),IF('Исходные данные'!$B$53="Пользовательская база",MAX(0,N('Исходные данные'!$B$57)/12),0)))</f>
        <v>0</v>
      </c>
      <c r="AS105">
        <f>IF(E105=1,-AR105*N('Исходные данные'!$B$50),0)</f>
        <v>0</v>
      </c>
      <c r="AT105">
        <f t="shared" si="71"/>
        <v>0</v>
      </c>
      <c r="AU105">
        <f>IF(OR(B105="",N('Исходные данные'!$B$80)&lt;=0,'Исходные данные'!$B$88=""),0,MAX(0,IF('Исходные данные'!$B$88="Последние 12 месяцев",SUMIFS($Y$2:$Y$194,$B$2:$B$194,"&gt;="&amp;EDATE(B105,-11),$B$2:$B$194,"&lt;="&amp;B105),IF('Исходные данные'!$B$88="Пользовательский NOI",N('Исходные данные'!$B$89),AT105))/N('Исходные данные'!$B$80)*(1+N('Исходные данные'!$B$81))))</f>
        <v>0</v>
      </c>
      <c r="AV105">
        <f>IF(OR(E105&lt;&gt;1,B105="",'Исходные данные'!$B$91=""),0,IF(AND(YEAR(B105)=YEAR('Исходные данные'!$B$91),MONTH(B105)=MONTH('Исходные данные'!$B$91)),AU105,0))</f>
        <v>0</v>
      </c>
      <c r="AW105">
        <f>-AV105*N('Исходные данные'!$B$73)</f>
        <v>0</v>
      </c>
      <c r="AX105">
        <f>IF(AV105=0,0,-N('Исходные данные'!$B$87)-IF('Исходные данные'!$B$82="Да",IF('Исходные данные'!$B$84="С выручки",AV105,IF('Исходные данные'!$B$84="С прибыли",MAX(0,AV105+AW105-IF('Исходные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05">
        <f t="shared" si="72"/>
        <v>0</v>
      </c>
      <c r="AZ105">
        <f t="shared" si="73"/>
        <v>0</v>
      </c>
      <c r="BA105">
        <f t="shared" si="74"/>
        <v>0</v>
      </c>
      <c r="BB105" t="str">
        <f t="shared" si="81"/>
        <v/>
      </c>
      <c r="BC105">
        <f>IF(OR(E105=0,'Исходные данные'!$B$9="",'Исходные данные'!$B$90=""),0,BA105/(1+'Исходные данные'!$B$90)^((D105-'Исходные данные'!$B$9)/365))</f>
        <v>0</v>
      </c>
      <c r="BD105">
        <f>IF(AND(E105=1,BB105&gt;=0,BB104&lt;0,MIN($BB$2:BB105)&lt;0),1,0)</f>
        <v>0</v>
      </c>
      <c r="BE105">
        <f t="shared" si="75"/>
        <v>0</v>
      </c>
      <c r="BF105">
        <f t="shared" si="76"/>
        <v>0</v>
      </c>
      <c r="BG105">
        <f t="shared" si="77"/>
        <v>0</v>
      </c>
      <c r="BH105">
        <f t="shared" si="78"/>
        <v>1</v>
      </c>
      <c r="BI105">
        <f>AZ105+N105+AP105-AR105*N('Исходные данные'!$B$50)</f>
        <v>0</v>
      </c>
      <c r="BJ105">
        <f t="shared" si="61"/>
        <v>0</v>
      </c>
      <c r="BK105">
        <f>IF(AND(BJ105&gt;=0,BJ104&lt;0,MIN($BJ$2:BJ105)&lt;0),1,0)</f>
        <v>0</v>
      </c>
    </row>
    <row r="106" spans="1:63" x14ac:dyDescent="0.2">
      <c r="A106">
        <v>105</v>
      </c>
      <c r="B106" t="str">
        <f>IF('Исходные данные'!$B$9="","",EDATE(DATE(YEAR('Исходные данные'!$B$9),MONTH('Исходные данные'!$B$9),1),A106-1))</f>
        <v/>
      </c>
      <c r="C106" t="str">
        <f t="shared" si="62"/>
        <v/>
      </c>
      <c r="D106" t="str">
        <f>IF(B106="","",IF('Исходные данные'!$B$91&lt;&gt;"",IF(AND(YEAR(B106)=YEAR('Исходные данные'!$B$91),MONTH(B106)=MONTH('Исходные данные'!$B$91)),'Исходные данные'!$B$91,IF('Исходные данные'!$B$13&lt;&gt;"",IF(AND(YEAR(B106)=YEAR('Исходные данные'!$B$13),MONTH(B106)=MONTH('Исходные данные'!$B$13)),'Исходные данные'!$B$13,IF('Исходные данные'!$B$26&lt;&gt;"",IF(AND(YEAR(B106)=YEAR('Исходные данные'!$B$26),MONTH(B106)=MONTH('Исходные данные'!$B$26)),'Исходные данные'!$B$26,IF(A106=1,'Исходные данные'!$B$9,C106)),IF(A106=1,'Исходные данные'!$B$9,C106))),IF('Исходные данные'!$B$26&lt;&gt;"",IF(AND(YEAR(B106)=YEAR('Исходные данные'!$B$26),MONTH(B106)=MONTH('Исходные данные'!$B$26)),'Исходные данные'!$B$26,IF(A106=1,'Исходные данные'!$B$9,C106)),IF(A106=1,'Исходные данные'!$B$9,C106)))),IF('Исходные данные'!$B$13&lt;&gt;"",IF(AND(YEAR(B106)=YEAR('Исходные данные'!$B$13),MONTH(B106)=MONTH('Исходные данные'!$B$13)),'Исходные данные'!$B$13,IF('Исходные данные'!$B$26&lt;&gt;"",IF(AND(YEAR(B106)=YEAR('Исходные данные'!$B$26),MONTH(B106)=MONTH('Исходные данные'!$B$26)),'Исходные данные'!$B$26,IF(A106=1,'Исходные данные'!$B$9,C106)),IF(A106=1,'Исходные данные'!$B$9,C106))),IF('Исходные данные'!$B$26&lt;&gt;"",IF(AND(YEAR(B106)=YEAR('Исходные данные'!$B$26),MONTH(B106)=MONTH('Исходные данные'!$B$26)),'Исходные данные'!$B$26,IF(A106=1,'Исходные данные'!$B$9,C106)),IF(A106=1,'Исходные данные'!$B$9,C106)))))</f>
        <v/>
      </c>
      <c r="E106">
        <f>IF(OR(B106="",'Исходные данные'!$B$91=""),0,--(B106&lt;=DATE(YEAR('Исходные данные'!$B$91),MONTH('Исходные данные'!$B$91),1)))</f>
        <v>0</v>
      </c>
      <c r="F106">
        <f>IF(OR(B106="",'Исходные данные'!$B$30="",C106&lt;'Исходные данные'!$B$30),0,DATEDIF(DATE(YEAR('Исходные данные'!$B$30),MONTH('Исходные данные'!$B$30),1),B106,"m")+1)</f>
        <v>0</v>
      </c>
      <c r="G106">
        <f t="shared" si="63"/>
        <v>0</v>
      </c>
      <c r="H106">
        <f>IF(F106=0,0,IF(G106=1,N('Исходные данные'!$B$31),IF(G106=2,N('Исходные данные'!$B$32),IF(G106=3,N('Исходные данные'!$B$33),N('Исходные данные'!$B$33)*(1+N('Исходные данные'!$B$34))^(G106-3)))))</f>
        <v>0</v>
      </c>
      <c r="I106">
        <f>IF(OR(F106=0,N('Исходные данные'!$B$5)=0,H106=0),0,'Исходные данные'!$B$5*H106*IF(AND(B106&lt;='Исходные данные'!$B$30,C106&gt;='Исходные данные'!$B$30),(C106-'Исходные данные'!$B$30+1)/DAY(C106),1))</f>
        <v>0</v>
      </c>
      <c r="J106">
        <f>IF(AND(F106&gt;0,F106&lt;=N('Исходные данные'!$B$37)),-I106,0)</f>
        <v>0</v>
      </c>
      <c r="K106">
        <f>IF(OR(F106=0,F106&lt;=N('Исходные данные'!$B$37)),0,-(I106+J106)*N('Исходные данные'!$B$38))</f>
        <v>0</v>
      </c>
      <c r="L106">
        <f t="shared" si="64"/>
        <v>0</v>
      </c>
      <c r="M106">
        <f>IF('Исходные данные'!$B$51="Да",L106*N('Исходные данные'!$B$52),0)</f>
        <v>0</v>
      </c>
      <c r="N106">
        <f t="shared" si="65"/>
        <v>0</v>
      </c>
      <c r="O106">
        <f>IF(OR(B106="",IF('Исходные данные'!$B$45="",'Исходные данные'!$B$10,'Исходные данные'!$B$45)="",C106&lt;IF('Исходные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данные'!$B$45)),1),B106,"m")/12))*IF(AND(B106&lt;=IF('Исходные данные'!$B$45="",'Исходные данные'!$B$10,'Исходные данные'!$B$45),C106&gt;=IF('Исходные данные'!$B$45="",'Исходные данные'!$B$10,'Исходные данные'!$B$45)),(C106-IF('Исходные данные'!$B$45="",'Исходные данные'!$B$10,'Исходные данные'!$B$45)+1)/DAY(C106),1)*IF('Исходные данные'!$B$43="Без НДС",1+N('Исходные данные'!$B$44),1))</f>
        <v>0</v>
      </c>
      <c r="P106">
        <f>IF('Исходные данные'!$B$51="Да",-O106*N('Исходные данные'!$B$44)/(1+N('Исходные данные'!$B$44)),0)</f>
        <v>0</v>
      </c>
      <c r="Q106">
        <f>IF('Исходные данные'!$B$35="Да",-O106,0)</f>
        <v>0</v>
      </c>
      <c r="R106">
        <f>IF(AND('Исходные данные'!$B$51="Да",Q106&gt;0),Q106*N('Исходные данные'!$B$52)/(1+N('Исходные данные'!$B$52)),0)</f>
        <v>0</v>
      </c>
      <c r="S106">
        <f>IF(OR(B106="",IF('Исходные данные'!$B$45="",'Исходные данные'!$B$10,'Исходные данные'!$B$45)="",C106&lt;IF('Исходные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данные'!$B$45)),1),B106,"m")/12))*IF(AND(B106&lt;=IF('Исходные данные'!$B$45="",'Исходные данные'!$B$10,'Исходные данные'!$B$45),C106&gt;=IF('Исходные данные'!$B$45="",'Исходные данные'!$B$10,'Исходные данные'!$B$45)),(C106-IF('Исходные данные'!$B$45="",'Исходные данные'!$B$10,'Исходные данные'!$B$45)+1)/DAY(C106),1)*IF('Исходные данные'!$B$43="Без НДС",1+N('Исходные данные'!$B$44),1))</f>
        <v>0</v>
      </c>
      <c r="T106">
        <f>IF('Исходные данные'!$B$51="Да",-S106*N('Исходные данные'!$B$44)/(1+N('Исходные данные'!$B$44)),0)</f>
        <v>0</v>
      </c>
      <c r="U106">
        <f>IF('Исходные данные'!$B$36="Да",-S106,0)</f>
        <v>0</v>
      </c>
      <c r="V106">
        <f>IF(AND('Исходные данные'!$B$51="Да",U106&gt;0),U106*N('Исходные данные'!$B$52)/(1+N('Исходные данные'!$B$52)),0)</f>
        <v>0</v>
      </c>
      <c r="W106">
        <f>IF(OR(B106="",IF('Исходные данные'!$B$69="",'Исходные данные'!$B$10,'Исходные данные'!$B$69)="",C106&lt;IF('Исходные данные'!$B$69="",'Исходные данные'!$B$10,'Исходные данные'!$B$69)),0,-N('Исходные данные'!$B$16)*N('Исходные данные'!$B$68)*N('Исходные данные'!$B$67)/12*IF(AND(B106&lt;=IF('Исходные данные'!$B$69="",'Исходные данные'!$B$10,'Исходные данные'!$B$69),C106&gt;=IF('Исходные данные'!$B$69="",'Исходные данные'!$B$10,'Исходные данные'!$B$69)),(C106-IF('Исходные данные'!$B$69="",'Исходные данные'!$B$10,'Исходные данные'!$B$69)+1)/DAY(C106),1))</f>
        <v>0</v>
      </c>
      <c r="X106">
        <f>IF(OR(B106="",IF('Исходные данные'!$B$76="",'Исходные данные'!$B$10,'Исходные данные'!$B$76)="",C106&lt;IF('Исходные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данные'!$B$76)),1),B106,"m")/12))*IF(AND(B106&lt;=IF('Исходные данные'!$B$76="",'Исходные данные'!$B$10,'Исходные данные'!$B$76),C106&gt;=IF('Исходные данные'!$B$76="",'Исходные данные'!$B$10,'Исходные данные'!$B$76)),(C106-IF('Исходные данные'!$B$76="",'Исходные данные'!$B$10,'Исходные данные'!$B$76)+1)/DAY(C106),1))</f>
        <v>0</v>
      </c>
      <c r="Y106">
        <f t="shared" si="66"/>
        <v>0</v>
      </c>
      <c r="Z106">
        <f>IF(OR(B106="",N('Исходные данные'!$B$19)=0),0,-SUMIFS('Исходные данные'!$I$6:$I$186,'Исходные данные'!$F$6:$F$186,B106)*N('Исходные данные'!$B$17)/N('Исходные данные'!$B$19))</f>
        <v>0</v>
      </c>
      <c r="AA106">
        <f>IF(OR(B106="",N('Исходные данные'!$B$19)=0),0,-SUMIFS('Исходные данные'!$I$6:$I$186,'Исходные данные'!$F$6:$F$186,B106)*N('Исходные данные'!$B$18)/N('Исходные данные'!$B$19))</f>
        <v>0</v>
      </c>
      <c r="AB106">
        <f>IF(OR(B106="",'Исходные данные'!$B$13=""),0,IF(AND(YEAR(B106)=YEAR('Исходные данные'!$B$13),MONTH(B106)=MONTH('Исходные данные'!$B$13)),-N('Исходные данные'!$B$11),0))</f>
        <v>0</v>
      </c>
      <c r="AC106">
        <f>IF(A106=1,-N('Исходные данные'!$B$19)*N('Исходные данные'!$B$72),0)</f>
        <v>0</v>
      </c>
      <c r="AD106">
        <f>IF(OR(B106="",'Исходные данные'!$B$22&lt;&gt;"Да",'Исходные данные'!$B$26=""),0,IF(AND(YEAR(B106)=YEAR('Исходные данные'!$B$26),MONTH(B106)=MONTH('Исходные данные'!$B$26)),N('Исходные данные'!$B$23),0))</f>
        <v>0</v>
      </c>
      <c r="AE106">
        <f t="shared" si="79"/>
        <v>0</v>
      </c>
      <c r="AF106">
        <f>IF(OR('Исходные данные'!$B$22&lt;&gt;"Да",'Исходные данные'!$B$26="",C106&lt;'Исходные данные'!$B$26),0,DATEDIF(DATE(YEAR('Исходные данные'!$B$26),MONTH('Исходные данные'!$B$26),1),B106,"m")+1)</f>
        <v>0</v>
      </c>
      <c r="AG106">
        <f>IF(OR(AF106&lt;1,AF106&gt;N('Исходные данные'!$B$25),AE106+AD106&lt;=0),0,-(AE106+AD106)*N('Исходные данные'!$B$24)*IF(AF106=1,C106-'Исходные данные'!$B$26+1,DAY(C106))/365)</f>
        <v>0</v>
      </c>
      <c r="AH106">
        <f>IF(OR(AF106&lt;1,AF106&gt;N('Исходные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данные'!$B$25)-AG106))</f>
        <v>0</v>
      </c>
      <c r="AI106">
        <f>IF(OR('Исходные данные'!$B$22&lt;&gt;"Да",AE106+AD106&lt;=0),0,IF(AND('Исходные данные'!$B$91&lt;&gt;"",B106&lt;&gt;"",YEAR(B106)=YEAR('Исходные данные'!$B$91),MONTH(B106)=MONTH('Исходные данные'!$B$91)),-(AE106+AD106),IF(OR(AF106&lt;1,AF106&gt;N('Исходные данные'!$B$25)),0,IF('Исходные данные'!$B$27="Равными долями",-MIN(AE106+AD106,N('Исходные данные'!$B$23)/N('Исходные данные'!$B$25)),-MIN(AE106+AD106,IF(AF106=N('Исходные данные'!$B$25),AE106+AD106,MAX(0,AH106+AG106)))))))</f>
        <v>0</v>
      </c>
      <c r="AJ106">
        <f t="shared" si="67"/>
        <v>0</v>
      </c>
      <c r="AK106">
        <f t="shared" si="68"/>
        <v>0</v>
      </c>
      <c r="AL106">
        <f>IF(OR(B106="",'Исходные данные'!$B$51&lt;&gt;"Да",'Исходные данные'!$B$61=""),0,IF(AND(YEAR(B106)=YEAR('Исходные данные'!$B$61),MONTH(B106)=MONTH('Исходные данные'!$B$61)),N('Исходные данные'!$B$18)*N('Исходные данные'!$B$62),0))</f>
        <v>0</v>
      </c>
      <c r="AM106">
        <f t="shared" si="80"/>
        <v>0</v>
      </c>
      <c r="AN106">
        <f t="shared" si="69"/>
        <v>0</v>
      </c>
      <c r="AO106">
        <f t="shared" si="70"/>
        <v>0</v>
      </c>
      <c r="AP106">
        <f>IF('Исходные данные'!$B$51="Да",-MAX(0,AN106-AO106-AM106),0)</f>
        <v>0</v>
      </c>
      <c r="AQ106">
        <f>IF('Исходные данные'!$B$51="Да",MAX(0,AM106+AO106-AN106),0)</f>
        <v>0</v>
      </c>
      <c r="AR106">
        <f>IF('Исходные данные'!$B$53="Выручка",MAX(0,L106+(Q106-R106)+(U106-V106)),IF('Исходные данные'!$B$53="Прибыль до налога",MAX(0,L106+(Q106-R106)+(U106-V106)+N('Исходные данные'!$B$54)*((O106+P106)+(S106+T106)+W106+X106)+IF('Исходные данные'!$B$55="Да",AG106,0)-N('Исходные данные'!$B$56)/12),IF('Исходные данные'!$B$53="Пользовательская база",MAX(0,N('Исходные данные'!$B$57)/12),0)))</f>
        <v>0</v>
      </c>
      <c r="AS106">
        <f>IF(E106=1,-AR106*N('Исходные данные'!$B$50),0)</f>
        <v>0</v>
      </c>
      <c r="AT106">
        <f t="shared" si="71"/>
        <v>0</v>
      </c>
      <c r="AU106">
        <f>IF(OR(B106="",N('Исходные данные'!$B$80)&lt;=0,'Исходные данные'!$B$88=""),0,MAX(0,IF('Исходные данные'!$B$88="Последние 12 месяцев",SUMIFS($Y$2:$Y$194,$B$2:$B$194,"&gt;="&amp;EDATE(B106,-11),$B$2:$B$194,"&lt;="&amp;B106),IF('Исходные данные'!$B$88="Пользовательский NOI",N('Исходные данные'!$B$89),AT106))/N('Исходные данные'!$B$80)*(1+N('Исходные данные'!$B$81))))</f>
        <v>0</v>
      </c>
      <c r="AV106">
        <f>IF(OR(E106&lt;&gt;1,B106="",'Исходные данные'!$B$91=""),0,IF(AND(YEAR(B106)=YEAR('Исходные данные'!$B$91),MONTH(B106)=MONTH('Исходные данные'!$B$91)),AU106,0))</f>
        <v>0</v>
      </c>
      <c r="AW106">
        <f>-AV106*N('Исходные данные'!$B$73)</f>
        <v>0</v>
      </c>
      <c r="AX106">
        <f>IF(AV106=0,0,-N('Исходные данные'!$B$87)-IF('Исходные данные'!$B$82="Да",IF('Исходные данные'!$B$84="С выручки",AV106,IF('Исходные данные'!$B$84="С прибыли",MAX(0,AV106+AW106-IF('Исходные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06">
        <f t="shared" si="72"/>
        <v>0</v>
      </c>
      <c r="AZ106">
        <f t="shared" si="73"/>
        <v>0</v>
      </c>
      <c r="BA106">
        <f t="shared" si="74"/>
        <v>0</v>
      </c>
      <c r="BB106" t="str">
        <f t="shared" si="81"/>
        <v/>
      </c>
      <c r="BC106">
        <f>IF(OR(E106=0,'Исходные данные'!$B$9="",'Исходные данные'!$B$90=""),0,BA106/(1+'Исходные данные'!$B$90)^((D106-'Исходные данные'!$B$9)/365))</f>
        <v>0</v>
      </c>
      <c r="BD106">
        <f>IF(AND(E106=1,BB106&gt;=0,BB105&lt;0,MIN($BB$2:BB106)&lt;0),1,0)</f>
        <v>0</v>
      </c>
      <c r="BE106">
        <f t="shared" si="75"/>
        <v>0</v>
      </c>
      <c r="BF106">
        <f t="shared" si="76"/>
        <v>0</v>
      </c>
      <c r="BG106">
        <f t="shared" si="77"/>
        <v>0</v>
      </c>
      <c r="BH106">
        <f t="shared" si="78"/>
        <v>1</v>
      </c>
      <c r="BI106">
        <f>AZ106+N106+AP106-AR106*N('Исходные данные'!$B$50)</f>
        <v>0</v>
      </c>
      <c r="BJ106">
        <f t="shared" si="61"/>
        <v>0</v>
      </c>
      <c r="BK106">
        <f>IF(AND(BJ106&gt;=0,BJ105&lt;0,MIN($BJ$2:BJ106)&lt;0),1,0)</f>
        <v>0</v>
      </c>
    </row>
    <row r="107" spans="1:63" x14ac:dyDescent="0.2">
      <c r="A107">
        <v>106</v>
      </c>
      <c r="B107" t="str">
        <f>IF('Исходные данные'!$B$9="","",EDATE(DATE(YEAR('Исходные данные'!$B$9),MONTH('Исходные данные'!$B$9),1),A107-1))</f>
        <v/>
      </c>
      <c r="C107" t="str">
        <f t="shared" si="62"/>
        <v/>
      </c>
      <c r="D107" t="str">
        <f>IF(B107="","",IF('Исходные данные'!$B$91&lt;&gt;"",IF(AND(YEAR(B107)=YEAR('Исходные данные'!$B$91),MONTH(B107)=MONTH('Исходные данные'!$B$91)),'Исходные данные'!$B$91,IF('Исходные данные'!$B$13&lt;&gt;"",IF(AND(YEAR(B107)=YEAR('Исходные данные'!$B$13),MONTH(B107)=MONTH('Исходные данные'!$B$13)),'Исходные данные'!$B$13,IF('Исходные данные'!$B$26&lt;&gt;"",IF(AND(YEAR(B107)=YEAR('Исходные данные'!$B$26),MONTH(B107)=MONTH('Исходные данные'!$B$26)),'Исходные данные'!$B$26,IF(A107=1,'Исходные данные'!$B$9,C107)),IF(A107=1,'Исходные данные'!$B$9,C107))),IF('Исходные данные'!$B$26&lt;&gt;"",IF(AND(YEAR(B107)=YEAR('Исходные данные'!$B$26),MONTH(B107)=MONTH('Исходные данные'!$B$26)),'Исходные данные'!$B$26,IF(A107=1,'Исходные данные'!$B$9,C107)),IF(A107=1,'Исходные данные'!$B$9,C107)))),IF('Исходные данные'!$B$13&lt;&gt;"",IF(AND(YEAR(B107)=YEAR('Исходные данные'!$B$13),MONTH(B107)=MONTH('Исходные данные'!$B$13)),'Исходные данные'!$B$13,IF('Исходные данные'!$B$26&lt;&gt;"",IF(AND(YEAR(B107)=YEAR('Исходные данные'!$B$26),MONTH(B107)=MONTH('Исходные данные'!$B$26)),'Исходные данные'!$B$26,IF(A107=1,'Исходные данные'!$B$9,C107)),IF(A107=1,'Исходные данные'!$B$9,C107))),IF('Исходные данные'!$B$26&lt;&gt;"",IF(AND(YEAR(B107)=YEAR('Исходные данные'!$B$26),MONTH(B107)=MONTH('Исходные данные'!$B$26)),'Исходные данные'!$B$26,IF(A107=1,'Исходные данные'!$B$9,C107)),IF(A107=1,'Исходные данные'!$B$9,C107)))))</f>
        <v/>
      </c>
      <c r="E107">
        <f>IF(OR(B107="",'Исходные данные'!$B$91=""),0,--(B107&lt;=DATE(YEAR('Исходные данные'!$B$91),MONTH('Исходные данные'!$B$91),1)))</f>
        <v>0</v>
      </c>
      <c r="F107">
        <f>IF(OR(B107="",'Исходные данные'!$B$30="",C107&lt;'Исходные данные'!$B$30),0,DATEDIF(DATE(YEAR('Исходные данные'!$B$30),MONTH('Исходные данные'!$B$30),1),B107,"m")+1)</f>
        <v>0</v>
      </c>
      <c r="G107">
        <f t="shared" si="63"/>
        <v>0</v>
      </c>
      <c r="H107">
        <f>IF(F107=0,0,IF(G107=1,N('Исходные данные'!$B$31),IF(G107=2,N('Исходные данные'!$B$32),IF(G107=3,N('Исходные данные'!$B$33),N('Исходные данные'!$B$33)*(1+N('Исходные данные'!$B$34))^(G107-3)))))</f>
        <v>0</v>
      </c>
      <c r="I107">
        <f>IF(OR(F107=0,N('Исходные данные'!$B$5)=0,H107=0),0,'Исходные данные'!$B$5*H107*IF(AND(B107&lt;='Исходные данные'!$B$30,C107&gt;='Исходные данные'!$B$30),(C107-'Исходные данные'!$B$30+1)/DAY(C107),1))</f>
        <v>0</v>
      </c>
      <c r="J107">
        <f>IF(AND(F107&gt;0,F107&lt;=N('Исходные данные'!$B$37)),-I107,0)</f>
        <v>0</v>
      </c>
      <c r="K107">
        <f>IF(OR(F107=0,F107&lt;=N('Исходные данные'!$B$37)),0,-(I107+J107)*N('Исходные данные'!$B$38))</f>
        <v>0</v>
      </c>
      <c r="L107">
        <f t="shared" si="64"/>
        <v>0</v>
      </c>
      <c r="M107">
        <f>IF('Исходные данные'!$B$51="Да",L107*N('Исходные данные'!$B$52),0)</f>
        <v>0</v>
      </c>
      <c r="N107">
        <f t="shared" si="65"/>
        <v>0</v>
      </c>
      <c r="O107">
        <f>IF(OR(B107="",IF('Исходные данные'!$B$45="",'Исходные данные'!$B$10,'Исходные данные'!$B$45)="",C107&lt;IF('Исходные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данные'!$B$45)),1),B107,"m")/12))*IF(AND(B107&lt;=IF('Исходные данные'!$B$45="",'Исходные данные'!$B$10,'Исходные данные'!$B$45),C107&gt;=IF('Исходные данные'!$B$45="",'Исходные данные'!$B$10,'Исходные данные'!$B$45)),(C107-IF('Исходные данные'!$B$45="",'Исходные данные'!$B$10,'Исходные данные'!$B$45)+1)/DAY(C107),1)*IF('Исходные данные'!$B$43="Без НДС",1+N('Исходные данные'!$B$44),1))</f>
        <v>0</v>
      </c>
      <c r="P107">
        <f>IF('Исходные данные'!$B$51="Да",-O107*N('Исходные данные'!$B$44)/(1+N('Исходные данные'!$B$44)),0)</f>
        <v>0</v>
      </c>
      <c r="Q107">
        <f>IF('Исходные данные'!$B$35="Да",-O107,0)</f>
        <v>0</v>
      </c>
      <c r="R107">
        <f>IF(AND('Исходные данные'!$B$51="Да",Q107&gt;0),Q107*N('Исходные данные'!$B$52)/(1+N('Исходные данные'!$B$52)),0)</f>
        <v>0</v>
      </c>
      <c r="S107">
        <f>IF(OR(B107="",IF('Исходные данные'!$B$45="",'Исходные данные'!$B$10,'Исходные данные'!$B$45)="",C107&lt;IF('Исходные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данные'!$B$45)),1),B107,"m")/12))*IF(AND(B107&lt;=IF('Исходные данные'!$B$45="",'Исходные данные'!$B$10,'Исходные данные'!$B$45),C107&gt;=IF('Исходные данные'!$B$45="",'Исходные данные'!$B$10,'Исходные данные'!$B$45)),(C107-IF('Исходные данные'!$B$45="",'Исходные данные'!$B$10,'Исходные данные'!$B$45)+1)/DAY(C107),1)*IF('Исходные данные'!$B$43="Без НДС",1+N('Исходные данные'!$B$44),1))</f>
        <v>0</v>
      </c>
      <c r="T107">
        <f>IF('Исходные данные'!$B$51="Да",-S107*N('Исходные данные'!$B$44)/(1+N('Исходные данные'!$B$44)),0)</f>
        <v>0</v>
      </c>
      <c r="U107">
        <f>IF('Исходные данные'!$B$36="Да",-S107,0)</f>
        <v>0</v>
      </c>
      <c r="V107">
        <f>IF(AND('Исходные данные'!$B$51="Да",U107&gt;0),U107*N('Исходные данные'!$B$52)/(1+N('Исходные данные'!$B$52)),0)</f>
        <v>0</v>
      </c>
      <c r="W107">
        <f>IF(OR(B107="",IF('Исходные данные'!$B$69="",'Исходные данные'!$B$10,'Исходные данные'!$B$69)="",C107&lt;IF('Исходные данные'!$B$69="",'Исходные данные'!$B$10,'Исходные данные'!$B$69)),0,-N('Исходные данные'!$B$16)*N('Исходные данные'!$B$68)*N('Исходные данные'!$B$67)/12*IF(AND(B107&lt;=IF('Исходные данные'!$B$69="",'Исходные данные'!$B$10,'Исходные данные'!$B$69),C107&gt;=IF('Исходные данные'!$B$69="",'Исходные данные'!$B$10,'Исходные данные'!$B$69)),(C107-IF('Исходные данные'!$B$69="",'Исходные данные'!$B$10,'Исходные данные'!$B$69)+1)/DAY(C107),1))</f>
        <v>0</v>
      </c>
      <c r="X107">
        <f>IF(OR(B107="",IF('Исходные данные'!$B$76="",'Исходные данные'!$B$10,'Исходные данные'!$B$76)="",C107&lt;IF('Исходные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данные'!$B$76)),1),B107,"m")/12))*IF(AND(B107&lt;=IF('Исходные данные'!$B$76="",'Исходные данные'!$B$10,'Исходные данные'!$B$76),C107&gt;=IF('Исходные данные'!$B$76="",'Исходные данные'!$B$10,'Исходные данные'!$B$76)),(C107-IF('Исходные данные'!$B$76="",'Исходные данные'!$B$10,'Исходные данные'!$B$76)+1)/DAY(C107),1))</f>
        <v>0</v>
      </c>
      <c r="Y107">
        <f t="shared" si="66"/>
        <v>0</v>
      </c>
      <c r="Z107">
        <f>IF(OR(B107="",N('Исходные данные'!$B$19)=0),0,-SUMIFS('Исходные данные'!$I$6:$I$186,'Исходные данные'!$F$6:$F$186,B107)*N('Исходные данные'!$B$17)/N('Исходные данные'!$B$19))</f>
        <v>0</v>
      </c>
      <c r="AA107">
        <f>IF(OR(B107="",N('Исходные данные'!$B$19)=0),0,-SUMIFS('Исходные данные'!$I$6:$I$186,'Исходные данные'!$F$6:$F$186,B107)*N('Исходные данные'!$B$18)/N('Исходные данные'!$B$19))</f>
        <v>0</v>
      </c>
      <c r="AB107">
        <f>IF(OR(B107="",'Исходные данные'!$B$13=""),0,IF(AND(YEAR(B107)=YEAR('Исходные данные'!$B$13),MONTH(B107)=MONTH('Исходные данные'!$B$13)),-N('Исходные данные'!$B$11),0))</f>
        <v>0</v>
      </c>
      <c r="AC107">
        <f>IF(A107=1,-N('Исходные данные'!$B$19)*N('Исходные данные'!$B$72),0)</f>
        <v>0</v>
      </c>
      <c r="AD107">
        <f>IF(OR(B107="",'Исходные данные'!$B$22&lt;&gt;"Да",'Исходные данные'!$B$26=""),0,IF(AND(YEAR(B107)=YEAR('Исходные данные'!$B$26),MONTH(B107)=MONTH('Исходные данные'!$B$26)),N('Исходные данные'!$B$23),0))</f>
        <v>0</v>
      </c>
      <c r="AE107">
        <f t="shared" si="79"/>
        <v>0</v>
      </c>
      <c r="AF107">
        <f>IF(OR('Исходные данные'!$B$22&lt;&gt;"Да",'Исходные данные'!$B$26="",C107&lt;'Исходные данные'!$B$26),0,DATEDIF(DATE(YEAR('Исходные данные'!$B$26),MONTH('Исходные данные'!$B$26),1),B107,"m")+1)</f>
        <v>0</v>
      </c>
      <c r="AG107">
        <f>IF(OR(AF107&lt;1,AF107&gt;N('Исходные данные'!$B$25),AE107+AD107&lt;=0),0,-(AE107+AD107)*N('Исходные данные'!$B$24)*IF(AF107=1,C107-'Исходные данные'!$B$26+1,DAY(C107))/365)</f>
        <v>0</v>
      </c>
      <c r="AH107">
        <f>IF(OR(AF107&lt;1,AF107&gt;N('Исходные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данные'!$B$25)-AG107))</f>
        <v>0</v>
      </c>
      <c r="AI107">
        <f>IF(OR('Исходные данные'!$B$22&lt;&gt;"Да",AE107+AD107&lt;=0),0,IF(AND('Исходные данные'!$B$91&lt;&gt;"",B107&lt;&gt;"",YEAR(B107)=YEAR('Исходные данные'!$B$91),MONTH(B107)=MONTH('Исходные данные'!$B$91)),-(AE107+AD107),IF(OR(AF107&lt;1,AF107&gt;N('Исходные данные'!$B$25)),0,IF('Исходные данные'!$B$27="Равными долями",-MIN(AE107+AD107,N('Исходные данные'!$B$23)/N('Исходные данные'!$B$25)),-MIN(AE107+AD107,IF(AF107=N('Исходные данные'!$B$25),AE107+AD107,MAX(0,AH107+AG107)))))))</f>
        <v>0</v>
      </c>
      <c r="AJ107">
        <f t="shared" si="67"/>
        <v>0</v>
      </c>
      <c r="AK107">
        <f t="shared" si="68"/>
        <v>0</v>
      </c>
      <c r="AL107">
        <f>IF(OR(B107="",'Исходные данные'!$B$51&lt;&gt;"Да",'Исходные данные'!$B$61=""),0,IF(AND(YEAR(B107)=YEAR('Исходные данные'!$B$61),MONTH(B107)=MONTH('Исходные данные'!$B$61)),N('Исходные данные'!$B$18)*N('Исходные данные'!$B$62),0))</f>
        <v>0</v>
      </c>
      <c r="AM107">
        <f t="shared" si="80"/>
        <v>0</v>
      </c>
      <c r="AN107">
        <f t="shared" si="69"/>
        <v>0</v>
      </c>
      <c r="AO107">
        <f t="shared" si="70"/>
        <v>0</v>
      </c>
      <c r="AP107">
        <f>IF('Исходные данные'!$B$51="Да",-MAX(0,AN107-AO107-AM107),0)</f>
        <v>0</v>
      </c>
      <c r="AQ107">
        <f>IF('Исходные данные'!$B$51="Да",MAX(0,AM107+AO107-AN107),0)</f>
        <v>0</v>
      </c>
      <c r="AR107">
        <f>IF('Исходные данные'!$B$53="Выручка",MAX(0,L107+(Q107-R107)+(U107-V107)),IF('Исходные данные'!$B$53="Прибыль до налога",MAX(0,L107+(Q107-R107)+(U107-V107)+N('Исходные данные'!$B$54)*((O107+P107)+(S107+T107)+W107+X107)+IF('Исходные данные'!$B$55="Да",AG107,0)-N('Исходные данные'!$B$56)/12),IF('Исходные данные'!$B$53="Пользовательская база",MAX(0,N('Исходные данные'!$B$57)/12),0)))</f>
        <v>0</v>
      </c>
      <c r="AS107">
        <f>IF(E107=1,-AR107*N('Исходные данные'!$B$50),0)</f>
        <v>0</v>
      </c>
      <c r="AT107">
        <f t="shared" si="71"/>
        <v>0</v>
      </c>
      <c r="AU107">
        <f>IF(OR(B107="",N('Исходные данные'!$B$80)&lt;=0,'Исходные данные'!$B$88=""),0,MAX(0,IF('Исходные данные'!$B$88="Последние 12 месяцев",SUMIFS($Y$2:$Y$194,$B$2:$B$194,"&gt;="&amp;EDATE(B107,-11),$B$2:$B$194,"&lt;="&amp;B107),IF('Исходные данные'!$B$88="Пользовательский NOI",N('Исходные данные'!$B$89),AT107))/N('Исходные данные'!$B$80)*(1+N('Исходные данные'!$B$81))))</f>
        <v>0</v>
      </c>
      <c r="AV107">
        <f>IF(OR(E107&lt;&gt;1,B107="",'Исходные данные'!$B$91=""),0,IF(AND(YEAR(B107)=YEAR('Исходные данные'!$B$91),MONTH(B107)=MONTH('Исходные данные'!$B$91)),AU107,0))</f>
        <v>0</v>
      </c>
      <c r="AW107">
        <f>-AV107*N('Исходные данные'!$B$73)</f>
        <v>0</v>
      </c>
      <c r="AX107">
        <f>IF(AV107=0,0,-N('Исходные данные'!$B$87)-IF('Исходные данные'!$B$82="Да",IF('Исходные данные'!$B$84="С выручки",AV107,IF('Исходные данные'!$B$84="С прибыли",MAX(0,AV107+AW107-IF('Исходные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07">
        <f t="shared" si="72"/>
        <v>0</v>
      </c>
      <c r="AZ107">
        <f t="shared" si="73"/>
        <v>0</v>
      </c>
      <c r="BA107">
        <f t="shared" si="74"/>
        <v>0</v>
      </c>
      <c r="BB107" t="str">
        <f t="shared" si="81"/>
        <v/>
      </c>
      <c r="BC107">
        <f>IF(OR(E107=0,'Исходные данные'!$B$9="",'Исходные данные'!$B$90=""),0,BA107/(1+'Исходные данные'!$B$90)^((D107-'Исходные данные'!$B$9)/365))</f>
        <v>0</v>
      </c>
      <c r="BD107">
        <f>IF(AND(E107=1,BB107&gt;=0,BB106&lt;0,MIN($BB$2:BB107)&lt;0),1,0)</f>
        <v>0</v>
      </c>
      <c r="BE107">
        <f t="shared" si="75"/>
        <v>0</v>
      </c>
      <c r="BF107">
        <f t="shared" si="76"/>
        <v>0</v>
      </c>
      <c r="BG107">
        <f t="shared" si="77"/>
        <v>0</v>
      </c>
      <c r="BH107">
        <f t="shared" si="78"/>
        <v>1</v>
      </c>
      <c r="BI107">
        <f>AZ107+N107+AP107-AR107*N('Исходные данные'!$B$50)</f>
        <v>0</v>
      </c>
      <c r="BJ107">
        <f t="shared" si="61"/>
        <v>0</v>
      </c>
      <c r="BK107">
        <f>IF(AND(BJ107&gt;=0,BJ106&lt;0,MIN($BJ$2:BJ107)&lt;0),1,0)</f>
        <v>0</v>
      </c>
    </row>
    <row r="108" spans="1:63" x14ac:dyDescent="0.2">
      <c r="A108">
        <v>107</v>
      </c>
      <c r="B108" t="str">
        <f>IF('Исходные данные'!$B$9="","",EDATE(DATE(YEAR('Исходные данные'!$B$9),MONTH('Исходные данные'!$B$9),1),A108-1))</f>
        <v/>
      </c>
      <c r="C108" t="str">
        <f t="shared" si="62"/>
        <v/>
      </c>
      <c r="D108" t="str">
        <f>IF(B108="","",IF('Исходные данные'!$B$91&lt;&gt;"",IF(AND(YEAR(B108)=YEAR('Исходные данные'!$B$91),MONTH(B108)=MONTH('Исходные данные'!$B$91)),'Исходные данные'!$B$91,IF('Исходные данные'!$B$13&lt;&gt;"",IF(AND(YEAR(B108)=YEAR('Исходные данные'!$B$13),MONTH(B108)=MONTH('Исходные данные'!$B$13)),'Исходные данные'!$B$13,IF('Исходные данные'!$B$26&lt;&gt;"",IF(AND(YEAR(B108)=YEAR('Исходные данные'!$B$26),MONTH(B108)=MONTH('Исходные данные'!$B$26)),'Исходные данные'!$B$26,IF(A108=1,'Исходные данные'!$B$9,C108)),IF(A108=1,'Исходные данные'!$B$9,C108))),IF('Исходные данные'!$B$26&lt;&gt;"",IF(AND(YEAR(B108)=YEAR('Исходные данные'!$B$26),MONTH(B108)=MONTH('Исходные данные'!$B$26)),'Исходные данные'!$B$26,IF(A108=1,'Исходные данные'!$B$9,C108)),IF(A108=1,'Исходные данные'!$B$9,C108)))),IF('Исходные данные'!$B$13&lt;&gt;"",IF(AND(YEAR(B108)=YEAR('Исходные данные'!$B$13),MONTH(B108)=MONTH('Исходные данные'!$B$13)),'Исходные данные'!$B$13,IF('Исходные данные'!$B$26&lt;&gt;"",IF(AND(YEAR(B108)=YEAR('Исходные данные'!$B$26),MONTH(B108)=MONTH('Исходные данные'!$B$26)),'Исходные данные'!$B$26,IF(A108=1,'Исходные данные'!$B$9,C108)),IF(A108=1,'Исходные данные'!$B$9,C108))),IF('Исходные данные'!$B$26&lt;&gt;"",IF(AND(YEAR(B108)=YEAR('Исходные данные'!$B$26),MONTH(B108)=MONTH('Исходные данные'!$B$26)),'Исходные данные'!$B$26,IF(A108=1,'Исходные данные'!$B$9,C108)),IF(A108=1,'Исходные данные'!$B$9,C108)))))</f>
        <v/>
      </c>
      <c r="E108">
        <f>IF(OR(B108="",'Исходные данные'!$B$91=""),0,--(B108&lt;=DATE(YEAR('Исходные данные'!$B$91),MONTH('Исходные данные'!$B$91),1)))</f>
        <v>0</v>
      </c>
      <c r="F108">
        <f>IF(OR(B108="",'Исходные данные'!$B$30="",C108&lt;'Исходные данные'!$B$30),0,DATEDIF(DATE(YEAR('Исходные данные'!$B$30),MONTH('Исходные данные'!$B$30),1),B108,"m")+1)</f>
        <v>0</v>
      </c>
      <c r="G108">
        <f t="shared" si="63"/>
        <v>0</v>
      </c>
      <c r="H108">
        <f>IF(F108=0,0,IF(G108=1,N('Исходные данные'!$B$31),IF(G108=2,N('Исходные данные'!$B$32),IF(G108=3,N('Исходные данные'!$B$33),N('Исходные данные'!$B$33)*(1+N('Исходные данные'!$B$34))^(G108-3)))))</f>
        <v>0</v>
      </c>
      <c r="I108">
        <f>IF(OR(F108=0,N('Исходные данные'!$B$5)=0,H108=0),0,'Исходные данные'!$B$5*H108*IF(AND(B108&lt;='Исходные данные'!$B$30,C108&gt;='Исходные данные'!$B$30),(C108-'Исходные данные'!$B$30+1)/DAY(C108),1))</f>
        <v>0</v>
      </c>
      <c r="J108">
        <f>IF(AND(F108&gt;0,F108&lt;=N('Исходные данные'!$B$37)),-I108,0)</f>
        <v>0</v>
      </c>
      <c r="K108">
        <f>IF(OR(F108=0,F108&lt;=N('Исходные данные'!$B$37)),0,-(I108+J108)*N('Исходные данные'!$B$38))</f>
        <v>0</v>
      </c>
      <c r="L108">
        <f t="shared" si="64"/>
        <v>0</v>
      </c>
      <c r="M108">
        <f>IF('Исходные данные'!$B$51="Да",L108*N('Исходные данные'!$B$52),0)</f>
        <v>0</v>
      </c>
      <c r="N108">
        <f t="shared" si="65"/>
        <v>0</v>
      </c>
      <c r="O108">
        <f>IF(OR(B108="",IF('Исходные данные'!$B$45="",'Исходные данные'!$B$10,'Исходные данные'!$B$45)="",C108&lt;IF('Исходные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данные'!$B$45)),1),B108,"m")/12))*IF(AND(B108&lt;=IF('Исходные данные'!$B$45="",'Исходные данные'!$B$10,'Исходные данные'!$B$45),C108&gt;=IF('Исходные данные'!$B$45="",'Исходные данные'!$B$10,'Исходные данные'!$B$45)),(C108-IF('Исходные данные'!$B$45="",'Исходные данные'!$B$10,'Исходные данные'!$B$45)+1)/DAY(C108),1)*IF('Исходные данные'!$B$43="Без НДС",1+N('Исходные данные'!$B$44),1))</f>
        <v>0</v>
      </c>
      <c r="P108">
        <f>IF('Исходные данные'!$B$51="Да",-O108*N('Исходные данные'!$B$44)/(1+N('Исходные данные'!$B$44)),0)</f>
        <v>0</v>
      </c>
      <c r="Q108">
        <f>IF('Исходные данные'!$B$35="Да",-O108,0)</f>
        <v>0</v>
      </c>
      <c r="R108">
        <f>IF(AND('Исходные данные'!$B$51="Да",Q108&gt;0),Q108*N('Исходные данные'!$B$52)/(1+N('Исходные данные'!$B$52)),0)</f>
        <v>0</v>
      </c>
      <c r="S108">
        <f>IF(OR(B108="",IF('Исходные данные'!$B$45="",'Исходные данные'!$B$10,'Исходные данные'!$B$45)="",C108&lt;IF('Исходные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данные'!$B$45)),1),B108,"m")/12))*IF(AND(B108&lt;=IF('Исходные данные'!$B$45="",'Исходные данные'!$B$10,'Исходные данные'!$B$45),C108&gt;=IF('Исходные данные'!$B$45="",'Исходные данные'!$B$10,'Исходные данные'!$B$45)),(C108-IF('Исходные данные'!$B$45="",'Исходные данные'!$B$10,'Исходные данные'!$B$45)+1)/DAY(C108),1)*IF('Исходные данные'!$B$43="Без НДС",1+N('Исходные данные'!$B$44),1))</f>
        <v>0</v>
      </c>
      <c r="T108">
        <f>IF('Исходные данные'!$B$51="Да",-S108*N('Исходные данные'!$B$44)/(1+N('Исходные данные'!$B$44)),0)</f>
        <v>0</v>
      </c>
      <c r="U108">
        <f>IF('Исходные данные'!$B$36="Да",-S108,0)</f>
        <v>0</v>
      </c>
      <c r="V108">
        <f>IF(AND('Исходные данные'!$B$51="Да",U108&gt;0),U108*N('Исходные данные'!$B$52)/(1+N('Исходные данные'!$B$52)),0)</f>
        <v>0</v>
      </c>
      <c r="W108">
        <f>IF(OR(B108="",IF('Исходные данные'!$B$69="",'Исходные данные'!$B$10,'Исходные данные'!$B$69)="",C108&lt;IF('Исходные данные'!$B$69="",'Исходные данные'!$B$10,'Исходные данные'!$B$69)),0,-N('Исходные данные'!$B$16)*N('Исходные данные'!$B$68)*N('Исходные данные'!$B$67)/12*IF(AND(B108&lt;=IF('Исходные данные'!$B$69="",'Исходные данные'!$B$10,'Исходные данные'!$B$69),C108&gt;=IF('Исходные данные'!$B$69="",'Исходные данные'!$B$10,'Исходные данные'!$B$69)),(C108-IF('Исходные данные'!$B$69="",'Исходные данные'!$B$10,'Исходные данные'!$B$69)+1)/DAY(C108),1))</f>
        <v>0</v>
      </c>
      <c r="X108">
        <f>IF(OR(B108="",IF('Исходные данные'!$B$76="",'Исходные данные'!$B$10,'Исходные данные'!$B$76)="",C108&lt;IF('Исходные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данные'!$B$76)),1),B108,"m")/12))*IF(AND(B108&lt;=IF('Исходные данные'!$B$76="",'Исходные данные'!$B$10,'Исходные данные'!$B$76),C108&gt;=IF('Исходные данные'!$B$76="",'Исходные данные'!$B$10,'Исходные данные'!$B$76)),(C108-IF('Исходные данные'!$B$76="",'Исходные данные'!$B$10,'Исходные данные'!$B$76)+1)/DAY(C108),1))</f>
        <v>0</v>
      </c>
      <c r="Y108">
        <f t="shared" si="66"/>
        <v>0</v>
      </c>
      <c r="Z108">
        <f>IF(OR(B108="",N('Исходные данные'!$B$19)=0),0,-SUMIFS('Исходные данные'!$I$6:$I$186,'Исходные данные'!$F$6:$F$186,B108)*N('Исходные данные'!$B$17)/N('Исходные данные'!$B$19))</f>
        <v>0</v>
      </c>
      <c r="AA108">
        <f>IF(OR(B108="",N('Исходные данные'!$B$19)=0),0,-SUMIFS('Исходные данные'!$I$6:$I$186,'Исходные данные'!$F$6:$F$186,B108)*N('Исходные данные'!$B$18)/N('Исходные данные'!$B$19))</f>
        <v>0</v>
      </c>
      <c r="AB108">
        <f>IF(OR(B108="",'Исходные данные'!$B$13=""),0,IF(AND(YEAR(B108)=YEAR('Исходные данные'!$B$13),MONTH(B108)=MONTH('Исходные данные'!$B$13)),-N('Исходные данные'!$B$11),0))</f>
        <v>0</v>
      </c>
      <c r="AC108">
        <f>IF(A108=1,-N('Исходные данные'!$B$19)*N('Исходные данные'!$B$72),0)</f>
        <v>0</v>
      </c>
      <c r="AD108">
        <f>IF(OR(B108="",'Исходные данные'!$B$22&lt;&gt;"Да",'Исходные данные'!$B$26=""),0,IF(AND(YEAR(B108)=YEAR('Исходные данные'!$B$26),MONTH(B108)=MONTH('Исходные данные'!$B$26)),N('Исходные данные'!$B$23),0))</f>
        <v>0</v>
      </c>
      <c r="AE108">
        <f t="shared" si="79"/>
        <v>0</v>
      </c>
      <c r="AF108">
        <f>IF(OR('Исходные данные'!$B$22&lt;&gt;"Да",'Исходные данные'!$B$26="",C108&lt;'Исходные данные'!$B$26),0,DATEDIF(DATE(YEAR('Исходные данные'!$B$26),MONTH('Исходные данные'!$B$26),1),B108,"m")+1)</f>
        <v>0</v>
      </c>
      <c r="AG108">
        <f>IF(OR(AF108&lt;1,AF108&gt;N('Исходные данные'!$B$25),AE108+AD108&lt;=0),0,-(AE108+AD108)*N('Исходные данные'!$B$24)*IF(AF108=1,C108-'Исходные данные'!$B$26+1,DAY(C108))/365)</f>
        <v>0</v>
      </c>
      <c r="AH108">
        <f>IF(OR(AF108&lt;1,AF108&gt;N('Исходные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данные'!$B$25)-AG108))</f>
        <v>0</v>
      </c>
      <c r="AI108">
        <f>IF(OR('Исходные данные'!$B$22&lt;&gt;"Да",AE108+AD108&lt;=0),0,IF(AND('Исходные данные'!$B$91&lt;&gt;"",B108&lt;&gt;"",YEAR(B108)=YEAR('Исходные данные'!$B$91),MONTH(B108)=MONTH('Исходные данные'!$B$91)),-(AE108+AD108),IF(OR(AF108&lt;1,AF108&gt;N('Исходные данные'!$B$25)),0,IF('Исходные данные'!$B$27="Равными долями",-MIN(AE108+AD108,N('Исходные данные'!$B$23)/N('Исходные данные'!$B$25)),-MIN(AE108+AD108,IF(AF108=N('Исходные данные'!$B$25),AE108+AD108,MAX(0,AH108+AG108)))))))</f>
        <v>0</v>
      </c>
      <c r="AJ108">
        <f t="shared" si="67"/>
        <v>0</v>
      </c>
      <c r="AK108">
        <f t="shared" si="68"/>
        <v>0</v>
      </c>
      <c r="AL108">
        <f>IF(OR(B108="",'Исходные данные'!$B$51&lt;&gt;"Да",'Исходные данные'!$B$61=""),0,IF(AND(YEAR(B108)=YEAR('Исходные данные'!$B$61),MONTH(B108)=MONTH('Исходные данные'!$B$61)),N('Исходные данные'!$B$18)*N('Исходные данные'!$B$62),0))</f>
        <v>0</v>
      </c>
      <c r="AM108">
        <f t="shared" si="80"/>
        <v>0</v>
      </c>
      <c r="AN108">
        <f t="shared" si="69"/>
        <v>0</v>
      </c>
      <c r="AO108">
        <f t="shared" si="70"/>
        <v>0</v>
      </c>
      <c r="AP108">
        <f>IF('Исходные данные'!$B$51="Да",-MAX(0,AN108-AO108-AM108),0)</f>
        <v>0</v>
      </c>
      <c r="AQ108">
        <f>IF('Исходные данные'!$B$51="Да",MAX(0,AM108+AO108-AN108),0)</f>
        <v>0</v>
      </c>
      <c r="AR108">
        <f>IF('Исходные данные'!$B$53="Выручка",MAX(0,L108+(Q108-R108)+(U108-V108)),IF('Исходные данные'!$B$53="Прибыль до налога",MAX(0,L108+(Q108-R108)+(U108-V108)+N('Исходные данные'!$B$54)*((O108+P108)+(S108+T108)+W108+X108)+IF('Исходные данные'!$B$55="Да",AG108,0)-N('Исходные данные'!$B$56)/12),IF('Исходные данные'!$B$53="Пользовательская база",MAX(0,N('Исходные данные'!$B$57)/12),0)))</f>
        <v>0</v>
      </c>
      <c r="AS108">
        <f>IF(E108=1,-AR108*N('Исходные данные'!$B$50),0)</f>
        <v>0</v>
      </c>
      <c r="AT108">
        <f t="shared" si="71"/>
        <v>0</v>
      </c>
      <c r="AU108">
        <f>IF(OR(B108="",N('Исходные данные'!$B$80)&lt;=0,'Исходные данные'!$B$88=""),0,MAX(0,IF('Исходные данные'!$B$88="Последние 12 месяцев",SUMIFS($Y$2:$Y$194,$B$2:$B$194,"&gt;="&amp;EDATE(B108,-11),$B$2:$B$194,"&lt;="&amp;B108),IF('Исходные данные'!$B$88="Пользовательский NOI",N('Исходные данные'!$B$89),AT108))/N('Исходные данные'!$B$80)*(1+N('Исходные данные'!$B$81))))</f>
        <v>0</v>
      </c>
      <c r="AV108">
        <f>IF(OR(E108&lt;&gt;1,B108="",'Исходные данные'!$B$91=""),0,IF(AND(YEAR(B108)=YEAR('Исходные данные'!$B$91),MONTH(B108)=MONTH('Исходные данные'!$B$91)),AU108,0))</f>
        <v>0</v>
      </c>
      <c r="AW108">
        <f>-AV108*N('Исходные данные'!$B$73)</f>
        <v>0</v>
      </c>
      <c r="AX108">
        <f>IF(AV108=0,0,-N('Исходные данные'!$B$87)-IF('Исходные данные'!$B$82="Да",IF('Исходные данные'!$B$84="С выручки",AV108,IF('Исходные данные'!$B$84="С прибыли",MAX(0,AV108+AW108-IF('Исходные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08">
        <f t="shared" si="72"/>
        <v>0</v>
      </c>
      <c r="AZ108">
        <f t="shared" si="73"/>
        <v>0</v>
      </c>
      <c r="BA108">
        <f t="shared" si="74"/>
        <v>0</v>
      </c>
      <c r="BB108" t="str">
        <f t="shared" si="81"/>
        <v/>
      </c>
      <c r="BC108">
        <f>IF(OR(E108=0,'Исходные данные'!$B$9="",'Исходные данные'!$B$90=""),0,BA108/(1+'Исходные данные'!$B$90)^((D108-'Исходные данные'!$B$9)/365))</f>
        <v>0</v>
      </c>
      <c r="BD108">
        <f>IF(AND(E108=1,BB108&gt;=0,BB107&lt;0,MIN($BB$2:BB108)&lt;0),1,0)</f>
        <v>0</v>
      </c>
      <c r="BE108">
        <f t="shared" si="75"/>
        <v>0</v>
      </c>
      <c r="BF108">
        <f t="shared" si="76"/>
        <v>0</v>
      </c>
      <c r="BG108">
        <f t="shared" si="77"/>
        <v>0</v>
      </c>
      <c r="BH108">
        <f t="shared" si="78"/>
        <v>1</v>
      </c>
      <c r="BI108">
        <f>AZ108+N108+AP108-AR108*N('Исходные данные'!$B$50)</f>
        <v>0</v>
      </c>
      <c r="BJ108">
        <f t="shared" si="61"/>
        <v>0</v>
      </c>
      <c r="BK108">
        <f>IF(AND(BJ108&gt;=0,BJ107&lt;0,MIN($BJ$2:BJ108)&lt;0),1,0)</f>
        <v>0</v>
      </c>
    </row>
    <row r="109" spans="1:63" x14ac:dyDescent="0.2">
      <c r="A109">
        <v>108</v>
      </c>
      <c r="B109" t="str">
        <f>IF('Исходные данные'!$B$9="","",EDATE(DATE(YEAR('Исходные данные'!$B$9),MONTH('Исходные данные'!$B$9),1),A109-1))</f>
        <v/>
      </c>
      <c r="C109" t="str">
        <f t="shared" si="62"/>
        <v/>
      </c>
      <c r="D109" t="str">
        <f>IF(B109="","",IF('Исходные данные'!$B$91&lt;&gt;"",IF(AND(YEAR(B109)=YEAR('Исходные данные'!$B$91),MONTH(B109)=MONTH('Исходные данные'!$B$91)),'Исходные данные'!$B$91,IF('Исходные данные'!$B$13&lt;&gt;"",IF(AND(YEAR(B109)=YEAR('Исходные данные'!$B$13),MONTH(B109)=MONTH('Исходные данные'!$B$13)),'Исходные данные'!$B$13,IF('Исходные данные'!$B$26&lt;&gt;"",IF(AND(YEAR(B109)=YEAR('Исходные данные'!$B$26),MONTH(B109)=MONTH('Исходные данные'!$B$26)),'Исходные данные'!$B$26,IF(A109=1,'Исходные данные'!$B$9,C109)),IF(A109=1,'Исходные данные'!$B$9,C109))),IF('Исходные данные'!$B$26&lt;&gt;"",IF(AND(YEAR(B109)=YEAR('Исходные данные'!$B$26),MONTH(B109)=MONTH('Исходные данные'!$B$26)),'Исходные данные'!$B$26,IF(A109=1,'Исходные данные'!$B$9,C109)),IF(A109=1,'Исходные данные'!$B$9,C109)))),IF('Исходные данные'!$B$13&lt;&gt;"",IF(AND(YEAR(B109)=YEAR('Исходные данные'!$B$13),MONTH(B109)=MONTH('Исходные данные'!$B$13)),'Исходные данные'!$B$13,IF('Исходные данные'!$B$26&lt;&gt;"",IF(AND(YEAR(B109)=YEAR('Исходные данные'!$B$26),MONTH(B109)=MONTH('Исходные данные'!$B$26)),'Исходные данные'!$B$26,IF(A109=1,'Исходные данные'!$B$9,C109)),IF(A109=1,'Исходные данные'!$B$9,C109))),IF('Исходные данные'!$B$26&lt;&gt;"",IF(AND(YEAR(B109)=YEAR('Исходные данные'!$B$26),MONTH(B109)=MONTH('Исходные данные'!$B$26)),'Исходные данные'!$B$26,IF(A109=1,'Исходные данные'!$B$9,C109)),IF(A109=1,'Исходные данные'!$B$9,C109)))))</f>
        <v/>
      </c>
      <c r="E109">
        <f>IF(OR(B109="",'Исходные данные'!$B$91=""),0,--(B109&lt;=DATE(YEAR('Исходные данные'!$B$91),MONTH('Исходные данные'!$B$91),1)))</f>
        <v>0</v>
      </c>
      <c r="F109">
        <f>IF(OR(B109="",'Исходные данные'!$B$30="",C109&lt;'Исходные данные'!$B$30),0,DATEDIF(DATE(YEAR('Исходные данные'!$B$30),MONTH('Исходные данные'!$B$30),1),B109,"m")+1)</f>
        <v>0</v>
      </c>
      <c r="G109">
        <f t="shared" si="63"/>
        <v>0</v>
      </c>
      <c r="H109">
        <f>IF(F109=0,0,IF(G109=1,N('Исходные данные'!$B$31),IF(G109=2,N('Исходные данные'!$B$32),IF(G109=3,N('Исходные данные'!$B$33),N('Исходные данные'!$B$33)*(1+N('Исходные данные'!$B$34))^(G109-3)))))</f>
        <v>0</v>
      </c>
      <c r="I109">
        <f>IF(OR(F109=0,N('Исходные данные'!$B$5)=0,H109=0),0,'Исходные данные'!$B$5*H109*IF(AND(B109&lt;='Исходные данные'!$B$30,C109&gt;='Исходные данные'!$B$30),(C109-'Исходные данные'!$B$30+1)/DAY(C109),1))</f>
        <v>0</v>
      </c>
      <c r="J109">
        <f>IF(AND(F109&gt;0,F109&lt;=N('Исходные данные'!$B$37)),-I109,0)</f>
        <v>0</v>
      </c>
      <c r="K109">
        <f>IF(OR(F109=0,F109&lt;=N('Исходные данные'!$B$37)),0,-(I109+J109)*N('Исходные данные'!$B$38))</f>
        <v>0</v>
      </c>
      <c r="L109">
        <f t="shared" si="64"/>
        <v>0</v>
      </c>
      <c r="M109">
        <f>IF('Исходные данные'!$B$51="Да",L109*N('Исходные данные'!$B$52),0)</f>
        <v>0</v>
      </c>
      <c r="N109">
        <f t="shared" si="65"/>
        <v>0</v>
      </c>
      <c r="O109">
        <f>IF(OR(B109="",IF('Исходные данные'!$B$45="",'Исходные данные'!$B$10,'Исходные данные'!$B$45)="",C109&lt;IF('Исходные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данные'!$B$45)),1),B109,"m")/12))*IF(AND(B109&lt;=IF('Исходные данные'!$B$45="",'Исходные данные'!$B$10,'Исходные данные'!$B$45),C109&gt;=IF('Исходные данные'!$B$45="",'Исходные данные'!$B$10,'Исходные данные'!$B$45)),(C109-IF('Исходные данные'!$B$45="",'Исходные данные'!$B$10,'Исходные данные'!$B$45)+1)/DAY(C109),1)*IF('Исходные данные'!$B$43="Без НДС",1+N('Исходные данные'!$B$44),1))</f>
        <v>0</v>
      </c>
      <c r="P109">
        <f>IF('Исходные данные'!$B$51="Да",-O109*N('Исходные данные'!$B$44)/(1+N('Исходные данные'!$B$44)),0)</f>
        <v>0</v>
      </c>
      <c r="Q109">
        <f>IF('Исходные данные'!$B$35="Да",-O109,0)</f>
        <v>0</v>
      </c>
      <c r="R109">
        <f>IF(AND('Исходные данные'!$B$51="Да",Q109&gt;0),Q109*N('Исходные данные'!$B$52)/(1+N('Исходные данные'!$B$52)),0)</f>
        <v>0</v>
      </c>
      <c r="S109">
        <f>IF(OR(B109="",IF('Исходные данные'!$B$45="",'Исходные данные'!$B$10,'Исходные данные'!$B$45)="",C109&lt;IF('Исходные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данные'!$B$45)),1),B109,"m")/12))*IF(AND(B109&lt;=IF('Исходные данные'!$B$45="",'Исходные данные'!$B$10,'Исходные данные'!$B$45),C109&gt;=IF('Исходные данные'!$B$45="",'Исходные данные'!$B$10,'Исходные данные'!$B$45)),(C109-IF('Исходные данные'!$B$45="",'Исходные данные'!$B$10,'Исходные данные'!$B$45)+1)/DAY(C109),1)*IF('Исходные данные'!$B$43="Без НДС",1+N('Исходные данные'!$B$44),1))</f>
        <v>0</v>
      </c>
      <c r="T109">
        <f>IF('Исходные данные'!$B$51="Да",-S109*N('Исходные данные'!$B$44)/(1+N('Исходные данные'!$B$44)),0)</f>
        <v>0</v>
      </c>
      <c r="U109">
        <f>IF('Исходные данные'!$B$36="Да",-S109,0)</f>
        <v>0</v>
      </c>
      <c r="V109">
        <f>IF(AND('Исходные данные'!$B$51="Да",U109&gt;0),U109*N('Исходные данные'!$B$52)/(1+N('Исходные данные'!$B$52)),0)</f>
        <v>0</v>
      </c>
      <c r="W109">
        <f>IF(OR(B109="",IF('Исходные данные'!$B$69="",'Исходные данные'!$B$10,'Исходные данные'!$B$69)="",C109&lt;IF('Исходные данные'!$B$69="",'Исходные данные'!$B$10,'Исходные данные'!$B$69)),0,-N('Исходные данные'!$B$16)*N('Исходные данные'!$B$68)*N('Исходные данные'!$B$67)/12*IF(AND(B109&lt;=IF('Исходные данные'!$B$69="",'Исходные данные'!$B$10,'Исходные данные'!$B$69),C109&gt;=IF('Исходные данные'!$B$69="",'Исходные данные'!$B$10,'Исходные данные'!$B$69)),(C109-IF('Исходные данные'!$B$69="",'Исходные данные'!$B$10,'Исходные данные'!$B$69)+1)/DAY(C109),1))</f>
        <v>0</v>
      </c>
      <c r="X109">
        <f>IF(OR(B109="",IF('Исходные данные'!$B$76="",'Исходные данные'!$B$10,'Исходные данные'!$B$76)="",C109&lt;IF('Исходные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данные'!$B$76)),1),B109,"m")/12))*IF(AND(B109&lt;=IF('Исходные данные'!$B$76="",'Исходные данные'!$B$10,'Исходные данные'!$B$76),C109&gt;=IF('Исходные данные'!$B$76="",'Исходные данные'!$B$10,'Исходные данные'!$B$76)),(C109-IF('Исходные данные'!$B$76="",'Исходные данные'!$B$10,'Исходные данные'!$B$76)+1)/DAY(C109),1))</f>
        <v>0</v>
      </c>
      <c r="Y109">
        <f t="shared" si="66"/>
        <v>0</v>
      </c>
      <c r="Z109">
        <f>IF(OR(B109="",N('Исходные данные'!$B$19)=0),0,-SUMIFS('Исходные данные'!$I$6:$I$186,'Исходные данные'!$F$6:$F$186,B109)*N('Исходные данные'!$B$17)/N('Исходные данные'!$B$19))</f>
        <v>0</v>
      </c>
      <c r="AA109">
        <f>IF(OR(B109="",N('Исходные данные'!$B$19)=0),0,-SUMIFS('Исходные данные'!$I$6:$I$186,'Исходные данные'!$F$6:$F$186,B109)*N('Исходные данные'!$B$18)/N('Исходные данные'!$B$19))</f>
        <v>0</v>
      </c>
      <c r="AB109">
        <f>IF(OR(B109="",'Исходные данные'!$B$13=""),0,IF(AND(YEAR(B109)=YEAR('Исходные данные'!$B$13),MONTH(B109)=MONTH('Исходные данные'!$B$13)),-N('Исходные данные'!$B$11),0))</f>
        <v>0</v>
      </c>
      <c r="AC109">
        <f>IF(A109=1,-N('Исходные данные'!$B$19)*N('Исходные данные'!$B$72),0)</f>
        <v>0</v>
      </c>
      <c r="AD109">
        <f>IF(OR(B109="",'Исходные данные'!$B$22&lt;&gt;"Да",'Исходные данные'!$B$26=""),0,IF(AND(YEAR(B109)=YEAR('Исходные данные'!$B$26),MONTH(B109)=MONTH('Исходные данные'!$B$26)),N('Исходные данные'!$B$23),0))</f>
        <v>0</v>
      </c>
      <c r="AE109">
        <f t="shared" si="79"/>
        <v>0</v>
      </c>
      <c r="AF109">
        <f>IF(OR('Исходные данные'!$B$22&lt;&gt;"Да",'Исходные данные'!$B$26="",C109&lt;'Исходные данные'!$B$26),0,DATEDIF(DATE(YEAR('Исходные данные'!$B$26),MONTH('Исходные данные'!$B$26),1),B109,"m")+1)</f>
        <v>0</v>
      </c>
      <c r="AG109">
        <f>IF(OR(AF109&lt;1,AF109&gt;N('Исходные данные'!$B$25),AE109+AD109&lt;=0),0,-(AE109+AD109)*N('Исходные данные'!$B$24)*IF(AF109=1,C109-'Исходные данные'!$B$26+1,DAY(C109))/365)</f>
        <v>0</v>
      </c>
      <c r="AH109">
        <f>IF(OR(AF109&lt;1,AF109&gt;N('Исходные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данные'!$B$25)-AG109))</f>
        <v>0</v>
      </c>
      <c r="AI109">
        <f>IF(OR('Исходные данные'!$B$22&lt;&gt;"Да",AE109+AD109&lt;=0),0,IF(AND('Исходные данные'!$B$91&lt;&gt;"",B109&lt;&gt;"",YEAR(B109)=YEAR('Исходные данные'!$B$91),MONTH(B109)=MONTH('Исходные данные'!$B$91)),-(AE109+AD109),IF(OR(AF109&lt;1,AF109&gt;N('Исходные данные'!$B$25)),0,IF('Исходные данные'!$B$27="Равными долями",-MIN(AE109+AD109,N('Исходные данные'!$B$23)/N('Исходные данные'!$B$25)),-MIN(AE109+AD109,IF(AF109=N('Исходные данные'!$B$25),AE109+AD109,MAX(0,AH109+AG109)))))))</f>
        <v>0</v>
      </c>
      <c r="AJ109">
        <f t="shared" si="67"/>
        <v>0</v>
      </c>
      <c r="AK109">
        <f t="shared" si="68"/>
        <v>0</v>
      </c>
      <c r="AL109">
        <f>IF(OR(B109="",'Исходные данные'!$B$51&lt;&gt;"Да",'Исходные данные'!$B$61=""),0,IF(AND(YEAR(B109)=YEAR('Исходные данные'!$B$61),MONTH(B109)=MONTH('Исходные данные'!$B$61)),N('Исходные данные'!$B$18)*N('Исходные данные'!$B$62),0))</f>
        <v>0</v>
      </c>
      <c r="AM109">
        <f t="shared" si="80"/>
        <v>0</v>
      </c>
      <c r="AN109">
        <f t="shared" si="69"/>
        <v>0</v>
      </c>
      <c r="AO109">
        <f t="shared" si="70"/>
        <v>0</v>
      </c>
      <c r="AP109">
        <f>IF('Исходные данные'!$B$51="Да",-MAX(0,AN109-AO109-AM109),0)</f>
        <v>0</v>
      </c>
      <c r="AQ109">
        <f>IF('Исходные данные'!$B$51="Да",MAX(0,AM109+AO109-AN109),0)</f>
        <v>0</v>
      </c>
      <c r="AR109">
        <f>IF('Исходные данные'!$B$53="Выручка",MAX(0,L109+(Q109-R109)+(U109-V109)),IF('Исходные данные'!$B$53="Прибыль до налога",MAX(0,L109+(Q109-R109)+(U109-V109)+N('Исходные данные'!$B$54)*((O109+P109)+(S109+T109)+W109+X109)+IF('Исходные данные'!$B$55="Да",AG109,0)-N('Исходные данные'!$B$56)/12),IF('Исходные данные'!$B$53="Пользовательская база",MAX(0,N('Исходные данные'!$B$57)/12),0)))</f>
        <v>0</v>
      </c>
      <c r="AS109">
        <f>IF(E109=1,-AR109*N('Исходные данные'!$B$50),0)</f>
        <v>0</v>
      </c>
      <c r="AT109">
        <f t="shared" si="71"/>
        <v>0</v>
      </c>
      <c r="AU109">
        <f>IF(OR(B109="",N('Исходные данные'!$B$80)&lt;=0,'Исходные данные'!$B$88=""),0,MAX(0,IF('Исходные данные'!$B$88="Последние 12 месяцев",SUMIFS($Y$2:$Y$194,$B$2:$B$194,"&gt;="&amp;EDATE(B109,-11),$B$2:$B$194,"&lt;="&amp;B109),IF('Исходные данные'!$B$88="Пользовательский NOI",N('Исходные данные'!$B$89),AT109))/N('Исходные данные'!$B$80)*(1+N('Исходные данные'!$B$81))))</f>
        <v>0</v>
      </c>
      <c r="AV109">
        <f>IF(OR(E109&lt;&gt;1,B109="",'Исходные данные'!$B$91=""),0,IF(AND(YEAR(B109)=YEAR('Исходные данные'!$B$91),MONTH(B109)=MONTH('Исходные данные'!$B$91)),AU109,0))</f>
        <v>0</v>
      </c>
      <c r="AW109">
        <f>-AV109*N('Исходные данные'!$B$73)</f>
        <v>0</v>
      </c>
      <c r="AX109">
        <f>IF(AV109=0,0,-N('Исходные данные'!$B$87)-IF('Исходные данные'!$B$82="Да",IF('Исходные данные'!$B$84="С выручки",AV109,IF('Исходные данные'!$B$84="С прибыли",MAX(0,AV109+AW109-IF('Исходные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09">
        <f t="shared" si="72"/>
        <v>0</v>
      </c>
      <c r="AZ109">
        <f t="shared" si="73"/>
        <v>0</v>
      </c>
      <c r="BA109">
        <f t="shared" si="74"/>
        <v>0</v>
      </c>
      <c r="BB109" t="str">
        <f t="shared" si="81"/>
        <v/>
      </c>
      <c r="BC109">
        <f>IF(OR(E109=0,'Исходные данные'!$B$9="",'Исходные данные'!$B$90=""),0,BA109/(1+'Исходные данные'!$B$90)^((D109-'Исходные данные'!$B$9)/365))</f>
        <v>0</v>
      </c>
      <c r="BD109">
        <f>IF(AND(E109=1,BB109&gt;=0,BB108&lt;0,MIN($BB$2:BB109)&lt;0),1,0)</f>
        <v>0</v>
      </c>
      <c r="BE109">
        <f t="shared" si="75"/>
        <v>0</v>
      </c>
      <c r="BF109">
        <f t="shared" si="76"/>
        <v>0</v>
      </c>
      <c r="BG109">
        <f t="shared" si="77"/>
        <v>0</v>
      </c>
      <c r="BH109">
        <f t="shared" si="78"/>
        <v>1</v>
      </c>
      <c r="BI109">
        <f>AZ109+N109+AP109-AR109*N('Исходные данные'!$B$50)</f>
        <v>0</v>
      </c>
      <c r="BJ109">
        <f t="shared" si="61"/>
        <v>0</v>
      </c>
      <c r="BK109">
        <f>IF(AND(BJ109&gt;=0,BJ108&lt;0,MIN($BJ$2:BJ109)&lt;0),1,0)</f>
        <v>0</v>
      </c>
    </row>
    <row r="110" spans="1:63" x14ac:dyDescent="0.2">
      <c r="A110">
        <v>109</v>
      </c>
      <c r="B110" t="str">
        <f>IF('Исходные данные'!$B$9="","",EDATE(DATE(YEAR('Исходные данные'!$B$9),MONTH('Исходные данные'!$B$9),1),A110-1))</f>
        <v/>
      </c>
      <c r="C110" t="str">
        <f t="shared" si="62"/>
        <v/>
      </c>
      <c r="D110" t="str">
        <f>IF(B110="","",IF('Исходные данные'!$B$91&lt;&gt;"",IF(AND(YEAR(B110)=YEAR('Исходные данные'!$B$91),MONTH(B110)=MONTH('Исходные данные'!$B$91)),'Исходные данные'!$B$91,IF('Исходные данные'!$B$13&lt;&gt;"",IF(AND(YEAR(B110)=YEAR('Исходные данные'!$B$13),MONTH(B110)=MONTH('Исходные данные'!$B$13)),'Исходные данные'!$B$13,IF('Исходные данные'!$B$26&lt;&gt;"",IF(AND(YEAR(B110)=YEAR('Исходные данные'!$B$26),MONTH(B110)=MONTH('Исходные данные'!$B$26)),'Исходные данные'!$B$26,IF(A110=1,'Исходные данные'!$B$9,C110)),IF(A110=1,'Исходные данные'!$B$9,C110))),IF('Исходные данные'!$B$26&lt;&gt;"",IF(AND(YEAR(B110)=YEAR('Исходные данные'!$B$26),MONTH(B110)=MONTH('Исходные данные'!$B$26)),'Исходные данные'!$B$26,IF(A110=1,'Исходные данные'!$B$9,C110)),IF(A110=1,'Исходные данные'!$B$9,C110)))),IF('Исходные данные'!$B$13&lt;&gt;"",IF(AND(YEAR(B110)=YEAR('Исходные данные'!$B$13),MONTH(B110)=MONTH('Исходные данные'!$B$13)),'Исходные данные'!$B$13,IF('Исходные данные'!$B$26&lt;&gt;"",IF(AND(YEAR(B110)=YEAR('Исходные данные'!$B$26),MONTH(B110)=MONTH('Исходные данные'!$B$26)),'Исходные данные'!$B$26,IF(A110=1,'Исходные данные'!$B$9,C110)),IF(A110=1,'Исходные данные'!$B$9,C110))),IF('Исходные данные'!$B$26&lt;&gt;"",IF(AND(YEAR(B110)=YEAR('Исходные данные'!$B$26),MONTH(B110)=MONTH('Исходные данные'!$B$26)),'Исходные данные'!$B$26,IF(A110=1,'Исходные данные'!$B$9,C110)),IF(A110=1,'Исходные данные'!$B$9,C110)))))</f>
        <v/>
      </c>
      <c r="E110">
        <f>IF(OR(B110="",'Исходные данные'!$B$91=""),0,--(B110&lt;=DATE(YEAR('Исходные данные'!$B$91),MONTH('Исходные данные'!$B$91),1)))</f>
        <v>0</v>
      </c>
      <c r="F110">
        <f>IF(OR(B110="",'Исходные данные'!$B$30="",C110&lt;'Исходные данные'!$B$30),0,DATEDIF(DATE(YEAR('Исходные данные'!$B$30),MONTH('Исходные данные'!$B$30),1),B110,"m")+1)</f>
        <v>0</v>
      </c>
      <c r="G110">
        <f t="shared" si="63"/>
        <v>0</v>
      </c>
      <c r="H110">
        <f>IF(F110=0,0,IF(G110=1,N('Исходные данные'!$B$31),IF(G110=2,N('Исходные данные'!$B$32),IF(G110=3,N('Исходные данные'!$B$33),N('Исходные данные'!$B$33)*(1+N('Исходные данные'!$B$34))^(G110-3)))))</f>
        <v>0</v>
      </c>
      <c r="I110">
        <f>IF(OR(F110=0,N('Исходные данные'!$B$5)=0,H110=0),0,'Исходные данные'!$B$5*H110*IF(AND(B110&lt;='Исходные данные'!$B$30,C110&gt;='Исходные данные'!$B$30),(C110-'Исходные данные'!$B$30+1)/DAY(C110),1))</f>
        <v>0</v>
      </c>
      <c r="J110">
        <f>IF(AND(F110&gt;0,F110&lt;=N('Исходные данные'!$B$37)),-I110,0)</f>
        <v>0</v>
      </c>
      <c r="K110">
        <f>IF(OR(F110=0,F110&lt;=N('Исходные данные'!$B$37)),0,-(I110+J110)*N('Исходные данные'!$B$38))</f>
        <v>0</v>
      </c>
      <c r="L110">
        <f t="shared" si="64"/>
        <v>0</v>
      </c>
      <c r="M110">
        <f>IF('Исходные данные'!$B$51="Да",L110*N('Исходные данные'!$B$52),0)</f>
        <v>0</v>
      </c>
      <c r="N110">
        <f t="shared" si="65"/>
        <v>0</v>
      </c>
      <c r="O110">
        <f>IF(OR(B110="",IF('Исходные данные'!$B$45="",'Исходные данные'!$B$10,'Исходные данные'!$B$45)="",C110&lt;IF('Исходные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данные'!$B$45)),1),B110,"m")/12))*IF(AND(B110&lt;=IF('Исходные данные'!$B$45="",'Исходные данные'!$B$10,'Исходные данные'!$B$45),C110&gt;=IF('Исходные данные'!$B$45="",'Исходные данные'!$B$10,'Исходные данные'!$B$45)),(C110-IF('Исходные данные'!$B$45="",'Исходные данные'!$B$10,'Исходные данные'!$B$45)+1)/DAY(C110),1)*IF('Исходные данные'!$B$43="Без НДС",1+N('Исходные данные'!$B$44),1))</f>
        <v>0</v>
      </c>
      <c r="P110">
        <f>IF('Исходные данные'!$B$51="Да",-O110*N('Исходные данные'!$B$44)/(1+N('Исходные данные'!$B$44)),0)</f>
        <v>0</v>
      </c>
      <c r="Q110">
        <f>IF('Исходные данные'!$B$35="Да",-O110,0)</f>
        <v>0</v>
      </c>
      <c r="R110">
        <f>IF(AND('Исходные данные'!$B$51="Да",Q110&gt;0),Q110*N('Исходные данные'!$B$52)/(1+N('Исходные данные'!$B$52)),0)</f>
        <v>0</v>
      </c>
      <c r="S110">
        <f>IF(OR(B110="",IF('Исходные данные'!$B$45="",'Исходные данные'!$B$10,'Исходные данные'!$B$45)="",C110&lt;IF('Исходные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данные'!$B$45)),1),B110,"m")/12))*IF(AND(B110&lt;=IF('Исходные данные'!$B$45="",'Исходные данные'!$B$10,'Исходные данные'!$B$45),C110&gt;=IF('Исходные данные'!$B$45="",'Исходные данные'!$B$10,'Исходные данные'!$B$45)),(C110-IF('Исходные данные'!$B$45="",'Исходные данные'!$B$10,'Исходные данные'!$B$45)+1)/DAY(C110),1)*IF('Исходные данные'!$B$43="Без НДС",1+N('Исходные данные'!$B$44),1))</f>
        <v>0</v>
      </c>
      <c r="T110">
        <f>IF('Исходные данные'!$B$51="Да",-S110*N('Исходные данные'!$B$44)/(1+N('Исходные данные'!$B$44)),0)</f>
        <v>0</v>
      </c>
      <c r="U110">
        <f>IF('Исходные данные'!$B$36="Да",-S110,0)</f>
        <v>0</v>
      </c>
      <c r="V110">
        <f>IF(AND('Исходные данные'!$B$51="Да",U110&gt;0),U110*N('Исходные данные'!$B$52)/(1+N('Исходные данные'!$B$52)),0)</f>
        <v>0</v>
      </c>
      <c r="W110">
        <f>IF(OR(B110="",IF('Исходные данные'!$B$69="",'Исходные данные'!$B$10,'Исходные данные'!$B$69)="",C110&lt;IF('Исходные данные'!$B$69="",'Исходные данные'!$B$10,'Исходные данные'!$B$69)),0,-N('Исходные данные'!$B$16)*N('Исходные данные'!$B$68)*N('Исходные данные'!$B$67)/12*IF(AND(B110&lt;=IF('Исходные данные'!$B$69="",'Исходные данные'!$B$10,'Исходные данные'!$B$69),C110&gt;=IF('Исходные данные'!$B$69="",'Исходные данные'!$B$10,'Исходные данные'!$B$69)),(C110-IF('Исходные данные'!$B$69="",'Исходные данные'!$B$10,'Исходные данные'!$B$69)+1)/DAY(C110),1))</f>
        <v>0</v>
      </c>
      <c r="X110">
        <f>IF(OR(B110="",IF('Исходные данные'!$B$76="",'Исходные данные'!$B$10,'Исходные данные'!$B$76)="",C110&lt;IF('Исходные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данные'!$B$76)),1),B110,"m")/12))*IF(AND(B110&lt;=IF('Исходные данные'!$B$76="",'Исходные данные'!$B$10,'Исходные данные'!$B$76),C110&gt;=IF('Исходные данные'!$B$76="",'Исходные данные'!$B$10,'Исходные данные'!$B$76)),(C110-IF('Исходные данные'!$B$76="",'Исходные данные'!$B$10,'Исходные данные'!$B$76)+1)/DAY(C110),1))</f>
        <v>0</v>
      </c>
      <c r="Y110">
        <f t="shared" si="66"/>
        <v>0</v>
      </c>
      <c r="Z110">
        <f>IF(OR(B110="",N('Исходные данные'!$B$19)=0),0,-SUMIFS('Исходные данные'!$I$6:$I$186,'Исходные данные'!$F$6:$F$186,B110)*N('Исходные данные'!$B$17)/N('Исходные данные'!$B$19))</f>
        <v>0</v>
      </c>
      <c r="AA110">
        <f>IF(OR(B110="",N('Исходные данные'!$B$19)=0),0,-SUMIFS('Исходные данные'!$I$6:$I$186,'Исходные данные'!$F$6:$F$186,B110)*N('Исходные данные'!$B$18)/N('Исходные данные'!$B$19))</f>
        <v>0</v>
      </c>
      <c r="AB110">
        <f>IF(OR(B110="",'Исходные данные'!$B$13=""),0,IF(AND(YEAR(B110)=YEAR('Исходные данные'!$B$13),MONTH(B110)=MONTH('Исходные данные'!$B$13)),-N('Исходные данные'!$B$11),0))</f>
        <v>0</v>
      </c>
      <c r="AC110">
        <f>IF(A110=1,-N('Исходные данные'!$B$19)*N('Исходные данные'!$B$72),0)</f>
        <v>0</v>
      </c>
      <c r="AD110">
        <f>IF(OR(B110="",'Исходные данные'!$B$22&lt;&gt;"Да",'Исходные данные'!$B$26=""),0,IF(AND(YEAR(B110)=YEAR('Исходные данные'!$B$26),MONTH(B110)=MONTH('Исходные данные'!$B$26)),N('Исходные данные'!$B$23),0))</f>
        <v>0</v>
      </c>
      <c r="AE110">
        <f t="shared" si="79"/>
        <v>0</v>
      </c>
      <c r="AF110">
        <f>IF(OR('Исходные данные'!$B$22&lt;&gt;"Да",'Исходные данные'!$B$26="",C110&lt;'Исходные данные'!$B$26),0,DATEDIF(DATE(YEAR('Исходные данные'!$B$26),MONTH('Исходные данные'!$B$26),1),B110,"m")+1)</f>
        <v>0</v>
      </c>
      <c r="AG110">
        <f>IF(OR(AF110&lt;1,AF110&gt;N('Исходные данные'!$B$25),AE110+AD110&lt;=0),0,-(AE110+AD110)*N('Исходные данные'!$B$24)*IF(AF110=1,C110-'Исходные данные'!$B$26+1,DAY(C110))/365)</f>
        <v>0</v>
      </c>
      <c r="AH110">
        <f>IF(OR(AF110&lt;1,AF110&gt;N('Исходные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данные'!$B$25)-AG110))</f>
        <v>0</v>
      </c>
      <c r="AI110">
        <f>IF(OR('Исходные данные'!$B$22&lt;&gt;"Да",AE110+AD110&lt;=0),0,IF(AND('Исходные данные'!$B$91&lt;&gt;"",B110&lt;&gt;"",YEAR(B110)=YEAR('Исходные данные'!$B$91),MONTH(B110)=MONTH('Исходные данные'!$B$91)),-(AE110+AD110),IF(OR(AF110&lt;1,AF110&gt;N('Исходные данные'!$B$25)),0,IF('Исходные данные'!$B$27="Равными долями",-MIN(AE110+AD110,N('Исходные данные'!$B$23)/N('Исходные данные'!$B$25)),-MIN(AE110+AD110,IF(AF110=N('Исходные данные'!$B$25),AE110+AD110,MAX(0,AH110+AG110)))))))</f>
        <v>0</v>
      </c>
      <c r="AJ110">
        <f t="shared" si="67"/>
        <v>0</v>
      </c>
      <c r="AK110">
        <f t="shared" si="68"/>
        <v>0</v>
      </c>
      <c r="AL110">
        <f>IF(OR(B110="",'Исходные данные'!$B$51&lt;&gt;"Да",'Исходные данные'!$B$61=""),0,IF(AND(YEAR(B110)=YEAR('Исходные данные'!$B$61),MONTH(B110)=MONTH('Исходные данные'!$B$61)),N('Исходные данные'!$B$18)*N('Исходные данные'!$B$62),0))</f>
        <v>0</v>
      </c>
      <c r="AM110">
        <f t="shared" si="80"/>
        <v>0</v>
      </c>
      <c r="AN110">
        <f t="shared" si="69"/>
        <v>0</v>
      </c>
      <c r="AO110">
        <f t="shared" si="70"/>
        <v>0</v>
      </c>
      <c r="AP110">
        <f>IF('Исходные данные'!$B$51="Да",-MAX(0,AN110-AO110-AM110),0)</f>
        <v>0</v>
      </c>
      <c r="AQ110">
        <f>IF('Исходные данные'!$B$51="Да",MAX(0,AM110+AO110-AN110),0)</f>
        <v>0</v>
      </c>
      <c r="AR110">
        <f>IF('Исходные данные'!$B$53="Выручка",MAX(0,L110+(Q110-R110)+(U110-V110)),IF('Исходные данные'!$B$53="Прибыль до налога",MAX(0,L110+(Q110-R110)+(U110-V110)+N('Исходные данные'!$B$54)*((O110+P110)+(S110+T110)+W110+X110)+IF('Исходные данные'!$B$55="Да",AG110,0)-N('Исходные данные'!$B$56)/12),IF('Исходные данные'!$B$53="Пользовательская база",MAX(0,N('Исходные данные'!$B$57)/12),0)))</f>
        <v>0</v>
      </c>
      <c r="AS110">
        <f>IF(E110=1,-AR110*N('Исходные данные'!$B$50),0)</f>
        <v>0</v>
      </c>
      <c r="AT110">
        <f t="shared" si="71"/>
        <v>0</v>
      </c>
      <c r="AU110">
        <f>IF(OR(B110="",N('Исходные данные'!$B$80)&lt;=0,'Исходные данные'!$B$88=""),0,MAX(0,IF('Исходные данные'!$B$88="Последние 12 месяцев",SUMIFS($Y$2:$Y$194,$B$2:$B$194,"&gt;="&amp;EDATE(B110,-11),$B$2:$B$194,"&lt;="&amp;B110),IF('Исходные данные'!$B$88="Пользовательский NOI",N('Исходные данные'!$B$89),AT110))/N('Исходные данные'!$B$80)*(1+N('Исходные данные'!$B$81))))</f>
        <v>0</v>
      </c>
      <c r="AV110">
        <f>IF(OR(E110&lt;&gt;1,B110="",'Исходные данные'!$B$91=""),0,IF(AND(YEAR(B110)=YEAR('Исходные данные'!$B$91),MONTH(B110)=MONTH('Исходные данные'!$B$91)),AU110,0))</f>
        <v>0</v>
      </c>
      <c r="AW110">
        <f>-AV110*N('Исходные данные'!$B$73)</f>
        <v>0</v>
      </c>
      <c r="AX110">
        <f>IF(AV110=0,0,-N('Исходные данные'!$B$87)-IF('Исходные данные'!$B$82="Да",IF('Исходные данные'!$B$84="С выручки",AV110,IF('Исходные данные'!$B$84="С прибыли",MAX(0,AV110+AW110-IF('Исходные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10">
        <f t="shared" si="72"/>
        <v>0</v>
      </c>
      <c r="AZ110">
        <f t="shared" si="73"/>
        <v>0</v>
      </c>
      <c r="BA110">
        <f t="shared" si="74"/>
        <v>0</v>
      </c>
      <c r="BB110" t="str">
        <f t="shared" si="81"/>
        <v/>
      </c>
      <c r="BC110">
        <f>IF(OR(E110=0,'Исходные данные'!$B$9="",'Исходные данные'!$B$90=""),0,BA110/(1+'Исходные данные'!$B$90)^((D110-'Исходные данные'!$B$9)/365))</f>
        <v>0</v>
      </c>
      <c r="BD110">
        <f>IF(AND(E110=1,BB110&gt;=0,BB109&lt;0,MIN($BB$2:BB110)&lt;0),1,0)</f>
        <v>0</v>
      </c>
      <c r="BE110">
        <f t="shared" si="75"/>
        <v>0</v>
      </c>
      <c r="BF110">
        <f t="shared" si="76"/>
        <v>0</v>
      </c>
      <c r="BG110">
        <f t="shared" si="77"/>
        <v>0</v>
      </c>
      <c r="BH110">
        <f t="shared" si="78"/>
        <v>1</v>
      </c>
      <c r="BI110">
        <f>AZ110+N110+AP110-AR110*N('Исходные данные'!$B$50)</f>
        <v>0</v>
      </c>
      <c r="BJ110">
        <f t="shared" si="61"/>
        <v>0</v>
      </c>
      <c r="BK110">
        <f>IF(AND(BJ110&gt;=0,BJ109&lt;0,MIN($BJ$2:BJ110)&lt;0),1,0)</f>
        <v>0</v>
      </c>
    </row>
    <row r="111" spans="1:63" x14ac:dyDescent="0.2">
      <c r="A111">
        <v>110</v>
      </c>
      <c r="B111" t="str">
        <f>IF('Исходные данные'!$B$9="","",EDATE(DATE(YEAR('Исходные данные'!$B$9),MONTH('Исходные данные'!$B$9),1),A111-1))</f>
        <v/>
      </c>
      <c r="C111" t="str">
        <f t="shared" si="62"/>
        <v/>
      </c>
      <c r="D111" t="str">
        <f>IF(B111="","",IF('Исходные данные'!$B$91&lt;&gt;"",IF(AND(YEAR(B111)=YEAR('Исходные данные'!$B$91),MONTH(B111)=MONTH('Исходные данные'!$B$91)),'Исходные данные'!$B$91,IF('Исходные данные'!$B$13&lt;&gt;"",IF(AND(YEAR(B111)=YEAR('Исходные данные'!$B$13),MONTH(B111)=MONTH('Исходные данные'!$B$13)),'Исходные данные'!$B$13,IF('Исходные данные'!$B$26&lt;&gt;"",IF(AND(YEAR(B111)=YEAR('Исходные данные'!$B$26),MONTH(B111)=MONTH('Исходные данные'!$B$26)),'Исходные данные'!$B$26,IF(A111=1,'Исходные данные'!$B$9,C111)),IF(A111=1,'Исходные данные'!$B$9,C111))),IF('Исходные данные'!$B$26&lt;&gt;"",IF(AND(YEAR(B111)=YEAR('Исходные данные'!$B$26),MONTH(B111)=MONTH('Исходные данные'!$B$26)),'Исходные данные'!$B$26,IF(A111=1,'Исходные данные'!$B$9,C111)),IF(A111=1,'Исходные данные'!$B$9,C111)))),IF('Исходные данные'!$B$13&lt;&gt;"",IF(AND(YEAR(B111)=YEAR('Исходные данные'!$B$13),MONTH(B111)=MONTH('Исходные данные'!$B$13)),'Исходные данные'!$B$13,IF('Исходные данные'!$B$26&lt;&gt;"",IF(AND(YEAR(B111)=YEAR('Исходные данные'!$B$26),MONTH(B111)=MONTH('Исходные данные'!$B$26)),'Исходные данные'!$B$26,IF(A111=1,'Исходные данные'!$B$9,C111)),IF(A111=1,'Исходные данные'!$B$9,C111))),IF('Исходные данные'!$B$26&lt;&gt;"",IF(AND(YEAR(B111)=YEAR('Исходные данные'!$B$26),MONTH(B111)=MONTH('Исходные данные'!$B$26)),'Исходные данные'!$B$26,IF(A111=1,'Исходные данные'!$B$9,C111)),IF(A111=1,'Исходные данные'!$B$9,C111)))))</f>
        <v/>
      </c>
      <c r="E111">
        <f>IF(OR(B111="",'Исходные данные'!$B$91=""),0,--(B111&lt;=DATE(YEAR('Исходные данные'!$B$91),MONTH('Исходные данные'!$B$91),1)))</f>
        <v>0</v>
      </c>
      <c r="F111">
        <f>IF(OR(B111="",'Исходные данные'!$B$30="",C111&lt;'Исходные данные'!$B$30),0,DATEDIF(DATE(YEAR('Исходные данные'!$B$30),MONTH('Исходные данные'!$B$30),1),B111,"m")+1)</f>
        <v>0</v>
      </c>
      <c r="G111">
        <f t="shared" si="63"/>
        <v>0</v>
      </c>
      <c r="H111">
        <f>IF(F111=0,0,IF(G111=1,N('Исходные данные'!$B$31),IF(G111=2,N('Исходные данные'!$B$32),IF(G111=3,N('Исходные данные'!$B$33),N('Исходные данные'!$B$33)*(1+N('Исходные данные'!$B$34))^(G111-3)))))</f>
        <v>0</v>
      </c>
      <c r="I111">
        <f>IF(OR(F111=0,N('Исходные данные'!$B$5)=0,H111=0),0,'Исходные данные'!$B$5*H111*IF(AND(B111&lt;='Исходные данные'!$B$30,C111&gt;='Исходные данные'!$B$30),(C111-'Исходные данные'!$B$30+1)/DAY(C111),1))</f>
        <v>0</v>
      </c>
      <c r="J111">
        <f>IF(AND(F111&gt;0,F111&lt;=N('Исходные данные'!$B$37)),-I111,0)</f>
        <v>0</v>
      </c>
      <c r="K111">
        <f>IF(OR(F111=0,F111&lt;=N('Исходные данные'!$B$37)),0,-(I111+J111)*N('Исходные данные'!$B$38))</f>
        <v>0</v>
      </c>
      <c r="L111">
        <f t="shared" si="64"/>
        <v>0</v>
      </c>
      <c r="M111">
        <f>IF('Исходные данные'!$B$51="Да",L111*N('Исходные данные'!$B$52),0)</f>
        <v>0</v>
      </c>
      <c r="N111">
        <f t="shared" si="65"/>
        <v>0</v>
      </c>
      <c r="O111">
        <f>IF(OR(B111="",IF('Исходные данные'!$B$45="",'Исходные данные'!$B$10,'Исходные данные'!$B$45)="",C111&lt;IF('Исходные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данные'!$B$45)),1),B111,"m")/12))*IF(AND(B111&lt;=IF('Исходные данные'!$B$45="",'Исходные данные'!$B$10,'Исходные данные'!$B$45),C111&gt;=IF('Исходные данные'!$B$45="",'Исходные данные'!$B$10,'Исходные данные'!$B$45)),(C111-IF('Исходные данные'!$B$45="",'Исходные данные'!$B$10,'Исходные данные'!$B$45)+1)/DAY(C111),1)*IF('Исходные данные'!$B$43="Без НДС",1+N('Исходные данные'!$B$44),1))</f>
        <v>0</v>
      </c>
      <c r="P111">
        <f>IF('Исходные данные'!$B$51="Да",-O111*N('Исходные данные'!$B$44)/(1+N('Исходные данные'!$B$44)),0)</f>
        <v>0</v>
      </c>
      <c r="Q111">
        <f>IF('Исходные данные'!$B$35="Да",-O111,0)</f>
        <v>0</v>
      </c>
      <c r="R111">
        <f>IF(AND('Исходные данные'!$B$51="Да",Q111&gt;0),Q111*N('Исходные данные'!$B$52)/(1+N('Исходные данные'!$B$52)),0)</f>
        <v>0</v>
      </c>
      <c r="S111">
        <f>IF(OR(B111="",IF('Исходные данные'!$B$45="",'Исходные данные'!$B$10,'Исходные данные'!$B$45)="",C111&lt;IF('Исходные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данные'!$B$45)),1),B111,"m")/12))*IF(AND(B111&lt;=IF('Исходные данные'!$B$45="",'Исходные данные'!$B$10,'Исходные данные'!$B$45),C111&gt;=IF('Исходные данные'!$B$45="",'Исходные данные'!$B$10,'Исходные данные'!$B$45)),(C111-IF('Исходные данные'!$B$45="",'Исходные данные'!$B$10,'Исходные данные'!$B$45)+1)/DAY(C111),1)*IF('Исходные данные'!$B$43="Без НДС",1+N('Исходные данные'!$B$44),1))</f>
        <v>0</v>
      </c>
      <c r="T111">
        <f>IF('Исходные данные'!$B$51="Да",-S111*N('Исходные данные'!$B$44)/(1+N('Исходные данные'!$B$44)),0)</f>
        <v>0</v>
      </c>
      <c r="U111">
        <f>IF('Исходные данные'!$B$36="Да",-S111,0)</f>
        <v>0</v>
      </c>
      <c r="V111">
        <f>IF(AND('Исходные данные'!$B$51="Да",U111&gt;0),U111*N('Исходные данные'!$B$52)/(1+N('Исходные данные'!$B$52)),0)</f>
        <v>0</v>
      </c>
      <c r="W111">
        <f>IF(OR(B111="",IF('Исходные данные'!$B$69="",'Исходные данные'!$B$10,'Исходные данные'!$B$69)="",C111&lt;IF('Исходные данные'!$B$69="",'Исходные данные'!$B$10,'Исходные данные'!$B$69)),0,-N('Исходные данные'!$B$16)*N('Исходные данные'!$B$68)*N('Исходные данные'!$B$67)/12*IF(AND(B111&lt;=IF('Исходные данные'!$B$69="",'Исходные данные'!$B$10,'Исходные данные'!$B$69),C111&gt;=IF('Исходные данные'!$B$69="",'Исходные данные'!$B$10,'Исходные данные'!$B$69)),(C111-IF('Исходные данные'!$B$69="",'Исходные данные'!$B$10,'Исходные данные'!$B$69)+1)/DAY(C111),1))</f>
        <v>0</v>
      </c>
      <c r="X111">
        <f>IF(OR(B111="",IF('Исходные данные'!$B$76="",'Исходные данные'!$B$10,'Исходные данные'!$B$76)="",C111&lt;IF('Исходные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данные'!$B$76)),1),B111,"m")/12))*IF(AND(B111&lt;=IF('Исходные данные'!$B$76="",'Исходные данные'!$B$10,'Исходные данные'!$B$76),C111&gt;=IF('Исходные данные'!$B$76="",'Исходные данные'!$B$10,'Исходные данные'!$B$76)),(C111-IF('Исходные данные'!$B$76="",'Исходные данные'!$B$10,'Исходные данные'!$B$76)+1)/DAY(C111),1))</f>
        <v>0</v>
      </c>
      <c r="Y111">
        <f t="shared" si="66"/>
        <v>0</v>
      </c>
      <c r="Z111">
        <f>IF(OR(B111="",N('Исходные данные'!$B$19)=0),0,-SUMIFS('Исходные данные'!$I$6:$I$186,'Исходные данные'!$F$6:$F$186,B111)*N('Исходные данные'!$B$17)/N('Исходные данные'!$B$19))</f>
        <v>0</v>
      </c>
      <c r="AA111">
        <f>IF(OR(B111="",N('Исходные данные'!$B$19)=0),0,-SUMIFS('Исходные данные'!$I$6:$I$186,'Исходные данные'!$F$6:$F$186,B111)*N('Исходные данные'!$B$18)/N('Исходные данные'!$B$19))</f>
        <v>0</v>
      </c>
      <c r="AB111">
        <f>IF(OR(B111="",'Исходные данные'!$B$13=""),0,IF(AND(YEAR(B111)=YEAR('Исходные данные'!$B$13),MONTH(B111)=MONTH('Исходные данные'!$B$13)),-N('Исходные данные'!$B$11),0))</f>
        <v>0</v>
      </c>
      <c r="AC111">
        <f>IF(A111=1,-N('Исходные данные'!$B$19)*N('Исходные данные'!$B$72),0)</f>
        <v>0</v>
      </c>
      <c r="AD111">
        <f>IF(OR(B111="",'Исходные данные'!$B$22&lt;&gt;"Да",'Исходные данные'!$B$26=""),0,IF(AND(YEAR(B111)=YEAR('Исходные данные'!$B$26),MONTH(B111)=MONTH('Исходные данные'!$B$26)),N('Исходные данные'!$B$23),0))</f>
        <v>0</v>
      </c>
      <c r="AE111">
        <f t="shared" si="79"/>
        <v>0</v>
      </c>
      <c r="AF111">
        <f>IF(OR('Исходные данные'!$B$22&lt;&gt;"Да",'Исходные данные'!$B$26="",C111&lt;'Исходные данные'!$B$26),0,DATEDIF(DATE(YEAR('Исходные данные'!$B$26),MONTH('Исходные данные'!$B$26),1),B111,"m")+1)</f>
        <v>0</v>
      </c>
      <c r="AG111">
        <f>IF(OR(AF111&lt;1,AF111&gt;N('Исходные данные'!$B$25),AE111+AD111&lt;=0),0,-(AE111+AD111)*N('Исходные данные'!$B$24)*IF(AF111=1,C111-'Исходные данные'!$B$26+1,DAY(C111))/365)</f>
        <v>0</v>
      </c>
      <c r="AH111">
        <f>IF(OR(AF111&lt;1,AF111&gt;N('Исходные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данные'!$B$25)-AG111))</f>
        <v>0</v>
      </c>
      <c r="AI111">
        <f>IF(OR('Исходные данные'!$B$22&lt;&gt;"Да",AE111+AD111&lt;=0),0,IF(AND('Исходные данные'!$B$91&lt;&gt;"",B111&lt;&gt;"",YEAR(B111)=YEAR('Исходные данные'!$B$91),MONTH(B111)=MONTH('Исходные данные'!$B$91)),-(AE111+AD111),IF(OR(AF111&lt;1,AF111&gt;N('Исходные данные'!$B$25)),0,IF('Исходные данные'!$B$27="Равными долями",-MIN(AE111+AD111,N('Исходные данные'!$B$23)/N('Исходные данные'!$B$25)),-MIN(AE111+AD111,IF(AF111=N('Исходные данные'!$B$25),AE111+AD111,MAX(0,AH111+AG111)))))))</f>
        <v>0</v>
      </c>
      <c r="AJ111">
        <f t="shared" si="67"/>
        <v>0</v>
      </c>
      <c r="AK111">
        <f t="shared" si="68"/>
        <v>0</v>
      </c>
      <c r="AL111">
        <f>IF(OR(B111="",'Исходные данные'!$B$51&lt;&gt;"Да",'Исходные данные'!$B$61=""),0,IF(AND(YEAR(B111)=YEAR('Исходные данные'!$B$61),MONTH(B111)=MONTH('Исходные данные'!$B$61)),N('Исходные данные'!$B$18)*N('Исходные данные'!$B$62),0))</f>
        <v>0</v>
      </c>
      <c r="AM111">
        <f t="shared" si="80"/>
        <v>0</v>
      </c>
      <c r="AN111">
        <f t="shared" si="69"/>
        <v>0</v>
      </c>
      <c r="AO111">
        <f t="shared" si="70"/>
        <v>0</v>
      </c>
      <c r="AP111">
        <f>IF('Исходные данные'!$B$51="Да",-MAX(0,AN111-AO111-AM111),0)</f>
        <v>0</v>
      </c>
      <c r="AQ111">
        <f>IF('Исходные данные'!$B$51="Да",MAX(0,AM111+AO111-AN111),0)</f>
        <v>0</v>
      </c>
      <c r="AR111">
        <f>IF('Исходные данные'!$B$53="Выручка",MAX(0,L111+(Q111-R111)+(U111-V111)),IF('Исходные данные'!$B$53="Прибыль до налога",MAX(0,L111+(Q111-R111)+(U111-V111)+N('Исходные данные'!$B$54)*((O111+P111)+(S111+T111)+W111+X111)+IF('Исходные данные'!$B$55="Да",AG111,0)-N('Исходные данные'!$B$56)/12),IF('Исходные данные'!$B$53="Пользовательская база",MAX(0,N('Исходные данные'!$B$57)/12),0)))</f>
        <v>0</v>
      </c>
      <c r="AS111">
        <f>IF(E111=1,-AR111*N('Исходные данные'!$B$50),0)</f>
        <v>0</v>
      </c>
      <c r="AT111">
        <f t="shared" si="71"/>
        <v>0</v>
      </c>
      <c r="AU111">
        <f>IF(OR(B111="",N('Исходные данные'!$B$80)&lt;=0,'Исходные данные'!$B$88=""),0,MAX(0,IF('Исходные данные'!$B$88="Последние 12 месяцев",SUMIFS($Y$2:$Y$194,$B$2:$B$194,"&gt;="&amp;EDATE(B111,-11),$B$2:$B$194,"&lt;="&amp;B111),IF('Исходные данные'!$B$88="Пользовательский NOI",N('Исходные данные'!$B$89),AT111))/N('Исходные данные'!$B$80)*(1+N('Исходные данные'!$B$81))))</f>
        <v>0</v>
      </c>
      <c r="AV111">
        <f>IF(OR(E111&lt;&gt;1,B111="",'Исходные данные'!$B$91=""),0,IF(AND(YEAR(B111)=YEAR('Исходные данные'!$B$91),MONTH(B111)=MONTH('Исходные данные'!$B$91)),AU111,0))</f>
        <v>0</v>
      </c>
      <c r="AW111">
        <f>-AV111*N('Исходные данные'!$B$73)</f>
        <v>0</v>
      </c>
      <c r="AX111">
        <f>IF(AV111=0,0,-N('Исходные данные'!$B$87)-IF('Исходные данные'!$B$82="Да",IF('Исходные данные'!$B$84="С выручки",AV111,IF('Исходные данные'!$B$84="С прибыли",MAX(0,AV111+AW111-IF('Исходные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11">
        <f t="shared" si="72"/>
        <v>0</v>
      </c>
      <c r="AZ111">
        <f t="shared" si="73"/>
        <v>0</v>
      </c>
      <c r="BA111">
        <f t="shared" si="74"/>
        <v>0</v>
      </c>
      <c r="BB111" t="str">
        <f t="shared" si="81"/>
        <v/>
      </c>
      <c r="BC111">
        <f>IF(OR(E111=0,'Исходные данные'!$B$9="",'Исходные данные'!$B$90=""),0,BA111/(1+'Исходные данные'!$B$90)^((D111-'Исходные данные'!$B$9)/365))</f>
        <v>0</v>
      </c>
      <c r="BD111">
        <f>IF(AND(E111=1,BB111&gt;=0,BB110&lt;0,MIN($BB$2:BB111)&lt;0),1,0)</f>
        <v>0</v>
      </c>
      <c r="BE111">
        <f t="shared" si="75"/>
        <v>0</v>
      </c>
      <c r="BF111">
        <f t="shared" si="76"/>
        <v>0</v>
      </c>
      <c r="BG111">
        <f t="shared" si="77"/>
        <v>0</v>
      </c>
      <c r="BH111">
        <f t="shared" si="78"/>
        <v>1</v>
      </c>
      <c r="BI111">
        <f>AZ111+N111+AP111-AR111*N('Исходные данные'!$B$50)</f>
        <v>0</v>
      </c>
      <c r="BJ111">
        <f t="shared" si="61"/>
        <v>0</v>
      </c>
      <c r="BK111">
        <f>IF(AND(BJ111&gt;=0,BJ110&lt;0,MIN($BJ$2:BJ111)&lt;0),1,0)</f>
        <v>0</v>
      </c>
    </row>
    <row r="112" spans="1:63" x14ac:dyDescent="0.2">
      <c r="A112">
        <v>111</v>
      </c>
      <c r="B112" t="str">
        <f>IF('Исходные данные'!$B$9="","",EDATE(DATE(YEAR('Исходные данные'!$B$9),MONTH('Исходные данные'!$B$9),1),A112-1))</f>
        <v/>
      </c>
      <c r="C112" t="str">
        <f t="shared" si="62"/>
        <v/>
      </c>
      <c r="D112" t="str">
        <f>IF(B112="","",IF('Исходные данные'!$B$91&lt;&gt;"",IF(AND(YEAR(B112)=YEAR('Исходные данные'!$B$91),MONTH(B112)=MONTH('Исходные данные'!$B$91)),'Исходные данные'!$B$91,IF('Исходные данные'!$B$13&lt;&gt;"",IF(AND(YEAR(B112)=YEAR('Исходные данные'!$B$13),MONTH(B112)=MONTH('Исходные данные'!$B$13)),'Исходные данные'!$B$13,IF('Исходные данные'!$B$26&lt;&gt;"",IF(AND(YEAR(B112)=YEAR('Исходные данные'!$B$26),MONTH(B112)=MONTH('Исходные данные'!$B$26)),'Исходные данные'!$B$26,IF(A112=1,'Исходные данные'!$B$9,C112)),IF(A112=1,'Исходные данные'!$B$9,C112))),IF('Исходные данные'!$B$26&lt;&gt;"",IF(AND(YEAR(B112)=YEAR('Исходные данные'!$B$26),MONTH(B112)=MONTH('Исходные данные'!$B$26)),'Исходные данные'!$B$26,IF(A112=1,'Исходные данные'!$B$9,C112)),IF(A112=1,'Исходные данные'!$B$9,C112)))),IF('Исходные данные'!$B$13&lt;&gt;"",IF(AND(YEAR(B112)=YEAR('Исходные данные'!$B$13),MONTH(B112)=MONTH('Исходные данные'!$B$13)),'Исходные данные'!$B$13,IF('Исходные данные'!$B$26&lt;&gt;"",IF(AND(YEAR(B112)=YEAR('Исходные данные'!$B$26),MONTH(B112)=MONTH('Исходные данные'!$B$26)),'Исходные данные'!$B$26,IF(A112=1,'Исходные данные'!$B$9,C112)),IF(A112=1,'Исходные данные'!$B$9,C112))),IF('Исходные данные'!$B$26&lt;&gt;"",IF(AND(YEAR(B112)=YEAR('Исходные данные'!$B$26),MONTH(B112)=MONTH('Исходные данные'!$B$26)),'Исходные данные'!$B$26,IF(A112=1,'Исходные данные'!$B$9,C112)),IF(A112=1,'Исходные данные'!$B$9,C112)))))</f>
        <v/>
      </c>
      <c r="E112">
        <f>IF(OR(B112="",'Исходные данные'!$B$91=""),0,--(B112&lt;=DATE(YEAR('Исходные данные'!$B$91),MONTH('Исходные данные'!$B$91),1)))</f>
        <v>0</v>
      </c>
      <c r="F112">
        <f>IF(OR(B112="",'Исходные данные'!$B$30="",C112&lt;'Исходные данные'!$B$30),0,DATEDIF(DATE(YEAR('Исходные данные'!$B$30),MONTH('Исходные данные'!$B$30),1),B112,"m")+1)</f>
        <v>0</v>
      </c>
      <c r="G112">
        <f t="shared" si="63"/>
        <v>0</v>
      </c>
      <c r="H112">
        <f>IF(F112=0,0,IF(G112=1,N('Исходные данные'!$B$31),IF(G112=2,N('Исходные данные'!$B$32),IF(G112=3,N('Исходные данные'!$B$33),N('Исходные данные'!$B$33)*(1+N('Исходные данные'!$B$34))^(G112-3)))))</f>
        <v>0</v>
      </c>
      <c r="I112">
        <f>IF(OR(F112=0,N('Исходные данные'!$B$5)=0,H112=0),0,'Исходные данные'!$B$5*H112*IF(AND(B112&lt;='Исходные данные'!$B$30,C112&gt;='Исходные данные'!$B$30),(C112-'Исходные данные'!$B$30+1)/DAY(C112),1))</f>
        <v>0</v>
      </c>
      <c r="J112">
        <f>IF(AND(F112&gt;0,F112&lt;=N('Исходные данные'!$B$37)),-I112,0)</f>
        <v>0</v>
      </c>
      <c r="K112">
        <f>IF(OR(F112=0,F112&lt;=N('Исходные данные'!$B$37)),0,-(I112+J112)*N('Исходные данные'!$B$38))</f>
        <v>0</v>
      </c>
      <c r="L112">
        <f t="shared" si="64"/>
        <v>0</v>
      </c>
      <c r="M112">
        <f>IF('Исходные данные'!$B$51="Да",L112*N('Исходные данные'!$B$52),0)</f>
        <v>0</v>
      </c>
      <c r="N112">
        <f t="shared" si="65"/>
        <v>0</v>
      </c>
      <c r="O112">
        <f>IF(OR(B112="",IF('Исходные данные'!$B$45="",'Исходные данные'!$B$10,'Исходные данные'!$B$45)="",C112&lt;IF('Исходные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данные'!$B$45)),1),B112,"m")/12))*IF(AND(B112&lt;=IF('Исходные данные'!$B$45="",'Исходные данные'!$B$10,'Исходные данные'!$B$45),C112&gt;=IF('Исходные данные'!$B$45="",'Исходные данные'!$B$10,'Исходные данные'!$B$45)),(C112-IF('Исходные данные'!$B$45="",'Исходные данные'!$B$10,'Исходные данные'!$B$45)+1)/DAY(C112),1)*IF('Исходные данные'!$B$43="Без НДС",1+N('Исходные данные'!$B$44),1))</f>
        <v>0</v>
      </c>
      <c r="P112">
        <f>IF('Исходные данные'!$B$51="Да",-O112*N('Исходные данные'!$B$44)/(1+N('Исходные данные'!$B$44)),0)</f>
        <v>0</v>
      </c>
      <c r="Q112">
        <f>IF('Исходные данные'!$B$35="Да",-O112,0)</f>
        <v>0</v>
      </c>
      <c r="R112">
        <f>IF(AND('Исходные данные'!$B$51="Да",Q112&gt;0),Q112*N('Исходные данные'!$B$52)/(1+N('Исходные данные'!$B$52)),0)</f>
        <v>0</v>
      </c>
      <c r="S112">
        <f>IF(OR(B112="",IF('Исходные данные'!$B$45="",'Исходные данные'!$B$10,'Исходные данные'!$B$45)="",C112&lt;IF('Исходные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данные'!$B$45)),1),B112,"m")/12))*IF(AND(B112&lt;=IF('Исходные данные'!$B$45="",'Исходные данные'!$B$10,'Исходные данные'!$B$45),C112&gt;=IF('Исходные данные'!$B$45="",'Исходные данные'!$B$10,'Исходные данные'!$B$45)),(C112-IF('Исходные данные'!$B$45="",'Исходные данные'!$B$10,'Исходные данные'!$B$45)+1)/DAY(C112),1)*IF('Исходные данные'!$B$43="Без НДС",1+N('Исходные данные'!$B$44),1))</f>
        <v>0</v>
      </c>
      <c r="T112">
        <f>IF('Исходные данные'!$B$51="Да",-S112*N('Исходные данные'!$B$44)/(1+N('Исходные данные'!$B$44)),0)</f>
        <v>0</v>
      </c>
      <c r="U112">
        <f>IF('Исходные данные'!$B$36="Да",-S112,0)</f>
        <v>0</v>
      </c>
      <c r="V112">
        <f>IF(AND('Исходные данные'!$B$51="Да",U112&gt;0),U112*N('Исходные данные'!$B$52)/(1+N('Исходные данные'!$B$52)),0)</f>
        <v>0</v>
      </c>
      <c r="W112">
        <f>IF(OR(B112="",IF('Исходные данные'!$B$69="",'Исходные данные'!$B$10,'Исходные данные'!$B$69)="",C112&lt;IF('Исходные данные'!$B$69="",'Исходные данные'!$B$10,'Исходные данные'!$B$69)),0,-N('Исходные данные'!$B$16)*N('Исходные данные'!$B$68)*N('Исходные данные'!$B$67)/12*IF(AND(B112&lt;=IF('Исходные данные'!$B$69="",'Исходные данные'!$B$10,'Исходные данные'!$B$69),C112&gt;=IF('Исходные данные'!$B$69="",'Исходные данные'!$B$10,'Исходные данные'!$B$69)),(C112-IF('Исходные данные'!$B$69="",'Исходные данные'!$B$10,'Исходные данные'!$B$69)+1)/DAY(C112),1))</f>
        <v>0</v>
      </c>
      <c r="X112">
        <f>IF(OR(B112="",IF('Исходные данные'!$B$76="",'Исходные данные'!$B$10,'Исходные данные'!$B$76)="",C112&lt;IF('Исходные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данные'!$B$76)),1),B112,"m")/12))*IF(AND(B112&lt;=IF('Исходные данные'!$B$76="",'Исходные данные'!$B$10,'Исходные данные'!$B$76),C112&gt;=IF('Исходные данные'!$B$76="",'Исходные данные'!$B$10,'Исходные данные'!$B$76)),(C112-IF('Исходные данные'!$B$76="",'Исходные данные'!$B$10,'Исходные данные'!$B$76)+1)/DAY(C112),1))</f>
        <v>0</v>
      </c>
      <c r="Y112">
        <f t="shared" si="66"/>
        <v>0</v>
      </c>
      <c r="Z112">
        <f>IF(OR(B112="",N('Исходные данные'!$B$19)=0),0,-SUMIFS('Исходные данные'!$I$6:$I$186,'Исходные данные'!$F$6:$F$186,B112)*N('Исходные данные'!$B$17)/N('Исходные данные'!$B$19))</f>
        <v>0</v>
      </c>
      <c r="AA112">
        <f>IF(OR(B112="",N('Исходные данные'!$B$19)=0),0,-SUMIFS('Исходные данные'!$I$6:$I$186,'Исходные данные'!$F$6:$F$186,B112)*N('Исходные данные'!$B$18)/N('Исходные данные'!$B$19))</f>
        <v>0</v>
      </c>
      <c r="AB112">
        <f>IF(OR(B112="",'Исходные данные'!$B$13=""),0,IF(AND(YEAR(B112)=YEAR('Исходные данные'!$B$13),MONTH(B112)=MONTH('Исходные данные'!$B$13)),-N('Исходные данные'!$B$11),0))</f>
        <v>0</v>
      </c>
      <c r="AC112">
        <f>IF(A112=1,-N('Исходные данные'!$B$19)*N('Исходные данные'!$B$72),0)</f>
        <v>0</v>
      </c>
      <c r="AD112">
        <f>IF(OR(B112="",'Исходные данные'!$B$22&lt;&gt;"Да",'Исходные данные'!$B$26=""),0,IF(AND(YEAR(B112)=YEAR('Исходные данные'!$B$26),MONTH(B112)=MONTH('Исходные данные'!$B$26)),N('Исходные данные'!$B$23),0))</f>
        <v>0</v>
      </c>
      <c r="AE112">
        <f t="shared" si="79"/>
        <v>0</v>
      </c>
      <c r="AF112">
        <f>IF(OR('Исходные данные'!$B$22&lt;&gt;"Да",'Исходные данные'!$B$26="",C112&lt;'Исходные данные'!$B$26),0,DATEDIF(DATE(YEAR('Исходные данные'!$B$26),MONTH('Исходные данные'!$B$26),1),B112,"m")+1)</f>
        <v>0</v>
      </c>
      <c r="AG112">
        <f>IF(OR(AF112&lt;1,AF112&gt;N('Исходные данные'!$B$25),AE112+AD112&lt;=0),0,-(AE112+AD112)*N('Исходные данные'!$B$24)*IF(AF112=1,C112-'Исходные данные'!$B$26+1,DAY(C112))/365)</f>
        <v>0</v>
      </c>
      <c r="AH112">
        <f>IF(OR(AF112&lt;1,AF112&gt;N('Исходные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данные'!$B$25)-AG112))</f>
        <v>0</v>
      </c>
      <c r="AI112">
        <f>IF(OR('Исходные данные'!$B$22&lt;&gt;"Да",AE112+AD112&lt;=0),0,IF(AND('Исходные данные'!$B$91&lt;&gt;"",B112&lt;&gt;"",YEAR(B112)=YEAR('Исходные данные'!$B$91),MONTH(B112)=MONTH('Исходные данные'!$B$91)),-(AE112+AD112),IF(OR(AF112&lt;1,AF112&gt;N('Исходные данные'!$B$25)),0,IF('Исходные данные'!$B$27="Равными долями",-MIN(AE112+AD112,N('Исходные данные'!$B$23)/N('Исходные данные'!$B$25)),-MIN(AE112+AD112,IF(AF112=N('Исходные данные'!$B$25),AE112+AD112,MAX(0,AH112+AG112)))))))</f>
        <v>0</v>
      </c>
      <c r="AJ112">
        <f t="shared" si="67"/>
        <v>0</v>
      </c>
      <c r="AK112">
        <f t="shared" si="68"/>
        <v>0</v>
      </c>
      <c r="AL112">
        <f>IF(OR(B112="",'Исходные данные'!$B$51&lt;&gt;"Да",'Исходные данные'!$B$61=""),0,IF(AND(YEAR(B112)=YEAR('Исходные данные'!$B$61),MONTH(B112)=MONTH('Исходные данные'!$B$61)),N('Исходные данные'!$B$18)*N('Исходные данные'!$B$62),0))</f>
        <v>0</v>
      </c>
      <c r="AM112">
        <f t="shared" si="80"/>
        <v>0</v>
      </c>
      <c r="AN112">
        <f t="shared" si="69"/>
        <v>0</v>
      </c>
      <c r="AO112">
        <f t="shared" si="70"/>
        <v>0</v>
      </c>
      <c r="AP112">
        <f>IF('Исходные данные'!$B$51="Да",-MAX(0,AN112-AO112-AM112),0)</f>
        <v>0</v>
      </c>
      <c r="AQ112">
        <f>IF('Исходные данные'!$B$51="Да",MAX(0,AM112+AO112-AN112),0)</f>
        <v>0</v>
      </c>
      <c r="AR112">
        <f>IF('Исходные данные'!$B$53="Выручка",MAX(0,L112+(Q112-R112)+(U112-V112)),IF('Исходные данные'!$B$53="Прибыль до налога",MAX(0,L112+(Q112-R112)+(U112-V112)+N('Исходные данные'!$B$54)*((O112+P112)+(S112+T112)+W112+X112)+IF('Исходные данные'!$B$55="Да",AG112,0)-N('Исходные данные'!$B$56)/12),IF('Исходные данные'!$B$53="Пользовательская база",MAX(0,N('Исходные данные'!$B$57)/12),0)))</f>
        <v>0</v>
      </c>
      <c r="AS112">
        <f>IF(E112=1,-AR112*N('Исходные данные'!$B$50),0)</f>
        <v>0</v>
      </c>
      <c r="AT112">
        <f t="shared" si="71"/>
        <v>0</v>
      </c>
      <c r="AU112">
        <f>IF(OR(B112="",N('Исходные данные'!$B$80)&lt;=0,'Исходные данные'!$B$88=""),0,MAX(0,IF('Исходные данные'!$B$88="Последние 12 месяцев",SUMIFS($Y$2:$Y$194,$B$2:$B$194,"&gt;="&amp;EDATE(B112,-11),$B$2:$B$194,"&lt;="&amp;B112),IF('Исходные данные'!$B$88="Пользовательский NOI",N('Исходные данные'!$B$89),AT112))/N('Исходные данные'!$B$80)*(1+N('Исходные данные'!$B$81))))</f>
        <v>0</v>
      </c>
      <c r="AV112">
        <f>IF(OR(E112&lt;&gt;1,B112="",'Исходные данные'!$B$91=""),0,IF(AND(YEAR(B112)=YEAR('Исходные данные'!$B$91),MONTH(B112)=MONTH('Исходные данные'!$B$91)),AU112,0))</f>
        <v>0</v>
      </c>
      <c r="AW112">
        <f>-AV112*N('Исходные данные'!$B$73)</f>
        <v>0</v>
      </c>
      <c r="AX112">
        <f>IF(AV112=0,0,-N('Исходные данные'!$B$87)-IF('Исходные данные'!$B$82="Да",IF('Исходные данные'!$B$84="С выручки",AV112,IF('Исходные данные'!$B$84="С прибыли",MAX(0,AV112+AW112-IF('Исходные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12">
        <f t="shared" si="72"/>
        <v>0</v>
      </c>
      <c r="AZ112">
        <f t="shared" si="73"/>
        <v>0</v>
      </c>
      <c r="BA112">
        <f t="shared" si="74"/>
        <v>0</v>
      </c>
      <c r="BB112" t="str">
        <f t="shared" si="81"/>
        <v/>
      </c>
      <c r="BC112">
        <f>IF(OR(E112=0,'Исходные данные'!$B$9="",'Исходные данные'!$B$90=""),0,BA112/(1+'Исходные данные'!$B$90)^((D112-'Исходные данные'!$B$9)/365))</f>
        <v>0</v>
      </c>
      <c r="BD112">
        <f>IF(AND(E112=1,BB112&gt;=0,BB111&lt;0,MIN($BB$2:BB112)&lt;0),1,0)</f>
        <v>0</v>
      </c>
      <c r="BE112">
        <f t="shared" si="75"/>
        <v>0</v>
      </c>
      <c r="BF112">
        <f t="shared" si="76"/>
        <v>0</v>
      </c>
      <c r="BG112">
        <f t="shared" si="77"/>
        <v>0</v>
      </c>
      <c r="BH112">
        <f t="shared" si="78"/>
        <v>1</v>
      </c>
      <c r="BI112">
        <f>AZ112+N112+AP112-AR112*N('Исходные данные'!$B$50)</f>
        <v>0</v>
      </c>
      <c r="BJ112">
        <f t="shared" si="61"/>
        <v>0</v>
      </c>
      <c r="BK112">
        <f>IF(AND(BJ112&gt;=0,BJ111&lt;0,MIN($BJ$2:BJ112)&lt;0),1,0)</f>
        <v>0</v>
      </c>
    </row>
    <row r="113" spans="1:63" x14ac:dyDescent="0.2">
      <c r="A113">
        <v>112</v>
      </c>
      <c r="B113" t="str">
        <f>IF('Исходные данные'!$B$9="","",EDATE(DATE(YEAR('Исходные данные'!$B$9),MONTH('Исходные данные'!$B$9),1),A113-1))</f>
        <v/>
      </c>
      <c r="C113" t="str">
        <f t="shared" si="62"/>
        <v/>
      </c>
      <c r="D113" t="str">
        <f>IF(B113="","",IF('Исходные данные'!$B$91&lt;&gt;"",IF(AND(YEAR(B113)=YEAR('Исходные данные'!$B$91),MONTH(B113)=MONTH('Исходные данные'!$B$91)),'Исходные данные'!$B$91,IF('Исходные данные'!$B$13&lt;&gt;"",IF(AND(YEAR(B113)=YEAR('Исходные данные'!$B$13),MONTH(B113)=MONTH('Исходные данные'!$B$13)),'Исходные данные'!$B$13,IF('Исходные данные'!$B$26&lt;&gt;"",IF(AND(YEAR(B113)=YEAR('Исходные данные'!$B$26),MONTH(B113)=MONTH('Исходные данные'!$B$26)),'Исходные данные'!$B$26,IF(A113=1,'Исходные данные'!$B$9,C113)),IF(A113=1,'Исходные данные'!$B$9,C113))),IF('Исходные данные'!$B$26&lt;&gt;"",IF(AND(YEAR(B113)=YEAR('Исходные данные'!$B$26),MONTH(B113)=MONTH('Исходные данные'!$B$26)),'Исходные данные'!$B$26,IF(A113=1,'Исходные данные'!$B$9,C113)),IF(A113=1,'Исходные данные'!$B$9,C113)))),IF('Исходные данные'!$B$13&lt;&gt;"",IF(AND(YEAR(B113)=YEAR('Исходные данные'!$B$13),MONTH(B113)=MONTH('Исходные данные'!$B$13)),'Исходные данные'!$B$13,IF('Исходные данные'!$B$26&lt;&gt;"",IF(AND(YEAR(B113)=YEAR('Исходные данные'!$B$26),MONTH(B113)=MONTH('Исходные данные'!$B$26)),'Исходные данные'!$B$26,IF(A113=1,'Исходные данные'!$B$9,C113)),IF(A113=1,'Исходные данные'!$B$9,C113))),IF('Исходные данные'!$B$26&lt;&gt;"",IF(AND(YEAR(B113)=YEAR('Исходные данные'!$B$26),MONTH(B113)=MONTH('Исходные данные'!$B$26)),'Исходные данные'!$B$26,IF(A113=1,'Исходные данные'!$B$9,C113)),IF(A113=1,'Исходные данные'!$B$9,C113)))))</f>
        <v/>
      </c>
      <c r="E113">
        <f>IF(OR(B113="",'Исходные данные'!$B$91=""),0,--(B113&lt;=DATE(YEAR('Исходные данные'!$B$91),MONTH('Исходные данные'!$B$91),1)))</f>
        <v>0</v>
      </c>
      <c r="F113">
        <f>IF(OR(B113="",'Исходные данные'!$B$30="",C113&lt;'Исходные данные'!$B$30),0,DATEDIF(DATE(YEAR('Исходные данные'!$B$30),MONTH('Исходные данные'!$B$30),1),B113,"m")+1)</f>
        <v>0</v>
      </c>
      <c r="G113">
        <f t="shared" si="63"/>
        <v>0</v>
      </c>
      <c r="H113">
        <f>IF(F113=0,0,IF(G113=1,N('Исходные данные'!$B$31),IF(G113=2,N('Исходные данные'!$B$32),IF(G113=3,N('Исходные данные'!$B$33),N('Исходные данные'!$B$33)*(1+N('Исходные данные'!$B$34))^(G113-3)))))</f>
        <v>0</v>
      </c>
      <c r="I113">
        <f>IF(OR(F113=0,N('Исходные данные'!$B$5)=0,H113=0),0,'Исходные данные'!$B$5*H113*IF(AND(B113&lt;='Исходные данные'!$B$30,C113&gt;='Исходные данные'!$B$30),(C113-'Исходные данные'!$B$30+1)/DAY(C113),1))</f>
        <v>0</v>
      </c>
      <c r="J113">
        <f>IF(AND(F113&gt;0,F113&lt;=N('Исходные данные'!$B$37)),-I113,0)</f>
        <v>0</v>
      </c>
      <c r="K113">
        <f>IF(OR(F113=0,F113&lt;=N('Исходные данные'!$B$37)),0,-(I113+J113)*N('Исходные данные'!$B$38))</f>
        <v>0</v>
      </c>
      <c r="L113">
        <f t="shared" si="64"/>
        <v>0</v>
      </c>
      <c r="M113">
        <f>IF('Исходные данные'!$B$51="Да",L113*N('Исходные данные'!$B$52),0)</f>
        <v>0</v>
      </c>
      <c r="N113">
        <f t="shared" si="65"/>
        <v>0</v>
      </c>
      <c r="O113">
        <f>IF(OR(B113="",IF('Исходные данные'!$B$45="",'Исходные данные'!$B$10,'Исходные данные'!$B$45)="",C113&lt;IF('Исходные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данные'!$B$45)),1),B113,"m")/12))*IF(AND(B113&lt;=IF('Исходные данные'!$B$45="",'Исходные данные'!$B$10,'Исходные данные'!$B$45),C113&gt;=IF('Исходные данные'!$B$45="",'Исходные данные'!$B$10,'Исходные данные'!$B$45)),(C113-IF('Исходные данные'!$B$45="",'Исходные данные'!$B$10,'Исходные данные'!$B$45)+1)/DAY(C113),1)*IF('Исходные данные'!$B$43="Без НДС",1+N('Исходные данные'!$B$44),1))</f>
        <v>0</v>
      </c>
      <c r="P113">
        <f>IF('Исходные данные'!$B$51="Да",-O113*N('Исходные данные'!$B$44)/(1+N('Исходные данные'!$B$44)),0)</f>
        <v>0</v>
      </c>
      <c r="Q113">
        <f>IF('Исходные данные'!$B$35="Да",-O113,0)</f>
        <v>0</v>
      </c>
      <c r="R113">
        <f>IF(AND('Исходные данные'!$B$51="Да",Q113&gt;0),Q113*N('Исходные данные'!$B$52)/(1+N('Исходные данные'!$B$52)),0)</f>
        <v>0</v>
      </c>
      <c r="S113">
        <f>IF(OR(B113="",IF('Исходные данные'!$B$45="",'Исходные данные'!$B$10,'Исходные данные'!$B$45)="",C113&lt;IF('Исходные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данные'!$B$45)),1),B113,"m")/12))*IF(AND(B113&lt;=IF('Исходные данные'!$B$45="",'Исходные данные'!$B$10,'Исходные данные'!$B$45),C113&gt;=IF('Исходные данные'!$B$45="",'Исходные данные'!$B$10,'Исходные данные'!$B$45)),(C113-IF('Исходные данные'!$B$45="",'Исходные данные'!$B$10,'Исходные данные'!$B$45)+1)/DAY(C113),1)*IF('Исходные данные'!$B$43="Без НДС",1+N('Исходные данные'!$B$44),1))</f>
        <v>0</v>
      </c>
      <c r="T113">
        <f>IF('Исходные данные'!$B$51="Да",-S113*N('Исходные данные'!$B$44)/(1+N('Исходные данные'!$B$44)),0)</f>
        <v>0</v>
      </c>
      <c r="U113">
        <f>IF('Исходные данные'!$B$36="Да",-S113,0)</f>
        <v>0</v>
      </c>
      <c r="V113">
        <f>IF(AND('Исходные данные'!$B$51="Да",U113&gt;0),U113*N('Исходные данные'!$B$52)/(1+N('Исходные данные'!$B$52)),0)</f>
        <v>0</v>
      </c>
      <c r="W113">
        <f>IF(OR(B113="",IF('Исходные данные'!$B$69="",'Исходные данные'!$B$10,'Исходные данные'!$B$69)="",C113&lt;IF('Исходные данные'!$B$69="",'Исходные данные'!$B$10,'Исходные данные'!$B$69)),0,-N('Исходные данные'!$B$16)*N('Исходные данные'!$B$68)*N('Исходные данные'!$B$67)/12*IF(AND(B113&lt;=IF('Исходные данные'!$B$69="",'Исходные данные'!$B$10,'Исходные данные'!$B$69),C113&gt;=IF('Исходные данные'!$B$69="",'Исходные данные'!$B$10,'Исходные данные'!$B$69)),(C113-IF('Исходные данные'!$B$69="",'Исходные данные'!$B$10,'Исходные данные'!$B$69)+1)/DAY(C113),1))</f>
        <v>0</v>
      </c>
      <c r="X113">
        <f>IF(OR(B113="",IF('Исходные данные'!$B$76="",'Исходные данные'!$B$10,'Исходные данные'!$B$76)="",C113&lt;IF('Исходные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данные'!$B$76)),1),B113,"m")/12))*IF(AND(B113&lt;=IF('Исходные данные'!$B$76="",'Исходные данные'!$B$10,'Исходные данные'!$B$76),C113&gt;=IF('Исходные данные'!$B$76="",'Исходные данные'!$B$10,'Исходные данные'!$B$76)),(C113-IF('Исходные данные'!$B$76="",'Исходные данные'!$B$10,'Исходные данные'!$B$76)+1)/DAY(C113),1))</f>
        <v>0</v>
      </c>
      <c r="Y113">
        <f t="shared" si="66"/>
        <v>0</v>
      </c>
      <c r="Z113">
        <f>IF(OR(B113="",N('Исходные данные'!$B$19)=0),0,-SUMIFS('Исходные данные'!$I$6:$I$186,'Исходные данные'!$F$6:$F$186,B113)*N('Исходные данные'!$B$17)/N('Исходные данные'!$B$19))</f>
        <v>0</v>
      </c>
      <c r="AA113">
        <f>IF(OR(B113="",N('Исходные данные'!$B$19)=0),0,-SUMIFS('Исходные данные'!$I$6:$I$186,'Исходные данные'!$F$6:$F$186,B113)*N('Исходные данные'!$B$18)/N('Исходные данные'!$B$19))</f>
        <v>0</v>
      </c>
      <c r="AB113">
        <f>IF(OR(B113="",'Исходные данные'!$B$13=""),0,IF(AND(YEAR(B113)=YEAR('Исходные данные'!$B$13),MONTH(B113)=MONTH('Исходные данные'!$B$13)),-N('Исходные данные'!$B$11),0))</f>
        <v>0</v>
      </c>
      <c r="AC113">
        <f>IF(A113=1,-N('Исходные данные'!$B$19)*N('Исходные данные'!$B$72),0)</f>
        <v>0</v>
      </c>
      <c r="AD113">
        <f>IF(OR(B113="",'Исходные данные'!$B$22&lt;&gt;"Да",'Исходные данные'!$B$26=""),0,IF(AND(YEAR(B113)=YEAR('Исходные данные'!$B$26),MONTH(B113)=MONTH('Исходные данные'!$B$26)),N('Исходные данные'!$B$23),0))</f>
        <v>0</v>
      </c>
      <c r="AE113">
        <f t="shared" si="79"/>
        <v>0</v>
      </c>
      <c r="AF113">
        <f>IF(OR('Исходные данные'!$B$22&lt;&gt;"Да",'Исходные данные'!$B$26="",C113&lt;'Исходные данные'!$B$26),0,DATEDIF(DATE(YEAR('Исходные данные'!$B$26),MONTH('Исходные данные'!$B$26),1),B113,"m")+1)</f>
        <v>0</v>
      </c>
      <c r="AG113">
        <f>IF(OR(AF113&lt;1,AF113&gt;N('Исходные данные'!$B$25),AE113+AD113&lt;=0),0,-(AE113+AD113)*N('Исходные данные'!$B$24)*IF(AF113=1,C113-'Исходные данные'!$B$26+1,DAY(C113))/365)</f>
        <v>0</v>
      </c>
      <c r="AH113">
        <f>IF(OR(AF113&lt;1,AF113&gt;N('Исходные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данные'!$B$25)-AG113))</f>
        <v>0</v>
      </c>
      <c r="AI113">
        <f>IF(OR('Исходные данные'!$B$22&lt;&gt;"Да",AE113+AD113&lt;=0),0,IF(AND('Исходные данные'!$B$91&lt;&gt;"",B113&lt;&gt;"",YEAR(B113)=YEAR('Исходные данные'!$B$91),MONTH(B113)=MONTH('Исходные данные'!$B$91)),-(AE113+AD113),IF(OR(AF113&lt;1,AF113&gt;N('Исходные данные'!$B$25)),0,IF('Исходные данные'!$B$27="Равными долями",-MIN(AE113+AD113,N('Исходные данные'!$B$23)/N('Исходные данные'!$B$25)),-MIN(AE113+AD113,IF(AF113=N('Исходные данные'!$B$25),AE113+AD113,MAX(0,AH113+AG113)))))))</f>
        <v>0</v>
      </c>
      <c r="AJ113">
        <f t="shared" si="67"/>
        <v>0</v>
      </c>
      <c r="AK113">
        <f t="shared" si="68"/>
        <v>0</v>
      </c>
      <c r="AL113">
        <f>IF(OR(B113="",'Исходные данные'!$B$51&lt;&gt;"Да",'Исходные данные'!$B$61=""),0,IF(AND(YEAR(B113)=YEAR('Исходные данные'!$B$61),MONTH(B113)=MONTH('Исходные данные'!$B$61)),N('Исходные данные'!$B$18)*N('Исходные данные'!$B$62),0))</f>
        <v>0</v>
      </c>
      <c r="AM113">
        <f t="shared" si="80"/>
        <v>0</v>
      </c>
      <c r="AN113">
        <f t="shared" si="69"/>
        <v>0</v>
      </c>
      <c r="AO113">
        <f t="shared" si="70"/>
        <v>0</v>
      </c>
      <c r="AP113">
        <f>IF('Исходные данные'!$B$51="Да",-MAX(0,AN113-AO113-AM113),0)</f>
        <v>0</v>
      </c>
      <c r="AQ113">
        <f>IF('Исходные данные'!$B$51="Да",MAX(0,AM113+AO113-AN113),0)</f>
        <v>0</v>
      </c>
      <c r="AR113">
        <f>IF('Исходные данные'!$B$53="Выручка",MAX(0,L113+(Q113-R113)+(U113-V113)),IF('Исходные данные'!$B$53="Прибыль до налога",MAX(0,L113+(Q113-R113)+(U113-V113)+N('Исходные данные'!$B$54)*((O113+P113)+(S113+T113)+W113+X113)+IF('Исходные данные'!$B$55="Да",AG113,0)-N('Исходные данные'!$B$56)/12),IF('Исходные данные'!$B$53="Пользовательская база",MAX(0,N('Исходные данные'!$B$57)/12),0)))</f>
        <v>0</v>
      </c>
      <c r="AS113">
        <f>IF(E113=1,-AR113*N('Исходные данные'!$B$50),0)</f>
        <v>0</v>
      </c>
      <c r="AT113">
        <f t="shared" si="71"/>
        <v>0</v>
      </c>
      <c r="AU113">
        <f>IF(OR(B113="",N('Исходные данные'!$B$80)&lt;=0,'Исходные данные'!$B$88=""),0,MAX(0,IF('Исходные данные'!$B$88="Последние 12 месяцев",SUMIFS($Y$2:$Y$194,$B$2:$B$194,"&gt;="&amp;EDATE(B113,-11),$B$2:$B$194,"&lt;="&amp;B113),IF('Исходные данные'!$B$88="Пользовательский NOI",N('Исходные данные'!$B$89),AT113))/N('Исходные данные'!$B$80)*(1+N('Исходные данные'!$B$81))))</f>
        <v>0</v>
      </c>
      <c r="AV113">
        <f>IF(OR(E113&lt;&gt;1,B113="",'Исходные данные'!$B$91=""),0,IF(AND(YEAR(B113)=YEAR('Исходные данные'!$B$91),MONTH(B113)=MONTH('Исходные данные'!$B$91)),AU113,0))</f>
        <v>0</v>
      </c>
      <c r="AW113">
        <f>-AV113*N('Исходные данные'!$B$73)</f>
        <v>0</v>
      </c>
      <c r="AX113">
        <f>IF(AV113=0,0,-N('Исходные данные'!$B$87)-IF('Исходные данные'!$B$82="Да",IF('Исходные данные'!$B$84="С выручки",AV113,IF('Исходные данные'!$B$84="С прибыли",MAX(0,AV113+AW113-IF('Исходные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13">
        <f t="shared" si="72"/>
        <v>0</v>
      </c>
      <c r="AZ113">
        <f t="shared" si="73"/>
        <v>0</v>
      </c>
      <c r="BA113">
        <f t="shared" si="74"/>
        <v>0</v>
      </c>
      <c r="BB113" t="str">
        <f t="shared" si="81"/>
        <v/>
      </c>
      <c r="BC113">
        <f>IF(OR(E113=0,'Исходные данные'!$B$9="",'Исходные данные'!$B$90=""),0,BA113/(1+'Исходные данные'!$B$90)^((D113-'Исходные данные'!$B$9)/365))</f>
        <v>0</v>
      </c>
      <c r="BD113">
        <f>IF(AND(E113=1,BB113&gt;=0,BB112&lt;0,MIN($BB$2:BB113)&lt;0),1,0)</f>
        <v>0</v>
      </c>
      <c r="BE113">
        <f t="shared" si="75"/>
        <v>0</v>
      </c>
      <c r="BF113">
        <f t="shared" si="76"/>
        <v>0</v>
      </c>
      <c r="BG113">
        <f t="shared" si="77"/>
        <v>0</v>
      </c>
      <c r="BH113">
        <f t="shared" si="78"/>
        <v>1</v>
      </c>
      <c r="BI113">
        <f>AZ113+N113+AP113-AR113*N('Исходные данные'!$B$50)</f>
        <v>0</v>
      </c>
      <c r="BJ113">
        <f t="shared" si="61"/>
        <v>0</v>
      </c>
      <c r="BK113">
        <f>IF(AND(BJ113&gt;=0,BJ112&lt;0,MIN($BJ$2:BJ113)&lt;0),1,0)</f>
        <v>0</v>
      </c>
    </row>
    <row r="114" spans="1:63" x14ac:dyDescent="0.2">
      <c r="A114">
        <v>113</v>
      </c>
      <c r="B114" t="str">
        <f>IF('Исходные данные'!$B$9="","",EDATE(DATE(YEAR('Исходные данные'!$B$9),MONTH('Исходные данные'!$B$9),1),A114-1))</f>
        <v/>
      </c>
      <c r="C114" t="str">
        <f t="shared" si="62"/>
        <v/>
      </c>
      <c r="D114" t="str">
        <f>IF(B114="","",IF('Исходные данные'!$B$91&lt;&gt;"",IF(AND(YEAR(B114)=YEAR('Исходные данные'!$B$91),MONTH(B114)=MONTH('Исходные данные'!$B$91)),'Исходные данные'!$B$91,IF('Исходные данные'!$B$13&lt;&gt;"",IF(AND(YEAR(B114)=YEAR('Исходные данные'!$B$13),MONTH(B114)=MONTH('Исходные данные'!$B$13)),'Исходные данные'!$B$13,IF('Исходные данные'!$B$26&lt;&gt;"",IF(AND(YEAR(B114)=YEAR('Исходные данные'!$B$26),MONTH(B114)=MONTH('Исходные данные'!$B$26)),'Исходные данные'!$B$26,IF(A114=1,'Исходные данные'!$B$9,C114)),IF(A114=1,'Исходные данные'!$B$9,C114))),IF('Исходные данные'!$B$26&lt;&gt;"",IF(AND(YEAR(B114)=YEAR('Исходные данные'!$B$26),MONTH(B114)=MONTH('Исходные данные'!$B$26)),'Исходные данные'!$B$26,IF(A114=1,'Исходные данные'!$B$9,C114)),IF(A114=1,'Исходные данные'!$B$9,C114)))),IF('Исходные данные'!$B$13&lt;&gt;"",IF(AND(YEAR(B114)=YEAR('Исходные данные'!$B$13),MONTH(B114)=MONTH('Исходные данные'!$B$13)),'Исходные данные'!$B$13,IF('Исходные данные'!$B$26&lt;&gt;"",IF(AND(YEAR(B114)=YEAR('Исходные данные'!$B$26),MONTH(B114)=MONTH('Исходные данные'!$B$26)),'Исходные данные'!$B$26,IF(A114=1,'Исходные данные'!$B$9,C114)),IF(A114=1,'Исходные данные'!$B$9,C114))),IF('Исходные данные'!$B$26&lt;&gt;"",IF(AND(YEAR(B114)=YEAR('Исходные данные'!$B$26),MONTH(B114)=MONTH('Исходные данные'!$B$26)),'Исходные данные'!$B$26,IF(A114=1,'Исходные данные'!$B$9,C114)),IF(A114=1,'Исходные данные'!$B$9,C114)))))</f>
        <v/>
      </c>
      <c r="E114">
        <f>IF(OR(B114="",'Исходные данные'!$B$91=""),0,--(B114&lt;=DATE(YEAR('Исходные данные'!$B$91),MONTH('Исходные данные'!$B$91),1)))</f>
        <v>0</v>
      </c>
      <c r="F114">
        <f>IF(OR(B114="",'Исходные данные'!$B$30="",C114&lt;'Исходные данные'!$B$30),0,DATEDIF(DATE(YEAR('Исходные данные'!$B$30),MONTH('Исходные данные'!$B$30),1),B114,"m")+1)</f>
        <v>0</v>
      </c>
      <c r="G114">
        <f t="shared" si="63"/>
        <v>0</v>
      </c>
      <c r="H114">
        <f>IF(F114=0,0,IF(G114=1,N('Исходные данные'!$B$31),IF(G114=2,N('Исходные данные'!$B$32),IF(G114=3,N('Исходные данные'!$B$33),N('Исходные данные'!$B$33)*(1+N('Исходные данные'!$B$34))^(G114-3)))))</f>
        <v>0</v>
      </c>
      <c r="I114">
        <f>IF(OR(F114=0,N('Исходные данные'!$B$5)=0,H114=0),0,'Исходные данные'!$B$5*H114*IF(AND(B114&lt;='Исходные данные'!$B$30,C114&gt;='Исходные данные'!$B$30),(C114-'Исходные данные'!$B$30+1)/DAY(C114),1))</f>
        <v>0</v>
      </c>
      <c r="J114">
        <f>IF(AND(F114&gt;0,F114&lt;=N('Исходные данные'!$B$37)),-I114,0)</f>
        <v>0</v>
      </c>
      <c r="K114">
        <f>IF(OR(F114=0,F114&lt;=N('Исходные данные'!$B$37)),0,-(I114+J114)*N('Исходные данные'!$B$38))</f>
        <v>0</v>
      </c>
      <c r="L114">
        <f t="shared" si="64"/>
        <v>0</v>
      </c>
      <c r="M114">
        <f>IF('Исходные данные'!$B$51="Да",L114*N('Исходные данные'!$B$52),0)</f>
        <v>0</v>
      </c>
      <c r="N114">
        <f t="shared" si="65"/>
        <v>0</v>
      </c>
      <c r="O114">
        <f>IF(OR(B114="",IF('Исходные данные'!$B$45="",'Исходные данные'!$B$10,'Исходные данные'!$B$45)="",C114&lt;IF('Исходные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данные'!$B$45)),1),B114,"m")/12))*IF(AND(B114&lt;=IF('Исходные данные'!$B$45="",'Исходные данные'!$B$10,'Исходные данные'!$B$45),C114&gt;=IF('Исходные данные'!$B$45="",'Исходные данные'!$B$10,'Исходные данные'!$B$45)),(C114-IF('Исходные данные'!$B$45="",'Исходные данные'!$B$10,'Исходные данные'!$B$45)+1)/DAY(C114),1)*IF('Исходные данные'!$B$43="Без НДС",1+N('Исходные данные'!$B$44),1))</f>
        <v>0</v>
      </c>
      <c r="P114">
        <f>IF('Исходные данные'!$B$51="Да",-O114*N('Исходные данные'!$B$44)/(1+N('Исходные данные'!$B$44)),0)</f>
        <v>0</v>
      </c>
      <c r="Q114">
        <f>IF('Исходные данные'!$B$35="Да",-O114,0)</f>
        <v>0</v>
      </c>
      <c r="R114">
        <f>IF(AND('Исходные данные'!$B$51="Да",Q114&gt;0),Q114*N('Исходные данные'!$B$52)/(1+N('Исходные данные'!$B$52)),0)</f>
        <v>0</v>
      </c>
      <c r="S114">
        <f>IF(OR(B114="",IF('Исходные данные'!$B$45="",'Исходные данные'!$B$10,'Исходные данные'!$B$45)="",C114&lt;IF('Исходные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данные'!$B$45)),1),B114,"m")/12))*IF(AND(B114&lt;=IF('Исходные данные'!$B$45="",'Исходные данные'!$B$10,'Исходные данные'!$B$45),C114&gt;=IF('Исходные данные'!$B$45="",'Исходные данные'!$B$10,'Исходные данные'!$B$45)),(C114-IF('Исходные данные'!$B$45="",'Исходные данные'!$B$10,'Исходные данные'!$B$45)+1)/DAY(C114),1)*IF('Исходные данные'!$B$43="Без НДС",1+N('Исходные данные'!$B$44),1))</f>
        <v>0</v>
      </c>
      <c r="T114">
        <f>IF('Исходные данные'!$B$51="Да",-S114*N('Исходные данные'!$B$44)/(1+N('Исходные данные'!$B$44)),0)</f>
        <v>0</v>
      </c>
      <c r="U114">
        <f>IF('Исходные данные'!$B$36="Да",-S114,0)</f>
        <v>0</v>
      </c>
      <c r="V114">
        <f>IF(AND('Исходные данные'!$B$51="Да",U114&gt;0),U114*N('Исходные данные'!$B$52)/(1+N('Исходные данные'!$B$52)),0)</f>
        <v>0</v>
      </c>
      <c r="W114">
        <f>IF(OR(B114="",IF('Исходные данные'!$B$69="",'Исходные данные'!$B$10,'Исходные данные'!$B$69)="",C114&lt;IF('Исходные данные'!$B$69="",'Исходные данные'!$B$10,'Исходные данные'!$B$69)),0,-N('Исходные данные'!$B$16)*N('Исходные данные'!$B$68)*N('Исходные данные'!$B$67)/12*IF(AND(B114&lt;=IF('Исходные данные'!$B$69="",'Исходные данные'!$B$10,'Исходные данные'!$B$69),C114&gt;=IF('Исходные данные'!$B$69="",'Исходные данные'!$B$10,'Исходные данные'!$B$69)),(C114-IF('Исходные данные'!$B$69="",'Исходные данные'!$B$10,'Исходные данные'!$B$69)+1)/DAY(C114),1))</f>
        <v>0</v>
      </c>
      <c r="X114">
        <f>IF(OR(B114="",IF('Исходные данные'!$B$76="",'Исходные данные'!$B$10,'Исходные данные'!$B$76)="",C114&lt;IF('Исходные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данные'!$B$76)),1),B114,"m")/12))*IF(AND(B114&lt;=IF('Исходные данные'!$B$76="",'Исходные данные'!$B$10,'Исходные данные'!$B$76),C114&gt;=IF('Исходные данные'!$B$76="",'Исходные данные'!$B$10,'Исходные данные'!$B$76)),(C114-IF('Исходные данные'!$B$76="",'Исходные данные'!$B$10,'Исходные данные'!$B$76)+1)/DAY(C114),1))</f>
        <v>0</v>
      </c>
      <c r="Y114">
        <f t="shared" si="66"/>
        <v>0</v>
      </c>
      <c r="Z114">
        <f>IF(OR(B114="",N('Исходные данные'!$B$19)=0),0,-SUMIFS('Исходные данные'!$I$6:$I$186,'Исходные данные'!$F$6:$F$186,B114)*N('Исходные данные'!$B$17)/N('Исходные данные'!$B$19))</f>
        <v>0</v>
      </c>
      <c r="AA114">
        <f>IF(OR(B114="",N('Исходные данные'!$B$19)=0),0,-SUMIFS('Исходные данные'!$I$6:$I$186,'Исходные данные'!$F$6:$F$186,B114)*N('Исходные данные'!$B$18)/N('Исходные данные'!$B$19))</f>
        <v>0</v>
      </c>
      <c r="AB114">
        <f>IF(OR(B114="",'Исходные данные'!$B$13=""),0,IF(AND(YEAR(B114)=YEAR('Исходные данные'!$B$13),MONTH(B114)=MONTH('Исходные данные'!$B$13)),-N('Исходные данные'!$B$11),0))</f>
        <v>0</v>
      </c>
      <c r="AC114">
        <f>IF(A114=1,-N('Исходные данные'!$B$19)*N('Исходные данные'!$B$72),0)</f>
        <v>0</v>
      </c>
      <c r="AD114">
        <f>IF(OR(B114="",'Исходные данные'!$B$22&lt;&gt;"Да",'Исходные данные'!$B$26=""),0,IF(AND(YEAR(B114)=YEAR('Исходные данные'!$B$26),MONTH(B114)=MONTH('Исходные данные'!$B$26)),N('Исходные данные'!$B$23),0))</f>
        <v>0</v>
      </c>
      <c r="AE114">
        <f t="shared" si="79"/>
        <v>0</v>
      </c>
      <c r="AF114">
        <f>IF(OR('Исходные данные'!$B$22&lt;&gt;"Да",'Исходные данные'!$B$26="",C114&lt;'Исходные данные'!$B$26),0,DATEDIF(DATE(YEAR('Исходные данные'!$B$26),MONTH('Исходные данные'!$B$26),1),B114,"m")+1)</f>
        <v>0</v>
      </c>
      <c r="AG114">
        <f>IF(OR(AF114&lt;1,AF114&gt;N('Исходные данные'!$B$25),AE114+AD114&lt;=0),0,-(AE114+AD114)*N('Исходные данные'!$B$24)*IF(AF114=1,C114-'Исходные данные'!$B$26+1,DAY(C114))/365)</f>
        <v>0</v>
      </c>
      <c r="AH114">
        <f>IF(OR(AF114&lt;1,AF114&gt;N('Исходные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данные'!$B$25)-AG114))</f>
        <v>0</v>
      </c>
      <c r="AI114">
        <f>IF(OR('Исходные данные'!$B$22&lt;&gt;"Да",AE114+AD114&lt;=0),0,IF(AND('Исходные данные'!$B$91&lt;&gt;"",B114&lt;&gt;"",YEAR(B114)=YEAR('Исходные данные'!$B$91),MONTH(B114)=MONTH('Исходные данные'!$B$91)),-(AE114+AD114),IF(OR(AF114&lt;1,AF114&gt;N('Исходные данные'!$B$25)),0,IF('Исходные данные'!$B$27="Равными долями",-MIN(AE114+AD114,N('Исходные данные'!$B$23)/N('Исходные данные'!$B$25)),-MIN(AE114+AD114,IF(AF114=N('Исходные данные'!$B$25),AE114+AD114,MAX(0,AH114+AG114)))))))</f>
        <v>0</v>
      </c>
      <c r="AJ114">
        <f t="shared" si="67"/>
        <v>0</v>
      </c>
      <c r="AK114">
        <f t="shared" si="68"/>
        <v>0</v>
      </c>
      <c r="AL114">
        <f>IF(OR(B114="",'Исходные данные'!$B$51&lt;&gt;"Да",'Исходные данные'!$B$61=""),0,IF(AND(YEAR(B114)=YEAR('Исходные данные'!$B$61),MONTH(B114)=MONTH('Исходные данные'!$B$61)),N('Исходные данные'!$B$18)*N('Исходные данные'!$B$62),0))</f>
        <v>0</v>
      </c>
      <c r="AM114">
        <f t="shared" si="80"/>
        <v>0</v>
      </c>
      <c r="AN114">
        <f t="shared" si="69"/>
        <v>0</v>
      </c>
      <c r="AO114">
        <f t="shared" si="70"/>
        <v>0</v>
      </c>
      <c r="AP114">
        <f>IF('Исходные данные'!$B$51="Да",-MAX(0,AN114-AO114-AM114),0)</f>
        <v>0</v>
      </c>
      <c r="AQ114">
        <f>IF('Исходные данные'!$B$51="Да",MAX(0,AM114+AO114-AN114),0)</f>
        <v>0</v>
      </c>
      <c r="AR114">
        <f>IF('Исходные данные'!$B$53="Выручка",MAX(0,L114+(Q114-R114)+(U114-V114)),IF('Исходные данные'!$B$53="Прибыль до налога",MAX(0,L114+(Q114-R114)+(U114-V114)+N('Исходные данные'!$B$54)*((O114+P114)+(S114+T114)+W114+X114)+IF('Исходные данные'!$B$55="Да",AG114,0)-N('Исходные данные'!$B$56)/12),IF('Исходные данные'!$B$53="Пользовательская база",MAX(0,N('Исходные данные'!$B$57)/12),0)))</f>
        <v>0</v>
      </c>
      <c r="AS114">
        <f>IF(E114=1,-AR114*N('Исходные данные'!$B$50),0)</f>
        <v>0</v>
      </c>
      <c r="AT114">
        <f t="shared" si="71"/>
        <v>0</v>
      </c>
      <c r="AU114">
        <f>IF(OR(B114="",N('Исходные данные'!$B$80)&lt;=0,'Исходные данные'!$B$88=""),0,MAX(0,IF('Исходные данные'!$B$88="Последние 12 месяцев",SUMIFS($Y$2:$Y$194,$B$2:$B$194,"&gt;="&amp;EDATE(B114,-11),$B$2:$B$194,"&lt;="&amp;B114),IF('Исходные данные'!$B$88="Пользовательский NOI",N('Исходные данные'!$B$89),AT114))/N('Исходные данные'!$B$80)*(1+N('Исходные данные'!$B$81))))</f>
        <v>0</v>
      </c>
      <c r="AV114">
        <f>IF(OR(E114&lt;&gt;1,B114="",'Исходные данные'!$B$91=""),0,IF(AND(YEAR(B114)=YEAR('Исходные данные'!$B$91),MONTH(B114)=MONTH('Исходные данные'!$B$91)),AU114,0))</f>
        <v>0</v>
      </c>
      <c r="AW114">
        <f>-AV114*N('Исходные данные'!$B$73)</f>
        <v>0</v>
      </c>
      <c r="AX114">
        <f>IF(AV114=0,0,-N('Исходные данные'!$B$87)-IF('Исходные данные'!$B$82="Да",IF('Исходные данные'!$B$84="С выручки",AV114,IF('Исходные данные'!$B$84="С прибыли",MAX(0,AV114+AW114-IF('Исходные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14">
        <f t="shared" si="72"/>
        <v>0</v>
      </c>
      <c r="AZ114">
        <f t="shared" si="73"/>
        <v>0</v>
      </c>
      <c r="BA114">
        <f t="shared" si="74"/>
        <v>0</v>
      </c>
      <c r="BB114" t="str">
        <f t="shared" si="81"/>
        <v/>
      </c>
      <c r="BC114">
        <f>IF(OR(E114=0,'Исходные данные'!$B$9="",'Исходные данные'!$B$90=""),0,BA114/(1+'Исходные данные'!$B$90)^((D114-'Исходные данные'!$B$9)/365))</f>
        <v>0</v>
      </c>
      <c r="BD114">
        <f>IF(AND(E114=1,BB114&gt;=0,BB113&lt;0,MIN($BB$2:BB114)&lt;0),1,0)</f>
        <v>0</v>
      </c>
      <c r="BE114">
        <f t="shared" si="75"/>
        <v>0</v>
      </c>
      <c r="BF114">
        <f t="shared" si="76"/>
        <v>0</v>
      </c>
      <c r="BG114">
        <f t="shared" si="77"/>
        <v>0</v>
      </c>
      <c r="BH114">
        <f t="shared" si="78"/>
        <v>1</v>
      </c>
      <c r="BI114">
        <f>AZ114+N114+AP114-AR114*N('Исходные данные'!$B$50)</f>
        <v>0</v>
      </c>
      <c r="BJ114">
        <f t="shared" si="61"/>
        <v>0</v>
      </c>
      <c r="BK114">
        <f>IF(AND(BJ114&gt;=0,BJ113&lt;0,MIN($BJ$2:BJ114)&lt;0),1,0)</f>
        <v>0</v>
      </c>
    </row>
    <row r="115" spans="1:63" x14ac:dyDescent="0.2">
      <c r="A115">
        <v>114</v>
      </c>
      <c r="B115" t="str">
        <f>IF('Исходные данные'!$B$9="","",EDATE(DATE(YEAR('Исходные данные'!$B$9),MONTH('Исходные данные'!$B$9),1),A115-1))</f>
        <v/>
      </c>
      <c r="C115" t="str">
        <f t="shared" si="62"/>
        <v/>
      </c>
      <c r="D115" t="str">
        <f>IF(B115="","",IF('Исходные данные'!$B$91&lt;&gt;"",IF(AND(YEAR(B115)=YEAR('Исходные данные'!$B$91),MONTH(B115)=MONTH('Исходные данные'!$B$91)),'Исходные данные'!$B$91,IF('Исходные данные'!$B$13&lt;&gt;"",IF(AND(YEAR(B115)=YEAR('Исходные данные'!$B$13),MONTH(B115)=MONTH('Исходные данные'!$B$13)),'Исходные данные'!$B$13,IF('Исходные данные'!$B$26&lt;&gt;"",IF(AND(YEAR(B115)=YEAR('Исходные данные'!$B$26),MONTH(B115)=MONTH('Исходные данные'!$B$26)),'Исходные данные'!$B$26,IF(A115=1,'Исходные данные'!$B$9,C115)),IF(A115=1,'Исходные данные'!$B$9,C115))),IF('Исходные данные'!$B$26&lt;&gt;"",IF(AND(YEAR(B115)=YEAR('Исходные данные'!$B$26),MONTH(B115)=MONTH('Исходные данные'!$B$26)),'Исходные данные'!$B$26,IF(A115=1,'Исходные данные'!$B$9,C115)),IF(A115=1,'Исходные данные'!$B$9,C115)))),IF('Исходные данные'!$B$13&lt;&gt;"",IF(AND(YEAR(B115)=YEAR('Исходные данные'!$B$13),MONTH(B115)=MONTH('Исходные данные'!$B$13)),'Исходные данные'!$B$13,IF('Исходные данные'!$B$26&lt;&gt;"",IF(AND(YEAR(B115)=YEAR('Исходные данные'!$B$26),MONTH(B115)=MONTH('Исходные данные'!$B$26)),'Исходные данные'!$B$26,IF(A115=1,'Исходные данные'!$B$9,C115)),IF(A115=1,'Исходные данные'!$B$9,C115))),IF('Исходные данные'!$B$26&lt;&gt;"",IF(AND(YEAR(B115)=YEAR('Исходные данные'!$B$26),MONTH(B115)=MONTH('Исходные данные'!$B$26)),'Исходные данные'!$B$26,IF(A115=1,'Исходные данные'!$B$9,C115)),IF(A115=1,'Исходные данные'!$B$9,C115)))))</f>
        <v/>
      </c>
      <c r="E115">
        <f>IF(OR(B115="",'Исходные данные'!$B$91=""),0,--(B115&lt;=DATE(YEAR('Исходные данные'!$B$91),MONTH('Исходные данные'!$B$91),1)))</f>
        <v>0</v>
      </c>
      <c r="F115">
        <f>IF(OR(B115="",'Исходные данные'!$B$30="",C115&lt;'Исходные данные'!$B$30),0,DATEDIF(DATE(YEAR('Исходные данные'!$B$30),MONTH('Исходные данные'!$B$30),1),B115,"m")+1)</f>
        <v>0</v>
      </c>
      <c r="G115">
        <f t="shared" si="63"/>
        <v>0</v>
      </c>
      <c r="H115">
        <f>IF(F115=0,0,IF(G115=1,N('Исходные данные'!$B$31),IF(G115=2,N('Исходные данные'!$B$32),IF(G115=3,N('Исходные данные'!$B$33),N('Исходные данные'!$B$33)*(1+N('Исходные данные'!$B$34))^(G115-3)))))</f>
        <v>0</v>
      </c>
      <c r="I115">
        <f>IF(OR(F115=0,N('Исходные данные'!$B$5)=0,H115=0),0,'Исходные данные'!$B$5*H115*IF(AND(B115&lt;='Исходные данные'!$B$30,C115&gt;='Исходные данные'!$B$30),(C115-'Исходные данные'!$B$30+1)/DAY(C115),1))</f>
        <v>0</v>
      </c>
      <c r="J115">
        <f>IF(AND(F115&gt;0,F115&lt;=N('Исходные данные'!$B$37)),-I115,0)</f>
        <v>0</v>
      </c>
      <c r="K115">
        <f>IF(OR(F115=0,F115&lt;=N('Исходные данные'!$B$37)),0,-(I115+J115)*N('Исходные данные'!$B$38))</f>
        <v>0</v>
      </c>
      <c r="L115">
        <f t="shared" si="64"/>
        <v>0</v>
      </c>
      <c r="M115">
        <f>IF('Исходные данные'!$B$51="Да",L115*N('Исходные данные'!$B$52),0)</f>
        <v>0</v>
      </c>
      <c r="N115">
        <f t="shared" si="65"/>
        <v>0</v>
      </c>
      <c r="O115">
        <f>IF(OR(B115="",IF('Исходные данные'!$B$45="",'Исходные данные'!$B$10,'Исходные данные'!$B$45)="",C115&lt;IF('Исходные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данные'!$B$45)),1),B115,"m")/12))*IF(AND(B115&lt;=IF('Исходные данные'!$B$45="",'Исходные данные'!$B$10,'Исходные данные'!$B$45),C115&gt;=IF('Исходные данные'!$B$45="",'Исходные данные'!$B$10,'Исходные данные'!$B$45)),(C115-IF('Исходные данные'!$B$45="",'Исходные данные'!$B$10,'Исходные данные'!$B$45)+1)/DAY(C115),1)*IF('Исходные данные'!$B$43="Без НДС",1+N('Исходные данные'!$B$44),1))</f>
        <v>0</v>
      </c>
      <c r="P115">
        <f>IF('Исходные данные'!$B$51="Да",-O115*N('Исходные данные'!$B$44)/(1+N('Исходные данные'!$B$44)),0)</f>
        <v>0</v>
      </c>
      <c r="Q115">
        <f>IF('Исходные данные'!$B$35="Да",-O115,0)</f>
        <v>0</v>
      </c>
      <c r="R115">
        <f>IF(AND('Исходные данные'!$B$51="Да",Q115&gt;0),Q115*N('Исходные данные'!$B$52)/(1+N('Исходные данные'!$B$52)),0)</f>
        <v>0</v>
      </c>
      <c r="S115">
        <f>IF(OR(B115="",IF('Исходные данные'!$B$45="",'Исходные данные'!$B$10,'Исходные данные'!$B$45)="",C115&lt;IF('Исходные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данные'!$B$45)),1),B115,"m")/12))*IF(AND(B115&lt;=IF('Исходные данные'!$B$45="",'Исходные данные'!$B$10,'Исходные данные'!$B$45),C115&gt;=IF('Исходные данные'!$B$45="",'Исходные данные'!$B$10,'Исходные данные'!$B$45)),(C115-IF('Исходные данные'!$B$45="",'Исходные данные'!$B$10,'Исходные данные'!$B$45)+1)/DAY(C115),1)*IF('Исходные данные'!$B$43="Без НДС",1+N('Исходные данные'!$B$44),1))</f>
        <v>0</v>
      </c>
      <c r="T115">
        <f>IF('Исходные данные'!$B$51="Да",-S115*N('Исходные данные'!$B$44)/(1+N('Исходные данные'!$B$44)),0)</f>
        <v>0</v>
      </c>
      <c r="U115">
        <f>IF('Исходные данные'!$B$36="Да",-S115,0)</f>
        <v>0</v>
      </c>
      <c r="V115">
        <f>IF(AND('Исходные данные'!$B$51="Да",U115&gt;0),U115*N('Исходные данные'!$B$52)/(1+N('Исходные данные'!$B$52)),0)</f>
        <v>0</v>
      </c>
      <c r="W115">
        <f>IF(OR(B115="",IF('Исходные данные'!$B$69="",'Исходные данные'!$B$10,'Исходные данные'!$B$69)="",C115&lt;IF('Исходные данные'!$B$69="",'Исходные данные'!$B$10,'Исходные данные'!$B$69)),0,-N('Исходные данные'!$B$16)*N('Исходные данные'!$B$68)*N('Исходные данные'!$B$67)/12*IF(AND(B115&lt;=IF('Исходные данные'!$B$69="",'Исходные данные'!$B$10,'Исходные данные'!$B$69),C115&gt;=IF('Исходные данные'!$B$69="",'Исходные данные'!$B$10,'Исходные данные'!$B$69)),(C115-IF('Исходные данные'!$B$69="",'Исходные данные'!$B$10,'Исходные данные'!$B$69)+1)/DAY(C115),1))</f>
        <v>0</v>
      </c>
      <c r="X115">
        <f>IF(OR(B115="",IF('Исходные данные'!$B$76="",'Исходные данные'!$B$10,'Исходные данные'!$B$76)="",C115&lt;IF('Исходные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данные'!$B$76)),1),B115,"m")/12))*IF(AND(B115&lt;=IF('Исходные данные'!$B$76="",'Исходные данные'!$B$10,'Исходные данные'!$B$76),C115&gt;=IF('Исходные данные'!$B$76="",'Исходные данные'!$B$10,'Исходные данные'!$B$76)),(C115-IF('Исходные данные'!$B$76="",'Исходные данные'!$B$10,'Исходные данные'!$B$76)+1)/DAY(C115),1))</f>
        <v>0</v>
      </c>
      <c r="Y115">
        <f t="shared" si="66"/>
        <v>0</v>
      </c>
      <c r="Z115">
        <f>IF(OR(B115="",N('Исходные данные'!$B$19)=0),0,-SUMIFS('Исходные данные'!$I$6:$I$186,'Исходные данные'!$F$6:$F$186,B115)*N('Исходные данные'!$B$17)/N('Исходные данные'!$B$19))</f>
        <v>0</v>
      </c>
      <c r="AA115">
        <f>IF(OR(B115="",N('Исходные данные'!$B$19)=0),0,-SUMIFS('Исходные данные'!$I$6:$I$186,'Исходные данные'!$F$6:$F$186,B115)*N('Исходные данные'!$B$18)/N('Исходные данные'!$B$19))</f>
        <v>0</v>
      </c>
      <c r="AB115">
        <f>IF(OR(B115="",'Исходные данные'!$B$13=""),0,IF(AND(YEAR(B115)=YEAR('Исходные данные'!$B$13),MONTH(B115)=MONTH('Исходные данные'!$B$13)),-N('Исходные данные'!$B$11),0))</f>
        <v>0</v>
      </c>
      <c r="AC115">
        <f>IF(A115=1,-N('Исходные данные'!$B$19)*N('Исходные данные'!$B$72),0)</f>
        <v>0</v>
      </c>
      <c r="AD115">
        <f>IF(OR(B115="",'Исходные данные'!$B$22&lt;&gt;"Да",'Исходные данные'!$B$26=""),0,IF(AND(YEAR(B115)=YEAR('Исходные данные'!$B$26),MONTH(B115)=MONTH('Исходные данные'!$B$26)),N('Исходные данные'!$B$23),0))</f>
        <v>0</v>
      </c>
      <c r="AE115">
        <f t="shared" si="79"/>
        <v>0</v>
      </c>
      <c r="AF115">
        <f>IF(OR('Исходные данные'!$B$22&lt;&gt;"Да",'Исходные данные'!$B$26="",C115&lt;'Исходные данные'!$B$26),0,DATEDIF(DATE(YEAR('Исходные данные'!$B$26),MONTH('Исходные данные'!$B$26),1),B115,"m")+1)</f>
        <v>0</v>
      </c>
      <c r="AG115">
        <f>IF(OR(AF115&lt;1,AF115&gt;N('Исходные данные'!$B$25),AE115+AD115&lt;=0),0,-(AE115+AD115)*N('Исходные данные'!$B$24)*IF(AF115=1,C115-'Исходные данные'!$B$26+1,DAY(C115))/365)</f>
        <v>0</v>
      </c>
      <c r="AH115">
        <f>IF(OR(AF115&lt;1,AF115&gt;N('Исходные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данные'!$B$25)-AG115))</f>
        <v>0</v>
      </c>
      <c r="AI115">
        <f>IF(OR('Исходные данные'!$B$22&lt;&gt;"Да",AE115+AD115&lt;=0),0,IF(AND('Исходные данные'!$B$91&lt;&gt;"",B115&lt;&gt;"",YEAR(B115)=YEAR('Исходные данные'!$B$91),MONTH(B115)=MONTH('Исходные данные'!$B$91)),-(AE115+AD115),IF(OR(AF115&lt;1,AF115&gt;N('Исходные данные'!$B$25)),0,IF('Исходные данные'!$B$27="Равными долями",-MIN(AE115+AD115,N('Исходные данные'!$B$23)/N('Исходные данные'!$B$25)),-MIN(AE115+AD115,IF(AF115=N('Исходные данные'!$B$25),AE115+AD115,MAX(0,AH115+AG115)))))))</f>
        <v>0</v>
      </c>
      <c r="AJ115">
        <f t="shared" si="67"/>
        <v>0</v>
      </c>
      <c r="AK115">
        <f t="shared" si="68"/>
        <v>0</v>
      </c>
      <c r="AL115">
        <f>IF(OR(B115="",'Исходные данные'!$B$51&lt;&gt;"Да",'Исходные данные'!$B$61=""),0,IF(AND(YEAR(B115)=YEAR('Исходные данные'!$B$61),MONTH(B115)=MONTH('Исходные данные'!$B$61)),N('Исходные данные'!$B$18)*N('Исходные данные'!$B$62),0))</f>
        <v>0</v>
      </c>
      <c r="AM115">
        <f t="shared" si="80"/>
        <v>0</v>
      </c>
      <c r="AN115">
        <f t="shared" si="69"/>
        <v>0</v>
      </c>
      <c r="AO115">
        <f t="shared" si="70"/>
        <v>0</v>
      </c>
      <c r="AP115">
        <f>IF('Исходные данные'!$B$51="Да",-MAX(0,AN115-AO115-AM115),0)</f>
        <v>0</v>
      </c>
      <c r="AQ115">
        <f>IF('Исходные данные'!$B$51="Да",MAX(0,AM115+AO115-AN115),0)</f>
        <v>0</v>
      </c>
      <c r="AR115">
        <f>IF('Исходные данные'!$B$53="Выручка",MAX(0,L115+(Q115-R115)+(U115-V115)),IF('Исходные данные'!$B$53="Прибыль до налога",MAX(0,L115+(Q115-R115)+(U115-V115)+N('Исходные данные'!$B$54)*((O115+P115)+(S115+T115)+W115+X115)+IF('Исходные данные'!$B$55="Да",AG115,0)-N('Исходные данные'!$B$56)/12),IF('Исходные данные'!$B$53="Пользовательская база",MAX(0,N('Исходные данные'!$B$57)/12),0)))</f>
        <v>0</v>
      </c>
      <c r="AS115">
        <f>IF(E115=1,-AR115*N('Исходные данные'!$B$50),0)</f>
        <v>0</v>
      </c>
      <c r="AT115">
        <f t="shared" si="71"/>
        <v>0</v>
      </c>
      <c r="AU115">
        <f>IF(OR(B115="",N('Исходные данные'!$B$80)&lt;=0,'Исходные данные'!$B$88=""),0,MAX(0,IF('Исходные данные'!$B$88="Последние 12 месяцев",SUMIFS($Y$2:$Y$194,$B$2:$B$194,"&gt;="&amp;EDATE(B115,-11),$B$2:$B$194,"&lt;="&amp;B115),IF('Исходные данные'!$B$88="Пользовательский NOI",N('Исходные данные'!$B$89),AT115))/N('Исходные данные'!$B$80)*(1+N('Исходные данные'!$B$81))))</f>
        <v>0</v>
      </c>
      <c r="AV115">
        <f>IF(OR(E115&lt;&gt;1,B115="",'Исходные данные'!$B$91=""),0,IF(AND(YEAR(B115)=YEAR('Исходные данные'!$B$91),MONTH(B115)=MONTH('Исходные данные'!$B$91)),AU115,0))</f>
        <v>0</v>
      </c>
      <c r="AW115">
        <f>-AV115*N('Исходные данные'!$B$73)</f>
        <v>0</v>
      </c>
      <c r="AX115">
        <f>IF(AV115=0,0,-N('Исходные данные'!$B$87)-IF('Исходные данные'!$B$82="Да",IF('Исходные данные'!$B$84="С выручки",AV115,IF('Исходные данные'!$B$84="С прибыли",MAX(0,AV115+AW115-IF('Исходные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15">
        <f t="shared" si="72"/>
        <v>0</v>
      </c>
      <c r="AZ115">
        <f t="shared" si="73"/>
        <v>0</v>
      </c>
      <c r="BA115">
        <f t="shared" si="74"/>
        <v>0</v>
      </c>
      <c r="BB115" t="str">
        <f t="shared" si="81"/>
        <v/>
      </c>
      <c r="BC115">
        <f>IF(OR(E115=0,'Исходные данные'!$B$9="",'Исходные данные'!$B$90=""),0,BA115/(1+'Исходные данные'!$B$90)^((D115-'Исходные данные'!$B$9)/365))</f>
        <v>0</v>
      </c>
      <c r="BD115">
        <f>IF(AND(E115=1,BB115&gt;=0,BB114&lt;0,MIN($BB$2:BB115)&lt;0),1,0)</f>
        <v>0</v>
      </c>
      <c r="BE115">
        <f t="shared" si="75"/>
        <v>0</v>
      </c>
      <c r="BF115">
        <f t="shared" si="76"/>
        <v>0</v>
      </c>
      <c r="BG115">
        <f t="shared" si="77"/>
        <v>0</v>
      </c>
      <c r="BH115">
        <f t="shared" si="78"/>
        <v>1</v>
      </c>
      <c r="BI115">
        <f>AZ115+N115+AP115-AR115*N('Исходные данные'!$B$50)</f>
        <v>0</v>
      </c>
      <c r="BJ115">
        <f t="shared" si="61"/>
        <v>0</v>
      </c>
      <c r="BK115">
        <f>IF(AND(BJ115&gt;=0,BJ114&lt;0,MIN($BJ$2:BJ115)&lt;0),1,0)</f>
        <v>0</v>
      </c>
    </row>
    <row r="116" spans="1:63" x14ac:dyDescent="0.2">
      <c r="A116">
        <v>115</v>
      </c>
      <c r="B116" t="str">
        <f>IF('Исходные данные'!$B$9="","",EDATE(DATE(YEAR('Исходные данные'!$B$9),MONTH('Исходные данные'!$B$9),1),A116-1))</f>
        <v/>
      </c>
      <c r="C116" t="str">
        <f t="shared" si="62"/>
        <v/>
      </c>
      <c r="D116" t="str">
        <f>IF(B116="","",IF('Исходные данные'!$B$91&lt;&gt;"",IF(AND(YEAR(B116)=YEAR('Исходные данные'!$B$91),MONTH(B116)=MONTH('Исходные данные'!$B$91)),'Исходные данные'!$B$91,IF('Исходные данные'!$B$13&lt;&gt;"",IF(AND(YEAR(B116)=YEAR('Исходные данные'!$B$13),MONTH(B116)=MONTH('Исходные данные'!$B$13)),'Исходные данные'!$B$13,IF('Исходные данные'!$B$26&lt;&gt;"",IF(AND(YEAR(B116)=YEAR('Исходные данные'!$B$26),MONTH(B116)=MONTH('Исходные данные'!$B$26)),'Исходные данные'!$B$26,IF(A116=1,'Исходные данные'!$B$9,C116)),IF(A116=1,'Исходные данные'!$B$9,C116))),IF('Исходные данные'!$B$26&lt;&gt;"",IF(AND(YEAR(B116)=YEAR('Исходные данные'!$B$26),MONTH(B116)=MONTH('Исходные данные'!$B$26)),'Исходные данные'!$B$26,IF(A116=1,'Исходные данные'!$B$9,C116)),IF(A116=1,'Исходные данные'!$B$9,C116)))),IF('Исходные данные'!$B$13&lt;&gt;"",IF(AND(YEAR(B116)=YEAR('Исходные данные'!$B$13),MONTH(B116)=MONTH('Исходные данные'!$B$13)),'Исходные данные'!$B$13,IF('Исходные данные'!$B$26&lt;&gt;"",IF(AND(YEAR(B116)=YEAR('Исходные данные'!$B$26),MONTH(B116)=MONTH('Исходные данные'!$B$26)),'Исходные данные'!$B$26,IF(A116=1,'Исходные данные'!$B$9,C116)),IF(A116=1,'Исходные данные'!$B$9,C116))),IF('Исходные данные'!$B$26&lt;&gt;"",IF(AND(YEAR(B116)=YEAR('Исходные данные'!$B$26),MONTH(B116)=MONTH('Исходные данные'!$B$26)),'Исходные данные'!$B$26,IF(A116=1,'Исходные данные'!$B$9,C116)),IF(A116=1,'Исходные данные'!$B$9,C116)))))</f>
        <v/>
      </c>
      <c r="E116">
        <f>IF(OR(B116="",'Исходные данные'!$B$91=""),0,--(B116&lt;=DATE(YEAR('Исходные данные'!$B$91),MONTH('Исходные данные'!$B$91),1)))</f>
        <v>0</v>
      </c>
      <c r="F116">
        <f>IF(OR(B116="",'Исходные данные'!$B$30="",C116&lt;'Исходные данные'!$B$30),0,DATEDIF(DATE(YEAR('Исходные данные'!$B$30),MONTH('Исходные данные'!$B$30),1),B116,"m")+1)</f>
        <v>0</v>
      </c>
      <c r="G116">
        <f t="shared" si="63"/>
        <v>0</v>
      </c>
      <c r="H116">
        <f>IF(F116=0,0,IF(G116=1,N('Исходные данные'!$B$31),IF(G116=2,N('Исходные данные'!$B$32),IF(G116=3,N('Исходные данные'!$B$33),N('Исходные данные'!$B$33)*(1+N('Исходные данные'!$B$34))^(G116-3)))))</f>
        <v>0</v>
      </c>
      <c r="I116">
        <f>IF(OR(F116=0,N('Исходные данные'!$B$5)=0,H116=0),0,'Исходные данные'!$B$5*H116*IF(AND(B116&lt;='Исходные данные'!$B$30,C116&gt;='Исходные данные'!$B$30),(C116-'Исходные данные'!$B$30+1)/DAY(C116),1))</f>
        <v>0</v>
      </c>
      <c r="J116">
        <f>IF(AND(F116&gt;0,F116&lt;=N('Исходные данные'!$B$37)),-I116,0)</f>
        <v>0</v>
      </c>
      <c r="K116">
        <f>IF(OR(F116=0,F116&lt;=N('Исходные данные'!$B$37)),0,-(I116+J116)*N('Исходные данные'!$B$38))</f>
        <v>0</v>
      </c>
      <c r="L116">
        <f t="shared" si="64"/>
        <v>0</v>
      </c>
      <c r="M116">
        <f>IF('Исходные данные'!$B$51="Да",L116*N('Исходные данные'!$B$52),0)</f>
        <v>0</v>
      </c>
      <c r="N116">
        <f t="shared" si="65"/>
        <v>0</v>
      </c>
      <c r="O116">
        <f>IF(OR(B116="",IF('Исходные данные'!$B$45="",'Исходные данные'!$B$10,'Исходные данные'!$B$45)="",C116&lt;IF('Исходные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данные'!$B$45)),1),B116,"m")/12))*IF(AND(B116&lt;=IF('Исходные данные'!$B$45="",'Исходные данные'!$B$10,'Исходные данные'!$B$45),C116&gt;=IF('Исходные данные'!$B$45="",'Исходные данные'!$B$10,'Исходные данные'!$B$45)),(C116-IF('Исходные данные'!$B$45="",'Исходные данные'!$B$10,'Исходные данные'!$B$45)+1)/DAY(C116),1)*IF('Исходные данные'!$B$43="Без НДС",1+N('Исходные данные'!$B$44),1))</f>
        <v>0</v>
      </c>
      <c r="P116">
        <f>IF('Исходные данные'!$B$51="Да",-O116*N('Исходные данные'!$B$44)/(1+N('Исходные данные'!$B$44)),0)</f>
        <v>0</v>
      </c>
      <c r="Q116">
        <f>IF('Исходные данные'!$B$35="Да",-O116,0)</f>
        <v>0</v>
      </c>
      <c r="R116">
        <f>IF(AND('Исходные данные'!$B$51="Да",Q116&gt;0),Q116*N('Исходные данные'!$B$52)/(1+N('Исходные данные'!$B$52)),0)</f>
        <v>0</v>
      </c>
      <c r="S116">
        <f>IF(OR(B116="",IF('Исходные данные'!$B$45="",'Исходные данные'!$B$10,'Исходные данные'!$B$45)="",C116&lt;IF('Исходные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данные'!$B$45)),1),B116,"m")/12))*IF(AND(B116&lt;=IF('Исходные данные'!$B$45="",'Исходные данные'!$B$10,'Исходные данные'!$B$45),C116&gt;=IF('Исходные данные'!$B$45="",'Исходные данные'!$B$10,'Исходные данные'!$B$45)),(C116-IF('Исходные данные'!$B$45="",'Исходные данные'!$B$10,'Исходные данные'!$B$45)+1)/DAY(C116),1)*IF('Исходные данные'!$B$43="Без НДС",1+N('Исходные данные'!$B$44),1))</f>
        <v>0</v>
      </c>
      <c r="T116">
        <f>IF('Исходные данные'!$B$51="Да",-S116*N('Исходные данные'!$B$44)/(1+N('Исходные данные'!$B$44)),0)</f>
        <v>0</v>
      </c>
      <c r="U116">
        <f>IF('Исходные данные'!$B$36="Да",-S116,0)</f>
        <v>0</v>
      </c>
      <c r="V116">
        <f>IF(AND('Исходные данные'!$B$51="Да",U116&gt;0),U116*N('Исходные данные'!$B$52)/(1+N('Исходные данные'!$B$52)),0)</f>
        <v>0</v>
      </c>
      <c r="W116">
        <f>IF(OR(B116="",IF('Исходные данные'!$B$69="",'Исходные данные'!$B$10,'Исходные данные'!$B$69)="",C116&lt;IF('Исходные данные'!$B$69="",'Исходные данные'!$B$10,'Исходные данные'!$B$69)),0,-N('Исходные данные'!$B$16)*N('Исходные данные'!$B$68)*N('Исходные данные'!$B$67)/12*IF(AND(B116&lt;=IF('Исходные данные'!$B$69="",'Исходные данные'!$B$10,'Исходные данные'!$B$69),C116&gt;=IF('Исходные данные'!$B$69="",'Исходные данные'!$B$10,'Исходные данные'!$B$69)),(C116-IF('Исходные данные'!$B$69="",'Исходные данные'!$B$10,'Исходные данные'!$B$69)+1)/DAY(C116),1))</f>
        <v>0</v>
      </c>
      <c r="X116">
        <f>IF(OR(B116="",IF('Исходные данные'!$B$76="",'Исходные данные'!$B$10,'Исходные данные'!$B$76)="",C116&lt;IF('Исходные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данные'!$B$76)),1),B116,"m")/12))*IF(AND(B116&lt;=IF('Исходные данные'!$B$76="",'Исходные данные'!$B$10,'Исходные данные'!$B$76),C116&gt;=IF('Исходные данные'!$B$76="",'Исходные данные'!$B$10,'Исходные данные'!$B$76)),(C116-IF('Исходные данные'!$B$76="",'Исходные данные'!$B$10,'Исходные данные'!$B$76)+1)/DAY(C116),1))</f>
        <v>0</v>
      </c>
      <c r="Y116">
        <f t="shared" si="66"/>
        <v>0</v>
      </c>
      <c r="Z116">
        <f>IF(OR(B116="",N('Исходные данные'!$B$19)=0),0,-SUMIFS('Исходные данные'!$I$6:$I$186,'Исходные данные'!$F$6:$F$186,B116)*N('Исходные данные'!$B$17)/N('Исходные данные'!$B$19))</f>
        <v>0</v>
      </c>
      <c r="AA116">
        <f>IF(OR(B116="",N('Исходные данные'!$B$19)=0),0,-SUMIFS('Исходные данные'!$I$6:$I$186,'Исходные данные'!$F$6:$F$186,B116)*N('Исходные данные'!$B$18)/N('Исходные данные'!$B$19))</f>
        <v>0</v>
      </c>
      <c r="AB116">
        <f>IF(OR(B116="",'Исходные данные'!$B$13=""),0,IF(AND(YEAR(B116)=YEAR('Исходные данные'!$B$13),MONTH(B116)=MONTH('Исходные данные'!$B$13)),-N('Исходные данные'!$B$11),0))</f>
        <v>0</v>
      </c>
      <c r="AC116">
        <f>IF(A116=1,-N('Исходные данные'!$B$19)*N('Исходные данные'!$B$72),0)</f>
        <v>0</v>
      </c>
      <c r="AD116">
        <f>IF(OR(B116="",'Исходные данные'!$B$22&lt;&gt;"Да",'Исходные данные'!$B$26=""),0,IF(AND(YEAR(B116)=YEAR('Исходные данные'!$B$26),MONTH(B116)=MONTH('Исходные данные'!$B$26)),N('Исходные данные'!$B$23),0))</f>
        <v>0</v>
      </c>
      <c r="AE116">
        <f t="shared" si="79"/>
        <v>0</v>
      </c>
      <c r="AF116">
        <f>IF(OR('Исходные данные'!$B$22&lt;&gt;"Да",'Исходные данные'!$B$26="",C116&lt;'Исходные данные'!$B$26),0,DATEDIF(DATE(YEAR('Исходные данные'!$B$26),MONTH('Исходные данные'!$B$26),1),B116,"m")+1)</f>
        <v>0</v>
      </c>
      <c r="AG116">
        <f>IF(OR(AF116&lt;1,AF116&gt;N('Исходные данные'!$B$25),AE116+AD116&lt;=0),0,-(AE116+AD116)*N('Исходные данные'!$B$24)*IF(AF116=1,C116-'Исходные данные'!$B$26+1,DAY(C116))/365)</f>
        <v>0</v>
      </c>
      <c r="AH116">
        <f>IF(OR(AF116&lt;1,AF116&gt;N('Исходные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данные'!$B$25)-AG116))</f>
        <v>0</v>
      </c>
      <c r="AI116">
        <f>IF(OR('Исходные данные'!$B$22&lt;&gt;"Да",AE116+AD116&lt;=0),0,IF(AND('Исходные данные'!$B$91&lt;&gt;"",B116&lt;&gt;"",YEAR(B116)=YEAR('Исходные данные'!$B$91),MONTH(B116)=MONTH('Исходные данные'!$B$91)),-(AE116+AD116),IF(OR(AF116&lt;1,AF116&gt;N('Исходные данные'!$B$25)),0,IF('Исходные данные'!$B$27="Равными долями",-MIN(AE116+AD116,N('Исходные данные'!$B$23)/N('Исходные данные'!$B$25)),-MIN(AE116+AD116,IF(AF116=N('Исходные данные'!$B$25),AE116+AD116,MAX(0,AH116+AG116)))))))</f>
        <v>0</v>
      </c>
      <c r="AJ116">
        <f t="shared" si="67"/>
        <v>0</v>
      </c>
      <c r="AK116">
        <f t="shared" si="68"/>
        <v>0</v>
      </c>
      <c r="AL116">
        <f>IF(OR(B116="",'Исходные данные'!$B$51&lt;&gt;"Да",'Исходные данные'!$B$61=""),0,IF(AND(YEAR(B116)=YEAR('Исходные данные'!$B$61),MONTH(B116)=MONTH('Исходные данные'!$B$61)),N('Исходные данные'!$B$18)*N('Исходные данные'!$B$62),0))</f>
        <v>0</v>
      </c>
      <c r="AM116">
        <f t="shared" si="80"/>
        <v>0</v>
      </c>
      <c r="AN116">
        <f t="shared" si="69"/>
        <v>0</v>
      </c>
      <c r="AO116">
        <f t="shared" si="70"/>
        <v>0</v>
      </c>
      <c r="AP116">
        <f>IF('Исходные данные'!$B$51="Да",-MAX(0,AN116-AO116-AM116),0)</f>
        <v>0</v>
      </c>
      <c r="AQ116">
        <f>IF('Исходные данные'!$B$51="Да",MAX(0,AM116+AO116-AN116),0)</f>
        <v>0</v>
      </c>
      <c r="AR116">
        <f>IF('Исходные данные'!$B$53="Выручка",MAX(0,L116+(Q116-R116)+(U116-V116)),IF('Исходные данные'!$B$53="Прибыль до налога",MAX(0,L116+(Q116-R116)+(U116-V116)+N('Исходные данные'!$B$54)*((O116+P116)+(S116+T116)+W116+X116)+IF('Исходные данные'!$B$55="Да",AG116,0)-N('Исходные данные'!$B$56)/12),IF('Исходные данные'!$B$53="Пользовательская база",MAX(0,N('Исходные данные'!$B$57)/12),0)))</f>
        <v>0</v>
      </c>
      <c r="AS116">
        <f>IF(E116=1,-AR116*N('Исходные данные'!$B$50),0)</f>
        <v>0</v>
      </c>
      <c r="AT116">
        <f t="shared" si="71"/>
        <v>0</v>
      </c>
      <c r="AU116">
        <f>IF(OR(B116="",N('Исходные данные'!$B$80)&lt;=0,'Исходные данные'!$B$88=""),0,MAX(0,IF('Исходные данные'!$B$88="Последние 12 месяцев",SUMIFS($Y$2:$Y$194,$B$2:$B$194,"&gt;="&amp;EDATE(B116,-11),$B$2:$B$194,"&lt;="&amp;B116),IF('Исходные данные'!$B$88="Пользовательский NOI",N('Исходные данные'!$B$89),AT116))/N('Исходные данные'!$B$80)*(1+N('Исходные данные'!$B$81))))</f>
        <v>0</v>
      </c>
      <c r="AV116">
        <f>IF(OR(E116&lt;&gt;1,B116="",'Исходные данные'!$B$91=""),0,IF(AND(YEAR(B116)=YEAR('Исходные данные'!$B$91),MONTH(B116)=MONTH('Исходные данные'!$B$91)),AU116,0))</f>
        <v>0</v>
      </c>
      <c r="AW116">
        <f>-AV116*N('Исходные данные'!$B$73)</f>
        <v>0</v>
      </c>
      <c r="AX116">
        <f>IF(AV116=0,0,-N('Исходные данные'!$B$87)-IF('Исходные данные'!$B$82="Да",IF('Исходные данные'!$B$84="С выручки",AV116,IF('Исходные данные'!$B$84="С прибыли",MAX(0,AV116+AW116-IF('Исходные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16">
        <f t="shared" si="72"/>
        <v>0</v>
      </c>
      <c r="AZ116">
        <f t="shared" si="73"/>
        <v>0</v>
      </c>
      <c r="BA116">
        <f t="shared" si="74"/>
        <v>0</v>
      </c>
      <c r="BB116" t="str">
        <f t="shared" si="81"/>
        <v/>
      </c>
      <c r="BC116">
        <f>IF(OR(E116=0,'Исходные данные'!$B$9="",'Исходные данные'!$B$90=""),0,BA116/(1+'Исходные данные'!$B$90)^((D116-'Исходные данные'!$B$9)/365))</f>
        <v>0</v>
      </c>
      <c r="BD116">
        <f>IF(AND(E116=1,BB116&gt;=0,BB115&lt;0,MIN($BB$2:BB116)&lt;0),1,0)</f>
        <v>0</v>
      </c>
      <c r="BE116">
        <f t="shared" si="75"/>
        <v>0</v>
      </c>
      <c r="BF116">
        <f t="shared" si="76"/>
        <v>0</v>
      </c>
      <c r="BG116">
        <f t="shared" si="77"/>
        <v>0</v>
      </c>
      <c r="BH116">
        <f t="shared" si="78"/>
        <v>1</v>
      </c>
      <c r="BI116">
        <f>AZ116+N116+AP116-AR116*N('Исходные данные'!$B$50)</f>
        <v>0</v>
      </c>
      <c r="BJ116">
        <f t="shared" si="61"/>
        <v>0</v>
      </c>
      <c r="BK116">
        <f>IF(AND(BJ116&gt;=0,BJ115&lt;0,MIN($BJ$2:BJ116)&lt;0),1,0)</f>
        <v>0</v>
      </c>
    </row>
    <row r="117" spans="1:63" x14ac:dyDescent="0.2">
      <c r="A117">
        <v>116</v>
      </c>
      <c r="B117" t="str">
        <f>IF('Исходные данные'!$B$9="","",EDATE(DATE(YEAR('Исходные данные'!$B$9),MONTH('Исходные данные'!$B$9),1),A117-1))</f>
        <v/>
      </c>
      <c r="C117" t="str">
        <f t="shared" si="62"/>
        <v/>
      </c>
      <c r="D117" t="str">
        <f>IF(B117="","",IF('Исходные данные'!$B$91&lt;&gt;"",IF(AND(YEAR(B117)=YEAR('Исходные данные'!$B$91),MONTH(B117)=MONTH('Исходные данные'!$B$91)),'Исходные данные'!$B$91,IF('Исходные данные'!$B$13&lt;&gt;"",IF(AND(YEAR(B117)=YEAR('Исходные данные'!$B$13),MONTH(B117)=MONTH('Исходные данные'!$B$13)),'Исходные данные'!$B$13,IF('Исходные данные'!$B$26&lt;&gt;"",IF(AND(YEAR(B117)=YEAR('Исходные данные'!$B$26),MONTH(B117)=MONTH('Исходные данные'!$B$26)),'Исходные данные'!$B$26,IF(A117=1,'Исходные данные'!$B$9,C117)),IF(A117=1,'Исходные данные'!$B$9,C117))),IF('Исходные данные'!$B$26&lt;&gt;"",IF(AND(YEAR(B117)=YEAR('Исходные данные'!$B$26),MONTH(B117)=MONTH('Исходные данные'!$B$26)),'Исходные данные'!$B$26,IF(A117=1,'Исходные данные'!$B$9,C117)),IF(A117=1,'Исходные данные'!$B$9,C117)))),IF('Исходные данные'!$B$13&lt;&gt;"",IF(AND(YEAR(B117)=YEAR('Исходные данные'!$B$13),MONTH(B117)=MONTH('Исходные данные'!$B$13)),'Исходные данные'!$B$13,IF('Исходные данные'!$B$26&lt;&gt;"",IF(AND(YEAR(B117)=YEAR('Исходные данные'!$B$26),MONTH(B117)=MONTH('Исходные данные'!$B$26)),'Исходные данные'!$B$26,IF(A117=1,'Исходные данные'!$B$9,C117)),IF(A117=1,'Исходные данные'!$B$9,C117))),IF('Исходные данные'!$B$26&lt;&gt;"",IF(AND(YEAR(B117)=YEAR('Исходные данные'!$B$26),MONTH(B117)=MONTH('Исходные данные'!$B$26)),'Исходные данные'!$B$26,IF(A117=1,'Исходные данные'!$B$9,C117)),IF(A117=1,'Исходные данные'!$B$9,C117)))))</f>
        <v/>
      </c>
      <c r="E117">
        <f>IF(OR(B117="",'Исходные данные'!$B$91=""),0,--(B117&lt;=DATE(YEAR('Исходные данные'!$B$91),MONTH('Исходные данные'!$B$91),1)))</f>
        <v>0</v>
      </c>
      <c r="F117">
        <f>IF(OR(B117="",'Исходные данные'!$B$30="",C117&lt;'Исходные данные'!$B$30),0,DATEDIF(DATE(YEAR('Исходные данные'!$B$30),MONTH('Исходные данные'!$B$30),1),B117,"m")+1)</f>
        <v>0</v>
      </c>
      <c r="G117">
        <f t="shared" si="63"/>
        <v>0</v>
      </c>
      <c r="H117">
        <f>IF(F117=0,0,IF(G117=1,N('Исходные данные'!$B$31),IF(G117=2,N('Исходные данные'!$B$32),IF(G117=3,N('Исходные данные'!$B$33),N('Исходные данные'!$B$33)*(1+N('Исходные данные'!$B$34))^(G117-3)))))</f>
        <v>0</v>
      </c>
      <c r="I117">
        <f>IF(OR(F117=0,N('Исходные данные'!$B$5)=0,H117=0),0,'Исходные данные'!$B$5*H117*IF(AND(B117&lt;='Исходные данные'!$B$30,C117&gt;='Исходные данные'!$B$30),(C117-'Исходные данные'!$B$30+1)/DAY(C117),1))</f>
        <v>0</v>
      </c>
      <c r="J117">
        <f>IF(AND(F117&gt;0,F117&lt;=N('Исходные данные'!$B$37)),-I117,0)</f>
        <v>0</v>
      </c>
      <c r="K117">
        <f>IF(OR(F117=0,F117&lt;=N('Исходные данные'!$B$37)),0,-(I117+J117)*N('Исходные данные'!$B$38))</f>
        <v>0</v>
      </c>
      <c r="L117">
        <f t="shared" si="64"/>
        <v>0</v>
      </c>
      <c r="M117">
        <f>IF('Исходные данные'!$B$51="Да",L117*N('Исходные данные'!$B$52),0)</f>
        <v>0</v>
      </c>
      <c r="N117">
        <f t="shared" si="65"/>
        <v>0</v>
      </c>
      <c r="O117">
        <f>IF(OR(B117="",IF('Исходные данные'!$B$45="",'Исходные данные'!$B$10,'Исходные данные'!$B$45)="",C117&lt;IF('Исходные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данные'!$B$45)),1),B117,"m")/12))*IF(AND(B117&lt;=IF('Исходные данные'!$B$45="",'Исходные данные'!$B$10,'Исходные данные'!$B$45),C117&gt;=IF('Исходные данные'!$B$45="",'Исходные данные'!$B$10,'Исходные данные'!$B$45)),(C117-IF('Исходные данные'!$B$45="",'Исходные данные'!$B$10,'Исходные данные'!$B$45)+1)/DAY(C117),1)*IF('Исходные данные'!$B$43="Без НДС",1+N('Исходные данные'!$B$44),1))</f>
        <v>0</v>
      </c>
      <c r="P117">
        <f>IF('Исходные данные'!$B$51="Да",-O117*N('Исходные данные'!$B$44)/(1+N('Исходные данные'!$B$44)),0)</f>
        <v>0</v>
      </c>
      <c r="Q117">
        <f>IF('Исходные данные'!$B$35="Да",-O117,0)</f>
        <v>0</v>
      </c>
      <c r="R117">
        <f>IF(AND('Исходные данные'!$B$51="Да",Q117&gt;0),Q117*N('Исходные данные'!$B$52)/(1+N('Исходные данные'!$B$52)),0)</f>
        <v>0</v>
      </c>
      <c r="S117">
        <f>IF(OR(B117="",IF('Исходные данные'!$B$45="",'Исходные данные'!$B$10,'Исходные данные'!$B$45)="",C117&lt;IF('Исходные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данные'!$B$45)),1),B117,"m")/12))*IF(AND(B117&lt;=IF('Исходные данные'!$B$45="",'Исходные данные'!$B$10,'Исходные данные'!$B$45),C117&gt;=IF('Исходные данные'!$B$45="",'Исходные данные'!$B$10,'Исходные данные'!$B$45)),(C117-IF('Исходные данные'!$B$45="",'Исходные данные'!$B$10,'Исходные данные'!$B$45)+1)/DAY(C117),1)*IF('Исходные данные'!$B$43="Без НДС",1+N('Исходные данные'!$B$44),1))</f>
        <v>0</v>
      </c>
      <c r="T117">
        <f>IF('Исходные данные'!$B$51="Да",-S117*N('Исходные данные'!$B$44)/(1+N('Исходные данные'!$B$44)),0)</f>
        <v>0</v>
      </c>
      <c r="U117">
        <f>IF('Исходные данные'!$B$36="Да",-S117,0)</f>
        <v>0</v>
      </c>
      <c r="V117">
        <f>IF(AND('Исходные данные'!$B$51="Да",U117&gt;0),U117*N('Исходные данные'!$B$52)/(1+N('Исходные данные'!$B$52)),0)</f>
        <v>0</v>
      </c>
      <c r="W117">
        <f>IF(OR(B117="",IF('Исходные данные'!$B$69="",'Исходные данные'!$B$10,'Исходные данные'!$B$69)="",C117&lt;IF('Исходные данные'!$B$69="",'Исходные данные'!$B$10,'Исходные данные'!$B$69)),0,-N('Исходные данные'!$B$16)*N('Исходные данные'!$B$68)*N('Исходные данные'!$B$67)/12*IF(AND(B117&lt;=IF('Исходные данные'!$B$69="",'Исходные данные'!$B$10,'Исходные данные'!$B$69),C117&gt;=IF('Исходные данные'!$B$69="",'Исходные данные'!$B$10,'Исходные данные'!$B$69)),(C117-IF('Исходные данные'!$B$69="",'Исходные данные'!$B$10,'Исходные данные'!$B$69)+1)/DAY(C117),1))</f>
        <v>0</v>
      </c>
      <c r="X117">
        <f>IF(OR(B117="",IF('Исходные данные'!$B$76="",'Исходные данные'!$B$10,'Исходные данные'!$B$76)="",C117&lt;IF('Исходные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данные'!$B$76)),1),B117,"m")/12))*IF(AND(B117&lt;=IF('Исходные данные'!$B$76="",'Исходные данные'!$B$10,'Исходные данные'!$B$76),C117&gt;=IF('Исходные данные'!$B$76="",'Исходные данные'!$B$10,'Исходные данные'!$B$76)),(C117-IF('Исходные данные'!$B$76="",'Исходные данные'!$B$10,'Исходные данные'!$B$76)+1)/DAY(C117),1))</f>
        <v>0</v>
      </c>
      <c r="Y117">
        <f t="shared" si="66"/>
        <v>0</v>
      </c>
      <c r="Z117">
        <f>IF(OR(B117="",N('Исходные данные'!$B$19)=0),0,-SUMIFS('Исходные данные'!$I$6:$I$186,'Исходные данные'!$F$6:$F$186,B117)*N('Исходные данные'!$B$17)/N('Исходные данные'!$B$19))</f>
        <v>0</v>
      </c>
      <c r="AA117">
        <f>IF(OR(B117="",N('Исходные данные'!$B$19)=0),0,-SUMIFS('Исходные данные'!$I$6:$I$186,'Исходные данные'!$F$6:$F$186,B117)*N('Исходные данные'!$B$18)/N('Исходные данные'!$B$19))</f>
        <v>0</v>
      </c>
      <c r="AB117">
        <f>IF(OR(B117="",'Исходные данные'!$B$13=""),0,IF(AND(YEAR(B117)=YEAR('Исходные данные'!$B$13),MONTH(B117)=MONTH('Исходные данные'!$B$13)),-N('Исходные данные'!$B$11),0))</f>
        <v>0</v>
      </c>
      <c r="AC117">
        <f>IF(A117=1,-N('Исходные данные'!$B$19)*N('Исходные данные'!$B$72),0)</f>
        <v>0</v>
      </c>
      <c r="AD117">
        <f>IF(OR(B117="",'Исходные данные'!$B$22&lt;&gt;"Да",'Исходные данные'!$B$26=""),0,IF(AND(YEAR(B117)=YEAR('Исходные данные'!$B$26),MONTH(B117)=MONTH('Исходные данные'!$B$26)),N('Исходные данные'!$B$23),0))</f>
        <v>0</v>
      </c>
      <c r="AE117">
        <f t="shared" si="79"/>
        <v>0</v>
      </c>
      <c r="AF117">
        <f>IF(OR('Исходные данные'!$B$22&lt;&gt;"Да",'Исходные данные'!$B$26="",C117&lt;'Исходные данные'!$B$26),0,DATEDIF(DATE(YEAR('Исходные данные'!$B$26),MONTH('Исходные данные'!$B$26),1),B117,"m")+1)</f>
        <v>0</v>
      </c>
      <c r="AG117">
        <f>IF(OR(AF117&lt;1,AF117&gt;N('Исходные данные'!$B$25),AE117+AD117&lt;=0),0,-(AE117+AD117)*N('Исходные данные'!$B$24)*IF(AF117=1,C117-'Исходные данные'!$B$26+1,DAY(C117))/365)</f>
        <v>0</v>
      </c>
      <c r="AH117">
        <f>IF(OR(AF117&lt;1,AF117&gt;N('Исходные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данные'!$B$25)-AG117))</f>
        <v>0</v>
      </c>
      <c r="AI117">
        <f>IF(OR('Исходные данные'!$B$22&lt;&gt;"Да",AE117+AD117&lt;=0),0,IF(AND('Исходные данные'!$B$91&lt;&gt;"",B117&lt;&gt;"",YEAR(B117)=YEAR('Исходные данные'!$B$91),MONTH(B117)=MONTH('Исходные данные'!$B$91)),-(AE117+AD117),IF(OR(AF117&lt;1,AF117&gt;N('Исходные данные'!$B$25)),0,IF('Исходные данные'!$B$27="Равными долями",-MIN(AE117+AD117,N('Исходные данные'!$B$23)/N('Исходные данные'!$B$25)),-MIN(AE117+AD117,IF(AF117=N('Исходные данные'!$B$25),AE117+AD117,MAX(0,AH117+AG117)))))))</f>
        <v>0</v>
      </c>
      <c r="AJ117">
        <f t="shared" si="67"/>
        <v>0</v>
      </c>
      <c r="AK117">
        <f t="shared" si="68"/>
        <v>0</v>
      </c>
      <c r="AL117">
        <f>IF(OR(B117="",'Исходные данные'!$B$51&lt;&gt;"Да",'Исходные данные'!$B$61=""),0,IF(AND(YEAR(B117)=YEAR('Исходные данные'!$B$61),MONTH(B117)=MONTH('Исходные данные'!$B$61)),N('Исходные данные'!$B$18)*N('Исходные данные'!$B$62),0))</f>
        <v>0</v>
      </c>
      <c r="AM117">
        <f t="shared" si="80"/>
        <v>0</v>
      </c>
      <c r="AN117">
        <f t="shared" si="69"/>
        <v>0</v>
      </c>
      <c r="AO117">
        <f t="shared" si="70"/>
        <v>0</v>
      </c>
      <c r="AP117">
        <f>IF('Исходные данные'!$B$51="Да",-MAX(0,AN117-AO117-AM117),0)</f>
        <v>0</v>
      </c>
      <c r="AQ117">
        <f>IF('Исходные данные'!$B$51="Да",MAX(0,AM117+AO117-AN117),0)</f>
        <v>0</v>
      </c>
      <c r="AR117">
        <f>IF('Исходные данные'!$B$53="Выручка",MAX(0,L117+(Q117-R117)+(U117-V117)),IF('Исходные данные'!$B$53="Прибыль до налога",MAX(0,L117+(Q117-R117)+(U117-V117)+N('Исходные данные'!$B$54)*((O117+P117)+(S117+T117)+W117+X117)+IF('Исходные данные'!$B$55="Да",AG117,0)-N('Исходные данные'!$B$56)/12),IF('Исходные данные'!$B$53="Пользовательская база",MAX(0,N('Исходные данные'!$B$57)/12),0)))</f>
        <v>0</v>
      </c>
      <c r="AS117">
        <f>IF(E117=1,-AR117*N('Исходные данные'!$B$50),0)</f>
        <v>0</v>
      </c>
      <c r="AT117">
        <f t="shared" si="71"/>
        <v>0</v>
      </c>
      <c r="AU117">
        <f>IF(OR(B117="",N('Исходные данные'!$B$80)&lt;=0,'Исходные данные'!$B$88=""),0,MAX(0,IF('Исходные данные'!$B$88="Последние 12 месяцев",SUMIFS($Y$2:$Y$194,$B$2:$B$194,"&gt;="&amp;EDATE(B117,-11),$B$2:$B$194,"&lt;="&amp;B117),IF('Исходные данные'!$B$88="Пользовательский NOI",N('Исходные данные'!$B$89),AT117))/N('Исходные данные'!$B$80)*(1+N('Исходные данные'!$B$81))))</f>
        <v>0</v>
      </c>
      <c r="AV117">
        <f>IF(OR(E117&lt;&gt;1,B117="",'Исходные данные'!$B$91=""),0,IF(AND(YEAR(B117)=YEAR('Исходные данные'!$B$91),MONTH(B117)=MONTH('Исходные данные'!$B$91)),AU117,0))</f>
        <v>0</v>
      </c>
      <c r="AW117">
        <f>-AV117*N('Исходные данные'!$B$73)</f>
        <v>0</v>
      </c>
      <c r="AX117">
        <f>IF(AV117=0,0,-N('Исходные данные'!$B$87)-IF('Исходные данные'!$B$82="Да",IF('Исходные данные'!$B$84="С выручки",AV117,IF('Исходные данные'!$B$84="С прибыли",MAX(0,AV117+AW117-IF('Исходные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17">
        <f t="shared" si="72"/>
        <v>0</v>
      </c>
      <c r="AZ117">
        <f t="shared" si="73"/>
        <v>0</v>
      </c>
      <c r="BA117">
        <f t="shared" si="74"/>
        <v>0</v>
      </c>
      <c r="BB117" t="str">
        <f t="shared" si="81"/>
        <v/>
      </c>
      <c r="BC117">
        <f>IF(OR(E117=0,'Исходные данные'!$B$9="",'Исходные данные'!$B$90=""),0,BA117/(1+'Исходные данные'!$B$90)^((D117-'Исходные данные'!$B$9)/365))</f>
        <v>0</v>
      </c>
      <c r="BD117">
        <f>IF(AND(E117=1,BB117&gt;=0,BB116&lt;0,MIN($BB$2:BB117)&lt;0),1,0)</f>
        <v>0</v>
      </c>
      <c r="BE117">
        <f t="shared" si="75"/>
        <v>0</v>
      </c>
      <c r="BF117">
        <f t="shared" si="76"/>
        <v>0</v>
      </c>
      <c r="BG117">
        <f t="shared" si="77"/>
        <v>0</v>
      </c>
      <c r="BH117">
        <f t="shared" si="78"/>
        <v>1</v>
      </c>
      <c r="BI117">
        <f>AZ117+N117+AP117-AR117*N('Исходные данные'!$B$50)</f>
        <v>0</v>
      </c>
      <c r="BJ117">
        <f t="shared" si="61"/>
        <v>0</v>
      </c>
      <c r="BK117">
        <f>IF(AND(BJ117&gt;=0,BJ116&lt;0,MIN($BJ$2:BJ117)&lt;0),1,0)</f>
        <v>0</v>
      </c>
    </row>
    <row r="118" spans="1:63" x14ac:dyDescent="0.2">
      <c r="A118">
        <v>117</v>
      </c>
      <c r="B118" t="str">
        <f>IF('Исходные данные'!$B$9="","",EDATE(DATE(YEAR('Исходные данные'!$B$9),MONTH('Исходные данные'!$B$9),1),A118-1))</f>
        <v/>
      </c>
      <c r="C118" t="str">
        <f t="shared" si="62"/>
        <v/>
      </c>
      <c r="D118" t="str">
        <f>IF(B118="","",IF('Исходные данные'!$B$91&lt;&gt;"",IF(AND(YEAR(B118)=YEAR('Исходные данные'!$B$91),MONTH(B118)=MONTH('Исходные данные'!$B$91)),'Исходные данные'!$B$91,IF('Исходные данные'!$B$13&lt;&gt;"",IF(AND(YEAR(B118)=YEAR('Исходные данные'!$B$13),MONTH(B118)=MONTH('Исходные данные'!$B$13)),'Исходные данные'!$B$13,IF('Исходные данные'!$B$26&lt;&gt;"",IF(AND(YEAR(B118)=YEAR('Исходные данные'!$B$26),MONTH(B118)=MONTH('Исходные данные'!$B$26)),'Исходные данные'!$B$26,IF(A118=1,'Исходные данные'!$B$9,C118)),IF(A118=1,'Исходные данные'!$B$9,C118))),IF('Исходные данные'!$B$26&lt;&gt;"",IF(AND(YEAR(B118)=YEAR('Исходные данные'!$B$26),MONTH(B118)=MONTH('Исходные данные'!$B$26)),'Исходные данные'!$B$26,IF(A118=1,'Исходные данные'!$B$9,C118)),IF(A118=1,'Исходные данные'!$B$9,C118)))),IF('Исходные данные'!$B$13&lt;&gt;"",IF(AND(YEAR(B118)=YEAR('Исходные данные'!$B$13),MONTH(B118)=MONTH('Исходные данные'!$B$13)),'Исходные данные'!$B$13,IF('Исходные данные'!$B$26&lt;&gt;"",IF(AND(YEAR(B118)=YEAR('Исходные данные'!$B$26),MONTH(B118)=MONTH('Исходные данные'!$B$26)),'Исходные данные'!$B$26,IF(A118=1,'Исходные данные'!$B$9,C118)),IF(A118=1,'Исходные данные'!$B$9,C118))),IF('Исходные данные'!$B$26&lt;&gt;"",IF(AND(YEAR(B118)=YEAR('Исходные данные'!$B$26),MONTH(B118)=MONTH('Исходные данные'!$B$26)),'Исходные данные'!$B$26,IF(A118=1,'Исходные данные'!$B$9,C118)),IF(A118=1,'Исходные данные'!$B$9,C118)))))</f>
        <v/>
      </c>
      <c r="E118">
        <f>IF(OR(B118="",'Исходные данные'!$B$91=""),0,--(B118&lt;=DATE(YEAR('Исходные данные'!$B$91),MONTH('Исходные данные'!$B$91),1)))</f>
        <v>0</v>
      </c>
      <c r="F118">
        <f>IF(OR(B118="",'Исходные данные'!$B$30="",C118&lt;'Исходные данные'!$B$30),0,DATEDIF(DATE(YEAR('Исходные данные'!$B$30),MONTH('Исходные данные'!$B$30),1),B118,"m")+1)</f>
        <v>0</v>
      </c>
      <c r="G118">
        <f t="shared" si="63"/>
        <v>0</v>
      </c>
      <c r="H118">
        <f>IF(F118=0,0,IF(G118=1,N('Исходные данные'!$B$31),IF(G118=2,N('Исходные данные'!$B$32),IF(G118=3,N('Исходные данные'!$B$33),N('Исходные данные'!$B$33)*(1+N('Исходные данные'!$B$34))^(G118-3)))))</f>
        <v>0</v>
      </c>
      <c r="I118">
        <f>IF(OR(F118=0,N('Исходные данные'!$B$5)=0,H118=0),0,'Исходные данные'!$B$5*H118*IF(AND(B118&lt;='Исходные данные'!$B$30,C118&gt;='Исходные данные'!$B$30),(C118-'Исходные данные'!$B$30+1)/DAY(C118),1))</f>
        <v>0</v>
      </c>
      <c r="J118">
        <f>IF(AND(F118&gt;0,F118&lt;=N('Исходные данные'!$B$37)),-I118,0)</f>
        <v>0</v>
      </c>
      <c r="K118">
        <f>IF(OR(F118=0,F118&lt;=N('Исходные данные'!$B$37)),0,-(I118+J118)*N('Исходные данные'!$B$38))</f>
        <v>0</v>
      </c>
      <c r="L118">
        <f t="shared" si="64"/>
        <v>0</v>
      </c>
      <c r="M118">
        <f>IF('Исходные данные'!$B$51="Да",L118*N('Исходные данные'!$B$52),0)</f>
        <v>0</v>
      </c>
      <c r="N118">
        <f t="shared" si="65"/>
        <v>0</v>
      </c>
      <c r="O118">
        <f>IF(OR(B118="",IF('Исходные данные'!$B$45="",'Исходные данные'!$B$10,'Исходные данные'!$B$45)="",C118&lt;IF('Исходные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данные'!$B$45)),1),B118,"m")/12))*IF(AND(B118&lt;=IF('Исходные данные'!$B$45="",'Исходные данные'!$B$10,'Исходные данные'!$B$45),C118&gt;=IF('Исходные данные'!$B$45="",'Исходные данные'!$B$10,'Исходные данные'!$B$45)),(C118-IF('Исходные данные'!$B$45="",'Исходные данные'!$B$10,'Исходные данные'!$B$45)+1)/DAY(C118),1)*IF('Исходные данные'!$B$43="Без НДС",1+N('Исходные данные'!$B$44),1))</f>
        <v>0</v>
      </c>
      <c r="P118">
        <f>IF('Исходные данные'!$B$51="Да",-O118*N('Исходные данные'!$B$44)/(1+N('Исходные данные'!$B$44)),0)</f>
        <v>0</v>
      </c>
      <c r="Q118">
        <f>IF('Исходные данные'!$B$35="Да",-O118,0)</f>
        <v>0</v>
      </c>
      <c r="R118">
        <f>IF(AND('Исходные данные'!$B$51="Да",Q118&gt;0),Q118*N('Исходные данные'!$B$52)/(1+N('Исходные данные'!$B$52)),0)</f>
        <v>0</v>
      </c>
      <c r="S118">
        <f>IF(OR(B118="",IF('Исходные данные'!$B$45="",'Исходные данные'!$B$10,'Исходные данные'!$B$45)="",C118&lt;IF('Исходные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данные'!$B$45)),1),B118,"m")/12))*IF(AND(B118&lt;=IF('Исходные данные'!$B$45="",'Исходные данные'!$B$10,'Исходные данные'!$B$45),C118&gt;=IF('Исходные данные'!$B$45="",'Исходные данные'!$B$10,'Исходные данные'!$B$45)),(C118-IF('Исходные данные'!$B$45="",'Исходные данные'!$B$10,'Исходные данные'!$B$45)+1)/DAY(C118),1)*IF('Исходные данные'!$B$43="Без НДС",1+N('Исходные данные'!$B$44),1))</f>
        <v>0</v>
      </c>
      <c r="T118">
        <f>IF('Исходные данные'!$B$51="Да",-S118*N('Исходные данные'!$B$44)/(1+N('Исходные данные'!$B$44)),0)</f>
        <v>0</v>
      </c>
      <c r="U118">
        <f>IF('Исходные данные'!$B$36="Да",-S118,0)</f>
        <v>0</v>
      </c>
      <c r="V118">
        <f>IF(AND('Исходные данные'!$B$51="Да",U118&gt;0),U118*N('Исходные данные'!$B$52)/(1+N('Исходные данные'!$B$52)),0)</f>
        <v>0</v>
      </c>
      <c r="W118">
        <f>IF(OR(B118="",IF('Исходные данные'!$B$69="",'Исходные данные'!$B$10,'Исходные данные'!$B$69)="",C118&lt;IF('Исходные данные'!$B$69="",'Исходные данные'!$B$10,'Исходные данные'!$B$69)),0,-N('Исходные данные'!$B$16)*N('Исходные данные'!$B$68)*N('Исходные данные'!$B$67)/12*IF(AND(B118&lt;=IF('Исходные данные'!$B$69="",'Исходные данные'!$B$10,'Исходные данные'!$B$69),C118&gt;=IF('Исходные данные'!$B$69="",'Исходные данные'!$B$10,'Исходные данные'!$B$69)),(C118-IF('Исходные данные'!$B$69="",'Исходные данные'!$B$10,'Исходные данные'!$B$69)+1)/DAY(C118),1))</f>
        <v>0</v>
      </c>
      <c r="X118">
        <f>IF(OR(B118="",IF('Исходные данные'!$B$76="",'Исходные данные'!$B$10,'Исходные данные'!$B$76)="",C118&lt;IF('Исходные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данные'!$B$76)),1),B118,"m")/12))*IF(AND(B118&lt;=IF('Исходные данные'!$B$76="",'Исходные данные'!$B$10,'Исходные данные'!$B$76),C118&gt;=IF('Исходные данные'!$B$76="",'Исходные данные'!$B$10,'Исходные данные'!$B$76)),(C118-IF('Исходные данные'!$B$76="",'Исходные данные'!$B$10,'Исходные данные'!$B$76)+1)/DAY(C118),1))</f>
        <v>0</v>
      </c>
      <c r="Y118">
        <f t="shared" si="66"/>
        <v>0</v>
      </c>
      <c r="Z118">
        <f>IF(OR(B118="",N('Исходные данные'!$B$19)=0),0,-SUMIFS('Исходные данные'!$I$6:$I$186,'Исходные данные'!$F$6:$F$186,B118)*N('Исходные данные'!$B$17)/N('Исходные данные'!$B$19))</f>
        <v>0</v>
      </c>
      <c r="AA118">
        <f>IF(OR(B118="",N('Исходные данные'!$B$19)=0),0,-SUMIFS('Исходные данные'!$I$6:$I$186,'Исходные данные'!$F$6:$F$186,B118)*N('Исходные данные'!$B$18)/N('Исходные данные'!$B$19))</f>
        <v>0</v>
      </c>
      <c r="AB118">
        <f>IF(OR(B118="",'Исходные данные'!$B$13=""),0,IF(AND(YEAR(B118)=YEAR('Исходные данные'!$B$13),MONTH(B118)=MONTH('Исходные данные'!$B$13)),-N('Исходные данные'!$B$11),0))</f>
        <v>0</v>
      </c>
      <c r="AC118">
        <f>IF(A118=1,-N('Исходные данные'!$B$19)*N('Исходные данные'!$B$72),0)</f>
        <v>0</v>
      </c>
      <c r="AD118">
        <f>IF(OR(B118="",'Исходные данные'!$B$22&lt;&gt;"Да",'Исходные данные'!$B$26=""),0,IF(AND(YEAR(B118)=YEAR('Исходные данные'!$B$26),MONTH(B118)=MONTH('Исходные данные'!$B$26)),N('Исходные данные'!$B$23),0))</f>
        <v>0</v>
      </c>
      <c r="AE118">
        <f t="shared" si="79"/>
        <v>0</v>
      </c>
      <c r="AF118">
        <f>IF(OR('Исходные данные'!$B$22&lt;&gt;"Да",'Исходные данные'!$B$26="",C118&lt;'Исходные данные'!$B$26),0,DATEDIF(DATE(YEAR('Исходные данные'!$B$26),MONTH('Исходные данные'!$B$26),1),B118,"m")+1)</f>
        <v>0</v>
      </c>
      <c r="AG118">
        <f>IF(OR(AF118&lt;1,AF118&gt;N('Исходные данные'!$B$25),AE118+AD118&lt;=0),0,-(AE118+AD118)*N('Исходные данные'!$B$24)*IF(AF118=1,C118-'Исходные данные'!$B$26+1,DAY(C118))/365)</f>
        <v>0</v>
      </c>
      <c r="AH118">
        <f>IF(OR(AF118&lt;1,AF118&gt;N('Исходные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данные'!$B$25)-AG118))</f>
        <v>0</v>
      </c>
      <c r="AI118">
        <f>IF(OR('Исходные данные'!$B$22&lt;&gt;"Да",AE118+AD118&lt;=0),0,IF(AND('Исходные данные'!$B$91&lt;&gt;"",B118&lt;&gt;"",YEAR(B118)=YEAR('Исходные данные'!$B$91),MONTH(B118)=MONTH('Исходные данные'!$B$91)),-(AE118+AD118),IF(OR(AF118&lt;1,AF118&gt;N('Исходные данные'!$B$25)),0,IF('Исходные данные'!$B$27="Равными долями",-MIN(AE118+AD118,N('Исходные данные'!$B$23)/N('Исходные данные'!$B$25)),-MIN(AE118+AD118,IF(AF118=N('Исходные данные'!$B$25),AE118+AD118,MAX(0,AH118+AG118)))))))</f>
        <v>0</v>
      </c>
      <c r="AJ118">
        <f t="shared" si="67"/>
        <v>0</v>
      </c>
      <c r="AK118">
        <f t="shared" si="68"/>
        <v>0</v>
      </c>
      <c r="AL118">
        <f>IF(OR(B118="",'Исходные данные'!$B$51&lt;&gt;"Да",'Исходные данные'!$B$61=""),0,IF(AND(YEAR(B118)=YEAR('Исходные данные'!$B$61),MONTH(B118)=MONTH('Исходные данные'!$B$61)),N('Исходные данные'!$B$18)*N('Исходные данные'!$B$62),0))</f>
        <v>0</v>
      </c>
      <c r="AM118">
        <f t="shared" si="80"/>
        <v>0</v>
      </c>
      <c r="AN118">
        <f t="shared" si="69"/>
        <v>0</v>
      </c>
      <c r="AO118">
        <f t="shared" si="70"/>
        <v>0</v>
      </c>
      <c r="AP118">
        <f>IF('Исходные данные'!$B$51="Да",-MAX(0,AN118-AO118-AM118),0)</f>
        <v>0</v>
      </c>
      <c r="AQ118">
        <f>IF('Исходные данные'!$B$51="Да",MAX(0,AM118+AO118-AN118),0)</f>
        <v>0</v>
      </c>
      <c r="AR118">
        <f>IF('Исходные данные'!$B$53="Выручка",MAX(0,L118+(Q118-R118)+(U118-V118)),IF('Исходные данные'!$B$53="Прибыль до налога",MAX(0,L118+(Q118-R118)+(U118-V118)+N('Исходные данные'!$B$54)*((O118+P118)+(S118+T118)+W118+X118)+IF('Исходные данные'!$B$55="Да",AG118,0)-N('Исходные данные'!$B$56)/12),IF('Исходные данные'!$B$53="Пользовательская база",MAX(0,N('Исходные данные'!$B$57)/12),0)))</f>
        <v>0</v>
      </c>
      <c r="AS118">
        <f>IF(E118=1,-AR118*N('Исходные данные'!$B$50),0)</f>
        <v>0</v>
      </c>
      <c r="AT118">
        <f t="shared" si="71"/>
        <v>0</v>
      </c>
      <c r="AU118">
        <f>IF(OR(B118="",N('Исходные данные'!$B$80)&lt;=0,'Исходные данные'!$B$88=""),0,MAX(0,IF('Исходные данные'!$B$88="Последние 12 месяцев",SUMIFS($Y$2:$Y$194,$B$2:$B$194,"&gt;="&amp;EDATE(B118,-11),$B$2:$B$194,"&lt;="&amp;B118),IF('Исходные данные'!$B$88="Пользовательский NOI",N('Исходные данные'!$B$89),AT118))/N('Исходные данные'!$B$80)*(1+N('Исходные данные'!$B$81))))</f>
        <v>0</v>
      </c>
      <c r="AV118">
        <f>IF(OR(E118&lt;&gt;1,B118="",'Исходные данные'!$B$91=""),0,IF(AND(YEAR(B118)=YEAR('Исходные данные'!$B$91),MONTH(B118)=MONTH('Исходные данные'!$B$91)),AU118,0))</f>
        <v>0</v>
      </c>
      <c r="AW118">
        <f>-AV118*N('Исходные данные'!$B$73)</f>
        <v>0</v>
      </c>
      <c r="AX118">
        <f>IF(AV118=0,0,-N('Исходные данные'!$B$87)-IF('Исходные данные'!$B$82="Да",IF('Исходные данные'!$B$84="С выручки",AV118,IF('Исходные данные'!$B$84="С прибыли",MAX(0,AV118+AW118-IF('Исходные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18">
        <f t="shared" si="72"/>
        <v>0</v>
      </c>
      <c r="AZ118">
        <f t="shared" si="73"/>
        <v>0</v>
      </c>
      <c r="BA118">
        <f t="shared" si="74"/>
        <v>0</v>
      </c>
      <c r="BB118" t="str">
        <f t="shared" si="81"/>
        <v/>
      </c>
      <c r="BC118">
        <f>IF(OR(E118=0,'Исходные данные'!$B$9="",'Исходные данные'!$B$90=""),0,BA118/(1+'Исходные данные'!$B$90)^((D118-'Исходные данные'!$B$9)/365))</f>
        <v>0</v>
      </c>
      <c r="BD118">
        <f>IF(AND(E118=1,BB118&gt;=0,BB117&lt;0,MIN($BB$2:BB118)&lt;0),1,0)</f>
        <v>0</v>
      </c>
      <c r="BE118">
        <f t="shared" si="75"/>
        <v>0</v>
      </c>
      <c r="BF118">
        <f t="shared" si="76"/>
        <v>0</v>
      </c>
      <c r="BG118">
        <f t="shared" si="77"/>
        <v>0</v>
      </c>
      <c r="BH118">
        <f t="shared" si="78"/>
        <v>1</v>
      </c>
      <c r="BI118">
        <f>AZ118+N118+AP118-AR118*N('Исходные данные'!$B$50)</f>
        <v>0</v>
      </c>
      <c r="BJ118">
        <f t="shared" si="61"/>
        <v>0</v>
      </c>
      <c r="BK118">
        <f>IF(AND(BJ118&gt;=0,BJ117&lt;0,MIN($BJ$2:BJ118)&lt;0),1,0)</f>
        <v>0</v>
      </c>
    </row>
    <row r="119" spans="1:63" x14ac:dyDescent="0.2">
      <c r="A119">
        <v>118</v>
      </c>
      <c r="B119" t="str">
        <f>IF('Исходные данные'!$B$9="","",EDATE(DATE(YEAR('Исходные данные'!$B$9),MONTH('Исходные данные'!$B$9),1),A119-1))</f>
        <v/>
      </c>
      <c r="C119" t="str">
        <f t="shared" si="62"/>
        <v/>
      </c>
      <c r="D119" t="str">
        <f>IF(B119="","",IF('Исходные данные'!$B$91&lt;&gt;"",IF(AND(YEAR(B119)=YEAR('Исходные данные'!$B$91),MONTH(B119)=MONTH('Исходные данные'!$B$91)),'Исходные данные'!$B$91,IF('Исходные данные'!$B$13&lt;&gt;"",IF(AND(YEAR(B119)=YEAR('Исходные данные'!$B$13),MONTH(B119)=MONTH('Исходные данные'!$B$13)),'Исходные данные'!$B$13,IF('Исходные данные'!$B$26&lt;&gt;"",IF(AND(YEAR(B119)=YEAR('Исходные данные'!$B$26),MONTH(B119)=MONTH('Исходные данные'!$B$26)),'Исходные данные'!$B$26,IF(A119=1,'Исходные данные'!$B$9,C119)),IF(A119=1,'Исходные данные'!$B$9,C119))),IF('Исходные данные'!$B$26&lt;&gt;"",IF(AND(YEAR(B119)=YEAR('Исходные данные'!$B$26),MONTH(B119)=MONTH('Исходные данные'!$B$26)),'Исходные данные'!$B$26,IF(A119=1,'Исходные данные'!$B$9,C119)),IF(A119=1,'Исходные данные'!$B$9,C119)))),IF('Исходные данные'!$B$13&lt;&gt;"",IF(AND(YEAR(B119)=YEAR('Исходные данные'!$B$13),MONTH(B119)=MONTH('Исходные данные'!$B$13)),'Исходные данные'!$B$13,IF('Исходные данные'!$B$26&lt;&gt;"",IF(AND(YEAR(B119)=YEAR('Исходные данные'!$B$26),MONTH(B119)=MONTH('Исходные данные'!$B$26)),'Исходные данные'!$B$26,IF(A119=1,'Исходные данные'!$B$9,C119)),IF(A119=1,'Исходные данные'!$B$9,C119))),IF('Исходные данные'!$B$26&lt;&gt;"",IF(AND(YEAR(B119)=YEAR('Исходные данные'!$B$26),MONTH(B119)=MONTH('Исходные данные'!$B$26)),'Исходные данные'!$B$26,IF(A119=1,'Исходные данные'!$B$9,C119)),IF(A119=1,'Исходные данные'!$B$9,C119)))))</f>
        <v/>
      </c>
      <c r="E119">
        <f>IF(OR(B119="",'Исходные данные'!$B$91=""),0,--(B119&lt;=DATE(YEAR('Исходные данные'!$B$91),MONTH('Исходные данные'!$B$91),1)))</f>
        <v>0</v>
      </c>
      <c r="F119">
        <f>IF(OR(B119="",'Исходные данные'!$B$30="",C119&lt;'Исходные данные'!$B$30),0,DATEDIF(DATE(YEAR('Исходные данные'!$B$30),MONTH('Исходные данные'!$B$30),1),B119,"m")+1)</f>
        <v>0</v>
      </c>
      <c r="G119">
        <f t="shared" si="63"/>
        <v>0</v>
      </c>
      <c r="H119">
        <f>IF(F119=0,0,IF(G119=1,N('Исходные данные'!$B$31),IF(G119=2,N('Исходные данные'!$B$32),IF(G119=3,N('Исходные данные'!$B$33),N('Исходные данные'!$B$33)*(1+N('Исходные данные'!$B$34))^(G119-3)))))</f>
        <v>0</v>
      </c>
      <c r="I119">
        <f>IF(OR(F119=0,N('Исходные данные'!$B$5)=0,H119=0),0,'Исходные данные'!$B$5*H119*IF(AND(B119&lt;='Исходные данные'!$B$30,C119&gt;='Исходные данные'!$B$30),(C119-'Исходные данные'!$B$30+1)/DAY(C119),1))</f>
        <v>0</v>
      </c>
      <c r="J119">
        <f>IF(AND(F119&gt;0,F119&lt;=N('Исходные данные'!$B$37)),-I119,0)</f>
        <v>0</v>
      </c>
      <c r="K119">
        <f>IF(OR(F119=0,F119&lt;=N('Исходные данные'!$B$37)),0,-(I119+J119)*N('Исходные данные'!$B$38))</f>
        <v>0</v>
      </c>
      <c r="L119">
        <f t="shared" si="64"/>
        <v>0</v>
      </c>
      <c r="M119">
        <f>IF('Исходные данные'!$B$51="Да",L119*N('Исходные данные'!$B$52),0)</f>
        <v>0</v>
      </c>
      <c r="N119">
        <f t="shared" si="65"/>
        <v>0</v>
      </c>
      <c r="O119">
        <f>IF(OR(B119="",IF('Исходные данные'!$B$45="",'Исходные данные'!$B$10,'Исходные данные'!$B$45)="",C119&lt;IF('Исходные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данные'!$B$45)),1),B119,"m")/12))*IF(AND(B119&lt;=IF('Исходные данные'!$B$45="",'Исходные данные'!$B$10,'Исходные данные'!$B$45),C119&gt;=IF('Исходные данные'!$B$45="",'Исходные данные'!$B$10,'Исходные данные'!$B$45)),(C119-IF('Исходные данные'!$B$45="",'Исходные данные'!$B$10,'Исходные данные'!$B$45)+1)/DAY(C119),1)*IF('Исходные данные'!$B$43="Без НДС",1+N('Исходные данные'!$B$44),1))</f>
        <v>0</v>
      </c>
      <c r="P119">
        <f>IF('Исходные данные'!$B$51="Да",-O119*N('Исходные данные'!$B$44)/(1+N('Исходные данные'!$B$44)),0)</f>
        <v>0</v>
      </c>
      <c r="Q119">
        <f>IF('Исходные данные'!$B$35="Да",-O119,0)</f>
        <v>0</v>
      </c>
      <c r="R119">
        <f>IF(AND('Исходные данные'!$B$51="Да",Q119&gt;0),Q119*N('Исходные данные'!$B$52)/(1+N('Исходные данные'!$B$52)),0)</f>
        <v>0</v>
      </c>
      <c r="S119">
        <f>IF(OR(B119="",IF('Исходные данные'!$B$45="",'Исходные данные'!$B$10,'Исходные данные'!$B$45)="",C119&lt;IF('Исходные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данные'!$B$45)),1),B119,"m")/12))*IF(AND(B119&lt;=IF('Исходные данные'!$B$45="",'Исходные данные'!$B$10,'Исходные данные'!$B$45),C119&gt;=IF('Исходные данные'!$B$45="",'Исходные данные'!$B$10,'Исходные данные'!$B$45)),(C119-IF('Исходные данные'!$B$45="",'Исходные данные'!$B$10,'Исходные данные'!$B$45)+1)/DAY(C119),1)*IF('Исходные данные'!$B$43="Без НДС",1+N('Исходные данные'!$B$44),1))</f>
        <v>0</v>
      </c>
      <c r="T119">
        <f>IF('Исходные данные'!$B$51="Да",-S119*N('Исходные данные'!$B$44)/(1+N('Исходные данные'!$B$44)),0)</f>
        <v>0</v>
      </c>
      <c r="U119">
        <f>IF('Исходные данные'!$B$36="Да",-S119,0)</f>
        <v>0</v>
      </c>
      <c r="V119">
        <f>IF(AND('Исходные данные'!$B$51="Да",U119&gt;0),U119*N('Исходные данные'!$B$52)/(1+N('Исходные данные'!$B$52)),0)</f>
        <v>0</v>
      </c>
      <c r="W119">
        <f>IF(OR(B119="",IF('Исходные данные'!$B$69="",'Исходные данные'!$B$10,'Исходные данные'!$B$69)="",C119&lt;IF('Исходные данные'!$B$69="",'Исходные данные'!$B$10,'Исходные данные'!$B$69)),0,-N('Исходные данные'!$B$16)*N('Исходные данные'!$B$68)*N('Исходные данные'!$B$67)/12*IF(AND(B119&lt;=IF('Исходные данные'!$B$69="",'Исходные данные'!$B$10,'Исходные данные'!$B$69),C119&gt;=IF('Исходные данные'!$B$69="",'Исходные данные'!$B$10,'Исходные данные'!$B$69)),(C119-IF('Исходные данные'!$B$69="",'Исходные данные'!$B$10,'Исходные данные'!$B$69)+1)/DAY(C119),1))</f>
        <v>0</v>
      </c>
      <c r="X119">
        <f>IF(OR(B119="",IF('Исходные данные'!$B$76="",'Исходные данные'!$B$10,'Исходные данные'!$B$76)="",C119&lt;IF('Исходные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данные'!$B$76)),1),B119,"m")/12))*IF(AND(B119&lt;=IF('Исходные данные'!$B$76="",'Исходные данные'!$B$10,'Исходные данные'!$B$76),C119&gt;=IF('Исходные данные'!$B$76="",'Исходные данные'!$B$10,'Исходные данные'!$B$76)),(C119-IF('Исходные данные'!$B$76="",'Исходные данные'!$B$10,'Исходные данные'!$B$76)+1)/DAY(C119),1))</f>
        <v>0</v>
      </c>
      <c r="Y119">
        <f t="shared" si="66"/>
        <v>0</v>
      </c>
      <c r="Z119">
        <f>IF(OR(B119="",N('Исходные данные'!$B$19)=0),0,-SUMIFS('Исходные данные'!$I$6:$I$186,'Исходные данные'!$F$6:$F$186,B119)*N('Исходные данные'!$B$17)/N('Исходные данные'!$B$19))</f>
        <v>0</v>
      </c>
      <c r="AA119">
        <f>IF(OR(B119="",N('Исходные данные'!$B$19)=0),0,-SUMIFS('Исходные данные'!$I$6:$I$186,'Исходные данные'!$F$6:$F$186,B119)*N('Исходные данные'!$B$18)/N('Исходные данные'!$B$19))</f>
        <v>0</v>
      </c>
      <c r="AB119">
        <f>IF(OR(B119="",'Исходные данные'!$B$13=""),0,IF(AND(YEAR(B119)=YEAR('Исходные данные'!$B$13),MONTH(B119)=MONTH('Исходные данные'!$B$13)),-N('Исходные данные'!$B$11),0))</f>
        <v>0</v>
      </c>
      <c r="AC119">
        <f>IF(A119=1,-N('Исходные данные'!$B$19)*N('Исходные данные'!$B$72),0)</f>
        <v>0</v>
      </c>
      <c r="AD119">
        <f>IF(OR(B119="",'Исходные данные'!$B$22&lt;&gt;"Да",'Исходные данные'!$B$26=""),0,IF(AND(YEAR(B119)=YEAR('Исходные данные'!$B$26),MONTH(B119)=MONTH('Исходные данные'!$B$26)),N('Исходные данные'!$B$23),0))</f>
        <v>0</v>
      </c>
      <c r="AE119">
        <f t="shared" si="79"/>
        <v>0</v>
      </c>
      <c r="AF119">
        <f>IF(OR('Исходные данные'!$B$22&lt;&gt;"Да",'Исходные данные'!$B$26="",C119&lt;'Исходные данные'!$B$26),0,DATEDIF(DATE(YEAR('Исходные данные'!$B$26),MONTH('Исходные данные'!$B$26),1),B119,"m")+1)</f>
        <v>0</v>
      </c>
      <c r="AG119">
        <f>IF(OR(AF119&lt;1,AF119&gt;N('Исходные данные'!$B$25),AE119+AD119&lt;=0),0,-(AE119+AD119)*N('Исходные данные'!$B$24)*IF(AF119=1,C119-'Исходные данные'!$B$26+1,DAY(C119))/365)</f>
        <v>0</v>
      </c>
      <c r="AH119">
        <f>IF(OR(AF119&lt;1,AF119&gt;N('Исходные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данные'!$B$25)-AG119))</f>
        <v>0</v>
      </c>
      <c r="AI119">
        <f>IF(OR('Исходные данные'!$B$22&lt;&gt;"Да",AE119+AD119&lt;=0),0,IF(AND('Исходные данные'!$B$91&lt;&gt;"",B119&lt;&gt;"",YEAR(B119)=YEAR('Исходные данные'!$B$91),MONTH(B119)=MONTH('Исходные данные'!$B$91)),-(AE119+AD119),IF(OR(AF119&lt;1,AF119&gt;N('Исходные данные'!$B$25)),0,IF('Исходные данные'!$B$27="Равными долями",-MIN(AE119+AD119,N('Исходные данные'!$B$23)/N('Исходные данные'!$B$25)),-MIN(AE119+AD119,IF(AF119=N('Исходные данные'!$B$25),AE119+AD119,MAX(0,AH119+AG119)))))))</f>
        <v>0</v>
      </c>
      <c r="AJ119">
        <f t="shared" si="67"/>
        <v>0</v>
      </c>
      <c r="AK119">
        <f t="shared" si="68"/>
        <v>0</v>
      </c>
      <c r="AL119">
        <f>IF(OR(B119="",'Исходные данные'!$B$51&lt;&gt;"Да",'Исходные данные'!$B$61=""),0,IF(AND(YEAR(B119)=YEAR('Исходные данные'!$B$61),MONTH(B119)=MONTH('Исходные данные'!$B$61)),N('Исходные данные'!$B$18)*N('Исходные данные'!$B$62),0))</f>
        <v>0</v>
      </c>
      <c r="AM119">
        <f t="shared" si="80"/>
        <v>0</v>
      </c>
      <c r="AN119">
        <f t="shared" si="69"/>
        <v>0</v>
      </c>
      <c r="AO119">
        <f t="shared" si="70"/>
        <v>0</v>
      </c>
      <c r="AP119">
        <f>IF('Исходные данные'!$B$51="Да",-MAX(0,AN119-AO119-AM119),0)</f>
        <v>0</v>
      </c>
      <c r="AQ119">
        <f>IF('Исходные данные'!$B$51="Да",MAX(0,AM119+AO119-AN119),0)</f>
        <v>0</v>
      </c>
      <c r="AR119">
        <f>IF('Исходные данные'!$B$53="Выручка",MAX(0,L119+(Q119-R119)+(U119-V119)),IF('Исходные данные'!$B$53="Прибыль до налога",MAX(0,L119+(Q119-R119)+(U119-V119)+N('Исходные данные'!$B$54)*((O119+P119)+(S119+T119)+W119+X119)+IF('Исходные данные'!$B$55="Да",AG119,0)-N('Исходные данные'!$B$56)/12),IF('Исходные данные'!$B$53="Пользовательская база",MAX(0,N('Исходные данные'!$B$57)/12),0)))</f>
        <v>0</v>
      </c>
      <c r="AS119">
        <f>IF(E119=1,-AR119*N('Исходные данные'!$B$50),0)</f>
        <v>0</v>
      </c>
      <c r="AT119">
        <f t="shared" si="71"/>
        <v>0</v>
      </c>
      <c r="AU119">
        <f>IF(OR(B119="",N('Исходные данные'!$B$80)&lt;=0,'Исходные данные'!$B$88=""),0,MAX(0,IF('Исходные данные'!$B$88="Последние 12 месяцев",SUMIFS($Y$2:$Y$194,$B$2:$B$194,"&gt;="&amp;EDATE(B119,-11),$B$2:$B$194,"&lt;="&amp;B119),IF('Исходные данные'!$B$88="Пользовательский NOI",N('Исходные данные'!$B$89),AT119))/N('Исходные данные'!$B$80)*(1+N('Исходные данные'!$B$81))))</f>
        <v>0</v>
      </c>
      <c r="AV119">
        <f>IF(OR(E119&lt;&gt;1,B119="",'Исходные данные'!$B$91=""),0,IF(AND(YEAR(B119)=YEAR('Исходные данные'!$B$91),MONTH(B119)=MONTH('Исходные данные'!$B$91)),AU119,0))</f>
        <v>0</v>
      </c>
      <c r="AW119">
        <f>-AV119*N('Исходные данные'!$B$73)</f>
        <v>0</v>
      </c>
      <c r="AX119">
        <f>IF(AV119=0,0,-N('Исходные данные'!$B$87)-IF('Исходные данные'!$B$82="Да",IF('Исходные данные'!$B$84="С выручки",AV119,IF('Исходные данные'!$B$84="С прибыли",MAX(0,AV119+AW119-IF('Исходные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19">
        <f t="shared" si="72"/>
        <v>0</v>
      </c>
      <c r="AZ119">
        <f t="shared" si="73"/>
        <v>0</v>
      </c>
      <c r="BA119">
        <f t="shared" si="74"/>
        <v>0</v>
      </c>
      <c r="BB119" t="str">
        <f t="shared" si="81"/>
        <v/>
      </c>
      <c r="BC119">
        <f>IF(OR(E119=0,'Исходные данные'!$B$9="",'Исходные данные'!$B$90=""),0,BA119/(1+'Исходные данные'!$B$90)^((D119-'Исходные данные'!$B$9)/365))</f>
        <v>0</v>
      </c>
      <c r="BD119">
        <f>IF(AND(E119=1,BB119&gt;=0,BB118&lt;0,MIN($BB$2:BB119)&lt;0),1,0)</f>
        <v>0</v>
      </c>
      <c r="BE119">
        <f t="shared" si="75"/>
        <v>0</v>
      </c>
      <c r="BF119">
        <f t="shared" si="76"/>
        <v>0</v>
      </c>
      <c r="BG119">
        <f t="shared" si="77"/>
        <v>0</v>
      </c>
      <c r="BH119">
        <f t="shared" si="78"/>
        <v>1</v>
      </c>
      <c r="BI119">
        <f>AZ119+N119+AP119-AR119*N('Исходные данные'!$B$50)</f>
        <v>0</v>
      </c>
      <c r="BJ119">
        <f t="shared" si="61"/>
        <v>0</v>
      </c>
      <c r="BK119">
        <f>IF(AND(BJ119&gt;=0,BJ118&lt;0,MIN($BJ$2:BJ119)&lt;0),1,0)</f>
        <v>0</v>
      </c>
    </row>
    <row r="120" spans="1:63" x14ac:dyDescent="0.2">
      <c r="A120">
        <v>119</v>
      </c>
      <c r="B120" t="str">
        <f>IF('Исходные данные'!$B$9="","",EDATE(DATE(YEAR('Исходные данные'!$B$9),MONTH('Исходные данные'!$B$9),1),A120-1))</f>
        <v/>
      </c>
      <c r="C120" t="str">
        <f t="shared" si="62"/>
        <v/>
      </c>
      <c r="D120" t="str">
        <f>IF(B120="","",IF('Исходные данные'!$B$91&lt;&gt;"",IF(AND(YEAR(B120)=YEAR('Исходные данные'!$B$91),MONTH(B120)=MONTH('Исходные данные'!$B$91)),'Исходные данные'!$B$91,IF('Исходные данные'!$B$13&lt;&gt;"",IF(AND(YEAR(B120)=YEAR('Исходные данные'!$B$13),MONTH(B120)=MONTH('Исходные данные'!$B$13)),'Исходные данные'!$B$13,IF('Исходные данные'!$B$26&lt;&gt;"",IF(AND(YEAR(B120)=YEAR('Исходные данные'!$B$26),MONTH(B120)=MONTH('Исходные данные'!$B$26)),'Исходные данные'!$B$26,IF(A120=1,'Исходные данные'!$B$9,C120)),IF(A120=1,'Исходные данные'!$B$9,C120))),IF('Исходные данные'!$B$26&lt;&gt;"",IF(AND(YEAR(B120)=YEAR('Исходные данные'!$B$26),MONTH(B120)=MONTH('Исходные данные'!$B$26)),'Исходные данные'!$B$26,IF(A120=1,'Исходные данные'!$B$9,C120)),IF(A120=1,'Исходные данные'!$B$9,C120)))),IF('Исходные данные'!$B$13&lt;&gt;"",IF(AND(YEAR(B120)=YEAR('Исходные данные'!$B$13),MONTH(B120)=MONTH('Исходные данные'!$B$13)),'Исходные данные'!$B$13,IF('Исходные данные'!$B$26&lt;&gt;"",IF(AND(YEAR(B120)=YEAR('Исходные данные'!$B$26),MONTH(B120)=MONTH('Исходные данные'!$B$26)),'Исходные данные'!$B$26,IF(A120=1,'Исходные данные'!$B$9,C120)),IF(A120=1,'Исходные данные'!$B$9,C120))),IF('Исходные данные'!$B$26&lt;&gt;"",IF(AND(YEAR(B120)=YEAR('Исходные данные'!$B$26),MONTH(B120)=MONTH('Исходные данные'!$B$26)),'Исходные данные'!$B$26,IF(A120=1,'Исходные данные'!$B$9,C120)),IF(A120=1,'Исходные данные'!$B$9,C120)))))</f>
        <v/>
      </c>
      <c r="E120">
        <f>IF(OR(B120="",'Исходные данные'!$B$91=""),0,--(B120&lt;=DATE(YEAR('Исходные данные'!$B$91),MONTH('Исходные данные'!$B$91),1)))</f>
        <v>0</v>
      </c>
      <c r="F120">
        <f>IF(OR(B120="",'Исходные данные'!$B$30="",C120&lt;'Исходные данные'!$B$30),0,DATEDIF(DATE(YEAR('Исходные данные'!$B$30),MONTH('Исходные данные'!$B$30),1),B120,"m")+1)</f>
        <v>0</v>
      </c>
      <c r="G120">
        <f t="shared" si="63"/>
        <v>0</v>
      </c>
      <c r="H120">
        <f>IF(F120=0,0,IF(G120=1,N('Исходные данные'!$B$31),IF(G120=2,N('Исходные данные'!$B$32),IF(G120=3,N('Исходные данные'!$B$33),N('Исходные данные'!$B$33)*(1+N('Исходные данные'!$B$34))^(G120-3)))))</f>
        <v>0</v>
      </c>
      <c r="I120">
        <f>IF(OR(F120=0,N('Исходные данные'!$B$5)=0,H120=0),0,'Исходные данные'!$B$5*H120*IF(AND(B120&lt;='Исходные данные'!$B$30,C120&gt;='Исходные данные'!$B$30),(C120-'Исходные данные'!$B$30+1)/DAY(C120),1))</f>
        <v>0</v>
      </c>
      <c r="J120">
        <f>IF(AND(F120&gt;0,F120&lt;=N('Исходные данные'!$B$37)),-I120,0)</f>
        <v>0</v>
      </c>
      <c r="K120">
        <f>IF(OR(F120=0,F120&lt;=N('Исходные данные'!$B$37)),0,-(I120+J120)*N('Исходные данные'!$B$38))</f>
        <v>0</v>
      </c>
      <c r="L120">
        <f t="shared" si="64"/>
        <v>0</v>
      </c>
      <c r="M120">
        <f>IF('Исходные данные'!$B$51="Да",L120*N('Исходные данные'!$B$52),0)</f>
        <v>0</v>
      </c>
      <c r="N120">
        <f t="shared" si="65"/>
        <v>0</v>
      </c>
      <c r="O120">
        <f>IF(OR(B120="",IF('Исходные данные'!$B$45="",'Исходные данные'!$B$10,'Исходные данные'!$B$45)="",C120&lt;IF('Исходные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данные'!$B$45)),1),B120,"m")/12))*IF(AND(B120&lt;=IF('Исходные данные'!$B$45="",'Исходные данные'!$B$10,'Исходные данные'!$B$45),C120&gt;=IF('Исходные данные'!$B$45="",'Исходные данные'!$B$10,'Исходные данные'!$B$45)),(C120-IF('Исходные данные'!$B$45="",'Исходные данные'!$B$10,'Исходные данные'!$B$45)+1)/DAY(C120),1)*IF('Исходные данные'!$B$43="Без НДС",1+N('Исходные данные'!$B$44),1))</f>
        <v>0</v>
      </c>
      <c r="P120">
        <f>IF('Исходные данные'!$B$51="Да",-O120*N('Исходные данные'!$B$44)/(1+N('Исходные данные'!$B$44)),0)</f>
        <v>0</v>
      </c>
      <c r="Q120">
        <f>IF('Исходные данные'!$B$35="Да",-O120,0)</f>
        <v>0</v>
      </c>
      <c r="R120">
        <f>IF(AND('Исходные данные'!$B$51="Да",Q120&gt;0),Q120*N('Исходные данные'!$B$52)/(1+N('Исходные данные'!$B$52)),0)</f>
        <v>0</v>
      </c>
      <c r="S120">
        <f>IF(OR(B120="",IF('Исходные данные'!$B$45="",'Исходные данные'!$B$10,'Исходные данные'!$B$45)="",C120&lt;IF('Исходные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данные'!$B$45)),1),B120,"m")/12))*IF(AND(B120&lt;=IF('Исходные данные'!$B$45="",'Исходные данные'!$B$10,'Исходные данные'!$B$45),C120&gt;=IF('Исходные данные'!$B$45="",'Исходные данные'!$B$10,'Исходные данные'!$B$45)),(C120-IF('Исходные данные'!$B$45="",'Исходные данные'!$B$10,'Исходные данные'!$B$45)+1)/DAY(C120),1)*IF('Исходные данные'!$B$43="Без НДС",1+N('Исходные данные'!$B$44),1))</f>
        <v>0</v>
      </c>
      <c r="T120">
        <f>IF('Исходные данные'!$B$51="Да",-S120*N('Исходные данные'!$B$44)/(1+N('Исходные данные'!$B$44)),0)</f>
        <v>0</v>
      </c>
      <c r="U120">
        <f>IF('Исходные данные'!$B$36="Да",-S120,0)</f>
        <v>0</v>
      </c>
      <c r="V120">
        <f>IF(AND('Исходные данные'!$B$51="Да",U120&gt;0),U120*N('Исходные данные'!$B$52)/(1+N('Исходные данные'!$B$52)),0)</f>
        <v>0</v>
      </c>
      <c r="W120">
        <f>IF(OR(B120="",IF('Исходные данные'!$B$69="",'Исходные данные'!$B$10,'Исходные данные'!$B$69)="",C120&lt;IF('Исходные данные'!$B$69="",'Исходные данные'!$B$10,'Исходные данные'!$B$69)),0,-N('Исходные данные'!$B$16)*N('Исходные данные'!$B$68)*N('Исходные данные'!$B$67)/12*IF(AND(B120&lt;=IF('Исходные данные'!$B$69="",'Исходные данные'!$B$10,'Исходные данные'!$B$69),C120&gt;=IF('Исходные данные'!$B$69="",'Исходные данные'!$B$10,'Исходные данные'!$B$69)),(C120-IF('Исходные данные'!$B$69="",'Исходные данные'!$B$10,'Исходные данные'!$B$69)+1)/DAY(C120),1))</f>
        <v>0</v>
      </c>
      <c r="X120">
        <f>IF(OR(B120="",IF('Исходные данные'!$B$76="",'Исходные данные'!$B$10,'Исходные данные'!$B$76)="",C120&lt;IF('Исходные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данные'!$B$76)),1),B120,"m")/12))*IF(AND(B120&lt;=IF('Исходные данные'!$B$76="",'Исходные данные'!$B$10,'Исходные данные'!$B$76),C120&gt;=IF('Исходные данные'!$B$76="",'Исходные данные'!$B$10,'Исходные данные'!$B$76)),(C120-IF('Исходные данные'!$B$76="",'Исходные данные'!$B$10,'Исходные данные'!$B$76)+1)/DAY(C120),1))</f>
        <v>0</v>
      </c>
      <c r="Y120">
        <f t="shared" si="66"/>
        <v>0</v>
      </c>
      <c r="Z120">
        <f>IF(OR(B120="",N('Исходные данные'!$B$19)=0),0,-SUMIFS('Исходные данные'!$I$6:$I$186,'Исходные данные'!$F$6:$F$186,B120)*N('Исходные данные'!$B$17)/N('Исходные данные'!$B$19))</f>
        <v>0</v>
      </c>
      <c r="AA120">
        <f>IF(OR(B120="",N('Исходные данные'!$B$19)=0),0,-SUMIFS('Исходные данные'!$I$6:$I$186,'Исходные данные'!$F$6:$F$186,B120)*N('Исходные данные'!$B$18)/N('Исходные данные'!$B$19))</f>
        <v>0</v>
      </c>
      <c r="AB120">
        <f>IF(OR(B120="",'Исходные данные'!$B$13=""),0,IF(AND(YEAR(B120)=YEAR('Исходные данные'!$B$13),MONTH(B120)=MONTH('Исходные данные'!$B$13)),-N('Исходные данные'!$B$11),0))</f>
        <v>0</v>
      </c>
      <c r="AC120">
        <f>IF(A120=1,-N('Исходные данные'!$B$19)*N('Исходные данные'!$B$72),0)</f>
        <v>0</v>
      </c>
      <c r="AD120">
        <f>IF(OR(B120="",'Исходные данные'!$B$22&lt;&gt;"Да",'Исходные данные'!$B$26=""),0,IF(AND(YEAR(B120)=YEAR('Исходные данные'!$B$26),MONTH(B120)=MONTH('Исходные данные'!$B$26)),N('Исходные данные'!$B$23),0))</f>
        <v>0</v>
      </c>
      <c r="AE120">
        <f t="shared" si="79"/>
        <v>0</v>
      </c>
      <c r="AF120">
        <f>IF(OR('Исходные данные'!$B$22&lt;&gt;"Да",'Исходные данные'!$B$26="",C120&lt;'Исходные данные'!$B$26),0,DATEDIF(DATE(YEAR('Исходные данные'!$B$26),MONTH('Исходные данные'!$B$26),1),B120,"m")+1)</f>
        <v>0</v>
      </c>
      <c r="AG120">
        <f>IF(OR(AF120&lt;1,AF120&gt;N('Исходные данные'!$B$25),AE120+AD120&lt;=0),0,-(AE120+AD120)*N('Исходные данные'!$B$24)*IF(AF120=1,C120-'Исходные данные'!$B$26+1,DAY(C120))/365)</f>
        <v>0</v>
      </c>
      <c r="AH120">
        <f>IF(OR(AF120&lt;1,AF120&gt;N('Исходные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данные'!$B$25)-AG120))</f>
        <v>0</v>
      </c>
      <c r="AI120">
        <f>IF(OR('Исходные данные'!$B$22&lt;&gt;"Да",AE120+AD120&lt;=0),0,IF(AND('Исходные данные'!$B$91&lt;&gt;"",B120&lt;&gt;"",YEAR(B120)=YEAR('Исходные данные'!$B$91),MONTH(B120)=MONTH('Исходные данные'!$B$91)),-(AE120+AD120),IF(OR(AF120&lt;1,AF120&gt;N('Исходные данные'!$B$25)),0,IF('Исходные данные'!$B$27="Равными долями",-MIN(AE120+AD120,N('Исходные данные'!$B$23)/N('Исходные данные'!$B$25)),-MIN(AE120+AD120,IF(AF120=N('Исходные данные'!$B$25),AE120+AD120,MAX(0,AH120+AG120)))))))</f>
        <v>0</v>
      </c>
      <c r="AJ120">
        <f t="shared" si="67"/>
        <v>0</v>
      </c>
      <c r="AK120">
        <f t="shared" si="68"/>
        <v>0</v>
      </c>
      <c r="AL120">
        <f>IF(OR(B120="",'Исходные данные'!$B$51&lt;&gt;"Да",'Исходные данные'!$B$61=""),0,IF(AND(YEAR(B120)=YEAR('Исходные данные'!$B$61),MONTH(B120)=MONTH('Исходные данные'!$B$61)),N('Исходные данные'!$B$18)*N('Исходные данные'!$B$62),0))</f>
        <v>0</v>
      </c>
      <c r="AM120">
        <f t="shared" si="80"/>
        <v>0</v>
      </c>
      <c r="AN120">
        <f t="shared" si="69"/>
        <v>0</v>
      </c>
      <c r="AO120">
        <f t="shared" si="70"/>
        <v>0</v>
      </c>
      <c r="AP120">
        <f>IF('Исходные данные'!$B$51="Да",-MAX(0,AN120-AO120-AM120),0)</f>
        <v>0</v>
      </c>
      <c r="AQ120">
        <f>IF('Исходные данные'!$B$51="Да",MAX(0,AM120+AO120-AN120),0)</f>
        <v>0</v>
      </c>
      <c r="AR120">
        <f>IF('Исходные данные'!$B$53="Выручка",MAX(0,L120+(Q120-R120)+(U120-V120)),IF('Исходные данные'!$B$53="Прибыль до налога",MAX(0,L120+(Q120-R120)+(U120-V120)+N('Исходные данные'!$B$54)*((O120+P120)+(S120+T120)+W120+X120)+IF('Исходные данные'!$B$55="Да",AG120,0)-N('Исходные данные'!$B$56)/12),IF('Исходные данные'!$B$53="Пользовательская база",MAX(0,N('Исходные данные'!$B$57)/12),0)))</f>
        <v>0</v>
      </c>
      <c r="AS120">
        <f>IF(E120=1,-AR120*N('Исходные данные'!$B$50),0)</f>
        <v>0</v>
      </c>
      <c r="AT120">
        <f t="shared" si="71"/>
        <v>0</v>
      </c>
      <c r="AU120">
        <f>IF(OR(B120="",N('Исходные данные'!$B$80)&lt;=0,'Исходные данные'!$B$88=""),0,MAX(0,IF('Исходные данные'!$B$88="Последние 12 месяцев",SUMIFS($Y$2:$Y$194,$B$2:$B$194,"&gt;="&amp;EDATE(B120,-11),$B$2:$B$194,"&lt;="&amp;B120),IF('Исходные данные'!$B$88="Пользовательский NOI",N('Исходные данные'!$B$89),AT120))/N('Исходные данные'!$B$80)*(1+N('Исходные данные'!$B$81))))</f>
        <v>0</v>
      </c>
      <c r="AV120">
        <f>IF(OR(E120&lt;&gt;1,B120="",'Исходные данные'!$B$91=""),0,IF(AND(YEAR(B120)=YEAR('Исходные данные'!$B$91),MONTH(B120)=MONTH('Исходные данные'!$B$91)),AU120,0))</f>
        <v>0</v>
      </c>
      <c r="AW120">
        <f>-AV120*N('Исходные данные'!$B$73)</f>
        <v>0</v>
      </c>
      <c r="AX120">
        <f>IF(AV120=0,0,-N('Исходные данные'!$B$87)-IF('Исходные данные'!$B$82="Да",IF('Исходные данные'!$B$84="С выручки",AV120,IF('Исходные данные'!$B$84="С прибыли",MAX(0,AV120+AW120-IF('Исходные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20">
        <f t="shared" si="72"/>
        <v>0</v>
      </c>
      <c r="AZ120">
        <f t="shared" si="73"/>
        <v>0</v>
      </c>
      <c r="BA120">
        <f t="shared" si="74"/>
        <v>0</v>
      </c>
      <c r="BB120" t="str">
        <f t="shared" si="81"/>
        <v/>
      </c>
      <c r="BC120">
        <f>IF(OR(E120=0,'Исходные данные'!$B$9="",'Исходные данные'!$B$90=""),0,BA120/(1+'Исходные данные'!$B$90)^((D120-'Исходные данные'!$B$9)/365))</f>
        <v>0</v>
      </c>
      <c r="BD120">
        <f>IF(AND(E120=1,BB120&gt;=0,BB119&lt;0,MIN($BB$2:BB120)&lt;0),1,0)</f>
        <v>0</v>
      </c>
      <c r="BE120">
        <f t="shared" si="75"/>
        <v>0</v>
      </c>
      <c r="BF120">
        <f t="shared" si="76"/>
        <v>0</v>
      </c>
      <c r="BG120">
        <f t="shared" si="77"/>
        <v>0</v>
      </c>
      <c r="BH120">
        <f t="shared" si="78"/>
        <v>1</v>
      </c>
      <c r="BI120">
        <f>AZ120+N120+AP120-AR120*N('Исходные данные'!$B$50)</f>
        <v>0</v>
      </c>
      <c r="BJ120">
        <f t="shared" si="61"/>
        <v>0</v>
      </c>
      <c r="BK120">
        <f>IF(AND(BJ120&gt;=0,BJ119&lt;0,MIN($BJ$2:BJ120)&lt;0),1,0)</f>
        <v>0</v>
      </c>
    </row>
    <row r="121" spans="1:63" x14ac:dyDescent="0.2">
      <c r="A121">
        <v>120</v>
      </c>
      <c r="B121" t="str">
        <f>IF('Исходные данные'!$B$9="","",EDATE(DATE(YEAR('Исходные данные'!$B$9),MONTH('Исходные данные'!$B$9),1),A121-1))</f>
        <v/>
      </c>
      <c r="C121" t="str">
        <f t="shared" si="62"/>
        <v/>
      </c>
      <c r="D121" t="str">
        <f>IF(B121="","",IF('Исходные данные'!$B$91&lt;&gt;"",IF(AND(YEAR(B121)=YEAR('Исходные данные'!$B$91),MONTH(B121)=MONTH('Исходные данные'!$B$91)),'Исходные данные'!$B$91,IF('Исходные данные'!$B$13&lt;&gt;"",IF(AND(YEAR(B121)=YEAR('Исходные данные'!$B$13),MONTH(B121)=MONTH('Исходные данные'!$B$13)),'Исходные данные'!$B$13,IF('Исходные данные'!$B$26&lt;&gt;"",IF(AND(YEAR(B121)=YEAR('Исходные данные'!$B$26),MONTH(B121)=MONTH('Исходные данные'!$B$26)),'Исходные данные'!$B$26,IF(A121=1,'Исходные данные'!$B$9,C121)),IF(A121=1,'Исходные данные'!$B$9,C121))),IF('Исходные данные'!$B$26&lt;&gt;"",IF(AND(YEAR(B121)=YEAR('Исходные данные'!$B$26),MONTH(B121)=MONTH('Исходные данные'!$B$26)),'Исходные данные'!$B$26,IF(A121=1,'Исходные данные'!$B$9,C121)),IF(A121=1,'Исходные данные'!$B$9,C121)))),IF('Исходные данные'!$B$13&lt;&gt;"",IF(AND(YEAR(B121)=YEAR('Исходные данные'!$B$13),MONTH(B121)=MONTH('Исходные данные'!$B$13)),'Исходные данные'!$B$13,IF('Исходные данные'!$B$26&lt;&gt;"",IF(AND(YEAR(B121)=YEAR('Исходные данные'!$B$26),MONTH(B121)=MONTH('Исходные данные'!$B$26)),'Исходные данные'!$B$26,IF(A121=1,'Исходные данные'!$B$9,C121)),IF(A121=1,'Исходные данные'!$B$9,C121))),IF('Исходные данные'!$B$26&lt;&gt;"",IF(AND(YEAR(B121)=YEAR('Исходные данные'!$B$26),MONTH(B121)=MONTH('Исходные данные'!$B$26)),'Исходные данные'!$B$26,IF(A121=1,'Исходные данные'!$B$9,C121)),IF(A121=1,'Исходные данные'!$B$9,C121)))))</f>
        <v/>
      </c>
      <c r="E121">
        <f>IF(OR(B121="",'Исходные данные'!$B$91=""),0,--(B121&lt;=DATE(YEAR('Исходные данные'!$B$91),MONTH('Исходные данные'!$B$91),1)))</f>
        <v>0</v>
      </c>
      <c r="F121">
        <f>IF(OR(B121="",'Исходные данные'!$B$30="",C121&lt;'Исходные данные'!$B$30),0,DATEDIF(DATE(YEAR('Исходные данные'!$B$30),MONTH('Исходные данные'!$B$30),1),B121,"m")+1)</f>
        <v>0</v>
      </c>
      <c r="G121">
        <f t="shared" si="63"/>
        <v>0</v>
      </c>
      <c r="H121">
        <f>IF(F121=0,0,IF(G121=1,N('Исходные данные'!$B$31),IF(G121=2,N('Исходные данные'!$B$32),IF(G121=3,N('Исходные данные'!$B$33),N('Исходные данные'!$B$33)*(1+N('Исходные данные'!$B$34))^(G121-3)))))</f>
        <v>0</v>
      </c>
      <c r="I121">
        <f>IF(OR(F121=0,N('Исходные данные'!$B$5)=0,H121=0),0,'Исходные данные'!$B$5*H121*IF(AND(B121&lt;='Исходные данные'!$B$30,C121&gt;='Исходные данные'!$B$30),(C121-'Исходные данные'!$B$30+1)/DAY(C121),1))</f>
        <v>0</v>
      </c>
      <c r="J121">
        <f>IF(AND(F121&gt;0,F121&lt;=N('Исходные данные'!$B$37)),-I121,0)</f>
        <v>0</v>
      </c>
      <c r="K121">
        <f>IF(OR(F121=0,F121&lt;=N('Исходные данные'!$B$37)),0,-(I121+J121)*N('Исходные данные'!$B$38))</f>
        <v>0</v>
      </c>
      <c r="L121">
        <f t="shared" si="64"/>
        <v>0</v>
      </c>
      <c r="M121">
        <f>IF('Исходные данные'!$B$51="Да",L121*N('Исходные данные'!$B$52),0)</f>
        <v>0</v>
      </c>
      <c r="N121">
        <f t="shared" si="65"/>
        <v>0</v>
      </c>
      <c r="O121">
        <f>IF(OR(B121="",IF('Исходные данные'!$B$45="",'Исходные данные'!$B$10,'Исходные данные'!$B$45)="",C121&lt;IF('Исходные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данные'!$B$45)),1),B121,"m")/12))*IF(AND(B121&lt;=IF('Исходные данные'!$B$45="",'Исходные данные'!$B$10,'Исходные данные'!$B$45),C121&gt;=IF('Исходные данные'!$B$45="",'Исходные данные'!$B$10,'Исходные данные'!$B$45)),(C121-IF('Исходные данные'!$B$45="",'Исходные данные'!$B$10,'Исходные данные'!$B$45)+1)/DAY(C121),1)*IF('Исходные данные'!$B$43="Без НДС",1+N('Исходные данные'!$B$44),1))</f>
        <v>0</v>
      </c>
      <c r="P121">
        <f>IF('Исходные данные'!$B$51="Да",-O121*N('Исходные данные'!$B$44)/(1+N('Исходные данные'!$B$44)),0)</f>
        <v>0</v>
      </c>
      <c r="Q121">
        <f>IF('Исходные данные'!$B$35="Да",-O121,0)</f>
        <v>0</v>
      </c>
      <c r="R121">
        <f>IF(AND('Исходные данные'!$B$51="Да",Q121&gt;0),Q121*N('Исходные данные'!$B$52)/(1+N('Исходные данные'!$B$52)),0)</f>
        <v>0</v>
      </c>
      <c r="S121">
        <f>IF(OR(B121="",IF('Исходные данные'!$B$45="",'Исходные данные'!$B$10,'Исходные данные'!$B$45)="",C121&lt;IF('Исходные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данные'!$B$45)),1),B121,"m")/12))*IF(AND(B121&lt;=IF('Исходные данные'!$B$45="",'Исходные данные'!$B$10,'Исходные данные'!$B$45),C121&gt;=IF('Исходные данные'!$B$45="",'Исходные данные'!$B$10,'Исходные данные'!$B$45)),(C121-IF('Исходные данные'!$B$45="",'Исходные данные'!$B$10,'Исходные данные'!$B$45)+1)/DAY(C121),1)*IF('Исходные данные'!$B$43="Без НДС",1+N('Исходные данные'!$B$44),1))</f>
        <v>0</v>
      </c>
      <c r="T121">
        <f>IF('Исходные данные'!$B$51="Да",-S121*N('Исходные данные'!$B$44)/(1+N('Исходные данные'!$B$44)),0)</f>
        <v>0</v>
      </c>
      <c r="U121">
        <f>IF('Исходные данные'!$B$36="Да",-S121,0)</f>
        <v>0</v>
      </c>
      <c r="V121">
        <f>IF(AND('Исходные данные'!$B$51="Да",U121&gt;0),U121*N('Исходные данные'!$B$52)/(1+N('Исходные данные'!$B$52)),0)</f>
        <v>0</v>
      </c>
      <c r="W121">
        <f>IF(OR(B121="",IF('Исходные данные'!$B$69="",'Исходные данные'!$B$10,'Исходные данные'!$B$69)="",C121&lt;IF('Исходные данные'!$B$69="",'Исходные данные'!$B$10,'Исходные данные'!$B$69)),0,-N('Исходные данные'!$B$16)*N('Исходные данные'!$B$68)*N('Исходные данные'!$B$67)/12*IF(AND(B121&lt;=IF('Исходные данные'!$B$69="",'Исходные данные'!$B$10,'Исходные данные'!$B$69),C121&gt;=IF('Исходные данные'!$B$69="",'Исходные данные'!$B$10,'Исходные данные'!$B$69)),(C121-IF('Исходные данные'!$B$69="",'Исходные данные'!$B$10,'Исходные данные'!$B$69)+1)/DAY(C121),1))</f>
        <v>0</v>
      </c>
      <c r="X121">
        <f>IF(OR(B121="",IF('Исходные данные'!$B$76="",'Исходные данные'!$B$10,'Исходные данные'!$B$76)="",C121&lt;IF('Исходные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данные'!$B$76)),1),B121,"m")/12))*IF(AND(B121&lt;=IF('Исходные данные'!$B$76="",'Исходные данные'!$B$10,'Исходные данные'!$B$76),C121&gt;=IF('Исходные данные'!$B$76="",'Исходные данные'!$B$10,'Исходные данные'!$B$76)),(C121-IF('Исходные данные'!$B$76="",'Исходные данные'!$B$10,'Исходные данные'!$B$76)+1)/DAY(C121),1))</f>
        <v>0</v>
      </c>
      <c r="Y121">
        <f t="shared" si="66"/>
        <v>0</v>
      </c>
      <c r="Z121">
        <f>IF(OR(B121="",N('Исходные данные'!$B$19)=0),0,-SUMIFS('Исходные данные'!$I$6:$I$186,'Исходные данные'!$F$6:$F$186,B121)*N('Исходные данные'!$B$17)/N('Исходные данные'!$B$19))</f>
        <v>0</v>
      </c>
      <c r="AA121">
        <f>IF(OR(B121="",N('Исходные данные'!$B$19)=0),0,-SUMIFS('Исходные данные'!$I$6:$I$186,'Исходные данные'!$F$6:$F$186,B121)*N('Исходные данные'!$B$18)/N('Исходные данные'!$B$19))</f>
        <v>0</v>
      </c>
      <c r="AB121">
        <f>IF(OR(B121="",'Исходные данные'!$B$13=""),0,IF(AND(YEAR(B121)=YEAR('Исходные данные'!$B$13),MONTH(B121)=MONTH('Исходные данные'!$B$13)),-N('Исходные данные'!$B$11),0))</f>
        <v>0</v>
      </c>
      <c r="AC121">
        <f>IF(A121=1,-N('Исходные данные'!$B$19)*N('Исходные данные'!$B$72),0)</f>
        <v>0</v>
      </c>
      <c r="AD121">
        <f>IF(OR(B121="",'Исходные данные'!$B$22&lt;&gt;"Да",'Исходные данные'!$B$26=""),0,IF(AND(YEAR(B121)=YEAR('Исходные данные'!$B$26),MONTH(B121)=MONTH('Исходные данные'!$B$26)),N('Исходные данные'!$B$23),0))</f>
        <v>0</v>
      </c>
      <c r="AE121">
        <f t="shared" si="79"/>
        <v>0</v>
      </c>
      <c r="AF121">
        <f>IF(OR('Исходные данные'!$B$22&lt;&gt;"Да",'Исходные данные'!$B$26="",C121&lt;'Исходные данные'!$B$26),0,DATEDIF(DATE(YEAR('Исходные данные'!$B$26),MONTH('Исходные данные'!$B$26),1),B121,"m")+1)</f>
        <v>0</v>
      </c>
      <c r="AG121">
        <f>IF(OR(AF121&lt;1,AF121&gt;N('Исходные данные'!$B$25),AE121+AD121&lt;=0),0,-(AE121+AD121)*N('Исходные данные'!$B$24)*IF(AF121=1,C121-'Исходные данные'!$B$26+1,DAY(C121))/365)</f>
        <v>0</v>
      </c>
      <c r="AH121">
        <f>IF(OR(AF121&lt;1,AF121&gt;N('Исходные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данные'!$B$25)-AG121))</f>
        <v>0</v>
      </c>
      <c r="AI121">
        <f>IF(OR('Исходные данные'!$B$22&lt;&gt;"Да",AE121+AD121&lt;=0),0,IF(AND('Исходные данные'!$B$91&lt;&gt;"",B121&lt;&gt;"",YEAR(B121)=YEAR('Исходные данные'!$B$91),MONTH(B121)=MONTH('Исходные данные'!$B$91)),-(AE121+AD121),IF(OR(AF121&lt;1,AF121&gt;N('Исходные данные'!$B$25)),0,IF('Исходные данные'!$B$27="Равными долями",-MIN(AE121+AD121,N('Исходные данные'!$B$23)/N('Исходные данные'!$B$25)),-MIN(AE121+AD121,IF(AF121=N('Исходные данные'!$B$25),AE121+AD121,MAX(0,AH121+AG121)))))))</f>
        <v>0</v>
      </c>
      <c r="AJ121">
        <f t="shared" si="67"/>
        <v>0</v>
      </c>
      <c r="AK121">
        <f t="shared" si="68"/>
        <v>0</v>
      </c>
      <c r="AL121">
        <f>IF(OR(B121="",'Исходные данные'!$B$51&lt;&gt;"Да",'Исходные данные'!$B$61=""),0,IF(AND(YEAR(B121)=YEAR('Исходные данные'!$B$61),MONTH(B121)=MONTH('Исходные данные'!$B$61)),N('Исходные данные'!$B$18)*N('Исходные данные'!$B$62),0))</f>
        <v>0</v>
      </c>
      <c r="AM121">
        <f t="shared" si="80"/>
        <v>0</v>
      </c>
      <c r="AN121">
        <f t="shared" si="69"/>
        <v>0</v>
      </c>
      <c r="AO121">
        <f t="shared" si="70"/>
        <v>0</v>
      </c>
      <c r="AP121">
        <f>IF('Исходные данные'!$B$51="Да",-MAX(0,AN121-AO121-AM121),0)</f>
        <v>0</v>
      </c>
      <c r="AQ121">
        <f>IF('Исходные данные'!$B$51="Да",MAX(0,AM121+AO121-AN121),0)</f>
        <v>0</v>
      </c>
      <c r="AR121">
        <f>IF('Исходные данные'!$B$53="Выручка",MAX(0,L121+(Q121-R121)+(U121-V121)),IF('Исходные данные'!$B$53="Прибыль до налога",MAX(0,L121+(Q121-R121)+(U121-V121)+N('Исходные данные'!$B$54)*((O121+P121)+(S121+T121)+W121+X121)+IF('Исходные данные'!$B$55="Да",AG121,0)-N('Исходные данные'!$B$56)/12),IF('Исходные данные'!$B$53="Пользовательская база",MAX(0,N('Исходные данные'!$B$57)/12),0)))</f>
        <v>0</v>
      </c>
      <c r="AS121">
        <f>IF(E121=1,-AR121*N('Исходные данные'!$B$50),0)</f>
        <v>0</v>
      </c>
      <c r="AT121">
        <f t="shared" si="71"/>
        <v>0</v>
      </c>
      <c r="AU121">
        <f>IF(OR(B121="",N('Исходные данные'!$B$80)&lt;=0,'Исходные данные'!$B$88=""),0,MAX(0,IF('Исходные данные'!$B$88="Последние 12 месяцев",SUMIFS($Y$2:$Y$194,$B$2:$B$194,"&gt;="&amp;EDATE(B121,-11),$B$2:$B$194,"&lt;="&amp;B121),IF('Исходные данные'!$B$88="Пользовательский NOI",N('Исходные данные'!$B$89),AT121))/N('Исходные данные'!$B$80)*(1+N('Исходные данные'!$B$81))))</f>
        <v>0</v>
      </c>
      <c r="AV121">
        <f>IF(OR(E121&lt;&gt;1,B121="",'Исходные данные'!$B$91=""),0,IF(AND(YEAR(B121)=YEAR('Исходные данные'!$B$91),MONTH(B121)=MONTH('Исходные данные'!$B$91)),AU121,0))</f>
        <v>0</v>
      </c>
      <c r="AW121">
        <f>-AV121*N('Исходные данные'!$B$73)</f>
        <v>0</v>
      </c>
      <c r="AX121">
        <f>IF(AV121=0,0,-N('Исходные данные'!$B$87)-IF('Исходные данные'!$B$82="Да",IF('Исходные данные'!$B$84="С выручки",AV121,IF('Исходные данные'!$B$84="С прибыли",MAX(0,AV121+AW121-IF('Исходные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21">
        <f t="shared" si="72"/>
        <v>0</v>
      </c>
      <c r="AZ121">
        <f t="shared" si="73"/>
        <v>0</v>
      </c>
      <c r="BA121">
        <f t="shared" si="74"/>
        <v>0</v>
      </c>
      <c r="BB121" t="str">
        <f t="shared" si="81"/>
        <v/>
      </c>
      <c r="BC121">
        <f>IF(OR(E121=0,'Исходные данные'!$B$9="",'Исходные данные'!$B$90=""),0,BA121/(1+'Исходные данные'!$B$90)^((D121-'Исходные данные'!$B$9)/365))</f>
        <v>0</v>
      </c>
      <c r="BD121">
        <f>IF(AND(E121=1,BB121&gt;=0,BB120&lt;0,MIN($BB$2:BB121)&lt;0),1,0)</f>
        <v>0</v>
      </c>
      <c r="BE121">
        <f t="shared" si="75"/>
        <v>0</v>
      </c>
      <c r="BF121">
        <f t="shared" si="76"/>
        <v>0</v>
      </c>
      <c r="BG121">
        <f t="shared" si="77"/>
        <v>0</v>
      </c>
      <c r="BH121">
        <f t="shared" si="78"/>
        <v>1</v>
      </c>
      <c r="BI121">
        <f>AZ121+N121+AP121-AR121*N('Исходные данные'!$B$50)</f>
        <v>0</v>
      </c>
      <c r="BJ121">
        <f t="shared" si="61"/>
        <v>0</v>
      </c>
      <c r="BK121">
        <f>IF(AND(BJ121&gt;=0,BJ120&lt;0,MIN($BJ$2:BJ121)&lt;0),1,0)</f>
        <v>0</v>
      </c>
    </row>
    <row r="122" spans="1:63" x14ac:dyDescent="0.2">
      <c r="A122">
        <v>121</v>
      </c>
      <c r="B122" t="str">
        <f>IF('Исходные данные'!$B$9="","",EDATE(DATE(YEAR('Исходные данные'!$B$9),MONTH('Исходные данные'!$B$9),1),A122-1))</f>
        <v/>
      </c>
      <c r="C122" t="str">
        <f t="shared" si="62"/>
        <v/>
      </c>
      <c r="D122" t="str">
        <f>IF(B122="","",IF('Исходные данные'!$B$91&lt;&gt;"",IF(AND(YEAR(B122)=YEAR('Исходные данные'!$B$91),MONTH(B122)=MONTH('Исходные данные'!$B$91)),'Исходные данные'!$B$91,IF('Исходные данные'!$B$13&lt;&gt;"",IF(AND(YEAR(B122)=YEAR('Исходные данные'!$B$13),MONTH(B122)=MONTH('Исходные данные'!$B$13)),'Исходные данные'!$B$13,IF('Исходные данные'!$B$26&lt;&gt;"",IF(AND(YEAR(B122)=YEAR('Исходные данные'!$B$26),MONTH(B122)=MONTH('Исходные данные'!$B$26)),'Исходные данные'!$B$26,IF(A122=1,'Исходные данные'!$B$9,C122)),IF(A122=1,'Исходные данные'!$B$9,C122))),IF('Исходные данные'!$B$26&lt;&gt;"",IF(AND(YEAR(B122)=YEAR('Исходные данные'!$B$26),MONTH(B122)=MONTH('Исходные данные'!$B$26)),'Исходные данные'!$B$26,IF(A122=1,'Исходные данные'!$B$9,C122)),IF(A122=1,'Исходные данные'!$B$9,C122)))),IF('Исходные данные'!$B$13&lt;&gt;"",IF(AND(YEAR(B122)=YEAR('Исходные данные'!$B$13),MONTH(B122)=MONTH('Исходные данные'!$B$13)),'Исходные данные'!$B$13,IF('Исходные данные'!$B$26&lt;&gt;"",IF(AND(YEAR(B122)=YEAR('Исходные данные'!$B$26),MONTH(B122)=MONTH('Исходные данные'!$B$26)),'Исходные данные'!$B$26,IF(A122=1,'Исходные данные'!$B$9,C122)),IF(A122=1,'Исходные данные'!$B$9,C122))),IF('Исходные данные'!$B$26&lt;&gt;"",IF(AND(YEAR(B122)=YEAR('Исходные данные'!$B$26),MONTH(B122)=MONTH('Исходные данные'!$B$26)),'Исходные данные'!$B$26,IF(A122=1,'Исходные данные'!$B$9,C122)),IF(A122=1,'Исходные данные'!$B$9,C122)))))</f>
        <v/>
      </c>
      <c r="E122">
        <f>IF(OR(B122="",'Исходные данные'!$B$91=""),0,--(B122&lt;=DATE(YEAR('Исходные данные'!$B$91),MONTH('Исходные данные'!$B$91),1)))</f>
        <v>0</v>
      </c>
      <c r="F122">
        <f>IF(OR(B122="",'Исходные данные'!$B$30="",C122&lt;'Исходные данные'!$B$30),0,DATEDIF(DATE(YEAR('Исходные данные'!$B$30),MONTH('Исходные данные'!$B$30),1),B122,"m")+1)</f>
        <v>0</v>
      </c>
      <c r="G122">
        <f t="shared" si="63"/>
        <v>0</v>
      </c>
      <c r="H122">
        <f>IF(F122=0,0,IF(G122=1,N('Исходные данные'!$B$31),IF(G122=2,N('Исходные данные'!$B$32),IF(G122=3,N('Исходные данные'!$B$33),N('Исходные данные'!$B$33)*(1+N('Исходные данные'!$B$34))^(G122-3)))))</f>
        <v>0</v>
      </c>
      <c r="I122">
        <f>IF(OR(F122=0,N('Исходные данные'!$B$5)=0,H122=0),0,'Исходные данные'!$B$5*H122*IF(AND(B122&lt;='Исходные данные'!$B$30,C122&gt;='Исходные данные'!$B$30),(C122-'Исходные данные'!$B$30+1)/DAY(C122),1))</f>
        <v>0</v>
      </c>
      <c r="J122">
        <f>IF(AND(F122&gt;0,F122&lt;=N('Исходные данные'!$B$37)),-I122,0)</f>
        <v>0</v>
      </c>
      <c r="K122">
        <f>IF(OR(F122=0,F122&lt;=N('Исходные данные'!$B$37)),0,-(I122+J122)*N('Исходные данные'!$B$38))</f>
        <v>0</v>
      </c>
      <c r="L122">
        <f t="shared" si="64"/>
        <v>0</v>
      </c>
      <c r="M122">
        <f>IF('Исходные данные'!$B$51="Да",L122*N('Исходные данные'!$B$52),0)</f>
        <v>0</v>
      </c>
      <c r="N122">
        <f t="shared" si="65"/>
        <v>0</v>
      </c>
      <c r="O122">
        <f>IF(OR(B122="",IF('Исходные данные'!$B$45="",'Исходные данные'!$B$10,'Исходные данные'!$B$45)="",C122&lt;IF('Исходные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данные'!$B$45)),1),B122,"m")/12))*IF(AND(B122&lt;=IF('Исходные данные'!$B$45="",'Исходные данные'!$B$10,'Исходные данные'!$B$45),C122&gt;=IF('Исходные данные'!$B$45="",'Исходные данные'!$B$10,'Исходные данные'!$B$45)),(C122-IF('Исходные данные'!$B$45="",'Исходные данные'!$B$10,'Исходные данные'!$B$45)+1)/DAY(C122),1)*IF('Исходные данные'!$B$43="Без НДС",1+N('Исходные данные'!$B$44),1))</f>
        <v>0</v>
      </c>
      <c r="P122">
        <f>IF('Исходные данные'!$B$51="Да",-O122*N('Исходные данные'!$B$44)/(1+N('Исходные данные'!$B$44)),0)</f>
        <v>0</v>
      </c>
      <c r="Q122">
        <f>IF('Исходные данные'!$B$35="Да",-O122,0)</f>
        <v>0</v>
      </c>
      <c r="R122">
        <f>IF(AND('Исходные данные'!$B$51="Да",Q122&gt;0),Q122*N('Исходные данные'!$B$52)/(1+N('Исходные данные'!$B$52)),0)</f>
        <v>0</v>
      </c>
      <c r="S122">
        <f>IF(OR(B122="",IF('Исходные данные'!$B$45="",'Исходные данные'!$B$10,'Исходные данные'!$B$45)="",C122&lt;IF('Исходные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данные'!$B$45)),1),B122,"m")/12))*IF(AND(B122&lt;=IF('Исходные данные'!$B$45="",'Исходные данные'!$B$10,'Исходные данные'!$B$45),C122&gt;=IF('Исходные данные'!$B$45="",'Исходные данные'!$B$10,'Исходные данные'!$B$45)),(C122-IF('Исходные данные'!$B$45="",'Исходные данные'!$B$10,'Исходные данные'!$B$45)+1)/DAY(C122),1)*IF('Исходные данные'!$B$43="Без НДС",1+N('Исходные данные'!$B$44),1))</f>
        <v>0</v>
      </c>
      <c r="T122">
        <f>IF('Исходные данные'!$B$51="Да",-S122*N('Исходные данные'!$B$44)/(1+N('Исходные данные'!$B$44)),0)</f>
        <v>0</v>
      </c>
      <c r="U122">
        <f>IF('Исходные данные'!$B$36="Да",-S122,0)</f>
        <v>0</v>
      </c>
      <c r="V122">
        <f>IF(AND('Исходные данные'!$B$51="Да",U122&gt;0),U122*N('Исходные данные'!$B$52)/(1+N('Исходные данные'!$B$52)),0)</f>
        <v>0</v>
      </c>
      <c r="W122">
        <f>IF(OR(B122="",IF('Исходные данные'!$B$69="",'Исходные данные'!$B$10,'Исходные данные'!$B$69)="",C122&lt;IF('Исходные данные'!$B$69="",'Исходные данные'!$B$10,'Исходные данные'!$B$69)),0,-N('Исходные данные'!$B$16)*N('Исходные данные'!$B$68)*N('Исходные данные'!$B$67)/12*IF(AND(B122&lt;=IF('Исходные данные'!$B$69="",'Исходные данные'!$B$10,'Исходные данные'!$B$69),C122&gt;=IF('Исходные данные'!$B$69="",'Исходные данные'!$B$10,'Исходные данные'!$B$69)),(C122-IF('Исходные данные'!$B$69="",'Исходные данные'!$B$10,'Исходные данные'!$B$69)+1)/DAY(C122),1))</f>
        <v>0</v>
      </c>
      <c r="X122">
        <f>IF(OR(B122="",IF('Исходные данные'!$B$76="",'Исходные данные'!$B$10,'Исходные данные'!$B$76)="",C122&lt;IF('Исходные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данные'!$B$76)),1),B122,"m")/12))*IF(AND(B122&lt;=IF('Исходные данные'!$B$76="",'Исходные данные'!$B$10,'Исходные данные'!$B$76),C122&gt;=IF('Исходные данные'!$B$76="",'Исходные данные'!$B$10,'Исходные данные'!$B$76)),(C122-IF('Исходные данные'!$B$76="",'Исходные данные'!$B$10,'Исходные данные'!$B$76)+1)/DAY(C122),1))</f>
        <v>0</v>
      </c>
      <c r="Y122">
        <f t="shared" si="66"/>
        <v>0</v>
      </c>
      <c r="Z122">
        <f>IF(OR(B122="",N('Исходные данные'!$B$19)=0),0,-SUMIFS('Исходные данные'!$I$6:$I$186,'Исходные данные'!$F$6:$F$186,B122)*N('Исходные данные'!$B$17)/N('Исходные данные'!$B$19))</f>
        <v>0</v>
      </c>
      <c r="AA122">
        <f>IF(OR(B122="",N('Исходные данные'!$B$19)=0),0,-SUMIFS('Исходные данные'!$I$6:$I$186,'Исходные данные'!$F$6:$F$186,B122)*N('Исходные данные'!$B$18)/N('Исходные данные'!$B$19))</f>
        <v>0</v>
      </c>
      <c r="AB122">
        <f>IF(OR(B122="",'Исходные данные'!$B$13=""),0,IF(AND(YEAR(B122)=YEAR('Исходные данные'!$B$13),MONTH(B122)=MONTH('Исходные данные'!$B$13)),-N('Исходные данные'!$B$11),0))</f>
        <v>0</v>
      </c>
      <c r="AC122">
        <f>IF(A122=1,-N('Исходные данные'!$B$19)*N('Исходные данные'!$B$72),0)</f>
        <v>0</v>
      </c>
      <c r="AD122">
        <f>IF(OR(B122="",'Исходные данные'!$B$22&lt;&gt;"Да",'Исходные данные'!$B$26=""),0,IF(AND(YEAR(B122)=YEAR('Исходные данные'!$B$26),MONTH(B122)=MONTH('Исходные данные'!$B$26)),N('Исходные данные'!$B$23),0))</f>
        <v>0</v>
      </c>
      <c r="AE122">
        <f t="shared" si="79"/>
        <v>0</v>
      </c>
      <c r="AF122">
        <f>IF(OR('Исходные данные'!$B$22&lt;&gt;"Да",'Исходные данные'!$B$26="",C122&lt;'Исходные данные'!$B$26),0,DATEDIF(DATE(YEAR('Исходные данные'!$B$26),MONTH('Исходные данные'!$B$26),1),B122,"m")+1)</f>
        <v>0</v>
      </c>
      <c r="AG122">
        <f>IF(OR(AF122&lt;1,AF122&gt;N('Исходные данные'!$B$25),AE122+AD122&lt;=0),0,-(AE122+AD122)*N('Исходные данные'!$B$24)*IF(AF122=1,C122-'Исходные данные'!$B$26+1,DAY(C122))/365)</f>
        <v>0</v>
      </c>
      <c r="AH122">
        <f>IF(OR(AF122&lt;1,AF122&gt;N('Исходные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данные'!$B$25)-AG122))</f>
        <v>0</v>
      </c>
      <c r="AI122">
        <f>IF(OR('Исходные данные'!$B$22&lt;&gt;"Да",AE122+AD122&lt;=0),0,IF(AND('Исходные данные'!$B$91&lt;&gt;"",B122&lt;&gt;"",YEAR(B122)=YEAR('Исходные данные'!$B$91),MONTH(B122)=MONTH('Исходные данные'!$B$91)),-(AE122+AD122),IF(OR(AF122&lt;1,AF122&gt;N('Исходные данные'!$B$25)),0,IF('Исходные данные'!$B$27="Равными долями",-MIN(AE122+AD122,N('Исходные данные'!$B$23)/N('Исходные данные'!$B$25)),-MIN(AE122+AD122,IF(AF122=N('Исходные данные'!$B$25),AE122+AD122,MAX(0,AH122+AG122)))))))</f>
        <v>0</v>
      </c>
      <c r="AJ122">
        <f t="shared" si="67"/>
        <v>0</v>
      </c>
      <c r="AK122">
        <f t="shared" si="68"/>
        <v>0</v>
      </c>
      <c r="AL122">
        <f>IF(OR(B122="",'Исходные данные'!$B$51&lt;&gt;"Да",'Исходные данные'!$B$61=""),0,IF(AND(YEAR(B122)=YEAR('Исходные данные'!$B$61),MONTH(B122)=MONTH('Исходные данные'!$B$61)),N('Исходные данные'!$B$18)*N('Исходные данные'!$B$62),0))</f>
        <v>0</v>
      </c>
      <c r="AM122">
        <f t="shared" si="80"/>
        <v>0</v>
      </c>
      <c r="AN122">
        <f t="shared" si="69"/>
        <v>0</v>
      </c>
      <c r="AO122">
        <f t="shared" si="70"/>
        <v>0</v>
      </c>
      <c r="AP122">
        <f>IF('Исходные данные'!$B$51="Да",-MAX(0,AN122-AO122-AM122),0)</f>
        <v>0</v>
      </c>
      <c r="AQ122">
        <f>IF('Исходные данные'!$B$51="Да",MAX(0,AM122+AO122-AN122),0)</f>
        <v>0</v>
      </c>
      <c r="AR122">
        <f>IF('Исходные данные'!$B$53="Выручка",MAX(0,L122+(Q122-R122)+(U122-V122)),IF('Исходные данные'!$B$53="Прибыль до налога",MAX(0,L122+(Q122-R122)+(U122-V122)+N('Исходные данные'!$B$54)*((O122+P122)+(S122+T122)+W122+X122)+IF('Исходные данные'!$B$55="Да",AG122,0)-N('Исходные данные'!$B$56)/12),IF('Исходные данные'!$B$53="Пользовательская база",MAX(0,N('Исходные данные'!$B$57)/12),0)))</f>
        <v>0</v>
      </c>
      <c r="AS122">
        <f>IF(E122=1,-AR122*N('Исходные данные'!$B$50),0)</f>
        <v>0</v>
      </c>
      <c r="AT122">
        <f t="shared" si="71"/>
        <v>0</v>
      </c>
      <c r="AU122">
        <f>IF(OR(B122="",N('Исходные данные'!$B$80)&lt;=0,'Исходные данные'!$B$88=""),0,MAX(0,IF('Исходные данные'!$B$88="Последние 12 месяцев",SUMIFS($Y$2:$Y$194,$B$2:$B$194,"&gt;="&amp;EDATE(B122,-11),$B$2:$B$194,"&lt;="&amp;B122),IF('Исходные данные'!$B$88="Пользовательский NOI",N('Исходные данные'!$B$89),AT122))/N('Исходные данные'!$B$80)*(1+N('Исходные данные'!$B$81))))</f>
        <v>0</v>
      </c>
      <c r="AV122">
        <f>IF(OR(E122&lt;&gt;1,B122="",'Исходные данные'!$B$91=""),0,IF(AND(YEAR(B122)=YEAR('Исходные данные'!$B$91),MONTH(B122)=MONTH('Исходные данные'!$B$91)),AU122,0))</f>
        <v>0</v>
      </c>
      <c r="AW122">
        <f>-AV122*N('Исходные данные'!$B$73)</f>
        <v>0</v>
      </c>
      <c r="AX122">
        <f>IF(AV122=0,0,-N('Исходные данные'!$B$87)-IF('Исходные данные'!$B$82="Да",IF('Исходные данные'!$B$84="С выручки",AV122,IF('Исходные данные'!$B$84="С прибыли",MAX(0,AV122+AW122-IF('Исходные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22">
        <f t="shared" si="72"/>
        <v>0</v>
      </c>
      <c r="AZ122">
        <f t="shared" si="73"/>
        <v>0</v>
      </c>
      <c r="BA122">
        <f t="shared" si="74"/>
        <v>0</v>
      </c>
      <c r="BB122" t="str">
        <f t="shared" si="81"/>
        <v/>
      </c>
      <c r="BC122">
        <f>IF(OR(E122=0,'Исходные данные'!$B$9="",'Исходные данные'!$B$90=""),0,BA122/(1+'Исходные данные'!$B$90)^((D122-'Исходные данные'!$B$9)/365))</f>
        <v>0</v>
      </c>
      <c r="BD122">
        <f>IF(AND(E122=1,BB122&gt;=0,BB121&lt;0,MIN($BB$2:BB122)&lt;0),1,0)</f>
        <v>0</v>
      </c>
      <c r="BE122">
        <f t="shared" si="75"/>
        <v>0</v>
      </c>
      <c r="BF122">
        <f t="shared" si="76"/>
        <v>0</v>
      </c>
      <c r="BG122">
        <f t="shared" si="77"/>
        <v>0</v>
      </c>
      <c r="BH122">
        <f t="shared" si="78"/>
        <v>1</v>
      </c>
      <c r="BI122">
        <f>AZ122+N122+AP122-AR122*N('Исходные данные'!$B$50)</f>
        <v>0</v>
      </c>
      <c r="BJ122">
        <f t="shared" si="61"/>
        <v>0</v>
      </c>
      <c r="BK122">
        <f>IF(AND(BJ122&gt;=0,BJ121&lt;0,MIN($BJ$2:BJ122)&lt;0),1,0)</f>
        <v>0</v>
      </c>
    </row>
    <row r="123" spans="1:63" x14ac:dyDescent="0.2">
      <c r="A123">
        <v>122</v>
      </c>
      <c r="B123" t="str">
        <f>IF('Исходные данные'!$B$9="","",EDATE(DATE(YEAR('Исходные данные'!$B$9),MONTH('Исходные данные'!$B$9),1),A123-1))</f>
        <v/>
      </c>
      <c r="C123" t="str">
        <f t="shared" si="62"/>
        <v/>
      </c>
      <c r="D123" t="str">
        <f>IF(B123="","",IF('Исходные данные'!$B$91&lt;&gt;"",IF(AND(YEAR(B123)=YEAR('Исходные данные'!$B$91),MONTH(B123)=MONTH('Исходные данные'!$B$91)),'Исходные данные'!$B$91,IF('Исходные данные'!$B$13&lt;&gt;"",IF(AND(YEAR(B123)=YEAR('Исходные данные'!$B$13),MONTH(B123)=MONTH('Исходные данные'!$B$13)),'Исходные данные'!$B$13,IF('Исходные данные'!$B$26&lt;&gt;"",IF(AND(YEAR(B123)=YEAR('Исходные данные'!$B$26),MONTH(B123)=MONTH('Исходные данные'!$B$26)),'Исходные данные'!$B$26,IF(A123=1,'Исходные данные'!$B$9,C123)),IF(A123=1,'Исходные данные'!$B$9,C123))),IF('Исходные данные'!$B$26&lt;&gt;"",IF(AND(YEAR(B123)=YEAR('Исходные данные'!$B$26),MONTH(B123)=MONTH('Исходные данные'!$B$26)),'Исходные данные'!$B$26,IF(A123=1,'Исходные данные'!$B$9,C123)),IF(A123=1,'Исходные данные'!$B$9,C123)))),IF('Исходные данные'!$B$13&lt;&gt;"",IF(AND(YEAR(B123)=YEAR('Исходные данные'!$B$13),MONTH(B123)=MONTH('Исходные данные'!$B$13)),'Исходные данные'!$B$13,IF('Исходные данные'!$B$26&lt;&gt;"",IF(AND(YEAR(B123)=YEAR('Исходные данные'!$B$26),MONTH(B123)=MONTH('Исходные данные'!$B$26)),'Исходные данные'!$B$26,IF(A123=1,'Исходные данные'!$B$9,C123)),IF(A123=1,'Исходные данные'!$B$9,C123))),IF('Исходные данные'!$B$26&lt;&gt;"",IF(AND(YEAR(B123)=YEAR('Исходные данные'!$B$26),MONTH(B123)=MONTH('Исходные данные'!$B$26)),'Исходные данные'!$B$26,IF(A123=1,'Исходные данные'!$B$9,C123)),IF(A123=1,'Исходные данные'!$B$9,C123)))))</f>
        <v/>
      </c>
      <c r="E123">
        <f>IF(OR(B123="",'Исходные данные'!$B$91=""),0,--(B123&lt;=DATE(YEAR('Исходные данные'!$B$91),MONTH('Исходные данные'!$B$91),1)))</f>
        <v>0</v>
      </c>
      <c r="F123">
        <f>IF(OR(B123="",'Исходные данные'!$B$30="",C123&lt;'Исходные данные'!$B$30),0,DATEDIF(DATE(YEAR('Исходные данные'!$B$30),MONTH('Исходные данные'!$B$30),1),B123,"m")+1)</f>
        <v>0</v>
      </c>
      <c r="G123">
        <f t="shared" si="63"/>
        <v>0</v>
      </c>
      <c r="H123">
        <f>IF(F123=0,0,IF(G123=1,N('Исходные данные'!$B$31),IF(G123=2,N('Исходные данные'!$B$32),IF(G123=3,N('Исходные данные'!$B$33),N('Исходные данные'!$B$33)*(1+N('Исходные данные'!$B$34))^(G123-3)))))</f>
        <v>0</v>
      </c>
      <c r="I123">
        <f>IF(OR(F123=0,N('Исходные данные'!$B$5)=0,H123=0),0,'Исходные данные'!$B$5*H123*IF(AND(B123&lt;='Исходные данные'!$B$30,C123&gt;='Исходные данные'!$B$30),(C123-'Исходные данные'!$B$30+1)/DAY(C123),1))</f>
        <v>0</v>
      </c>
      <c r="J123">
        <f>IF(AND(F123&gt;0,F123&lt;=N('Исходные данные'!$B$37)),-I123,0)</f>
        <v>0</v>
      </c>
      <c r="K123">
        <f>IF(OR(F123=0,F123&lt;=N('Исходные данные'!$B$37)),0,-(I123+J123)*N('Исходные данные'!$B$38))</f>
        <v>0</v>
      </c>
      <c r="L123">
        <f t="shared" si="64"/>
        <v>0</v>
      </c>
      <c r="M123">
        <f>IF('Исходные данные'!$B$51="Да",L123*N('Исходные данные'!$B$52),0)</f>
        <v>0</v>
      </c>
      <c r="N123">
        <f t="shared" si="65"/>
        <v>0</v>
      </c>
      <c r="O123">
        <f>IF(OR(B123="",IF('Исходные данные'!$B$45="",'Исходные данные'!$B$10,'Исходные данные'!$B$45)="",C123&lt;IF('Исходные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данные'!$B$45)),1),B123,"m")/12))*IF(AND(B123&lt;=IF('Исходные данные'!$B$45="",'Исходные данные'!$B$10,'Исходные данные'!$B$45),C123&gt;=IF('Исходные данные'!$B$45="",'Исходные данные'!$B$10,'Исходные данные'!$B$45)),(C123-IF('Исходные данные'!$B$45="",'Исходные данные'!$B$10,'Исходные данные'!$B$45)+1)/DAY(C123),1)*IF('Исходные данные'!$B$43="Без НДС",1+N('Исходные данные'!$B$44),1))</f>
        <v>0</v>
      </c>
      <c r="P123">
        <f>IF('Исходные данные'!$B$51="Да",-O123*N('Исходные данные'!$B$44)/(1+N('Исходные данные'!$B$44)),0)</f>
        <v>0</v>
      </c>
      <c r="Q123">
        <f>IF('Исходные данные'!$B$35="Да",-O123,0)</f>
        <v>0</v>
      </c>
      <c r="R123">
        <f>IF(AND('Исходные данные'!$B$51="Да",Q123&gt;0),Q123*N('Исходные данные'!$B$52)/(1+N('Исходные данные'!$B$52)),0)</f>
        <v>0</v>
      </c>
      <c r="S123">
        <f>IF(OR(B123="",IF('Исходные данные'!$B$45="",'Исходные данные'!$B$10,'Исходные данные'!$B$45)="",C123&lt;IF('Исходные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данные'!$B$45)),1),B123,"m")/12))*IF(AND(B123&lt;=IF('Исходные данные'!$B$45="",'Исходные данные'!$B$10,'Исходные данные'!$B$45),C123&gt;=IF('Исходные данные'!$B$45="",'Исходные данные'!$B$10,'Исходные данные'!$B$45)),(C123-IF('Исходные данные'!$B$45="",'Исходные данные'!$B$10,'Исходные данные'!$B$45)+1)/DAY(C123),1)*IF('Исходные данные'!$B$43="Без НДС",1+N('Исходные данные'!$B$44),1))</f>
        <v>0</v>
      </c>
      <c r="T123">
        <f>IF('Исходные данные'!$B$51="Да",-S123*N('Исходные данные'!$B$44)/(1+N('Исходные данные'!$B$44)),0)</f>
        <v>0</v>
      </c>
      <c r="U123">
        <f>IF('Исходные данные'!$B$36="Да",-S123,0)</f>
        <v>0</v>
      </c>
      <c r="V123">
        <f>IF(AND('Исходные данные'!$B$51="Да",U123&gt;0),U123*N('Исходные данные'!$B$52)/(1+N('Исходные данные'!$B$52)),0)</f>
        <v>0</v>
      </c>
      <c r="W123">
        <f>IF(OR(B123="",IF('Исходные данные'!$B$69="",'Исходные данные'!$B$10,'Исходные данные'!$B$69)="",C123&lt;IF('Исходные данные'!$B$69="",'Исходные данные'!$B$10,'Исходные данные'!$B$69)),0,-N('Исходные данные'!$B$16)*N('Исходные данные'!$B$68)*N('Исходные данные'!$B$67)/12*IF(AND(B123&lt;=IF('Исходные данные'!$B$69="",'Исходные данные'!$B$10,'Исходные данные'!$B$69),C123&gt;=IF('Исходные данные'!$B$69="",'Исходные данные'!$B$10,'Исходные данные'!$B$69)),(C123-IF('Исходные данные'!$B$69="",'Исходные данные'!$B$10,'Исходные данные'!$B$69)+1)/DAY(C123),1))</f>
        <v>0</v>
      </c>
      <c r="X123">
        <f>IF(OR(B123="",IF('Исходные данные'!$B$76="",'Исходные данные'!$B$10,'Исходные данные'!$B$76)="",C123&lt;IF('Исходные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данные'!$B$76)),1),B123,"m")/12))*IF(AND(B123&lt;=IF('Исходные данные'!$B$76="",'Исходные данные'!$B$10,'Исходные данные'!$B$76),C123&gt;=IF('Исходные данные'!$B$76="",'Исходные данные'!$B$10,'Исходные данные'!$B$76)),(C123-IF('Исходные данные'!$B$76="",'Исходные данные'!$B$10,'Исходные данные'!$B$76)+1)/DAY(C123),1))</f>
        <v>0</v>
      </c>
      <c r="Y123">
        <f t="shared" si="66"/>
        <v>0</v>
      </c>
      <c r="Z123">
        <f>IF(OR(B123="",N('Исходные данные'!$B$19)=0),0,-SUMIFS('Исходные данные'!$I$6:$I$186,'Исходные данные'!$F$6:$F$186,B123)*N('Исходные данные'!$B$17)/N('Исходные данные'!$B$19))</f>
        <v>0</v>
      </c>
      <c r="AA123">
        <f>IF(OR(B123="",N('Исходные данные'!$B$19)=0),0,-SUMIFS('Исходные данные'!$I$6:$I$186,'Исходные данные'!$F$6:$F$186,B123)*N('Исходные данные'!$B$18)/N('Исходные данные'!$B$19))</f>
        <v>0</v>
      </c>
      <c r="AB123">
        <f>IF(OR(B123="",'Исходные данные'!$B$13=""),0,IF(AND(YEAR(B123)=YEAR('Исходные данные'!$B$13),MONTH(B123)=MONTH('Исходные данные'!$B$13)),-N('Исходные данные'!$B$11),0))</f>
        <v>0</v>
      </c>
      <c r="AC123">
        <f>IF(A123=1,-N('Исходные данные'!$B$19)*N('Исходные данные'!$B$72),0)</f>
        <v>0</v>
      </c>
      <c r="AD123">
        <f>IF(OR(B123="",'Исходные данные'!$B$22&lt;&gt;"Да",'Исходные данные'!$B$26=""),0,IF(AND(YEAR(B123)=YEAR('Исходные данные'!$B$26),MONTH(B123)=MONTH('Исходные данные'!$B$26)),N('Исходные данные'!$B$23),0))</f>
        <v>0</v>
      </c>
      <c r="AE123">
        <f t="shared" si="79"/>
        <v>0</v>
      </c>
      <c r="AF123">
        <f>IF(OR('Исходные данные'!$B$22&lt;&gt;"Да",'Исходные данные'!$B$26="",C123&lt;'Исходные данные'!$B$26),0,DATEDIF(DATE(YEAR('Исходные данные'!$B$26),MONTH('Исходные данные'!$B$26),1),B123,"m")+1)</f>
        <v>0</v>
      </c>
      <c r="AG123">
        <f>IF(OR(AF123&lt;1,AF123&gt;N('Исходные данные'!$B$25),AE123+AD123&lt;=0),0,-(AE123+AD123)*N('Исходные данные'!$B$24)*IF(AF123=1,C123-'Исходные данные'!$B$26+1,DAY(C123))/365)</f>
        <v>0</v>
      </c>
      <c r="AH123">
        <f>IF(OR(AF123&lt;1,AF123&gt;N('Исходные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данные'!$B$25)-AG123))</f>
        <v>0</v>
      </c>
      <c r="AI123">
        <f>IF(OR('Исходные данные'!$B$22&lt;&gt;"Да",AE123+AD123&lt;=0),0,IF(AND('Исходные данные'!$B$91&lt;&gt;"",B123&lt;&gt;"",YEAR(B123)=YEAR('Исходные данные'!$B$91),MONTH(B123)=MONTH('Исходные данные'!$B$91)),-(AE123+AD123),IF(OR(AF123&lt;1,AF123&gt;N('Исходные данные'!$B$25)),0,IF('Исходные данные'!$B$27="Равными долями",-MIN(AE123+AD123,N('Исходные данные'!$B$23)/N('Исходные данные'!$B$25)),-MIN(AE123+AD123,IF(AF123=N('Исходные данные'!$B$25),AE123+AD123,MAX(0,AH123+AG123)))))))</f>
        <v>0</v>
      </c>
      <c r="AJ123">
        <f t="shared" si="67"/>
        <v>0</v>
      </c>
      <c r="AK123">
        <f t="shared" si="68"/>
        <v>0</v>
      </c>
      <c r="AL123">
        <f>IF(OR(B123="",'Исходные данные'!$B$51&lt;&gt;"Да",'Исходные данные'!$B$61=""),0,IF(AND(YEAR(B123)=YEAR('Исходные данные'!$B$61),MONTH(B123)=MONTH('Исходные данные'!$B$61)),N('Исходные данные'!$B$18)*N('Исходные данные'!$B$62),0))</f>
        <v>0</v>
      </c>
      <c r="AM123">
        <f t="shared" si="80"/>
        <v>0</v>
      </c>
      <c r="AN123">
        <f t="shared" si="69"/>
        <v>0</v>
      </c>
      <c r="AO123">
        <f t="shared" si="70"/>
        <v>0</v>
      </c>
      <c r="AP123">
        <f>IF('Исходные данные'!$B$51="Да",-MAX(0,AN123-AO123-AM123),0)</f>
        <v>0</v>
      </c>
      <c r="AQ123">
        <f>IF('Исходные данные'!$B$51="Да",MAX(0,AM123+AO123-AN123),0)</f>
        <v>0</v>
      </c>
      <c r="AR123">
        <f>IF('Исходные данные'!$B$53="Выручка",MAX(0,L123+(Q123-R123)+(U123-V123)),IF('Исходные данные'!$B$53="Прибыль до налога",MAX(0,L123+(Q123-R123)+(U123-V123)+N('Исходные данные'!$B$54)*((O123+P123)+(S123+T123)+W123+X123)+IF('Исходные данные'!$B$55="Да",AG123,0)-N('Исходные данные'!$B$56)/12),IF('Исходные данные'!$B$53="Пользовательская база",MAX(0,N('Исходные данные'!$B$57)/12),0)))</f>
        <v>0</v>
      </c>
      <c r="AS123">
        <f>IF(E123=1,-AR123*N('Исходные данные'!$B$50),0)</f>
        <v>0</v>
      </c>
      <c r="AT123">
        <f t="shared" si="71"/>
        <v>0</v>
      </c>
      <c r="AU123">
        <f>IF(OR(B123="",N('Исходные данные'!$B$80)&lt;=0,'Исходные данные'!$B$88=""),0,MAX(0,IF('Исходные данные'!$B$88="Последние 12 месяцев",SUMIFS($Y$2:$Y$194,$B$2:$B$194,"&gt;="&amp;EDATE(B123,-11),$B$2:$B$194,"&lt;="&amp;B123),IF('Исходные данные'!$B$88="Пользовательский NOI",N('Исходные данные'!$B$89),AT123))/N('Исходные данные'!$B$80)*(1+N('Исходные данные'!$B$81))))</f>
        <v>0</v>
      </c>
      <c r="AV123">
        <f>IF(OR(E123&lt;&gt;1,B123="",'Исходные данные'!$B$91=""),0,IF(AND(YEAR(B123)=YEAR('Исходные данные'!$B$91),MONTH(B123)=MONTH('Исходные данные'!$B$91)),AU123,0))</f>
        <v>0</v>
      </c>
      <c r="AW123">
        <f>-AV123*N('Исходные данные'!$B$73)</f>
        <v>0</v>
      </c>
      <c r="AX123">
        <f>IF(AV123=0,0,-N('Исходные данные'!$B$87)-IF('Исходные данные'!$B$82="Да",IF('Исходные данные'!$B$84="С выручки",AV123,IF('Исходные данные'!$B$84="С прибыли",MAX(0,AV123+AW123-IF('Исходные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23">
        <f t="shared" si="72"/>
        <v>0</v>
      </c>
      <c r="AZ123">
        <f t="shared" si="73"/>
        <v>0</v>
      </c>
      <c r="BA123">
        <f t="shared" si="74"/>
        <v>0</v>
      </c>
      <c r="BB123" t="str">
        <f t="shared" si="81"/>
        <v/>
      </c>
      <c r="BC123">
        <f>IF(OR(E123=0,'Исходные данные'!$B$9="",'Исходные данные'!$B$90=""),0,BA123/(1+'Исходные данные'!$B$90)^((D123-'Исходные данные'!$B$9)/365))</f>
        <v>0</v>
      </c>
      <c r="BD123">
        <f>IF(AND(E123=1,BB123&gt;=0,BB122&lt;0,MIN($BB$2:BB123)&lt;0),1,0)</f>
        <v>0</v>
      </c>
      <c r="BE123">
        <f t="shared" si="75"/>
        <v>0</v>
      </c>
      <c r="BF123">
        <f t="shared" si="76"/>
        <v>0</v>
      </c>
      <c r="BG123">
        <f t="shared" si="77"/>
        <v>0</v>
      </c>
      <c r="BH123">
        <f t="shared" si="78"/>
        <v>1</v>
      </c>
      <c r="BI123">
        <f>AZ123+N123+AP123-AR123*N('Исходные данные'!$B$50)</f>
        <v>0</v>
      </c>
      <c r="BJ123">
        <f t="shared" si="61"/>
        <v>0</v>
      </c>
      <c r="BK123">
        <f>IF(AND(BJ123&gt;=0,BJ122&lt;0,MIN($BJ$2:BJ123)&lt;0),1,0)</f>
        <v>0</v>
      </c>
    </row>
    <row r="124" spans="1:63" x14ac:dyDescent="0.2">
      <c r="A124">
        <v>123</v>
      </c>
      <c r="B124" t="str">
        <f>IF('Исходные данные'!$B$9="","",EDATE(DATE(YEAR('Исходные данные'!$B$9),MONTH('Исходные данные'!$B$9),1),A124-1))</f>
        <v/>
      </c>
      <c r="C124" t="str">
        <f t="shared" si="62"/>
        <v/>
      </c>
      <c r="D124" t="str">
        <f>IF(B124="","",IF('Исходные данные'!$B$91&lt;&gt;"",IF(AND(YEAR(B124)=YEAR('Исходные данные'!$B$91),MONTH(B124)=MONTH('Исходные данные'!$B$91)),'Исходные данные'!$B$91,IF('Исходные данные'!$B$13&lt;&gt;"",IF(AND(YEAR(B124)=YEAR('Исходные данные'!$B$13),MONTH(B124)=MONTH('Исходные данные'!$B$13)),'Исходные данные'!$B$13,IF('Исходные данные'!$B$26&lt;&gt;"",IF(AND(YEAR(B124)=YEAR('Исходные данные'!$B$26),MONTH(B124)=MONTH('Исходные данные'!$B$26)),'Исходные данные'!$B$26,IF(A124=1,'Исходные данные'!$B$9,C124)),IF(A124=1,'Исходные данные'!$B$9,C124))),IF('Исходные данные'!$B$26&lt;&gt;"",IF(AND(YEAR(B124)=YEAR('Исходные данные'!$B$26),MONTH(B124)=MONTH('Исходные данные'!$B$26)),'Исходные данные'!$B$26,IF(A124=1,'Исходные данные'!$B$9,C124)),IF(A124=1,'Исходные данные'!$B$9,C124)))),IF('Исходные данные'!$B$13&lt;&gt;"",IF(AND(YEAR(B124)=YEAR('Исходные данные'!$B$13),MONTH(B124)=MONTH('Исходные данные'!$B$13)),'Исходные данные'!$B$13,IF('Исходные данные'!$B$26&lt;&gt;"",IF(AND(YEAR(B124)=YEAR('Исходные данные'!$B$26),MONTH(B124)=MONTH('Исходные данные'!$B$26)),'Исходные данные'!$B$26,IF(A124=1,'Исходные данные'!$B$9,C124)),IF(A124=1,'Исходные данные'!$B$9,C124))),IF('Исходные данные'!$B$26&lt;&gt;"",IF(AND(YEAR(B124)=YEAR('Исходные данные'!$B$26),MONTH(B124)=MONTH('Исходные данные'!$B$26)),'Исходные данные'!$B$26,IF(A124=1,'Исходные данные'!$B$9,C124)),IF(A124=1,'Исходные данные'!$B$9,C124)))))</f>
        <v/>
      </c>
      <c r="E124">
        <f>IF(OR(B124="",'Исходные данные'!$B$91=""),0,--(B124&lt;=DATE(YEAR('Исходные данные'!$B$91),MONTH('Исходные данные'!$B$91),1)))</f>
        <v>0</v>
      </c>
      <c r="F124">
        <f>IF(OR(B124="",'Исходные данные'!$B$30="",C124&lt;'Исходные данные'!$B$30),0,DATEDIF(DATE(YEAR('Исходные данные'!$B$30),MONTH('Исходные данные'!$B$30),1),B124,"m")+1)</f>
        <v>0</v>
      </c>
      <c r="G124">
        <f t="shared" si="63"/>
        <v>0</v>
      </c>
      <c r="H124">
        <f>IF(F124=0,0,IF(G124=1,N('Исходные данные'!$B$31),IF(G124=2,N('Исходные данные'!$B$32),IF(G124=3,N('Исходные данные'!$B$33),N('Исходные данные'!$B$33)*(1+N('Исходные данные'!$B$34))^(G124-3)))))</f>
        <v>0</v>
      </c>
      <c r="I124">
        <f>IF(OR(F124=0,N('Исходные данные'!$B$5)=0,H124=0),0,'Исходные данные'!$B$5*H124*IF(AND(B124&lt;='Исходные данные'!$B$30,C124&gt;='Исходные данные'!$B$30),(C124-'Исходные данные'!$B$30+1)/DAY(C124),1))</f>
        <v>0</v>
      </c>
      <c r="J124">
        <f>IF(AND(F124&gt;0,F124&lt;=N('Исходные данные'!$B$37)),-I124,0)</f>
        <v>0</v>
      </c>
      <c r="K124">
        <f>IF(OR(F124=0,F124&lt;=N('Исходные данные'!$B$37)),0,-(I124+J124)*N('Исходные данные'!$B$38))</f>
        <v>0</v>
      </c>
      <c r="L124">
        <f t="shared" si="64"/>
        <v>0</v>
      </c>
      <c r="M124">
        <f>IF('Исходные данные'!$B$51="Да",L124*N('Исходные данные'!$B$52),0)</f>
        <v>0</v>
      </c>
      <c r="N124">
        <f t="shared" si="65"/>
        <v>0</v>
      </c>
      <c r="O124">
        <f>IF(OR(B124="",IF('Исходные данные'!$B$45="",'Исходные данные'!$B$10,'Исходные данные'!$B$45)="",C124&lt;IF('Исходные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данные'!$B$45)),1),B124,"m")/12))*IF(AND(B124&lt;=IF('Исходные данные'!$B$45="",'Исходные данные'!$B$10,'Исходные данные'!$B$45),C124&gt;=IF('Исходные данные'!$B$45="",'Исходные данные'!$B$10,'Исходные данные'!$B$45)),(C124-IF('Исходные данные'!$B$45="",'Исходные данные'!$B$10,'Исходные данные'!$B$45)+1)/DAY(C124),1)*IF('Исходные данные'!$B$43="Без НДС",1+N('Исходные данные'!$B$44),1))</f>
        <v>0</v>
      </c>
      <c r="P124">
        <f>IF('Исходные данные'!$B$51="Да",-O124*N('Исходные данные'!$B$44)/(1+N('Исходные данные'!$B$44)),0)</f>
        <v>0</v>
      </c>
      <c r="Q124">
        <f>IF('Исходные данные'!$B$35="Да",-O124,0)</f>
        <v>0</v>
      </c>
      <c r="R124">
        <f>IF(AND('Исходные данные'!$B$51="Да",Q124&gt;0),Q124*N('Исходные данные'!$B$52)/(1+N('Исходные данные'!$B$52)),0)</f>
        <v>0</v>
      </c>
      <c r="S124">
        <f>IF(OR(B124="",IF('Исходные данные'!$B$45="",'Исходные данные'!$B$10,'Исходные данные'!$B$45)="",C124&lt;IF('Исходные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данные'!$B$45)),1),B124,"m")/12))*IF(AND(B124&lt;=IF('Исходные данные'!$B$45="",'Исходные данные'!$B$10,'Исходные данные'!$B$45),C124&gt;=IF('Исходные данные'!$B$45="",'Исходные данные'!$B$10,'Исходные данные'!$B$45)),(C124-IF('Исходные данные'!$B$45="",'Исходные данные'!$B$10,'Исходные данные'!$B$45)+1)/DAY(C124),1)*IF('Исходные данные'!$B$43="Без НДС",1+N('Исходные данные'!$B$44),1))</f>
        <v>0</v>
      </c>
      <c r="T124">
        <f>IF('Исходные данные'!$B$51="Да",-S124*N('Исходные данные'!$B$44)/(1+N('Исходные данные'!$B$44)),0)</f>
        <v>0</v>
      </c>
      <c r="U124">
        <f>IF('Исходные данные'!$B$36="Да",-S124,0)</f>
        <v>0</v>
      </c>
      <c r="V124">
        <f>IF(AND('Исходные данные'!$B$51="Да",U124&gt;0),U124*N('Исходные данные'!$B$52)/(1+N('Исходные данные'!$B$52)),0)</f>
        <v>0</v>
      </c>
      <c r="W124">
        <f>IF(OR(B124="",IF('Исходные данные'!$B$69="",'Исходные данные'!$B$10,'Исходные данные'!$B$69)="",C124&lt;IF('Исходные данные'!$B$69="",'Исходные данные'!$B$10,'Исходные данные'!$B$69)),0,-N('Исходные данные'!$B$16)*N('Исходные данные'!$B$68)*N('Исходные данные'!$B$67)/12*IF(AND(B124&lt;=IF('Исходные данные'!$B$69="",'Исходные данные'!$B$10,'Исходные данные'!$B$69),C124&gt;=IF('Исходные данные'!$B$69="",'Исходные данные'!$B$10,'Исходные данные'!$B$69)),(C124-IF('Исходные данные'!$B$69="",'Исходные данные'!$B$10,'Исходные данные'!$B$69)+1)/DAY(C124),1))</f>
        <v>0</v>
      </c>
      <c r="X124">
        <f>IF(OR(B124="",IF('Исходные данные'!$B$76="",'Исходные данные'!$B$10,'Исходные данные'!$B$76)="",C124&lt;IF('Исходные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данные'!$B$76)),1),B124,"m")/12))*IF(AND(B124&lt;=IF('Исходные данные'!$B$76="",'Исходные данные'!$B$10,'Исходные данные'!$B$76),C124&gt;=IF('Исходные данные'!$B$76="",'Исходные данные'!$B$10,'Исходные данные'!$B$76)),(C124-IF('Исходные данные'!$B$76="",'Исходные данные'!$B$10,'Исходные данные'!$B$76)+1)/DAY(C124),1))</f>
        <v>0</v>
      </c>
      <c r="Y124">
        <f t="shared" si="66"/>
        <v>0</v>
      </c>
      <c r="Z124">
        <f>IF(OR(B124="",N('Исходные данные'!$B$19)=0),0,-SUMIFS('Исходные данные'!$I$6:$I$186,'Исходные данные'!$F$6:$F$186,B124)*N('Исходные данные'!$B$17)/N('Исходные данные'!$B$19))</f>
        <v>0</v>
      </c>
      <c r="AA124">
        <f>IF(OR(B124="",N('Исходные данные'!$B$19)=0),0,-SUMIFS('Исходные данные'!$I$6:$I$186,'Исходные данные'!$F$6:$F$186,B124)*N('Исходные данные'!$B$18)/N('Исходные данные'!$B$19))</f>
        <v>0</v>
      </c>
      <c r="AB124">
        <f>IF(OR(B124="",'Исходные данные'!$B$13=""),0,IF(AND(YEAR(B124)=YEAR('Исходные данные'!$B$13),MONTH(B124)=MONTH('Исходные данные'!$B$13)),-N('Исходные данные'!$B$11),0))</f>
        <v>0</v>
      </c>
      <c r="AC124">
        <f>IF(A124=1,-N('Исходные данные'!$B$19)*N('Исходные данные'!$B$72),0)</f>
        <v>0</v>
      </c>
      <c r="AD124">
        <f>IF(OR(B124="",'Исходные данные'!$B$22&lt;&gt;"Да",'Исходные данные'!$B$26=""),0,IF(AND(YEAR(B124)=YEAR('Исходные данные'!$B$26),MONTH(B124)=MONTH('Исходные данные'!$B$26)),N('Исходные данные'!$B$23),0))</f>
        <v>0</v>
      </c>
      <c r="AE124">
        <f t="shared" si="79"/>
        <v>0</v>
      </c>
      <c r="AF124">
        <f>IF(OR('Исходные данные'!$B$22&lt;&gt;"Да",'Исходные данные'!$B$26="",C124&lt;'Исходные данные'!$B$26),0,DATEDIF(DATE(YEAR('Исходные данные'!$B$26),MONTH('Исходные данные'!$B$26),1),B124,"m")+1)</f>
        <v>0</v>
      </c>
      <c r="AG124">
        <f>IF(OR(AF124&lt;1,AF124&gt;N('Исходные данные'!$B$25),AE124+AD124&lt;=0),0,-(AE124+AD124)*N('Исходные данные'!$B$24)*IF(AF124=1,C124-'Исходные данные'!$B$26+1,DAY(C124))/365)</f>
        <v>0</v>
      </c>
      <c r="AH124">
        <f>IF(OR(AF124&lt;1,AF124&gt;N('Исходные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данные'!$B$25)-AG124))</f>
        <v>0</v>
      </c>
      <c r="AI124">
        <f>IF(OR('Исходные данные'!$B$22&lt;&gt;"Да",AE124+AD124&lt;=0),0,IF(AND('Исходные данные'!$B$91&lt;&gt;"",B124&lt;&gt;"",YEAR(B124)=YEAR('Исходные данные'!$B$91),MONTH(B124)=MONTH('Исходные данные'!$B$91)),-(AE124+AD124),IF(OR(AF124&lt;1,AF124&gt;N('Исходные данные'!$B$25)),0,IF('Исходные данные'!$B$27="Равными долями",-MIN(AE124+AD124,N('Исходные данные'!$B$23)/N('Исходные данные'!$B$25)),-MIN(AE124+AD124,IF(AF124=N('Исходные данные'!$B$25),AE124+AD124,MAX(0,AH124+AG124)))))))</f>
        <v>0</v>
      </c>
      <c r="AJ124">
        <f t="shared" si="67"/>
        <v>0</v>
      </c>
      <c r="AK124">
        <f t="shared" si="68"/>
        <v>0</v>
      </c>
      <c r="AL124">
        <f>IF(OR(B124="",'Исходные данные'!$B$51&lt;&gt;"Да",'Исходные данные'!$B$61=""),0,IF(AND(YEAR(B124)=YEAR('Исходные данные'!$B$61),MONTH(B124)=MONTH('Исходные данные'!$B$61)),N('Исходные данные'!$B$18)*N('Исходные данные'!$B$62),0))</f>
        <v>0</v>
      </c>
      <c r="AM124">
        <f t="shared" si="80"/>
        <v>0</v>
      </c>
      <c r="AN124">
        <f t="shared" si="69"/>
        <v>0</v>
      </c>
      <c r="AO124">
        <f t="shared" si="70"/>
        <v>0</v>
      </c>
      <c r="AP124">
        <f>IF('Исходные данные'!$B$51="Да",-MAX(0,AN124-AO124-AM124),0)</f>
        <v>0</v>
      </c>
      <c r="AQ124">
        <f>IF('Исходные данные'!$B$51="Да",MAX(0,AM124+AO124-AN124),0)</f>
        <v>0</v>
      </c>
      <c r="AR124">
        <f>IF('Исходные данные'!$B$53="Выручка",MAX(0,L124+(Q124-R124)+(U124-V124)),IF('Исходные данные'!$B$53="Прибыль до налога",MAX(0,L124+(Q124-R124)+(U124-V124)+N('Исходные данные'!$B$54)*((O124+P124)+(S124+T124)+W124+X124)+IF('Исходные данные'!$B$55="Да",AG124,0)-N('Исходные данные'!$B$56)/12),IF('Исходные данные'!$B$53="Пользовательская база",MAX(0,N('Исходные данные'!$B$57)/12),0)))</f>
        <v>0</v>
      </c>
      <c r="AS124">
        <f>IF(E124=1,-AR124*N('Исходные данные'!$B$50),0)</f>
        <v>0</v>
      </c>
      <c r="AT124">
        <f t="shared" si="71"/>
        <v>0</v>
      </c>
      <c r="AU124">
        <f>IF(OR(B124="",N('Исходные данные'!$B$80)&lt;=0,'Исходные данные'!$B$88=""),0,MAX(0,IF('Исходные данные'!$B$88="Последние 12 месяцев",SUMIFS($Y$2:$Y$194,$B$2:$B$194,"&gt;="&amp;EDATE(B124,-11),$B$2:$B$194,"&lt;="&amp;B124),IF('Исходные данные'!$B$88="Пользовательский NOI",N('Исходные данные'!$B$89),AT124))/N('Исходные данные'!$B$80)*(1+N('Исходные данные'!$B$81))))</f>
        <v>0</v>
      </c>
      <c r="AV124">
        <f>IF(OR(E124&lt;&gt;1,B124="",'Исходные данные'!$B$91=""),0,IF(AND(YEAR(B124)=YEAR('Исходные данные'!$B$91),MONTH(B124)=MONTH('Исходные данные'!$B$91)),AU124,0))</f>
        <v>0</v>
      </c>
      <c r="AW124">
        <f>-AV124*N('Исходные данные'!$B$73)</f>
        <v>0</v>
      </c>
      <c r="AX124">
        <f>IF(AV124=0,0,-N('Исходные данные'!$B$87)-IF('Исходные данные'!$B$82="Да",IF('Исходные данные'!$B$84="С выручки",AV124,IF('Исходные данные'!$B$84="С прибыли",MAX(0,AV124+AW124-IF('Исходные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24">
        <f t="shared" si="72"/>
        <v>0</v>
      </c>
      <c r="AZ124">
        <f t="shared" si="73"/>
        <v>0</v>
      </c>
      <c r="BA124">
        <f t="shared" si="74"/>
        <v>0</v>
      </c>
      <c r="BB124" t="str">
        <f t="shared" si="81"/>
        <v/>
      </c>
      <c r="BC124">
        <f>IF(OR(E124=0,'Исходные данные'!$B$9="",'Исходные данные'!$B$90=""),0,BA124/(1+'Исходные данные'!$B$90)^((D124-'Исходные данные'!$B$9)/365))</f>
        <v>0</v>
      </c>
      <c r="BD124">
        <f>IF(AND(E124=1,BB124&gt;=0,BB123&lt;0,MIN($BB$2:BB124)&lt;0),1,0)</f>
        <v>0</v>
      </c>
      <c r="BE124">
        <f t="shared" si="75"/>
        <v>0</v>
      </c>
      <c r="BF124">
        <f t="shared" si="76"/>
        <v>0</v>
      </c>
      <c r="BG124">
        <f t="shared" si="77"/>
        <v>0</v>
      </c>
      <c r="BH124">
        <f t="shared" si="78"/>
        <v>1</v>
      </c>
      <c r="BI124">
        <f>AZ124+N124+AP124-AR124*N('Исходные данные'!$B$50)</f>
        <v>0</v>
      </c>
      <c r="BJ124">
        <f t="shared" si="61"/>
        <v>0</v>
      </c>
      <c r="BK124">
        <f>IF(AND(BJ124&gt;=0,BJ123&lt;0,MIN($BJ$2:BJ124)&lt;0),1,0)</f>
        <v>0</v>
      </c>
    </row>
    <row r="125" spans="1:63" x14ac:dyDescent="0.2">
      <c r="A125">
        <v>124</v>
      </c>
      <c r="B125" t="str">
        <f>IF('Исходные данные'!$B$9="","",EDATE(DATE(YEAR('Исходные данные'!$B$9),MONTH('Исходные данные'!$B$9),1),A125-1))</f>
        <v/>
      </c>
      <c r="C125" t="str">
        <f t="shared" si="62"/>
        <v/>
      </c>
      <c r="D125" t="str">
        <f>IF(B125="","",IF('Исходные данные'!$B$91&lt;&gt;"",IF(AND(YEAR(B125)=YEAR('Исходные данные'!$B$91),MONTH(B125)=MONTH('Исходные данные'!$B$91)),'Исходные данные'!$B$91,IF('Исходные данные'!$B$13&lt;&gt;"",IF(AND(YEAR(B125)=YEAR('Исходные данные'!$B$13),MONTH(B125)=MONTH('Исходные данные'!$B$13)),'Исходные данные'!$B$13,IF('Исходные данные'!$B$26&lt;&gt;"",IF(AND(YEAR(B125)=YEAR('Исходные данные'!$B$26),MONTH(B125)=MONTH('Исходные данные'!$B$26)),'Исходные данные'!$B$26,IF(A125=1,'Исходные данные'!$B$9,C125)),IF(A125=1,'Исходные данные'!$B$9,C125))),IF('Исходные данные'!$B$26&lt;&gt;"",IF(AND(YEAR(B125)=YEAR('Исходные данные'!$B$26),MONTH(B125)=MONTH('Исходные данные'!$B$26)),'Исходные данные'!$B$26,IF(A125=1,'Исходные данные'!$B$9,C125)),IF(A125=1,'Исходные данные'!$B$9,C125)))),IF('Исходные данные'!$B$13&lt;&gt;"",IF(AND(YEAR(B125)=YEAR('Исходные данные'!$B$13),MONTH(B125)=MONTH('Исходные данные'!$B$13)),'Исходные данные'!$B$13,IF('Исходные данные'!$B$26&lt;&gt;"",IF(AND(YEAR(B125)=YEAR('Исходные данные'!$B$26),MONTH(B125)=MONTH('Исходные данные'!$B$26)),'Исходные данные'!$B$26,IF(A125=1,'Исходные данные'!$B$9,C125)),IF(A125=1,'Исходные данные'!$B$9,C125))),IF('Исходные данные'!$B$26&lt;&gt;"",IF(AND(YEAR(B125)=YEAR('Исходные данные'!$B$26),MONTH(B125)=MONTH('Исходные данные'!$B$26)),'Исходные данные'!$B$26,IF(A125=1,'Исходные данные'!$B$9,C125)),IF(A125=1,'Исходные данные'!$B$9,C125)))))</f>
        <v/>
      </c>
      <c r="E125">
        <f>IF(OR(B125="",'Исходные данные'!$B$91=""),0,--(B125&lt;=DATE(YEAR('Исходные данные'!$B$91),MONTH('Исходные данные'!$B$91),1)))</f>
        <v>0</v>
      </c>
      <c r="F125">
        <f>IF(OR(B125="",'Исходные данные'!$B$30="",C125&lt;'Исходные данные'!$B$30),0,DATEDIF(DATE(YEAR('Исходные данные'!$B$30),MONTH('Исходные данные'!$B$30),1),B125,"m")+1)</f>
        <v>0</v>
      </c>
      <c r="G125">
        <f t="shared" si="63"/>
        <v>0</v>
      </c>
      <c r="H125">
        <f>IF(F125=0,0,IF(G125=1,N('Исходные данные'!$B$31),IF(G125=2,N('Исходные данные'!$B$32),IF(G125=3,N('Исходные данные'!$B$33),N('Исходные данные'!$B$33)*(1+N('Исходные данные'!$B$34))^(G125-3)))))</f>
        <v>0</v>
      </c>
      <c r="I125">
        <f>IF(OR(F125=0,N('Исходные данные'!$B$5)=0,H125=0),0,'Исходные данные'!$B$5*H125*IF(AND(B125&lt;='Исходные данные'!$B$30,C125&gt;='Исходные данные'!$B$30),(C125-'Исходные данные'!$B$30+1)/DAY(C125),1))</f>
        <v>0</v>
      </c>
      <c r="J125">
        <f>IF(AND(F125&gt;0,F125&lt;=N('Исходные данные'!$B$37)),-I125,0)</f>
        <v>0</v>
      </c>
      <c r="K125">
        <f>IF(OR(F125=0,F125&lt;=N('Исходные данные'!$B$37)),0,-(I125+J125)*N('Исходные данные'!$B$38))</f>
        <v>0</v>
      </c>
      <c r="L125">
        <f t="shared" si="64"/>
        <v>0</v>
      </c>
      <c r="M125">
        <f>IF('Исходные данные'!$B$51="Да",L125*N('Исходные данные'!$B$52),0)</f>
        <v>0</v>
      </c>
      <c r="N125">
        <f t="shared" si="65"/>
        <v>0</v>
      </c>
      <c r="O125">
        <f>IF(OR(B125="",IF('Исходные данные'!$B$45="",'Исходные данные'!$B$10,'Исходные данные'!$B$45)="",C125&lt;IF('Исходные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данные'!$B$45)),1),B125,"m")/12))*IF(AND(B125&lt;=IF('Исходные данные'!$B$45="",'Исходные данные'!$B$10,'Исходные данные'!$B$45),C125&gt;=IF('Исходные данные'!$B$45="",'Исходные данные'!$B$10,'Исходные данные'!$B$45)),(C125-IF('Исходные данные'!$B$45="",'Исходные данные'!$B$10,'Исходные данные'!$B$45)+1)/DAY(C125),1)*IF('Исходные данные'!$B$43="Без НДС",1+N('Исходные данные'!$B$44),1))</f>
        <v>0</v>
      </c>
      <c r="P125">
        <f>IF('Исходные данные'!$B$51="Да",-O125*N('Исходные данные'!$B$44)/(1+N('Исходные данные'!$B$44)),0)</f>
        <v>0</v>
      </c>
      <c r="Q125">
        <f>IF('Исходные данные'!$B$35="Да",-O125,0)</f>
        <v>0</v>
      </c>
      <c r="R125">
        <f>IF(AND('Исходные данные'!$B$51="Да",Q125&gt;0),Q125*N('Исходные данные'!$B$52)/(1+N('Исходные данные'!$B$52)),0)</f>
        <v>0</v>
      </c>
      <c r="S125">
        <f>IF(OR(B125="",IF('Исходные данные'!$B$45="",'Исходные данные'!$B$10,'Исходные данные'!$B$45)="",C125&lt;IF('Исходные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данные'!$B$45)),1),B125,"m")/12))*IF(AND(B125&lt;=IF('Исходные данные'!$B$45="",'Исходные данные'!$B$10,'Исходные данные'!$B$45),C125&gt;=IF('Исходные данные'!$B$45="",'Исходные данные'!$B$10,'Исходные данные'!$B$45)),(C125-IF('Исходные данные'!$B$45="",'Исходные данные'!$B$10,'Исходные данные'!$B$45)+1)/DAY(C125),1)*IF('Исходные данные'!$B$43="Без НДС",1+N('Исходные данные'!$B$44),1))</f>
        <v>0</v>
      </c>
      <c r="T125">
        <f>IF('Исходные данные'!$B$51="Да",-S125*N('Исходные данные'!$B$44)/(1+N('Исходные данные'!$B$44)),0)</f>
        <v>0</v>
      </c>
      <c r="U125">
        <f>IF('Исходные данные'!$B$36="Да",-S125,0)</f>
        <v>0</v>
      </c>
      <c r="V125">
        <f>IF(AND('Исходные данные'!$B$51="Да",U125&gt;0),U125*N('Исходные данные'!$B$52)/(1+N('Исходные данные'!$B$52)),0)</f>
        <v>0</v>
      </c>
      <c r="W125">
        <f>IF(OR(B125="",IF('Исходные данные'!$B$69="",'Исходные данные'!$B$10,'Исходные данные'!$B$69)="",C125&lt;IF('Исходные данные'!$B$69="",'Исходные данные'!$B$10,'Исходные данные'!$B$69)),0,-N('Исходные данные'!$B$16)*N('Исходные данные'!$B$68)*N('Исходные данные'!$B$67)/12*IF(AND(B125&lt;=IF('Исходные данные'!$B$69="",'Исходные данные'!$B$10,'Исходные данные'!$B$69),C125&gt;=IF('Исходные данные'!$B$69="",'Исходные данные'!$B$10,'Исходные данные'!$B$69)),(C125-IF('Исходные данные'!$B$69="",'Исходные данные'!$B$10,'Исходные данные'!$B$69)+1)/DAY(C125),1))</f>
        <v>0</v>
      </c>
      <c r="X125">
        <f>IF(OR(B125="",IF('Исходные данные'!$B$76="",'Исходные данные'!$B$10,'Исходные данные'!$B$76)="",C125&lt;IF('Исходные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данные'!$B$76)),1),B125,"m")/12))*IF(AND(B125&lt;=IF('Исходные данные'!$B$76="",'Исходные данные'!$B$10,'Исходные данные'!$B$76),C125&gt;=IF('Исходные данные'!$B$76="",'Исходные данные'!$B$10,'Исходные данные'!$B$76)),(C125-IF('Исходные данные'!$B$76="",'Исходные данные'!$B$10,'Исходные данные'!$B$76)+1)/DAY(C125),1))</f>
        <v>0</v>
      </c>
      <c r="Y125">
        <f t="shared" si="66"/>
        <v>0</v>
      </c>
      <c r="Z125">
        <f>IF(OR(B125="",N('Исходные данные'!$B$19)=0),0,-SUMIFS('Исходные данные'!$I$6:$I$186,'Исходные данные'!$F$6:$F$186,B125)*N('Исходные данные'!$B$17)/N('Исходные данные'!$B$19))</f>
        <v>0</v>
      </c>
      <c r="AA125">
        <f>IF(OR(B125="",N('Исходные данные'!$B$19)=0),0,-SUMIFS('Исходные данные'!$I$6:$I$186,'Исходные данные'!$F$6:$F$186,B125)*N('Исходные данные'!$B$18)/N('Исходные данные'!$B$19))</f>
        <v>0</v>
      </c>
      <c r="AB125">
        <f>IF(OR(B125="",'Исходные данные'!$B$13=""),0,IF(AND(YEAR(B125)=YEAR('Исходные данные'!$B$13),MONTH(B125)=MONTH('Исходные данные'!$B$13)),-N('Исходные данные'!$B$11),0))</f>
        <v>0</v>
      </c>
      <c r="AC125">
        <f>IF(A125=1,-N('Исходные данные'!$B$19)*N('Исходные данные'!$B$72),0)</f>
        <v>0</v>
      </c>
      <c r="AD125">
        <f>IF(OR(B125="",'Исходные данные'!$B$22&lt;&gt;"Да",'Исходные данные'!$B$26=""),0,IF(AND(YEAR(B125)=YEAR('Исходные данные'!$B$26),MONTH(B125)=MONTH('Исходные данные'!$B$26)),N('Исходные данные'!$B$23),0))</f>
        <v>0</v>
      </c>
      <c r="AE125">
        <f t="shared" si="79"/>
        <v>0</v>
      </c>
      <c r="AF125">
        <f>IF(OR('Исходные данные'!$B$22&lt;&gt;"Да",'Исходные данные'!$B$26="",C125&lt;'Исходные данные'!$B$26),0,DATEDIF(DATE(YEAR('Исходные данные'!$B$26),MONTH('Исходные данные'!$B$26),1),B125,"m")+1)</f>
        <v>0</v>
      </c>
      <c r="AG125">
        <f>IF(OR(AF125&lt;1,AF125&gt;N('Исходные данные'!$B$25),AE125+AD125&lt;=0),0,-(AE125+AD125)*N('Исходные данные'!$B$24)*IF(AF125=1,C125-'Исходные данные'!$B$26+1,DAY(C125))/365)</f>
        <v>0</v>
      </c>
      <c r="AH125">
        <f>IF(OR(AF125&lt;1,AF125&gt;N('Исходные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данные'!$B$25)-AG125))</f>
        <v>0</v>
      </c>
      <c r="AI125">
        <f>IF(OR('Исходные данные'!$B$22&lt;&gt;"Да",AE125+AD125&lt;=0),0,IF(AND('Исходные данные'!$B$91&lt;&gt;"",B125&lt;&gt;"",YEAR(B125)=YEAR('Исходные данные'!$B$91),MONTH(B125)=MONTH('Исходные данные'!$B$91)),-(AE125+AD125),IF(OR(AF125&lt;1,AF125&gt;N('Исходные данные'!$B$25)),0,IF('Исходные данные'!$B$27="Равными долями",-MIN(AE125+AD125,N('Исходные данные'!$B$23)/N('Исходные данные'!$B$25)),-MIN(AE125+AD125,IF(AF125=N('Исходные данные'!$B$25),AE125+AD125,MAX(0,AH125+AG125)))))))</f>
        <v>0</v>
      </c>
      <c r="AJ125">
        <f t="shared" si="67"/>
        <v>0</v>
      </c>
      <c r="AK125">
        <f t="shared" si="68"/>
        <v>0</v>
      </c>
      <c r="AL125">
        <f>IF(OR(B125="",'Исходные данные'!$B$51&lt;&gt;"Да",'Исходные данные'!$B$61=""),0,IF(AND(YEAR(B125)=YEAR('Исходные данные'!$B$61),MONTH(B125)=MONTH('Исходные данные'!$B$61)),N('Исходные данные'!$B$18)*N('Исходные данные'!$B$62),0))</f>
        <v>0</v>
      </c>
      <c r="AM125">
        <f t="shared" si="80"/>
        <v>0</v>
      </c>
      <c r="AN125">
        <f t="shared" si="69"/>
        <v>0</v>
      </c>
      <c r="AO125">
        <f t="shared" si="70"/>
        <v>0</v>
      </c>
      <c r="AP125">
        <f>IF('Исходные данные'!$B$51="Да",-MAX(0,AN125-AO125-AM125),0)</f>
        <v>0</v>
      </c>
      <c r="AQ125">
        <f>IF('Исходные данные'!$B$51="Да",MAX(0,AM125+AO125-AN125),0)</f>
        <v>0</v>
      </c>
      <c r="AR125">
        <f>IF('Исходные данные'!$B$53="Выручка",MAX(0,L125+(Q125-R125)+(U125-V125)),IF('Исходные данные'!$B$53="Прибыль до налога",MAX(0,L125+(Q125-R125)+(U125-V125)+N('Исходные данные'!$B$54)*((O125+P125)+(S125+T125)+W125+X125)+IF('Исходные данные'!$B$55="Да",AG125,0)-N('Исходные данные'!$B$56)/12),IF('Исходные данные'!$B$53="Пользовательская база",MAX(0,N('Исходные данные'!$B$57)/12),0)))</f>
        <v>0</v>
      </c>
      <c r="AS125">
        <f>IF(E125=1,-AR125*N('Исходные данные'!$B$50),0)</f>
        <v>0</v>
      </c>
      <c r="AT125">
        <f t="shared" si="71"/>
        <v>0</v>
      </c>
      <c r="AU125">
        <f>IF(OR(B125="",N('Исходные данные'!$B$80)&lt;=0,'Исходные данные'!$B$88=""),0,MAX(0,IF('Исходные данные'!$B$88="Последние 12 месяцев",SUMIFS($Y$2:$Y$194,$B$2:$B$194,"&gt;="&amp;EDATE(B125,-11),$B$2:$B$194,"&lt;="&amp;B125),IF('Исходные данные'!$B$88="Пользовательский NOI",N('Исходные данные'!$B$89),AT125))/N('Исходные данные'!$B$80)*(1+N('Исходные данные'!$B$81))))</f>
        <v>0</v>
      </c>
      <c r="AV125">
        <f>IF(OR(E125&lt;&gt;1,B125="",'Исходные данные'!$B$91=""),0,IF(AND(YEAR(B125)=YEAR('Исходные данные'!$B$91),MONTH(B125)=MONTH('Исходные данные'!$B$91)),AU125,0))</f>
        <v>0</v>
      </c>
      <c r="AW125">
        <f>-AV125*N('Исходные данные'!$B$73)</f>
        <v>0</v>
      </c>
      <c r="AX125">
        <f>IF(AV125=0,0,-N('Исходные данные'!$B$87)-IF('Исходные данные'!$B$82="Да",IF('Исходные данные'!$B$84="С выручки",AV125,IF('Исходные данные'!$B$84="С прибыли",MAX(0,AV125+AW125-IF('Исходные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25">
        <f t="shared" si="72"/>
        <v>0</v>
      </c>
      <c r="AZ125">
        <f t="shared" si="73"/>
        <v>0</v>
      </c>
      <c r="BA125">
        <f t="shared" si="74"/>
        <v>0</v>
      </c>
      <c r="BB125" t="str">
        <f t="shared" si="81"/>
        <v/>
      </c>
      <c r="BC125">
        <f>IF(OR(E125=0,'Исходные данные'!$B$9="",'Исходные данные'!$B$90=""),0,BA125/(1+'Исходные данные'!$B$90)^((D125-'Исходные данные'!$B$9)/365))</f>
        <v>0</v>
      </c>
      <c r="BD125">
        <f>IF(AND(E125=1,BB125&gt;=0,BB124&lt;0,MIN($BB$2:BB125)&lt;0),1,0)</f>
        <v>0</v>
      </c>
      <c r="BE125">
        <f t="shared" si="75"/>
        <v>0</v>
      </c>
      <c r="BF125">
        <f t="shared" si="76"/>
        <v>0</v>
      </c>
      <c r="BG125">
        <f t="shared" si="77"/>
        <v>0</v>
      </c>
      <c r="BH125">
        <f t="shared" si="78"/>
        <v>1</v>
      </c>
      <c r="BI125">
        <f>AZ125+N125+AP125-AR125*N('Исходные данные'!$B$50)</f>
        <v>0</v>
      </c>
      <c r="BJ125">
        <f t="shared" si="61"/>
        <v>0</v>
      </c>
      <c r="BK125">
        <f>IF(AND(BJ125&gt;=0,BJ124&lt;0,MIN($BJ$2:BJ125)&lt;0),1,0)</f>
        <v>0</v>
      </c>
    </row>
    <row r="126" spans="1:63" x14ac:dyDescent="0.2">
      <c r="A126">
        <v>125</v>
      </c>
      <c r="B126" t="str">
        <f>IF('Исходные данные'!$B$9="","",EDATE(DATE(YEAR('Исходные данные'!$B$9),MONTH('Исходные данные'!$B$9),1),A126-1))</f>
        <v/>
      </c>
      <c r="C126" t="str">
        <f t="shared" si="62"/>
        <v/>
      </c>
      <c r="D126" t="str">
        <f>IF(B126="","",IF('Исходные данные'!$B$91&lt;&gt;"",IF(AND(YEAR(B126)=YEAR('Исходные данные'!$B$91),MONTH(B126)=MONTH('Исходные данные'!$B$91)),'Исходные данные'!$B$91,IF('Исходные данные'!$B$13&lt;&gt;"",IF(AND(YEAR(B126)=YEAR('Исходные данные'!$B$13),MONTH(B126)=MONTH('Исходные данные'!$B$13)),'Исходные данные'!$B$13,IF('Исходные данные'!$B$26&lt;&gt;"",IF(AND(YEAR(B126)=YEAR('Исходные данные'!$B$26),MONTH(B126)=MONTH('Исходные данные'!$B$26)),'Исходные данные'!$B$26,IF(A126=1,'Исходные данные'!$B$9,C126)),IF(A126=1,'Исходные данные'!$B$9,C126))),IF('Исходные данные'!$B$26&lt;&gt;"",IF(AND(YEAR(B126)=YEAR('Исходные данные'!$B$26),MONTH(B126)=MONTH('Исходные данные'!$B$26)),'Исходные данные'!$B$26,IF(A126=1,'Исходные данные'!$B$9,C126)),IF(A126=1,'Исходные данные'!$B$9,C126)))),IF('Исходные данные'!$B$13&lt;&gt;"",IF(AND(YEAR(B126)=YEAR('Исходные данные'!$B$13),MONTH(B126)=MONTH('Исходные данные'!$B$13)),'Исходные данные'!$B$13,IF('Исходные данные'!$B$26&lt;&gt;"",IF(AND(YEAR(B126)=YEAR('Исходные данные'!$B$26),MONTH(B126)=MONTH('Исходные данные'!$B$26)),'Исходные данные'!$B$26,IF(A126=1,'Исходные данные'!$B$9,C126)),IF(A126=1,'Исходные данные'!$B$9,C126))),IF('Исходные данные'!$B$26&lt;&gt;"",IF(AND(YEAR(B126)=YEAR('Исходные данные'!$B$26),MONTH(B126)=MONTH('Исходные данные'!$B$26)),'Исходные данные'!$B$26,IF(A126=1,'Исходные данные'!$B$9,C126)),IF(A126=1,'Исходные данные'!$B$9,C126)))))</f>
        <v/>
      </c>
      <c r="E126">
        <f>IF(OR(B126="",'Исходные данные'!$B$91=""),0,--(B126&lt;=DATE(YEAR('Исходные данные'!$B$91),MONTH('Исходные данные'!$B$91),1)))</f>
        <v>0</v>
      </c>
      <c r="F126">
        <f>IF(OR(B126="",'Исходные данные'!$B$30="",C126&lt;'Исходные данные'!$B$30),0,DATEDIF(DATE(YEAR('Исходные данные'!$B$30),MONTH('Исходные данные'!$B$30),1),B126,"m")+1)</f>
        <v>0</v>
      </c>
      <c r="G126">
        <f t="shared" si="63"/>
        <v>0</v>
      </c>
      <c r="H126">
        <f>IF(F126=0,0,IF(G126=1,N('Исходные данные'!$B$31),IF(G126=2,N('Исходные данные'!$B$32),IF(G126=3,N('Исходные данные'!$B$33),N('Исходные данные'!$B$33)*(1+N('Исходные данные'!$B$34))^(G126-3)))))</f>
        <v>0</v>
      </c>
      <c r="I126">
        <f>IF(OR(F126=0,N('Исходные данные'!$B$5)=0,H126=0),0,'Исходные данные'!$B$5*H126*IF(AND(B126&lt;='Исходные данные'!$B$30,C126&gt;='Исходные данные'!$B$30),(C126-'Исходные данные'!$B$30+1)/DAY(C126),1))</f>
        <v>0</v>
      </c>
      <c r="J126">
        <f>IF(AND(F126&gt;0,F126&lt;=N('Исходные данные'!$B$37)),-I126,0)</f>
        <v>0</v>
      </c>
      <c r="K126">
        <f>IF(OR(F126=0,F126&lt;=N('Исходные данные'!$B$37)),0,-(I126+J126)*N('Исходные данные'!$B$38))</f>
        <v>0</v>
      </c>
      <c r="L126">
        <f t="shared" si="64"/>
        <v>0</v>
      </c>
      <c r="M126">
        <f>IF('Исходные данные'!$B$51="Да",L126*N('Исходные данные'!$B$52),0)</f>
        <v>0</v>
      </c>
      <c r="N126">
        <f t="shared" si="65"/>
        <v>0</v>
      </c>
      <c r="O126">
        <f>IF(OR(B126="",IF('Исходные данные'!$B$45="",'Исходные данные'!$B$10,'Исходные данные'!$B$45)="",C126&lt;IF('Исходные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данные'!$B$45)),1),B126,"m")/12))*IF(AND(B126&lt;=IF('Исходные данные'!$B$45="",'Исходные данные'!$B$10,'Исходные данные'!$B$45),C126&gt;=IF('Исходные данные'!$B$45="",'Исходные данные'!$B$10,'Исходные данные'!$B$45)),(C126-IF('Исходные данные'!$B$45="",'Исходные данные'!$B$10,'Исходные данные'!$B$45)+1)/DAY(C126),1)*IF('Исходные данные'!$B$43="Без НДС",1+N('Исходные данные'!$B$44),1))</f>
        <v>0</v>
      </c>
      <c r="P126">
        <f>IF('Исходные данные'!$B$51="Да",-O126*N('Исходные данные'!$B$44)/(1+N('Исходные данные'!$B$44)),0)</f>
        <v>0</v>
      </c>
      <c r="Q126">
        <f>IF('Исходные данные'!$B$35="Да",-O126,0)</f>
        <v>0</v>
      </c>
      <c r="R126">
        <f>IF(AND('Исходные данные'!$B$51="Да",Q126&gt;0),Q126*N('Исходные данные'!$B$52)/(1+N('Исходные данные'!$B$52)),0)</f>
        <v>0</v>
      </c>
      <c r="S126">
        <f>IF(OR(B126="",IF('Исходные данные'!$B$45="",'Исходные данные'!$B$10,'Исходные данные'!$B$45)="",C126&lt;IF('Исходные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данные'!$B$45)),1),B126,"m")/12))*IF(AND(B126&lt;=IF('Исходные данные'!$B$45="",'Исходные данные'!$B$10,'Исходные данные'!$B$45),C126&gt;=IF('Исходные данные'!$B$45="",'Исходные данные'!$B$10,'Исходные данные'!$B$45)),(C126-IF('Исходные данные'!$B$45="",'Исходные данные'!$B$10,'Исходные данные'!$B$45)+1)/DAY(C126),1)*IF('Исходные данные'!$B$43="Без НДС",1+N('Исходные данные'!$B$44),1))</f>
        <v>0</v>
      </c>
      <c r="T126">
        <f>IF('Исходные данные'!$B$51="Да",-S126*N('Исходные данные'!$B$44)/(1+N('Исходные данные'!$B$44)),0)</f>
        <v>0</v>
      </c>
      <c r="U126">
        <f>IF('Исходные данные'!$B$36="Да",-S126,0)</f>
        <v>0</v>
      </c>
      <c r="V126">
        <f>IF(AND('Исходные данные'!$B$51="Да",U126&gt;0),U126*N('Исходные данные'!$B$52)/(1+N('Исходные данные'!$B$52)),0)</f>
        <v>0</v>
      </c>
      <c r="W126">
        <f>IF(OR(B126="",IF('Исходные данные'!$B$69="",'Исходные данные'!$B$10,'Исходные данные'!$B$69)="",C126&lt;IF('Исходные данные'!$B$69="",'Исходные данные'!$B$10,'Исходные данные'!$B$69)),0,-N('Исходные данные'!$B$16)*N('Исходные данные'!$B$68)*N('Исходные данные'!$B$67)/12*IF(AND(B126&lt;=IF('Исходные данные'!$B$69="",'Исходные данные'!$B$10,'Исходные данные'!$B$69),C126&gt;=IF('Исходные данные'!$B$69="",'Исходные данные'!$B$10,'Исходные данные'!$B$69)),(C126-IF('Исходные данные'!$B$69="",'Исходные данные'!$B$10,'Исходные данные'!$B$69)+1)/DAY(C126),1))</f>
        <v>0</v>
      </c>
      <c r="X126">
        <f>IF(OR(B126="",IF('Исходные данные'!$B$76="",'Исходные данные'!$B$10,'Исходные данные'!$B$76)="",C126&lt;IF('Исходные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данные'!$B$76)),1),B126,"m")/12))*IF(AND(B126&lt;=IF('Исходные данные'!$B$76="",'Исходные данные'!$B$10,'Исходные данные'!$B$76),C126&gt;=IF('Исходные данные'!$B$76="",'Исходные данные'!$B$10,'Исходные данные'!$B$76)),(C126-IF('Исходные данные'!$B$76="",'Исходные данные'!$B$10,'Исходные данные'!$B$76)+1)/DAY(C126),1))</f>
        <v>0</v>
      </c>
      <c r="Y126">
        <f t="shared" si="66"/>
        <v>0</v>
      </c>
      <c r="Z126">
        <f>IF(OR(B126="",N('Исходные данные'!$B$19)=0),0,-SUMIFS('Исходные данные'!$I$6:$I$186,'Исходные данные'!$F$6:$F$186,B126)*N('Исходные данные'!$B$17)/N('Исходные данные'!$B$19))</f>
        <v>0</v>
      </c>
      <c r="AA126">
        <f>IF(OR(B126="",N('Исходные данные'!$B$19)=0),0,-SUMIFS('Исходные данные'!$I$6:$I$186,'Исходные данные'!$F$6:$F$186,B126)*N('Исходные данные'!$B$18)/N('Исходные данные'!$B$19))</f>
        <v>0</v>
      </c>
      <c r="AB126">
        <f>IF(OR(B126="",'Исходные данные'!$B$13=""),0,IF(AND(YEAR(B126)=YEAR('Исходные данные'!$B$13),MONTH(B126)=MONTH('Исходные данные'!$B$13)),-N('Исходные данные'!$B$11),0))</f>
        <v>0</v>
      </c>
      <c r="AC126">
        <f>IF(A126=1,-N('Исходные данные'!$B$19)*N('Исходные данные'!$B$72),0)</f>
        <v>0</v>
      </c>
      <c r="AD126">
        <f>IF(OR(B126="",'Исходные данные'!$B$22&lt;&gt;"Да",'Исходные данные'!$B$26=""),0,IF(AND(YEAR(B126)=YEAR('Исходные данные'!$B$26),MONTH(B126)=MONTH('Исходные данные'!$B$26)),N('Исходные данные'!$B$23),0))</f>
        <v>0</v>
      </c>
      <c r="AE126">
        <f t="shared" si="79"/>
        <v>0</v>
      </c>
      <c r="AF126">
        <f>IF(OR('Исходные данные'!$B$22&lt;&gt;"Да",'Исходные данные'!$B$26="",C126&lt;'Исходные данные'!$B$26),0,DATEDIF(DATE(YEAR('Исходные данные'!$B$26),MONTH('Исходные данные'!$B$26),1),B126,"m")+1)</f>
        <v>0</v>
      </c>
      <c r="AG126">
        <f>IF(OR(AF126&lt;1,AF126&gt;N('Исходные данные'!$B$25),AE126+AD126&lt;=0),0,-(AE126+AD126)*N('Исходные данные'!$B$24)*IF(AF126=1,C126-'Исходные данные'!$B$26+1,DAY(C126))/365)</f>
        <v>0</v>
      </c>
      <c r="AH126">
        <f>IF(OR(AF126&lt;1,AF126&gt;N('Исходные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данные'!$B$25)-AG126))</f>
        <v>0</v>
      </c>
      <c r="AI126">
        <f>IF(OR('Исходные данные'!$B$22&lt;&gt;"Да",AE126+AD126&lt;=0),0,IF(AND('Исходные данные'!$B$91&lt;&gt;"",B126&lt;&gt;"",YEAR(B126)=YEAR('Исходные данные'!$B$91),MONTH(B126)=MONTH('Исходные данные'!$B$91)),-(AE126+AD126),IF(OR(AF126&lt;1,AF126&gt;N('Исходные данные'!$B$25)),0,IF('Исходные данные'!$B$27="Равными долями",-MIN(AE126+AD126,N('Исходные данные'!$B$23)/N('Исходные данные'!$B$25)),-MIN(AE126+AD126,IF(AF126=N('Исходные данные'!$B$25),AE126+AD126,MAX(0,AH126+AG126)))))))</f>
        <v>0</v>
      </c>
      <c r="AJ126">
        <f t="shared" si="67"/>
        <v>0</v>
      </c>
      <c r="AK126">
        <f t="shared" si="68"/>
        <v>0</v>
      </c>
      <c r="AL126">
        <f>IF(OR(B126="",'Исходные данные'!$B$51&lt;&gt;"Да",'Исходные данные'!$B$61=""),0,IF(AND(YEAR(B126)=YEAR('Исходные данные'!$B$61),MONTH(B126)=MONTH('Исходные данные'!$B$61)),N('Исходные данные'!$B$18)*N('Исходные данные'!$B$62),0))</f>
        <v>0</v>
      </c>
      <c r="AM126">
        <f t="shared" si="80"/>
        <v>0</v>
      </c>
      <c r="AN126">
        <f t="shared" si="69"/>
        <v>0</v>
      </c>
      <c r="AO126">
        <f t="shared" si="70"/>
        <v>0</v>
      </c>
      <c r="AP126">
        <f>IF('Исходные данные'!$B$51="Да",-MAX(0,AN126-AO126-AM126),0)</f>
        <v>0</v>
      </c>
      <c r="AQ126">
        <f>IF('Исходные данные'!$B$51="Да",MAX(0,AM126+AO126-AN126),0)</f>
        <v>0</v>
      </c>
      <c r="AR126">
        <f>IF('Исходные данные'!$B$53="Выручка",MAX(0,L126+(Q126-R126)+(U126-V126)),IF('Исходные данные'!$B$53="Прибыль до налога",MAX(0,L126+(Q126-R126)+(U126-V126)+N('Исходные данные'!$B$54)*((O126+P126)+(S126+T126)+W126+X126)+IF('Исходные данные'!$B$55="Да",AG126,0)-N('Исходные данные'!$B$56)/12),IF('Исходные данные'!$B$53="Пользовательская база",MAX(0,N('Исходные данные'!$B$57)/12),0)))</f>
        <v>0</v>
      </c>
      <c r="AS126">
        <f>IF(E126=1,-AR126*N('Исходные данные'!$B$50),0)</f>
        <v>0</v>
      </c>
      <c r="AT126">
        <f t="shared" si="71"/>
        <v>0</v>
      </c>
      <c r="AU126">
        <f>IF(OR(B126="",N('Исходные данные'!$B$80)&lt;=0,'Исходные данные'!$B$88=""),0,MAX(0,IF('Исходные данные'!$B$88="Последние 12 месяцев",SUMIFS($Y$2:$Y$194,$B$2:$B$194,"&gt;="&amp;EDATE(B126,-11),$B$2:$B$194,"&lt;="&amp;B126),IF('Исходные данные'!$B$88="Пользовательский NOI",N('Исходные данные'!$B$89),AT126))/N('Исходные данные'!$B$80)*(1+N('Исходные данные'!$B$81))))</f>
        <v>0</v>
      </c>
      <c r="AV126">
        <f>IF(OR(E126&lt;&gt;1,B126="",'Исходные данные'!$B$91=""),0,IF(AND(YEAR(B126)=YEAR('Исходные данные'!$B$91),MONTH(B126)=MONTH('Исходные данные'!$B$91)),AU126,0))</f>
        <v>0</v>
      </c>
      <c r="AW126">
        <f>-AV126*N('Исходные данные'!$B$73)</f>
        <v>0</v>
      </c>
      <c r="AX126">
        <f>IF(AV126=0,0,-N('Исходные данные'!$B$87)-IF('Исходные данные'!$B$82="Да",IF('Исходные данные'!$B$84="С выручки",AV126,IF('Исходные данные'!$B$84="С прибыли",MAX(0,AV126+AW126-IF('Исходные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26">
        <f t="shared" si="72"/>
        <v>0</v>
      </c>
      <c r="AZ126">
        <f t="shared" si="73"/>
        <v>0</v>
      </c>
      <c r="BA126">
        <f t="shared" si="74"/>
        <v>0</v>
      </c>
      <c r="BB126" t="str">
        <f t="shared" si="81"/>
        <v/>
      </c>
      <c r="BC126">
        <f>IF(OR(E126=0,'Исходные данные'!$B$9="",'Исходные данные'!$B$90=""),0,BA126/(1+'Исходные данные'!$B$90)^((D126-'Исходные данные'!$B$9)/365))</f>
        <v>0</v>
      </c>
      <c r="BD126">
        <f>IF(AND(E126=1,BB126&gt;=0,BB125&lt;0,MIN($BB$2:BB126)&lt;0),1,0)</f>
        <v>0</v>
      </c>
      <c r="BE126">
        <f t="shared" si="75"/>
        <v>0</v>
      </c>
      <c r="BF126">
        <f t="shared" si="76"/>
        <v>0</v>
      </c>
      <c r="BG126">
        <f t="shared" si="77"/>
        <v>0</v>
      </c>
      <c r="BH126">
        <f t="shared" si="78"/>
        <v>1</v>
      </c>
      <c r="BI126">
        <f>AZ126+N126+AP126-AR126*N('Исходные данные'!$B$50)</f>
        <v>0</v>
      </c>
      <c r="BJ126">
        <f t="shared" si="61"/>
        <v>0</v>
      </c>
      <c r="BK126">
        <f>IF(AND(BJ126&gt;=0,BJ125&lt;0,MIN($BJ$2:BJ126)&lt;0),1,0)</f>
        <v>0</v>
      </c>
    </row>
    <row r="127" spans="1:63" x14ac:dyDescent="0.2">
      <c r="A127">
        <v>126</v>
      </c>
      <c r="B127" t="str">
        <f>IF('Исходные данные'!$B$9="","",EDATE(DATE(YEAR('Исходные данные'!$B$9),MONTH('Исходные данные'!$B$9),1),A127-1))</f>
        <v/>
      </c>
      <c r="C127" t="str">
        <f t="shared" si="62"/>
        <v/>
      </c>
      <c r="D127" t="str">
        <f>IF(B127="","",IF('Исходные данные'!$B$91&lt;&gt;"",IF(AND(YEAR(B127)=YEAR('Исходные данные'!$B$91),MONTH(B127)=MONTH('Исходные данные'!$B$91)),'Исходные данные'!$B$91,IF('Исходные данные'!$B$13&lt;&gt;"",IF(AND(YEAR(B127)=YEAR('Исходные данные'!$B$13),MONTH(B127)=MONTH('Исходные данные'!$B$13)),'Исходные данные'!$B$13,IF('Исходные данные'!$B$26&lt;&gt;"",IF(AND(YEAR(B127)=YEAR('Исходные данные'!$B$26),MONTH(B127)=MONTH('Исходные данные'!$B$26)),'Исходные данные'!$B$26,IF(A127=1,'Исходные данные'!$B$9,C127)),IF(A127=1,'Исходные данные'!$B$9,C127))),IF('Исходные данные'!$B$26&lt;&gt;"",IF(AND(YEAR(B127)=YEAR('Исходные данные'!$B$26),MONTH(B127)=MONTH('Исходные данные'!$B$26)),'Исходные данные'!$B$26,IF(A127=1,'Исходные данные'!$B$9,C127)),IF(A127=1,'Исходные данные'!$B$9,C127)))),IF('Исходные данные'!$B$13&lt;&gt;"",IF(AND(YEAR(B127)=YEAR('Исходные данные'!$B$13),MONTH(B127)=MONTH('Исходные данные'!$B$13)),'Исходные данные'!$B$13,IF('Исходные данные'!$B$26&lt;&gt;"",IF(AND(YEAR(B127)=YEAR('Исходные данные'!$B$26),MONTH(B127)=MONTH('Исходные данные'!$B$26)),'Исходные данные'!$B$26,IF(A127=1,'Исходные данные'!$B$9,C127)),IF(A127=1,'Исходные данные'!$B$9,C127))),IF('Исходные данные'!$B$26&lt;&gt;"",IF(AND(YEAR(B127)=YEAR('Исходные данные'!$B$26),MONTH(B127)=MONTH('Исходные данные'!$B$26)),'Исходные данные'!$B$26,IF(A127=1,'Исходные данные'!$B$9,C127)),IF(A127=1,'Исходные данные'!$B$9,C127)))))</f>
        <v/>
      </c>
      <c r="E127">
        <f>IF(OR(B127="",'Исходные данные'!$B$91=""),0,--(B127&lt;=DATE(YEAR('Исходные данные'!$B$91),MONTH('Исходные данные'!$B$91),1)))</f>
        <v>0</v>
      </c>
      <c r="F127">
        <f>IF(OR(B127="",'Исходные данные'!$B$30="",C127&lt;'Исходные данные'!$B$30),0,DATEDIF(DATE(YEAR('Исходные данные'!$B$30),MONTH('Исходные данные'!$B$30),1),B127,"m")+1)</f>
        <v>0</v>
      </c>
      <c r="G127">
        <f t="shared" si="63"/>
        <v>0</v>
      </c>
      <c r="H127">
        <f>IF(F127=0,0,IF(G127=1,N('Исходные данные'!$B$31),IF(G127=2,N('Исходные данные'!$B$32),IF(G127=3,N('Исходные данные'!$B$33),N('Исходные данные'!$B$33)*(1+N('Исходные данные'!$B$34))^(G127-3)))))</f>
        <v>0</v>
      </c>
      <c r="I127">
        <f>IF(OR(F127=0,N('Исходные данные'!$B$5)=0,H127=0),0,'Исходные данные'!$B$5*H127*IF(AND(B127&lt;='Исходные данные'!$B$30,C127&gt;='Исходные данные'!$B$30),(C127-'Исходные данные'!$B$30+1)/DAY(C127),1))</f>
        <v>0</v>
      </c>
      <c r="J127">
        <f>IF(AND(F127&gt;0,F127&lt;=N('Исходные данные'!$B$37)),-I127,0)</f>
        <v>0</v>
      </c>
      <c r="K127">
        <f>IF(OR(F127=0,F127&lt;=N('Исходные данные'!$B$37)),0,-(I127+J127)*N('Исходные данные'!$B$38))</f>
        <v>0</v>
      </c>
      <c r="L127">
        <f t="shared" si="64"/>
        <v>0</v>
      </c>
      <c r="M127">
        <f>IF('Исходные данные'!$B$51="Да",L127*N('Исходные данные'!$B$52),0)</f>
        <v>0</v>
      </c>
      <c r="N127">
        <f t="shared" si="65"/>
        <v>0</v>
      </c>
      <c r="O127">
        <f>IF(OR(B127="",IF('Исходные данные'!$B$45="",'Исходные данные'!$B$10,'Исходные данные'!$B$45)="",C127&lt;IF('Исходные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данные'!$B$45)),1),B127,"m")/12))*IF(AND(B127&lt;=IF('Исходные данные'!$B$45="",'Исходные данные'!$B$10,'Исходные данные'!$B$45),C127&gt;=IF('Исходные данные'!$B$45="",'Исходные данные'!$B$10,'Исходные данные'!$B$45)),(C127-IF('Исходные данные'!$B$45="",'Исходные данные'!$B$10,'Исходные данные'!$B$45)+1)/DAY(C127),1)*IF('Исходные данные'!$B$43="Без НДС",1+N('Исходные данные'!$B$44),1))</f>
        <v>0</v>
      </c>
      <c r="P127">
        <f>IF('Исходные данные'!$B$51="Да",-O127*N('Исходные данные'!$B$44)/(1+N('Исходные данные'!$B$44)),0)</f>
        <v>0</v>
      </c>
      <c r="Q127">
        <f>IF('Исходные данные'!$B$35="Да",-O127,0)</f>
        <v>0</v>
      </c>
      <c r="R127">
        <f>IF(AND('Исходные данные'!$B$51="Да",Q127&gt;0),Q127*N('Исходные данные'!$B$52)/(1+N('Исходные данные'!$B$52)),0)</f>
        <v>0</v>
      </c>
      <c r="S127">
        <f>IF(OR(B127="",IF('Исходные данные'!$B$45="",'Исходные данные'!$B$10,'Исходные данные'!$B$45)="",C127&lt;IF('Исходные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данные'!$B$45)),1),B127,"m")/12))*IF(AND(B127&lt;=IF('Исходные данные'!$B$45="",'Исходные данные'!$B$10,'Исходные данные'!$B$45),C127&gt;=IF('Исходные данные'!$B$45="",'Исходные данные'!$B$10,'Исходные данные'!$B$45)),(C127-IF('Исходные данные'!$B$45="",'Исходные данные'!$B$10,'Исходные данные'!$B$45)+1)/DAY(C127),1)*IF('Исходные данные'!$B$43="Без НДС",1+N('Исходные данные'!$B$44),1))</f>
        <v>0</v>
      </c>
      <c r="T127">
        <f>IF('Исходные данные'!$B$51="Да",-S127*N('Исходные данные'!$B$44)/(1+N('Исходные данные'!$B$44)),0)</f>
        <v>0</v>
      </c>
      <c r="U127">
        <f>IF('Исходные данные'!$B$36="Да",-S127,0)</f>
        <v>0</v>
      </c>
      <c r="V127">
        <f>IF(AND('Исходные данные'!$B$51="Да",U127&gt;0),U127*N('Исходные данные'!$B$52)/(1+N('Исходные данные'!$B$52)),0)</f>
        <v>0</v>
      </c>
      <c r="W127">
        <f>IF(OR(B127="",IF('Исходные данные'!$B$69="",'Исходные данные'!$B$10,'Исходные данные'!$B$69)="",C127&lt;IF('Исходные данные'!$B$69="",'Исходные данные'!$B$10,'Исходные данные'!$B$69)),0,-N('Исходные данные'!$B$16)*N('Исходные данные'!$B$68)*N('Исходные данные'!$B$67)/12*IF(AND(B127&lt;=IF('Исходные данные'!$B$69="",'Исходные данные'!$B$10,'Исходные данные'!$B$69),C127&gt;=IF('Исходные данные'!$B$69="",'Исходные данные'!$B$10,'Исходные данные'!$B$69)),(C127-IF('Исходные данные'!$B$69="",'Исходные данные'!$B$10,'Исходные данные'!$B$69)+1)/DAY(C127),1))</f>
        <v>0</v>
      </c>
      <c r="X127">
        <f>IF(OR(B127="",IF('Исходные данные'!$B$76="",'Исходные данные'!$B$10,'Исходные данные'!$B$76)="",C127&lt;IF('Исходные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данные'!$B$76)),1),B127,"m")/12))*IF(AND(B127&lt;=IF('Исходные данные'!$B$76="",'Исходные данные'!$B$10,'Исходные данные'!$B$76),C127&gt;=IF('Исходные данные'!$B$76="",'Исходные данные'!$B$10,'Исходные данные'!$B$76)),(C127-IF('Исходные данные'!$B$76="",'Исходные данные'!$B$10,'Исходные данные'!$B$76)+1)/DAY(C127),1))</f>
        <v>0</v>
      </c>
      <c r="Y127">
        <f t="shared" si="66"/>
        <v>0</v>
      </c>
      <c r="Z127">
        <f>IF(OR(B127="",N('Исходные данные'!$B$19)=0),0,-SUMIFS('Исходные данные'!$I$6:$I$186,'Исходные данные'!$F$6:$F$186,B127)*N('Исходные данные'!$B$17)/N('Исходные данные'!$B$19))</f>
        <v>0</v>
      </c>
      <c r="AA127">
        <f>IF(OR(B127="",N('Исходные данные'!$B$19)=0),0,-SUMIFS('Исходные данные'!$I$6:$I$186,'Исходные данные'!$F$6:$F$186,B127)*N('Исходные данные'!$B$18)/N('Исходные данные'!$B$19))</f>
        <v>0</v>
      </c>
      <c r="AB127">
        <f>IF(OR(B127="",'Исходные данные'!$B$13=""),0,IF(AND(YEAR(B127)=YEAR('Исходные данные'!$B$13),MONTH(B127)=MONTH('Исходные данные'!$B$13)),-N('Исходные данные'!$B$11),0))</f>
        <v>0</v>
      </c>
      <c r="AC127">
        <f>IF(A127=1,-N('Исходные данные'!$B$19)*N('Исходные данные'!$B$72),0)</f>
        <v>0</v>
      </c>
      <c r="AD127">
        <f>IF(OR(B127="",'Исходные данные'!$B$22&lt;&gt;"Да",'Исходные данные'!$B$26=""),0,IF(AND(YEAR(B127)=YEAR('Исходные данные'!$B$26),MONTH(B127)=MONTH('Исходные данные'!$B$26)),N('Исходные данные'!$B$23),0))</f>
        <v>0</v>
      </c>
      <c r="AE127">
        <f t="shared" si="79"/>
        <v>0</v>
      </c>
      <c r="AF127">
        <f>IF(OR('Исходные данные'!$B$22&lt;&gt;"Да",'Исходные данные'!$B$26="",C127&lt;'Исходные данные'!$B$26),0,DATEDIF(DATE(YEAR('Исходные данные'!$B$26),MONTH('Исходные данные'!$B$26),1),B127,"m")+1)</f>
        <v>0</v>
      </c>
      <c r="AG127">
        <f>IF(OR(AF127&lt;1,AF127&gt;N('Исходные данные'!$B$25),AE127+AD127&lt;=0),0,-(AE127+AD127)*N('Исходные данные'!$B$24)*IF(AF127=1,C127-'Исходные данные'!$B$26+1,DAY(C127))/365)</f>
        <v>0</v>
      </c>
      <c r="AH127">
        <f>IF(OR(AF127&lt;1,AF127&gt;N('Исходные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данные'!$B$25)-AG127))</f>
        <v>0</v>
      </c>
      <c r="AI127">
        <f>IF(OR('Исходные данные'!$B$22&lt;&gt;"Да",AE127+AD127&lt;=0),0,IF(AND('Исходные данные'!$B$91&lt;&gt;"",B127&lt;&gt;"",YEAR(B127)=YEAR('Исходные данные'!$B$91),MONTH(B127)=MONTH('Исходные данные'!$B$91)),-(AE127+AD127),IF(OR(AF127&lt;1,AF127&gt;N('Исходные данные'!$B$25)),0,IF('Исходные данные'!$B$27="Равными долями",-MIN(AE127+AD127,N('Исходные данные'!$B$23)/N('Исходные данные'!$B$25)),-MIN(AE127+AD127,IF(AF127=N('Исходные данные'!$B$25),AE127+AD127,MAX(0,AH127+AG127)))))))</f>
        <v>0</v>
      </c>
      <c r="AJ127">
        <f t="shared" si="67"/>
        <v>0</v>
      </c>
      <c r="AK127">
        <f t="shared" si="68"/>
        <v>0</v>
      </c>
      <c r="AL127">
        <f>IF(OR(B127="",'Исходные данные'!$B$51&lt;&gt;"Да",'Исходные данные'!$B$61=""),0,IF(AND(YEAR(B127)=YEAR('Исходные данные'!$B$61),MONTH(B127)=MONTH('Исходные данные'!$B$61)),N('Исходные данные'!$B$18)*N('Исходные данные'!$B$62),0))</f>
        <v>0</v>
      </c>
      <c r="AM127">
        <f t="shared" si="80"/>
        <v>0</v>
      </c>
      <c r="AN127">
        <f t="shared" si="69"/>
        <v>0</v>
      </c>
      <c r="AO127">
        <f t="shared" si="70"/>
        <v>0</v>
      </c>
      <c r="AP127">
        <f>IF('Исходные данные'!$B$51="Да",-MAX(0,AN127-AO127-AM127),0)</f>
        <v>0</v>
      </c>
      <c r="AQ127">
        <f>IF('Исходные данные'!$B$51="Да",MAX(0,AM127+AO127-AN127),0)</f>
        <v>0</v>
      </c>
      <c r="AR127">
        <f>IF('Исходные данные'!$B$53="Выручка",MAX(0,L127+(Q127-R127)+(U127-V127)),IF('Исходные данные'!$B$53="Прибыль до налога",MAX(0,L127+(Q127-R127)+(U127-V127)+N('Исходные данные'!$B$54)*((O127+P127)+(S127+T127)+W127+X127)+IF('Исходные данные'!$B$55="Да",AG127,0)-N('Исходные данные'!$B$56)/12),IF('Исходные данные'!$B$53="Пользовательская база",MAX(0,N('Исходные данные'!$B$57)/12),0)))</f>
        <v>0</v>
      </c>
      <c r="AS127">
        <f>IF(E127=1,-AR127*N('Исходные данные'!$B$50),0)</f>
        <v>0</v>
      </c>
      <c r="AT127">
        <f t="shared" si="71"/>
        <v>0</v>
      </c>
      <c r="AU127">
        <f>IF(OR(B127="",N('Исходные данные'!$B$80)&lt;=0,'Исходные данные'!$B$88=""),0,MAX(0,IF('Исходные данные'!$B$88="Последние 12 месяцев",SUMIFS($Y$2:$Y$194,$B$2:$B$194,"&gt;="&amp;EDATE(B127,-11),$B$2:$B$194,"&lt;="&amp;B127),IF('Исходные данные'!$B$88="Пользовательский NOI",N('Исходные данные'!$B$89),AT127))/N('Исходные данные'!$B$80)*(1+N('Исходные данные'!$B$81))))</f>
        <v>0</v>
      </c>
      <c r="AV127">
        <f>IF(OR(E127&lt;&gt;1,B127="",'Исходные данные'!$B$91=""),0,IF(AND(YEAR(B127)=YEAR('Исходные данные'!$B$91),MONTH(B127)=MONTH('Исходные данные'!$B$91)),AU127,0))</f>
        <v>0</v>
      </c>
      <c r="AW127">
        <f>-AV127*N('Исходные данные'!$B$73)</f>
        <v>0</v>
      </c>
      <c r="AX127">
        <f>IF(AV127=0,0,-N('Исходные данные'!$B$87)-IF('Исходные данные'!$B$82="Да",IF('Исходные данные'!$B$84="С выручки",AV127,IF('Исходные данные'!$B$84="С прибыли",MAX(0,AV127+AW127-IF('Исходные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27">
        <f t="shared" si="72"/>
        <v>0</v>
      </c>
      <c r="AZ127">
        <f t="shared" si="73"/>
        <v>0</v>
      </c>
      <c r="BA127">
        <f t="shared" si="74"/>
        <v>0</v>
      </c>
      <c r="BB127" t="str">
        <f t="shared" si="81"/>
        <v/>
      </c>
      <c r="BC127">
        <f>IF(OR(E127=0,'Исходные данные'!$B$9="",'Исходные данные'!$B$90=""),0,BA127/(1+'Исходные данные'!$B$90)^((D127-'Исходные данные'!$B$9)/365))</f>
        <v>0</v>
      </c>
      <c r="BD127">
        <f>IF(AND(E127=1,BB127&gt;=0,BB126&lt;0,MIN($BB$2:BB127)&lt;0),1,0)</f>
        <v>0</v>
      </c>
      <c r="BE127">
        <f t="shared" si="75"/>
        <v>0</v>
      </c>
      <c r="BF127">
        <f t="shared" si="76"/>
        <v>0</v>
      </c>
      <c r="BG127">
        <f t="shared" si="77"/>
        <v>0</v>
      </c>
      <c r="BH127">
        <f t="shared" si="78"/>
        <v>1</v>
      </c>
      <c r="BI127">
        <f>AZ127+N127+AP127-AR127*N('Исходные данные'!$B$50)</f>
        <v>0</v>
      </c>
      <c r="BJ127">
        <f t="shared" si="61"/>
        <v>0</v>
      </c>
      <c r="BK127">
        <f>IF(AND(BJ127&gt;=0,BJ126&lt;0,MIN($BJ$2:BJ127)&lt;0),1,0)</f>
        <v>0</v>
      </c>
    </row>
    <row r="128" spans="1:63" x14ac:dyDescent="0.2">
      <c r="A128">
        <v>127</v>
      </c>
      <c r="B128" t="str">
        <f>IF('Исходные данные'!$B$9="","",EDATE(DATE(YEAR('Исходные данные'!$B$9),MONTH('Исходные данные'!$B$9),1),A128-1))</f>
        <v/>
      </c>
      <c r="C128" t="str">
        <f t="shared" si="62"/>
        <v/>
      </c>
      <c r="D128" t="str">
        <f>IF(B128="","",IF('Исходные данные'!$B$91&lt;&gt;"",IF(AND(YEAR(B128)=YEAR('Исходные данные'!$B$91),MONTH(B128)=MONTH('Исходные данные'!$B$91)),'Исходные данные'!$B$91,IF('Исходные данные'!$B$13&lt;&gt;"",IF(AND(YEAR(B128)=YEAR('Исходные данные'!$B$13),MONTH(B128)=MONTH('Исходные данные'!$B$13)),'Исходные данные'!$B$13,IF('Исходные данные'!$B$26&lt;&gt;"",IF(AND(YEAR(B128)=YEAR('Исходные данные'!$B$26),MONTH(B128)=MONTH('Исходные данные'!$B$26)),'Исходные данные'!$B$26,IF(A128=1,'Исходные данные'!$B$9,C128)),IF(A128=1,'Исходные данные'!$B$9,C128))),IF('Исходные данные'!$B$26&lt;&gt;"",IF(AND(YEAR(B128)=YEAR('Исходные данные'!$B$26),MONTH(B128)=MONTH('Исходные данные'!$B$26)),'Исходные данные'!$B$26,IF(A128=1,'Исходные данные'!$B$9,C128)),IF(A128=1,'Исходные данные'!$B$9,C128)))),IF('Исходные данные'!$B$13&lt;&gt;"",IF(AND(YEAR(B128)=YEAR('Исходные данные'!$B$13),MONTH(B128)=MONTH('Исходные данные'!$B$13)),'Исходные данные'!$B$13,IF('Исходные данные'!$B$26&lt;&gt;"",IF(AND(YEAR(B128)=YEAR('Исходные данные'!$B$26),MONTH(B128)=MONTH('Исходные данные'!$B$26)),'Исходные данные'!$B$26,IF(A128=1,'Исходные данные'!$B$9,C128)),IF(A128=1,'Исходные данные'!$B$9,C128))),IF('Исходные данные'!$B$26&lt;&gt;"",IF(AND(YEAR(B128)=YEAR('Исходные данные'!$B$26),MONTH(B128)=MONTH('Исходные данные'!$B$26)),'Исходные данные'!$B$26,IF(A128=1,'Исходные данные'!$B$9,C128)),IF(A128=1,'Исходные данные'!$B$9,C128)))))</f>
        <v/>
      </c>
      <c r="E128">
        <f>IF(OR(B128="",'Исходные данные'!$B$91=""),0,--(B128&lt;=DATE(YEAR('Исходные данные'!$B$91),MONTH('Исходные данные'!$B$91),1)))</f>
        <v>0</v>
      </c>
      <c r="F128">
        <f>IF(OR(B128="",'Исходные данные'!$B$30="",C128&lt;'Исходные данные'!$B$30),0,DATEDIF(DATE(YEAR('Исходные данные'!$B$30),MONTH('Исходные данные'!$B$30),1),B128,"m")+1)</f>
        <v>0</v>
      </c>
      <c r="G128">
        <f t="shared" si="63"/>
        <v>0</v>
      </c>
      <c r="H128">
        <f>IF(F128=0,0,IF(G128=1,N('Исходные данные'!$B$31),IF(G128=2,N('Исходные данные'!$B$32),IF(G128=3,N('Исходные данные'!$B$33),N('Исходные данные'!$B$33)*(1+N('Исходные данные'!$B$34))^(G128-3)))))</f>
        <v>0</v>
      </c>
      <c r="I128">
        <f>IF(OR(F128=0,N('Исходные данные'!$B$5)=0,H128=0),0,'Исходные данные'!$B$5*H128*IF(AND(B128&lt;='Исходные данные'!$B$30,C128&gt;='Исходные данные'!$B$30),(C128-'Исходные данные'!$B$30+1)/DAY(C128),1))</f>
        <v>0</v>
      </c>
      <c r="J128">
        <f>IF(AND(F128&gt;0,F128&lt;=N('Исходные данные'!$B$37)),-I128,0)</f>
        <v>0</v>
      </c>
      <c r="K128">
        <f>IF(OR(F128=0,F128&lt;=N('Исходные данные'!$B$37)),0,-(I128+J128)*N('Исходные данные'!$B$38))</f>
        <v>0</v>
      </c>
      <c r="L128">
        <f t="shared" si="64"/>
        <v>0</v>
      </c>
      <c r="M128">
        <f>IF('Исходные данные'!$B$51="Да",L128*N('Исходные данные'!$B$52),0)</f>
        <v>0</v>
      </c>
      <c r="N128">
        <f t="shared" si="65"/>
        <v>0</v>
      </c>
      <c r="O128">
        <f>IF(OR(B128="",IF('Исходные данные'!$B$45="",'Исходные данные'!$B$10,'Исходные данные'!$B$45)="",C128&lt;IF('Исходные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данные'!$B$45)),1),B128,"m")/12))*IF(AND(B128&lt;=IF('Исходные данные'!$B$45="",'Исходные данные'!$B$10,'Исходные данные'!$B$45),C128&gt;=IF('Исходные данные'!$B$45="",'Исходные данные'!$B$10,'Исходные данные'!$B$45)),(C128-IF('Исходные данные'!$B$45="",'Исходные данные'!$B$10,'Исходные данные'!$B$45)+1)/DAY(C128),1)*IF('Исходные данные'!$B$43="Без НДС",1+N('Исходные данные'!$B$44),1))</f>
        <v>0</v>
      </c>
      <c r="P128">
        <f>IF('Исходные данные'!$B$51="Да",-O128*N('Исходные данные'!$B$44)/(1+N('Исходные данные'!$B$44)),0)</f>
        <v>0</v>
      </c>
      <c r="Q128">
        <f>IF('Исходные данные'!$B$35="Да",-O128,0)</f>
        <v>0</v>
      </c>
      <c r="R128">
        <f>IF(AND('Исходные данные'!$B$51="Да",Q128&gt;0),Q128*N('Исходные данные'!$B$52)/(1+N('Исходные данные'!$B$52)),0)</f>
        <v>0</v>
      </c>
      <c r="S128">
        <f>IF(OR(B128="",IF('Исходные данные'!$B$45="",'Исходные данные'!$B$10,'Исходные данные'!$B$45)="",C128&lt;IF('Исходные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данные'!$B$45)),1),B128,"m")/12))*IF(AND(B128&lt;=IF('Исходные данные'!$B$45="",'Исходные данные'!$B$10,'Исходные данные'!$B$45),C128&gt;=IF('Исходные данные'!$B$45="",'Исходные данные'!$B$10,'Исходные данные'!$B$45)),(C128-IF('Исходные данные'!$B$45="",'Исходные данные'!$B$10,'Исходные данные'!$B$45)+1)/DAY(C128),1)*IF('Исходные данные'!$B$43="Без НДС",1+N('Исходные данные'!$B$44),1))</f>
        <v>0</v>
      </c>
      <c r="T128">
        <f>IF('Исходные данные'!$B$51="Да",-S128*N('Исходные данные'!$B$44)/(1+N('Исходные данные'!$B$44)),0)</f>
        <v>0</v>
      </c>
      <c r="U128">
        <f>IF('Исходные данные'!$B$36="Да",-S128,0)</f>
        <v>0</v>
      </c>
      <c r="V128">
        <f>IF(AND('Исходные данные'!$B$51="Да",U128&gt;0),U128*N('Исходные данные'!$B$52)/(1+N('Исходные данные'!$B$52)),0)</f>
        <v>0</v>
      </c>
      <c r="W128">
        <f>IF(OR(B128="",IF('Исходные данные'!$B$69="",'Исходные данные'!$B$10,'Исходные данные'!$B$69)="",C128&lt;IF('Исходные данные'!$B$69="",'Исходные данные'!$B$10,'Исходные данные'!$B$69)),0,-N('Исходные данные'!$B$16)*N('Исходные данные'!$B$68)*N('Исходные данные'!$B$67)/12*IF(AND(B128&lt;=IF('Исходные данные'!$B$69="",'Исходные данные'!$B$10,'Исходные данные'!$B$69),C128&gt;=IF('Исходные данные'!$B$69="",'Исходные данные'!$B$10,'Исходные данные'!$B$69)),(C128-IF('Исходные данные'!$B$69="",'Исходные данные'!$B$10,'Исходные данные'!$B$69)+1)/DAY(C128),1))</f>
        <v>0</v>
      </c>
      <c r="X128">
        <f>IF(OR(B128="",IF('Исходные данные'!$B$76="",'Исходные данные'!$B$10,'Исходные данные'!$B$76)="",C128&lt;IF('Исходные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данные'!$B$76)),1),B128,"m")/12))*IF(AND(B128&lt;=IF('Исходные данные'!$B$76="",'Исходные данные'!$B$10,'Исходные данные'!$B$76),C128&gt;=IF('Исходные данные'!$B$76="",'Исходные данные'!$B$10,'Исходные данные'!$B$76)),(C128-IF('Исходные данные'!$B$76="",'Исходные данные'!$B$10,'Исходные данные'!$B$76)+1)/DAY(C128),1))</f>
        <v>0</v>
      </c>
      <c r="Y128">
        <f t="shared" si="66"/>
        <v>0</v>
      </c>
      <c r="Z128">
        <f>IF(OR(B128="",N('Исходные данные'!$B$19)=0),0,-SUMIFS('Исходные данные'!$I$6:$I$186,'Исходные данные'!$F$6:$F$186,B128)*N('Исходные данные'!$B$17)/N('Исходные данные'!$B$19))</f>
        <v>0</v>
      </c>
      <c r="AA128">
        <f>IF(OR(B128="",N('Исходные данные'!$B$19)=0),0,-SUMIFS('Исходные данные'!$I$6:$I$186,'Исходные данные'!$F$6:$F$186,B128)*N('Исходные данные'!$B$18)/N('Исходные данные'!$B$19))</f>
        <v>0</v>
      </c>
      <c r="AB128">
        <f>IF(OR(B128="",'Исходные данные'!$B$13=""),0,IF(AND(YEAR(B128)=YEAR('Исходные данные'!$B$13),MONTH(B128)=MONTH('Исходные данные'!$B$13)),-N('Исходные данные'!$B$11),0))</f>
        <v>0</v>
      </c>
      <c r="AC128">
        <f>IF(A128=1,-N('Исходные данные'!$B$19)*N('Исходные данные'!$B$72),0)</f>
        <v>0</v>
      </c>
      <c r="AD128">
        <f>IF(OR(B128="",'Исходные данные'!$B$22&lt;&gt;"Да",'Исходные данные'!$B$26=""),0,IF(AND(YEAR(B128)=YEAR('Исходные данные'!$B$26),MONTH(B128)=MONTH('Исходные данные'!$B$26)),N('Исходные данные'!$B$23),0))</f>
        <v>0</v>
      </c>
      <c r="AE128">
        <f t="shared" si="79"/>
        <v>0</v>
      </c>
      <c r="AF128">
        <f>IF(OR('Исходные данные'!$B$22&lt;&gt;"Да",'Исходные данные'!$B$26="",C128&lt;'Исходные данные'!$B$26),0,DATEDIF(DATE(YEAR('Исходные данные'!$B$26),MONTH('Исходные данные'!$B$26),1),B128,"m")+1)</f>
        <v>0</v>
      </c>
      <c r="AG128">
        <f>IF(OR(AF128&lt;1,AF128&gt;N('Исходные данные'!$B$25),AE128+AD128&lt;=0),0,-(AE128+AD128)*N('Исходные данные'!$B$24)*IF(AF128=1,C128-'Исходные данные'!$B$26+1,DAY(C128))/365)</f>
        <v>0</v>
      </c>
      <c r="AH128">
        <f>IF(OR(AF128&lt;1,AF128&gt;N('Исходные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данные'!$B$25)-AG128))</f>
        <v>0</v>
      </c>
      <c r="AI128">
        <f>IF(OR('Исходные данные'!$B$22&lt;&gt;"Да",AE128+AD128&lt;=0),0,IF(AND('Исходные данные'!$B$91&lt;&gt;"",B128&lt;&gt;"",YEAR(B128)=YEAR('Исходные данные'!$B$91),MONTH(B128)=MONTH('Исходные данные'!$B$91)),-(AE128+AD128),IF(OR(AF128&lt;1,AF128&gt;N('Исходные данные'!$B$25)),0,IF('Исходные данные'!$B$27="Равными долями",-MIN(AE128+AD128,N('Исходные данные'!$B$23)/N('Исходные данные'!$B$25)),-MIN(AE128+AD128,IF(AF128=N('Исходные данные'!$B$25),AE128+AD128,MAX(0,AH128+AG128)))))))</f>
        <v>0</v>
      </c>
      <c r="AJ128">
        <f t="shared" si="67"/>
        <v>0</v>
      </c>
      <c r="AK128">
        <f t="shared" si="68"/>
        <v>0</v>
      </c>
      <c r="AL128">
        <f>IF(OR(B128="",'Исходные данные'!$B$51&lt;&gt;"Да",'Исходные данные'!$B$61=""),0,IF(AND(YEAR(B128)=YEAR('Исходные данные'!$B$61),MONTH(B128)=MONTH('Исходные данные'!$B$61)),N('Исходные данные'!$B$18)*N('Исходные данные'!$B$62),0))</f>
        <v>0</v>
      </c>
      <c r="AM128">
        <f t="shared" si="80"/>
        <v>0</v>
      </c>
      <c r="AN128">
        <f t="shared" si="69"/>
        <v>0</v>
      </c>
      <c r="AO128">
        <f t="shared" si="70"/>
        <v>0</v>
      </c>
      <c r="AP128">
        <f>IF('Исходные данные'!$B$51="Да",-MAX(0,AN128-AO128-AM128),0)</f>
        <v>0</v>
      </c>
      <c r="AQ128">
        <f>IF('Исходные данные'!$B$51="Да",MAX(0,AM128+AO128-AN128),0)</f>
        <v>0</v>
      </c>
      <c r="AR128">
        <f>IF('Исходные данные'!$B$53="Выручка",MAX(0,L128+(Q128-R128)+(U128-V128)),IF('Исходные данные'!$B$53="Прибыль до налога",MAX(0,L128+(Q128-R128)+(U128-V128)+N('Исходные данные'!$B$54)*((O128+P128)+(S128+T128)+W128+X128)+IF('Исходные данные'!$B$55="Да",AG128,0)-N('Исходные данные'!$B$56)/12),IF('Исходные данные'!$B$53="Пользовательская база",MAX(0,N('Исходные данные'!$B$57)/12),0)))</f>
        <v>0</v>
      </c>
      <c r="AS128">
        <f>IF(E128=1,-AR128*N('Исходные данные'!$B$50),0)</f>
        <v>0</v>
      </c>
      <c r="AT128">
        <f t="shared" si="71"/>
        <v>0</v>
      </c>
      <c r="AU128">
        <f>IF(OR(B128="",N('Исходные данные'!$B$80)&lt;=0,'Исходные данные'!$B$88=""),0,MAX(0,IF('Исходные данные'!$B$88="Последние 12 месяцев",SUMIFS($Y$2:$Y$194,$B$2:$B$194,"&gt;="&amp;EDATE(B128,-11),$B$2:$B$194,"&lt;="&amp;B128),IF('Исходные данные'!$B$88="Пользовательский NOI",N('Исходные данные'!$B$89),AT128))/N('Исходные данные'!$B$80)*(1+N('Исходные данные'!$B$81))))</f>
        <v>0</v>
      </c>
      <c r="AV128">
        <f>IF(OR(E128&lt;&gt;1,B128="",'Исходные данные'!$B$91=""),0,IF(AND(YEAR(B128)=YEAR('Исходные данные'!$B$91),MONTH(B128)=MONTH('Исходные данные'!$B$91)),AU128,0))</f>
        <v>0</v>
      </c>
      <c r="AW128">
        <f>-AV128*N('Исходные данные'!$B$73)</f>
        <v>0</v>
      </c>
      <c r="AX128">
        <f>IF(AV128=0,0,-N('Исходные данные'!$B$87)-IF('Исходные данные'!$B$82="Да",IF('Исходные данные'!$B$84="С выручки",AV128,IF('Исходные данные'!$B$84="С прибыли",MAX(0,AV128+AW128-IF('Исходные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28">
        <f t="shared" si="72"/>
        <v>0</v>
      </c>
      <c r="AZ128">
        <f t="shared" si="73"/>
        <v>0</v>
      </c>
      <c r="BA128">
        <f t="shared" si="74"/>
        <v>0</v>
      </c>
      <c r="BB128" t="str">
        <f t="shared" si="81"/>
        <v/>
      </c>
      <c r="BC128">
        <f>IF(OR(E128=0,'Исходные данные'!$B$9="",'Исходные данные'!$B$90=""),0,BA128/(1+'Исходные данные'!$B$90)^((D128-'Исходные данные'!$B$9)/365))</f>
        <v>0</v>
      </c>
      <c r="BD128">
        <f>IF(AND(E128=1,BB128&gt;=0,BB127&lt;0,MIN($BB$2:BB128)&lt;0),1,0)</f>
        <v>0</v>
      </c>
      <c r="BE128">
        <f t="shared" si="75"/>
        <v>0</v>
      </c>
      <c r="BF128">
        <f t="shared" si="76"/>
        <v>0</v>
      </c>
      <c r="BG128">
        <f t="shared" si="77"/>
        <v>0</v>
      </c>
      <c r="BH128">
        <f t="shared" si="78"/>
        <v>1</v>
      </c>
      <c r="BI128">
        <f>AZ128+N128+AP128-AR128*N('Исходные данные'!$B$50)</f>
        <v>0</v>
      </c>
      <c r="BJ128">
        <f t="shared" si="61"/>
        <v>0</v>
      </c>
      <c r="BK128">
        <f>IF(AND(BJ128&gt;=0,BJ127&lt;0,MIN($BJ$2:BJ128)&lt;0),1,0)</f>
        <v>0</v>
      </c>
    </row>
    <row r="129" spans="1:63" x14ac:dyDescent="0.2">
      <c r="A129">
        <v>128</v>
      </c>
      <c r="B129" t="str">
        <f>IF('Исходные данные'!$B$9="","",EDATE(DATE(YEAR('Исходные данные'!$B$9),MONTH('Исходные данные'!$B$9),1),A129-1))</f>
        <v/>
      </c>
      <c r="C129" t="str">
        <f t="shared" si="62"/>
        <v/>
      </c>
      <c r="D129" t="str">
        <f>IF(B129="","",IF('Исходные данные'!$B$91&lt;&gt;"",IF(AND(YEAR(B129)=YEAR('Исходные данные'!$B$91),MONTH(B129)=MONTH('Исходные данные'!$B$91)),'Исходные данные'!$B$91,IF('Исходные данные'!$B$13&lt;&gt;"",IF(AND(YEAR(B129)=YEAR('Исходные данные'!$B$13),MONTH(B129)=MONTH('Исходные данные'!$B$13)),'Исходные данные'!$B$13,IF('Исходные данные'!$B$26&lt;&gt;"",IF(AND(YEAR(B129)=YEAR('Исходные данные'!$B$26),MONTH(B129)=MONTH('Исходные данные'!$B$26)),'Исходные данные'!$B$26,IF(A129=1,'Исходные данные'!$B$9,C129)),IF(A129=1,'Исходные данные'!$B$9,C129))),IF('Исходные данные'!$B$26&lt;&gt;"",IF(AND(YEAR(B129)=YEAR('Исходные данные'!$B$26),MONTH(B129)=MONTH('Исходные данные'!$B$26)),'Исходные данные'!$B$26,IF(A129=1,'Исходные данные'!$B$9,C129)),IF(A129=1,'Исходные данные'!$B$9,C129)))),IF('Исходные данные'!$B$13&lt;&gt;"",IF(AND(YEAR(B129)=YEAR('Исходные данные'!$B$13),MONTH(B129)=MONTH('Исходные данные'!$B$13)),'Исходные данные'!$B$13,IF('Исходные данные'!$B$26&lt;&gt;"",IF(AND(YEAR(B129)=YEAR('Исходные данные'!$B$26),MONTH(B129)=MONTH('Исходные данные'!$B$26)),'Исходные данные'!$B$26,IF(A129=1,'Исходные данные'!$B$9,C129)),IF(A129=1,'Исходные данные'!$B$9,C129))),IF('Исходные данные'!$B$26&lt;&gt;"",IF(AND(YEAR(B129)=YEAR('Исходные данные'!$B$26),MONTH(B129)=MONTH('Исходные данные'!$B$26)),'Исходные данные'!$B$26,IF(A129=1,'Исходные данные'!$B$9,C129)),IF(A129=1,'Исходные данные'!$B$9,C129)))))</f>
        <v/>
      </c>
      <c r="E129">
        <f>IF(OR(B129="",'Исходные данные'!$B$91=""),0,--(B129&lt;=DATE(YEAR('Исходные данные'!$B$91),MONTH('Исходные данные'!$B$91),1)))</f>
        <v>0</v>
      </c>
      <c r="F129">
        <f>IF(OR(B129="",'Исходные данные'!$B$30="",C129&lt;'Исходные данные'!$B$30),0,DATEDIF(DATE(YEAR('Исходные данные'!$B$30),MONTH('Исходные данные'!$B$30),1),B129,"m")+1)</f>
        <v>0</v>
      </c>
      <c r="G129">
        <f t="shared" si="63"/>
        <v>0</v>
      </c>
      <c r="H129">
        <f>IF(F129=0,0,IF(G129=1,N('Исходные данные'!$B$31),IF(G129=2,N('Исходные данные'!$B$32),IF(G129=3,N('Исходные данные'!$B$33),N('Исходные данные'!$B$33)*(1+N('Исходные данные'!$B$34))^(G129-3)))))</f>
        <v>0</v>
      </c>
      <c r="I129">
        <f>IF(OR(F129=0,N('Исходные данные'!$B$5)=0,H129=0),0,'Исходные данные'!$B$5*H129*IF(AND(B129&lt;='Исходные данные'!$B$30,C129&gt;='Исходные данные'!$B$30),(C129-'Исходные данные'!$B$30+1)/DAY(C129),1))</f>
        <v>0</v>
      </c>
      <c r="J129">
        <f>IF(AND(F129&gt;0,F129&lt;=N('Исходные данные'!$B$37)),-I129,0)</f>
        <v>0</v>
      </c>
      <c r="K129">
        <f>IF(OR(F129=0,F129&lt;=N('Исходные данные'!$B$37)),0,-(I129+J129)*N('Исходные данные'!$B$38))</f>
        <v>0</v>
      </c>
      <c r="L129">
        <f t="shared" si="64"/>
        <v>0</v>
      </c>
      <c r="M129">
        <f>IF('Исходные данные'!$B$51="Да",L129*N('Исходные данные'!$B$52),0)</f>
        <v>0</v>
      </c>
      <c r="N129">
        <f t="shared" si="65"/>
        <v>0</v>
      </c>
      <c r="O129">
        <f>IF(OR(B129="",IF('Исходные данные'!$B$45="",'Исходные данные'!$B$10,'Исходные данные'!$B$45)="",C129&lt;IF('Исходные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данные'!$B$45)),1),B129,"m")/12))*IF(AND(B129&lt;=IF('Исходные данные'!$B$45="",'Исходные данные'!$B$10,'Исходные данные'!$B$45),C129&gt;=IF('Исходные данные'!$B$45="",'Исходные данные'!$B$10,'Исходные данные'!$B$45)),(C129-IF('Исходные данные'!$B$45="",'Исходные данные'!$B$10,'Исходные данные'!$B$45)+1)/DAY(C129),1)*IF('Исходные данные'!$B$43="Без НДС",1+N('Исходные данные'!$B$44),1))</f>
        <v>0</v>
      </c>
      <c r="P129">
        <f>IF('Исходные данные'!$B$51="Да",-O129*N('Исходные данные'!$B$44)/(1+N('Исходные данные'!$B$44)),0)</f>
        <v>0</v>
      </c>
      <c r="Q129">
        <f>IF('Исходные данные'!$B$35="Да",-O129,0)</f>
        <v>0</v>
      </c>
      <c r="R129">
        <f>IF(AND('Исходные данные'!$B$51="Да",Q129&gt;0),Q129*N('Исходные данные'!$B$52)/(1+N('Исходные данные'!$B$52)),0)</f>
        <v>0</v>
      </c>
      <c r="S129">
        <f>IF(OR(B129="",IF('Исходные данные'!$B$45="",'Исходные данные'!$B$10,'Исходные данные'!$B$45)="",C129&lt;IF('Исходные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данные'!$B$45)),1),B129,"m")/12))*IF(AND(B129&lt;=IF('Исходные данные'!$B$45="",'Исходные данные'!$B$10,'Исходные данные'!$B$45),C129&gt;=IF('Исходные данные'!$B$45="",'Исходные данные'!$B$10,'Исходные данные'!$B$45)),(C129-IF('Исходные данные'!$B$45="",'Исходные данные'!$B$10,'Исходные данные'!$B$45)+1)/DAY(C129),1)*IF('Исходные данные'!$B$43="Без НДС",1+N('Исходные данные'!$B$44),1))</f>
        <v>0</v>
      </c>
      <c r="T129">
        <f>IF('Исходные данные'!$B$51="Да",-S129*N('Исходные данные'!$B$44)/(1+N('Исходные данные'!$B$44)),0)</f>
        <v>0</v>
      </c>
      <c r="U129">
        <f>IF('Исходные данные'!$B$36="Да",-S129,0)</f>
        <v>0</v>
      </c>
      <c r="V129">
        <f>IF(AND('Исходные данные'!$B$51="Да",U129&gt;0),U129*N('Исходные данные'!$B$52)/(1+N('Исходные данные'!$B$52)),0)</f>
        <v>0</v>
      </c>
      <c r="W129">
        <f>IF(OR(B129="",IF('Исходные данные'!$B$69="",'Исходные данные'!$B$10,'Исходные данные'!$B$69)="",C129&lt;IF('Исходные данные'!$B$69="",'Исходные данные'!$B$10,'Исходные данные'!$B$69)),0,-N('Исходные данные'!$B$16)*N('Исходные данные'!$B$68)*N('Исходные данные'!$B$67)/12*IF(AND(B129&lt;=IF('Исходные данные'!$B$69="",'Исходные данные'!$B$10,'Исходные данные'!$B$69),C129&gt;=IF('Исходные данные'!$B$69="",'Исходные данные'!$B$10,'Исходные данные'!$B$69)),(C129-IF('Исходные данные'!$B$69="",'Исходные данные'!$B$10,'Исходные данные'!$B$69)+1)/DAY(C129),1))</f>
        <v>0</v>
      </c>
      <c r="X129">
        <f>IF(OR(B129="",IF('Исходные данные'!$B$76="",'Исходные данные'!$B$10,'Исходные данные'!$B$76)="",C129&lt;IF('Исходные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данные'!$B$76)),1),B129,"m")/12))*IF(AND(B129&lt;=IF('Исходные данные'!$B$76="",'Исходные данные'!$B$10,'Исходные данные'!$B$76),C129&gt;=IF('Исходные данные'!$B$76="",'Исходные данные'!$B$10,'Исходные данные'!$B$76)),(C129-IF('Исходные данные'!$B$76="",'Исходные данные'!$B$10,'Исходные данные'!$B$76)+1)/DAY(C129),1))</f>
        <v>0</v>
      </c>
      <c r="Y129">
        <f t="shared" si="66"/>
        <v>0</v>
      </c>
      <c r="Z129">
        <f>IF(OR(B129="",N('Исходные данные'!$B$19)=0),0,-SUMIFS('Исходные данные'!$I$6:$I$186,'Исходные данные'!$F$6:$F$186,B129)*N('Исходные данные'!$B$17)/N('Исходные данные'!$B$19))</f>
        <v>0</v>
      </c>
      <c r="AA129">
        <f>IF(OR(B129="",N('Исходные данные'!$B$19)=0),0,-SUMIFS('Исходные данные'!$I$6:$I$186,'Исходные данные'!$F$6:$F$186,B129)*N('Исходные данные'!$B$18)/N('Исходные данные'!$B$19))</f>
        <v>0</v>
      </c>
      <c r="AB129">
        <f>IF(OR(B129="",'Исходные данные'!$B$13=""),0,IF(AND(YEAR(B129)=YEAR('Исходные данные'!$B$13),MONTH(B129)=MONTH('Исходные данные'!$B$13)),-N('Исходные данные'!$B$11),0))</f>
        <v>0</v>
      </c>
      <c r="AC129">
        <f>IF(A129=1,-N('Исходные данные'!$B$19)*N('Исходные данные'!$B$72),0)</f>
        <v>0</v>
      </c>
      <c r="AD129">
        <f>IF(OR(B129="",'Исходные данные'!$B$22&lt;&gt;"Да",'Исходные данные'!$B$26=""),0,IF(AND(YEAR(B129)=YEAR('Исходные данные'!$B$26),MONTH(B129)=MONTH('Исходные данные'!$B$26)),N('Исходные данные'!$B$23),0))</f>
        <v>0</v>
      </c>
      <c r="AE129">
        <f t="shared" si="79"/>
        <v>0</v>
      </c>
      <c r="AF129">
        <f>IF(OR('Исходные данные'!$B$22&lt;&gt;"Да",'Исходные данные'!$B$26="",C129&lt;'Исходные данные'!$B$26),0,DATEDIF(DATE(YEAR('Исходные данные'!$B$26),MONTH('Исходные данные'!$B$26),1),B129,"m")+1)</f>
        <v>0</v>
      </c>
      <c r="AG129">
        <f>IF(OR(AF129&lt;1,AF129&gt;N('Исходные данные'!$B$25),AE129+AD129&lt;=0),0,-(AE129+AD129)*N('Исходные данные'!$B$24)*IF(AF129=1,C129-'Исходные данные'!$B$26+1,DAY(C129))/365)</f>
        <v>0</v>
      </c>
      <c r="AH129">
        <f>IF(OR(AF129&lt;1,AF129&gt;N('Исходные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данные'!$B$25)-AG129))</f>
        <v>0</v>
      </c>
      <c r="AI129">
        <f>IF(OR('Исходные данные'!$B$22&lt;&gt;"Да",AE129+AD129&lt;=0),0,IF(AND('Исходные данные'!$B$91&lt;&gt;"",B129&lt;&gt;"",YEAR(B129)=YEAR('Исходные данные'!$B$91),MONTH(B129)=MONTH('Исходные данные'!$B$91)),-(AE129+AD129),IF(OR(AF129&lt;1,AF129&gt;N('Исходные данные'!$B$25)),0,IF('Исходные данные'!$B$27="Равными долями",-MIN(AE129+AD129,N('Исходные данные'!$B$23)/N('Исходные данные'!$B$25)),-MIN(AE129+AD129,IF(AF129=N('Исходные данные'!$B$25),AE129+AD129,MAX(0,AH129+AG129)))))))</f>
        <v>0</v>
      </c>
      <c r="AJ129">
        <f t="shared" si="67"/>
        <v>0</v>
      </c>
      <c r="AK129">
        <f t="shared" si="68"/>
        <v>0</v>
      </c>
      <c r="AL129">
        <f>IF(OR(B129="",'Исходные данные'!$B$51&lt;&gt;"Да",'Исходные данные'!$B$61=""),0,IF(AND(YEAR(B129)=YEAR('Исходные данные'!$B$61),MONTH(B129)=MONTH('Исходные данные'!$B$61)),N('Исходные данные'!$B$18)*N('Исходные данные'!$B$62),0))</f>
        <v>0</v>
      </c>
      <c r="AM129">
        <f t="shared" si="80"/>
        <v>0</v>
      </c>
      <c r="AN129">
        <f t="shared" si="69"/>
        <v>0</v>
      </c>
      <c r="AO129">
        <f t="shared" si="70"/>
        <v>0</v>
      </c>
      <c r="AP129">
        <f>IF('Исходные данные'!$B$51="Да",-MAX(0,AN129-AO129-AM129),0)</f>
        <v>0</v>
      </c>
      <c r="AQ129">
        <f>IF('Исходные данные'!$B$51="Да",MAX(0,AM129+AO129-AN129),0)</f>
        <v>0</v>
      </c>
      <c r="AR129">
        <f>IF('Исходные данные'!$B$53="Выручка",MAX(0,L129+(Q129-R129)+(U129-V129)),IF('Исходные данные'!$B$53="Прибыль до налога",MAX(0,L129+(Q129-R129)+(U129-V129)+N('Исходные данные'!$B$54)*((O129+P129)+(S129+T129)+W129+X129)+IF('Исходные данные'!$B$55="Да",AG129,0)-N('Исходные данные'!$B$56)/12),IF('Исходные данные'!$B$53="Пользовательская база",MAX(0,N('Исходные данные'!$B$57)/12),0)))</f>
        <v>0</v>
      </c>
      <c r="AS129">
        <f>IF(E129=1,-AR129*N('Исходные данные'!$B$50),0)</f>
        <v>0</v>
      </c>
      <c r="AT129">
        <f t="shared" si="71"/>
        <v>0</v>
      </c>
      <c r="AU129">
        <f>IF(OR(B129="",N('Исходные данные'!$B$80)&lt;=0,'Исходные данные'!$B$88=""),0,MAX(0,IF('Исходные данные'!$B$88="Последние 12 месяцев",SUMIFS($Y$2:$Y$194,$B$2:$B$194,"&gt;="&amp;EDATE(B129,-11),$B$2:$B$194,"&lt;="&amp;B129),IF('Исходные данные'!$B$88="Пользовательский NOI",N('Исходные данные'!$B$89),AT129))/N('Исходные данные'!$B$80)*(1+N('Исходные данные'!$B$81))))</f>
        <v>0</v>
      </c>
      <c r="AV129">
        <f>IF(OR(E129&lt;&gt;1,B129="",'Исходные данные'!$B$91=""),0,IF(AND(YEAR(B129)=YEAR('Исходные данные'!$B$91),MONTH(B129)=MONTH('Исходные данные'!$B$91)),AU129,0))</f>
        <v>0</v>
      </c>
      <c r="AW129">
        <f>-AV129*N('Исходные данные'!$B$73)</f>
        <v>0</v>
      </c>
      <c r="AX129">
        <f>IF(AV129=0,0,-N('Исходные данные'!$B$87)-IF('Исходные данные'!$B$82="Да",IF('Исходные данные'!$B$84="С выручки",AV129,IF('Исходные данные'!$B$84="С прибыли",MAX(0,AV129+AW129-IF('Исходные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29">
        <f t="shared" si="72"/>
        <v>0</v>
      </c>
      <c r="AZ129">
        <f t="shared" si="73"/>
        <v>0</v>
      </c>
      <c r="BA129">
        <f t="shared" si="74"/>
        <v>0</v>
      </c>
      <c r="BB129" t="str">
        <f t="shared" si="81"/>
        <v/>
      </c>
      <c r="BC129">
        <f>IF(OR(E129=0,'Исходные данные'!$B$9="",'Исходные данные'!$B$90=""),0,BA129/(1+'Исходные данные'!$B$90)^((D129-'Исходные данные'!$B$9)/365))</f>
        <v>0</v>
      </c>
      <c r="BD129">
        <f>IF(AND(E129=1,BB129&gt;=0,BB128&lt;0,MIN($BB$2:BB129)&lt;0),1,0)</f>
        <v>0</v>
      </c>
      <c r="BE129">
        <f t="shared" si="75"/>
        <v>0</v>
      </c>
      <c r="BF129">
        <f t="shared" si="76"/>
        <v>0</v>
      </c>
      <c r="BG129">
        <f t="shared" si="77"/>
        <v>0</v>
      </c>
      <c r="BH129">
        <f t="shared" si="78"/>
        <v>1</v>
      </c>
      <c r="BI129">
        <f>AZ129+N129+AP129-AR129*N('Исходные данные'!$B$50)</f>
        <v>0</v>
      </c>
      <c r="BJ129">
        <f t="shared" si="61"/>
        <v>0</v>
      </c>
      <c r="BK129">
        <f>IF(AND(BJ129&gt;=0,BJ128&lt;0,MIN($BJ$2:BJ129)&lt;0),1,0)</f>
        <v>0</v>
      </c>
    </row>
    <row r="130" spans="1:63" x14ac:dyDescent="0.2">
      <c r="A130">
        <v>129</v>
      </c>
      <c r="B130" t="str">
        <f>IF('Исходные данные'!$B$9="","",EDATE(DATE(YEAR('Исходные данные'!$B$9),MONTH('Исходные данные'!$B$9),1),A130-1))</f>
        <v/>
      </c>
      <c r="C130" t="str">
        <f t="shared" ref="C130:C161" si="82">IF(B130="","",EOMONTH(B130,0))</f>
        <v/>
      </c>
      <c r="D130" t="str">
        <f>IF(B130="","",IF('Исходные данные'!$B$91&lt;&gt;"",IF(AND(YEAR(B130)=YEAR('Исходные данные'!$B$91),MONTH(B130)=MONTH('Исходные данные'!$B$91)),'Исходные данные'!$B$91,IF('Исходные данные'!$B$13&lt;&gt;"",IF(AND(YEAR(B130)=YEAR('Исходные данные'!$B$13),MONTH(B130)=MONTH('Исходные данные'!$B$13)),'Исходные данные'!$B$13,IF('Исходные данные'!$B$26&lt;&gt;"",IF(AND(YEAR(B130)=YEAR('Исходные данные'!$B$26),MONTH(B130)=MONTH('Исходные данные'!$B$26)),'Исходные данные'!$B$26,IF(A130=1,'Исходные данные'!$B$9,C130)),IF(A130=1,'Исходные данные'!$B$9,C130))),IF('Исходные данные'!$B$26&lt;&gt;"",IF(AND(YEAR(B130)=YEAR('Исходные данные'!$B$26),MONTH(B130)=MONTH('Исходные данные'!$B$26)),'Исходные данные'!$B$26,IF(A130=1,'Исходные данные'!$B$9,C130)),IF(A130=1,'Исходные данные'!$B$9,C130)))),IF('Исходные данные'!$B$13&lt;&gt;"",IF(AND(YEAR(B130)=YEAR('Исходные данные'!$B$13),MONTH(B130)=MONTH('Исходные данные'!$B$13)),'Исходные данные'!$B$13,IF('Исходные данные'!$B$26&lt;&gt;"",IF(AND(YEAR(B130)=YEAR('Исходные данные'!$B$26),MONTH(B130)=MONTH('Исходные данные'!$B$26)),'Исходные данные'!$B$26,IF(A130=1,'Исходные данные'!$B$9,C130)),IF(A130=1,'Исходные данные'!$B$9,C130))),IF('Исходные данные'!$B$26&lt;&gt;"",IF(AND(YEAR(B130)=YEAR('Исходные данные'!$B$26),MONTH(B130)=MONTH('Исходные данные'!$B$26)),'Исходные данные'!$B$26,IF(A130=1,'Исходные данные'!$B$9,C130)),IF(A130=1,'Исходные данные'!$B$9,C130)))))</f>
        <v/>
      </c>
      <c r="E130">
        <f>IF(OR(B130="",'Исходные данные'!$B$91=""),0,--(B130&lt;=DATE(YEAR('Исходные данные'!$B$91),MONTH('Исходные данные'!$B$91),1)))</f>
        <v>0</v>
      </c>
      <c r="F130">
        <f>IF(OR(B130="",'Исходные данные'!$B$30="",C130&lt;'Исходные данные'!$B$30),0,DATEDIF(DATE(YEAR('Исходные данные'!$B$30),MONTH('Исходные данные'!$B$30),1),B130,"m")+1)</f>
        <v>0</v>
      </c>
      <c r="G130">
        <f t="shared" ref="G130:G161" si="83">IF(F130=0,0,1+INT((F130-1)/12))</f>
        <v>0</v>
      </c>
      <c r="H130">
        <f>IF(F130=0,0,IF(G130=1,N('Исходные данные'!$B$31),IF(G130=2,N('Исходные данные'!$B$32),IF(G130=3,N('Исходные данные'!$B$33),N('Исходные данные'!$B$33)*(1+N('Исходные данные'!$B$34))^(G130-3)))))</f>
        <v>0</v>
      </c>
      <c r="I130">
        <f>IF(OR(F130=0,N('Исходные данные'!$B$5)=0,H130=0),0,'Исходные данные'!$B$5*H130*IF(AND(B130&lt;='Исходные данные'!$B$30,C130&gt;='Исходные данные'!$B$30),(C130-'Исходные данные'!$B$30+1)/DAY(C130),1))</f>
        <v>0</v>
      </c>
      <c r="J130">
        <f>IF(AND(F130&gt;0,F130&lt;=N('Исходные данные'!$B$37)),-I130,0)</f>
        <v>0</v>
      </c>
      <c r="K130">
        <f>IF(OR(F130=0,F130&lt;=N('Исходные данные'!$B$37)),0,-(I130+J130)*N('Исходные данные'!$B$38))</f>
        <v>0</v>
      </c>
      <c r="L130">
        <f t="shared" ref="L130:L161" si="84">I130+J130+K130</f>
        <v>0</v>
      </c>
      <c r="M130">
        <f>IF('Исходные данные'!$B$51="Да",L130*N('Исходные данные'!$B$52),0)</f>
        <v>0</v>
      </c>
      <c r="N130">
        <f t="shared" ref="N130:N161" si="85">L130+M130</f>
        <v>0</v>
      </c>
      <c r="O130">
        <f>IF(OR(B130="",IF('Исходные данные'!$B$45="",'Исходные данные'!$B$10,'Исходные данные'!$B$45)="",C130&lt;IF('Исходные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данные'!$B$45)),1),B130,"m")/12))*IF(AND(B130&lt;=IF('Исходные данные'!$B$45="",'Исходные данные'!$B$10,'Исходные данные'!$B$45),C130&gt;=IF('Исходные данные'!$B$45="",'Исходные данные'!$B$10,'Исходные данные'!$B$45)),(C130-IF('Исходные данные'!$B$45="",'Исходные данные'!$B$10,'Исходные данные'!$B$45)+1)/DAY(C130),1)*IF('Исходные данные'!$B$43="Без НДС",1+N('Исходные данные'!$B$44),1))</f>
        <v>0</v>
      </c>
      <c r="P130">
        <f>IF('Исходные данные'!$B$51="Да",-O130*N('Исходные данные'!$B$44)/(1+N('Исходные данные'!$B$44)),0)</f>
        <v>0</v>
      </c>
      <c r="Q130">
        <f>IF('Исходные данные'!$B$35="Да",-O130,0)</f>
        <v>0</v>
      </c>
      <c r="R130">
        <f>IF(AND('Исходные данные'!$B$51="Да",Q130&gt;0),Q130*N('Исходные данные'!$B$52)/(1+N('Исходные данные'!$B$52)),0)</f>
        <v>0</v>
      </c>
      <c r="S130">
        <f>IF(OR(B130="",IF('Исходные данные'!$B$45="",'Исходные данные'!$B$10,'Исходные данные'!$B$45)="",C130&lt;IF('Исходные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данные'!$B$45)),1),B130,"m")/12))*IF(AND(B130&lt;=IF('Исходные данные'!$B$45="",'Исходные данные'!$B$10,'Исходные данные'!$B$45),C130&gt;=IF('Исходные данные'!$B$45="",'Исходные данные'!$B$10,'Исходные данные'!$B$45)),(C130-IF('Исходные данные'!$B$45="",'Исходные данные'!$B$10,'Исходные данные'!$B$45)+1)/DAY(C130),1)*IF('Исходные данные'!$B$43="Без НДС",1+N('Исходные данные'!$B$44),1))</f>
        <v>0</v>
      </c>
      <c r="T130">
        <f>IF('Исходные данные'!$B$51="Да",-S130*N('Исходные данные'!$B$44)/(1+N('Исходные данные'!$B$44)),0)</f>
        <v>0</v>
      </c>
      <c r="U130">
        <f>IF('Исходные данные'!$B$36="Да",-S130,0)</f>
        <v>0</v>
      </c>
      <c r="V130">
        <f>IF(AND('Исходные данные'!$B$51="Да",U130&gt;0),U130*N('Исходные данные'!$B$52)/(1+N('Исходные данные'!$B$52)),0)</f>
        <v>0</v>
      </c>
      <c r="W130">
        <f>IF(OR(B130="",IF('Исходные данные'!$B$69="",'Исходные данные'!$B$10,'Исходные данные'!$B$69)="",C130&lt;IF('Исходные данные'!$B$69="",'Исходные данные'!$B$10,'Исходные данные'!$B$69)),0,-N('Исходные данные'!$B$16)*N('Исходные данные'!$B$68)*N('Исходные данные'!$B$67)/12*IF(AND(B130&lt;=IF('Исходные данные'!$B$69="",'Исходные данные'!$B$10,'Исходные данные'!$B$69),C130&gt;=IF('Исходные данные'!$B$69="",'Исходные данные'!$B$10,'Исходные данные'!$B$69)),(C130-IF('Исходные данные'!$B$69="",'Исходные данные'!$B$10,'Исходные данные'!$B$69)+1)/DAY(C130),1))</f>
        <v>0</v>
      </c>
      <c r="X130">
        <f>IF(OR(B130="",IF('Исходные данные'!$B$76="",'Исходные данные'!$B$10,'Исходные данные'!$B$76)="",C130&lt;IF('Исходные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данные'!$B$76)),1),B130,"m")/12))*IF(AND(B130&lt;=IF('Исходные данные'!$B$76="",'Исходные данные'!$B$10,'Исходные данные'!$B$76),C130&gt;=IF('Исходные данные'!$B$76="",'Исходные данные'!$B$10,'Исходные данные'!$B$76)),(C130-IF('Исходные данные'!$B$76="",'Исходные данные'!$B$10,'Исходные данные'!$B$76)+1)/DAY(C130),1))</f>
        <v>0</v>
      </c>
      <c r="Y130">
        <f t="shared" ref="Y130:Y161" si="86">L130+(Q130-R130)+(U130-V130)+(O130+P130)+(S130+T130)+W130+X130</f>
        <v>0</v>
      </c>
      <c r="Z130">
        <f>IF(OR(B130="",N('Исходные данные'!$B$19)=0),0,-SUMIFS('Исходные данные'!$I$6:$I$186,'Исходные данные'!$F$6:$F$186,B130)*N('Исходные данные'!$B$17)/N('Исходные данные'!$B$19))</f>
        <v>0</v>
      </c>
      <c r="AA130">
        <f>IF(OR(B130="",N('Исходные данные'!$B$19)=0),0,-SUMIFS('Исходные данные'!$I$6:$I$186,'Исходные данные'!$F$6:$F$186,B130)*N('Исходные данные'!$B$18)/N('Исходные данные'!$B$19))</f>
        <v>0</v>
      </c>
      <c r="AB130">
        <f>IF(OR(B130="",'Исходные данные'!$B$13=""),0,IF(AND(YEAR(B130)=YEAR('Исходные данные'!$B$13),MONTH(B130)=MONTH('Исходные данные'!$B$13)),-N('Исходные данные'!$B$11),0))</f>
        <v>0</v>
      </c>
      <c r="AC130">
        <f>IF(A130=1,-N('Исходные данные'!$B$19)*N('Исходные данные'!$B$72),0)</f>
        <v>0</v>
      </c>
      <c r="AD130">
        <f>IF(OR(B130="",'Исходные данные'!$B$22&lt;&gt;"Да",'Исходные данные'!$B$26=""),0,IF(AND(YEAR(B130)=YEAR('Исходные данные'!$B$26),MONTH(B130)=MONTH('Исходные данные'!$B$26)),N('Исходные данные'!$B$23),0))</f>
        <v>0</v>
      </c>
      <c r="AE130">
        <f t="shared" si="79"/>
        <v>0</v>
      </c>
      <c r="AF130">
        <f>IF(OR('Исходные данные'!$B$22&lt;&gt;"Да",'Исходные данные'!$B$26="",C130&lt;'Исходные данные'!$B$26),0,DATEDIF(DATE(YEAR('Исходные данные'!$B$26),MONTH('Исходные данные'!$B$26),1),B130,"m")+1)</f>
        <v>0</v>
      </c>
      <c r="AG130">
        <f>IF(OR(AF130&lt;1,AF130&gt;N('Исходные данные'!$B$25),AE130+AD130&lt;=0),0,-(AE130+AD130)*N('Исходные данные'!$B$24)*IF(AF130=1,C130-'Исходные данные'!$B$26+1,DAY(C130))/365)</f>
        <v>0</v>
      </c>
      <c r="AH130">
        <f>IF(OR(AF130&lt;1,AF130&gt;N('Исходные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данные'!$B$25)-AG130))</f>
        <v>0</v>
      </c>
      <c r="AI130">
        <f>IF(OR('Исходные данные'!$B$22&lt;&gt;"Да",AE130+AD130&lt;=0),0,IF(AND('Исходные данные'!$B$91&lt;&gt;"",B130&lt;&gt;"",YEAR(B130)=YEAR('Исходные данные'!$B$91),MONTH(B130)=MONTH('Исходные данные'!$B$91)),-(AE130+AD130),IF(OR(AF130&lt;1,AF130&gt;N('Исходные данные'!$B$25)),0,IF('Исходные данные'!$B$27="Равными долями",-MIN(AE130+AD130,N('Исходные данные'!$B$23)/N('Исходные данные'!$B$25)),-MIN(AE130+AD130,IF(AF130=N('Исходные данные'!$B$25),AE130+AD130,MAX(0,AH130+AG130)))))))</f>
        <v>0</v>
      </c>
      <c r="AJ130">
        <f t="shared" ref="AJ130:AJ161" si="87">AG130+AI130</f>
        <v>0</v>
      </c>
      <c r="AK130">
        <f t="shared" ref="AK130:AK161" si="88">MAX(0,AE130+AD130+AI130)</f>
        <v>0</v>
      </c>
      <c r="AL130">
        <f>IF(OR(B130="",'Исходные данные'!$B$51&lt;&gt;"Да",'Исходные данные'!$B$61=""),0,IF(AND(YEAR(B130)=YEAR('Исходные данные'!$B$61),MONTH(B130)=MONTH('Исходные данные'!$B$61)),N('Исходные данные'!$B$18)*N('Исходные данные'!$B$62),0))</f>
        <v>0</v>
      </c>
      <c r="AM130">
        <f t="shared" si="80"/>
        <v>0</v>
      </c>
      <c r="AN130">
        <f t="shared" ref="AN130:AN161" si="89">M130+R130+V130</f>
        <v>0</v>
      </c>
      <c r="AO130">
        <f t="shared" ref="AO130:AO161" si="90">P130+T130</f>
        <v>0</v>
      </c>
      <c r="AP130">
        <f>IF('Исходные данные'!$B$51="Да",-MAX(0,AN130-AO130-AM130),0)</f>
        <v>0</v>
      </c>
      <c r="AQ130">
        <f>IF('Исходные данные'!$B$51="Да",MAX(0,AM130+AO130-AN130),0)</f>
        <v>0</v>
      </c>
      <c r="AR130">
        <f>IF('Исходные данные'!$B$53="Выручка",MAX(0,L130+(Q130-R130)+(U130-V130)),IF('Исходные данные'!$B$53="Прибыль до налога",MAX(0,L130+(Q130-R130)+(U130-V130)+N('Исходные данные'!$B$54)*((O130+P130)+(S130+T130)+W130+X130)+IF('Исходные данные'!$B$55="Да",AG130,0)-N('Исходные данные'!$B$56)/12),IF('Исходные данные'!$B$53="Пользовательская база",MAX(0,N('Исходные данные'!$B$57)/12),0)))</f>
        <v>0</v>
      </c>
      <c r="AS130">
        <f>IF(E130=1,-AR130*N('Исходные данные'!$B$50),0)</f>
        <v>0</v>
      </c>
      <c r="AT130">
        <f t="shared" ref="AT130:AT161" si="91">IF(B130="",0,SUMIFS($Y$2:$Y$194,$B$2:$B$194,"&gt;"&amp;B130,$B$2:$B$194,"&lt;="&amp;EDATE(B130,12)))</f>
        <v>0</v>
      </c>
      <c r="AU130">
        <f>IF(OR(B130="",N('Исходные данные'!$B$80)&lt;=0,'Исходные данные'!$B$88=""),0,MAX(0,IF('Исходные данные'!$B$88="Последние 12 месяцев",SUMIFS($Y$2:$Y$194,$B$2:$B$194,"&gt;="&amp;EDATE(B130,-11),$B$2:$B$194,"&lt;="&amp;B130),IF('Исходные данные'!$B$88="Пользовательский NOI",N('Исходные данные'!$B$89),AT130))/N('Исходные данные'!$B$80)*(1+N('Исходные данные'!$B$81))))</f>
        <v>0</v>
      </c>
      <c r="AV130">
        <f>IF(OR(E130&lt;&gt;1,B130="",'Исходные данные'!$B$91=""),0,IF(AND(YEAR(B130)=YEAR('Исходные данные'!$B$91),MONTH(B130)=MONTH('Исходные данные'!$B$91)),AU130,0))</f>
        <v>0</v>
      </c>
      <c r="AW130">
        <f>-AV130*N('Исходные данные'!$B$73)</f>
        <v>0</v>
      </c>
      <c r="AX130">
        <f>IF(AV130=0,0,-N('Исходные данные'!$B$87)-IF('Исходные данные'!$B$82="Да",IF('Исходные данные'!$B$84="С выручки",AV130,IF('Исходные данные'!$B$84="С прибыли",MAX(0,AV130+AW130-IF('Исходные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30">
        <f t="shared" ref="AY130:AY161" si="92">AV130+AW130+AX130</f>
        <v>0</v>
      </c>
      <c r="AZ130">
        <f t="shared" ref="AZ130:AZ161" si="93">Z130+AA130+AB130+AC130+AD130+AI130+AG130+O130+Q130+S130+U130+W130+X130+AL130</f>
        <v>0</v>
      </c>
      <c r="BA130">
        <f t="shared" ref="BA130:BA161" si="94">IF(E130=1,AZ130+N130+AP130+AS130+AY130,0)</f>
        <v>0</v>
      </c>
      <c r="BB130" t="str">
        <f t="shared" si="81"/>
        <v/>
      </c>
      <c r="BC130">
        <f>IF(OR(E130=0,'Исходные данные'!$B$9="",'Исходные данные'!$B$90=""),0,BA130/(1+'Исходные данные'!$B$90)^((D130-'Исходные данные'!$B$9)/365))</f>
        <v>0</v>
      </c>
      <c r="BD130">
        <f>IF(AND(E130=1,BB130&gt;=0,BB129&lt;0,MIN($BB$2:BB130)&lt;0),1,0)</f>
        <v>0</v>
      </c>
      <c r="BE130">
        <f t="shared" ref="BE130:BE161" si="95">IF(E130=1,N130+O130+Q130+S130+U130+W130+X130+AP130+AS130,0)</f>
        <v>0</v>
      </c>
      <c r="BF130">
        <f t="shared" ref="BF130:BF161" si="96">Y130</f>
        <v>0</v>
      </c>
      <c r="BG130">
        <f t="shared" ref="BG130:BG161" si="97">IF(E130=1,Y130+AG130+AS130+Z130+AA130+AB130+AC130+AL130+AY130,0)</f>
        <v>0</v>
      </c>
      <c r="BH130">
        <f t="shared" ref="BH130:BH161" si="98">--AND(Z130&lt;=0,AA130&lt;=0,AB130&lt;=0,AC130&lt;=0,AD130&gt;=0,AI130&lt;=0,AG130&lt;=0,O130&lt;=0,Q130&gt;=0,S130&lt;=0,U130&gt;=0,W130&lt;=0,X130&lt;=0,AL130&gt;=0,AP130&lt;=0,AS130&lt;=0,AV130&gt;=0,AW130&lt;=0,AX130&lt;=0,AK130&gt;=-0.01)</f>
        <v>1</v>
      </c>
      <c r="BI130">
        <f>AZ130+N130+AP130-AR130*N('Исходные данные'!$B$50)</f>
        <v>0</v>
      </c>
      <c r="BJ130">
        <f t="shared" si="61"/>
        <v>0</v>
      </c>
      <c r="BK130">
        <f>IF(AND(BJ130&gt;=0,BJ129&lt;0,MIN($BJ$2:BJ130)&lt;0),1,0)</f>
        <v>0</v>
      </c>
    </row>
    <row r="131" spans="1:63" x14ac:dyDescent="0.2">
      <c r="A131">
        <v>130</v>
      </c>
      <c r="B131" t="str">
        <f>IF('Исходные данные'!$B$9="","",EDATE(DATE(YEAR('Исходные данные'!$B$9),MONTH('Исходные данные'!$B$9),1),A131-1))</f>
        <v/>
      </c>
      <c r="C131" t="str">
        <f t="shared" si="82"/>
        <v/>
      </c>
      <c r="D131" t="str">
        <f>IF(B131="","",IF('Исходные данные'!$B$91&lt;&gt;"",IF(AND(YEAR(B131)=YEAR('Исходные данные'!$B$91),MONTH(B131)=MONTH('Исходные данные'!$B$91)),'Исходные данные'!$B$91,IF('Исходные данные'!$B$13&lt;&gt;"",IF(AND(YEAR(B131)=YEAR('Исходные данные'!$B$13),MONTH(B131)=MONTH('Исходные данные'!$B$13)),'Исходные данные'!$B$13,IF('Исходные данные'!$B$26&lt;&gt;"",IF(AND(YEAR(B131)=YEAR('Исходные данные'!$B$26),MONTH(B131)=MONTH('Исходные данные'!$B$26)),'Исходные данные'!$B$26,IF(A131=1,'Исходные данные'!$B$9,C131)),IF(A131=1,'Исходные данные'!$B$9,C131))),IF('Исходные данные'!$B$26&lt;&gt;"",IF(AND(YEAR(B131)=YEAR('Исходные данные'!$B$26),MONTH(B131)=MONTH('Исходные данные'!$B$26)),'Исходные данные'!$B$26,IF(A131=1,'Исходные данные'!$B$9,C131)),IF(A131=1,'Исходные данные'!$B$9,C131)))),IF('Исходные данные'!$B$13&lt;&gt;"",IF(AND(YEAR(B131)=YEAR('Исходные данные'!$B$13),MONTH(B131)=MONTH('Исходные данные'!$B$13)),'Исходные данные'!$B$13,IF('Исходные данные'!$B$26&lt;&gt;"",IF(AND(YEAR(B131)=YEAR('Исходные данные'!$B$26),MONTH(B131)=MONTH('Исходные данные'!$B$26)),'Исходные данные'!$B$26,IF(A131=1,'Исходные данные'!$B$9,C131)),IF(A131=1,'Исходные данные'!$B$9,C131))),IF('Исходные данные'!$B$26&lt;&gt;"",IF(AND(YEAR(B131)=YEAR('Исходные данные'!$B$26),MONTH(B131)=MONTH('Исходные данные'!$B$26)),'Исходные данные'!$B$26,IF(A131=1,'Исходные данные'!$B$9,C131)),IF(A131=1,'Исходные данные'!$B$9,C131)))))</f>
        <v/>
      </c>
      <c r="E131">
        <f>IF(OR(B131="",'Исходные данные'!$B$91=""),0,--(B131&lt;=DATE(YEAR('Исходные данные'!$B$91),MONTH('Исходные данные'!$B$91),1)))</f>
        <v>0</v>
      </c>
      <c r="F131">
        <f>IF(OR(B131="",'Исходные данные'!$B$30="",C131&lt;'Исходные данные'!$B$30),0,DATEDIF(DATE(YEAR('Исходные данные'!$B$30),MONTH('Исходные данные'!$B$30),1),B131,"m")+1)</f>
        <v>0</v>
      </c>
      <c r="G131">
        <f t="shared" si="83"/>
        <v>0</v>
      </c>
      <c r="H131">
        <f>IF(F131=0,0,IF(G131=1,N('Исходные данные'!$B$31),IF(G131=2,N('Исходные данные'!$B$32),IF(G131=3,N('Исходные данные'!$B$33),N('Исходные данные'!$B$33)*(1+N('Исходные данные'!$B$34))^(G131-3)))))</f>
        <v>0</v>
      </c>
      <c r="I131">
        <f>IF(OR(F131=0,N('Исходные данные'!$B$5)=0,H131=0),0,'Исходные данные'!$B$5*H131*IF(AND(B131&lt;='Исходные данные'!$B$30,C131&gt;='Исходные данные'!$B$30),(C131-'Исходные данные'!$B$30+1)/DAY(C131),1))</f>
        <v>0</v>
      </c>
      <c r="J131">
        <f>IF(AND(F131&gt;0,F131&lt;=N('Исходные данные'!$B$37)),-I131,0)</f>
        <v>0</v>
      </c>
      <c r="K131">
        <f>IF(OR(F131=0,F131&lt;=N('Исходные данные'!$B$37)),0,-(I131+J131)*N('Исходные данные'!$B$38))</f>
        <v>0</v>
      </c>
      <c r="L131">
        <f t="shared" si="84"/>
        <v>0</v>
      </c>
      <c r="M131">
        <f>IF('Исходные данные'!$B$51="Да",L131*N('Исходные данные'!$B$52),0)</f>
        <v>0</v>
      </c>
      <c r="N131">
        <f t="shared" si="85"/>
        <v>0</v>
      </c>
      <c r="O131">
        <f>IF(OR(B131="",IF('Исходные данные'!$B$45="",'Исходные данные'!$B$10,'Исходные данные'!$B$45)="",C131&lt;IF('Исходные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данные'!$B$45)),1),B131,"m")/12))*IF(AND(B131&lt;=IF('Исходные данные'!$B$45="",'Исходные данные'!$B$10,'Исходные данные'!$B$45),C131&gt;=IF('Исходные данные'!$B$45="",'Исходные данные'!$B$10,'Исходные данные'!$B$45)),(C131-IF('Исходные данные'!$B$45="",'Исходные данные'!$B$10,'Исходные данные'!$B$45)+1)/DAY(C131),1)*IF('Исходные данные'!$B$43="Без НДС",1+N('Исходные данные'!$B$44),1))</f>
        <v>0</v>
      </c>
      <c r="P131">
        <f>IF('Исходные данные'!$B$51="Да",-O131*N('Исходные данные'!$B$44)/(1+N('Исходные данные'!$B$44)),0)</f>
        <v>0</v>
      </c>
      <c r="Q131">
        <f>IF('Исходные данные'!$B$35="Да",-O131,0)</f>
        <v>0</v>
      </c>
      <c r="R131">
        <f>IF(AND('Исходные данные'!$B$51="Да",Q131&gt;0),Q131*N('Исходные данные'!$B$52)/(1+N('Исходные данные'!$B$52)),0)</f>
        <v>0</v>
      </c>
      <c r="S131">
        <f>IF(OR(B131="",IF('Исходные данные'!$B$45="",'Исходные данные'!$B$10,'Исходные данные'!$B$45)="",C131&lt;IF('Исходные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данные'!$B$45)),1),B131,"m")/12))*IF(AND(B131&lt;=IF('Исходные данные'!$B$45="",'Исходные данные'!$B$10,'Исходные данные'!$B$45),C131&gt;=IF('Исходные данные'!$B$45="",'Исходные данные'!$B$10,'Исходные данные'!$B$45)),(C131-IF('Исходные данные'!$B$45="",'Исходные данные'!$B$10,'Исходные данные'!$B$45)+1)/DAY(C131),1)*IF('Исходные данные'!$B$43="Без НДС",1+N('Исходные данные'!$B$44),1))</f>
        <v>0</v>
      </c>
      <c r="T131">
        <f>IF('Исходные данные'!$B$51="Да",-S131*N('Исходные данные'!$B$44)/(1+N('Исходные данные'!$B$44)),0)</f>
        <v>0</v>
      </c>
      <c r="U131">
        <f>IF('Исходные данные'!$B$36="Да",-S131,0)</f>
        <v>0</v>
      </c>
      <c r="V131">
        <f>IF(AND('Исходные данные'!$B$51="Да",U131&gt;0),U131*N('Исходные данные'!$B$52)/(1+N('Исходные данные'!$B$52)),0)</f>
        <v>0</v>
      </c>
      <c r="W131">
        <f>IF(OR(B131="",IF('Исходные данные'!$B$69="",'Исходные данные'!$B$10,'Исходные данные'!$B$69)="",C131&lt;IF('Исходные данные'!$B$69="",'Исходные данные'!$B$10,'Исходные данные'!$B$69)),0,-N('Исходные данные'!$B$16)*N('Исходные данные'!$B$68)*N('Исходные данные'!$B$67)/12*IF(AND(B131&lt;=IF('Исходные данные'!$B$69="",'Исходные данные'!$B$10,'Исходные данные'!$B$69),C131&gt;=IF('Исходные данные'!$B$69="",'Исходные данные'!$B$10,'Исходные данные'!$B$69)),(C131-IF('Исходные данные'!$B$69="",'Исходные данные'!$B$10,'Исходные данные'!$B$69)+1)/DAY(C131),1))</f>
        <v>0</v>
      </c>
      <c r="X131">
        <f>IF(OR(B131="",IF('Исходные данные'!$B$76="",'Исходные данные'!$B$10,'Исходные данные'!$B$76)="",C131&lt;IF('Исходные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данные'!$B$76)),1),B131,"m")/12))*IF(AND(B131&lt;=IF('Исходные данные'!$B$76="",'Исходные данные'!$B$10,'Исходные данные'!$B$76),C131&gt;=IF('Исходные данные'!$B$76="",'Исходные данные'!$B$10,'Исходные данные'!$B$76)),(C131-IF('Исходные данные'!$B$76="",'Исходные данные'!$B$10,'Исходные данные'!$B$76)+1)/DAY(C131),1))</f>
        <v>0</v>
      </c>
      <c r="Y131">
        <f t="shared" si="86"/>
        <v>0</v>
      </c>
      <c r="Z131">
        <f>IF(OR(B131="",N('Исходные данные'!$B$19)=0),0,-SUMIFS('Исходные данные'!$I$6:$I$186,'Исходные данные'!$F$6:$F$186,B131)*N('Исходные данные'!$B$17)/N('Исходные данные'!$B$19))</f>
        <v>0</v>
      </c>
      <c r="AA131">
        <f>IF(OR(B131="",N('Исходные данные'!$B$19)=0),0,-SUMIFS('Исходные данные'!$I$6:$I$186,'Исходные данные'!$F$6:$F$186,B131)*N('Исходные данные'!$B$18)/N('Исходные данные'!$B$19))</f>
        <v>0</v>
      </c>
      <c r="AB131">
        <f>IF(OR(B131="",'Исходные данные'!$B$13=""),0,IF(AND(YEAR(B131)=YEAR('Исходные данные'!$B$13),MONTH(B131)=MONTH('Исходные данные'!$B$13)),-N('Исходные данные'!$B$11),0))</f>
        <v>0</v>
      </c>
      <c r="AC131">
        <f>IF(A131=1,-N('Исходные данные'!$B$19)*N('Исходные данные'!$B$72),0)</f>
        <v>0</v>
      </c>
      <c r="AD131">
        <f>IF(OR(B131="",'Исходные данные'!$B$22&lt;&gt;"Да",'Исходные данные'!$B$26=""),0,IF(AND(YEAR(B131)=YEAR('Исходные данные'!$B$26),MONTH(B131)=MONTH('Исходные данные'!$B$26)),N('Исходные данные'!$B$23),0))</f>
        <v>0</v>
      </c>
      <c r="AE131">
        <f t="shared" ref="AE131:AE162" si="99">AK130</f>
        <v>0</v>
      </c>
      <c r="AF131">
        <f>IF(OR('Исходные данные'!$B$22&lt;&gt;"Да",'Исходные данные'!$B$26="",C131&lt;'Исходные данные'!$B$26),0,DATEDIF(DATE(YEAR('Исходные данные'!$B$26),MONTH('Исходные данные'!$B$26),1),B131,"m")+1)</f>
        <v>0</v>
      </c>
      <c r="AG131">
        <f>IF(OR(AF131&lt;1,AF131&gt;N('Исходные данные'!$B$25),AE131+AD131&lt;=0),0,-(AE131+AD131)*N('Исходные данные'!$B$24)*IF(AF131=1,C131-'Исходные данные'!$B$26+1,DAY(C131))/365)</f>
        <v>0</v>
      </c>
      <c r="AH131">
        <f>IF(OR(AF131&lt;1,AF131&gt;N('Исходные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данные'!$B$25)-AG131))</f>
        <v>0</v>
      </c>
      <c r="AI131">
        <f>IF(OR('Исходные данные'!$B$22&lt;&gt;"Да",AE131+AD131&lt;=0),0,IF(AND('Исходные данные'!$B$91&lt;&gt;"",B131&lt;&gt;"",YEAR(B131)=YEAR('Исходные данные'!$B$91),MONTH(B131)=MONTH('Исходные данные'!$B$91)),-(AE131+AD131),IF(OR(AF131&lt;1,AF131&gt;N('Исходные данные'!$B$25)),0,IF('Исходные данные'!$B$27="Равными долями",-MIN(AE131+AD131,N('Исходные данные'!$B$23)/N('Исходные данные'!$B$25)),-MIN(AE131+AD131,IF(AF131=N('Исходные данные'!$B$25),AE131+AD131,MAX(0,AH131+AG131)))))))</f>
        <v>0</v>
      </c>
      <c r="AJ131">
        <f t="shared" si="87"/>
        <v>0</v>
      </c>
      <c r="AK131">
        <f t="shared" si="88"/>
        <v>0</v>
      </c>
      <c r="AL131">
        <f>IF(OR(B131="",'Исходные данные'!$B$51&lt;&gt;"Да",'Исходные данные'!$B$61=""),0,IF(AND(YEAR(B131)=YEAR('Исходные данные'!$B$61),MONTH(B131)=MONTH('Исходные данные'!$B$61)),N('Исходные данные'!$B$18)*N('Исходные данные'!$B$62),0))</f>
        <v>0</v>
      </c>
      <c r="AM131">
        <f t="shared" ref="AM131:AM162" si="100">AQ130</f>
        <v>0</v>
      </c>
      <c r="AN131">
        <f t="shared" si="89"/>
        <v>0</v>
      </c>
      <c r="AO131">
        <f t="shared" si="90"/>
        <v>0</v>
      </c>
      <c r="AP131">
        <f>IF('Исходные данные'!$B$51="Да",-MAX(0,AN131-AO131-AM131),0)</f>
        <v>0</v>
      </c>
      <c r="AQ131">
        <f>IF('Исходные данные'!$B$51="Да",MAX(0,AM131+AO131-AN131),0)</f>
        <v>0</v>
      </c>
      <c r="AR131">
        <f>IF('Исходные данные'!$B$53="Выручка",MAX(0,L131+(Q131-R131)+(U131-V131)),IF('Исходные данные'!$B$53="Прибыль до налога",MAX(0,L131+(Q131-R131)+(U131-V131)+N('Исходные данные'!$B$54)*((O131+P131)+(S131+T131)+W131+X131)+IF('Исходные данные'!$B$55="Да",AG131,0)-N('Исходные данные'!$B$56)/12),IF('Исходные данные'!$B$53="Пользовательская база",MAX(0,N('Исходные данные'!$B$57)/12),0)))</f>
        <v>0</v>
      </c>
      <c r="AS131">
        <f>IF(E131=1,-AR131*N('Исходные данные'!$B$50),0)</f>
        <v>0</v>
      </c>
      <c r="AT131">
        <f t="shared" si="91"/>
        <v>0</v>
      </c>
      <c r="AU131">
        <f>IF(OR(B131="",N('Исходные данные'!$B$80)&lt;=0,'Исходные данные'!$B$88=""),0,MAX(0,IF('Исходные данные'!$B$88="Последние 12 месяцев",SUMIFS($Y$2:$Y$194,$B$2:$B$194,"&gt;="&amp;EDATE(B131,-11),$B$2:$B$194,"&lt;="&amp;B131),IF('Исходные данные'!$B$88="Пользовательский NOI",N('Исходные данные'!$B$89),AT131))/N('Исходные данные'!$B$80)*(1+N('Исходные данные'!$B$81))))</f>
        <v>0</v>
      </c>
      <c r="AV131">
        <f>IF(OR(E131&lt;&gt;1,B131="",'Исходные данные'!$B$91=""),0,IF(AND(YEAR(B131)=YEAR('Исходные данные'!$B$91),MONTH(B131)=MONTH('Исходные данные'!$B$91)),AU131,0))</f>
        <v>0</v>
      </c>
      <c r="AW131">
        <f>-AV131*N('Исходные данные'!$B$73)</f>
        <v>0</v>
      </c>
      <c r="AX131">
        <f>IF(AV131=0,0,-N('Исходные данные'!$B$87)-IF('Исходные данные'!$B$82="Да",IF('Исходные данные'!$B$84="С выручки",AV131,IF('Исходные данные'!$B$84="С прибыли",MAX(0,AV131+AW131-IF('Исходные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31">
        <f t="shared" si="92"/>
        <v>0</v>
      </c>
      <c r="AZ131">
        <f t="shared" si="93"/>
        <v>0</v>
      </c>
      <c r="BA131">
        <f t="shared" si="94"/>
        <v>0</v>
      </c>
      <c r="BB131" t="str">
        <f t="shared" ref="BB131:BB162" si="101">IF(E131=1,BB130+BA131,"")</f>
        <v/>
      </c>
      <c r="BC131">
        <f>IF(OR(E131=0,'Исходные данные'!$B$9="",'Исходные данные'!$B$90=""),0,BA131/(1+'Исходные данные'!$B$90)^((D131-'Исходные данные'!$B$9)/365))</f>
        <v>0</v>
      </c>
      <c r="BD131">
        <f>IF(AND(E131=1,BB131&gt;=0,BB130&lt;0,MIN($BB$2:BB131)&lt;0),1,0)</f>
        <v>0</v>
      </c>
      <c r="BE131">
        <f t="shared" si="95"/>
        <v>0</v>
      </c>
      <c r="BF131">
        <f t="shared" si="96"/>
        <v>0</v>
      </c>
      <c r="BG131">
        <f t="shared" si="97"/>
        <v>0</v>
      </c>
      <c r="BH131">
        <f t="shared" si="98"/>
        <v>1</v>
      </c>
      <c r="BI131">
        <f>AZ131+N131+AP131-AR131*N('Исходные данные'!$B$50)</f>
        <v>0</v>
      </c>
      <c r="BJ131">
        <f t="shared" si="61"/>
        <v>0</v>
      </c>
      <c r="BK131">
        <f>IF(AND(BJ131&gt;=0,BJ130&lt;0,MIN($BJ$2:BJ131)&lt;0),1,0)</f>
        <v>0</v>
      </c>
    </row>
    <row r="132" spans="1:63" x14ac:dyDescent="0.2">
      <c r="A132">
        <v>131</v>
      </c>
      <c r="B132" t="str">
        <f>IF('Исходные данные'!$B$9="","",EDATE(DATE(YEAR('Исходные данные'!$B$9),MONTH('Исходные данные'!$B$9),1),A132-1))</f>
        <v/>
      </c>
      <c r="C132" t="str">
        <f t="shared" si="82"/>
        <v/>
      </c>
      <c r="D132" t="str">
        <f>IF(B132="","",IF('Исходные данные'!$B$91&lt;&gt;"",IF(AND(YEAR(B132)=YEAR('Исходные данные'!$B$91),MONTH(B132)=MONTH('Исходные данные'!$B$91)),'Исходные данные'!$B$91,IF('Исходные данные'!$B$13&lt;&gt;"",IF(AND(YEAR(B132)=YEAR('Исходные данные'!$B$13),MONTH(B132)=MONTH('Исходные данные'!$B$13)),'Исходные данные'!$B$13,IF('Исходные данные'!$B$26&lt;&gt;"",IF(AND(YEAR(B132)=YEAR('Исходные данные'!$B$26),MONTH(B132)=MONTH('Исходные данные'!$B$26)),'Исходные данные'!$B$26,IF(A132=1,'Исходные данные'!$B$9,C132)),IF(A132=1,'Исходные данные'!$B$9,C132))),IF('Исходные данные'!$B$26&lt;&gt;"",IF(AND(YEAR(B132)=YEAR('Исходные данные'!$B$26),MONTH(B132)=MONTH('Исходные данные'!$B$26)),'Исходные данные'!$B$26,IF(A132=1,'Исходные данные'!$B$9,C132)),IF(A132=1,'Исходные данные'!$B$9,C132)))),IF('Исходные данные'!$B$13&lt;&gt;"",IF(AND(YEAR(B132)=YEAR('Исходные данные'!$B$13),MONTH(B132)=MONTH('Исходные данные'!$B$13)),'Исходные данные'!$B$13,IF('Исходные данные'!$B$26&lt;&gt;"",IF(AND(YEAR(B132)=YEAR('Исходные данные'!$B$26),MONTH(B132)=MONTH('Исходные данные'!$B$26)),'Исходные данные'!$B$26,IF(A132=1,'Исходные данные'!$B$9,C132)),IF(A132=1,'Исходные данные'!$B$9,C132))),IF('Исходные данные'!$B$26&lt;&gt;"",IF(AND(YEAR(B132)=YEAR('Исходные данные'!$B$26),MONTH(B132)=MONTH('Исходные данные'!$B$26)),'Исходные данные'!$B$26,IF(A132=1,'Исходные данные'!$B$9,C132)),IF(A132=1,'Исходные данные'!$B$9,C132)))))</f>
        <v/>
      </c>
      <c r="E132">
        <f>IF(OR(B132="",'Исходные данные'!$B$91=""),0,--(B132&lt;=DATE(YEAR('Исходные данные'!$B$91),MONTH('Исходные данные'!$B$91),1)))</f>
        <v>0</v>
      </c>
      <c r="F132">
        <f>IF(OR(B132="",'Исходные данные'!$B$30="",C132&lt;'Исходные данные'!$B$30),0,DATEDIF(DATE(YEAR('Исходные данные'!$B$30),MONTH('Исходные данные'!$B$30),1),B132,"m")+1)</f>
        <v>0</v>
      </c>
      <c r="G132">
        <f t="shared" si="83"/>
        <v>0</v>
      </c>
      <c r="H132">
        <f>IF(F132=0,0,IF(G132=1,N('Исходные данные'!$B$31),IF(G132=2,N('Исходные данные'!$B$32),IF(G132=3,N('Исходные данные'!$B$33),N('Исходные данные'!$B$33)*(1+N('Исходные данные'!$B$34))^(G132-3)))))</f>
        <v>0</v>
      </c>
      <c r="I132">
        <f>IF(OR(F132=0,N('Исходные данные'!$B$5)=0,H132=0),0,'Исходные данные'!$B$5*H132*IF(AND(B132&lt;='Исходные данные'!$B$30,C132&gt;='Исходные данные'!$B$30),(C132-'Исходные данные'!$B$30+1)/DAY(C132),1))</f>
        <v>0</v>
      </c>
      <c r="J132">
        <f>IF(AND(F132&gt;0,F132&lt;=N('Исходные данные'!$B$37)),-I132,0)</f>
        <v>0</v>
      </c>
      <c r="K132">
        <f>IF(OR(F132=0,F132&lt;=N('Исходные данные'!$B$37)),0,-(I132+J132)*N('Исходные данные'!$B$38))</f>
        <v>0</v>
      </c>
      <c r="L132">
        <f t="shared" si="84"/>
        <v>0</v>
      </c>
      <c r="M132">
        <f>IF('Исходные данные'!$B$51="Да",L132*N('Исходные данные'!$B$52),0)</f>
        <v>0</v>
      </c>
      <c r="N132">
        <f t="shared" si="85"/>
        <v>0</v>
      </c>
      <c r="O132">
        <f>IF(OR(B132="",IF('Исходные данные'!$B$45="",'Исходные данные'!$B$10,'Исходные данные'!$B$45)="",C132&lt;IF('Исходные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данные'!$B$45)),1),B132,"m")/12))*IF(AND(B132&lt;=IF('Исходные данные'!$B$45="",'Исходные данные'!$B$10,'Исходные данные'!$B$45),C132&gt;=IF('Исходные данные'!$B$45="",'Исходные данные'!$B$10,'Исходные данные'!$B$45)),(C132-IF('Исходные данные'!$B$45="",'Исходные данные'!$B$10,'Исходные данные'!$B$45)+1)/DAY(C132),1)*IF('Исходные данные'!$B$43="Без НДС",1+N('Исходные данные'!$B$44),1))</f>
        <v>0</v>
      </c>
      <c r="P132">
        <f>IF('Исходные данные'!$B$51="Да",-O132*N('Исходные данные'!$B$44)/(1+N('Исходные данные'!$B$44)),0)</f>
        <v>0</v>
      </c>
      <c r="Q132">
        <f>IF('Исходные данные'!$B$35="Да",-O132,0)</f>
        <v>0</v>
      </c>
      <c r="R132">
        <f>IF(AND('Исходные данные'!$B$51="Да",Q132&gt;0),Q132*N('Исходные данные'!$B$52)/(1+N('Исходные данные'!$B$52)),0)</f>
        <v>0</v>
      </c>
      <c r="S132">
        <f>IF(OR(B132="",IF('Исходные данные'!$B$45="",'Исходные данные'!$B$10,'Исходные данные'!$B$45)="",C132&lt;IF('Исходные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данные'!$B$45)),1),B132,"m")/12))*IF(AND(B132&lt;=IF('Исходные данные'!$B$45="",'Исходные данные'!$B$10,'Исходные данные'!$B$45),C132&gt;=IF('Исходные данные'!$B$45="",'Исходные данные'!$B$10,'Исходные данные'!$B$45)),(C132-IF('Исходные данные'!$B$45="",'Исходные данные'!$B$10,'Исходные данные'!$B$45)+1)/DAY(C132),1)*IF('Исходные данные'!$B$43="Без НДС",1+N('Исходные данные'!$B$44),1))</f>
        <v>0</v>
      </c>
      <c r="T132">
        <f>IF('Исходные данные'!$B$51="Да",-S132*N('Исходные данные'!$B$44)/(1+N('Исходные данные'!$B$44)),0)</f>
        <v>0</v>
      </c>
      <c r="U132">
        <f>IF('Исходные данные'!$B$36="Да",-S132,0)</f>
        <v>0</v>
      </c>
      <c r="V132">
        <f>IF(AND('Исходные данные'!$B$51="Да",U132&gt;0),U132*N('Исходные данные'!$B$52)/(1+N('Исходные данные'!$B$52)),0)</f>
        <v>0</v>
      </c>
      <c r="W132">
        <f>IF(OR(B132="",IF('Исходные данные'!$B$69="",'Исходные данные'!$B$10,'Исходные данные'!$B$69)="",C132&lt;IF('Исходные данные'!$B$69="",'Исходные данные'!$B$10,'Исходные данные'!$B$69)),0,-N('Исходные данные'!$B$16)*N('Исходные данные'!$B$68)*N('Исходные данные'!$B$67)/12*IF(AND(B132&lt;=IF('Исходные данные'!$B$69="",'Исходные данные'!$B$10,'Исходные данные'!$B$69),C132&gt;=IF('Исходные данные'!$B$69="",'Исходные данные'!$B$10,'Исходные данные'!$B$69)),(C132-IF('Исходные данные'!$B$69="",'Исходные данные'!$B$10,'Исходные данные'!$B$69)+1)/DAY(C132),1))</f>
        <v>0</v>
      </c>
      <c r="X132">
        <f>IF(OR(B132="",IF('Исходные данные'!$B$76="",'Исходные данные'!$B$10,'Исходные данные'!$B$76)="",C132&lt;IF('Исходные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данные'!$B$76)),1),B132,"m")/12))*IF(AND(B132&lt;=IF('Исходные данные'!$B$76="",'Исходные данные'!$B$10,'Исходные данные'!$B$76),C132&gt;=IF('Исходные данные'!$B$76="",'Исходные данные'!$B$10,'Исходные данные'!$B$76)),(C132-IF('Исходные данные'!$B$76="",'Исходные данные'!$B$10,'Исходные данные'!$B$76)+1)/DAY(C132),1))</f>
        <v>0</v>
      </c>
      <c r="Y132">
        <f t="shared" si="86"/>
        <v>0</v>
      </c>
      <c r="Z132">
        <f>IF(OR(B132="",N('Исходные данные'!$B$19)=0),0,-SUMIFS('Исходные данные'!$I$6:$I$186,'Исходные данные'!$F$6:$F$186,B132)*N('Исходные данные'!$B$17)/N('Исходные данные'!$B$19))</f>
        <v>0</v>
      </c>
      <c r="AA132">
        <f>IF(OR(B132="",N('Исходные данные'!$B$19)=0),0,-SUMIFS('Исходные данные'!$I$6:$I$186,'Исходные данные'!$F$6:$F$186,B132)*N('Исходные данные'!$B$18)/N('Исходные данные'!$B$19))</f>
        <v>0</v>
      </c>
      <c r="AB132">
        <f>IF(OR(B132="",'Исходные данные'!$B$13=""),0,IF(AND(YEAR(B132)=YEAR('Исходные данные'!$B$13),MONTH(B132)=MONTH('Исходные данные'!$B$13)),-N('Исходные данные'!$B$11),0))</f>
        <v>0</v>
      </c>
      <c r="AC132">
        <f>IF(A132=1,-N('Исходные данные'!$B$19)*N('Исходные данные'!$B$72),0)</f>
        <v>0</v>
      </c>
      <c r="AD132">
        <f>IF(OR(B132="",'Исходные данные'!$B$22&lt;&gt;"Да",'Исходные данные'!$B$26=""),0,IF(AND(YEAR(B132)=YEAR('Исходные данные'!$B$26),MONTH(B132)=MONTH('Исходные данные'!$B$26)),N('Исходные данные'!$B$23),0))</f>
        <v>0</v>
      </c>
      <c r="AE132">
        <f t="shared" si="99"/>
        <v>0</v>
      </c>
      <c r="AF132">
        <f>IF(OR('Исходные данные'!$B$22&lt;&gt;"Да",'Исходные данные'!$B$26="",C132&lt;'Исходные данные'!$B$26),0,DATEDIF(DATE(YEAR('Исходные данные'!$B$26),MONTH('Исходные данные'!$B$26),1),B132,"m")+1)</f>
        <v>0</v>
      </c>
      <c r="AG132">
        <f>IF(OR(AF132&lt;1,AF132&gt;N('Исходные данные'!$B$25),AE132+AD132&lt;=0),0,-(AE132+AD132)*N('Исходные данные'!$B$24)*IF(AF132=1,C132-'Исходные данные'!$B$26+1,DAY(C132))/365)</f>
        <v>0</v>
      </c>
      <c r="AH132">
        <f>IF(OR(AF132&lt;1,AF132&gt;N('Исходные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данные'!$B$25)-AG132))</f>
        <v>0</v>
      </c>
      <c r="AI132">
        <f>IF(OR('Исходные данные'!$B$22&lt;&gt;"Да",AE132+AD132&lt;=0),0,IF(AND('Исходные данные'!$B$91&lt;&gt;"",B132&lt;&gt;"",YEAR(B132)=YEAR('Исходные данные'!$B$91),MONTH(B132)=MONTH('Исходные данные'!$B$91)),-(AE132+AD132),IF(OR(AF132&lt;1,AF132&gt;N('Исходные данные'!$B$25)),0,IF('Исходные данные'!$B$27="Равными долями",-MIN(AE132+AD132,N('Исходные данные'!$B$23)/N('Исходные данные'!$B$25)),-MIN(AE132+AD132,IF(AF132=N('Исходные данные'!$B$25),AE132+AD132,MAX(0,AH132+AG132)))))))</f>
        <v>0</v>
      </c>
      <c r="AJ132">
        <f t="shared" si="87"/>
        <v>0</v>
      </c>
      <c r="AK132">
        <f t="shared" si="88"/>
        <v>0</v>
      </c>
      <c r="AL132">
        <f>IF(OR(B132="",'Исходные данные'!$B$51&lt;&gt;"Да",'Исходные данные'!$B$61=""),0,IF(AND(YEAR(B132)=YEAR('Исходные данные'!$B$61),MONTH(B132)=MONTH('Исходные данные'!$B$61)),N('Исходные данные'!$B$18)*N('Исходные данные'!$B$62),0))</f>
        <v>0</v>
      </c>
      <c r="AM132">
        <f t="shared" si="100"/>
        <v>0</v>
      </c>
      <c r="AN132">
        <f t="shared" si="89"/>
        <v>0</v>
      </c>
      <c r="AO132">
        <f t="shared" si="90"/>
        <v>0</v>
      </c>
      <c r="AP132">
        <f>IF('Исходные данные'!$B$51="Да",-MAX(0,AN132-AO132-AM132),0)</f>
        <v>0</v>
      </c>
      <c r="AQ132">
        <f>IF('Исходные данные'!$B$51="Да",MAX(0,AM132+AO132-AN132),0)</f>
        <v>0</v>
      </c>
      <c r="AR132">
        <f>IF('Исходные данные'!$B$53="Выручка",MAX(0,L132+(Q132-R132)+(U132-V132)),IF('Исходные данные'!$B$53="Прибыль до налога",MAX(0,L132+(Q132-R132)+(U132-V132)+N('Исходные данные'!$B$54)*((O132+P132)+(S132+T132)+W132+X132)+IF('Исходные данные'!$B$55="Да",AG132,0)-N('Исходные данные'!$B$56)/12),IF('Исходные данные'!$B$53="Пользовательская база",MAX(0,N('Исходные данные'!$B$57)/12),0)))</f>
        <v>0</v>
      </c>
      <c r="AS132">
        <f>IF(E132=1,-AR132*N('Исходные данные'!$B$50),0)</f>
        <v>0</v>
      </c>
      <c r="AT132">
        <f t="shared" si="91"/>
        <v>0</v>
      </c>
      <c r="AU132">
        <f>IF(OR(B132="",N('Исходные данные'!$B$80)&lt;=0,'Исходные данные'!$B$88=""),0,MAX(0,IF('Исходные данные'!$B$88="Последние 12 месяцев",SUMIFS($Y$2:$Y$194,$B$2:$B$194,"&gt;="&amp;EDATE(B132,-11),$B$2:$B$194,"&lt;="&amp;B132),IF('Исходные данные'!$B$88="Пользовательский NOI",N('Исходные данные'!$B$89),AT132))/N('Исходные данные'!$B$80)*(1+N('Исходные данные'!$B$81))))</f>
        <v>0</v>
      </c>
      <c r="AV132">
        <f>IF(OR(E132&lt;&gt;1,B132="",'Исходные данные'!$B$91=""),0,IF(AND(YEAR(B132)=YEAR('Исходные данные'!$B$91),MONTH(B132)=MONTH('Исходные данные'!$B$91)),AU132,0))</f>
        <v>0</v>
      </c>
      <c r="AW132">
        <f>-AV132*N('Исходные данные'!$B$73)</f>
        <v>0</v>
      </c>
      <c r="AX132">
        <f>IF(AV132=0,0,-N('Исходные данные'!$B$87)-IF('Исходные данные'!$B$82="Да",IF('Исходные данные'!$B$84="С выручки",AV132,IF('Исходные данные'!$B$84="С прибыли",MAX(0,AV132+AW132-IF('Исходные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32">
        <f t="shared" si="92"/>
        <v>0</v>
      </c>
      <c r="AZ132">
        <f t="shared" si="93"/>
        <v>0</v>
      </c>
      <c r="BA132">
        <f t="shared" si="94"/>
        <v>0</v>
      </c>
      <c r="BB132" t="str">
        <f t="shared" si="101"/>
        <v/>
      </c>
      <c r="BC132">
        <f>IF(OR(E132=0,'Исходные данные'!$B$9="",'Исходные данные'!$B$90=""),0,BA132/(1+'Исходные данные'!$B$90)^((D132-'Исходные данные'!$B$9)/365))</f>
        <v>0</v>
      </c>
      <c r="BD132">
        <f>IF(AND(E132=1,BB132&gt;=0,BB131&lt;0,MIN($BB$2:BB132)&lt;0),1,0)</f>
        <v>0</v>
      </c>
      <c r="BE132">
        <f t="shared" si="95"/>
        <v>0</v>
      </c>
      <c r="BF132">
        <f t="shared" si="96"/>
        <v>0</v>
      </c>
      <c r="BG132">
        <f t="shared" si="97"/>
        <v>0</v>
      </c>
      <c r="BH132">
        <f t="shared" si="98"/>
        <v>1</v>
      </c>
      <c r="BI132">
        <f>AZ132+N132+AP132-AR132*N('Исходные данные'!$B$50)</f>
        <v>0</v>
      </c>
      <c r="BJ132">
        <f t="shared" ref="BJ132:BJ194" si="102">BJ131+BI132</f>
        <v>0</v>
      </c>
      <c r="BK132">
        <f>IF(AND(BJ132&gt;=0,BJ131&lt;0,MIN($BJ$2:BJ132)&lt;0),1,0)</f>
        <v>0</v>
      </c>
    </row>
    <row r="133" spans="1:63" x14ac:dyDescent="0.2">
      <c r="A133">
        <v>132</v>
      </c>
      <c r="B133" t="str">
        <f>IF('Исходные данные'!$B$9="","",EDATE(DATE(YEAR('Исходные данные'!$B$9),MONTH('Исходные данные'!$B$9),1),A133-1))</f>
        <v/>
      </c>
      <c r="C133" t="str">
        <f t="shared" si="82"/>
        <v/>
      </c>
      <c r="D133" t="str">
        <f>IF(B133="","",IF('Исходные данные'!$B$91&lt;&gt;"",IF(AND(YEAR(B133)=YEAR('Исходные данные'!$B$91),MONTH(B133)=MONTH('Исходные данные'!$B$91)),'Исходные данные'!$B$91,IF('Исходные данные'!$B$13&lt;&gt;"",IF(AND(YEAR(B133)=YEAR('Исходные данные'!$B$13),MONTH(B133)=MONTH('Исходные данные'!$B$13)),'Исходные данные'!$B$13,IF('Исходные данные'!$B$26&lt;&gt;"",IF(AND(YEAR(B133)=YEAR('Исходные данные'!$B$26),MONTH(B133)=MONTH('Исходные данные'!$B$26)),'Исходные данные'!$B$26,IF(A133=1,'Исходные данные'!$B$9,C133)),IF(A133=1,'Исходные данные'!$B$9,C133))),IF('Исходные данные'!$B$26&lt;&gt;"",IF(AND(YEAR(B133)=YEAR('Исходные данные'!$B$26),MONTH(B133)=MONTH('Исходные данные'!$B$26)),'Исходные данные'!$B$26,IF(A133=1,'Исходные данные'!$B$9,C133)),IF(A133=1,'Исходные данные'!$B$9,C133)))),IF('Исходные данные'!$B$13&lt;&gt;"",IF(AND(YEAR(B133)=YEAR('Исходные данные'!$B$13),MONTH(B133)=MONTH('Исходные данные'!$B$13)),'Исходные данные'!$B$13,IF('Исходные данные'!$B$26&lt;&gt;"",IF(AND(YEAR(B133)=YEAR('Исходные данные'!$B$26),MONTH(B133)=MONTH('Исходные данные'!$B$26)),'Исходные данные'!$B$26,IF(A133=1,'Исходные данные'!$B$9,C133)),IF(A133=1,'Исходные данные'!$B$9,C133))),IF('Исходные данные'!$B$26&lt;&gt;"",IF(AND(YEAR(B133)=YEAR('Исходные данные'!$B$26),MONTH(B133)=MONTH('Исходные данные'!$B$26)),'Исходные данные'!$B$26,IF(A133=1,'Исходные данные'!$B$9,C133)),IF(A133=1,'Исходные данные'!$B$9,C133)))))</f>
        <v/>
      </c>
      <c r="E133">
        <f>IF(OR(B133="",'Исходные данные'!$B$91=""),0,--(B133&lt;=DATE(YEAR('Исходные данные'!$B$91),MONTH('Исходные данные'!$B$91),1)))</f>
        <v>0</v>
      </c>
      <c r="F133">
        <f>IF(OR(B133="",'Исходные данные'!$B$30="",C133&lt;'Исходные данные'!$B$30),0,DATEDIF(DATE(YEAR('Исходные данные'!$B$30),MONTH('Исходные данные'!$B$30),1),B133,"m")+1)</f>
        <v>0</v>
      </c>
      <c r="G133">
        <f t="shared" si="83"/>
        <v>0</v>
      </c>
      <c r="H133">
        <f>IF(F133=0,0,IF(G133=1,N('Исходные данные'!$B$31),IF(G133=2,N('Исходные данные'!$B$32),IF(G133=3,N('Исходные данные'!$B$33),N('Исходные данные'!$B$33)*(1+N('Исходные данные'!$B$34))^(G133-3)))))</f>
        <v>0</v>
      </c>
      <c r="I133">
        <f>IF(OR(F133=0,N('Исходные данные'!$B$5)=0,H133=0),0,'Исходные данные'!$B$5*H133*IF(AND(B133&lt;='Исходные данные'!$B$30,C133&gt;='Исходные данные'!$B$30),(C133-'Исходные данные'!$B$30+1)/DAY(C133),1))</f>
        <v>0</v>
      </c>
      <c r="J133">
        <f>IF(AND(F133&gt;0,F133&lt;=N('Исходные данные'!$B$37)),-I133,0)</f>
        <v>0</v>
      </c>
      <c r="K133">
        <f>IF(OR(F133=0,F133&lt;=N('Исходные данные'!$B$37)),0,-(I133+J133)*N('Исходные данные'!$B$38))</f>
        <v>0</v>
      </c>
      <c r="L133">
        <f t="shared" si="84"/>
        <v>0</v>
      </c>
      <c r="M133">
        <f>IF('Исходные данные'!$B$51="Да",L133*N('Исходные данные'!$B$52),0)</f>
        <v>0</v>
      </c>
      <c r="N133">
        <f t="shared" si="85"/>
        <v>0</v>
      </c>
      <c r="O133">
        <f>IF(OR(B133="",IF('Исходные данные'!$B$45="",'Исходные данные'!$B$10,'Исходные данные'!$B$45)="",C133&lt;IF('Исходные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данные'!$B$45)),1),B133,"m")/12))*IF(AND(B133&lt;=IF('Исходные данные'!$B$45="",'Исходные данные'!$B$10,'Исходные данные'!$B$45),C133&gt;=IF('Исходные данные'!$B$45="",'Исходные данные'!$B$10,'Исходные данные'!$B$45)),(C133-IF('Исходные данные'!$B$45="",'Исходные данные'!$B$10,'Исходные данные'!$B$45)+1)/DAY(C133),1)*IF('Исходные данные'!$B$43="Без НДС",1+N('Исходные данные'!$B$44),1))</f>
        <v>0</v>
      </c>
      <c r="P133">
        <f>IF('Исходные данные'!$B$51="Да",-O133*N('Исходные данные'!$B$44)/(1+N('Исходные данные'!$B$44)),0)</f>
        <v>0</v>
      </c>
      <c r="Q133">
        <f>IF('Исходные данные'!$B$35="Да",-O133,0)</f>
        <v>0</v>
      </c>
      <c r="R133">
        <f>IF(AND('Исходные данные'!$B$51="Да",Q133&gt;0),Q133*N('Исходные данные'!$B$52)/(1+N('Исходные данные'!$B$52)),0)</f>
        <v>0</v>
      </c>
      <c r="S133">
        <f>IF(OR(B133="",IF('Исходные данные'!$B$45="",'Исходные данные'!$B$10,'Исходные данные'!$B$45)="",C133&lt;IF('Исходные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данные'!$B$45)),1),B133,"m")/12))*IF(AND(B133&lt;=IF('Исходные данные'!$B$45="",'Исходные данные'!$B$10,'Исходные данные'!$B$45),C133&gt;=IF('Исходные данные'!$B$45="",'Исходные данные'!$B$10,'Исходные данные'!$B$45)),(C133-IF('Исходные данные'!$B$45="",'Исходные данные'!$B$10,'Исходные данные'!$B$45)+1)/DAY(C133),1)*IF('Исходные данные'!$B$43="Без НДС",1+N('Исходные данные'!$B$44),1))</f>
        <v>0</v>
      </c>
      <c r="T133">
        <f>IF('Исходные данные'!$B$51="Да",-S133*N('Исходные данные'!$B$44)/(1+N('Исходные данные'!$B$44)),0)</f>
        <v>0</v>
      </c>
      <c r="U133">
        <f>IF('Исходные данные'!$B$36="Да",-S133,0)</f>
        <v>0</v>
      </c>
      <c r="V133">
        <f>IF(AND('Исходные данные'!$B$51="Да",U133&gt;0),U133*N('Исходные данные'!$B$52)/(1+N('Исходные данные'!$B$52)),0)</f>
        <v>0</v>
      </c>
      <c r="W133">
        <f>IF(OR(B133="",IF('Исходные данные'!$B$69="",'Исходные данные'!$B$10,'Исходные данные'!$B$69)="",C133&lt;IF('Исходные данные'!$B$69="",'Исходные данные'!$B$10,'Исходные данные'!$B$69)),0,-N('Исходные данные'!$B$16)*N('Исходные данные'!$B$68)*N('Исходные данные'!$B$67)/12*IF(AND(B133&lt;=IF('Исходные данные'!$B$69="",'Исходные данные'!$B$10,'Исходные данные'!$B$69),C133&gt;=IF('Исходные данные'!$B$69="",'Исходные данные'!$B$10,'Исходные данные'!$B$69)),(C133-IF('Исходные данные'!$B$69="",'Исходные данные'!$B$10,'Исходные данные'!$B$69)+1)/DAY(C133),1))</f>
        <v>0</v>
      </c>
      <c r="X133">
        <f>IF(OR(B133="",IF('Исходные данные'!$B$76="",'Исходные данные'!$B$10,'Исходные данные'!$B$76)="",C133&lt;IF('Исходные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данные'!$B$76)),1),B133,"m")/12))*IF(AND(B133&lt;=IF('Исходные данные'!$B$76="",'Исходные данные'!$B$10,'Исходные данные'!$B$76),C133&gt;=IF('Исходные данные'!$B$76="",'Исходные данные'!$B$10,'Исходные данные'!$B$76)),(C133-IF('Исходные данные'!$B$76="",'Исходные данные'!$B$10,'Исходные данные'!$B$76)+1)/DAY(C133),1))</f>
        <v>0</v>
      </c>
      <c r="Y133">
        <f t="shared" si="86"/>
        <v>0</v>
      </c>
      <c r="Z133">
        <f>IF(OR(B133="",N('Исходные данные'!$B$19)=0),0,-SUMIFS('Исходные данные'!$I$6:$I$186,'Исходные данные'!$F$6:$F$186,B133)*N('Исходные данные'!$B$17)/N('Исходные данные'!$B$19))</f>
        <v>0</v>
      </c>
      <c r="AA133">
        <f>IF(OR(B133="",N('Исходные данные'!$B$19)=0),0,-SUMIFS('Исходные данные'!$I$6:$I$186,'Исходные данные'!$F$6:$F$186,B133)*N('Исходные данные'!$B$18)/N('Исходные данные'!$B$19))</f>
        <v>0</v>
      </c>
      <c r="AB133">
        <f>IF(OR(B133="",'Исходные данные'!$B$13=""),0,IF(AND(YEAR(B133)=YEAR('Исходные данные'!$B$13),MONTH(B133)=MONTH('Исходные данные'!$B$13)),-N('Исходные данные'!$B$11),0))</f>
        <v>0</v>
      </c>
      <c r="AC133">
        <f>IF(A133=1,-N('Исходные данные'!$B$19)*N('Исходные данные'!$B$72),0)</f>
        <v>0</v>
      </c>
      <c r="AD133">
        <f>IF(OR(B133="",'Исходные данные'!$B$22&lt;&gt;"Да",'Исходные данные'!$B$26=""),0,IF(AND(YEAR(B133)=YEAR('Исходные данные'!$B$26),MONTH(B133)=MONTH('Исходные данные'!$B$26)),N('Исходные данные'!$B$23),0))</f>
        <v>0</v>
      </c>
      <c r="AE133">
        <f t="shared" si="99"/>
        <v>0</v>
      </c>
      <c r="AF133">
        <f>IF(OR('Исходные данные'!$B$22&lt;&gt;"Да",'Исходные данные'!$B$26="",C133&lt;'Исходные данные'!$B$26),0,DATEDIF(DATE(YEAR('Исходные данные'!$B$26),MONTH('Исходные данные'!$B$26),1),B133,"m")+1)</f>
        <v>0</v>
      </c>
      <c r="AG133">
        <f>IF(OR(AF133&lt;1,AF133&gt;N('Исходные данные'!$B$25),AE133+AD133&lt;=0),0,-(AE133+AD133)*N('Исходные данные'!$B$24)*IF(AF133=1,C133-'Исходные данные'!$B$26+1,DAY(C133))/365)</f>
        <v>0</v>
      </c>
      <c r="AH133">
        <f>IF(OR(AF133&lt;1,AF133&gt;N('Исходные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данные'!$B$25)-AG133))</f>
        <v>0</v>
      </c>
      <c r="AI133">
        <f>IF(OR('Исходные данные'!$B$22&lt;&gt;"Да",AE133+AD133&lt;=0),0,IF(AND('Исходные данные'!$B$91&lt;&gt;"",B133&lt;&gt;"",YEAR(B133)=YEAR('Исходные данные'!$B$91),MONTH(B133)=MONTH('Исходные данные'!$B$91)),-(AE133+AD133),IF(OR(AF133&lt;1,AF133&gt;N('Исходные данные'!$B$25)),0,IF('Исходные данные'!$B$27="Равными долями",-MIN(AE133+AD133,N('Исходные данные'!$B$23)/N('Исходные данные'!$B$25)),-MIN(AE133+AD133,IF(AF133=N('Исходные данные'!$B$25),AE133+AD133,MAX(0,AH133+AG133)))))))</f>
        <v>0</v>
      </c>
      <c r="AJ133">
        <f t="shared" si="87"/>
        <v>0</v>
      </c>
      <c r="AK133">
        <f t="shared" si="88"/>
        <v>0</v>
      </c>
      <c r="AL133">
        <f>IF(OR(B133="",'Исходные данные'!$B$51&lt;&gt;"Да",'Исходные данные'!$B$61=""),0,IF(AND(YEAR(B133)=YEAR('Исходные данные'!$B$61),MONTH(B133)=MONTH('Исходные данные'!$B$61)),N('Исходные данные'!$B$18)*N('Исходные данные'!$B$62),0))</f>
        <v>0</v>
      </c>
      <c r="AM133">
        <f t="shared" si="100"/>
        <v>0</v>
      </c>
      <c r="AN133">
        <f t="shared" si="89"/>
        <v>0</v>
      </c>
      <c r="AO133">
        <f t="shared" si="90"/>
        <v>0</v>
      </c>
      <c r="AP133">
        <f>IF('Исходные данные'!$B$51="Да",-MAX(0,AN133-AO133-AM133),0)</f>
        <v>0</v>
      </c>
      <c r="AQ133">
        <f>IF('Исходные данные'!$B$51="Да",MAX(0,AM133+AO133-AN133),0)</f>
        <v>0</v>
      </c>
      <c r="AR133">
        <f>IF('Исходные данные'!$B$53="Выручка",MAX(0,L133+(Q133-R133)+(U133-V133)),IF('Исходные данные'!$B$53="Прибыль до налога",MAX(0,L133+(Q133-R133)+(U133-V133)+N('Исходные данные'!$B$54)*((O133+P133)+(S133+T133)+W133+X133)+IF('Исходные данные'!$B$55="Да",AG133,0)-N('Исходные данные'!$B$56)/12),IF('Исходные данные'!$B$53="Пользовательская база",MAX(0,N('Исходные данные'!$B$57)/12),0)))</f>
        <v>0</v>
      </c>
      <c r="AS133">
        <f>IF(E133=1,-AR133*N('Исходные данные'!$B$50),0)</f>
        <v>0</v>
      </c>
      <c r="AT133">
        <f t="shared" si="91"/>
        <v>0</v>
      </c>
      <c r="AU133">
        <f>IF(OR(B133="",N('Исходные данные'!$B$80)&lt;=0,'Исходные данные'!$B$88=""),0,MAX(0,IF('Исходные данные'!$B$88="Последние 12 месяцев",SUMIFS($Y$2:$Y$194,$B$2:$B$194,"&gt;="&amp;EDATE(B133,-11),$B$2:$B$194,"&lt;="&amp;B133),IF('Исходные данные'!$B$88="Пользовательский NOI",N('Исходные данные'!$B$89),AT133))/N('Исходные данные'!$B$80)*(1+N('Исходные данные'!$B$81))))</f>
        <v>0</v>
      </c>
      <c r="AV133">
        <f>IF(OR(E133&lt;&gt;1,B133="",'Исходные данные'!$B$91=""),0,IF(AND(YEAR(B133)=YEAR('Исходные данные'!$B$91),MONTH(B133)=MONTH('Исходные данные'!$B$91)),AU133,0))</f>
        <v>0</v>
      </c>
      <c r="AW133">
        <f>-AV133*N('Исходные данные'!$B$73)</f>
        <v>0</v>
      </c>
      <c r="AX133">
        <f>IF(AV133=0,0,-N('Исходные данные'!$B$87)-IF('Исходные данные'!$B$82="Да",IF('Исходные данные'!$B$84="С выручки",AV133,IF('Исходные данные'!$B$84="С прибыли",MAX(0,AV133+AW133-IF('Исходные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33">
        <f t="shared" si="92"/>
        <v>0</v>
      </c>
      <c r="AZ133">
        <f t="shared" si="93"/>
        <v>0</v>
      </c>
      <c r="BA133">
        <f t="shared" si="94"/>
        <v>0</v>
      </c>
      <c r="BB133" t="str">
        <f t="shared" si="101"/>
        <v/>
      </c>
      <c r="BC133">
        <f>IF(OR(E133=0,'Исходные данные'!$B$9="",'Исходные данные'!$B$90=""),0,BA133/(1+'Исходные данные'!$B$90)^((D133-'Исходные данные'!$B$9)/365))</f>
        <v>0</v>
      </c>
      <c r="BD133">
        <f>IF(AND(E133=1,BB133&gt;=0,BB132&lt;0,MIN($BB$2:BB133)&lt;0),1,0)</f>
        <v>0</v>
      </c>
      <c r="BE133">
        <f t="shared" si="95"/>
        <v>0</v>
      </c>
      <c r="BF133">
        <f t="shared" si="96"/>
        <v>0</v>
      </c>
      <c r="BG133">
        <f t="shared" si="97"/>
        <v>0</v>
      </c>
      <c r="BH133">
        <f t="shared" si="98"/>
        <v>1</v>
      </c>
      <c r="BI133">
        <f>AZ133+N133+AP133-AR133*N('Исходные данные'!$B$50)</f>
        <v>0</v>
      </c>
      <c r="BJ133">
        <f t="shared" si="102"/>
        <v>0</v>
      </c>
      <c r="BK133">
        <f>IF(AND(BJ133&gt;=0,BJ132&lt;0,MIN($BJ$2:BJ133)&lt;0),1,0)</f>
        <v>0</v>
      </c>
    </row>
    <row r="134" spans="1:63" x14ac:dyDescent="0.2">
      <c r="A134">
        <v>133</v>
      </c>
      <c r="B134" t="str">
        <f>IF('Исходные данные'!$B$9="","",EDATE(DATE(YEAR('Исходные данные'!$B$9),MONTH('Исходные данные'!$B$9),1),A134-1))</f>
        <v/>
      </c>
      <c r="C134" t="str">
        <f t="shared" si="82"/>
        <v/>
      </c>
      <c r="D134" t="str">
        <f>IF(B134="","",IF('Исходные данные'!$B$91&lt;&gt;"",IF(AND(YEAR(B134)=YEAR('Исходные данные'!$B$91),MONTH(B134)=MONTH('Исходные данные'!$B$91)),'Исходные данные'!$B$91,IF('Исходные данные'!$B$13&lt;&gt;"",IF(AND(YEAR(B134)=YEAR('Исходные данные'!$B$13),MONTH(B134)=MONTH('Исходные данные'!$B$13)),'Исходные данные'!$B$13,IF('Исходные данные'!$B$26&lt;&gt;"",IF(AND(YEAR(B134)=YEAR('Исходные данные'!$B$26),MONTH(B134)=MONTH('Исходные данные'!$B$26)),'Исходные данные'!$B$26,IF(A134=1,'Исходные данные'!$B$9,C134)),IF(A134=1,'Исходные данные'!$B$9,C134))),IF('Исходные данные'!$B$26&lt;&gt;"",IF(AND(YEAR(B134)=YEAR('Исходные данные'!$B$26),MONTH(B134)=MONTH('Исходные данные'!$B$26)),'Исходные данные'!$B$26,IF(A134=1,'Исходные данные'!$B$9,C134)),IF(A134=1,'Исходные данные'!$B$9,C134)))),IF('Исходные данные'!$B$13&lt;&gt;"",IF(AND(YEAR(B134)=YEAR('Исходные данные'!$B$13),MONTH(B134)=MONTH('Исходные данные'!$B$13)),'Исходные данные'!$B$13,IF('Исходные данные'!$B$26&lt;&gt;"",IF(AND(YEAR(B134)=YEAR('Исходные данные'!$B$26),MONTH(B134)=MONTH('Исходные данные'!$B$26)),'Исходные данные'!$B$26,IF(A134=1,'Исходные данные'!$B$9,C134)),IF(A134=1,'Исходные данные'!$B$9,C134))),IF('Исходные данные'!$B$26&lt;&gt;"",IF(AND(YEAR(B134)=YEAR('Исходные данные'!$B$26),MONTH(B134)=MONTH('Исходные данные'!$B$26)),'Исходные данные'!$B$26,IF(A134=1,'Исходные данные'!$B$9,C134)),IF(A134=1,'Исходные данные'!$B$9,C134)))))</f>
        <v/>
      </c>
      <c r="E134">
        <f>IF(OR(B134="",'Исходные данные'!$B$91=""),0,--(B134&lt;=DATE(YEAR('Исходные данные'!$B$91),MONTH('Исходные данные'!$B$91),1)))</f>
        <v>0</v>
      </c>
      <c r="F134">
        <f>IF(OR(B134="",'Исходные данные'!$B$30="",C134&lt;'Исходные данные'!$B$30),0,DATEDIF(DATE(YEAR('Исходные данные'!$B$30),MONTH('Исходные данные'!$B$30),1),B134,"m")+1)</f>
        <v>0</v>
      </c>
      <c r="G134">
        <f t="shared" si="83"/>
        <v>0</v>
      </c>
      <c r="H134">
        <f>IF(F134=0,0,IF(G134=1,N('Исходные данные'!$B$31),IF(G134=2,N('Исходные данные'!$B$32),IF(G134=3,N('Исходные данные'!$B$33),N('Исходные данные'!$B$33)*(1+N('Исходные данные'!$B$34))^(G134-3)))))</f>
        <v>0</v>
      </c>
      <c r="I134">
        <f>IF(OR(F134=0,N('Исходные данные'!$B$5)=0,H134=0),0,'Исходные данные'!$B$5*H134*IF(AND(B134&lt;='Исходные данные'!$B$30,C134&gt;='Исходные данные'!$B$30),(C134-'Исходные данные'!$B$30+1)/DAY(C134),1))</f>
        <v>0</v>
      </c>
      <c r="J134">
        <f>IF(AND(F134&gt;0,F134&lt;=N('Исходные данные'!$B$37)),-I134,0)</f>
        <v>0</v>
      </c>
      <c r="K134">
        <f>IF(OR(F134=0,F134&lt;=N('Исходные данные'!$B$37)),0,-(I134+J134)*N('Исходные данные'!$B$38))</f>
        <v>0</v>
      </c>
      <c r="L134">
        <f t="shared" si="84"/>
        <v>0</v>
      </c>
      <c r="M134">
        <f>IF('Исходные данные'!$B$51="Да",L134*N('Исходные данные'!$B$52),0)</f>
        <v>0</v>
      </c>
      <c r="N134">
        <f t="shared" si="85"/>
        <v>0</v>
      </c>
      <c r="O134">
        <f>IF(OR(B134="",IF('Исходные данные'!$B$45="",'Исходные данные'!$B$10,'Исходные данные'!$B$45)="",C134&lt;IF('Исходные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данные'!$B$45)),1),B134,"m")/12))*IF(AND(B134&lt;=IF('Исходные данные'!$B$45="",'Исходные данные'!$B$10,'Исходные данные'!$B$45),C134&gt;=IF('Исходные данные'!$B$45="",'Исходные данные'!$B$10,'Исходные данные'!$B$45)),(C134-IF('Исходные данные'!$B$45="",'Исходные данные'!$B$10,'Исходные данные'!$B$45)+1)/DAY(C134),1)*IF('Исходные данные'!$B$43="Без НДС",1+N('Исходные данные'!$B$44),1))</f>
        <v>0</v>
      </c>
      <c r="P134">
        <f>IF('Исходные данные'!$B$51="Да",-O134*N('Исходные данные'!$B$44)/(1+N('Исходные данные'!$B$44)),0)</f>
        <v>0</v>
      </c>
      <c r="Q134">
        <f>IF('Исходные данные'!$B$35="Да",-O134,0)</f>
        <v>0</v>
      </c>
      <c r="R134">
        <f>IF(AND('Исходные данные'!$B$51="Да",Q134&gt;0),Q134*N('Исходные данные'!$B$52)/(1+N('Исходные данные'!$B$52)),0)</f>
        <v>0</v>
      </c>
      <c r="S134">
        <f>IF(OR(B134="",IF('Исходные данные'!$B$45="",'Исходные данные'!$B$10,'Исходные данные'!$B$45)="",C134&lt;IF('Исходные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данные'!$B$45)),1),B134,"m")/12))*IF(AND(B134&lt;=IF('Исходные данные'!$B$45="",'Исходные данные'!$B$10,'Исходные данные'!$B$45),C134&gt;=IF('Исходные данные'!$B$45="",'Исходные данные'!$B$10,'Исходные данные'!$B$45)),(C134-IF('Исходные данные'!$B$45="",'Исходные данные'!$B$10,'Исходные данные'!$B$45)+1)/DAY(C134),1)*IF('Исходные данные'!$B$43="Без НДС",1+N('Исходные данные'!$B$44),1))</f>
        <v>0</v>
      </c>
      <c r="T134">
        <f>IF('Исходные данные'!$B$51="Да",-S134*N('Исходные данные'!$B$44)/(1+N('Исходные данные'!$B$44)),0)</f>
        <v>0</v>
      </c>
      <c r="U134">
        <f>IF('Исходные данные'!$B$36="Да",-S134,0)</f>
        <v>0</v>
      </c>
      <c r="V134">
        <f>IF(AND('Исходные данные'!$B$51="Да",U134&gt;0),U134*N('Исходные данные'!$B$52)/(1+N('Исходные данные'!$B$52)),0)</f>
        <v>0</v>
      </c>
      <c r="W134">
        <f>IF(OR(B134="",IF('Исходные данные'!$B$69="",'Исходные данные'!$B$10,'Исходные данные'!$B$69)="",C134&lt;IF('Исходные данные'!$B$69="",'Исходные данные'!$B$10,'Исходные данные'!$B$69)),0,-N('Исходные данные'!$B$16)*N('Исходные данные'!$B$68)*N('Исходные данные'!$B$67)/12*IF(AND(B134&lt;=IF('Исходные данные'!$B$69="",'Исходные данные'!$B$10,'Исходные данные'!$B$69),C134&gt;=IF('Исходные данные'!$B$69="",'Исходные данные'!$B$10,'Исходные данные'!$B$69)),(C134-IF('Исходные данные'!$B$69="",'Исходные данные'!$B$10,'Исходные данные'!$B$69)+1)/DAY(C134),1))</f>
        <v>0</v>
      </c>
      <c r="X134">
        <f>IF(OR(B134="",IF('Исходные данные'!$B$76="",'Исходные данные'!$B$10,'Исходные данные'!$B$76)="",C134&lt;IF('Исходные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данные'!$B$76)),1),B134,"m")/12))*IF(AND(B134&lt;=IF('Исходные данные'!$B$76="",'Исходные данные'!$B$10,'Исходные данные'!$B$76),C134&gt;=IF('Исходные данные'!$B$76="",'Исходные данные'!$B$10,'Исходные данные'!$B$76)),(C134-IF('Исходные данные'!$B$76="",'Исходные данные'!$B$10,'Исходные данные'!$B$76)+1)/DAY(C134),1))</f>
        <v>0</v>
      </c>
      <c r="Y134">
        <f t="shared" si="86"/>
        <v>0</v>
      </c>
      <c r="Z134">
        <f>IF(OR(B134="",N('Исходные данные'!$B$19)=0),0,-SUMIFS('Исходные данные'!$I$6:$I$186,'Исходные данные'!$F$6:$F$186,B134)*N('Исходные данные'!$B$17)/N('Исходные данные'!$B$19))</f>
        <v>0</v>
      </c>
      <c r="AA134">
        <f>IF(OR(B134="",N('Исходные данные'!$B$19)=0),0,-SUMIFS('Исходные данные'!$I$6:$I$186,'Исходные данные'!$F$6:$F$186,B134)*N('Исходные данные'!$B$18)/N('Исходные данные'!$B$19))</f>
        <v>0</v>
      </c>
      <c r="AB134">
        <f>IF(OR(B134="",'Исходные данные'!$B$13=""),0,IF(AND(YEAR(B134)=YEAR('Исходные данные'!$B$13),MONTH(B134)=MONTH('Исходные данные'!$B$13)),-N('Исходные данные'!$B$11),0))</f>
        <v>0</v>
      </c>
      <c r="AC134">
        <f>IF(A134=1,-N('Исходные данные'!$B$19)*N('Исходные данные'!$B$72),0)</f>
        <v>0</v>
      </c>
      <c r="AD134">
        <f>IF(OR(B134="",'Исходные данные'!$B$22&lt;&gt;"Да",'Исходные данные'!$B$26=""),0,IF(AND(YEAR(B134)=YEAR('Исходные данные'!$B$26),MONTH(B134)=MONTH('Исходные данные'!$B$26)),N('Исходные данные'!$B$23),0))</f>
        <v>0</v>
      </c>
      <c r="AE134">
        <f t="shared" si="99"/>
        <v>0</v>
      </c>
      <c r="AF134">
        <f>IF(OR('Исходные данные'!$B$22&lt;&gt;"Да",'Исходные данные'!$B$26="",C134&lt;'Исходные данные'!$B$26),0,DATEDIF(DATE(YEAR('Исходные данные'!$B$26),MONTH('Исходные данные'!$B$26),1),B134,"m")+1)</f>
        <v>0</v>
      </c>
      <c r="AG134">
        <f>IF(OR(AF134&lt;1,AF134&gt;N('Исходные данные'!$B$25),AE134+AD134&lt;=0),0,-(AE134+AD134)*N('Исходные данные'!$B$24)*IF(AF134=1,C134-'Исходные данные'!$B$26+1,DAY(C134))/365)</f>
        <v>0</v>
      </c>
      <c r="AH134">
        <f>IF(OR(AF134&lt;1,AF134&gt;N('Исходные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данные'!$B$25)-AG134))</f>
        <v>0</v>
      </c>
      <c r="AI134">
        <f>IF(OR('Исходные данные'!$B$22&lt;&gt;"Да",AE134+AD134&lt;=0),0,IF(AND('Исходные данные'!$B$91&lt;&gt;"",B134&lt;&gt;"",YEAR(B134)=YEAR('Исходные данные'!$B$91),MONTH(B134)=MONTH('Исходные данные'!$B$91)),-(AE134+AD134),IF(OR(AF134&lt;1,AF134&gt;N('Исходные данные'!$B$25)),0,IF('Исходные данные'!$B$27="Равными долями",-MIN(AE134+AD134,N('Исходные данные'!$B$23)/N('Исходные данные'!$B$25)),-MIN(AE134+AD134,IF(AF134=N('Исходные данные'!$B$25),AE134+AD134,MAX(0,AH134+AG134)))))))</f>
        <v>0</v>
      </c>
      <c r="AJ134">
        <f t="shared" si="87"/>
        <v>0</v>
      </c>
      <c r="AK134">
        <f t="shared" si="88"/>
        <v>0</v>
      </c>
      <c r="AL134">
        <f>IF(OR(B134="",'Исходные данные'!$B$51&lt;&gt;"Да",'Исходные данные'!$B$61=""),0,IF(AND(YEAR(B134)=YEAR('Исходные данные'!$B$61),MONTH(B134)=MONTH('Исходные данные'!$B$61)),N('Исходные данные'!$B$18)*N('Исходные данные'!$B$62),0))</f>
        <v>0</v>
      </c>
      <c r="AM134">
        <f t="shared" si="100"/>
        <v>0</v>
      </c>
      <c r="AN134">
        <f t="shared" si="89"/>
        <v>0</v>
      </c>
      <c r="AO134">
        <f t="shared" si="90"/>
        <v>0</v>
      </c>
      <c r="AP134">
        <f>IF('Исходные данные'!$B$51="Да",-MAX(0,AN134-AO134-AM134),0)</f>
        <v>0</v>
      </c>
      <c r="AQ134">
        <f>IF('Исходные данные'!$B$51="Да",MAX(0,AM134+AO134-AN134),0)</f>
        <v>0</v>
      </c>
      <c r="AR134">
        <f>IF('Исходные данные'!$B$53="Выручка",MAX(0,L134+(Q134-R134)+(U134-V134)),IF('Исходные данные'!$B$53="Прибыль до налога",MAX(0,L134+(Q134-R134)+(U134-V134)+N('Исходные данные'!$B$54)*((O134+P134)+(S134+T134)+W134+X134)+IF('Исходные данные'!$B$55="Да",AG134,0)-N('Исходные данные'!$B$56)/12),IF('Исходные данные'!$B$53="Пользовательская база",MAX(0,N('Исходные данные'!$B$57)/12),0)))</f>
        <v>0</v>
      </c>
      <c r="AS134">
        <f>IF(E134=1,-AR134*N('Исходные данные'!$B$50),0)</f>
        <v>0</v>
      </c>
      <c r="AT134">
        <f t="shared" si="91"/>
        <v>0</v>
      </c>
      <c r="AU134">
        <f>IF(OR(B134="",N('Исходные данные'!$B$80)&lt;=0,'Исходные данные'!$B$88=""),0,MAX(0,IF('Исходные данные'!$B$88="Последние 12 месяцев",SUMIFS($Y$2:$Y$194,$B$2:$B$194,"&gt;="&amp;EDATE(B134,-11),$B$2:$B$194,"&lt;="&amp;B134),IF('Исходные данные'!$B$88="Пользовательский NOI",N('Исходные данные'!$B$89),AT134))/N('Исходные данные'!$B$80)*(1+N('Исходные данные'!$B$81))))</f>
        <v>0</v>
      </c>
      <c r="AV134">
        <f>IF(OR(E134&lt;&gt;1,B134="",'Исходные данные'!$B$91=""),0,IF(AND(YEAR(B134)=YEAR('Исходные данные'!$B$91),MONTH(B134)=MONTH('Исходные данные'!$B$91)),AU134,0))</f>
        <v>0</v>
      </c>
      <c r="AW134">
        <f>-AV134*N('Исходные данные'!$B$73)</f>
        <v>0</v>
      </c>
      <c r="AX134">
        <f>IF(AV134=0,0,-N('Исходные данные'!$B$87)-IF('Исходные данные'!$B$82="Да",IF('Исходные данные'!$B$84="С выручки",AV134,IF('Исходные данные'!$B$84="С прибыли",MAX(0,AV134+AW134-IF('Исходные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34">
        <f t="shared" si="92"/>
        <v>0</v>
      </c>
      <c r="AZ134">
        <f t="shared" si="93"/>
        <v>0</v>
      </c>
      <c r="BA134">
        <f t="shared" si="94"/>
        <v>0</v>
      </c>
      <c r="BB134" t="str">
        <f t="shared" si="101"/>
        <v/>
      </c>
      <c r="BC134">
        <f>IF(OR(E134=0,'Исходные данные'!$B$9="",'Исходные данные'!$B$90=""),0,BA134/(1+'Исходные данные'!$B$90)^((D134-'Исходные данные'!$B$9)/365))</f>
        <v>0</v>
      </c>
      <c r="BD134">
        <f>IF(AND(E134=1,BB134&gt;=0,BB133&lt;0,MIN($BB$2:BB134)&lt;0),1,0)</f>
        <v>0</v>
      </c>
      <c r="BE134">
        <f t="shared" si="95"/>
        <v>0</v>
      </c>
      <c r="BF134">
        <f t="shared" si="96"/>
        <v>0</v>
      </c>
      <c r="BG134">
        <f t="shared" si="97"/>
        <v>0</v>
      </c>
      <c r="BH134">
        <f t="shared" si="98"/>
        <v>1</v>
      </c>
      <c r="BI134">
        <f>AZ134+N134+AP134-AR134*N('Исходные данные'!$B$50)</f>
        <v>0</v>
      </c>
      <c r="BJ134">
        <f t="shared" si="102"/>
        <v>0</v>
      </c>
      <c r="BK134">
        <f>IF(AND(BJ134&gt;=0,BJ133&lt;0,MIN($BJ$2:BJ134)&lt;0),1,0)</f>
        <v>0</v>
      </c>
    </row>
    <row r="135" spans="1:63" x14ac:dyDescent="0.2">
      <c r="A135">
        <v>134</v>
      </c>
      <c r="B135" t="str">
        <f>IF('Исходные данные'!$B$9="","",EDATE(DATE(YEAR('Исходные данные'!$B$9),MONTH('Исходные данные'!$B$9),1),A135-1))</f>
        <v/>
      </c>
      <c r="C135" t="str">
        <f t="shared" si="82"/>
        <v/>
      </c>
      <c r="D135" t="str">
        <f>IF(B135="","",IF('Исходные данные'!$B$91&lt;&gt;"",IF(AND(YEAR(B135)=YEAR('Исходные данные'!$B$91),MONTH(B135)=MONTH('Исходные данные'!$B$91)),'Исходные данные'!$B$91,IF('Исходные данные'!$B$13&lt;&gt;"",IF(AND(YEAR(B135)=YEAR('Исходные данные'!$B$13),MONTH(B135)=MONTH('Исходные данные'!$B$13)),'Исходные данные'!$B$13,IF('Исходные данные'!$B$26&lt;&gt;"",IF(AND(YEAR(B135)=YEAR('Исходные данные'!$B$26),MONTH(B135)=MONTH('Исходные данные'!$B$26)),'Исходные данные'!$B$26,IF(A135=1,'Исходные данные'!$B$9,C135)),IF(A135=1,'Исходные данные'!$B$9,C135))),IF('Исходные данные'!$B$26&lt;&gt;"",IF(AND(YEAR(B135)=YEAR('Исходные данные'!$B$26),MONTH(B135)=MONTH('Исходные данные'!$B$26)),'Исходные данные'!$B$26,IF(A135=1,'Исходные данные'!$B$9,C135)),IF(A135=1,'Исходные данные'!$B$9,C135)))),IF('Исходные данные'!$B$13&lt;&gt;"",IF(AND(YEAR(B135)=YEAR('Исходные данные'!$B$13),MONTH(B135)=MONTH('Исходные данные'!$B$13)),'Исходные данные'!$B$13,IF('Исходные данные'!$B$26&lt;&gt;"",IF(AND(YEAR(B135)=YEAR('Исходные данные'!$B$26),MONTH(B135)=MONTH('Исходные данные'!$B$26)),'Исходные данные'!$B$26,IF(A135=1,'Исходные данные'!$B$9,C135)),IF(A135=1,'Исходные данные'!$B$9,C135))),IF('Исходные данные'!$B$26&lt;&gt;"",IF(AND(YEAR(B135)=YEAR('Исходные данные'!$B$26),MONTH(B135)=MONTH('Исходные данные'!$B$26)),'Исходные данные'!$B$26,IF(A135=1,'Исходные данные'!$B$9,C135)),IF(A135=1,'Исходные данные'!$B$9,C135)))))</f>
        <v/>
      </c>
      <c r="E135">
        <f>IF(OR(B135="",'Исходные данные'!$B$91=""),0,--(B135&lt;=DATE(YEAR('Исходные данные'!$B$91),MONTH('Исходные данные'!$B$91),1)))</f>
        <v>0</v>
      </c>
      <c r="F135">
        <f>IF(OR(B135="",'Исходные данные'!$B$30="",C135&lt;'Исходные данные'!$B$30),0,DATEDIF(DATE(YEAR('Исходные данные'!$B$30),MONTH('Исходные данные'!$B$30),1),B135,"m")+1)</f>
        <v>0</v>
      </c>
      <c r="G135">
        <f t="shared" si="83"/>
        <v>0</v>
      </c>
      <c r="H135">
        <f>IF(F135=0,0,IF(G135=1,N('Исходные данные'!$B$31),IF(G135=2,N('Исходные данные'!$B$32),IF(G135=3,N('Исходные данные'!$B$33),N('Исходные данные'!$B$33)*(1+N('Исходные данные'!$B$34))^(G135-3)))))</f>
        <v>0</v>
      </c>
      <c r="I135">
        <f>IF(OR(F135=0,N('Исходные данные'!$B$5)=0,H135=0),0,'Исходные данные'!$B$5*H135*IF(AND(B135&lt;='Исходные данные'!$B$30,C135&gt;='Исходные данные'!$B$30),(C135-'Исходные данные'!$B$30+1)/DAY(C135),1))</f>
        <v>0</v>
      </c>
      <c r="J135">
        <f>IF(AND(F135&gt;0,F135&lt;=N('Исходные данные'!$B$37)),-I135,0)</f>
        <v>0</v>
      </c>
      <c r="K135">
        <f>IF(OR(F135=0,F135&lt;=N('Исходные данные'!$B$37)),0,-(I135+J135)*N('Исходные данные'!$B$38))</f>
        <v>0</v>
      </c>
      <c r="L135">
        <f t="shared" si="84"/>
        <v>0</v>
      </c>
      <c r="M135">
        <f>IF('Исходные данные'!$B$51="Да",L135*N('Исходные данные'!$B$52),0)</f>
        <v>0</v>
      </c>
      <c r="N135">
        <f t="shared" si="85"/>
        <v>0</v>
      </c>
      <c r="O135">
        <f>IF(OR(B135="",IF('Исходные данные'!$B$45="",'Исходные данные'!$B$10,'Исходные данные'!$B$45)="",C135&lt;IF('Исходные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данные'!$B$45)),1),B135,"m")/12))*IF(AND(B135&lt;=IF('Исходные данные'!$B$45="",'Исходные данные'!$B$10,'Исходные данные'!$B$45),C135&gt;=IF('Исходные данные'!$B$45="",'Исходные данные'!$B$10,'Исходные данные'!$B$45)),(C135-IF('Исходные данные'!$B$45="",'Исходные данные'!$B$10,'Исходные данные'!$B$45)+1)/DAY(C135),1)*IF('Исходные данные'!$B$43="Без НДС",1+N('Исходные данные'!$B$44),1))</f>
        <v>0</v>
      </c>
      <c r="P135">
        <f>IF('Исходные данные'!$B$51="Да",-O135*N('Исходные данные'!$B$44)/(1+N('Исходные данные'!$B$44)),0)</f>
        <v>0</v>
      </c>
      <c r="Q135">
        <f>IF('Исходные данные'!$B$35="Да",-O135,0)</f>
        <v>0</v>
      </c>
      <c r="R135">
        <f>IF(AND('Исходные данные'!$B$51="Да",Q135&gt;0),Q135*N('Исходные данные'!$B$52)/(1+N('Исходные данные'!$B$52)),0)</f>
        <v>0</v>
      </c>
      <c r="S135">
        <f>IF(OR(B135="",IF('Исходные данные'!$B$45="",'Исходные данные'!$B$10,'Исходные данные'!$B$45)="",C135&lt;IF('Исходные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данные'!$B$45)),1),B135,"m")/12))*IF(AND(B135&lt;=IF('Исходные данные'!$B$45="",'Исходные данные'!$B$10,'Исходные данные'!$B$45),C135&gt;=IF('Исходные данные'!$B$45="",'Исходные данные'!$B$10,'Исходные данные'!$B$45)),(C135-IF('Исходные данные'!$B$45="",'Исходные данные'!$B$10,'Исходные данные'!$B$45)+1)/DAY(C135),1)*IF('Исходные данные'!$B$43="Без НДС",1+N('Исходные данные'!$B$44),1))</f>
        <v>0</v>
      </c>
      <c r="T135">
        <f>IF('Исходные данные'!$B$51="Да",-S135*N('Исходные данные'!$B$44)/(1+N('Исходные данные'!$B$44)),0)</f>
        <v>0</v>
      </c>
      <c r="U135">
        <f>IF('Исходные данные'!$B$36="Да",-S135,0)</f>
        <v>0</v>
      </c>
      <c r="V135">
        <f>IF(AND('Исходные данные'!$B$51="Да",U135&gt;0),U135*N('Исходные данные'!$B$52)/(1+N('Исходные данные'!$B$52)),0)</f>
        <v>0</v>
      </c>
      <c r="W135">
        <f>IF(OR(B135="",IF('Исходные данные'!$B$69="",'Исходные данные'!$B$10,'Исходные данные'!$B$69)="",C135&lt;IF('Исходные данные'!$B$69="",'Исходные данные'!$B$10,'Исходные данные'!$B$69)),0,-N('Исходные данные'!$B$16)*N('Исходные данные'!$B$68)*N('Исходные данные'!$B$67)/12*IF(AND(B135&lt;=IF('Исходные данные'!$B$69="",'Исходные данные'!$B$10,'Исходные данные'!$B$69),C135&gt;=IF('Исходные данные'!$B$69="",'Исходные данные'!$B$10,'Исходные данные'!$B$69)),(C135-IF('Исходные данные'!$B$69="",'Исходные данные'!$B$10,'Исходные данные'!$B$69)+1)/DAY(C135),1))</f>
        <v>0</v>
      </c>
      <c r="X135">
        <f>IF(OR(B135="",IF('Исходные данные'!$B$76="",'Исходные данные'!$B$10,'Исходные данные'!$B$76)="",C135&lt;IF('Исходные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данные'!$B$76)),1),B135,"m")/12))*IF(AND(B135&lt;=IF('Исходные данные'!$B$76="",'Исходные данные'!$B$10,'Исходные данные'!$B$76),C135&gt;=IF('Исходные данные'!$B$76="",'Исходные данные'!$B$10,'Исходные данные'!$B$76)),(C135-IF('Исходные данные'!$B$76="",'Исходные данные'!$B$10,'Исходные данные'!$B$76)+1)/DAY(C135),1))</f>
        <v>0</v>
      </c>
      <c r="Y135">
        <f t="shared" si="86"/>
        <v>0</v>
      </c>
      <c r="Z135">
        <f>IF(OR(B135="",N('Исходные данные'!$B$19)=0),0,-SUMIFS('Исходные данные'!$I$6:$I$186,'Исходные данные'!$F$6:$F$186,B135)*N('Исходные данные'!$B$17)/N('Исходные данные'!$B$19))</f>
        <v>0</v>
      </c>
      <c r="AA135">
        <f>IF(OR(B135="",N('Исходные данные'!$B$19)=0),0,-SUMIFS('Исходные данные'!$I$6:$I$186,'Исходные данные'!$F$6:$F$186,B135)*N('Исходные данные'!$B$18)/N('Исходные данные'!$B$19))</f>
        <v>0</v>
      </c>
      <c r="AB135">
        <f>IF(OR(B135="",'Исходные данные'!$B$13=""),0,IF(AND(YEAR(B135)=YEAR('Исходные данные'!$B$13),MONTH(B135)=MONTH('Исходные данные'!$B$13)),-N('Исходные данные'!$B$11),0))</f>
        <v>0</v>
      </c>
      <c r="AC135">
        <f>IF(A135=1,-N('Исходные данные'!$B$19)*N('Исходные данные'!$B$72),0)</f>
        <v>0</v>
      </c>
      <c r="AD135">
        <f>IF(OR(B135="",'Исходные данные'!$B$22&lt;&gt;"Да",'Исходные данные'!$B$26=""),0,IF(AND(YEAR(B135)=YEAR('Исходные данные'!$B$26),MONTH(B135)=MONTH('Исходные данные'!$B$26)),N('Исходные данные'!$B$23),0))</f>
        <v>0</v>
      </c>
      <c r="AE135">
        <f t="shared" si="99"/>
        <v>0</v>
      </c>
      <c r="AF135">
        <f>IF(OR('Исходные данные'!$B$22&lt;&gt;"Да",'Исходные данные'!$B$26="",C135&lt;'Исходные данные'!$B$26),0,DATEDIF(DATE(YEAR('Исходные данные'!$B$26),MONTH('Исходные данные'!$B$26),1),B135,"m")+1)</f>
        <v>0</v>
      </c>
      <c r="AG135">
        <f>IF(OR(AF135&lt;1,AF135&gt;N('Исходные данные'!$B$25),AE135+AD135&lt;=0),0,-(AE135+AD135)*N('Исходные данные'!$B$24)*IF(AF135=1,C135-'Исходные данные'!$B$26+1,DAY(C135))/365)</f>
        <v>0</v>
      </c>
      <c r="AH135">
        <f>IF(OR(AF135&lt;1,AF135&gt;N('Исходные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данные'!$B$25)-AG135))</f>
        <v>0</v>
      </c>
      <c r="AI135">
        <f>IF(OR('Исходные данные'!$B$22&lt;&gt;"Да",AE135+AD135&lt;=0),0,IF(AND('Исходные данные'!$B$91&lt;&gt;"",B135&lt;&gt;"",YEAR(B135)=YEAR('Исходные данные'!$B$91),MONTH(B135)=MONTH('Исходные данные'!$B$91)),-(AE135+AD135),IF(OR(AF135&lt;1,AF135&gt;N('Исходные данные'!$B$25)),0,IF('Исходные данные'!$B$27="Равными долями",-MIN(AE135+AD135,N('Исходные данные'!$B$23)/N('Исходные данные'!$B$25)),-MIN(AE135+AD135,IF(AF135=N('Исходные данные'!$B$25),AE135+AD135,MAX(0,AH135+AG135)))))))</f>
        <v>0</v>
      </c>
      <c r="AJ135">
        <f t="shared" si="87"/>
        <v>0</v>
      </c>
      <c r="AK135">
        <f t="shared" si="88"/>
        <v>0</v>
      </c>
      <c r="AL135">
        <f>IF(OR(B135="",'Исходные данные'!$B$51&lt;&gt;"Да",'Исходные данные'!$B$61=""),0,IF(AND(YEAR(B135)=YEAR('Исходные данные'!$B$61),MONTH(B135)=MONTH('Исходные данные'!$B$61)),N('Исходные данные'!$B$18)*N('Исходные данные'!$B$62),0))</f>
        <v>0</v>
      </c>
      <c r="AM135">
        <f t="shared" si="100"/>
        <v>0</v>
      </c>
      <c r="AN135">
        <f t="shared" si="89"/>
        <v>0</v>
      </c>
      <c r="AO135">
        <f t="shared" si="90"/>
        <v>0</v>
      </c>
      <c r="AP135">
        <f>IF('Исходные данные'!$B$51="Да",-MAX(0,AN135-AO135-AM135),0)</f>
        <v>0</v>
      </c>
      <c r="AQ135">
        <f>IF('Исходные данные'!$B$51="Да",MAX(0,AM135+AO135-AN135),0)</f>
        <v>0</v>
      </c>
      <c r="AR135">
        <f>IF('Исходные данные'!$B$53="Выручка",MAX(0,L135+(Q135-R135)+(U135-V135)),IF('Исходные данные'!$B$53="Прибыль до налога",MAX(0,L135+(Q135-R135)+(U135-V135)+N('Исходные данные'!$B$54)*((O135+P135)+(S135+T135)+W135+X135)+IF('Исходные данные'!$B$55="Да",AG135,0)-N('Исходные данные'!$B$56)/12),IF('Исходные данные'!$B$53="Пользовательская база",MAX(0,N('Исходные данные'!$B$57)/12),0)))</f>
        <v>0</v>
      </c>
      <c r="AS135">
        <f>IF(E135=1,-AR135*N('Исходные данные'!$B$50),0)</f>
        <v>0</v>
      </c>
      <c r="AT135">
        <f t="shared" si="91"/>
        <v>0</v>
      </c>
      <c r="AU135">
        <f>IF(OR(B135="",N('Исходные данные'!$B$80)&lt;=0,'Исходные данные'!$B$88=""),0,MAX(0,IF('Исходные данные'!$B$88="Последние 12 месяцев",SUMIFS($Y$2:$Y$194,$B$2:$B$194,"&gt;="&amp;EDATE(B135,-11),$B$2:$B$194,"&lt;="&amp;B135),IF('Исходные данные'!$B$88="Пользовательский NOI",N('Исходные данные'!$B$89),AT135))/N('Исходные данные'!$B$80)*(1+N('Исходные данные'!$B$81))))</f>
        <v>0</v>
      </c>
      <c r="AV135">
        <f>IF(OR(E135&lt;&gt;1,B135="",'Исходные данные'!$B$91=""),0,IF(AND(YEAR(B135)=YEAR('Исходные данные'!$B$91),MONTH(B135)=MONTH('Исходные данные'!$B$91)),AU135,0))</f>
        <v>0</v>
      </c>
      <c r="AW135">
        <f>-AV135*N('Исходные данные'!$B$73)</f>
        <v>0</v>
      </c>
      <c r="AX135">
        <f>IF(AV135=0,0,-N('Исходные данные'!$B$87)-IF('Исходные данные'!$B$82="Да",IF('Исходные данные'!$B$84="С выручки",AV135,IF('Исходные данные'!$B$84="С прибыли",MAX(0,AV135+AW135-IF('Исходные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35">
        <f t="shared" si="92"/>
        <v>0</v>
      </c>
      <c r="AZ135">
        <f t="shared" si="93"/>
        <v>0</v>
      </c>
      <c r="BA135">
        <f t="shared" si="94"/>
        <v>0</v>
      </c>
      <c r="BB135" t="str">
        <f t="shared" si="101"/>
        <v/>
      </c>
      <c r="BC135">
        <f>IF(OR(E135=0,'Исходные данные'!$B$9="",'Исходные данные'!$B$90=""),0,BA135/(1+'Исходные данные'!$B$90)^((D135-'Исходные данные'!$B$9)/365))</f>
        <v>0</v>
      </c>
      <c r="BD135">
        <f>IF(AND(E135=1,BB135&gt;=0,BB134&lt;0,MIN($BB$2:BB135)&lt;0),1,0)</f>
        <v>0</v>
      </c>
      <c r="BE135">
        <f t="shared" si="95"/>
        <v>0</v>
      </c>
      <c r="BF135">
        <f t="shared" si="96"/>
        <v>0</v>
      </c>
      <c r="BG135">
        <f t="shared" si="97"/>
        <v>0</v>
      </c>
      <c r="BH135">
        <f t="shared" si="98"/>
        <v>1</v>
      </c>
      <c r="BI135">
        <f>AZ135+N135+AP135-AR135*N('Исходные данные'!$B$50)</f>
        <v>0</v>
      </c>
      <c r="BJ135">
        <f t="shared" si="102"/>
        <v>0</v>
      </c>
      <c r="BK135">
        <f>IF(AND(BJ135&gt;=0,BJ134&lt;0,MIN($BJ$2:BJ135)&lt;0),1,0)</f>
        <v>0</v>
      </c>
    </row>
    <row r="136" spans="1:63" x14ac:dyDescent="0.2">
      <c r="A136">
        <v>135</v>
      </c>
      <c r="B136" t="str">
        <f>IF('Исходные данные'!$B$9="","",EDATE(DATE(YEAR('Исходные данные'!$B$9),MONTH('Исходные данные'!$B$9),1),A136-1))</f>
        <v/>
      </c>
      <c r="C136" t="str">
        <f t="shared" si="82"/>
        <v/>
      </c>
      <c r="D136" t="str">
        <f>IF(B136="","",IF('Исходные данные'!$B$91&lt;&gt;"",IF(AND(YEAR(B136)=YEAR('Исходные данные'!$B$91),MONTH(B136)=MONTH('Исходные данные'!$B$91)),'Исходные данные'!$B$91,IF('Исходные данные'!$B$13&lt;&gt;"",IF(AND(YEAR(B136)=YEAR('Исходные данные'!$B$13),MONTH(B136)=MONTH('Исходные данные'!$B$13)),'Исходные данные'!$B$13,IF('Исходные данные'!$B$26&lt;&gt;"",IF(AND(YEAR(B136)=YEAR('Исходные данные'!$B$26),MONTH(B136)=MONTH('Исходные данные'!$B$26)),'Исходные данные'!$B$26,IF(A136=1,'Исходные данные'!$B$9,C136)),IF(A136=1,'Исходные данные'!$B$9,C136))),IF('Исходные данные'!$B$26&lt;&gt;"",IF(AND(YEAR(B136)=YEAR('Исходные данные'!$B$26),MONTH(B136)=MONTH('Исходные данные'!$B$26)),'Исходные данные'!$B$26,IF(A136=1,'Исходные данные'!$B$9,C136)),IF(A136=1,'Исходные данные'!$B$9,C136)))),IF('Исходные данные'!$B$13&lt;&gt;"",IF(AND(YEAR(B136)=YEAR('Исходные данные'!$B$13),MONTH(B136)=MONTH('Исходные данные'!$B$13)),'Исходные данные'!$B$13,IF('Исходные данные'!$B$26&lt;&gt;"",IF(AND(YEAR(B136)=YEAR('Исходные данные'!$B$26),MONTH(B136)=MONTH('Исходные данные'!$B$26)),'Исходные данные'!$B$26,IF(A136=1,'Исходные данные'!$B$9,C136)),IF(A136=1,'Исходные данные'!$B$9,C136))),IF('Исходные данные'!$B$26&lt;&gt;"",IF(AND(YEAR(B136)=YEAR('Исходные данные'!$B$26),MONTH(B136)=MONTH('Исходные данные'!$B$26)),'Исходные данные'!$B$26,IF(A136=1,'Исходные данные'!$B$9,C136)),IF(A136=1,'Исходные данные'!$B$9,C136)))))</f>
        <v/>
      </c>
      <c r="E136">
        <f>IF(OR(B136="",'Исходные данные'!$B$91=""),0,--(B136&lt;=DATE(YEAR('Исходные данные'!$B$91),MONTH('Исходные данные'!$B$91),1)))</f>
        <v>0</v>
      </c>
      <c r="F136">
        <f>IF(OR(B136="",'Исходные данные'!$B$30="",C136&lt;'Исходные данные'!$B$30),0,DATEDIF(DATE(YEAR('Исходные данные'!$B$30),MONTH('Исходные данные'!$B$30),1),B136,"m")+1)</f>
        <v>0</v>
      </c>
      <c r="G136">
        <f t="shared" si="83"/>
        <v>0</v>
      </c>
      <c r="H136">
        <f>IF(F136=0,0,IF(G136=1,N('Исходные данные'!$B$31),IF(G136=2,N('Исходные данные'!$B$32),IF(G136=3,N('Исходные данные'!$B$33),N('Исходные данные'!$B$33)*(1+N('Исходные данные'!$B$34))^(G136-3)))))</f>
        <v>0</v>
      </c>
      <c r="I136">
        <f>IF(OR(F136=0,N('Исходные данные'!$B$5)=0,H136=0),0,'Исходные данные'!$B$5*H136*IF(AND(B136&lt;='Исходные данные'!$B$30,C136&gt;='Исходные данные'!$B$30),(C136-'Исходные данные'!$B$30+1)/DAY(C136),1))</f>
        <v>0</v>
      </c>
      <c r="J136">
        <f>IF(AND(F136&gt;0,F136&lt;=N('Исходные данные'!$B$37)),-I136,0)</f>
        <v>0</v>
      </c>
      <c r="K136">
        <f>IF(OR(F136=0,F136&lt;=N('Исходные данные'!$B$37)),0,-(I136+J136)*N('Исходные данные'!$B$38))</f>
        <v>0</v>
      </c>
      <c r="L136">
        <f t="shared" si="84"/>
        <v>0</v>
      </c>
      <c r="M136">
        <f>IF('Исходные данные'!$B$51="Да",L136*N('Исходные данные'!$B$52),0)</f>
        <v>0</v>
      </c>
      <c r="N136">
        <f t="shared" si="85"/>
        <v>0</v>
      </c>
      <c r="O136">
        <f>IF(OR(B136="",IF('Исходные данные'!$B$45="",'Исходные данные'!$B$10,'Исходные данные'!$B$45)="",C136&lt;IF('Исходные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данные'!$B$45)),1),B136,"m")/12))*IF(AND(B136&lt;=IF('Исходные данные'!$B$45="",'Исходные данные'!$B$10,'Исходные данные'!$B$45),C136&gt;=IF('Исходные данные'!$B$45="",'Исходные данные'!$B$10,'Исходные данные'!$B$45)),(C136-IF('Исходные данные'!$B$45="",'Исходные данные'!$B$10,'Исходные данные'!$B$45)+1)/DAY(C136),1)*IF('Исходные данные'!$B$43="Без НДС",1+N('Исходные данные'!$B$44),1))</f>
        <v>0</v>
      </c>
      <c r="P136">
        <f>IF('Исходные данные'!$B$51="Да",-O136*N('Исходные данные'!$B$44)/(1+N('Исходные данные'!$B$44)),0)</f>
        <v>0</v>
      </c>
      <c r="Q136">
        <f>IF('Исходные данные'!$B$35="Да",-O136,0)</f>
        <v>0</v>
      </c>
      <c r="R136">
        <f>IF(AND('Исходные данные'!$B$51="Да",Q136&gt;0),Q136*N('Исходные данные'!$B$52)/(1+N('Исходные данные'!$B$52)),0)</f>
        <v>0</v>
      </c>
      <c r="S136">
        <f>IF(OR(B136="",IF('Исходные данные'!$B$45="",'Исходные данные'!$B$10,'Исходные данные'!$B$45)="",C136&lt;IF('Исходные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данные'!$B$45)),1),B136,"m")/12))*IF(AND(B136&lt;=IF('Исходные данные'!$B$45="",'Исходные данные'!$B$10,'Исходные данные'!$B$45),C136&gt;=IF('Исходные данные'!$B$45="",'Исходные данные'!$B$10,'Исходные данные'!$B$45)),(C136-IF('Исходные данные'!$B$45="",'Исходные данные'!$B$10,'Исходные данные'!$B$45)+1)/DAY(C136),1)*IF('Исходные данные'!$B$43="Без НДС",1+N('Исходные данные'!$B$44),1))</f>
        <v>0</v>
      </c>
      <c r="T136">
        <f>IF('Исходные данные'!$B$51="Да",-S136*N('Исходные данные'!$B$44)/(1+N('Исходные данные'!$B$44)),0)</f>
        <v>0</v>
      </c>
      <c r="U136">
        <f>IF('Исходные данные'!$B$36="Да",-S136,0)</f>
        <v>0</v>
      </c>
      <c r="V136">
        <f>IF(AND('Исходные данные'!$B$51="Да",U136&gt;0),U136*N('Исходные данные'!$B$52)/(1+N('Исходные данные'!$B$52)),0)</f>
        <v>0</v>
      </c>
      <c r="W136">
        <f>IF(OR(B136="",IF('Исходные данные'!$B$69="",'Исходные данные'!$B$10,'Исходные данные'!$B$69)="",C136&lt;IF('Исходные данные'!$B$69="",'Исходные данные'!$B$10,'Исходные данные'!$B$69)),0,-N('Исходные данные'!$B$16)*N('Исходные данные'!$B$68)*N('Исходные данные'!$B$67)/12*IF(AND(B136&lt;=IF('Исходные данные'!$B$69="",'Исходные данные'!$B$10,'Исходные данные'!$B$69),C136&gt;=IF('Исходные данные'!$B$69="",'Исходные данные'!$B$10,'Исходные данные'!$B$69)),(C136-IF('Исходные данные'!$B$69="",'Исходные данные'!$B$10,'Исходные данные'!$B$69)+1)/DAY(C136),1))</f>
        <v>0</v>
      </c>
      <c r="X136">
        <f>IF(OR(B136="",IF('Исходные данные'!$B$76="",'Исходные данные'!$B$10,'Исходные данные'!$B$76)="",C136&lt;IF('Исходные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данные'!$B$76)),1),B136,"m")/12))*IF(AND(B136&lt;=IF('Исходные данные'!$B$76="",'Исходные данные'!$B$10,'Исходные данные'!$B$76),C136&gt;=IF('Исходные данные'!$B$76="",'Исходные данные'!$B$10,'Исходные данные'!$B$76)),(C136-IF('Исходные данные'!$B$76="",'Исходные данные'!$B$10,'Исходные данные'!$B$76)+1)/DAY(C136),1))</f>
        <v>0</v>
      </c>
      <c r="Y136">
        <f t="shared" si="86"/>
        <v>0</v>
      </c>
      <c r="Z136">
        <f>IF(OR(B136="",N('Исходные данные'!$B$19)=0),0,-SUMIFS('Исходные данные'!$I$6:$I$186,'Исходные данные'!$F$6:$F$186,B136)*N('Исходные данные'!$B$17)/N('Исходные данные'!$B$19))</f>
        <v>0</v>
      </c>
      <c r="AA136">
        <f>IF(OR(B136="",N('Исходные данные'!$B$19)=0),0,-SUMIFS('Исходные данные'!$I$6:$I$186,'Исходные данные'!$F$6:$F$186,B136)*N('Исходные данные'!$B$18)/N('Исходные данные'!$B$19))</f>
        <v>0</v>
      </c>
      <c r="AB136">
        <f>IF(OR(B136="",'Исходные данные'!$B$13=""),0,IF(AND(YEAR(B136)=YEAR('Исходные данные'!$B$13),MONTH(B136)=MONTH('Исходные данные'!$B$13)),-N('Исходные данные'!$B$11),0))</f>
        <v>0</v>
      </c>
      <c r="AC136">
        <f>IF(A136=1,-N('Исходные данные'!$B$19)*N('Исходные данные'!$B$72),0)</f>
        <v>0</v>
      </c>
      <c r="AD136">
        <f>IF(OR(B136="",'Исходные данные'!$B$22&lt;&gt;"Да",'Исходные данные'!$B$26=""),0,IF(AND(YEAR(B136)=YEAR('Исходные данные'!$B$26),MONTH(B136)=MONTH('Исходные данные'!$B$26)),N('Исходные данные'!$B$23),0))</f>
        <v>0</v>
      </c>
      <c r="AE136">
        <f t="shared" si="99"/>
        <v>0</v>
      </c>
      <c r="AF136">
        <f>IF(OR('Исходные данные'!$B$22&lt;&gt;"Да",'Исходные данные'!$B$26="",C136&lt;'Исходные данные'!$B$26),0,DATEDIF(DATE(YEAR('Исходные данные'!$B$26),MONTH('Исходные данные'!$B$26),1),B136,"m")+1)</f>
        <v>0</v>
      </c>
      <c r="AG136">
        <f>IF(OR(AF136&lt;1,AF136&gt;N('Исходные данные'!$B$25),AE136+AD136&lt;=0),0,-(AE136+AD136)*N('Исходные данные'!$B$24)*IF(AF136=1,C136-'Исходные данные'!$B$26+1,DAY(C136))/365)</f>
        <v>0</v>
      </c>
      <c r="AH136">
        <f>IF(OR(AF136&lt;1,AF136&gt;N('Исходные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данные'!$B$25)-AG136))</f>
        <v>0</v>
      </c>
      <c r="AI136">
        <f>IF(OR('Исходные данные'!$B$22&lt;&gt;"Да",AE136+AD136&lt;=0),0,IF(AND('Исходные данные'!$B$91&lt;&gt;"",B136&lt;&gt;"",YEAR(B136)=YEAR('Исходные данные'!$B$91),MONTH(B136)=MONTH('Исходные данные'!$B$91)),-(AE136+AD136),IF(OR(AF136&lt;1,AF136&gt;N('Исходные данные'!$B$25)),0,IF('Исходные данные'!$B$27="Равными долями",-MIN(AE136+AD136,N('Исходные данные'!$B$23)/N('Исходные данные'!$B$25)),-MIN(AE136+AD136,IF(AF136=N('Исходные данные'!$B$25),AE136+AD136,MAX(0,AH136+AG136)))))))</f>
        <v>0</v>
      </c>
      <c r="AJ136">
        <f t="shared" si="87"/>
        <v>0</v>
      </c>
      <c r="AK136">
        <f t="shared" si="88"/>
        <v>0</v>
      </c>
      <c r="AL136">
        <f>IF(OR(B136="",'Исходные данные'!$B$51&lt;&gt;"Да",'Исходные данные'!$B$61=""),0,IF(AND(YEAR(B136)=YEAR('Исходные данные'!$B$61),MONTH(B136)=MONTH('Исходные данные'!$B$61)),N('Исходные данные'!$B$18)*N('Исходные данные'!$B$62),0))</f>
        <v>0</v>
      </c>
      <c r="AM136">
        <f t="shared" si="100"/>
        <v>0</v>
      </c>
      <c r="AN136">
        <f t="shared" si="89"/>
        <v>0</v>
      </c>
      <c r="AO136">
        <f t="shared" si="90"/>
        <v>0</v>
      </c>
      <c r="AP136">
        <f>IF('Исходные данные'!$B$51="Да",-MAX(0,AN136-AO136-AM136),0)</f>
        <v>0</v>
      </c>
      <c r="AQ136">
        <f>IF('Исходные данные'!$B$51="Да",MAX(0,AM136+AO136-AN136),0)</f>
        <v>0</v>
      </c>
      <c r="AR136">
        <f>IF('Исходные данные'!$B$53="Выручка",MAX(0,L136+(Q136-R136)+(U136-V136)),IF('Исходные данные'!$B$53="Прибыль до налога",MAX(0,L136+(Q136-R136)+(U136-V136)+N('Исходные данные'!$B$54)*((O136+P136)+(S136+T136)+W136+X136)+IF('Исходные данные'!$B$55="Да",AG136,0)-N('Исходные данные'!$B$56)/12),IF('Исходные данные'!$B$53="Пользовательская база",MAX(0,N('Исходные данные'!$B$57)/12),0)))</f>
        <v>0</v>
      </c>
      <c r="AS136">
        <f>IF(E136=1,-AR136*N('Исходные данные'!$B$50),0)</f>
        <v>0</v>
      </c>
      <c r="AT136">
        <f t="shared" si="91"/>
        <v>0</v>
      </c>
      <c r="AU136">
        <f>IF(OR(B136="",N('Исходные данные'!$B$80)&lt;=0,'Исходные данные'!$B$88=""),0,MAX(0,IF('Исходные данные'!$B$88="Последние 12 месяцев",SUMIFS($Y$2:$Y$194,$B$2:$B$194,"&gt;="&amp;EDATE(B136,-11),$B$2:$B$194,"&lt;="&amp;B136),IF('Исходные данные'!$B$88="Пользовательский NOI",N('Исходные данные'!$B$89),AT136))/N('Исходные данные'!$B$80)*(1+N('Исходные данные'!$B$81))))</f>
        <v>0</v>
      </c>
      <c r="AV136">
        <f>IF(OR(E136&lt;&gt;1,B136="",'Исходные данные'!$B$91=""),0,IF(AND(YEAR(B136)=YEAR('Исходные данные'!$B$91),MONTH(B136)=MONTH('Исходные данные'!$B$91)),AU136,0))</f>
        <v>0</v>
      </c>
      <c r="AW136">
        <f>-AV136*N('Исходные данные'!$B$73)</f>
        <v>0</v>
      </c>
      <c r="AX136">
        <f>IF(AV136=0,0,-N('Исходные данные'!$B$87)-IF('Исходные данные'!$B$82="Да",IF('Исходные данные'!$B$84="С выручки",AV136,IF('Исходные данные'!$B$84="С прибыли",MAX(0,AV136+AW136-IF('Исходные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36">
        <f t="shared" si="92"/>
        <v>0</v>
      </c>
      <c r="AZ136">
        <f t="shared" si="93"/>
        <v>0</v>
      </c>
      <c r="BA136">
        <f t="shared" si="94"/>
        <v>0</v>
      </c>
      <c r="BB136" t="str">
        <f t="shared" si="101"/>
        <v/>
      </c>
      <c r="BC136">
        <f>IF(OR(E136=0,'Исходные данные'!$B$9="",'Исходные данные'!$B$90=""),0,BA136/(1+'Исходные данные'!$B$90)^((D136-'Исходные данные'!$B$9)/365))</f>
        <v>0</v>
      </c>
      <c r="BD136">
        <f>IF(AND(E136=1,BB136&gt;=0,BB135&lt;0,MIN($BB$2:BB136)&lt;0),1,0)</f>
        <v>0</v>
      </c>
      <c r="BE136">
        <f t="shared" si="95"/>
        <v>0</v>
      </c>
      <c r="BF136">
        <f t="shared" si="96"/>
        <v>0</v>
      </c>
      <c r="BG136">
        <f t="shared" si="97"/>
        <v>0</v>
      </c>
      <c r="BH136">
        <f t="shared" si="98"/>
        <v>1</v>
      </c>
      <c r="BI136">
        <f>AZ136+N136+AP136-AR136*N('Исходные данные'!$B$50)</f>
        <v>0</v>
      </c>
      <c r="BJ136">
        <f t="shared" si="102"/>
        <v>0</v>
      </c>
      <c r="BK136">
        <f>IF(AND(BJ136&gt;=0,BJ135&lt;0,MIN($BJ$2:BJ136)&lt;0),1,0)</f>
        <v>0</v>
      </c>
    </row>
    <row r="137" spans="1:63" x14ac:dyDescent="0.2">
      <c r="A137">
        <v>136</v>
      </c>
      <c r="B137" t="str">
        <f>IF('Исходные данные'!$B$9="","",EDATE(DATE(YEAR('Исходные данные'!$B$9),MONTH('Исходные данные'!$B$9),1),A137-1))</f>
        <v/>
      </c>
      <c r="C137" t="str">
        <f t="shared" si="82"/>
        <v/>
      </c>
      <c r="D137" t="str">
        <f>IF(B137="","",IF('Исходные данные'!$B$91&lt;&gt;"",IF(AND(YEAR(B137)=YEAR('Исходные данные'!$B$91),MONTH(B137)=MONTH('Исходные данные'!$B$91)),'Исходные данные'!$B$91,IF('Исходные данные'!$B$13&lt;&gt;"",IF(AND(YEAR(B137)=YEAR('Исходные данные'!$B$13),MONTH(B137)=MONTH('Исходные данные'!$B$13)),'Исходные данные'!$B$13,IF('Исходные данные'!$B$26&lt;&gt;"",IF(AND(YEAR(B137)=YEAR('Исходные данные'!$B$26),MONTH(B137)=MONTH('Исходные данные'!$B$26)),'Исходные данные'!$B$26,IF(A137=1,'Исходные данные'!$B$9,C137)),IF(A137=1,'Исходные данные'!$B$9,C137))),IF('Исходные данные'!$B$26&lt;&gt;"",IF(AND(YEAR(B137)=YEAR('Исходные данные'!$B$26),MONTH(B137)=MONTH('Исходные данные'!$B$26)),'Исходные данные'!$B$26,IF(A137=1,'Исходные данные'!$B$9,C137)),IF(A137=1,'Исходные данные'!$B$9,C137)))),IF('Исходные данные'!$B$13&lt;&gt;"",IF(AND(YEAR(B137)=YEAR('Исходные данные'!$B$13),MONTH(B137)=MONTH('Исходные данные'!$B$13)),'Исходные данные'!$B$13,IF('Исходные данные'!$B$26&lt;&gt;"",IF(AND(YEAR(B137)=YEAR('Исходные данные'!$B$26),MONTH(B137)=MONTH('Исходные данные'!$B$26)),'Исходные данные'!$B$26,IF(A137=1,'Исходные данные'!$B$9,C137)),IF(A137=1,'Исходные данные'!$B$9,C137))),IF('Исходные данные'!$B$26&lt;&gt;"",IF(AND(YEAR(B137)=YEAR('Исходные данные'!$B$26),MONTH(B137)=MONTH('Исходные данные'!$B$26)),'Исходные данные'!$B$26,IF(A137=1,'Исходные данные'!$B$9,C137)),IF(A137=1,'Исходные данные'!$B$9,C137)))))</f>
        <v/>
      </c>
      <c r="E137">
        <f>IF(OR(B137="",'Исходные данные'!$B$91=""),0,--(B137&lt;=DATE(YEAR('Исходные данные'!$B$91),MONTH('Исходные данные'!$B$91),1)))</f>
        <v>0</v>
      </c>
      <c r="F137">
        <f>IF(OR(B137="",'Исходные данные'!$B$30="",C137&lt;'Исходные данные'!$B$30),0,DATEDIF(DATE(YEAR('Исходные данные'!$B$30),MONTH('Исходные данные'!$B$30),1),B137,"m")+1)</f>
        <v>0</v>
      </c>
      <c r="G137">
        <f t="shared" si="83"/>
        <v>0</v>
      </c>
      <c r="H137">
        <f>IF(F137=0,0,IF(G137=1,N('Исходные данные'!$B$31),IF(G137=2,N('Исходные данные'!$B$32),IF(G137=3,N('Исходные данные'!$B$33),N('Исходные данные'!$B$33)*(1+N('Исходные данные'!$B$34))^(G137-3)))))</f>
        <v>0</v>
      </c>
      <c r="I137">
        <f>IF(OR(F137=0,N('Исходные данные'!$B$5)=0,H137=0),0,'Исходные данные'!$B$5*H137*IF(AND(B137&lt;='Исходные данные'!$B$30,C137&gt;='Исходные данные'!$B$30),(C137-'Исходные данные'!$B$30+1)/DAY(C137),1))</f>
        <v>0</v>
      </c>
      <c r="J137">
        <f>IF(AND(F137&gt;0,F137&lt;=N('Исходные данные'!$B$37)),-I137,0)</f>
        <v>0</v>
      </c>
      <c r="K137">
        <f>IF(OR(F137=0,F137&lt;=N('Исходные данные'!$B$37)),0,-(I137+J137)*N('Исходные данные'!$B$38))</f>
        <v>0</v>
      </c>
      <c r="L137">
        <f t="shared" si="84"/>
        <v>0</v>
      </c>
      <c r="M137">
        <f>IF('Исходные данные'!$B$51="Да",L137*N('Исходные данные'!$B$52),0)</f>
        <v>0</v>
      </c>
      <c r="N137">
        <f t="shared" si="85"/>
        <v>0</v>
      </c>
      <c r="O137">
        <f>IF(OR(B137="",IF('Исходные данные'!$B$45="",'Исходные данные'!$B$10,'Исходные данные'!$B$45)="",C137&lt;IF('Исходные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данные'!$B$45)),1),B137,"m")/12))*IF(AND(B137&lt;=IF('Исходные данные'!$B$45="",'Исходные данные'!$B$10,'Исходные данные'!$B$45),C137&gt;=IF('Исходные данные'!$B$45="",'Исходные данные'!$B$10,'Исходные данные'!$B$45)),(C137-IF('Исходные данные'!$B$45="",'Исходные данные'!$B$10,'Исходные данные'!$B$45)+1)/DAY(C137),1)*IF('Исходные данные'!$B$43="Без НДС",1+N('Исходные данные'!$B$44),1))</f>
        <v>0</v>
      </c>
      <c r="P137">
        <f>IF('Исходные данные'!$B$51="Да",-O137*N('Исходные данные'!$B$44)/(1+N('Исходные данные'!$B$44)),0)</f>
        <v>0</v>
      </c>
      <c r="Q137">
        <f>IF('Исходные данные'!$B$35="Да",-O137,0)</f>
        <v>0</v>
      </c>
      <c r="R137">
        <f>IF(AND('Исходные данные'!$B$51="Да",Q137&gt;0),Q137*N('Исходные данные'!$B$52)/(1+N('Исходные данные'!$B$52)),0)</f>
        <v>0</v>
      </c>
      <c r="S137">
        <f>IF(OR(B137="",IF('Исходные данные'!$B$45="",'Исходные данные'!$B$10,'Исходные данные'!$B$45)="",C137&lt;IF('Исходные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данные'!$B$45)),1),B137,"m")/12))*IF(AND(B137&lt;=IF('Исходные данные'!$B$45="",'Исходные данные'!$B$10,'Исходные данные'!$B$45),C137&gt;=IF('Исходные данные'!$B$45="",'Исходные данные'!$B$10,'Исходные данные'!$B$45)),(C137-IF('Исходные данные'!$B$45="",'Исходные данные'!$B$10,'Исходные данные'!$B$45)+1)/DAY(C137),1)*IF('Исходные данные'!$B$43="Без НДС",1+N('Исходные данные'!$B$44),1))</f>
        <v>0</v>
      </c>
      <c r="T137">
        <f>IF('Исходные данные'!$B$51="Да",-S137*N('Исходные данные'!$B$44)/(1+N('Исходные данные'!$B$44)),0)</f>
        <v>0</v>
      </c>
      <c r="U137">
        <f>IF('Исходные данные'!$B$36="Да",-S137,0)</f>
        <v>0</v>
      </c>
      <c r="V137">
        <f>IF(AND('Исходные данные'!$B$51="Да",U137&gt;0),U137*N('Исходные данные'!$B$52)/(1+N('Исходные данные'!$B$52)),0)</f>
        <v>0</v>
      </c>
      <c r="W137">
        <f>IF(OR(B137="",IF('Исходные данные'!$B$69="",'Исходные данные'!$B$10,'Исходные данные'!$B$69)="",C137&lt;IF('Исходные данные'!$B$69="",'Исходные данные'!$B$10,'Исходные данные'!$B$69)),0,-N('Исходные данные'!$B$16)*N('Исходные данные'!$B$68)*N('Исходные данные'!$B$67)/12*IF(AND(B137&lt;=IF('Исходные данные'!$B$69="",'Исходные данные'!$B$10,'Исходные данные'!$B$69),C137&gt;=IF('Исходные данные'!$B$69="",'Исходные данные'!$B$10,'Исходные данные'!$B$69)),(C137-IF('Исходные данные'!$B$69="",'Исходные данные'!$B$10,'Исходные данные'!$B$69)+1)/DAY(C137),1))</f>
        <v>0</v>
      </c>
      <c r="X137">
        <f>IF(OR(B137="",IF('Исходные данные'!$B$76="",'Исходные данные'!$B$10,'Исходные данные'!$B$76)="",C137&lt;IF('Исходные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данные'!$B$76)),1),B137,"m")/12))*IF(AND(B137&lt;=IF('Исходные данные'!$B$76="",'Исходные данные'!$B$10,'Исходные данные'!$B$76),C137&gt;=IF('Исходные данные'!$B$76="",'Исходные данные'!$B$10,'Исходные данные'!$B$76)),(C137-IF('Исходные данные'!$B$76="",'Исходные данные'!$B$10,'Исходные данные'!$B$76)+1)/DAY(C137),1))</f>
        <v>0</v>
      </c>
      <c r="Y137">
        <f t="shared" si="86"/>
        <v>0</v>
      </c>
      <c r="Z137">
        <f>IF(OR(B137="",N('Исходные данные'!$B$19)=0),0,-SUMIFS('Исходные данные'!$I$6:$I$186,'Исходные данные'!$F$6:$F$186,B137)*N('Исходные данные'!$B$17)/N('Исходные данные'!$B$19))</f>
        <v>0</v>
      </c>
      <c r="AA137">
        <f>IF(OR(B137="",N('Исходные данные'!$B$19)=0),0,-SUMIFS('Исходные данные'!$I$6:$I$186,'Исходные данные'!$F$6:$F$186,B137)*N('Исходные данные'!$B$18)/N('Исходные данные'!$B$19))</f>
        <v>0</v>
      </c>
      <c r="AB137">
        <f>IF(OR(B137="",'Исходные данные'!$B$13=""),0,IF(AND(YEAR(B137)=YEAR('Исходные данные'!$B$13),MONTH(B137)=MONTH('Исходные данные'!$B$13)),-N('Исходные данные'!$B$11),0))</f>
        <v>0</v>
      </c>
      <c r="AC137">
        <f>IF(A137=1,-N('Исходные данные'!$B$19)*N('Исходные данные'!$B$72),0)</f>
        <v>0</v>
      </c>
      <c r="AD137">
        <f>IF(OR(B137="",'Исходные данные'!$B$22&lt;&gt;"Да",'Исходные данные'!$B$26=""),0,IF(AND(YEAR(B137)=YEAR('Исходные данные'!$B$26),MONTH(B137)=MONTH('Исходные данные'!$B$26)),N('Исходные данные'!$B$23),0))</f>
        <v>0</v>
      </c>
      <c r="AE137">
        <f t="shared" si="99"/>
        <v>0</v>
      </c>
      <c r="AF137">
        <f>IF(OR('Исходные данные'!$B$22&lt;&gt;"Да",'Исходные данные'!$B$26="",C137&lt;'Исходные данные'!$B$26),0,DATEDIF(DATE(YEAR('Исходные данные'!$B$26),MONTH('Исходные данные'!$B$26),1),B137,"m")+1)</f>
        <v>0</v>
      </c>
      <c r="AG137">
        <f>IF(OR(AF137&lt;1,AF137&gt;N('Исходные данные'!$B$25),AE137+AD137&lt;=0),0,-(AE137+AD137)*N('Исходные данные'!$B$24)*IF(AF137=1,C137-'Исходные данные'!$B$26+1,DAY(C137))/365)</f>
        <v>0</v>
      </c>
      <c r="AH137">
        <f>IF(OR(AF137&lt;1,AF137&gt;N('Исходные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данные'!$B$25)-AG137))</f>
        <v>0</v>
      </c>
      <c r="AI137">
        <f>IF(OR('Исходные данные'!$B$22&lt;&gt;"Да",AE137+AD137&lt;=0),0,IF(AND('Исходные данные'!$B$91&lt;&gt;"",B137&lt;&gt;"",YEAR(B137)=YEAR('Исходные данные'!$B$91),MONTH(B137)=MONTH('Исходные данные'!$B$91)),-(AE137+AD137),IF(OR(AF137&lt;1,AF137&gt;N('Исходные данные'!$B$25)),0,IF('Исходные данные'!$B$27="Равными долями",-MIN(AE137+AD137,N('Исходные данные'!$B$23)/N('Исходные данные'!$B$25)),-MIN(AE137+AD137,IF(AF137=N('Исходные данные'!$B$25),AE137+AD137,MAX(0,AH137+AG137)))))))</f>
        <v>0</v>
      </c>
      <c r="AJ137">
        <f t="shared" si="87"/>
        <v>0</v>
      </c>
      <c r="AK137">
        <f t="shared" si="88"/>
        <v>0</v>
      </c>
      <c r="AL137">
        <f>IF(OR(B137="",'Исходные данные'!$B$51&lt;&gt;"Да",'Исходные данные'!$B$61=""),0,IF(AND(YEAR(B137)=YEAR('Исходные данные'!$B$61),MONTH(B137)=MONTH('Исходные данные'!$B$61)),N('Исходные данные'!$B$18)*N('Исходные данные'!$B$62),0))</f>
        <v>0</v>
      </c>
      <c r="AM137">
        <f t="shared" si="100"/>
        <v>0</v>
      </c>
      <c r="AN137">
        <f t="shared" si="89"/>
        <v>0</v>
      </c>
      <c r="AO137">
        <f t="shared" si="90"/>
        <v>0</v>
      </c>
      <c r="AP137">
        <f>IF('Исходные данные'!$B$51="Да",-MAX(0,AN137-AO137-AM137),0)</f>
        <v>0</v>
      </c>
      <c r="AQ137">
        <f>IF('Исходные данные'!$B$51="Да",MAX(0,AM137+AO137-AN137),0)</f>
        <v>0</v>
      </c>
      <c r="AR137">
        <f>IF('Исходные данные'!$B$53="Выручка",MAX(0,L137+(Q137-R137)+(U137-V137)),IF('Исходные данные'!$B$53="Прибыль до налога",MAX(0,L137+(Q137-R137)+(U137-V137)+N('Исходные данные'!$B$54)*((O137+P137)+(S137+T137)+W137+X137)+IF('Исходные данные'!$B$55="Да",AG137,0)-N('Исходные данные'!$B$56)/12),IF('Исходные данные'!$B$53="Пользовательская база",MAX(0,N('Исходные данные'!$B$57)/12),0)))</f>
        <v>0</v>
      </c>
      <c r="AS137">
        <f>IF(E137=1,-AR137*N('Исходные данные'!$B$50),0)</f>
        <v>0</v>
      </c>
      <c r="AT137">
        <f t="shared" si="91"/>
        <v>0</v>
      </c>
      <c r="AU137">
        <f>IF(OR(B137="",N('Исходные данные'!$B$80)&lt;=0,'Исходные данные'!$B$88=""),0,MAX(0,IF('Исходные данные'!$B$88="Последние 12 месяцев",SUMIFS($Y$2:$Y$194,$B$2:$B$194,"&gt;="&amp;EDATE(B137,-11),$B$2:$B$194,"&lt;="&amp;B137),IF('Исходные данные'!$B$88="Пользовательский NOI",N('Исходные данные'!$B$89),AT137))/N('Исходные данные'!$B$80)*(1+N('Исходные данные'!$B$81))))</f>
        <v>0</v>
      </c>
      <c r="AV137">
        <f>IF(OR(E137&lt;&gt;1,B137="",'Исходные данные'!$B$91=""),0,IF(AND(YEAR(B137)=YEAR('Исходные данные'!$B$91),MONTH(B137)=MONTH('Исходные данные'!$B$91)),AU137,0))</f>
        <v>0</v>
      </c>
      <c r="AW137">
        <f>-AV137*N('Исходные данные'!$B$73)</f>
        <v>0</v>
      </c>
      <c r="AX137">
        <f>IF(AV137=0,0,-N('Исходные данные'!$B$87)-IF('Исходные данные'!$B$82="Да",IF('Исходные данные'!$B$84="С выручки",AV137,IF('Исходные данные'!$B$84="С прибыли",MAX(0,AV137+AW137-IF('Исходные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37">
        <f t="shared" si="92"/>
        <v>0</v>
      </c>
      <c r="AZ137">
        <f t="shared" si="93"/>
        <v>0</v>
      </c>
      <c r="BA137">
        <f t="shared" si="94"/>
        <v>0</v>
      </c>
      <c r="BB137" t="str">
        <f t="shared" si="101"/>
        <v/>
      </c>
      <c r="BC137">
        <f>IF(OR(E137=0,'Исходные данные'!$B$9="",'Исходные данные'!$B$90=""),0,BA137/(1+'Исходные данные'!$B$90)^((D137-'Исходные данные'!$B$9)/365))</f>
        <v>0</v>
      </c>
      <c r="BD137">
        <f>IF(AND(E137=1,BB137&gt;=0,BB136&lt;0,MIN($BB$2:BB137)&lt;0),1,0)</f>
        <v>0</v>
      </c>
      <c r="BE137">
        <f t="shared" si="95"/>
        <v>0</v>
      </c>
      <c r="BF137">
        <f t="shared" si="96"/>
        <v>0</v>
      </c>
      <c r="BG137">
        <f t="shared" si="97"/>
        <v>0</v>
      </c>
      <c r="BH137">
        <f t="shared" si="98"/>
        <v>1</v>
      </c>
      <c r="BI137">
        <f>AZ137+N137+AP137-AR137*N('Исходные данные'!$B$50)</f>
        <v>0</v>
      </c>
      <c r="BJ137">
        <f t="shared" si="102"/>
        <v>0</v>
      </c>
      <c r="BK137">
        <f>IF(AND(BJ137&gt;=0,BJ136&lt;0,MIN($BJ$2:BJ137)&lt;0),1,0)</f>
        <v>0</v>
      </c>
    </row>
    <row r="138" spans="1:63" x14ac:dyDescent="0.2">
      <c r="A138">
        <v>137</v>
      </c>
      <c r="B138" t="str">
        <f>IF('Исходные данные'!$B$9="","",EDATE(DATE(YEAR('Исходные данные'!$B$9),MONTH('Исходные данные'!$B$9),1),A138-1))</f>
        <v/>
      </c>
      <c r="C138" t="str">
        <f t="shared" si="82"/>
        <v/>
      </c>
      <c r="D138" t="str">
        <f>IF(B138="","",IF('Исходные данные'!$B$91&lt;&gt;"",IF(AND(YEAR(B138)=YEAR('Исходные данные'!$B$91),MONTH(B138)=MONTH('Исходные данные'!$B$91)),'Исходные данные'!$B$91,IF('Исходные данные'!$B$13&lt;&gt;"",IF(AND(YEAR(B138)=YEAR('Исходные данные'!$B$13),MONTH(B138)=MONTH('Исходные данные'!$B$13)),'Исходные данные'!$B$13,IF('Исходные данные'!$B$26&lt;&gt;"",IF(AND(YEAR(B138)=YEAR('Исходные данные'!$B$26),MONTH(B138)=MONTH('Исходные данные'!$B$26)),'Исходные данные'!$B$26,IF(A138=1,'Исходные данные'!$B$9,C138)),IF(A138=1,'Исходные данные'!$B$9,C138))),IF('Исходные данные'!$B$26&lt;&gt;"",IF(AND(YEAR(B138)=YEAR('Исходные данные'!$B$26),MONTH(B138)=MONTH('Исходные данные'!$B$26)),'Исходные данные'!$B$26,IF(A138=1,'Исходные данные'!$B$9,C138)),IF(A138=1,'Исходные данные'!$B$9,C138)))),IF('Исходные данные'!$B$13&lt;&gt;"",IF(AND(YEAR(B138)=YEAR('Исходные данные'!$B$13),MONTH(B138)=MONTH('Исходные данные'!$B$13)),'Исходные данные'!$B$13,IF('Исходные данные'!$B$26&lt;&gt;"",IF(AND(YEAR(B138)=YEAR('Исходные данные'!$B$26),MONTH(B138)=MONTH('Исходные данные'!$B$26)),'Исходные данные'!$B$26,IF(A138=1,'Исходные данные'!$B$9,C138)),IF(A138=1,'Исходные данные'!$B$9,C138))),IF('Исходные данные'!$B$26&lt;&gt;"",IF(AND(YEAR(B138)=YEAR('Исходные данные'!$B$26),MONTH(B138)=MONTH('Исходные данные'!$B$26)),'Исходные данные'!$B$26,IF(A138=1,'Исходные данные'!$B$9,C138)),IF(A138=1,'Исходные данные'!$B$9,C138)))))</f>
        <v/>
      </c>
      <c r="E138">
        <f>IF(OR(B138="",'Исходные данные'!$B$91=""),0,--(B138&lt;=DATE(YEAR('Исходные данные'!$B$91),MONTH('Исходные данные'!$B$91),1)))</f>
        <v>0</v>
      </c>
      <c r="F138">
        <f>IF(OR(B138="",'Исходные данные'!$B$30="",C138&lt;'Исходные данные'!$B$30),0,DATEDIF(DATE(YEAR('Исходные данные'!$B$30),MONTH('Исходные данные'!$B$30),1),B138,"m")+1)</f>
        <v>0</v>
      </c>
      <c r="G138">
        <f t="shared" si="83"/>
        <v>0</v>
      </c>
      <c r="H138">
        <f>IF(F138=0,0,IF(G138=1,N('Исходные данные'!$B$31),IF(G138=2,N('Исходные данные'!$B$32),IF(G138=3,N('Исходные данные'!$B$33),N('Исходные данные'!$B$33)*(1+N('Исходные данные'!$B$34))^(G138-3)))))</f>
        <v>0</v>
      </c>
      <c r="I138">
        <f>IF(OR(F138=0,N('Исходные данные'!$B$5)=0,H138=0),0,'Исходные данные'!$B$5*H138*IF(AND(B138&lt;='Исходные данные'!$B$30,C138&gt;='Исходные данные'!$B$30),(C138-'Исходные данные'!$B$30+1)/DAY(C138),1))</f>
        <v>0</v>
      </c>
      <c r="J138">
        <f>IF(AND(F138&gt;0,F138&lt;=N('Исходные данные'!$B$37)),-I138,0)</f>
        <v>0</v>
      </c>
      <c r="K138">
        <f>IF(OR(F138=0,F138&lt;=N('Исходные данные'!$B$37)),0,-(I138+J138)*N('Исходные данные'!$B$38))</f>
        <v>0</v>
      </c>
      <c r="L138">
        <f t="shared" si="84"/>
        <v>0</v>
      </c>
      <c r="M138">
        <f>IF('Исходные данные'!$B$51="Да",L138*N('Исходные данные'!$B$52),0)</f>
        <v>0</v>
      </c>
      <c r="N138">
        <f t="shared" si="85"/>
        <v>0</v>
      </c>
      <c r="O138">
        <f>IF(OR(B138="",IF('Исходные данные'!$B$45="",'Исходные данные'!$B$10,'Исходные данные'!$B$45)="",C138&lt;IF('Исходные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данные'!$B$45)),1),B138,"m")/12))*IF(AND(B138&lt;=IF('Исходные данные'!$B$45="",'Исходные данные'!$B$10,'Исходные данные'!$B$45),C138&gt;=IF('Исходные данные'!$B$45="",'Исходные данные'!$B$10,'Исходные данные'!$B$45)),(C138-IF('Исходные данные'!$B$45="",'Исходные данные'!$B$10,'Исходные данные'!$B$45)+1)/DAY(C138),1)*IF('Исходные данные'!$B$43="Без НДС",1+N('Исходные данные'!$B$44),1))</f>
        <v>0</v>
      </c>
      <c r="P138">
        <f>IF('Исходные данные'!$B$51="Да",-O138*N('Исходные данные'!$B$44)/(1+N('Исходные данные'!$B$44)),0)</f>
        <v>0</v>
      </c>
      <c r="Q138">
        <f>IF('Исходные данные'!$B$35="Да",-O138,0)</f>
        <v>0</v>
      </c>
      <c r="R138">
        <f>IF(AND('Исходные данные'!$B$51="Да",Q138&gt;0),Q138*N('Исходные данные'!$B$52)/(1+N('Исходные данные'!$B$52)),0)</f>
        <v>0</v>
      </c>
      <c r="S138">
        <f>IF(OR(B138="",IF('Исходные данные'!$B$45="",'Исходные данные'!$B$10,'Исходные данные'!$B$45)="",C138&lt;IF('Исходные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данные'!$B$45)),1),B138,"m")/12))*IF(AND(B138&lt;=IF('Исходные данные'!$B$45="",'Исходные данные'!$B$10,'Исходные данные'!$B$45),C138&gt;=IF('Исходные данные'!$B$45="",'Исходные данные'!$B$10,'Исходные данные'!$B$45)),(C138-IF('Исходные данные'!$B$45="",'Исходные данные'!$B$10,'Исходные данные'!$B$45)+1)/DAY(C138),1)*IF('Исходные данные'!$B$43="Без НДС",1+N('Исходные данные'!$B$44),1))</f>
        <v>0</v>
      </c>
      <c r="T138">
        <f>IF('Исходные данные'!$B$51="Да",-S138*N('Исходные данные'!$B$44)/(1+N('Исходные данные'!$B$44)),0)</f>
        <v>0</v>
      </c>
      <c r="U138">
        <f>IF('Исходные данные'!$B$36="Да",-S138,0)</f>
        <v>0</v>
      </c>
      <c r="V138">
        <f>IF(AND('Исходные данные'!$B$51="Да",U138&gt;0),U138*N('Исходные данные'!$B$52)/(1+N('Исходные данные'!$B$52)),0)</f>
        <v>0</v>
      </c>
      <c r="W138">
        <f>IF(OR(B138="",IF('Исходные данные'!$B$69="",'Исходные данные'!$B$10,'Исходные данные'!$B$69)="",C138&lt;IF('Исходные данные'!$B$69="",'Исходные данные'!$B$10,'Исходные данные'!$B$69)),0,-N('Исходные данные'!$B$16)*N('Исходные данные'!$B$68)*N('Исходные данные'!$B$67)/12*IF(AND(B138&lt;=IF('Исходные данные'!$B$69="",'Исходные данные'!$B$10,'Исходные данные'!$B$69),C138&gt;=IF('Исходные данные'!$B$69="",'Исходные данные'!$B$10,'Исходные данные'!$B$69)),(C138-IF('Исходные данные'!$B$69="",'Исходные данные'!$B$10,'Исходные данные'!$B$69)+1)/DAY(C138),1))</f>
        <v>0</v>
      </c>
      <c r="X138">
        <f>IF(OR(B138="",IF('Исходные данные'!$B$76="",'Исходные данные'!$B$10,'Исходные данные'!$B$76)="",C138&lt;IF('Исходные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данные'!$B$76)),1),B138,"m")/12))*IF(AND(B138&lt;=IF('Исходные данные'!$B$76="",'Исходные данные'!$B$10,'Исходные данные'!$B$76),C138&gt;=IF('Исходные данные'!$B$76="",'Исходные данные'!$B$10,'Исходные данные'!$B$76)),(C138-IF('Исходные данные'!$B$76="",'Исходные данные'!$B$10,'Исходные данные'!$B$76)+1)/DAY(C138),1))</f>
        <v>0</v>
      </c>
      <c r="Y138">
        <f t="shared" si="86"/>
        <v>0</v>
      </c>
      <c r="Z138">
        <f>IF(OR(B138="",N('Исходные данные'!$B$19)=0),0,-SUMIFS('Исходные данные'!$I$6:$I$186,'Исходные данные'!$F$6:$F$186,B138)*N('Исходные данные'!$B$17)/N('Исходные данные'!$B$19))</f>
        <v>0</v>
      </c>
      <c r="AA138">
        <f>IF(OR(B138="",N('Исходные данные'!$B$19)=0),0,-SUMIFS('Исходные данные'!$I$6:$I$186,'Исходные данные'!$F$6:$F$186,B138)*N('Исходные данные'!$B$18)/N('Исходные данные'!$B$19))</f>
        <v>0</v>
      </c>
      <c r="AB138">
        <f>IF(OR(B138="",'Исходные данные'!$B$13=""),0,IF(AND(YEAR(B138)=YEAR('Исходные данные'!$B$13),MONTH(B138)=MONTH('Исходные данные'!$B$13)),-N('Исходные данные'!$B$11),0))</f>
        <v>0</v>
      </c>
      <c r="AC138">
        <f>IF(A138=1,-N('Исходные данные'!$B$19)*N('Исходные данные'!$B$72),0)</f>
        <v>0</v>
      </c>
      <c r="AD138">
        <f>IF(OR(B138="",'Исходные данные'!$B$22&lt;&gt;"Да",'Исходные данные'!$B$26=""),0,IF(AND(YEAR(B138)=YEAR('Исходные данные'!$B$26),MONTH(B138)=MONTH('Исходные данные'!$B$26)),N('Исходные данные'!$B$23),0))</f>
        <v>0</v>
      </c>
      <c r="AE138">
        <f t="shared" si="99"/>
        <v>0</v>
      </c>
      <c r="AF138">
        <f>IF(OR('Исходные данные'!$B$22&lt;&gt;"Да",'Исходные данные'!$B$26="",C138&lt;'Исходные данные'!$B$26),0,DATEDIF(DATE(YEAR('Исходные данные'!$B$26),MONTH('Исходные данные'!$B$26),1),B138,"m")+1)</f>
        <v>0</v>
      </c>
      <c r="AG138">
        <f>IF(OR(AF138&lt;1,AF138&gt;N('Исходные данные'!$B$25),AE138+AD138&lt;=0),0,-(AE138+AD138)*N('Исходные данные'!$B$24)*IF(AF138=1,C138-'Исходные данные'!$B$26+1,DAY(C138))/365)</f>
        <v>0</v>
      </c>
      <c r="AH138">
        <f>IF(OR(AF138&lt;1,AF138&gt;N('Исходные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данные'!$B$25)-AG138))</f>
        <v>0</v>
      </c>
      <c r="AI138">
        <f>IF(OR('Исходные данные'!$B$22&lt;&gt;"Да",AE138+AD138&lt;=0),0,IF(AND('Исходные данные'!$B$91&lt;&gt;"",B138&lt;&gt;"",YEAR(B138)=YEAR('Исходные данные'!$B$91),MONTH(B138)=MONTH('Исходные данные'!$B$91)),-(AE138+AD138),IF(OR(AF138&lt;1,AF138&gt;N('Исходные данные'!$B$25)),0,IF('Исходные данные'!$B$27="Равными долями",-MIN(AE138+AD138,N('Исходные данные'!$B$23)/N('Исходные данные'!$B$25)),-MIN(AE138+AD138,IF(AF138=N('Исходные данные'!$B$25),AE138+AD138,MAX(0,AH138+AG138)))))))</f>
        <v>0</v>
      </c>
      <c r="AJ138">
        <f t="shared" si="87"/>
        <v>0</v>
      </c>
      <c r="AK138">
        <f t="shared" si="88"/>
        <v>0</v>
      </c>
      <c r="AL138">
        <f>IF(OR(B138="",'Исходные данные'!$B$51&lt;&gt;"Да",'Исходные данные'!$B$61=""),0,IF(AND(YEAR(B138)=YEAR('Исходные данные'!$B$61),MONTH(B138)=MONTH('Исходные данные'!$B$61)),N('Исходные данные'!$B$18)*N('Исходные данные'!$B$62),0))</f>
        <v>0</v>
      </c>
      <c r="AM138">
        <f t="shared" si="100"/>
        <v>0</v>
      </c>
      <c r="AN138">
        <f t="shared" si="89"/>
        <v>0</v>
      </c>
      <c r="AO138">
        <f t="shared" si="90"/>
        <v>0</v>
      </c>
      <c r="AP138">
        <f>IF('Исходные данные'!$B$51="Да",-MAX(0,AN138-AO138-AM138),0)</f>
        <v>0</v>
      </c>
      <c r="AQ138">
        <f>IF('Исходные данные'!$B$51="Да",MAX(0,AM138+AO138-AN138),0)</f>
        <v>0</v>
      </c>
      <c r="AR138">
        <f>IF('Исходные данные'!$B$53="Выручка",MAX(0,L138+(Q138-R138)+(U138-V138)),IF('Исходные данные'!$B$53="Прибыль до налога",MAX(0,L138+(Q138-R138)+(U138-V138)+N('Исходные данные'!$B$54)*((O138+P138)+(S138+T138)+W138+X138)+IF('Исходные данные'!$B$55="Да",AG138,0)-N('Исходные данные'!$B$56)/12),IF('Исходные данные'!$B$53="Пользовательская база",MAX(0,N('Исходные данные'!$B$57)/12),0)))</f>
        <v>0</v>
      </c>
      <c r="AS138">
        <f>IF(E138=1,-AR138*N('Исходные данные'!$B$50),0)</f>
        <v>0</v>
      </c>
      <c r="AT138">
        <f t="shared" si="91"/>
        <v>0</v>
      </c>
      <c r="AU138">
        <f>IF(OR(B138="",N('Исходные данные'!$B$80)&lt;=0,'Исходные данные'!$B$88=""),0,MAX(0,IF('Исходные данные'!$B$88="Последние 12 месяцев",SUMIFS($Y$2:$Y$194,$B$2:$B$194,"&gt;="&amp;EDATE(B138,-11),$B$2:$B$194,"&lt;="&amp;B138),IF('Исходные данные'!$B$88="Пользовательский NOI",N('Исходные данные'!$B$89),AT138))/N('Исходные данные'!$B$80)*(1+N('Исходные данные'!$B$81))))</f>
        <v>0</v>
      </c>
      <c r="AV138">
        <f>IF(OR(E138&lt;&gt;1,B138="",'Исходные данные'!$B$91=""),0,IF(AND(YEAR(B138)=YEAR('Исходные данные'!$B$91),MONTH(B138)=MONTH('Исходные данные'!$B$91)),AU138,0))</f>
        <v>0</v>
      </c>
      <c r="AW138">
        <f>-AV138*N('Исходные данные'!$B$73)</f>
        <v>0</v>
      </c>
      <c r="AX138">
        <f>IF(AV138=0,0,-N('Исходные данные'!$B$87)-IF('Исходные данные'!$B$82="Да",IF('Исходные данные'!$B$84="С выручки",AV138,IF('Исходные данные'!$B$84="С прибыли",MAX(0,AV138+AW138-IF('Исходные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38">
        <f t="shared" si="92"/>
        <v>0</v>
      </c>
      <c r="AZ138">
        <f t="shared" si="93"/>
        <v>0</v>
      </c>
      <c r="BA138">
        <f t="shared" si="94"/>
        <v>0</v>
      </c>
      <c r="BB138" t="str">
        <f t="shared" si="101"/>
        <v/>
      </c>
      <c r="BC138">
        <f>IF(OR(E138=0,'Исходные данные'!$B$9="",'Исходные данные'!$B$90=""),0,BA138/(1+'Исходные данные'!$B$90)^((D138-'Исходные данные'!$B$9)/365))</f>
        <v>0</v>
      </c>
      <c r="BD138">
        <f>IF(AND(E138=1,BB138&gt;=0,BB137&lt;0,MIN($BB$2:BB138)&lt;0),1,0)</f>
        <v>0</v>
      </c>
      <c r="BE138">
        <f t="shared" si="95"/>
        <v>0</v>
      </c>
      <c r="BF138">
        <f t="shared" si="96"/>
        <v>0</v>
      </c>
      <c r="BG138">
        <f t="shared" si="97"/>
        <v>0</v>
      </c>
      <c r="BH138">
        <f t="shared" si="98"/>
        <v>1</v>
      </c>
      <c r="BI138">
        <f>AZ138+N138+AP138-AR138*N('Исходные данные'!$B$50)</f>
        <v>0</v>
      </c>
      <c r="BJ138">
        <f t="shared" si="102"/>
        <v>0</v>
      </c>
      <c r="BK138">
        <f>IF(AND(BJ138&gt;=0,BJ137&lt;0,MIN($BJ$2:BJ138)&lt;0),1,0)</f>
        <v>0</v>
      </c>
    </row>
    <row r="139" spans="1:63" x14ac:dyDescent="0.2">
      <c r="A139">
        <v>138</v>
      </c>
      <c r="B139" t="str">
        <f>IF('Исходные данные'!$B$9="","",EDATE(DATE(YEAR('Исходные данные'!$B$9),MONTH('Исходные данные'!$B$9),1),A139-1))</f>
        <v/>
      </c>
      <c r="C139" t="str">
        <f t="shared" si="82"/>
        <v/>
      </c>
      <c r="D139" t="str">
        <f>IF(B139="","",IF('Исходные данные'!$B$91&lt;&gt;"",IF(AND(YEAR(B139)=YEAR('Исходные данные'!$B$91),MONTH(B139)=MONTH('Исходные данные'!$B$91)),'Исходные данные'!$B$91,IF('Исходные данные'!$B$13&lt;&gt;"",IF(AND(YEAR(B139)=YEAR('Исходные данные'!$B$13),MONTH(B139)=MONTH('Исходные данные'!$B$13)),'Исходные данные'!$B$13,IF('Исходные данные'!$B$26&lt;&gt;"",IF(AND(YEAR(B139)=YEAR('Исходные данные'!$B$26),MONTH(B139)=MONTH('Исходные данные'!$B$26)),'Исходные данные'!$B$26,IF(A139=1,'Исходные данные'!$B$9,C139)),IF(A139=1,'Исходные данные'!$B$9,C139))),IF('Исходные данные'!$B$26&lt;&gt;"",IF(AND(YEAR(B139)=YEAR('Исходные данные'!$B$26),MONTH(B139)=MONTH('Исходные данные'!$B$26)),'Исходные данные'!$B$26,IF(A139=1,'Исходные данные'!$B$9,C139)),IF(A139=1,'Исходные данные'!$B$9,C139)))),IF('Исходные данные'!$B$13&lt;&gt;"",IF(AND(YEAR(B139)=YEAR('Исходные данные'!$B$13),MONTH(B139)=MONTH('Исходные данные'!$B$13)),'Исходные данные'!$B$13,IF('Исходные данные'!$B$26&lt;&gt;"",IF(AND(YEAR(B139)=YEAR('Исходные данные'!$B$26),MONTH(B139)=MONTH('Исходные данные'!$B$26)),'Исходные данные'!$B$26,IF(A139=1,'Исходные данные'!$B$9,C139)),IF(A139=1,'Исходные данные'!$B$9,C139))),IF('Исходные данные'!$B$26&lt;&gt;"",IF(AND(YEAR(B139)=YEAR('Исходные данные'!$B$26),MONTH(B139)=MONTH('Исходные данные'!$B$26)),'Исходные данные'!$B$26,IF(A139=1,'Исходные данные'!$B$9,C139)),IF(A139=1,'Исходные данные'!$B$9,C139)))))</f>
        <v/>
      </c>
      <c r="E139">
        <f>IF(OR(B139="",'Исходные данные'!$B$91=""),0,--(B139&lt;=DATE(YEAR('Исходные данные'!$B$91),MONTH('Исходные данные'!$B$91),1)))</f>
        <v>0</v>
      </c>
      <c r="F139">
        <f>IF(OR(B139="",'Исходные данные'!$B$30="",C139&lt;'Исходные данные'!$B$30),0,DATEDIF(DATE(YEAR('Исходные данные'!$B$30),MONTH('Исходные данные'!$B$30),1),B139,"m")+1)</f>
        <v>0</v>
      </c>
      <c r="G139">
        <f t="shared" si="83"/>
        <v>0</v>
      </c>
      <c r="H139">
        <f>IF(F139=0,0,IF(G139=1,N('Исходные данные'!$B$31),IF(G139=2,N('Исходные данные'!$B$32),IF(G139=3,N('Исходные данные'!$B$33),N('Исходные данные'!$B$33)*(1+N('Исходные данные'!$B$34))^(G139-3)))))</f>
        <v>0</v>
      </c>
      <c r="I139">
        <f>IF(OR(F139=0,N('Исходные данные'!$B$5)=0,H139=0),0,'Исходные данные'!$B$5*H139*IF(AND(B139&lt;='Исходные данные'!$B$30,C139&gt;='Исходные данные'!$B$30),(C139-'Исходные данные'!$B$30+1)/DAY(C139),1))</f>
        <v>0</v>
      </c>
      <c r="J139">
        <f>IF(AND(F139&gt;0,F139&lt;=N('Исходные данные'!$B$37)),-I139,0)</f>
        <v>0</v>
      </c>
      <c r="K139">
        <f>IF(OR(F139=0,F139&lt;=N('Исходные данные'!$B$37)),0,-(I139+J139)*N('Исходные данные'!$B$38))</f>
        <v>0</v>
      </c>
      <c r="L139">
        <f t="shared" si="84"/>
        <v>0</v>
      </c>
      <c r="M139">
        <f>IF('Исходные данные'!$B$51="Да",L139*N('Исходные данные'!$B$52),0)</f>
        <v>0</v>
      </c>
      <c r="N139">
        <f t="shared" si="85"/>
        <v>0</v>
      </c>
      <c r="O139">
        <f>IF(OR(B139="",IF('Исходные данные'!$B$45="",'Исходные данные'!$B$10,'Исходные данные'!$B$45)="",C139&lt;IF('Исходные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данные'!$B$45)),1),B139,"m")/12))*IF(AND(B139&lt;=IF('Исходные данные'!$B$45="",'Исходные данные'!$B$10,'Исходные данные'!$B$45),C139&gt;=IF('Исходные данные'!$B$45="",'Исходные данные'!$B$10,'Исходные данные'!$B$45)),(C139-IF('Исходные данные'!$B$45="",'Исходные данные'!$B$10,'Исходные данные'!$B$45)+1)/DAY(C139),1)*IF('Исходные данные'!$B$43="Без НДС",1+N('Исходные данные'!$B$44),1))</f>
        <v>0</v>
      </c>
      <c r="P139">
        <f>IF('Исходные данные'!$B$51="Да",-O139*N('Исходные данные'!$B$44)/(1+N('Исходные данные'!$B$44)),0)</f>
        <v>0</v>
      </c>
      <c r="Q139">
        <f>IF('Исходные данные'!$B$35="Да",-O139,0)</f>
        <v>0</v>
      </c>
      <c r="R139">
        <f>IF(AND('Исходные данные'!$B$51="Да",Q139&gt;0),Q139*N('Исходные данные'!$B$52)/(1+N('Исходные данные'!$B$52)),0)</f>
        <v>0</v>
      </c>
      <c r="S139">
        <f>IF(OR(B139="",IF('Исходные данные'!$B$45="",'Исходные данные'!$B$10,'Исходные данные'!$B$45)="",C139&lt;IF('Исходные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данные'!$B$45)),1),B139,"m")/12))*IF(AND(B139&lt;=IF('Исходные данные'!$B$45="",'Исходные данные'!$B$10,'Исходные данные'!$B$45),C139&gt;=IF('Исходные данные'!$B$45="",'Исходные данные'!$B$10,'Исходные данные'!$B$45)),(C139-IF('Исходные данные'!$B$45="",'Исходные данные'!$B$10,'Исходные данные'!$B$45)+1)/DAY(C139),1)*IF('Исходные данные'!$B$43="Без НДС",1+N('Исходные данные'!$B$44),1))</f>
        <v>0</v>
      </c>
      <c r="T139">
        <f>IF('Исходные данные'!$B$51="Да",-S139*N('Исходные данные'!$B$44)/(1+N('Исходные данные'!$B$44)),0)</f>
        <v>0</v>
      </c>
      <c r="U139">
        <f>IF('Исходные данные'!$B$36="Да",-S139,0)</f>
        <v>0</v>
      </c>
      <c r="V139">
        <f>IF(AND('Исходные данные'!$B$51="Да",U139&gt;0),U139*N('Исходные данные'!$B$52)/(1+N('Исходные данные'!$B$52)),0)</f>
        <v>0</v>
      </c>
      <c r="W139">
        <f>IF(OR(B139="",IF('Исходные данные'!$B$69="",'Исходные данные'!$B$10,'Исходные данные'!$B$69)="",C139&lt;IF('Исходные данные'!$B$69="",'Исходные данные'!$B$10,'Исходные данные'!$B$69)),0,-N('Исходные данные'!$B$16)*N('Исходные данные'!$B$68)*N('Исходные данные'!$B$67)/12*IF(AND(B139&lt;=IF('Исходные данные'!$B$69="",'Исходные данные'!$B$10,'Исходные данные'!$B$69),C139&gt;=IF('Исходные данные'!$B$69="",'Исходные данные'!$B$10,'Исходные данные'!$B$69)),(C139-IF('Исходные данные'!$B$69="",'Исходные данные'!$B$10,'Исходные данные'!$B$69)+1)/DAY(C139),1))</f>
        <v>0</v>
      </c>
      <c r="X139">
        <f>IF(OR(B139="",IF('Исходные данные'!$B$76="",'Исходные данные'!$B$10,'Исходные данные'!$B$76)="",C139&lt;IF('Исходные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данные'!$B$76)),1),B139,"m")/12))*IF(AND(B139&lt;=IF('Исходные данные'!$B$76="",'Исходные данные'!$B$10,'Исходные данные'!$B$76),C139&gt;=IF('Исходные данные'!$B$76="",'Исходные данные'!$B$10,'Исходные данные'!$B$76)),(C139-IF('Исходные данные'!$B$76="",'Исходные данные'!$B$10,'Исходные данные'!$B$76)+1)/DAY(C139),1))</f>
        <v>0</v>
      </c>
      <c r="Y139">
        <f t="shared" si="86"/>
        <v>0</v>
      </c>
      <c r="Z139">
        <f>IF(OR(B139="",N('Исходные данные'!$B$19)=0),0,-SUMIFS('Исходные данные'!$I$6:$I$186,'Исходные данные'!$F$6:$F$186,B139)*N('Исходные данные'!$B$17)/N('Исходные данные'!$B$19))</f>
        <v>0</v>
      </c>
      <c r="AA139">
        <f>IF(OR(B139="",N('Исходные данные'!$B$19)=0),0,-SUMIFS('Исходные данные'!$I$6:$I$186,'Исходные данные'!$F$6:$F$186,B139)*N('Исходные данные'!$B$18)/N('Исходные данные'!$B$19))</f>
        <v>0</v>
      </c>
      <c r="AB139">
        <f>IF(OR(B139="",'Исходные данные'!$B$13=""),0,IF(AND(YEAR(B139)=YEAR('Исходные данные'!$B$13),MONTH(B139)=MONTH('Исходные данные'!$B$13)),-N('Исходные данные'!$B$11),0))</f>
        <v>0</v>
      </c>
      <c r="AC139">
        <f>IF(A139=1,-N('Исходные данные'!$B$19)*N('Исходные данные'!$B$72),0)</f>
        <v>0</v>
      </c>
      <c r="AD139">
        <f>IF(OR(B139="",'Исходные данные'!$B$22&lt;&gt;"Да",'Исходные данные'!$B$26=""),0,IF(AND(YEAR(B139)=YEAR('Исходные данные'!$B$26),MONTH(B139)=MONTH('Исходные данные'!$B$26)),N('Исходные данные'!$B$23),0))</f>
        <v>0</v>
      </c>
      <c r="AE139">
        <f t="shared" si="99"/>
        <v>0</v>
      </c>
      <c r="AF139">
        <f>IF(OR('Исходные данные'!$B$22&lt;&gt;"Да",'Исходные данные'!$B$26="",C139&lt;'Исходные данные'!$B$26),0,DATEDIF(DATE(YEAR('Исходные данные'!$B$26),MONTH('Исходные данные'!$B$26),1),B139,"m")+1)</f>
        <v>0</v>
      </c>
      <c r="AG139">
        <f>IF(OR(AF139&lt;1,AF139&gt;N('Исходные данные'!$B$25),AE139+AD139&lt;=0),0,-(AE139+AD139)*N('Исходные данные'!$B$24)*IF(AF139=1,C139-'Исходные данные'!$B$26+1,DAY(C139))/365)</f>
        <v>0</v>
      </c>
      <c r="AH139">
        <f>IF(OR(AF139&lt;1,AF139&gt;N('Исходные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данные'!$B$25)-AG139))</f>
        <v>0</v>
      </c>
      <c r="AI139">
        <f>IF(OR('Исходные данные'!$B$22&lt;&gt;"Да",AE139+AD139&lt;=0),0,IF(AND('Исходные данные'!$B$91&lt;&gt;"",B139&lt;&gt;"",YEAR(B139)=YEAR('Исходные данные'!$B$91),MONTH(B139)=MONTH('Исходные данные'!$B$91)),-(AE139+AD139),IF(OR(AF139&lt;1,AF139&gt;N('Исходные данные'!$B$25)),0,IF('Исходные данные'!$B$27="Равными долями",-MIN(AE139+AD139,N('Исходные данные'!$B$23)/N('Исходные данные'!$B$25)),-MIN(AE139+AD139,IF(AF139=N('Исходные данные'!$B$25),AE139+AD139,MAX(0,AH139+AG139)))))))</f>
        <v>0</v>
      </c>
      <c r="AJ139">
        <f t="shared" si="87"/>
        <v>0</v>
      </c>
      <c r="AK139">
        <f t="shared" si="88"/>
        <v>0</v>
      </c>
      <c r="AL139">
        <f>IF(OR(B139="",'Исходные данные'!$B$51&lt;&gt;"Да",'Исходные данные'!$B$61=""),0,IF(AND(YEAR(B139)=YEAR('Исходные данные'!$B$61),MONTH(B139)=MONTH('Исходные данные'!$B$61)),N('Исходные данные'!$B$18)*N('Исходные данные'!$B$62),0))</f>
        <v>0</v>
      </c>
      <c r="AM139">
        <f t="shared" si="100"/>
        <v>0</v>
      </c>
      <c r="AN139">
        <f t="shared" si="89"/>
        <v>0</v>
      </c>
      <c r="AO139">
        <f t="shared" si="90"/>
        <v>0</v>
      </c>
      <c r="AP139">
        <f>IF('Исходные данные'!$B$51="Да",-MAX(0,AN139-AO139-AM139),0)</f>
        <v>0</v>
      </c>
      <c r="AQ139">
        <f>IF('Исходные данные'!$B$51="Да",MAX(0,AM139+AO139-AN139),0)</f>
        <v>0</v>
      </c>
      <c r="AR139">
        <f>IF('Исходные данные'!$B$53="Выручка",MAX(0,L139+(Q139-R139)+(U139-V139)),IF('Исходные данные'!$B$53="Прибыль до налога",MAX(0,L139+(Q139-R139)+(U139-V139)+N('Исходные данные'!$B$54)*((O139+P139)+(S139+T139)+W139+X139)+IF('Исходные данные'!$B$55="Да",AG139,0)-N('Исходные данные'!$B$56)/12),IF('Исходные данные'!$B$53="Пользовательская база",MAX(0,N('Исходные данные'!$B$57)/12),0)))</f>
        <v>0</v>
      </c>
      <c r="AS139">
        <f>IF(E139=1,-AR139*N('Исходные данные'!$B$50),0)</f>
        <v>0</v>
      </c>
      <c r="AT139">
        <f t="shared" si="91"/>
        <v>0</v>
      </c>
      <c r="AU139">
        <f>IF(OR(B139="",N('Исходные данные'!$B$80)&lt;=0,'Исходные данные'!$B$88=""),0,MAX(0,IF('Исходные данные'!$B$88="Последние 12 месяцев",SUMIFS($Y$2:$Y$194,$B$2:$B$194,"&gt;="&amp;EDATE(B139,-11),$B$2:$B$194,"&lt;="&amp;B139),IF('Исходные данные'!$B$88="Пользовательский NOI",N('Исходные данные'!$B$89),AT139))/N('Исходные данные'!$B$80)*(1+N('Исходные данные'!$B$81))))</f>
        <v>0</v>
      </c>
      <c r="AV139">
        <f>IF(OR(E139&lt;&gt;1,B139="",'Исходные данные'!$B$91=""),0,IF(AND(YEAR(B139)=YEAR('Исходные данные'!$B$91),MONTH(B139)=MONTH('Исходные данные'!$B$91)),AU139,0))</f>
        <v>0</v>
      </c>
      <c r="AW139">
        <f>-AV139*N('Исходные данные'!$B$73)</f>
        <v>0</v>
      </c>
      <c r="AX139">
        <f>IF(AV139=0,0,-N('Исходные данные'!$B$87)-IF('Исходные данные'!$B$82="Да",IF('Исходные данные'!$B$84="С выручки",AV139,IF('Исходные данные'!$B$84="С прибыли",MAX(0,AV139+AW139-IF('Исходные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39">
        <f t="shared" si="92"/>
        <v>0</v>
      </c>
      <c r="AZ139">
        <f t="shared" si="93"/>
        <v>0</v>
      </c>
      <c r="BA139">
        <f t="shared" si="94"/>
        <v>0</v>
      </c>
      <c r="BB139" t="str">
        <f t="shared" si="101"/>
        <v/>
      </c>
      <c r="BC139">
        <f>IF(OR(E139=0,'Исходные данные'!$B$9="",'Исходные данные'!$B$90=""),0,BA139/(1+'Исходные данные'!$B$90)^((D139-'Исходные данные'!$B$9)/365))</f>
        <v>0</v>
      </c>
      <c r="BD139">
        <f>IF(AND(E139=1,BB139&gt;=0,BB138&lt;0,MIN($BB$2:BB139)&lt;0),1,0)</f>
        <v>0</v>
      </c>
      <c r="BE139">
        <f t="shared" si="95"/>
        <v>0</v>
      </c>
      <c r="BF139">
        <f t="shared" si="96"/>
        <v>0</v>
      </c>
      <c r="BG139">
        <f t="shared" si="97"/>
        <v>0</v>
      </c>
      <c r="BH139">
        <f t="shared" si="98"/>
        <v>1</v>
      </c>
      <c r="BI139">
        <f>AZ139+N139+AP139-AR139*N('Исходные данные'!$B$50)</f>
        <v>0</v>
      </c>
      <c r="BJ139">
        <f t="shared" si="102"/>
        <v>0</v>
      </c>
      <c r="BK139">
        <f>IF(AND(BJ139&gt;=0,BJ138&lt;0,MIN($BJ$2:BJ139)&lt;0),1,0)</f>
        <v>0</v>
      </c>
    </row>
    <row r="140" spans="1:63" x14ac:dyDescent="0.2">
      <c r="A140">
        <v>139</v>
      </c>
      <c r="B140" t="str">
        <f>IF('Исходные данные'!$B$9="","",EDATE(DATE(YEAR('Исходные данные'!$B$9),MONTH('Исходные данные'!$B$9),1),A140-1))</f>
        <v/>
      </c>
      <c r="C140" t="str">
        <f t="shared" si="82"/>
        <v/>
      </c>
      <c r="D140" t="str">
        <f>IF(B140="","",IF('Исходные данные'!$B$91&lt;&gt;"",IF(AND(YEAR(B140)=YEAR('Исходные данные'!$B$91),MONTH(B140)=MONTH('Исходные данные'!$B$91)),'Исходные данные'!$B$91,IF('Исходные данные'!$B$13&lt;&gt;"",IF(AND(YEAR(B140)=YEAR('Исходные данные'!$B$13),MONTH(B140)=MONTH('Исходные данные'!$B$13)),'Исходные данные'!$B$13,IF('Исходные данные'!$B$26&lt;&gt;"",IF(AND(YEAR(B140)=YEAR('Исходные данные'!$B$26),MONTH(B140)=MONTH('Исходные данные'!$B$26)),'Исходные данные'!$B$26,IF(A140=1,'Исходные данные'!$B$9,C140)),IF(A140=1,'Исходные данные'!$B$9,C140))),IF('Исходные данные'!$B$26&lt;&gt;"",IF(AND(YEAR(B140)=YEAR('Исходные данные'!$B$26),MONTH(B140)=MONTH('Исходные данные'!$B$26)),'Исходные данные'!$B$26,IF(A140=1,'Исходные данные'!$B$9,C140)),IF(A140=1,'Исходные данные'!$B$9,C140)))),IF('Исходные данные'!$B$13&lt;&gt;"",IF(AND(YEAR(B140)=YEAR('Исходные данные'!$B$13),MONTH(B140)=MONTH('Исходные данные'!$B$13)),'Исходные данные'!$B$13,IF('Исходные данные'!$B$26&lt;&gt;"",IF(AND(YEAR(B140)=YEAR('Исходные данные'!$B$26),MONTH(B140)=MONTH('Исходные данные'!$B$26)),'Исходные данные'!$B$26,IF(A140=1,'Исходные данные'!$B$9,C140)),IF(A140=1,'Исходные данные'!$B$9,C140))),IF('Исходные данные'!$B$26&lt;&gt;"",IF(AND(YEAR(B140)=YEAR('Исходные данные'!$B$26),MONTH(B140)=MONTH('Исходные данные'!$B$26)),'Исходные данные'!$B$26,IF(A140=1,'Исходные данные'!$B$9,C140)),IF(A140=1,'Исходные данные'!$B$9,C140)))))</f>
        <v/>
      </c>
      <c r="E140">
        <f>IF(OR(B140="",'Исходные данные'!$B$91=""),0,--(B140&lt;=DATE(YEAR('Исходные данные'!$B$91),MONTH('Исходные данные'!$B$91),1)))</f>
        <v>0</v>
      </c>
      <c r="F140">
        <f>IF(OR(B140="",'Исходные данные'!$B$30="",C140&lt;'Исходные данные'!$B$30),0,DATEDIF(DATE(YEAR('Исходные данные'!$B$30),MONTH('Исходные данные'!$B$30),1),B140,"m")+1)</f>
        <v>0</v>
      </c>
      <c r="G140">
        <f t="shared" si="83"/>
        <v>0</v>
      </c>
      <c r="H140">
        <f>IF(F140=0,0,IF(G140=1,N('Исходные данные'!$B$31),IF(G140=2,N('Исходные данные'!$B$32),IF(G140=3,N('Исходные данные'!$B$33),N('Исходные данные'!$B$33)*(1+N('Исходные данные'!$B$34))^(G140-3)))))</f>
        <v>0</v>
      </c>
      <c r="I140">
        <f>IF(OR(F140=0,N('Исходные данные'!$B$5)=0,H140=0),0,'Исходные данные'!$B$5*H140*IF(AND(B140&lt;='Исходные данные'!$B$30,C140&gt;='Исходные данные'!$B$30),(C140-'Исходные данные'!$B$30+1)/DAY(C140),1))</f>
        <v>0</v>
      </c>
      <c r="J140">
        <f>IF(AND(F140&gt;0,F140&lt;=N('Исходные данные'!$B$37)),-I140,0)</f>
        <v>0</v>
      </c>
      <c r="K140">
        <f>IF(OR(F140=0,F140&lt;=N('Исходные данные'!$B$37)),0,-(I140+J140)*N('Исходные данные'!$B$38))</f>
        <v>0</v>
      </c>
      <c r="L140">
        <f t="shared" si="84"/>
        <v>0</v>
      </c>
      <c r="M140">
        <f>IF('Исходные данные'!$B$51="Да",L140*N('Исходные данные'!$B$52),0)</f>
        <v>0</v>
      </c>
      <c r="N140">
        <f t="shared" si="85"/>
        <v>0</v>
      </c>
      <c r="O140">
        <f>IF(OR(B140="",IF('Исходные данные'!$B$45="",'Исходные данные'!$B$10,'Исходные данные'!$B$45)="",C140&lt;IF('Исходные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данные'!$B$45)),1),B140,"m")/12))*IF(AND(B140&lt;=IF('Исходные данные'!$B$45="",'Исходные данные'!$B$10,'Исходные данные'!$B$45),C140&gt;=IF('Исходные данные'!$B$45="",'Исходные данные'!$B$10,'Исходные данные'!$B$45)),(C140-IF('Исходные данные'!$B$45="",'Исходные данные'!$B$10,'Исходные данные'!$B$45)+1)/DAY(C140),1)*IF('Исходные данные'!$B$43="Без НДС",1+N('Исходные данные'!$B$44),1))</f>
        <v>0</v>
      </c>
      <c r="P140">
        <f>IF('Исходные данные'!$B$51="Да",-O140*N('Исходные данные'!$B$44)/(1+N('Исходные данные'!$B$44)),0)</f>
        <v>0</v>
      </c>
      <c r="Q140">
        <f>IF('Исходные данные'!$B$35="Да",-O140,0)</f>
        <v>0</v>
      </c>
      <c r="R140">
        <f>IF(AND('Исходные данные'!$B$51="Да",Q140&gt;0),Q140*N('Исходные данные'!$B$52)/(1+N('Исходные данные'!$B$52)),0)</f>
        <v>0</v>
      </c>
      <c r="S140">
        <f>IF(OR(B140="",IF('Исходные данные'!$B$45="",'Исходные данные'!$B$10,'Исходные данные'!$B$45)="",C140&lt;IF('Исходные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данные'!$B$45)),1),B140,"m")/12))*IF(AND(B140&lt;=IF('Исходные данные'!$B$45="",'Исходные данные'!$B$10,'Исходные данные'!$B$45),C140&gt;=IF('Исходные данные'!$B$45="",'Исходные данные'!$B$10,'Исходные данные'!$B$45)),(C140-IF('Исходные данные'!$B$45="",'Исходные данные'!$B$10,'Исходные данные'!$B$45)+1)/DAY(C140),1)*IF('Исходные данные'!$B$43="Без НДС",1+N('Исходные данные'!$B$44),1))</f>
        <v>0</v>
      </c>
      <c r="T140">
        <f>IF('Исходные данные'!$B$51="Да",-S140*N('Исходные данные'!$B$44)/(1+N('Исходные данные'!$B$44)),0)</f>
        <v>0</v>
      </c>
      <c r="U140">
        <f>IF('Исходные данные'!$B$36="Да",-S140,0)</f>
        <v>0</v>
      </c>
      <c r="V140">
        <f>IF(AND('Исходные данные'!$B$51="Да",U140&gt;0),U140*N('Исходные данные'!$B$52)/(1+N('Исходные данные'!$B$52)),0)</f>
        <v>0</v>
      </c>
      <c r="W140">
        <f>IF(OR(B140="",IF('Исходные данные'!$B$69="",'Исходные данные'!$B$10,'Исходные данные'!$B$69)="",C140&lt;IF('Исходные данные'!$B$69="",'Исходные данные'!$B$10,'Исходные данные'!$B$69)),0,-N('Исходные данные'!$B$16)*N('Исходные данные'!$B$68)*N('Исходные данные'!$B$67)/12*IF(AND(B140&lt;=IF('Исходные данные'!$B$69="",'Исходные данные'!$B$10,'Исходные данные'!$B$69),C140&gt;=IF('Исходные данные'!$B$69="",'Исходные данные'!$B$10,'Исходные данные'!$B$69)),(C140-IF('Исходные данные'!$B$69="",'Исходные данные'!$B$10,'Исходные данные'!$B$69)+1)/DAY(C140),1))</f>
        <v>0</v>
      </c>
      <c r="X140">
        <f>IF(OR(B140="",IF('Исходные данные'!$B$76="",'Исходные данные'!$B$10,'Исходные данные'!$B$76)="",C140&lt;IF('Исходные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данные'!$B$76)),1),B140,"m")/12))*IF(AND(B140&lt;=IF('Исходные данные'!$B$76="",'Исходные данные'!$B$10,'Исходные данные'!$B$76),C140&gt;=IF('Исходные данные'!$B$76="",'Исходные данные'!$B$10,'Исходные данные'!$B$76)),(C140-IF('Исходные данные'!$B$76="",'Исходные данные'!$B$10,'Исходные данные'!$B$76)+1)/DAY(C140),1))</f>
        <v>0</v>
      </c>
      <c r="Y140">
        <f t="shared" si="86"/>
        <v>0</v>
      </c>
      <c r="Z140">
        <f>IF(OR(B140="",N('Исходные данные'!$B$19)=0),0,-SUMIFS('Исходные данные'!$I$6:$I$186,'Исходные данные'!$F$6:$F$186,B140)*N('Исходные данные'!$B$17)/N('Исходные данные'!$B$19))</f>
        <v>0</v>
      </c>
      <c r="AA140">
        <f>IF(OR(B140="",N('Исходные данные'!$B$19)=0),0,-SUMIFS('Исходные данные'!$I$6:$I$186,'Исходные данные'!$F$6:$F$186,B140)*N('Исходные данные'!$B$18)/N('Исходные данные'!$B$19))</f>
        <v>0</v>
      </c>
      <c r="AB140">
        <f>IF(OR(B140="",'Исходные данные'!$B$13=""),0,IF(AND(YEAR(B140)=YEAR('Исходные данные'!$B$13),MONTH(B140)=MONTH('Исходные данные'!$B$13)),-N('Исходные данные'!$B$11),0))</f>
        <v>0</v>
      </c>
      <c r="AC140">
        <f>IF(A140=1,-N('Исходные данные'!$B$19)*N('Исходные данные'!$B$72),0)</f>
        <v>0</v>
      </c>
      <c r="AD140">
        <f>IF(OR(B140="",'Исходные данные'!$B$22&lt;&gt;"Да",'Исходные данные'!$B$26=""),0,IF(AND(YEAR(B140)=YEAR('Исходные данные'!$B$26),MONTH(B140)=MONTH('Исходные данные'!$B$26)),N('Исходные данные'!$B$23),0))</f>
        <v>0</v>
      </c>
      <c r="AE140">
        <f t="shared" si="99"/>
        <v>0</v>
      </c>
      <c r="AF140">
        <f>IF(OR('Исходные данные'!$B$22&lt;&gt;"Да",'Исходные данные'!$B$26="",C140&lt;'Исходные данные'!$B$26),0,DATEDIF(DATE(YEAR('Исходные данные'!$B$26),MONTH('Исходные данные'!$B$26),1),B140,"m")+1)</f>
        <v>0</v>
      </c>
      <c r="AG140">
        <f>IF(OR(AF140&lt;1,AF140&gt;N('Исходные данные'!$B$25),AE140+AD140&lt;=0),0,-(AE140+AD140)*N('Исходные данные'!$B$24)*IF(AF140=1,C140-'Исходные данные'!$B$26+1,DAY(C140))/365)</f>
        <v>0</v>
      </c>
      <c r="AH140">
        <f>IF(OR(AF140&lt;1,AF140&gt;N('Исходные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данные'!$B$25)-AG140))</f>
        <v>0</v>
      </c>
      <c r="AI140">
        <f>IF(OR('Исходные данные'!$B$22&lt;&gt;"Да",AE140+AD140&lt;=0),0,IF(AND('Исходные данные'!$B$91&lt;&gt;"",B140&lt;&gt;"",YEAR(B140)=YEAR('Исходные данные'!$B$91),MONTH(B140)=MONTH('Исходные данные'!$B$91)),-(AE140+AD140),IF(OR(AF140&lt;1,AF140&gt;N('Исходные данные'!$B$25)),0,IF('Исходные данные'!$B$27="Равными долями",-MIN(AE140+AD140,N('Исходные данные'!$B$23)/N('Исходные данные'!$B$25)),-MIN(AE140+AD140,IF(AF140=N('Исходные данные'!$B$25),AE140+AD140,MAX(0,AH140+AG140)))))))</f>
        <v>0</v>
      </c>
      <c r="AJ140">
        <f t="shared" si="87"/>
        <v>0</v>
      </c>
      <c r="AK140">
        <f t="shared" si="88"/>
        <v>0</v>
      </c>
      <c r="AL140">
        <f>IF(OR(B140="",'Исходные данные'!$B$51&lt;&gt;"Да",'Исходные данные'!$B$61=""),0,IF(AND(YEAR(B140)=YEAR('Исходные данные'!$B$61),MONTH(B140)=MONTH('Исходные данные'!$B$61)),N('Исходные данные'!$B$18)*N('Исходные данные'!$B$62),0))</f>
        <v>0</v>
      </c>
      <c r="AM140">
        <f t="shared" si="100"/>
        <v>0</v>
      </c>
      <c r="AN140">
        <f t="shared" si="89"/>
        <v>0</v>
      </c>
      <c r="AO140">
        <f t="shared" si="90"/>
        <v>0</v>
      </c>
      <c r="AP140">
        <f>IF('Исходные данные'!$B$51="Да",-MAX(0,AN140-AO140-AM140),0)</f>
        <v>0</v>
      </c>
      <c r="AQ140">
        <f>IF('Исходные данные'!$B$51="Да",MAX(0,AM140+AO140-AN140),0)</f>
        <v>0</v>
      </c>
      <c r="AR140">
        <f>IF('Исходные данные'!$B$53="Выручка",MAX(0,L140+(Q140-R140)+(U140-V140)),IF('Исходные данные'!$B$53="Прибыль до налога",MAX(0,L140+(Q140-R140)+(U140-V140)+N('Исходные данные'!$B$54)*((O140+P140)+(S140+T140)+W140+X140)+IF('Исходные данные'!$B$55="Да",AG140,0)-N('Исходные данные'!$B$56)/12),IF('Исходные данные'!$B$53="Пользовательская база",MAX(0,N('Исходные данные'!$B$57)/12),0)))</f>
        <v>0</v>
      </c>
      <c r="AS140">
        <f>IF(E140=1,-AR140*N('Исходные данные'!$B$50),0)</f>
        <v>0</v>
      </c>
      <c r="AT140">
        <f t="shared" si="91"/>
        <v>0</v>
      </c>
      <c r="AU140">
        <f>IF(OR(B140="",N('Исходные данные'!$B$80)&lt;=0,'Исходные данные'!$B$88=""),0,MAX(0,IF('Исходные данные'!$B$88="Последние 12 месяцев",SUMIFS($Y$2:$Y$194,$B$2:$B$194,"&gt;="&amp;EDATE(B140,-11),$B$2:$B$194,"&lt;="&amp;B140),IF('Исходные данные'!$B$88="Пользовательский NOI",N('Исходные данные'!$B$89),AT140))/N('Исходные данные'!$B$80)*(1+N('Исходные данные'!$B$81))))</f>
        <v>0</v>
      </c>
      <c r="AV140">
        <f>IF(OR(E140&lt;&gt;1,B140="",'Исходные данные'!$B$91=""),0,IF(AND(YEAR(B140)=YEAR('Исходные данные'!$B$91),MONTH(B140)=MONTH('Исходные данные'!$B$91)),AU140,0))</f>
        <v>0</v>
      </c>
      <c r="AW140">
        <f>-AV140*N('Исходные данные'!$B$73)</f>
        <v>0</v>
      </c>
      <c r="AX140">
        <f>IF(AV140=0,0,-N('Исходные данные'!$B$87)-IF('Исходные данные'!$B$82="Да",IF('Исходные данные'!$B$84="С выручки",AV140,IF('Исходные данные'!$B$84="С прибыли",MAX(0,AV140+AW140-IF('Исходные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40">
        <f t="shared" si="92"/>
        <v>0</v>
      </c>
      <c r="AZ140">
        <f t="shared" si="93"/>
        <v>0</v>
      </c>
      <c r="BA140">
        <f t="shared" si="94"/>
        <v>0</v>
      </c>
      <c r="BB140" t="str">
        <f t="shared" si="101"/>
        <v/>
      </c>
      <c r="BC140">
        <f>IF(OR(E140=0,'Исходные данные'!$B$9="",'Исходные данные'!$B$90=""),0,BA140/(1+'Исходные данные'!$B$90)^((D140-'Исходные данные'!$B$9)/365))</f>
        <v>0</v>
      </c>
      <c r="BD140">
        <f>IF(AND(E140=1,BB140&gt;=0,BB139&lt;0,MIN($BB$2:BB140)&lt;0),1,0)</f>
        <v>0</v>
      </c>
      <c r="BE140">
        <f t="shared" si="95"/>
        <v>0</v>
      </c>
      <c r="BF140">
        <f t="shared" si="96"/>
        <v>0</v>
      </c>
      <c r="BG140">
        <f t="shared" si="97"/>
        <v>0</v>
      </c>
      <c r="BH140">
        <f t="shared" si="98"/>
        <v>1</v>
      </c>
      <c r="BI140">
        <f>AZ140+N140+AP140-AR140*N('Исходные данные'!$B$50)</f>
        <v>0</v>
      </c>
      <c r="BJ140">
        <f t="shared" si="102"/>
        <v>0</v>
      </c>
      <c r="BK140">
        <f>IF(AND(BJ140&gt;=0,BJ139&lt;0,MIN($BJ$2:BJ140)&lt;0),1,0)</f>
        <v>0</v>
      </c>
    </row>
    <row r="141" spans="1:63" x14ac:dyDescent="0.2">
      <c r="A141">
        <v>140</v>
      </c>
      <c r="B141" t="str">
        <f>IF('Исходные данные'!$B$9="","",EDATE(DATE(YEAR('Исходные данные'!$B$9),MONTH('Исходные данные'!$B$9),1),A141-1))</f>
        <v/>
      </c>
      <c r="C141" t="str">
        <f t="shared" si="82"/>
        <v/>
      </c>
      <c r="D141" t="str">
        <f>IF(B141="","",IF('Исходные данные'!$B$91&lt;&gt;"",IF(AND(YEAR(B141)=YEAR('Исходные данные'!$B$91),MONTH(B141)=MONTH('Исходные данные'!$B$91)),'Исходные данные'!$B$91,IF('Исходные данные'!$B$13&lt;&gt;"",IF(AND(YEAR(B141)=YEAR('Исходные данные'!$B$13),MONTH(B141)=MONTH('Исходные данные'!$B$13)),'Исходные данные'!$B$13,IF('Исходные данные'!$B$26&lt;&gt;"",IF(AND(YEAR(B141)=YEAR('Исходные данные'!$B$26),MONTH(B141)=MONTH('Исходные данные'!$B$26)),'Исходные данные'!$B$26,IF(A141=1,'Исходные данные'!$B$9,C141)),IF(A141=1,'Исходные данные'!$B$9,C141))),IF('Исходные данные'!$B$26&lt;&gt;"",IF(AND(YEAR(B141)=YEAR('Исходные данные'!$B$26),MONTH(B141)=MONTH('Исходные данные'!$B$26)),'Исходные данные'!$B$26,IF(A141=1,'Исходные данные'!$B$9,C141)),IF(A141=1,'Исходные данные'!$B$9,C141)))),IF('Исходные данные'!$B$13&lt;&gt;"",IF(AND(YEAR(B141)=YEAR('Исходные данные'!$B$13),MONTH(B141)=MONTH('Исходные данные'!$B$13)),'Исходные данные'!$B$13,IF('Исходные данные'!$B$26&lt;&gt;"",IF(AND(YEAR(B141)=YEAR('Исходные данные'!$B$26),MONTH(B141)=MONTH('Исходные данные'!$B$26)),'Исходные данные'!$B$26,IF(A141=1,'Исходные данные'!$B$9,C141)),IF(A141=1,'Исходные данные'!$B$9,C141))),IF('Исходные данные'!$B$26&lt;&gt;"",IF(AND(YEAR(B141)=YEAR('Исходные данные'!$B$26),MONTH(B141)=MONTH('Исходные данные'!$B$26)),'Исходные данные'!$B$26,IF(A141=1,'Исходные данные'!$B$9,C141)),IF(A141=1,'Исходные данные'!$B$9,C141)))))</f>
        <v/>
      </c>
      <c r="E141">
        <f>IF(OR(B141="",'Исходные данные'!$B$91=""),0,--(B141&lt;=DATE(YEAR('Исходные данные'!$B$91),MONTH('Исходные данные'!$B$91),1)))</f>
        <v>0</v>
      </c>
      <c r="F141">
        <f>IF(OR(B141="",'Исходные данные'!$B$30="",C141&lt;'Исходные данные'!$B$30),0,DATEDIF(DATE(YEAR('Исходные данные'!$B$30),MONTH('Исходные данные'!$B$30),1),B141,"m")+1)</f>
        <v>0</v>
      </c>
      <c r="G141">
        <f t="shared" si="83"/>
        <v>0</v>
      </c>
      <c r="H141">
        <f>IF(F141=0,0,IF(G141=1,N('Исходные данные'!$B$31),IF(G141=2,N('Исходные данные'!$B$32),IF(G141=3,N('Исходные данные'!$B$33),N('Исходные данные'!$B$33)*(1+N('Исходные данные'!$B$34))^(G141-3)))))</f>
        <v>0</v>
      </c>
      <c r="I141">
        <f>IF(OR(F141=0,N('Исходные данные'!$B$5)=0,H141=0),0,'Исходные данные'!$B$5*H141*IF(AND(B141&lt;='Исходные данные'!$B$30,C141&gt;='Исходные данные'!$B$30),(C141-'Исходные данные'!$B$30+1)/DAY(C141),1))</f>
        <v>0</v>
      </c>
      <c r="J141">
        <f>IF(AND(F141&gt;0,F141&lt;=N('Исходные данные'!$B$37)),-I141,0)</f>
        <v>0</v>
      </c>
      <c r="K141">
        <f>IF(OR(F141=0,F141&lt;=N('Исходные данные'!$B$37)),0,-(I141+J141)*N('Исходные данные'!$B$38))</f>
        <v>0</v>
      </c>
      <c r="L141">
        <f t="shared" si="84"/>
        <v>0</v>
      </c>
      <c r="M141">
        <f>IF('Исходные данные'!$B$51="Да",L141*N('Исходные данные'!$B$52),0)</f>
        <v>0</v>
      </c>
      <c r="N141">
        <f t="shared" si="85"/>
        <v>0</v>
      </c>
      <c r="O141">
        <f>IF(OR(B141="",IF('Исходные данные'!$B$45="",'Исходные данные'!$B$10,'Исходные данные'!$B$45)="",C141&lt;IF('Исходные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данные'!$B$45)),1),B141,"m")/12))*IF(AND(B141&lt;=IF('Исходные данные'!$B$45="",'Исходные данные'!$B$10,'Исходные данные'!$B$45),C141&gt;=IF('Исходные данные'!$B$45="",'Исходные данные'!$B$10,'Исходные данные'!$B$45)),(C141-IF('Исходные данные'!$B$45="",'Исходные данные'!$B$10,'Исходные данные'!$B$45)+1)/DAY(C141),1)*IF('Исходные данные'!$B$43="Без НДС",1+N('Исходные данные'!$B$44),1))</f>
        <v>0</v>
      </c>
      <c r="P141">
        <f>IF('Исходные данные'!$B$51="Да",-O141*N('Исходные данные'!$B$44)/(1+N('Исходные данные'!$B$44)),0)</f>
        <v>0</v>
      </c>
      <c r="Q141">
        <f>IF('Исходные данные'!$B$35="Да",-O141,0)</f>
        <v>0</v>
      </c>
      <c r="R141">
        <f>IF(AND('Исходные данные'!$B$51="Да",Q141&gt;0),Q141*N('Исходные данные'!$B$52)/(1+N('Исходные данные'!$B$52)),0)</f>
        <v>0</v>
      </c>
      <c r="S141">
        <f>IF(OR(B141="",IF('Исходные данные'!$B$45="",'Исходные данные'!$B$10,'Исходные данные'!$B$45)="",C141&lt;IF('Исходные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данные'!$B$45)),1),B141,"m")/12))*IF(AND(B141&lt;=IF('Исходные данные'!$B$45="",'Исходные данные'!$B$10,'Исходные данные'!$B$45),C141&gt;=IF('Исходные данные'!$B$45="",'Исходные данные'!$B$10,'Исходные данные'!$B$45)),(C141-IF('Исходные данные'!$B$45="",'Исходные данные'!$B$10,'Исходные данные'!$B$45)+1)/DAY(C141),1)*IF('Исходные данные'!$B$43="Без НДС",1+N('Исходные данные'!$B$44),1))</f>
        <v>0</v>
      </c>
      <c r="T141">
        <f>IF('Исходные данные'!$B$51="Да",-S141*N('Исходные данные'!$B$44)/(1+N('Исходные данные'!$B$44)),0)</f>
        <v>0</v>
      </c>
      <c r="U141">
        <f>IF('Исходные данные'!$B$36="Да",-S141,0)</f>
        <v>0</v>
      </c>
      <c r="V141">
        <f>IF(AND('Исходные данные'!$B$51="Да",U141&gt;0),U141*N('Исходные данные'!$B$52)/(1+N('Исходные данные'!$B$52)),0)</f>
        <v>0</v>
      </c>
      <c r="W141">
        <f>IF(OR(B141="",IF('Исходные данные'!$B$69="",'Исходные данные'!$B$10,'Исходные данные'!$B$69)="",C141&lt;IF('Исходные данные'!$B$69="",'Исходные данные'!$B$10,'Исходные данные'!$B$69)),0,-N('Исходные данные'!$B$16)*N('Исходные данные'!$B$68)*N('Исходные данные'!$B$67)/12*IF(AND(B141&lt;=IF('Исходные данные'!$B$69="",'Исходные данные'!$B$10,'Исходные данные'!$B$69),C141&gt;=IF('Исходные данные'!$B$69="",'Исходные данные'!$B$10,'Исходные данные'!$B$69)),(C141-IF('Исходные данные'!$B$69="",'Исходные данные'!$B$10,'Исходные данные'!$B$69)+1)/DAY(C141),1))</f>
        <v>0</v>
      </c>
      <c r="X141">
        <f>IF(OR(B141="",IF('Исходные данные'!$B$76="",'Исходные данные'!$B$10,'Исходные данные'!$B$76)="",C141&lt;IF('Исходные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данные'!$B$76)),1),B141,"m")/12))*IF(AND(B141&lt;=IF('Исходные данные'!$B$76="",'Исходные данные'!$B$10,'Исходные данные'!$B$76),C141&gt;=IF('Исходные данные'!$B$76="",'Исходные данные'!$B$10,'Исходные данные'!$B$76)),(C141-IF('Исходные данные'!$B$76="",'Исходные данные'!$B$10,'Исходные данные'!$B$76)+1)/DAY(C141),1))</f>
        <v>0</v>
      </c>
      <c r="Y141">
        <f t="shared" si="86"/>
        <v>0</v>
      </c>
      <c r="Z141">
        <f>IF(OR(B141="",N('Исходные данные'!$B$19)=0),0,-SUMIFS('Исходные данные'!$I$6:$I$186,'Исходные данные'!$F$6:$F$186,B141)*N('Исходные данные'!$B$17)/N('Исходные данные'!$B$19))</f>
        <v>0</v>
      </c>
      <c r="AA141">
        <f>IF(OR(B141="",N('Исходные данные'!$B$19)=0),0,-SUMIFS('Исходные данные'!$I$6:$I$186,'Исходные данные'!$F$6:$F$186,B141)*N('Исходные данные'!$B$18)/N('Исходные данные'!$B$19))</f>
        <v>0</v>
      </c>
      <c r="AB141">
        <f>IF(OR(B141="",'Исходные данные'!$B$13=""),0,IF(AND(YEAR(B141)=YEAR('Исходные данные'!$B$13),MONTH(B141)=MONTH('Исходные данные'!$B$13)),-N('Исходные данные'!$B$11),0))</f>
        <v>0</v>
      </c>
      <c r="AC141">
        <f>IF(A141=1,-N('Исходные данные'!$B$19)*N('Исходные данные'!$B$72),0)</f>
        <v>0</v>
      </c>
      <c r="AD141">
        <f>IF(OR(B141="",'Исходные данные'!$B$22&lt;&gt;"Да",'Исходные данные'!$B$26=""),0,IF(AND(YEAR(B141)=YEAR('Исходные данные'!$B$26),MONTH(B141)=MONTH('Исходные данные'!$B$26)),N('Исходные данные'!$B$23),0))</f>
        <v>0</v>
      </c>
      <c r="AE141">
        <f t="shared" si="99"/>
        <v>0</v>
      </c>
      <c r="AF141">
        <f>IF(OR('Исходные данные'!$B$22&lt;&gt;"Да",'Исходные данные'!$B$26="",C141&lt;'Исходные данные'!$B$26),0,DATEDIF(DATE(YEAR('Исходные данные'!$B$26),MONTH('Исходные данные'!$B$26),1),B141,"m")+1)</f>
        <v>0</v>
      </c>
      <c r="AG141">
        <f>IF(OR(AF141&lt;1,AF141&gt;N('Исходные данные'!$B$25),AE141+AD141&lt;=0),0,-(AE141+AD141)*N('Исходные данные'!$B$24)*IF(AF141=1,C141-'Исходные данные'!$B$26+1,DAY(C141))/365)</f>
        <v>0</v>
      </c>
      <c r="AH141">
        <f>IF(OR(AF141&lt;1,AF141&gt;N('Исходные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данные'!$B$25)-AG141))</f>
        <v>0</v>
      </c>
      <c r="AI141">
        <f>IF(OR('Исходные данные'!$B$22&lt;&gt;"Да",AE141+AD141&lt;=0),0,IF(AND('Исходные данные'!$B$91&lt;&gt;"",B141&lt;&gt;"",YEAR(B141)=YEAR('Исходные данные'!$B$91),MONTH(B141)=MONTH('Исходные данные'!$B$91)),-(AE141+AD141),IF(OR(AF141&lt;1,AF141&gt;N('Исходные данные'!$B$25)),0,IF('Исходные данные'!$B$27="Равными долями",-MIN(AE141+AD141,N('Исходные данные'!$B$23)/N('Исходные данные'!$B$25)),-MIN(AE141+AD141,IF(AF141=N('Исходные данные'!$B$25),AE141+AD141,MAX(0,AH141+AG141)))))))</f>
        <v>0</v>
      </c>
      <c r="AJ141">
        <f t="shared" si="87"/>
        <v>0</v>
      </c>
      <c r="AK141">
        <f t="shared" si="88"/>
        <v>0</v>
      </c>
      <c r="AL141">
        <f>IF(OR(B141="",'Исходные данные'!$B$51&lt;&gt;"Да",'Исходные данные'!$B$61=""),0,IF(AND(YEAR(B141)=YEAR('Исходные данные'!$B$61),MONTH(B141)=MONTH('Исходные данные'!$B$61)),N('Исходные данные'!$B$18)*N('Исходные данные'!$B$62),0))</f>
        <v>0</v>
      </c>
      <c r="AM141">
        <f t="shared" si="100"/>
        <v>0</v>
      </c>
      <c r="AN141">
        <f t="shared" si="89"/>
        <v>0</v>
      </c>
      <c r="AO141">
        <f t="shared" si="90"/>
        <v>0</v>
      </c>
      <c r="AP141">
        <f>IF('Исходные данные'!$B$51="Да",-MAX(0,AN141-AO141-AM141),0)</f>
        <v>0</v>
      </c>
      <c r="AQ141">
        <f>IF('Исходные данные'!$B$51="Да",MAX(0,AM141+AO141-AN141),0)</f>
        <v>0</v>
      </c>
      <c r="AR141">
        <f>IF('Исходные данные'!$B$53="Выручка",MAX(0,L141+(Q141-R141)+(U141-V141)),IF('Исходные данные'!$B$53="Прибыль до налога",MAX(0,L141+(Q141-R141)+(U141-V141)+N('Исходные данные'!$B$54)*((O141+P141)+(S141+T141)+W141+X141)+IF('Исходные данные'!$B$55="Да",AG141,0)-N('Исходные данные'!$B$56)/12),IF('Исходные данные'!$B$53="Пользовательская база",MAX(0,N('Исходные данные'!$B$57)/12),0)))</f>
        <v>0</v>
      </c>
      <c r="AS141">
        <f>IF(E141=1,-AR141*N('Исходные данные'!$B$50),0)</f>
        <v>0</v>
      </c>
      <c r="AT141">
        <f t="shared" si="91"/>
        <v>0</v>
      </c>
      <c r="AU141">
        <f>IF(OR(B141="",N('Исходные данные'!$B$80)&lt;=0,'Исходные данные'!$B$88=""),0,MAX(0,IF('Исходные данные'!$B$88="Последние 12 месяцев",SUMIFS($Y$2:$Y$194,$B$2:$B$194,"&gt;="&amp;EDATE(B141,-11),$B$2:$B$194,"&lt;="&amp;B141),IF('Исходные данные'!$B$88="Пользовательский NOI",N('Исходные данные'!$B$89),AT141))/N('Исходные данные'!$B$80)*(1+N('Исходные данные'!$B$81))))</f>
        <v>0</v>
      </c>
      <c r="AV141">
        <f>IF(OR(E141&lt;&gt;1,B141="",'Исходные данные'!$B$91=""),0,IF(AND(YEAR(B141)=YEAR('Исходные данные'!$B$91),MONTH(B141)=MONTH('Исходные данные'!$B$91)),AU141,0))</f>
        <v>0</v>
      </c>
      <c r="AW141">
        <f>-AV141*N('Исходные данные'!$B$73)</f>
        <v>0</v>
      </c>
      <c r="AX141">
        <f>IF(AV141=0,0,-N('Исходные данные'!$B$87)-IF('Исходные данные'!$B$82="Да",IF('Исходные данные'!$B$84="С выручки",AV141,IF('Исходные данные'!$B$84="С прибыли",MAX(0,AV141+AW141-IF('Исходные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41">
        <f t="shared" si="92"/>
        <v>0</v>
      </c>
      <c r="AZ141">
        <f t="shared" si="93"/>
        <v>0</v>
      </c>
      <c r="BA141">
        <f t="shared" si="94"/>
        <v>0</v>
      </c>
      <c r="BB141" t="str">
        <f t="shared" si="101"/>
        <v/>
      </c>
      <c r="BC141">
        <f>IF(OR(E141=0,'Исходные данные'!$B$9="",'Исходные данные'!$B$90=""),0,BA141/(1+'Исходные данные'!$B$90)^((D141-'Исходные данные'!$B$9)/365))</f>
        <v>0</v>
      </c>
      <c r="BD141">
        <f>IF(AND(E141=1,BB141&gt;=0,BB140&lt;0,MIN($BB$2:BB141)&lt;0),1,0)</f>
        <v>0</v>
      </c>
      <c r="BE141">
        <f t="shared" si="95"/>
        <v>0</v>
      </c>
      <c r="BF141">
        <f t="shared" si="96"/>
        <v>0</v>
      </c>
      <c r="BG141">
        <f t="shared" si="97"/>
        <v>0</v>
      </c>
      <c r="BH141">
        <f t="shared" si="98"/>
        <v>1</v>
      </c>
      <c r="BI141">
        <f>AZ141+N141+AP141-AR141*N('Исходные данные'!$B$50)</f>
        <v>0</v>
      </c>
      <c r="BJ141">
        <f t="shared" si="102"/>
        <v>0</v>
      </c>
      <c r="BK141">
        <f>IF(AND(BJ141&gt;=0,BJ140&lt;0,MIN($BJ$2:BJ141)&lt;0),1,0)</f>
        <v>0</v>
      </c>
    </row>
    <row r="142" spans="1:63" x14ac:dyDescent="0.2">
      <c r="A142">
        <v>141</v>
      </c>
      <c r="B142" t="str">
        <f>IF('Исходные данные'!$B$9="","",EDATE(DATE(YEAR('Исходные данные'!$B$9),MONTH('Исходные данные'!$B$9),1),A142-1))</f>
        <v/>
      </c>
      <c r="C142" t="str">
        <f t="shared" si="82"/>
        <v/>
      </c>
      <c r="D142" t="str">
        <f>IF(B142="","",IF('Исходные данные'!$B$91&lt;&gt;"",IF(AND(YEAR(B142)=YEAR('Исходные данные'!$B$91),MONTH(B142)=MONTH('Исходные данные'!$B$91)),'Исходные данные'!$B$91,IF('Исходные данные'!$B$13&lt;&gt;"",IF(AND(YEAR(B142)=YEAR('Исходные данные'!$B$13),MONTH(B142)=MONTH('Исходные данные'!$B$13)),'Исходные данные'!$B$13,IF('Исходные данные'!$B$26&lt;&gt;"",IF(AND(YEAR(B142)=YEAR('Исходные данные'!$B$26),MONTH(B142)=MONTH('Исходные данные'!$B$26)),'Исходные данные'!$B$26,IF(A142=1,'Исходные данные'!$B$9,C142)),IF(A142=1,'Исходные данные'!$B$9,C142))),IF('Исходные данные'!$B$26&lt;&gt;"",IF(AND(YEAR(B142)=YEAR('Исходные данные'!$B$26),MONTH(B142)=MONTH('Исходные данные'!$B$26)),'Исходные данные'!$B$26,IF(A142=1,'Исходные данные'!$B$9,C142)),IF(A142=1,'Исходные данные'!$B$9,C142)))),IF('Исходные данные'!$B$13&lt;&gt;"",IF(AND(YEAR(B142)=YEAR('Исходные данные'!$B$13),MONTH(B142)=MONTH('Исходные данные'!$B$13)),'Исходные данные'!$B$13,IF('Исходные данные'!$B$26&lt;&gt;"",IF(AND(YEAR(B142)=YEAR('Исходные данные'!$B$26),MONTH(B142)=MONTH('Исходные данные'!$B$26)),'Исходные данные'!$B$26,IF(A142=1,'Исходные данные'!$B$9,C142)),IF(A142=1,'Исходные данные'!$B$9,C142))),IF('Исходные данные'!$B$26&lt;&gt;"",IF(AND(YEAR(B142)=YEAR('Исходные данные'!$B$26),MONTH(B142)=MONTH('Исходные данные'!$B$26)),'Исходные данные'!$B$26,IF(A142=1,'Исходные данные'!$B$9,C142)),IF(A142=1,'Исходные данные'!$B$9,C142)))))</f>
        <v/>
      </c>
      <c r="E142">
        <f>IF(OR(B142="",'Исходные данные'!$B$91=""),0,--(B142&lt;=DATE(YEAR('Исходные данные'!$B$91),MONTH('Исходные данные'!$B$91),1)))</f>
        <v>0</v>
      </c>
      <c r="F142">
        <f>IF(OR(B142="",'Исходные данные'!$B$30="",C142&lt;'Исходные данные'!$B$30),0,DATEDIF(DATE(YEAR('Исходные данные'!$B$30),MONTH('Исходные данные'!$B$30),1),B142,"m")+1)</f>
        <v>0</v>
      </c>
      <c r="G142">
        <f t="shared" si="83"/>
        <v>0</v>
      </c>
      <c r="H142">
        <f>IF(F142=0,0,IF(G142=1,N('Исходные данные'!$B$31),IF(G142=2,N('Исходные данные'!$B$32),IF(G142=3,N('Исходные данные'!$B$33),N('Исходные данные'!$B$33)*(1+N('Исходные данные'!$B$34))^(G142-3)))))</f>
        <v>0</v>
      </c>
      <c r="I142">
        <f>IF(OR(F142=0,N('Исходные данные'!$B$5)=0,H142=0),0,'Исходные данные'!$B$5*H142*IF(AND(B142&lt;='Исходные данные'!$B$30,C142&gt;='Исходные данные'!$B$30),(C142-'Исходные данные'!$B$30+1)/DAY(C142),1))</f>
        <v>0</v>
      </c>
      <c r="J142">
        <f>IF(AND(F142&gt;0,F142&lt;=N('Исходные данные'!$B$37)),-I142,0)</f>
        <v>0</v>
      </c>
      <c r="K142">
        <f>IF(OR(F142=0,F142&lt;=N('Исходные данные'!$B$37)),0,-(I142+J142)*N('Исходные данные'!$B$38))</f>
        <v>0</v>
      </c>
      <c r="L142">
        <f t="shared" si="84"/>
        <v>0</v>
      </c>
      <c r="M142">
        <f>IF('Исходные данные'!$B$51="Да",L142*N('Исходные данные'!$B$52),0)</f>
        <v>0</v>
      </c>
      <c r="N142">
        <f t="shared" si="85"/>
        <v>0</v>
      </c>
      <c r="O142">
        <f>IF(OR(B142="",IF('Исходные данные'!$B$45="",'Исходные данные'!$B$10,'Исходные данные'!$B$45)="",C142&lt;IF('Исходные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данные'!$B$45)),1),B142,"m")/12))*IF(AND(B142&lt;=IF('Исходные данные'!$B$45="",'Исходные данные'!$B$10,'Исходные данные'!$B$45),C142&gt;=IF('Исходные данные'!$B$45="",'Исходные данные'!$B$10,'Исходные данные'!$B$45)),(C142-IF('Исходные данные'!$B$45="",'Исходные данные'!$B$10,'Исходные данные'!$B$45)+1)/DAY(C142),1)*IF('Исходные данные'!$B$43="Без НДС",1+N('Исходные данные'!$B$44),1))</f>
        <v>0</v>
      </c>
      <c r="P142">
        <f>IF('Исходные данные'!$B$51="Да",-O142*N('Исходные данные'!$B$44)/(1+N('Исходные данные'!$B$44)),0)</f>
        <v>0</v>
      </c>
      <c r="Q142">
        <f>IF('Исходные данные'!$B$35="Да",-O142,0)</f>
        <v>0</v>
      </c>
      <c r="R142">
        <f>IF(AND('Исходные данные'!$B$51="Да",Q142&gt;0),Q142*N('Исходные данные'!$B$52)/(1+N('Исходные данные'!$B$52)),0)</f>
        <v>0</v>
      </c>
      <c r="S142">
        <f>IF(OR(B142="",IF('Исходные данные'!$B$45="",'Исходные данные'!$B$10,'Исходные данные'!$B$45)="",C142&lt;IF('Исходные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данные'!$B$45)),1),B142,"m")/12))*IF(AND(B142&lt;=IF('Исходные данные'!$B$45="",'Исходные данные'!$B$10,'Исходные данные'!$B$45),C142&gt;=IF('Исходные данные'!$B$45="",'Исходные данные'!$B$10,'Исходные данные'!$B$45)),(C142-IF('Исходные данные'!$B$45="",'Исходные данные'!$B$10,'Исходные данные'!$B$45)+1)/DAY(C142),1)*IF('Исходные данные'!$B$43="Без НДС",1+N('Исходные данные'!$B$44),1))</f>
        <v>0</v>
      </c>
      <c r="T142">
        <f>IF('Исходные данные'!$B$51="Да",-S142*N('Исходные данные'!$B$44)/(1+N('Исходные данные'!$B$44)),0)</f>
        <v>0</v>
      </c>
      <c r="U142">
        <f>IF('Исходные данные'!$B$36="Да",-S142,0)</f>
        <v>0</v>
      </c>
      <c r="V142">
        <f>IF(AND('Исходные данные'!$B$51="Да",U142&gt;0),U142*N('Исходные данные'!$B$52)/(1+N('Исходные данные'!$B$52)),0)</f>
        <v>0</v>
      </c>
      <c r="W142">
        <f>IF(OR(B142="",IF('Исходные данные'!$B$69="",'Исходные данные'!$B$10,'Исходные данные'!$B$69)="",C142&lt;IF('Исходные данные'!$B$69="",'Исходные данные'!$B$10,'Исходные данные'!$B$69)),0,-N('Исходные данные'!$B$16)*N('Исходные данные'!$B$68)*N('Исходные данные'!$B$67)/12*IF(AND(B142&lt;=IF('Исходные данные'!$B$69="",'Исходные данные'!$B$10,'Исходные данные'!$B$69),C142&gt;=IF('Исходные данные'!$B$69="",'Исходные данные'!$B$10,'Исходные данные'!$B$69)),(C142-IF('Исходные данные'!$B$69="",'Исходные данные'!$B$10,'Исходные данные'!$B$69)+1)/DAY(C142),1))</f>
        <v>0</v>
      </c>
      <c r="X142">
        <f>IF(OR(B142="",IF('Исходные данные'!$B$76="",'Исходные данные'!$B$10,'Исходные данные'!$B$76)="",C142&lt;IF('Исходные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данные'!$B$76)),1),B142,"m")/12))*IF(AND(B142&lt;=IF('Исходные данные'!$B$76="",'Исходные данные'!$B$10,'Исходные данные'!$B$76),C142&gt;=IF('Исходные данные'!$B$76="",'Исходные данные'!$B$10,'Исходные данные'!$B$76)),(C142-IF('Исходные данные'!$B$76="",'Исходные данные'!$B$10,'Исходные данные'!$B$76)+1)/DAY(C142),1))</f>
        <v>0</v>
      </c>
      <c r="Y142">
        <f t="shared" si="86"/>
        <v>0</v>
      </c>
      <c r="Z142">
        <f>IF(OR(B142="",N('Исходные данные'!$B$19)=0),0,-SUMIFS('Исходные данные'!$I$6:$I$186,'Исходные данные'!$F$6:$F$186,B142)*N('Исходные данные'!$B$17)/N('Исходные данные'!$B$19))</f>
        <v>0</v>
      </c>
      <c r="AA142">
        <f>IF(OR(B142="",N('Исходные данные'!$B$19)=0),0,-SUMIFS('Исходные данные'!$I$6:$I$186,'Исходные данные'!$F$6:$F$186,B142)*N('Исходные данные'!$B$18)/N('Исходные данные'!$B$19))</f>
        <v>0</v>
      </c>
      <c r="AB142">
        <f>IF(OR(B142="",'Исходные данные'!$B$13=""),0,IF(AND(YEAR(B142)=YEAR('Исходные данные'!$B$13),MONTH(B142)=MONTH('Исходные данные'!$B$13)),-N('Исходные данные'!$B$11),0))</f>
        <v>0</v>
      </c>
      <c r="AC142">
        <f>IF(A142=1,-N('Исходные данные'!$B$19)*N('Исходные данные'!$B$72),0)</f>
        <v>0</v>
      </c>
      <c r="AD142">
        <f>IF(OR(B142="",'Исходные данные'!$B$22&lt;&gt;"Да",'Исходные данные'!$B$26=""),0,IF(AND(YEAR(B142)=YEAR('Исходные данные'!$B$26),MONTH(B142)=MONTH('Исходные данные'!$B$26)),N('Исходные данные'!$B$23),0))</f>
        <v>0</v>
      </c>
      <c r="AE142">
        <f t="shared" si="99"/>
        <v>0</v>
      </c>
      <c r="AF142">
        <f>IF(OR('Исходные данные'!$B$22&lt;&gt;"Да",'Исходные данные'!$B$26="",C142&lt;'Исходные данные'!$B$26),0,DATEDIF(DATE(YEAR('Исходные данные'!$B$26),MONTH('Исходные данные'!$B$26),1),B142,"m")+1)</f>
        <v>0</v>
      </c>
      <c r="AG142">
        <f>IF(OR(AF142&lt;1,AF142&gt;N('Исходные данные'!$B$25),AE142+AD142&lt;=0),0,-(AE142+AD142)*N('Исходные данные'!$B$24)*IF(AF142=1,C142-'Исходные данные'!$B$26+1,DAY(C142))/365)</f>
        <v>0</v>
      </c>
      <c r="AH142">
        <f>IF(OR(AF142&lt;1,AF142&gt;N('Исходные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данные'!$B$25)-AG142))</f>
        <v>0</v>
      </c>
      <c r="AI142">
        <f>IF(OR('Исходные данные'!$B$22&lt;&gt;"Да",AE142+AD142&lt;=0),0,IF(AND('Исходные данные'!$B$91&lt;&gt;"",B142&lt;&gt;"",YEAR(B142)=YEAR('Исходные данные'!$B$91),MONTH(B142)=MONTH('Исходные данные'!$B$91)),-(AE142+AD142),IF(OR(AF142&lt;1,AF142&gt;N('Исходные данные'!$B$25)),0,IF('Исходные данные'!$B$27="Равными долями",-MIN(AE142+AD142,N('Исходные данные'!$B$23)/N('Исходные данные'!$B$25)),-MIN(AE142+AD142,IF(AF142=N('Исходные данные'!$B$25),AE142+AD142,MAX(0,AH142+AG142)))))))</f>
        <v>0</v>
      </c>
      <c r="AJ142">
        <f t="shared" si="87"/>
        <v>0</v>
      </c>
      <c r="AK142">
        <f t="shared" si="88"/>
        <v>0</v>
      </c>
      <c r="AL142">
        <f>IF(OR(B142="",'Исходные данные'!$B$51&lt;&gt;"Да",'Исходные данные'!$B$61=""),0,IF(AND(YEAR(B142)=YEAR('Исходные данные'!$B$61),MONTH(B142)=MONTH('Исходные данные'!$B$61)),N('Исходные данные'!$B$18)*N('Исходные данные'!$B$62),0))</f>
        <v>0</v>
      </c>
      <c r="AM142">
        <f t="shared" si="100"/>
        <v>0</v>
      </c>
      <c r="AN142">
        <f t="shared" si="89"/>
        <v>0</v>
      </c>
      <c r="AO142">
        <f t="shared" si="90"/>
        <v>0</v>
      </c>
      <c r="AP142">
        <f>IF('Исходные данные'!$B$51="Да",-MAX(0,AN142-AO142-AM142),0)</f>
        <v>0</v>
      </c>
      <c r="AQ142">
        <f>IF('Исходные данные'!$B$51="Да",MAX(0,AM142+AO142-AN142),0)</f>
        <v>0</v>
      </c>
      <c r="AR142">
        <f>IF('Исходные данные'!$B$53="Выручка",MAX(0,L142+(Q142-R142)+(U142-V142)),IF('Исходные данные'!$B$53="Прибыль до налога",MAX(0,L142+(Q142-R142)+(U142-V142)+N('Исходные данные'!$B$54)*((O142+P142)+(S142+T142)+W142+X142)+IF('Исходные данные'!$B$55="Да",AG142,0)-N('Исходные данные'!$B$56)/12),IF('Исходные данные'!$B$53="Пользовательская база",MAX(0,N('Исходные данные'!$B$57)/12),0)))</f>
        <v>0</v>
      </c>
      <c r="AS142">
        <f>IF(E142=1,-AR142*N('Исходные данные'!$B$50),0)</f>
        <v>0</v>
      </c>
      <c r="AT142">
        <f t="shared" si="91"/>
        <v>0</v>
      </c>
      <c r="AU142">
        <f>IF(OR(B142="",N('Исходные данные'!$B$80)&lt;=0,'Исходные данные'!$B$88=""),0,MAX(0,IF('Исходные данные'!$B$88="Последние 12 месяцев",SUMIFS($Y$2:$Y$194,$B$2:$B$194,"&gt;="&amp;EDATE(B142,-11),$B$2:$B$194,"&lt;="&amp;B142),IF('Исходные данные'!$B$88="Пользовательский NOI",N('Исходные данные'!$B$89),AT142))/N('Исходные данные'!$B$80)*(1+N('Исходные данные'!$B$81))))</f>
        <v>0</v>
      </c>
      <c r="AV142">
        <f>IF(OR(E142&lt;&gt;1,B142="",'Исходные данные'!$B$91=""),0,IF(AND(YEAR(B142)=YEAR('Исходные данные'!$B$91),MONTH(B142)=MONTH('Исходные данные'!$B$91)),AU142,0))</f>
        <v>0</v>
      </c>
      <c r="AW142">
        <f>-AV142*N('Исходные данные'!$B$73)</f>
        <v>0</v>
      </c>
      <c r="AX142">
        <f>IF(AV142=0,0,-N('Исходные данные'!$B$87)-IF('Исходные данные'!$B$82="Да",IF('Исходные данные'!$B$84="С выручки",AV142,IF('Исходные данные'!$B$84="С прибыли",MAX(0,AV142+AW142-IF('Исходные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42">
        <f t="shared" si="92"/>
        <v>0</v>
      </c>
      <c r="AZ142">
        <f t="shared" si="93"/>
        <v>0</v>
      </c>
      <c r="BA142">
        <f t="shared" si="94"/>
        <v>0</v>
      </c>
      <c r="BB142" t="str">
        <f t="shared" si="101"/>
        <v/>
      </c>
      <c r="BC142">
        <f>IF(OR(E142=0,'Исходные данные'!$B$9="",'Исходные данные'!$B$90=""),0,BA142/(1+'Исходные данные'!$B$90)^((D142-'Исходные данные'!$B$9)/365))</f>
        <v>0</v>
      </c>
      <c r="BD142">
        <f>IF(AND(E142=1,BB142&gt;=0,BB141&lt;0,MIN($BB$2:BB142)&lt;0),1,0)</f>
        <v>0</v>
      </c>
      <c r="BE142">
        <f t="shared" si="95"/>
        <v>0</v>
      </c>
      <c r="BF142">
        <f t="shared" si="96"/>
        <v>0</v>
      </c>
      <c r="BG142">
        <f t="shared" si="97"/>
        <v>0</v>
      </c>
      <c r="BH142">
        <f t="shared" si="98"/>
        <v>1</v>
      </c>
      <c r="BI142">
        <f>AZ142+N142+AP142-AR142*N('Исходные данные'!$B$50)</f>
        <v>0</v>
      </c>
      <c r="BJ142">
        <f t="shared" si="102"/>
        <v>0</v>
      </c>
      <c r="BK142">
        <f>IF(AND(BJ142&gt;=0,BJ141&lt;0,MIN($BJ$2:BJ142)&lt;0),1,0)</f>
        <v>0</v>
      </c>
    </row>
    <row r="143" spans="1:63" x14ac:dyDescent="0.2">
      <c r="A143">
        <v>142</v>
      </c>
      <c r="B143" t="str">
        <f>IF('Исходные данные'!$B$9="","",EDATE(DATE(YEAR('Исходные данные'!$B$9),MONTH('Исходные данные'!$B$9),1),A143-1))</f>
        <v/>
      </c>
      <c r="C143" t="str">
        <f t="shared" si="82"/>
        <v/>
      </c>
      <c r="D143" t="str">
        <f>IF(B143="","",IF('Исходные данные'!$B$91&lt;&gt;"",IF(AND(YEAR(B143)=YEAR('Исходные данные'!$B$91),MONTH(B143)=MONTH('Исходные данные'!$B$91)),'Исходные данные'!$B$91,IF('Исходные данные'!$B$13&lt;&gt;"",IF(AND(YEAR(B143)=YEAR('Исходные данные'!$B$13),MONTH(B143)=MONTH('Исходные данные'!$B$13)),'Исходные данные'!$B$13,IF('Исходные данные'!$B$26&lt;&gt;"",IF(AND(YEAR(B143)=YEAR('Исходные данные'!$B$26),MONTH(B143)=MONTH('Исходные данные'!$B$26)),'Исходные данные'!$B$26,IF(A143=1,'Исходные данные'!$B$9,C143)),IF(A143=1,'Исходные данные'!$B$9,C143))),IF('Исходные данные'!$B$26&lt;&gt;"",IF(AND(YEAR(B143)=YEAR('Исходные данные'!$B$26),MONTH(B143)=MONTH('Исходные данные'!$B$26)),'Исходные данные'!$B$26,IF(A143=1,'Исходные данные'!$B$9,C143)),IF(A143=1,'Исходные данные'!$B$9,C143)))),IF('Исходные данные'!$B$13&lt;&gt;"",IF(AND(YEAR(B143)=YEAR('Исходные данные'!$B$13),MONTH(B143)=MONTH('Исходные данные'!$B$13)),'Исходные данные'!$B$13,IF('Исходные данные'!$B$26&lt;&gt;"",IF(AND(YEAR(B143)=YEAR('Исходные данные'!$B$26),MONTH(B143)=MONTH('Исходные данные'!$B$26)),'Исходные данные'!$B$26,IF(A143=1,'Исходные данные'!$B$9,C143)),IF(A143=1,'Исходные данные'!$B$9,C143))),IF('Исходные данные'!$B$26&lt;&gt;"",IF(AND(YEAR(B143)=YEAR('Исходные данные'!$B$26),MONTH(B143)=MONTH('Исходные данные'!$B$26)),'Исходные данные'!$B$26,IF(A143=1,'Исходные данные'!$B$9,C143)),IF(A143=1,'Исходные данные'!$B$9,C143)))))</f>
        <v/>
      </c>
      <c r="E143">
        <f>IF(OR(B143="",'Исходные данные'!$B$91=""),0,--(B143&lt;=DATE(YEAR('Исходные данные'!$B$91),MONTH('Исходные данные'!$B$91),1)))</f>
        <v>0</v>
      </c>
      <c r="F143">
        <f>IF(OR(B143="",'Исходные данные'!$B$30="",C143&lt;'Исходные данные'!$B$30),0,DATEDIF(DATE(YEAR('Исходные данные'!$B$30),MONTH('Исходные данные'!$B$30),1),B143,"m")+1)</f>
        <v>0</v>
      </c>
      <c r="G143">
        <f t="shared" si="83"/>
        <v>0</v>
      </c>
      <c r="H143">
        <f>IF(F143=0,0,IF(G143=1,N('Исходные данные'!$B$31),IF(G143=2,N('Исходные данные'!$B$32),IF(G143=3,N('Исходные данные'!$B$33),N('Исходные данные'!$B$33)*(1+N('Исходные данные'!$B$34))^(G143-3)))))</f>
        <v>0</v>
      </c>
      <c r="I143">
        <f>IF(OR(F143=0,N('Исходные данные'!$B$5)=0,H143=0),0,'Исходные данные'!$B$5*H143*IF(AND(B143&lt;='Исходные данные'!$B$30,C143&gt;='Исходные данные'!$B$30),(C143-'Исходные данные'!$B$30+1)/DAY(C143),1))</f>
        <v>0</v>
      </c>
      <c r="J143">
        <f>IF(AND(F143&gt;0,F143&lt;=N('Исходные данные'!$B$37)),-I143,0)</f>
        <v>0</v>
      </c>
      <c r="K143">
        <f>IF(OR(F143=0,F143&lt;=N('Исходные данные'!$B$37)),0,-(I143+J143)*N('Исходные данные'!$B$38))</f>
        <v>0</v>
      </c>
      <c r="L143">
        <f t="shared" si="84"/>
        <v>0</v>
      </c>
      <c r="M143">
        <f>IF('Исходные данные'!$B$51="Да",L143*N('Исходные данные'!$B$52),0)</f>
        <v>0</v>
      </c>
      <c r="N143">
        <f t="shared" si="85"/>
        <v>0</v>
      </c>
      <c r="O143">
        <f>IF(OR(B143="",IF('Исходные данные'!$B$45="",'Исходные данные'!$B$10,'Исходные данные'!$B$45)="",C143&lt;IF('Исходные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данные'!$B$45)),1),B143,"m")/12))*IF(AND(B143&lt;=IF('Исходные данные'!$B$45="",'Исходные данные'!$B$10,'Исходные данные'!$B$45),C143&gt;=IF('Исходные данные'!$B$45="",'Исходные данные'!$B$10,'Исходные данные'!$B$45)),(C143-IF('Исходные данные'!$B$45="",'Исходные данные'!$B$10,'Исходные данные'!$B$45)+1)/DAY(C143),1)*IF('Исходные данные'!$B$43="Без НДС",1+N('Исходные данные'!$B$44),1))</f>
        <v>0</v>
      </c>
      <c r="P143">
        <f>IF('Исходные данные'!$B$51="Да",-O143*N('Исходные данные'!$B$44)/(1+N('Исходные данные'!$B$44)),0)</f>
        <v>0</v>
      </c>
      <c r="Q143">
        <f>IF('Исходные данные'!$B$35="Да",-O143,0)</f>
        <v>0</v>
      </c>
      <c r="R143">
        <f>IF(AND('Исходные данные'!$B$51="Да",Q143&gt;0),Q143*N('Исходные данные'!$B$52)/(1+N('Исходные данные'!$B$52)),0)</f>
        <v>0</v>
      </c>
      <c r="S143">
        <f>IF(OR(B143="",IF('Исходные данные'!$B$45="",'Исходные данные'!$B$10,'Исходные данные'!$B$45)="",C143&lt;IF('Исходные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данные'!$B$45)),1),B143,"m")/12))*IF(AND(B143&lt;=IF('Исходные данные'!$B$45="",'Исходные данные'!$B$10,'Исходные данные'!$B$45),C143&gt;=IF('Исходные данные'!$B$45="",'Исходные данные'!$B$10,'Исходные данные'!$B$45)),(C143-IF('Исходные данные'!$B$45="",'Исходные данные'!$B$10,'Исходные данные'!$B$45)+1)/DAY(C143),1)*IF('Исходные данные'!$B$43="Без НДС",1+N('Исходные данные'!$B$44),1))</f>
        <v>0</v>
      </c>
      <c r="T143">
        <f>IF('Исходные данные'!$B$51="Да",-S143*N('Исходные данные'!$B$44)/(1+N('Исходные данные'!$B$44)),0)</f>
        <v>0</v>
      </c>
      <c r="U143">
        <f>IF('Исходные данные'!$B$36="Да",-S143,0)</f>
        <v>0</v>
      </c>
      <c r="V143">
        <f>IF(AND('Исходные данные'!$B$51="Да",U143&gt;0),U143*N('Исходные данные'!$B$52)/(1+N('Исходные данные'!$B$52)),0)</f>
        <v>0</v>
      </c>
      <c r="W143">
        <f>IF(OR(B143="",IF('Исходные данные'!$B$69="",'Исходные данные'!$B$10,'Исходные данные'!$B$69)="",C143&lt;IF('Исходные данные'!$B$69="",'Исходные данные'!$B$10,'Исходные данные'!$B$69)),0,-N('Исходные данные'!$B$16)*N('Исходные данные'!$B$68)*N('Исходные данные'!$B$67)/12*IF(AND(B143&lt;=IF('Исходные данные'!$B$69="",'Исходные данные'!$B$10,'Исходные данные'!$B$69),C143&gt;=IF('Исходные данные'!$B$69="",'Исходные данные'!$B$10,'Исходные данные'!$B$69)),(C143-IF('Исходные данные'!$B$69="",'Исходные данные'!$B$10,'Исходные данные'!$B$69)+1)/DAY(C143),1))</f>
        <v>0</v>
      </c>
      <c r="X143">
        <f>IF(OR(B143="",IF('Исходные данные'!$B$76="",'Исходные данные'!$B$10,'Исходные данные'!$B$76)="",C143&lt;IF('Исходные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данные'!$B$76)),1),B143,"m")/12))*IF(AND(B143&lt;=IF('Исходные данные'!$B$76="",'Исходные данные'!$B$10,'Исходные данные'!$B$76),C143&gt;=IF('Исходные данные'!$B$76="",'Исходные данные'!$B$10,'Исходные данные'!$B$76)),(C143-IF('Исходные данные'!$B$76="",'Исходные данные'!$B$10,'Исходные данные'!$B$76)+1)/DAY(C143),1))</f>
        <v>0</v>
      </c>
      <c r="Y143">
        <f t="shared" si="86"/>
        <v>0</v>
      </c>
      <c r="Z143">
        <f>IF(OR(B143="",N('Исходные данные'!$B$19)=0),0,-SUMIFS('Исходные данные'!$I$6:$I$186,'Исходные данные'!$F$6:$F$186,B143)*N('Исходные данные'!$B$17)/N('Исходные данные'!$B$19))</f>
        <v>0</v>
      </c>
      <c r="AA143">
        <f>IF(OR(B143="",N('Исходные данные'!$B$19)=0),0,-SUMIFS('Исходные данные'!$I$6:$I$186,'Исходные данные'!$F$6:$F$186,B143)*N('Исходные данные'!$B$18)/N('Исходные данные'!$B$19))</f>
        <v>0</v>
      </c>
      <c r="AB143">
        <f>IF(OR(B143="",'Исходные данные'!$B$13=""),0,IF(AND(YEAR(B143)=YEAR('Исходные данные'!$B$13),MONTH(B143)=MONTH('Исходные данные'!$B$13)),-N('Исходные данные'!$B$11),0))</f>
        <v>0</v>
      </c>
      <c r="AC143">
        <f>IF(A143=1,-N('Исходные данные'!$B$19)*N('Исходные данные'!$B$72),0)</f>
        <v>0</v>
      </c>
      <c r="AD143">
        <f>IF(OR(B143="",'Исходные данные'!$B$22&lt;&gt;"Да",'Исходные данные'!$B$26=""),0,IF(AND(YEAR(B143)=YEAR('Исходные данные'!$B$26),MONTH(B143)=MONTH('Исходные данные'!$B$26)),N('Исходные данные'!$B$23),0))</f>
        <v>0</v>
      </c>
      <c r="AE143">
        <f t="shared" si="99"/>
        <v>0</v>
      </c>
      <c r="AF143">
        <f>IF(OR('Исходные данные'!$B$22&lt;&gt;"Да",'Исходные данные'!$B$26="",C143&lt;'Исходные данные'!$B$26),0,DATEDIF(DATE(YEAR('Исходные данные'!$B$26),MONTH('Исходные данные'!$B$26),1),B143,"m")+1)</f>
        <v>0</v>
      </c>
      <c r="AG143">
        <f>IF(OR(AF143&lt;1,AF143&gt;N('Исходные данные'!$B$25),AE143+AD143&lt;=0),0,-(AE143+AD143)*N('Исходные данные'!$B$24)*IF(AF143=1,C143-'Исходные данные'!$B$26+1,DAY(C143))/365)</f>
        <v>0</v>
      </c>
      <c r="AH143">
        <f>IF(OR(AF143&lt;1,AF143&gt;N('Исходные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данные'!$B$25)-AG143))</f>
        <v>0</v>
      </c>
      <c r="AI143">
        <f>IF(OR('Исходные данные'!$B$22&lt;&gt;"Да",AE143+AD143&lt;=0),0,IF(AND('Исходные данные'!$B$91&lt;&gt;"",B143&lt;&gt;"",YEAR(B143)=YEAR('Исходные данные'!$B$91),MONTH(B143)=MONTH('Исходные данные'!$B$91)),-(AE143+AD143),IF(OR(AF143&lt;1,AF143&gt;N('Исходные данные'!$B$25)),0,IF('Исходные данные'!$B$27="Равными долями",-MIN(AE143+AD143,N('Исходные данные'!$B$23)/N('Исходные данные'!$B$25)),-MIN(AE143+AD143,IF(AF143=N('Исходные данные'!$B$25),AE143+AD143,MAX(0,AH143+AG143)))))))</f>
        <v>0</v>
      </c>
      <c r="AJ143">
        <f t="shared" si="87"/>
        <v>0</v>
      </c>
      <c r="AK143">
        <f t="shared" si="88"/>
        <v>0</v>
      </c>
      <c r="AL143">
        <f>IF(OR(B143="",'Исходные данные'!$B$51&lt;&gt;"Да",'Исходные данные'!$B$61=""),0,IF(AND(YEAR(B143)=YEAR('Исходные данные'!$B$61),MONTH(B143)=MONTH('Исходные данные'!$B$61)),N('Исходные данные'!$B$18)*N('Исходные данные'!$B$62),0))</f>
        <v>0</v>
      </c>
      <c r="AM143">
        <f t="shared" si="100"/>
        <v>0</v>
      </c>
      <c r="AN143">
        <f t="shared" si="89"/>
        <v>0</v>
      </c>
      <c r="AO143">
        <f t="shared" si="90"/>
        <v>0</v>
      </c>
      <c r="AP143">
        <f>IF('Исходные данные'!$B$51="Да",-MAX(0,AN143-AO143-AM143),0)</f>
        <v>0</v>
      </c>
      <c r="AQ143">
        <f>IF('Исходные данные'!$B$51="Да",MAX(0,AM143+AO143-AN143),0)</f>
        <v>0</v>
      </c>
      <c r="AR143">
        <f>IF('Исходные данные'!$B$53="Выручка",MAX(0,L143+(Q143-R143)+(U143-V143)),IF('Исходные данные'!$B$53="Прибыль до налога",MAX(0,L143+(Q143-R143)+(U143-V143)+N('Исходные данные'!$B$54)*((O143+P143)+(S143+T143)+W143+X143)+IF('Исходные данные'!$B$55="Да",AG143,0)-N('Исходные данные'!$B$56)/12),IF('Исходные данные'!$B$53="Пользовательская база",MAX(0,N('Исходные данные'!$B$57)/12),0)))</f>
        <v>0</v>
      </c>
      <c r="AS143">
        <f>IF(E143=1,-AR143*N('Исходные данные'!$B$50),0)</f>
        <v>0</v>
      </c>
      <c r="AT143">
        <f t="shared" si="91"/>
        <v>0</v>
      </c>
      <c r="AU143">
        <f>IF(OR(B143="",N('Исходные данные'!$B$80)&lt;=0,'Исходные данные'!$B$88=""),0,MAX(0,IF('Исходные данные'!$B$88="Последние 12 месяцев",SUMIFS($Y$2:$Y$194,$B$2:$B$194,"&gt;="&amp;EDATE(B143,-11),$B$2:$B$194,"&lt;="&amp;B143),IF('Исходные данные'!$B$88="Пользовательский NOI",N('Исходные данные'!$B$89),AT143))/N('Исходные данные'!$B$80)*(1+N('Исходные данные'!$B$81))))</f>
        <v>0</v>
      </c>
      <c r="AV143">
        <f>IF(OR(E143&lt;&gt;1,B143="",'Исходные данные'!$B$91=""),0,IF(AND(YEAR(B143)=YEAR('Исходные данные'!$B$91),MONTH(B143)=MONTH('Исходные данные'!$B$91)),AU143,0))</f>
        <v>0</v>
      </c>
      <c r="AW143">
        <f>-AV143*N('Исходные данные'!$B$73)</f>
        <v>0</v>
      </c>
      <c r="AX143">
        <f>IF(AV143=0,0,-N('Исходные данные'!$B$87)-IF('Исходные данные'!$B$82="Да",IF('Исходные данные'!$B$84="С выручки",AV143,IF('Исходные данные'!$B$84="С прибыли",MAX(0,AV143+AW143-IF('Исходные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43">
        <f t="shared" si="92"/>
        <v>0</v>
      </c>
      <c r="AZ143">
        <f t="shared" si="93"/>
        <v>0</v>
      </c>
      <c r="BA143">
        <f t="shared" si="94"/>
        <v>0</v>
      </c>
      <c r="BB143" t="str">
        <f t="shared" si="101"/>
        <v/>
      </c>
      <c r="BC143">
        <f>IF(OR(E143=0,'Исходные данные'!$B$9="",'Исходные данные'!$B$90=""),0,BA143/(1+'Исходные данные'!$B$90)^((D143-'Исходные данные'!$B$9)/365))</f>
        <v>0</v>
      </c>
      <c r="BD143">
        <f>IF(AND(E143=1,BB143&gt;=0,BB142&lt;0,MIN($BB$2:BB143)&lt;0),1,0)</f>
        <v>0</v>
      </c>
      <c r="BE143">
        <f t="shared" si="95"/>
        <v>0</v>
      </c>
      <c r="BF143">
        <f t="shared" si="96"/>
        <v>0</v>
      </c>
      <c r="BG143">
        <f t="shared" si="97"/>
        <v>0</v>
      </c>
      <c r="BH143">
        <f t="shared" si="98"/>
        <v>1</v>
      </c>
      <c r="BI143">
        <f>AZ143+N143+AP143-AR143*N('Исходные данные'!$B$50)</f>
        <v>0</v>
      </c>
      <c r="BJ143">
        <f t="shared" si="102"/>
        <v>0</v>
      </c>
      <c r="BK143">
        <f>IF(AND(BJ143&gt;=0,BJ142&lt;0,MIN($BJ$2:BJ143)&lt;0),1,0)</f>
        <v>0</v>
      </c>
    </row>
    <row r="144" spans="1:63" x14ac:dyDescent="0.2">
      <c r="A144">
        <v>143</v>
      </c>
      <c r="B144" t="str">
        <f>IF('Исходные данные'!$B$9="","",EDATE(DATE(YEAR('Исходные данные'!$B$9),MONTH('Исходные данные'!$B$9),1),A144-1))</f>
        <v/>
      </c>
      <c r="C144" t="str">
        <f t="shared" si="82"/>
        <v/>
      </c>
      <c r="D144" t="str">
        <f>IF(B144="","",IF('Исходные данные'!$B$91&lt;&gt;"",IF(AND(YEAR(B144)=YEAR('Исходные данные'!$B$91),MONTH(B144)=MONTH('Исходные данные'!$B$91)),'Исходные данные'!$B$91,IF('Исходные данные'!$B$13&lt;&gt;"",IF(AND(YEAR(B144)=YEAR('Исходные данные'!$B$13),MONTH(B144)=MONTH('Исходные данные'!$B$13)),'Исходные данные'!$B$13,IF('Исходные данные'!$B$26&lt;&gt;"",IF(AND(YEAR(B144)=YEAR('Исходные данные'!$B$26),MONTH(B144)=MONTH('Исходные данные'!$B$26)),'Исходные данные'!$B$26,IF(A144=1,'Исходные данные'!$B$9,C144)),IF(A144=1,'Исходные данные'!$B$9,C144))),IF('Исходные данные'!$B$26&lt;&gt;"",IF(AND(YEAR(B144)=YEAR('Исходные данные'!$B$26),MONTH(B144)=MONTH('Исходные данные'!$B$26)),'Исходные данные'!$B$26,IF(A144=1,'Исходные данные'!$B$9,C144)),IF(A144=1,'Исходные данные'!$B$9,C144)))),IF('Исходные данные'!$B$13&lt;&gt;"",IF(AND(YEAR(B144)=YEAR('Исходные данные'!$B$13),MONTH(B144)=MONTH('Исходные данные'!$B$13)),'Исходные данные'!$B$13,IF('Исходные данные'!$B$26&lt;&gt;"",IF(AND(YEAR(B144)=YEAR('Исходные данные'!$B$26),MONTH(B144)=MONTH('Исходные данные'!$B$26)),'Исходные данные'!$B$26,IF(A144=1,'Исходные данные'!$B$9,C144)),IF(A144=1,'Исходные данные'!$B$9,C144))),IF('Исходные данные'!$B$26&lt;&gt;"",IF(AND(YEAR(B144)=YEAR('Исходные данные'!$B$26),MONTH(B144)=MONTH('Исходные данные'!$B$26)),'Исходные данные'!$B$26,IF(A144=1,'Исходные данные'!$B$9,C144)),IF(A144=1,'Исходные данные'!$B$9,C144)))))</f>
        <v/>
      </c>
      <c r="E144">
        <f>IF(OR(B144="",'Исходные данные'!$B$91=""),0,--(B144&lt;=DATE(YEAR('Исходные данные'!$B$91),MONTH('Исходные данные'!$B$91),1)))</f>
        <v>0</v>
      </c>
      <c r="F144">
        <f>IF(OR(B144="",'Исходные данные'!$B$30="",C144&lt;'Исходные данные'!$B$30),0,DATEDIF(DATE(YEAR('Исходные данные'!$B$30),MONTH('Исходные данные'!$B$30),1),B144,"m")+1)</f>
        <v>0</v>
      </c>
      <c r="G144">
        <f t="shared" si="83"/>
        <v>0</v>
      </c>
      <c r="H144">
        <f>IF(F144=0,0,IF(G144=1,N('Исходные данные'!$B$31),IF(G144=2,N('Исходные данные'!$B$32),IF(G144=3,N('Исходные данные'!$B$33),N('Исходные данные'!$B$33)*(1+N('Исходные данные'!$B$34))^(G144-3)))))</f>
        <v>0</v>
      </c>
      <c r="I144">
        <f>IF(OR(F144=0,N('Исходные данные'!$B$5)=0,H144=0),0,'Исходные данные'!$B$5*H144*IF(AND(B144&lt;='Исходные данные'!$B$30,C144&gt;='Исходные данные'!$B$30),(C144-'Исходные данные'!$B$30+1)/DAY(C144),1))</f>
        <v>0</v>
      </c>
      <c r="J144">
        <f>IF(AND(F144&gt;0,F144&lt;=N('Исходные данные'!$B$37)),-I144,0)</f>
        <v>0</v>
      </c>
      <c r="K144">
        <f>IF(OR(F144=0,F144&lt;=N('Исходные данные'!$B$37)),0,-(I144+J144)*N('Исходные данные'!$B$38))</f>
        <v>0</v>
      </c>
      <c r="L144">
        <f t="shared" si="84"/>
        <v>0</v>
      </c>
      <c r="M144">
        <f>IF('Исходные данные'!$B$51="Да",L144*N('Исходные данные'!$B$52),0)</f>
        <v>0</v>
      </c>
      <c r="N144">
        <f t="shared" si="85"/>
        <v>0</v>
      </c>
      <c r="O144">
        <f>IF(OR(B144="",IF('Исходные данные'!$B$45="",'Исходные данные'!$B$10,'Исходные данные'!$B$45)="",C144&lt;IF('Исходные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данные'!$B$45)),1),B144,"m")/12))*IF(AND(B144&lt;=IF('Исходные данные'!$B$45="",'Исходные данные'!$B$10,'Исходные данные'!$B$45),C144&gt;=IF('Исходные данные'!$B$45="",'Исходные данные'!$B$10,'Исходные данные'!$B$45)),(C144-IF('Исходные данные'!$B$45="",'Исходные данные'!$B$10,'Исходные данные'!$B$45)+1)/DAY(C144),1)*IF('Исходные данные'!$B$43="Без НДС",1+N('Исходные данные'!$B$44),1))</f>
        <v>0</v>
      </c>
      <c r="P144">
        <f>IF('Исходные данные'!$B$51="Да",-O144*N('Исходные данные'!$B$44)/(1+N('Исходные данные'!$B$44)),0)</f>
        <v>0</v>
      </c>
      <c r="Q144">
        <f>IF('Исходные данные'!$B$35="Да",-O144,0)</f>
        <v>0</v>
      </c>
      <c r="R144">
        <f>IF(AND('Исходные данные'!$B$51="Да",Q144&gt;0),Q144*N('Исходные данные'!$B$52)/(1+N('Исходные данные'!$B$52)),0)</f>
        <v>0</v>
      </c>
      <c r="S144">
        <f>IF(OR(B144="",IF('Исходные данные'!$B$45="",'Исходные данные'!$B$10,'Исходные данные'!$B$45)="",C144&lt;IF('Исходные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данные'!$B$45)),1),B144,"m")/12))*IF(AND(B144&lt;=IF('Исходные данные'!$B$45="",'Исходные данные'!$B$10,'Исходные данные'!$B$45),C144&gt;=IF('Исходные данные'!$B$45="",'Исходные данные'!$B$10,'Исходные данные'!$B$45)),(C144-IF('Исходные данные'!$B$45="",'Исходные данные'!$B$10,'Исходные данные'!$B$45)+1)/DAY(C144),1)*IF('Исходные данные'!$B$43="Без НДС",1+N('Исходные данные'!$B$44),1))</f>
        <v>0</v>
      </c>
      <c r="T144">
        <f>IF('Исходные данные'!$B$51="Да",-S144*N('Исходные данные'!$B$44)/(1+N('Исходные данные'!$B$44)),0)</f>
        <v>0</v>
      </c>
      <c r="U144">
        <f>IF('Исходные данные'!$B$36="Да",-S144,0)</f>
        <v>0</v>
      </c>
      <c r="V144">
        <f>IF(AND('Исходные данные'!$B$51="Да",U144&gt;0),U144*N('Исходные данные'!$B$52)/(1+N('Исходные данные'!$B$52)),0)</f>
        <v>0</v>
      </c>
      <c r="W144">
        <f>IF(OR(B144="",IF('Исходные данные'!$B$69="",'Исходные данные'!$B$10,'Исходные данные'!$B$69)="",C144&lt;IF('Исходные данные'!$B$69="",'Исходные данные'!$B$10,'Исходные данные'!$B$69)),0,-N('Исходные данные'!$B$16)*N('Исходные данные'!$B$68)*N('Исходные данные'!$B$67)/12*IF(AND(B144&lt;=IF('Исходные данные'!$B$69="",'Исходные данные'!$B$10,'Исходные данные'!$B$69),C144&gt;=IF('Исходные данные'!$B$69="",'Исходные данные'!$B$10,'Исходные данные'!$B$69)),(C144-IF('Исходные данные'!$B$69="",'Исходные данные'!$B$10,'Исходные данные'!$B$69)+1)/DAY(C144),1))</f>
        <v>0</v>
      </c>
      <c r="X144">
        <f>IF(OR(B144="",IF('Исходные данные'!$B$76="",'Исходные данные'!$B$10,'Исходные данные'!$B$76)="",C144&lt;IF('Исходные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данные'!$B$76)),1),B144,"m")/12))*IF(AND(B144&lt;=IF('Исходные данные'!$B$76="",'Исходные данные'!$B$10,'Исходные данные'!$B$76),C144&gt;=IF('Исходные данные'!$B$76="",'Исходные данные'!$B$10,'Исходные данные'!$B$76)),(C144-IF('Исходные данные'!$B$76="",'Исходные данные'!$B$10,'Исходные данные'!$B$76)+1)/DAY(C144),1))</f>
        <v>0</v>
      </c>
      <c r="Y144">
        <f t="shared" si="86"/>
        <v>0</v>
      </c>
      <c r="Z144">
        <f>IF(OR(B144="",N('Исходные данные'!$B$19)=0),0,-SUMIFS('Исходные данные'!$I$6:$I$186,'Исходные данные'!$F$6:$F$186,B144)*N('Исходные данные'!$B$17)/N('Исходные данные'!$B$19))</f>
        <v>0</v>
      </c>
      <c r="AA144">
        <f>IF(OR(B144="",N('Исходные данные'!$B$19)=0),0,-SUMIFS('Исходные данные'!$I$6:$I$186,'Исходные данные'!$F$6:$F$186,B144)*N('Исходные данные'!$B$18)/N('Исходные данные'!$B$19))</f>
        <v>0</v>
      </c>
      <c r="AB144">
        <f>IF(OR(B144="",'Исходные данные'!$B$13=""),0,IF(AND(YEAR(B144)=YEAR('Исходные данные'!$B$13),MONTH(B144)=MONTH('Исходные данные'!$B$13)),-N('Исходные данные'!$B$11),0))</f>
        <v>0</v>
      </c>
      <c r="AC144">
        <f>IF(A144=1,-N('Исходные данные'!$B$19)*N('Исходные данные'!$B$72),0)</f>
        <v>0</v>
      </c>
      <c r="AD144">
        <f>IF(OR(B144="",'Исходные данные'!$B$22&lt;&gt;"Да",'Исходные данные'!$B$26=""),0,IF(AND(YEAR(B144)=YEAR('Исходные данные'!$B$26),MONTH(B144)=MONTH('Исходные данные'!$B$26)),N('Исходные данные'!$B$23),0))</f>
        <v>0</v>
      </c>
      <c r="AE144">
        <f t="shared" si="99"/>
        <v>0</v>
      </c>
      <c r="AF144">
        <f>IF(OR('Исходные данные'!$B$22&lt;&gt;"Да",'Исходные данные'!$B$26="",C144&lt;'Исходные данные'!$B$26),0,DATEDIF(DATE(YEAR('Исходные данные'!$B$26),MONTH('Исходные данные'!$B$26),1),B144,"m")+1)</f>
        <v>0</v>
      </c>
      <c r="AG144">
        <f>IF(OR(AF144&lt;1,AF144&gt;N('Исходные данные'!$B$25),AE144+AD144&lt;=0),0,-(AE144+AD144)*N('Исходные данные'!$B$24)*IF(AF144=1,C144-'Исходные данные'!$B$26+1,DAY(C144))/365)</f>
        <v>0</v>
      </c>
      <c r="AH144">
        <f>IF(OR(AF144&lt;1,AF144&gt;N('Исходные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данные'!$B$25)-AG144))</f>
        <v>0</v>
      </c>
      <c r="AI144">
        <f>IF(OR('Исходные данные'!$B$22&lt;&gt;"Да",AE144+AD144&lt;=0),0,IF(AND('Исходные данные'!$B$91&lt;&gt;"",B144&lt;&gt;"",YEAR(B144)=YEAR('Исходные данные'!$B$91),MONTH(B144)=MONTH('Исходные данные'!$B$91)),-(AE144+AD144),IF(OR(AF144&lt;1,AF144&gt;N('Исходные данные'!$B$25)),0,IF('Исходные данные'!$B$27="Равными долями",-MIN(AE144+AD144,N('Исходные данные'!$B$23)/N('Исходные данные'!$B$25)),-MIN(AE144+AD144,IF(AF144=N('Исходные данные'!$B$25),AE144+AD144,MAX(0,AH144+AG144)))))))</f>
        <v>0</v>
      </c>
      <c r="AJ144">
        <f t="shared" si="87"/>
        <v>0</v>
      </c>
      <c r="AK144">
        <f t="shared" si="88"/>
        <v>0</v>
      </c>
      <c r="AL144">
        <f>IF(OR(B144="",'Исходные данные'!$B$51&lt;&gt;"Да",'Исходные данные'!$B$61=""),0,IF(AND(YEAR(B144)=YEAR('Исходные данные'!$B$61),MONTH(B144)=MONTH('Исходные данные'!$B$61)),N('Исходные данные'!$B$18)*N('Исходные данные'!$B$62),0))</f>
        <v>0</v>
      </c>
      <c r="AM144">
        <f t="shared" si="100"/>
        <v>0</v>
      </c>
      <c r="AN144">
        <f t="shared" si="89"/>
        <v>0</v>
      </c>
      <c r="AO144">
        <f t="shared" si="90"/>
        <v>0</v>
      </c>
      <c r="AP144">
        <f>IF('Исходные данные'!$B$51="Да",-MAX(0,AN144-AO144-AM144),0)</f>
        <v>0</v>
      </c>
      <c r="AQ144">
        <f>IF('Исходные данные'!$B$51="Да",MAX(0,AM144+AO144-AN144),0)</f>
        <v>0</v>
      </c>
      <c r="AR144">
        <f>IF('Исходные данные'!$B$53="Выручка",MAX(0,L144+(Q144-R144)+(U144-V144)),IF('Исходные данные'!$B$53="Прибыль до налога",MAX(0,L144+(Q144-R144)+(U144-V144)+N('Исходные данные'!$B$54)*((O144+P144)+(S144+T144)+W144+X144)+IF('Исходные данные'!$B$55="Да",AG144,0)-N('Исходные данные'!$B$56)/12),IF('Исходные данные'!$B$53="Пользовательская база",MAX(0,N('Исходные данные'!$B$57)/12),0)))</f>
        <v>0</v>
      </c>
      <c r="AS144">
        <f>IF(E144=1,-AR144*N('Исходные данные'!$B$50),0)</f>
        <v>0</v>
      </c>
      <c r="AT144">
        <f t="shared" si="91"/>
        <v>0</v>
      </c>
      <c r="AU144">
        <f>IF(OR(B144="",N('Исходные данные'!$B$80)&lt;=0,'Исходные данные'!$B$88=""),0,MAX(0,IF('Исходные данные'!$B$88="Последние 12 месяцев",SUMIFS($Y$2:$Y$194,$B$2:$B$194,"&gt;="&amp;EDATE(B144,-11),$B$2:$B$194,"&lt;="&amp;B144),IF('Исходные данные'!$B$88="Пользовательский NOI",N('Исходные данные'!$B$89),AT144))/N('Исходные данные'!$B$80)*(1+N('Исходные данные'!$B$81))))</f>
        <v>0</v>
      </c>
      <c r="AV144">
        <f>IF(OR(E144&lt;&gt;1,B144="",'Исходные данные'!$B$91=""),0,IF(AND(YEAR(B144)=YEAR('Исходные данные'!$B$91),MONTH(B144)=MONTH('Исходные данные'!$B$91)),AU144,0))</f>
        <v>0</v>
      </c>
      <c r="AW144">
        <f>-AV144*N('Исходные данные'!$B$73)</f>
        <v>0</v>
      </c>
      <c r="AX144">
        <f>IF(AV144=0,0,-N('Исходные данные'!$B$87)-IF('Исходные данные'!$B$82="Да",IF('Исходные данные'!$B$84="С выручки",AV144,IF('Исходные данные'!$B$84="С прибыли",MAX(0,AV144+AW144-IF('Исходные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44">
        <f t="shared" si="92"/>
        <v>0</v>
      </c>
      <c r="AZ144">
        <f t="shared" si="93"/>
        <v>0</v>
      </c>
      <c r="BA144">
        <f t="shared" si="94"/>
        <v>0</v>
      </c>
      <c r="BB144" t="str">
        <f t="shared" si="101"/>
        <v/>
      </c>
      <c r="BC144">
        <f>IF(OR(E144=0,'Исходные данные'!$B$9="",'Исходные данные'!$B$90=""),0,BA144/(1+'Исходные данные'!$B$90)^((D144-'Исходные данные'!$B$9)/365))</f>
        <v>0</v>
      </c>
      <c r="BD144">
        <f>IF(AND(E144=1,BB144&gt;=0,BB143&lt;0,MIN($BB$2:BB144)&lt;0),1,0)</f>
        <v>0</v>
      </c>
      <c r="BE144">
        <f t="shared" si="95"/>
        <v>0</v>
      </c>
      <c r="BF144">
        <f t="shared" si="96"/>
        <v>0</v>
      </c>
      <c r="BG144">
        <f t="shared" si="97"/>
        <v>0</v>
      </c>
      <c r="BH144">
        <f t="shared" si="98"/>
        <v>1</v>
      </c>
      <c r="BI144">
        <f>AZ144+N144+AP144-AR144*N('Исходные данные'!$B$50)</f>
        <v>0</v>
      </c>
      <c r="BJ144">
        <f t="shared" si="102"/>
        <v>0</v>
      </c>
      <c r="BK144">
        <f>IF(AND(BJ144&gt;=0,BJ143&lt;0,MIN($BJ$2:BJ144)&lt;0),1,0)</f>
        <v>0</v>
      </c>
    </row>
    <row r="145" spans="1:63" x14ac:dyDescent="0.2">
      <c r="A145">
        <v>144</v>
      </c>
      <c r="B145" t="str">
        <f>IF('Исходные данные'!$B$9="","",EDATE(DATE(YEAR('Исходные данные'!$B$9),MONTH('Исходные данные'!$B$9),1),A145-1))</f>
        <v/>
      </c>
      <c r="C145" t="str">
        <f t="shared" si="82"/>
        <v/>
      </c>
      <c r="D145" t="str">
        <f>IF(B145="","",IF('Исходные данные'!$B$91&lt;&gt;"",IF(AND(YEAR(B145)=YEAR('Исходные данные'!$B$91),MONTH(B145)=MONTH('Исходные данные'!$B$91)),'Исходные данные'!$B$91,IF('Исходные данные'!$B$13&lt;&gt;"",IF(AND(YEAR(B145)=YEAR('Исходные данные'!$B$13),MONTH(B145)=MONTH('Исходные данные'!$B$13)),'Исходные данные'!$B$13,IF('Исходные данные'!$B$26&lt;&gt;"",IF(AND(YEAR(B145)=YEAR('Исходные данные'!$B$26),MONTH(B145)=MONTH('Исходные данные'!$B$26)),'Исходные данные'!$B$26,IF(A145=1,'Исходные данные'!$B$9,C145)),IF(A145=1,'Исходные данные'!$B$9,C145))),IF('Исходные данные'!$B$26&lt;&gt;"",IF(AND(YEAR(B145)=YEAR('Исходные данные'!$B$26),MONTH(B145)=MONTH('Исходные данные'!$B$26)),'Исходные данные'!$B$26,IF(A145=1,'Исходные данные'!$B$9,C145)),IF(A145=1,'Исходные данные'!$B$9,C145)))),IF('Исходные данные'!$B$13&lt;&gt;"",IF(AND(YEAR(B145)=YEAR('Исходные данные'!$B$13),MONTH(B145)=MONTH('Исходные данные'!$B$13)),'Исходные данные'!$B$13,IF('Исходные данные'!$B$26&lt;&gt;"",IF(AND(YEAR(B145)=YEAR('Исходные данные'!$B$26),MONTH(B145)=MONTH('Исходные данные'!$B$26)),'Исходные данные'!$B$26,IF(A145=1,'Исходные данные'!$B$9,C145)),IF(A145=1,'Исходные данные'!$B$9,C145))),IF('Исходные данные'!$B$26&lt;&gt;"",IF(AND(YEAR(B145)=YEAR('Исходные данные'!$B$26),MONTH(B145)=MONTH('Исходные данные'!$B$26)),'Исходные данные'!$B$26,IF(A145=1,'Исходные данные'!$B$9,C145)),IF(A145=1,'Исходные данные'!$B$9,C145)))))</f>
        <v/>
      </c>
      <c r="E145">
        <f>IF(OR(B145="",'Исходные данные'!$B$91=""),0,--(B145&lt;=DATE(YEAR('Исходные данные'!$B$91),MONTH('Исходные данные'!$B$91),1)))</f>
        <v>0</v>
      </c>
      <c r="F145">
        <f>IF(OR(B145="",'Исходные данные'!$B$30="",C145&lt;'Исходные данные'!$B$30),0,DATEDIF(DATE(YEAR('Исходные данные'!$B$30),MONTH('Исходные данные'!$B$30),1),B145,"m")+1)</f>
        <v>0</v>
      </c>
      <c r="G145">
        <f t="shared" si="83"/>
        <v>0</v>
      </c>
      <c r="H145">
        <f>IF(F145=0,0,IF(G145=1,N('Исходные данные'!$B$31),IF(G145=2,N('Исходные данные'!$B$32),IF(G145=3,N('Исходные данные'!$B$33),N('Исходные данные'!$B$33)*(1+N('Исходные данные'!$B$34))^(G145-3)))))</f>
        <v>0</v>
      </c>
      <c r="I145">
        <f>IF(OR(F145=0,N('Исходные данные'!$B$5)=0,H145=0),0,'Исходные данные'!$B$5*H145*IF(AND(B145&lt;='Исходные данные'!$B$30,C145&gt;='Исходные данные'!$B$30),(C145-'Исходные данные'!$B$30+1)/DAY(C145),1))</f>
        <v>0</v>
      </c>
      <c r="J145">
        <f>IF(AND(F145&gt;0,F145&lt;=N('Исходные данные'!$B$37)),-I145,0)</f>
        <v>0</v>
      </c>
      <c r="K145">
        <f>IF(OR(F145=0,F145&lt;=N('Исходные данные'!$B$37)),0,-(I145+J145)*N('Исходные данные'!$B$38))</f>
        <v>0</v>
      </c>
      <c r="L145">
        <f t="shared" si="84"/>
        <v>0</v>
      </c>
      <c r="M145">
        <f>IF('Исходные данные'!$B$51="Да",L145*N('Исходные данные'!$B$52),0)</f>
        <v>0</v>
      </c>
      <c r="N145">
        <f t="shared" si="85"/>
        <v>0</v>
      </c>
      <c r="O145">
        <f>IF(OR(B145="",IF('Исходные данные'!$B$45="",'Исходные данные'!$B$10,'Исходные данные'!$B$45)="",C145&lt;IF('Исходные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данные'!$B$45)),1),B145,"m")/12))*IF(AND(B145&lt;=IF('Исходные данные'!$B$45="",'Исходные данные'!$B$10,'Исходные данные'!$B$45),C145&gt;=IF('Исходные данные'!$B$45="",'Исходные данные'!$B$10,'Исходные данные'!$B$45)),(C145-IF('Исходные данные'!$B$45="",'Исходные данные'!$B$10,'Исходные данные'!$B$45)+1)/DAY(C145),1)*IF('Исходные данные'!$B$43="Без НДС",1+N('Исходные данные'!$B$44),1))</f>
        <v>0</v>
      </c>
      <c r="P145">
        <f>IF('Исходные данные'!$B$51="Да",-O145*N('Исходные данные'!$B$44)/(1+N('Исходные данные'!$B$44)),0)</f>
        <v>0</v>
      </c>
      <c r="Q145">
        <f>IF('Исходные данные'!$B$35="Да",-O145,0)</f>
        <v>0</v>
      </c>
      <c r="R145">
        <f>IF(AND('Исходные данные'!$B$51="Да",Q145&gt;0),Q145*N('Исходные данные'!$B$52)/(1+N('Исходные данные'!$B$52)),0)</f>
        <v>0</v>
      </c>
      <c r="S145">
        <f>IF(OR(B145="",IF('Исходные данные'!$B$45="",'Исходные данные'!$B$10,'Исходные данные'!$B$45)="",C145&lt;IF('Исходные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данные'!$B$45)),1),B145,"m")/12))*IF(AND(B145&lt;=IF('Исходные данные'!$B$45="",'Исходные данные'!$B$10,'Исходные данные'!$B$45),C145&gt;=IF('Исходные данные'!$B$45="",'Исходные данные'!$B$10,'Исходные данные'!$B$45)),(C145-IF('Исходные данные'!$B$45="",'Исходные данные'!$B$10,'Исходные данные'!$B$45)+1)/DAY(C145),1)*IF('Исходные данные'!$B$43="Без НДС",1+N('Исходные данные'!$B$44),1))</f>
        <v>0</v>
      </c>
      <c r="T145">
        <f>IF('Исходные данные'!$B$51="Да",-S145*N('Исходные данные'!$B$44)/(1+N('Исходные данные'!$B$44)),0)</f>
        <v>0</v>
      </c>
      <c r="U145">
        <f>IF('Исходные данные'!$B$36="Да",-S145,0)</f>
        <v>0</v>
      </c>
      <c r="V145">
        <f>IF(AND('Исходные данные'!$B$51="Да",U145&gt;0),U145*N('Исходные данные'!$B$52)/(1+N('Исходные данные'!$B$52)),0)</f>
        <v>0</v>
      </c>
      <c r="W145">
        <f>IF(OR(B145="",IF('Исходные данные'!$B$69="",'Исходные данные'!$B$10,'Исходные данные'!$B$69)="",C145&lt;IF('Исходные данные'!$B$69="",'Исходные данные'!$B$10,'Исходные данные'!$B$69)),0,-N('Исходные данные'!$B$16)*N('Исходные данные'!$B$68)*N('Исходные данные'!$B$67)/12*IF(AND(B145&lt;=IF('Исходные данные'!$B$69="",'Исходные данные'!$B$10,'Исходные данные'!$B$69),C145&gt;=IF('Исходные данные'!$B$69="",'Исходные данные'!$B$10,'Исходные данные'!$B$69)),(C145-IF('Исходные данные'!$B$69="",'Исходные данные'!$B$10,'Исходные данные'!$B$69)+1)/DAY(C145),1))</f>
        <v>0</v>
      </c>
      <c r="X145">
        <f>IF(OR(B145="",IF('Исходные данные'!$B$76="",'Исходные данные'!$B$10,'Исходные данные'!$B$76)="",C145&lt;IF('Исходные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данные'!$B$76)),1),B145,"m")/12))*IF(AND(B145&lt;=IF('Исходные данные'!$B$76="",'Исходные данные'!$B$10,'Исходные данные'!$B$76),C145&gt;=IF('Исходные данные'!$B$76="",'Исходные данные'!$B$10,'Исходные данные'!$B$76)),(C145-IF('Исходные данные'!$B$76="",'Исходные данные'!$B$10,'Исходные данные'!$B$76)+1)/DAY(C145),1))</f>
        <v>0</v>
      </c>
      <c r="Y145">
        <f t="shared" si="86"/>
        <v>0</v>
      </c>
      <c r="Z145">
        <f>IF(OR(B145="",N('Исходные данные'!$B$19)=0),0,-SUMIFS('Исходные данные'!$I$6:$I$186,'Исходные данные'!$F$6:$F$186,B145)*N('Исходные данные'!$B$17)/N('Исходные данные'!$B$19))</f>
        <v>0</v>
      </c>
      <c r="AA145">
        <f>IF(OR(B145="",N('Исходные данные'!$B$19)=0),0,-SUMIFS('Исходные данные'!$I$6:$I$186,'Исходные данные'!$F$6:$F$186,B145)*N('Исходные данные'!$B$18)/N('Исходные данные'!$B$19))</f>
        <v>0</v>
      </c>
      <c r="AB145">
        <f>IF(OR(B145="",'Исходные данные'!$B$13=""),0,IF(AND(YEAR(B145)=YEAR('Исходные данные'!$B$13),MONTH(B145)=MONTH('Исходные данные'!$B$13)),-N('Исходные данные'!$B$11),0))</f>
        <v>0</v>
      </c>
      <c r="AC145">
        <f>IF(A145=1,-N('Исходные данные'!$B$19)*N('Исходные данные'!$B$72),0)</f>
        <v>0</v>
      </c>
      <c r="AD145">
        <f>IF(OR(B145="",'Исходные данные'!$B$22&lt;&gt;"Да",'Исходные данные'!$B$26=""),0,IF(AND(YEAR(B145)=YEAR('Исходные данные'!$B$26),MONTH(B145)=MONTH('Исходные данные'!$B$26)),N('Исходные данные'!$B$23),0))</f>
        <v>0</v>
      </c>
      <c r="AE145">
        <f t="shared" si="99"/>
        <v>0</v>
      </c>
      <c r="AF145">
        <f>IF(OR('Исходные данные'!$B$22&lt;&gt;"Да",'Исходные данные'!$B$26="",C145&lt;'Исходные данные'!$B$26),0,DATEDIF(DATE(YEAR('Исходные данные'!$B$26),MONTH('Исходные данные'!$B$26),1),B145,"m")+1)</f>
        <v>0</v>
      </c>
      <c r="AG145">
        <f>IF(OR(AF145&lt;1,AF145&gt;N('Исходные данные'!$B$25),AE145+AD145&lt;=0),0,-(AE145+AD145)*N('Исходные данные'!$B$24)*IF(AF145=1,C145-'Исходные данные'!$B$26+1,DAY(C145))/365)</f>
        <v>0</v>
      </c>
      <c r="AH145">
        <f>IF(OR(AF145&lt;1,AF145&gt;N('Исходные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данные'!$B$25)-AG145))</f>
        <v>0</v>
      </c>
      <c r="AI145">
        <f>IF(OR('Исходные данные'!$B$22&lt;&gt;"Да",AE145+AD145&lt;=0),0,IF(AND('Исходные данные'!$B$91&lt;&gt;"",B145&lt;&gt;"",YEAR(B145)=YEAR('Исходные данные'!$B$91),MONTH(B145)=MONTH('Исходные данные'!$B$91)),-(AE145+AD145),IF(OR(AF145&lt;1,AF145&gt;N('Исходные данные'!$B$25)),0,IF('Исходные данные'!$B$27="Равными долями",-MIN(AE145+AD145,N('Исходные данные'!$B$23)/N('Исходные данные'!$B$25)),-MIN(AE145+AD145,IF(AF145=N('Исходные данные'!$B$25),AE145+AD145,MAX(0,AH145+AG145)))))))</f>
        <v>0</v>
      </c>
      <c r="AJ145">
        <f t="shared" si="87"/>
        <v>0</v>
      </c>
      <c r="AK145">
        <f t="shared" si="88"/>
        <v>0</v>
      </c>
      <c r="AL145">
        <f>IF(OR(B145="",'Исходные данные'!$B$51&lt;&gt;"Да",'Исходные данные'!$B$61=""),0,IF(AND(YEAR(B145)=YEAR('Исходные данные'!$B$61),MONTH(B145)=MONTH('Исходные данные'!$B$61)),N('Исходные данные'!$B$18)*N('Исходные данные'!$B$62),0))</f>
        <v>0</v>
      </c>
      <c r="AM145">
        <f t="shared" si="100"/>
        <v>0</v>
      </c>
      <c r="AN145">
        <f t="shared" si="89"/>
        <v>0</v>
      </c>
      <c r="AO145">
        <f t="shared" si="90"/>
        <v>0</v>
      </c>
      <c r="AP145">
        <f>IF('Исходные данные'!$B$51="Да",-MAX(0,AN145-AO145-AM145),0)</f>
        <v>0</v>
      </c>
      <c r="AQ145">
        <f>IF('Исходные данные'!$B$51="Да",MAX(0,AM145+AO145-AN145),0)</f>
        <v>0</v>
      </c>
      <c r="AR145">
        <f>IF('Исходные данные'!$B$53="Выручка",MAX(0,L145+(Q145-R145)+(U145-V145)),IF('Исходные данные'!$B$53="Прибыль до налога",MAX(0,L145+(Q145-R145)+(U145-V145)+N('Исходные данные'!$B$54)*((O145+P145)+(S145+T145)+W145+X145)+IF('Исходные данные'!$B$55="Да",AG145,0)-N('Исходные данные'!$B$56)/12),IF('Исходные данные'!$B$53="Пользовательская база",MAX(0,N('Исходные данные'!$B$57)/12),0)))</f>
        <v>0</v>
      </c>
      <c r="AS145">
        <f>IF(E145=1,-AR145*N('Исходные данные'!$B$50),0)</f>
        <v>0</v>
      </c>
      <c r="AT145">
        <f t="shared" si="91"/>
        <v>0</v>
      </c>
      <c r="AU145">
        <f>IF(OR(B145="",N('Исходные данные'!$B$80)&lt;=0,'Исходные данные'!$B$88=""),0,MAX(0,IF('Исходные данные'!$B$88="Последние 12 месяцев",SUMIFS($Y$2:$Y$194,$B$2:$B$194,"&gt;="&amp;EDATE(B145,-11),$B$2:$B$194,"&lt;="&amp;B145),IF('Исходные данные'!$B$88="Пользовательский NOI",N('Исходные данные'!$B$89),AT145))/N('Исходные данные'!$B$80)*(1+N('Исходные данные'!$B$81))))</f>
        <v>0</v>
      </c>
      <c r="AV145">
        <f>IF(OR(E145&lt;&gt;1,B145="",'Исходные данные'!$B$91=""),0,IF(AND(YEAR(B145)=YEAR('Исходные данные'!$B$91),MONTH(B145)=MONTH('Исходные данные'!$B$91)),AU145,0))</f>
        <v>0</v>
      </c>
      <c r="AW145">
        <f>-AV145*N('Исходные данные'!$B$73)</f>
        <v>0</v>
      </c>
      <c r="AX145">
        <f>IF(AV145=0,0,-N('Исходные данные'!$B$87)-IF('Исходные данные'!$B$82="Да",IF('Исходные данные'!$B$84="С выручки",AV145,IF('Исходные данные'!$B$84="С прибыли",MAX(0,AV145+AW145-IF('Исходные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45">
        <f t="shared" si="92"/>
        <v>0</v>
      </c>
      <c r="AZ145">
        <f t="shared" si="93"/>
        <v>0</v>
      </c>
      <c r="BA145">
        <f t="shared" si="94"/>
        <v>0</v>
      </c>
      <c r="BB145" t="str">
        <f t="shared" si="101"/>
        <v/>
      </c>
      <c r="BC145">
        <f>IF(OR(E145=0,'Исходные данные'!$B$9="",'Исходные данные'!$B$90=""),0,BA145/(1+'Исходные данные'!$B$90)^((D145-'Исходные данные'!$B$9)/365))</f>
        <v>0</v>
      </c>
      <c r="BD145">
        <f>IF(AND(E145=1,BB145&gt;=0,BB144&lt;0,MIN($BB$2:BB145)&lt;0),1,0)</f>
        <v>0</v>
      </c>
      <c r="BE145">
        <f t="shared" si="95"/>
        <v>0</v>
      </c>
      <c r="BF145">
        <f t="shared" si="96"/>
        <v>0</v>
      </c>
      <c r="BG145">
        <f t="shared" si="97"/>
        <v>0</v>
      </c>
      <c r="BH145">
        <f t="shared" si="98"/>
        <v>1</v>
      </c>
      <c r="BI145">
        <f>AZ145+N145+AP145-AR145*N('Исходные данные'!$B$50)</f>
        <v>0</v>
      </c>
      <c r="BJ145">
        <f t="shared" si="102"/>
        <v>0</v>
      </c>
      <c r="BK145">
        <f>IF(AND(BJ145&gt;=0,BJ144&lt;0,MIN($BJ$2:BJ145)&lt;0),1,0)</f>
        <v>0</v>
      </c>
    </row>
    <row r="146" spans="1:63" x14ac:dyDescent="0.2">
      <c r="A146">
        <v>145</v>
      </c>
      <c r="B146" t="str">
        <f>IF('Исходные данные'!$B$9="","",EDATE(DATE(YEAR('Исходные данные'!$B$9),MONTH('Исходные данные'!$B$9),1),A146-1))</f>
        <v/>
      </c>
      <c r="C146" t="str">
        <f t="shared" si="82"/>
        <v/>
      </c>
      <c r="D146" t="str">
        <f>IF(B146="","",IF('Исходные данные'!$B$91&lt;&gt;"",IF(AND(YEAR(B146)=YEAR('Исходные данные'!$B$91),MONTH(B146)=MONTH('Исходные данные'!$B$91)),'Исходные данные'!$B$91,IF('Исходные данные'!$B$13&lt;&gt;"",IF(AND(YEAR(B146)=YEAR('Исходные данные'!$B$13),MONTH(B146)=MONTH('Исходные данные'!$B$13)),'Исходные данные'!$B$13,IF('Исходные данные'!$B$26&lt;&gt;"",IF(AND(YEAR(B146)=YEAR('Исходные данные'!$B$26),MONTH(B146)=MONTH('Исходные данные'!$B$26)),'Исходные данные'!$B$26,IF(A146=1,'Исходные данные'!$B$9,C146)),IF(A146=1,'Исходные данные'!$B$9,C146))),IF('Исходные данные'!$B$26&lt;&gt;"",IF(AND(YEAR(B146)=YEAR('Исходные данные'!$B$26),MONTH(B146)=MONTH('Исходные данные'!$B$26)),'Исходные данные'!$B$26,IF(A146=1,'Исходные данные'!$B$9,C146)),IF(A146=1,'Исходные данные'!$B$9,C146)))),IF('Исходные данные'!$B$13&lt;&gt;"",IF(AND(YEAR(B146)=YEAR('Исходные данные'!$B$13),MONTH(B146)=MONTH('Исходные данные'!$B$13)),'Исходные данные'!$B$13,IF('Исходные данные'!$B$26&lt;&gt;"",IF(AND(YEAR(B146)=YEAR('Исходные данные'!$B$26),MONTH(B146)=MONTH('Исходные данные'!$B$26)),'Исходные данные'!$B$26,IF(A146=1,'Исходные данные'!$B$9,C146)),IF(A146=1,'Исходные данные'!$B$9,C146))),IF('Исходные данные'!$B$26&lt;&gt;"",IF(AND(YEAR(B146)=YEAR('Исходные данные'!$B$26),MONTH(B146)=MONTH('Исходные данные'!$B$26)),'Исходные данные'!$B$26,IF(A146=1,'Исходные данные'!$B$9,C146)),IF(A146=1,'Исходные данные'!$B$9,C146)))))</f>
        <v/>
      </c>
      <c r="E146">
        <f>IF(OR(B146="",'Исходные данные'!$B$91=""),0,--(B146&lt;=DATE(YEAR('Исходные данные'!$B$91),MONTH('Исходные данные'!$B$91),1)))</f>
        <v>0</v>
      </c>
      <c r="F146">
        <f>IF(OR(B146="",'Исходные данные'!$B$30="",C146&lt;'Исходные данные'!$B$30),0,DATEDIF(DATE(YEAR('Исходные данные'!$B$30),MONTH('Исходные данные'!$B$30),1),B146,"m")+1)</f>
        <v>0</v>
      </c>
      <c r="G146">
        <f t="shared" si="83"/>
        <v>0</v>
      </c>
      <c r="H146">
        <f>IF(F146=0,0,IF(G146=1,N('Исходные данные'!$B$31),IF(G146=2,N('Исходные данные'!$B$32),IF(G146=3,N('Исходные данные'!$B$33),N('Исходные данные'!$B$33)*(1+N('Исходные данные'!$B$34))^(G146-3)))))</f>
        <v>0</v>
      </c>
      <c r="I146">
        <f>IF(OR(F146=0,N('Исходные данные'!$B$5)=0,H146=0),0,'Исходные данные'!$B$5*H146*IF(AND(B146&lt;='Исходные данные'!$B$30,C146&gt;='Исходные данные'!$B$30),(C146-'Исходные данные'!$B$30+1)/DAY(C146),1))</f>
        <v>0</v>
      </c>
      <c r="J146">
        <f>IF(AND(F146&gt;0,F146&lt;=N('Исходные данные'!$B$37)),-I146,0)</f>
        <v>0</v>
      </c>
      <c r="K146">
        <f>IF(OR(F146=0,F146&lt;=N('Исходные данные'!$B$37)),0,-(I146+J146)*N('Исходные данные'!$B$38))</f>
        <v>0</v>
      </c>
      <c r="L146">
        <f t="shared" si="84"/>
        <v>0</v>
      </c>
      <c r="M146">
        <f>IF('Исходные данные'!$B$51="Да",L146*N('Исходные данные'!$B$52),0)</f>
        <v>0</v>
      </c>
      <c r="N146">
        <f t="shared" si="85"/>
        <v>0</v>
      </c>
      <c r="O146">
        <f>IF(OR(B146="",IF('Исходные данные'!$B$45="",'Исходные данные'!$B$10,'Исходные данные'!$B$45)="",C146&lt;IF('Исходные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данные'!$B$45)),1),B146,"m")/12))*IF(AND(B146&lt;=IF('Исходные данные'!$B$45="",'Исходные данные'!$B$10,'Исходные данные'!$B$45),C146&gt;=IF('Исходные данные'!$B$45="",'Исходные данные'!$B$10,'Исходные данные'!$B$45)),(C146-IF('Исходные данные'!$B$45="",'Исходные данные'!$B$10,'Исходные данные'!$B$45)+1)/DAY(C146),1)*IF('Исходные данные'!$B$43="Без НДС",1+N('Исходные данные'!$B$44),1))</f>
        <v>0</v>
      </c>
      <c r="P146">
        <f>IF('Исходные данные'!$B$51="Да",-O146*N('Исходные данные'!$B$44)/(1+N('Исходные данные'!$B$44)),0)</f>
        <v>0</v>
      </c>
      <c r="Q146">
        <f>IF('Исходные данные'!$B$35="Да",-O146,0)</f>
        <v>0</v>
      </c>
      <c r="R146">
        <f>IF(AND('Исходные данные'!$B$51="Да",Q146&gt;0),Q146*N('Исходные данные'!$B$52)/(1+N('Исходные данные'!$B$52)),0)</f>
        <v>0</v>
      </c>
      <c r="S146">
        <f>IF(OR(B146="",IF('Исходные данные'!$B$45="",'Исходные данные'!$B$10,'Исходные данные'!$B$45)="",C146&lt;IF('Исходные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данные'!$B$45)),1),B146,"m")/12))*IF(AND(B146&lt;=IF('Исходные данные'!$B$45="",'Исходные данные'!$B$10,'Исходные данные'!$B$45),C146&gt;=IF('Исходные данные'!$B$45="",'Исходные данные'!$B$10,'Исходные данные'!$B$45)),(C146-IF('Исходные данные'!$B$45="",'Исходные данные'!$B$10,'Исходные данные'!$B$45)+1)/DAY(C146),1)*IF('Исходные данные'!$B$43="Без НДС",1+N('Исходные данные'!$B$44),1))</f>
        <v>0</v>
      </c>
      <c r="T146">
        <f>IF('Исходные данные'!$B$51="Да",-S146*N('Исходные данные'!$B$44)/(1+N('Исходные данные'!$B$44)),0)</f>
        <v>0</v>
      </c>
      <c r="U146">
        <f>IF('Исходные данные'!$B$36="Да",-S146,0)</f>
        <v>0</v>
      </c>
      <c r="V146">
        <f>IF(AND('Исходные данные'!$B$51="Да",U146&gt;0),U146*N('Исходные данные'!$B$52)/(1+N('Исходные данные'!$B$52)),0)</f>
        <v>0</v>
      </c>
      <c r="W146">
        <f>IF(OR(B146="",IF('Исходные данные'!$B$69="",'Исходные данные'!$B$10,'Исходные данные'!$B$69)="",C146&lt;IF('Исходные данные'!$B$69="",'Исходные данные'!$B$10,'Исходные данные'!$B$69)),0,-N('Исходные данные'!$B$16)*N('Исходные данные'!$B$68)*N('Исходные данные'!$B$67)/12*IF(AND(B146&lt;=IF('Исходные данные'!$B$69="",'Исходные данные'!$B$10,'Исходные данные'!$B$69),C146&gt;=IF('Исходные данные'!$B$69="",'Исходные данные'!$B$10,'Исходные данные'!$B$69)),(C146-IF('Исходные данные'!$B$69="",'Исходные данные'!$B$10,'Исходные данные'!$B$69)+1)/DAY(C146),1))</f>
        <v>0</v>
      </c>
      <c r="X146">
        <f>IF(OR(B146="",IF('Исходные данные'!$B$76="",'Исходные данные'!$B$10,'Исходные данные'!$B$76)="",C146&lt;IF('Исходные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данные'!$B$76)),1),B146,"m")/12))*IF(AND(B146&lt;=IF('Исходные данные'!$B$76="",'Исходные данные'!$B$10,'Исходные данные'!$B$76),C146&gt;=IF('Исходные данные'!$B$76="",'Исходные данные'!$B$10,'Исходные данные'!$B$76)),(C146-IF('Исходные данные'!$B$76="",'Исходные данные'!$B$10,'Исходные данные'!$B$76)+1)/DAY(C146),1))</f>
        <v>0</v>
      </c>
      <c r="Y146">
        <f t="shared" si="86"/>
        <v>0</v>
      </c>
      <c r="Z146">
        <f>IF(OR(B146="",N('Исходные данные'!$B$19)=0),0,-SUMIFS('Исходные данные'!$I$6:$I$186,'Исходные данные'!$F$6:$F$186,B146)*N('Исходные данные'!$B$17)/N('Исходные данные'!$B$19))</f>
        <v>0</v>
      </c>
      <c r="AA146">
        <f>IF(OR(B146="",N('Исходные данные'!$B$19)=0),0,-SUMIFS('Исходные данные'!$I$6:$I$186,'Исходные данные'!$F$6:$F$186,B146)*N('Исходные данные'!$B$18)/N('Исходные данные'!$B$19))</f>
        <v>0</v>
      </c>
      <c r="AB146">
        <f>IF(OR(B146="",'Исходные данные'!$B$13=""),0,IF(AND(YEAR(B146)=YEAR('Исходные данные'!$B$13),MONTH(B146)=MONTH('Исходные данные'!$B$13)),-N('Исходные данные'!$B$11),0))</f>
        <v>0</v>
      </c>
      <c r="AC146">
        <f>IF(A146=1,-N('Исходные данные'!$B$19)*N('Исходные данные'!$B$72),0)</f>
        <v>0</v>
      </c>
      <c r="AD146">
        <f>IF(OR(B146="",'Исходные данные'!$B$22&lt;&gt;"Да",'Исходные данные'!$B$26=""),0,IF(AND(YEAR(B146)=YEAR('Исходные данные'!$B$26),MONTH(B146)=MONTH('Исходные данные'!$B$26)),N('Исходные данные'!$B$23),0))</f>
        <v>0</v>
      </c>
      <c r="AE146">
        <f t="shared" si="99"/>
        <v>0</v>
      </c>
      <c r="AF146">
        <f>IF(OR('Исходные данные'!$B$22&lt;&gt;"Да",'Исходные данные'!$B$26="",C146&lt;'Исходные данные'!$B$26),0,DATEDIF(DATE(YEAR('Исходные данные'!$B$26),MONTH('Исходные данные'!$B$26),1),B146,"m")+1)</f>
        <v>0</v>
      </c>
      <c r="AG146">
        <f>IF(OR(AF146&lt;1,AF146&gt;N('Исходные данные'!$B$25),AE146+AD146&lt;=0),0,-(AE146+AD146)*N('Исходные данные'!$B$24)*IF(AF146=1,C146-'Исходные данные'!$B$26+1,DAY(C146))/365)</f>
        <v>0</v>
      </c>
      <c r="AH146">
        <f>IF(OR(AF146&lt;1,AF146&gt;N('Исходные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данные'!$B$25)-AG146))</f>
        <v>0</v>
      </c>
      <c r="AI146">
        <f>IF(OR('Исходные данные'!$B$22&lt;&gt;"Да",AE146+AD146&lt;=0),0,IF(AND('Исходные данные'!$B$91&lt;&gt;"",B146&lt;&gt;"",YEAR(B146)=YEAR('Исходные данные'!$B$91),MONTH(B146)=MONTH('Исходные данные'!$B$91)),-(AE146+AD146),IF(OR(AF146&lt;1,AF146&gt;N('Исходные данные'!$B$25)),0,IF('Исходные данные'!$B$27="Равными долями",-MIN(AE146+AD146,N('Исходные данные'!$B$23)/N('Исходные данные'!$B$25)),-MIN(AE146+AD146,IF(AF146=N('Исходные данные'!$B$25),AE146+AD146,MAX(0,AH146+AG146)))))))</f>
        <v>0</v>
      </c>
      <c r="AJ146">
        <f t="shared" si="87"/>
        <v>0</v>
      </c>
      <c r="AK146">
        <f t="shared" si="88"/>
        <v>0</v>
      </c>
      <c r="AL146">
        <f>IF(OR(B146="",'Исходные данные'!$B$51&lt;&gt;"Да",'Исходные данные'!$B$61=""),0,IF(AND(YEAR(B146)=YEAR('Исходные данные'!$B$61),MONTH(B146)=MONTH('Исходные данные'!$B$61)),N('Исходные данные'!$B$18)*N('Исходные данные'!$B$62),0))</f>
        <v>0</v>
      </c>
      <c r="AM146">
        <f t="shared" si="100"/>
        <v>0</v>
      </c>
      <c r="AN146">
        <f t="shared" si="89"/>
        <v>0</v>
      </c>
      <c r="AO146">
        <f t="shared" si="90"/>
        <v>0</v>
      </c>
      <c r="AP146">
        <f>IF('Исходные данные'!$B$51="Да",-MAX(0,AN146-AO146-AM146),0)</f>
        <v>0</v>
      </c>
      <c r="AQ146">
        <f>IF('Исходные данные'!$B$51="Да",MAX(0,AM146+AO146-AN146),0)</f>
        <v>0</v>
      </c>
      <c r="AR146">
        <f>IF('Исходные данные'!$B$53="Выручка",MAX(0,L146+(Q146-R146)+(U146-V146)),IF('Исходные данные'!$B$53="Прибыль до налога",MAX(0,L146+(Q146-R146)+(U146-V146)+N('Исходные данные'!$B$54)*((O146+P146)+(S146+T146)+W146+X146)+IF('Исходные данные'!$B$55="Да",AG146,0)-N('Исходные данные'!$B$56)/12),IF('Исходные данные'!$B$53="Пользовательская база",MAX(0,N('Исходные данные'!$B$57)/12),0)))</f>
        <v>0</v>
      </c>
      <c r="AS146">
        <f>IF(E146=1,-AR146*N('Исходные данные'!$B$50),0)</f>
        <v>0</v>
      </c>
      <c r="AT146">
        <f t="shared" si="91"/>
        <v>0</v>
      </c>
      <c r="AU146">
        <f>IF(OR(B146="",N('Исходные данные'!$B$80)&lt;=0,'Исходные данные'!$B$88=""),0,MAX(0,IF('Исходные данные'!$B$88="Последние 12 месяцев",SUMIFS($Y$2:$Y$194,$B$2:$B$194,"&gt;="&amp;EDATE(B146,-11),$B$2:$B$194,"&lt;="&amp;B146),IF('Исходные данные'!$B$88="Пользовательский NOI",N('Исходные данные'!$B$89),AT146))/N('Исходные данные'!$B$80)*(1+N('Исходные данные'!$B$81))))</f>
        <v>0</v>
      </c>
      <c r="AV146">
        <f>IF(OR(E146&lt;&gt;1,B146="",'Исходные данные'!$B$91=""),0,IF(AND(YEAR(B146)=YEAR('Исходные данные'!$B$91),MONTH(B146)=MONTH('Исходные данные'!$B$91)),AU146,0))</f>
        <v>0</v>
      </c>
      <c r="AW146">
        <f>-AV146*N('Исходные данные'!$B$73)</f>
        <v>0</v>
      </c>
      <c r="AX146">
        <f>IF(AV146=0,0,-N('Исходные данные'!$B$87)-IF('Исходные данные'!$B$82="Да",IF('Исходные данные'!$B$84="С выручки",AV146,IF('Исходные данные'!$B$84="С прибыли",MAX(0,AV146+AW146-IF('Исходные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46">
        <f t="shared" si="92"/>
        <v>0</v>
      </c>
      <c r="AZ146">
        <f t="shared" si="93"/>
        <v>0</v>
      </c>
      <c r="BA146">
        <f t="shared" si="94"/>
        <v>0</v>
      </c>
      <c r="BB146" t="str">
        <f t="shared" si="101"/>
        <v/>
      </c>
      <c r="BC146">
        <f>IF(OR(E146=0,'Исходные данные'!$B$9="",'Исходные данные'!$B$90=""),0,BA146/(1+'Исходные данные'!$B$90)^((D146-'Исходные данные'!$B$9)/365))</f>
        <v>0</v>
      </c>
      <c r="BD146">
        <f>IF(AND(E146=1,BB146&gt;=0,BB145&lt;0,MIN($BB$2:BB146)&lt;0),1,0)</f>
        <v>0</v>
      </c>
      <c r="BE146">
        <f t="shared" si="95"/>
        <v>0</v>
      </c>
      <c r="BF146">
        <f t="shared" si="96"/>
        <v>0</v>
      </c>
      <c r="BG146">
        <f t="shared" si="97"/>
        <v>0</v>
      </c>
      <c r="BH146">
        <f t="shared" si="98"/>
        <v>1</v>
      </c>
      <c r="BI146">
        <f>AZ146+N146+AP146-AR146*N('Исходные данные'!$B$50)</f>
        <v>0</v>
      </c>
      <c r="BJ146">
        <f t="shared" si="102"/>
        <v>0</v>
      </c>
      <c r="BK146">
        <f>IF(AND(BJ146&gt;=0,BJ145&lt;0,MIN($BJ$2:BJ146)&lt;0),1,0)</f>
        <v>0</v>
      </c>
    </row>
    <row r="147" spans="1:63" x14ac:dyDescent="0.2">
      <c r="A147">
        <v>146</v>
      </c>
      <c r="B147" t="str">
        <f>IF('Исходные данные'!$B$9="","",EDATE(DATE(YEAR('Исходные данные'!$B$9),MONTH('Исходные данные'!$B$9),1),A147-1))</f>
        <v/>
      </c>
      <c r="C147" t="str">
        <f t="shared" si="82"/>
        <v/>
      </c>
      <c r="D147" t="str">
        <f>IF(B147="","",IF('Исходные данные'!$B$91&lt;&gt;"",IF(AND(YEAR(B147)=YEAR('Исходные данные'!$B$91),MONTH(B147)=MONTH('Исходные данные'!$B$91)),'Исходные данные'!$B$91,IF('Исходные данные'!$B$13&lt;&gt;"",IF(AND(YEAR(B147)=YEAR('Исходные данные'!$B$13),MONTH(B147)=MONTH('Исходные данные'!$B$13)),'Исходные данные'!$B$13,IF('Исходные данные'!$B$26&lt;&gt;"",IF(AND(YEAR(B147)=YEAR('Исходные данные'!$B$26),MONTH(B147)=MONTH('Исходные данные'!$B$26)),'Исходные данные'!$B$26,IF(A147=1,'Исходные данные'!$B$9,C147)),IF(A147=1,'Исходные данные'!$B$9,C147))),IF('Исходные данные'!$B$26&lt;&gt;"",IF(AND(YEAR(B147)=YEAR('Исходные данные'!$B$26),MONTH(B147)=MONTH('Исходные данные'!$B$26)),'Исходные данные'!$B$26,IF(A147=1,'Исходные данные'!$B$9,C147)),IF(A147=1,'Исходные данные'!$B$9,C147)))),IF('Исходные данные'!$B$13&lt;&gt;"",IF(AND(YEAR(B147)=YEAR('Исходные данные'!$B$13),MONTH(B147)=MONTH('Исходные данные'!$B$13)),'Исходные данные'!$B$13,IF('Исходные данные'!$B$26&lt;&gt;"",IF(AND(YEAR(B147)=YEAR('Исходные данные'!$B$26),MONTH(B147)=MONTH('Исходные данные'!$B$26)),'Исходные данные'!$B$26,IF(A147=1,'Исходные данные'!$B$9,C147)),IF(A147=1,'Исходные данные'!$B$9,C147))),IF('Исходные данные'!$B$26&lt;&gt;"",IF(AND(YEAR(B147)=YEAR('Исходные данные'!$B$26),MONTH(B147)=MONTH('Исходные данные'!$B$26)),'Исходные данные'!$B$26,IF(A147=1,'Исходные данные'!$B$9,C147)),IF(A147=1,'Исходные данные'!$B$9,C147)))))</f>
        <v/>
      </c>
      <c r="E147">
        <f>IF(OR(B147="",'Исходные данные'!$B$91=""),0,--(B147&lt;=DATE(YEAR('Исходные данные'!$B$91),MONTH('Исходные данные'!$B$91),1)))</f>
        <v>0</v>
      </c>
      <c r="F147">
        <f>IF(OR(B147="",'Исходные данные'!$B$30="",C147&lt;'Исходные данные'!$B$30),0,DATEDIF(DATE(YEAR('Исходные данные'!$B$30),MONTH('Исходные данные'!$B$30),1),B147,"m")+1)</f>
        <v>0</v>
      </c>
      <c r="G147">
        <f t="shared" si="83"/>
        <v>0</v>
      </c>
      <c r="H147">
        <f>IF(F147=0,0,IF(G147=1,N('Исходные данные'!$B$31),IF(G147=2,N('Исходные данные'!$B$32),IF(G147=3,N('Исходные данные'!$B$33),N('Исходные данные'!$B$33)*(1+N('Исходные данные'!$B$34))^(G147-3)))))</f>
        <v>0</v>
      </c>
      <c r="I147">
        <f>IF(OR(F147=0,N('Исходные данные'!$B$5)=0,H147=0),0,'Исходные данные'!$B$5*H147*IF(AND(B147&lt;='Исходные данные'!$B$30,C147&gt;='Исходные данные'!$B$30),(C147-'Исходные данные'!$B$30+1)/DAY(C147),1))</f>
        <v>0</v>
      </c>
      <c r="J147">
        <f>IF(AND(F147&gt;0,F147&lt;=N('Исходные данные'!$B$37)),-I147,0)</f>
        <v>0</v>
      </c>
      <c r="K147">
        <f>IF(OR(F147=0,F147&lt;=N('Исходные данные'!$B$37)),0,-(I147+J147)*N('Исходные данные'!$B$38))</f>
        <v>0</v>
      </c>
      <c r="L147">
        <f t="shared" si="84"/>
        <v>0</v>
      </c>
      <c r="M147">
        <f>IF('Исходные данные'!$B$51="Да",L147*N('Исходные данные'!$B$52),0)</f>
        <v>0</v>
      </c>
      <c r="N147">
        <f t="shared" si="85"/>
        <v>0</v>
      </c>
      <c r="O147">
        <f>IF(OR(B147="",IF('Исходные данные'!$B$45="",'Исходные данные'!$B$10,'Исходные данные'!$B$45)="",C147&lt;IF('Исходные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данные'!$B$45)),1),B147,"m")/12))*IF(AND(B147&lt;=IF('Исходные данные'!$B$45="",'Исходные данные'!$B$10,'Исходные данные'!$B$45),C147&gt;=IF('Исходные данные'!$B$45="",'Исходные данные'!$B$10,'Исходные данные'!$B$45)),(C147-IF('Исходные данные'!$B$45="",'Исходные данные'!$B$10,'Исходные данные'!$B$45)+1)/DAY(C147),1)*IF('Исходные данные'!$B$43="Без НДС",1+N('Исходные данные'!$B$44),1))</f>
        <v>0</v>
      </c>
      <c r="P147">
        <f>IF('Исходные данные'!$B$51="Да",-O147*N('Исходные данные'!$B$44)/(1+N('Исходные данные'!$B$44)),0)</f>
        <v>0</v>
      </c>
      <c r="Q147">
        <f>IF('Исходные данные'!$B$35="Да",-O147,0)</f>
        <v>0</v>
      </c>
      <c r="R147">
        <f>IF(AND('Исходные данные'!$B$51="Да",Q147&gt;0),Q147*N('Исходные данные'!$B$52)/(1+N('Исходные данные'!$B$52)),0)</f>
        <v>0</v>
      </c>
      <c r="S147">
        <f>IF(OR(B147="",IF('Исходные данные'!$B$45="",'Исходные данные'!$B$10,'Исходные данные'!$B$45)="",C147&lt;IF('Исходные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данные'!$B$45)),1),B147,"m")/12))*IF(AND(B147&lt;=IF('Исходные данные'!$B$45="",'Исходные данные'!$B$10,'Исходные данные'!$B$45),C147&gt;=IF('Исходные данные'!$B$45="",'Исходные данные'!$B$10,'Исходные данные'!$B$45)),(C147-IF('Исходные данные'!$B$45="",'Исходные данные'!$B$10,'Исходные данные'!$B$45)+1)/DAY(C147),1)*IF('Исходные данные'!$B$43="Без НДС",1+N('Исходные данные'!$B$44),1))</f>
        <v>0</v>
      </c>
      <c r="T147">
        <f>IF('Исходные данные'!$B$51="Да",-S147*N('Исходные данные'!$B$44)/(1+N('Исходные данные'!$B$44)),0)</f>
        <v>0</v>
      </c>
      <c r="U147">
        <f>IF('Исходные данные'!$B$36="Да",-S147,0)</f>
        <v>0</v>
      </c>
      <c r="V147">
        <f>IF(AND('Исходные данные'!$B$51="Да",U147&gt;0),U147*N('Исходные данные'!$B$52)/(1+N('Исходные данные'!$B$52)),0)</f>
        <v>0</v>
      </c>
      <c r="W147">
        <f>IF(OR(B147="",IF('Исходные данные'!$B$69="",'Исходные данные'!$B$10,'Исходные данные'!$B$69)="",C147&lt;IF('Исходные данные'!$B$69="",'Исходные данные'!$B$10,'Исходные данные'!$B$69)),0,-N('Исходные данные'!$B$16)*N('Исходные данные'!$B$68)*N('Исходные данные'!$B$67)/12*IF(AND(B147&lt;=IF('Исходные данные'!$B$69="",'Исходные данные'!$B$10,'Исходные данные'!$B$69),C147&gt;=IF('Исходные данные'!$B$69="",'Исходные данные'!$B$10,'Исходные данные'!$B$69)),(C147-IF('Исходные данные'!$B$69="",'Исходные данные'!$B$10,'Исходные данные'!$B$69)+1)/DAY(C147),1))</f>
        <v>0</v>
      </c>
      <c r="X147">
        <f>IF(OR(B147="",IF('Исходные данные'!$B$76="",'Исходные данные'!$B$10,'Исходные данные'!$B$76)="",C147&lt;IF('Исходные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данные'!$B$76)),1),B147,"m")/12))*IF(AND(B147&lt;=IF('Исходные данные'!$B$76="",'Исходные данные'!$B$10,'Исходные данные'!$B$76),C147&gt;=IF('Исходные данные'!$B$76="",'Исходные данные'!$B$10,'Исходные данные'!$B$76)),(C147-IF('Исходные данные'!$B$76="",'Исходные данные'!$B$10,'Исходные данные'!$B$76)+1)/DAY(C147),1))</f>
        <v>0</v>
      </c>
      <c r="Y147">
        <f t="shared" si="86"/>
        <v>0</v>
      </c>
      <c r="Z147">
        <f>IF(OR(B147="",N('Исходные данные'!$B$19)=0),0,-SUMIFS('Исходные данные'!$I$6:$I$186,'Исходные данные'!$F$6:$F$186,B147)*N('Исходные данные'!$B$17)/N('Исходные данные'!$B$19))</f>
        <v>0</v>
      </c>
      <c r="AA147">
        <f>IF(OR(B147="",N('Исходные данные'!$B$19)=0),0,-SUMIFS('Исходные данные'!$I$6:$I$186,'Исходные данные'!$F$6:$F$186,B147)*N('Исходные данные'!$B$18)/N('Исходные данные'!$B$19))</f>
        <v>0</v>
      </c>
      <c r="AB147">
        <f>IF(OR(B147="",'Исходные данные'!$B$13=""),0,IF(AND(YEAR(B147)=YEAR('Исходные данные'!$B$13),MONTH(B147)=MONTH('Исходные данные'!$B$13)),-N('Исходные данные'!$B$11),0))</f>
        <v>0</v>
      </c>
      <c r="AC147">
        <f>IF(A147=1,-N('Исходные данные'!$B$19)*N('Исходные данные'!$B$72),0)</f>
        <v>0</v>
      </c>
      <c r="AD147">
        <f>IF(OR(B147="",'Исходные данные'!$B$22&lt;&gt;"Да",'Исходные данные'!$B$26=""),0,IF(AND(YEAR(B147)=YEAR('Исходные данные'!$B$26),MONTH(B147)=MONTH('Исходные данные'!$B$26)),N('Исходные данные'!$B$23),0))</f>
        <v>0</v>
      </c>
      <c r="AE147">
        <f t="shared" si="99"/>
        <v>0</v>
      </c>
      <c r="AF147">
        <f>IF(OR('Исходные данные'!$B$22&lt;&gt;"Да",'Исходные данные'!$B$26="",C147&lt;'Исходные данные'!$B$26),0,DATEDIF(DATE(YEAR('Исходные данные'!$B$26),MONTH('Исходные данные'!$B$26),1),B147,"m")+1)</f>
        <v>0</v>
      </c>
      <c r="AG147">
        <f>IF(OR(AF147&lt;1,AF147&gt;N('Исходные данные'!$B$25),AE147+AD147&lt;=0),0,-(AE147+AD147)*N('Исходные данные'!$B$24)*IF(AF147=1,C147-'Исходные данные'!$B$26+1,DAY(C147))/365)</f>
        <v>0</v>
      </c>
      <c r="AH147">
        <f>IF(OR(AF147&lt;1,AF147&gt;N('Исходные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данные'!$B$25)-AG147))</f>
        <v>0</v>
      </c>
      <c r="AI147">
        <f>IF(OR('Исходные данные'!$B$22&lt;&gt;"Да",AE147+AD147&lt;=0),0,IF(AND('Исходные данные'!$B$91&lt;&gt;"",B147&lt;&gt;"",YEAR(B147)=YEAR('Исходные данные'!$B$91),MONTH(B147)=MONTH('Исходные данные'!$B$91)),-(AE147+AD147),IF(OR(AF147&lt;1,AF147&gt;N('Исходные данные'!$B$25)),0,IF('Исходные данные'!$B$27="Равными долями",-MIN(AE147+AD147,N('Исходные данные'!$B$23)/N('Исходные данные'!$B$25)),-MIN(AE147+AD147,IF(AF147=N('Исходные данные'!$B$25),AE147+AD147,MAX(0,AH147+AG147)))))))</f>
        <v>0</v>
      </c>
      <c r="AJ147">
        <f t="shared" si="87"/>
        <v>0</v>
      </c>
      <c r="AK147">
        <f t="shared" si="88"/>
        <v>0</v>
      </c>
      <c r="AL147">
        <f>IF(OR(B147="",'Исходные данные'!$B$51&lt;&gt;"Да",'Исходные данные'!$B$61=""),0,IF(AND(YEAR(B147)=YEAR('Исходные данные'!$B$61),MONTH(B147)=MONTH('Исходные данные'!$B$61)),N('Исходные данные'!$B$18)*N('Исходные данные'!$B$62),0))</f>
        <v>0</v>
      </c>
      <c r="AM147">
        <f t="shared" si="100"/>
        <v>0</v>
      </c>
      <c r="AN147">
        <f t="shared" si="89"/>
        <v>0</v>
      </c>
      <c r="AO147">
        <f t="shared" si="90"/>
        <v>0</v>
      </c>
      <c r="AP147">
        <f>IF('Исходные данные'!$B$51="Да",-MAX(0,AN147-AO147-AM147),0)</f>
        <v>0</v>
      </c>
      <c r="AQ147">
        <f>IF('Исходные данные'!$B$51="Да",MAX(0,AM147+AO147-AN147),0)</f>
        <v>0</v>
      </c>
      <c r="AR147">
        <f>IF('Исходные данные'!$B$53="Выручка",MAX(0,L147+(Q147-R147)+(U147-V147)),IF('Исходные данные'!$B$53="Прибыль до налога",MAX(0,L147+(Q147-R147)+(U147-V147)+N('Исходные данные'!$B$54)*((O147+P147)+(S147+T147)+W147+X147)+IF('Исходные данные'!$B$55="Да",AG147,0)-N('Исходные данные'!$B$56)/12),IF('Исходные данные'!$B$53="Пользовательская база",MAX(0,N('Исходные данные'!$B$57)/12),0)))</f>
        <v>0</v>
      </c>
      <c r="AS147">
        <f>IF(E147=1,-AR147*N('Исходные данные'!$B$50),0)</f>
        <v>0</v>
      </c>
      <c r="AT147">
        <f t="shared" si="91"/>
        <v>0</v>
      </c>
      <c r="AU147">
        <f>IF(OR(B147="",N('Исходные данные'!$B$80)&lt;=0,'Исходные данные'!$B$88=""),0,MAX(0,IF('Исходные данные'!$B$88="Последние 12 месяцев",SUMIFS($Y$2:$Y$194,$B$2:$B$194,"&gt;="&amp;EDATE(B147,-11),$B$2:$B$194,"&lt;="&amp;B147),IF('Исходные данные'!$B$88="Пользовательский NOI",N('Исходные данные'!$B$89),AT147))/N('Исходные данные'!$B$80)*(1+N('Исходные данные'!$B$81))))</f>
        <v>0</v>
      </c>
      <c r="AV147">
        <f>IF(OR(E147&lt;&gt;1,B147="",'Исходные данные'!$B$91=""),0,IF(AND(YEAR(B147)=YEAR('Исходные данные'!$B$91),MONTH(B147)=MONTH('Исходные данные'!$B$91)),AU147,0))</f>
        <v>0</v>
      </c>
      <c r="AW147">
        <f>-AV147*N('Исходные данные'!$B$73)</f>
        <v>0</v>
      </c>
      <c r="AX147">
        <f>IF(AV147=0,0,-N('Исходные данные'!$B$87)-IF('Исходные данные'!$B$82="Да",IF('Исходные данные'!$B$84="С выручки",AV147,IF('Исходные данные'!$B$84="С прибыли",MAX(0,AV147+AW147-IF('Исходные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47">
        <f t="shared" si="92"/>
        <v>0</v>
      </c>
      <c r="AZ147">
        <f t="shared" si="93"/>
        <v>0</v>
      </c>
      <c r="BA147">
        <f t="shared" si="94"/>
        <v>0</v>
      </c>
      <c r="BB147" t="str">
        <f t="shared" si="101"/>
        <v/>
      </c>
      <c r="BC147">
        <f>IF(OR(E147=0,'Исходные данные'!$B$9="",'Исходные данные'!$B$90=""),0,BA147/(1+'Исходные данные'!$B$90)^((D147-'Исходные данные'!$B$9)/365))</f>
        <v>0</v>
      </c>
      <c r="BD147">
        <f>IF(AND(E147=1,BB147&gt;=0,BB146&lt;0,MIN($BB$2:BB147)&lt;0),1,0)</f>
        <v>0</v>
      </c>
      <c r="BE147">
        <f t="shared" si="95"/>
        <v>0</v>
      </c>
      <c r="BF147">
        <f t="shared" si="96"/>
        <v>0</v>
      </c>
      <c r="BG147">
        <f t="shared" si="97"/>
        <v>0</v>
      </c>
      <c r="BH147">
        <f t="shared" si="98"/>
        <v>1</v>
      </c>
      <c r="BI147">
        <f>AZ147+N147+AP147-AR147*N('Исходные данные'!$B$50)</f>
        <v>0</v>
      </c>
      <c r="BJ147">
        <f t="shared" si="102"/>
        <v>0</v>
      </c>
      <c r="BK147">
        <f>IF(AND(BJ147&gt;=0,BJ146&lt;0,MIN($BJ$2:BJ147)&lt;0),1,0)</f>
        <v>0</v>
      </c>
    </row>
    <row r="148" spans="1:63" x14ac:dyDescent="0.2">
      <c r="A148">
        <v>147</v>
      </c>
      <c r="B148" t="str">
        <f>IF('Исходные данные'!$B$9="","",EDATE(DATE(YEAR('Исходные данные'!$B$9),MONTH('Исходные данные'!$B$9),1),A148-1))</f>
        <v/>
      </c>
      <c r="C148" t="str">
        <f t="shared" si="82"/>
        <v/>
      </c>
      <c r="D148" t="str">
        <f>IF(B148="","",IF('Исходные данные'!$B$91&lt;&gt;"",IF(AND(YEAR(B148)=YEAR('Исходные данные'!$B$91),MONTH(B148)=MONTH('Исходные данные'!$B$91)),'Исходные данные'!$B$91,IF('Исходные данные'!$B$13&lt;&gt;"",IF(AND(YEAR(B148)=YEAR('Исходные данные'!$B$13),MONTH(B148)=MONTH('Исходные данные'!$B$13)),'Исходные данные'!$B$13,IF('Исходные данные'!$B$26&lt;&gt;"",IF(AND(YEAR(B148)=YEAR('Исходные данные'!$B$26),MONTH(B148)=MONTH('Исходные данные'!$B$26)),'Исходные данные'!$B$26,IF(A148=1,'Исходные данные'!$B$9,C148)),IF(A148=1,'Исходные данные'!$B$9,C148))),IF('Исходные данные'!$B$26&lt;&gt;"",IF(AND(YEAR(B148)=YEAR('Исходные данные'!$B$26),MONTH(B148)=MONTH('Исходные данные'!$B$26)),'Исходные данные'!$B$26,IF(A148=1,'Исходные данные'!$B$9,C148)),IF(A148=1,'Исходные данные'!$B$9,C148)))),IF('Исходные данные'!$B$13&lt;&gt;"",IF(AND(YEAR(B148)=YEAR('Исходные данные'!$B$13),MONTH(B148)=MONTH('Исходные данные'!$B$13)),'Исходные данные'!$B$13,IF('Исходные данные'!$B$26&lt;&gt;"",IF(AND(YEAR(B148)=YEAR('Исходные данные'!$B$26),MONTH(B148)=MONTH('Исходные данные'!$B$26)),'Исходные данные'!$B$26,IF(A148=1,'Исходные данные'!$B$9,C148)),IF(A148=1,'Исходные данные'!$B$9,C148))),IF('Исходные данные'!$B$26&lt;&gt;"",IF(AND(YEAR(B148)=YEAR('Исходные данные'!$B$26),MONTH(B148)=MONTH('Исходные данные'!$B$26)),'Исходные данные'!$B$26,IF(A148=1,'Исходные данные'!$B$9,C148)),IF(A148=1,'Исходные данные'!$B$9,C148)))))</f>
        <v/>
      </c>
      <c r="E148">
        <f>IF(OR(B148="",'Исходные данные'!$B$91=""),0,--(B148&lt;=DATE(YEAR('Исходные данные'!$B$91),MONTH('Исходные данные'!$B$91),1)))</f>
        <v>0</v>
      </c>
      <c r="F148">
        <f>IF(OR(B148="",'Исходные данные'!$B$30="",C148&lt;'Исходные данные'!$B$30),0,DATEDIF(DATE(YEAR('Исходные данные'!$B$30),MONTH('Исходные данные'!$B$30),1),B148,"m")+1)</f>
        <v>0</v>
      </c>
      <c r="G148">
        <f t="shared" si="83"/>
        <v>0</v>
      </c>
      <c r="H148">
        <f>IF(F148=0,0,IF(G148=1,N('Исходные данные'!$B$31),IF(G148=2,N('Исходные данные'!$B$32),IF(G148=3,N('Исходные данные'!$B$33),N('Исходные данные'!$B$33)*(1+N('Исходные данные'!$B$34))^(G148-3)))))</f>
        <v>0</v>
      </c>
      <c r="I148">
        <f>IF(OR(F148=0,N('Исходные данные'!$B$5)=0,H148=0),0,'Исходные данные'!$B$5*H148*IF(AND(B148&lt;='Исходные данные'!$B$30,C148&gt;='Исходные данные'!$B$30),(C148-'Исходные данные'!$B$30+1)/DAY(C148),1))</f>
        <v>0</v>
      </c>
      <c r="J148">
        <f>IF(AND(F148&gt;0,F148&lt;=N('Исходные данные'!$B$37)),-I148,0)</f>
        <v>0</v>
      </c>
      <c r="K148">
        <f>IF(OR(F148=0,F148&lt;=N('Исходные данные'!$B$37)),0,-(I148+J148)*N('Исходные данные'!$B$38))</f>
        <v>0</v>
      </c>
      <c r="L148">
        <f t="shared" si="84"/>
        <v>0</v>
      </c>
      <c r="M148">
        <f>IF('Исходные данные'!$B$51="Да",L148*N('Исходные данные'!$B$52),0)</f>
        <v>0</v>
      </c>
      <c r="N148">
        <f t="shared" si="85"/>
        <v>0</v>
      </c>
      <c r="O148">
        <f>IF(OR(B148="",IF('Исходные данные'!$B$45="",'Исходные данные'!$B$10,'Исходные данные'!$B$45)="",C148&lt;IF('Исходные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данные'!$B$45)),1),B148,"m")/12))*IF(AND(B148&lt;=IF('Исходные данные'!$B$45="",'Исходные данные'!$B$10,'Исходные данные'!$B$45),C148&gt;=IF('Исходные данные'!$B$45="",'Исходные данные'!$B$10,'Исходные данные'!$B$45)),(C148-IF('Исходные данные'!$B$45="",'Исходные данные'!$B$10,'Исходные данные'!$B$45)+1)/DAY(C148),1)*IF('Исходные данные'!$B$43="Без НДС",1+N('Исходные данные'!$B$44),1))</f>
        <v>0</v>
      </c>
      <c r="P148">
        <f>IF('Исходные данные'!$B$51="Да",-O148*N('Исходные данные'!$B$44)/(1+N('Исходные данные'!$B$44)),0)</f>
        <v>0</v>
      </c>
      <c r="Q148">
        <f>IF('Исходные данные'!$B$35="Да",-O148,0)</f>
        <v>0</v>
      </c>
      <c r="R148">
        <f>IF(AND('Исходные данные'!$B$51="Да",Q148&gt;0),Q148*N('Исходные данные'!$B$52)/(1+N('Исходные данные'!$B$52)),0)</f>
        <v>0</v>
      </c>
      <c r="S148">
        <f>IF(OR(B148="",IF('Исходные данные'!$B$45="",'Исходные данные'!$B$10,'Исходные данные'!$B$45)="",C148&lt;IF('Исходные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данные'!$B$45)),1),B148,"m")/12))*IF(AND(B148&lt;=IF('Исходные данные'!$B$45="",'Исходные данные'!$B$10,'Исходные данные'!$B$45),C148&gt;=IF('Исходные данные'!$B$45="",'Исходные данные'!$B$10,'Исходные данные'!$B$45)),(C148-IF('Исходные данные'!$B$45="",'Исходные данные'!$B$10,'Исходные данные'!$B$45)+1)/DAY(C148),1)*IF('Исходные данные'!$B$43="Без НДС",1+N('Исходные данные'!$B$44),1))</f>
        <v>0</v>
      </c>
      <c r="T148">
        <f>IF('Исходные данные'!$B$51="Да",-S148*N('Исходные данные'!$B$44)/(1+N('Исходные данные'!$B$44)),0)</f>
        <v>0</v>
      </c>
      <c r="U148">
        <f>IF('Исходные данные'!$B$36="Да",-S148,0)</f>
        <v>0</v>
      </c>
      <c r="V148">
        <f>IF(AND('Исходные данные'!$B$51="Да",U148&gt;0),U148*N('Исходные данные'!$B$52)/(1+N('Исходные данные'!$B$52)),0)</f>
        <v>0</v>
      </c>
      <c r="W148">
        <f>IF(OR(B148="",IF('Исходные данные'!$B$69="",'Исходные данные'!$B$10,'Исходные данные'!$B$69)="",C148&lt;IF('Исходные данные'!$B$69="",'Исходные данные'!$B$10,'Исходные данные'!$B$69)),0,-N('Исходные данные'!$B$16)*N('Исходные данные'!$B$68)*N('Исходные данные'!$B$67)/12*IF(AND(B148&lt;=IF('Исходные данные'!$B$69="",'Исходные данные'!$B$10,'Исходные данные'!$B$69),C148&gt;=IF('Исходные данные'!$B$69="",'Исходные данные'!$B$10,'Исходные данные'!$B$69)),(C148-IF('Исходные данные'!$B$69="",'Исходные данные'!$B$10,'Исходные данные'!$B$69)+1)/DAY(C148),1))</f>
        <v>0</v>
      </c>
      <c r="X148">
        <f>IF(OR(B148="",IF('Исходные данные'!$B$76="",'Исходные данные'!$B$10,'Исходные данные'!$B$76)="",C148&lt;IF('Исходные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данные'!$B$76)),1),B148,"m")/12))*IF(AND(B148&lt;=IF('Исходные данные'!$B$76="",'Исходные данные'!$B$10,'Исходные данные'!$B$76),C148&gt;=IF('Исходные данные'!$B$76="",'Исходные данные'!$B$10,'Исходные данные'!$B$76)),(C148-IF('Исходные данные'!$B$76="",'Исходные данные'!$B$10,'Исходные данные'!$B$76)+1)/DAY(C148),1))</f>
        <v>0</v>
      </c>
      <c r="Y148">
        <f t="shared" si="86"/>
        <v>0</v>
      </c>
      <c r="Z148">
        <f>IF(OR(B148="",N('Исходные данные'!$B$19)=0),0,-SUMIFS('Исходные данные'!$I$6:$I$186,'Исходные данные'!$F$6:$F$186,B148)*N('Исходные данные'!$B$17)/N('Исходные данные'!$B$19))</f>
        <v>0</v>
      </c>
      <c r="AA148">
        <f>IF(OR(B148="",N('Исходные данные'!$B$19)=0),0,-SUMIFS('Исходные данные'!$I$6:$I$186,'Исходные данные'!$F$6:$F$186,B148)*N('Исходные данные'!$B$18)/N('Исходные данные'!$B$19))</f>
        <v>0</v>
      </c>
      <c r="AB148">
        <f>IF(OR(B148="",'Исходные данные'!$B$13=""),0,IF(AND(YEAR(B148)=YEAR('Исходные данные'!$B$13),MONTH(B148)=MONTH('Исходные данные'!$B$13)),-N('Исходные данные'!$B$11),0))</f>
        <v>0</v>
      </c>
      <c r="AC148">
        <f>IF(A148=1,-N('Исходные данные'!$B$19)*N('Исходные данные'!$B$72),0)</f>
        <v>0</v>
      </c>
      <c r="AD148">
        <f>IF(OR(B148="",'Исходные данные'!$B$22&lt;&gt;"Да",'Исходные данные'!$B$26=""),0,IF(AND(YEAR(B148)=YEAR('Исходные данные'!$B$26),MONTH(B148)=MONTH('Исходные данные'!$B$26)),N('Исходные данные'!$B$23),0))</f>
        <v>0</v>
      </c>
      <c r="AE148">
        <f t="shared" si="99"/>
        <v>0</v>
      </c>
      <c r="AF148">
        <f>IF(OR('Исходные данные'!$B$22&lt;&gt;"Да",'Исходные данные'!$B$26="",C148&lt;'Исходные данные'!$B$26),0,DATEDIF(DATE(YEAR('Исходные данные'!$B$26),MONTH('Исходные данные'!$B$26),1),B148,"m")+1)</f>
        <v>0</v>
      </c>
      <c r="AG148">
        <f>IF(OR(AF148&lt;1,AF148&gt;N('Исходные данные'!$B$25),AE148+AD148&lt;=0),0,-(AE148+AD148)*N('Исходные данные'!$B$24)*IF(AF148=1,C148-'Исходные данные'!$B$26+1,DAY(C148))/365)</f>
        <v>0</v>
      </c>
      <c r="AH148">
        <f>IF(OR(AF148&lt;1,AF148&gt;N('Исходные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данные'!$B$25)-AG148))</f>
        <v>0</v>
      </c>
      <c r="AI148">
        <f>IF(OR('Исходные данные'!$B$22&lt;&gt;"Да",AE148+AD148&lt;=0),0,IF(AND('Исходные данные'!$B$91&lt;&gt;"",B148&lt;&gt;"",YEAR(B148)=YEAR('Исходные данные'!$B$91),MONTH(B148)=MONTH('Исходные данные'!$B$91)),-(AE148+AD148),IF(OR(AF148&lt;1,AF148&gt;N('Исходные данные'!$B$25)),0,IF('Исходные данные'!$B$27="Равными долями",-MIN(AE148+AD148,N('Исходные данные'!$B$23)/N('Исходные данные'!$B$25)),-MIN(AE148+AD148,IF(AF148=N('Исходные данные'!$B$25),AE148+AD148,MAX(0,AH148+AG148)))))))</f>
        <v>0</v>
      </c>
      <c r="AJ148">
        <f t="shared" si="87"/>
        <v>0</v>
      </c>
      <c r="AK148">
        <f t="shared" si="88"/>
        <v>0</v>
      </c>
      <c r="AL148">
        <f>IF(OR(B148="",'Исходные данные'!$B$51&lt;&gt;"Да",'Исходные данные'!$B$61=""),0,IF(AND(YEAR(B148)=YEAR('Исходные данные'!$B$61),MONTH(B148)=MONTH('Исходные данные'!$B$61)),N('Исходные данные'!$B$18)*N('Исходные данные'!$B$62),0))</f>
        <v>0</v>
      </c>
      <c r="AM148">
        <f t="shared" si="100"/>
        <v>0</v>
      </c>
      <c r="AN148">
        <f t="shared" si="89"/>
        <v>0</v>
      </c>
      <c r="AO148">
        <f t="shared" si="90"/>
        <v>0</v>
      </c>
      <c r="AP148">
        <f>IF('Исходные данные'!$B$51="Да",-MAX(0,AN148-AO148-AM148),0)</f>
        <v>0</v>
      </c>
      <c r="AQ148">
        <f>IF('Исходные данные'!$B$51="Да",MAX(0,AM148+AO148-AN148),0)</f>
        <v>0</v>
      </c>
      <c r="AR148">
        <f>IF('Исходные данные'!$B$53="Выручка",MAX(0,L148+(Q148-R148)+(U148-V148)),IF('Исходные данные'!$B$53="Прибыль до налога",MAX(0,L148+(Q148-R148)+(U148-V148)+N('Исходные данные'!$B$54)*((O148+P148)+(S148+T148)+W148+X148)+IF('Исходные данные'!$B$55="Да",AG148,0)-N('Исходные данные'!$B$56)/12),IF('Исходные данные'!$B$53="Пользовательская база",MAX(0,N('Исходные данные'!$B$57)/12),0)))</f>
        <v>0</v>
      </c>
      <c r="AS148">
        <f>IF(E148=1,-AR148*N('Исходные данные'!$B$50),0)</f>
        <v>0</v>
      </c>
      <c r="AT148">
        <f t="shared" si="91"/>
        <v>0</v>
      </c>
      <c r="AU148">
        <f>IF(OR(B148="",N('Исходные данные'!$B$80)&lt;=0,'Исходные данные'!$B$88=""),0,MAX(0,IF('Исходные данные'!$B$88="Последние 12 месяцев",SUMIFS($Y$2:$Y$194,$B$2:$B$194,"&gt;="&amp;EDATE(B148,-11),$B$2:$B$194,"&lt;="&amp;B148),IF('Исходные данные'!$B$88="Пользовательский NOI",N('Исходные данные'!$B$89),AT148))/N('Исходные данные'!$B$80)*(1+N('Исходные данные'!$B$81))))</f>
        <v>0</v>
      </c>
      <c r="AV148">
        <f>IF(OR(E148&lt;&gt;1,B148="",'Исходные данные'!$B$91=""),0,IF(AND(YEAR(B148)=YEAR('Исходные данные'!$B$91),MONTH(B148)=MONTH('Исходные данные'!$B$91)),AU148,0))</f>
        <v>0</v>
      </c>
      <c r="AW148">
        <f>-AV148*N('Исходные данные'!$B$73)</f>
        <v>0</v>
      </c>
      <c r="AX148">
        <f>IF(AV148=0,0,-N('Исходные данные'!$B$87)-IF('Исходные данные'!$B$82="Да",IF('Исходные данные'!$B$84="С выручки",AV148,IF('Исходные данные'!$B$84="С прибыли",MAX(0,AV148+AW148-IF('Исходные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48">
        <f t="shared" si="92"/>
        <v>0</v>
      </c>
      <c r="AZ148">
        <f t="shared" si="93"/>
        <v>0</v>
      </c>
      <c r="BA148">
        <f t="shared" si="94"/>
        <v>0</v>
      </c>
      <c r="BB148" t="str">
        <f t="shared" si="101"/>
        <v/>
      </c>
      <c r="BC148">
        <f>IF(OR(E148=0,'Исходные данные'!$B$9="",'Исходные данные'!$B$90=""),0,BA148/(1+'Исходные данные'!$B$90)^((D148-'Исходные данные'!$B$9)/365))</f>
        <v>0</v>
      </c>
      <c r="BD148">
        <f>IF(AND(E148=1,BB148&gt;=0,BB147&lt;0,MIN($BB$2:BB148)&lt;0),1,0)</f>
        <v>0</v>
      </c>
      <c r="BE148">
        <f t="shared" si="95"/>
        <v>0</v>
      </c>
      <c r="BF148">
        <f t="shared" si="96"/>
        <v>0</v>
      </c>
      <c r="BG148">
        <f t="shared" si="97"/>
        <v>0</v>
      </c>
      <c r="BH148">
        <f t="shared" si="98"/>
        <v>1</v>
      </c>
      <c r="BI148">
        <f>AZ148+N148+AP148-AR148*N('Исходные данные'!$B$50)</f>
        <v>0</v>
      </c>
      <c r="BJ148">
        <f t="shared" si="102"/>
        <v>0</v>
      </c>
      <c r="BK148">
        <f>IF(AND(BJ148&gt;=0,BJ147&lt;0,MIN($BJ$2:BJ148)&lt;0),1,0)</f>
        <v>0</v>
      </c>
    </row>
    <row r="149" spans="1:63" x14ac:dyDescent="0.2">
      <c r="A149">
        <v>148</v>
      </c>
      <c r="B149" t="str">
        <f>IF('Исходные данные'!$B$9="","",EDATE(DATE(YEAR('Исходные данные'!$B$9),MONTH('Исходные данные'!$B$9),1),A149-1))</f>
        <v/>
      </c>
      <c r="C149" t="str">
        <f t="shared" si="82"/>
        <v/>
      </c>
      <c r="D149" t="str">
        <f>IF(B149="","",IF('Исходные данные'!$B$91&lt;&gt;"",IF(AND(YEAR(B149)=YEAR('Исходные данные'!$B$91),MONTH(B149)=MONTH('Исходные данные'!$B$91)),'Исходные данные'!$B$91,IF('Исходные данные'!$B$13&lt;&gt;"",IF(AND(YEAR(B149)=YEAR('Исходные данные'!$B$13),MONTH(B149)=MONTH('Исходные данные'!$B$13)),'Исходные данные'!$B$13,IF('Исходные данные'!$B$26&lt;&gt;"",IF(AND(YEAR(B149)=YEAR('Исходные данные'!$B$26),MONTH(B149)=MONTH('Исходные данные'!$B$26)),'Исходные данные'!$B$26,IF(A149=1,'Исходные данные'!$B$9,C149)),IF(A149=1,'Исходные данные'!$B$9,C149))),IF('Исходные данные'!$B$26&lt;&gt;"",IF(AND(YEAR(B149)=YEAR('Исходные данные'!$B$26),MONTH(B149)=MONTH('Исходные данные'!$B$26)),'Исходные данные'!$B$26,IF(A149=1,'Исходные данные'!$B$9,C149)),IF(A149=1,'Исходные данные'!$B$9,C149)))),IF('Исходные данные'!$B$13&lt;&gt;"",IF(AND(YEAR(B149)=YEAR('Исходные данные'!$B$13),MONTH(B149)=MONTH('Исходные данные'!$B$13)),'Исходные данные'!$B$13,IF('Исходные данные'!$B$26&lt;&gt;"",IF(AND(YEAR(B149)=YEAR('Исходные данные'!$B$26),MONTH(B149)=MONTH('Исходные данные'!$B$26)),'Исходные данные'!$B$26,IF(A149=1,'Исходные данные'!$B$9,C149)),IF(A149=1,'Исходные данные'!$B$9,C149))),IF('Исходные данные'!$B$26&lt;&gt;"",IF(AND(YEAR(B149)=YEAR('Исходные данные'!$B$26),MONTH(B149)=MONTH('Исходные данные'!$B$26)),'Исходные данные'!$B$26,IF(A149=1,'Исходные данные'!$B$9,C149)),IF(A149=1,'Исходные данные'!$B$9,C149)))))</f>
        <v/>
      </c>
      <c r="E149">
        <f>IF(OR(B149="",'Исходные данные'!$B$91=""),0,--(B149&lt;=DATE(YEAR('Исходные данные'!$B$91),MONTH('Исходные данные'!$B$91),1)))</f>
        <v>0</v>
      </c>
      <c r="F149">
        <f>IF(OR(B149="",'Исходные данные'!$B$30="",C149&lt;'Исходные данные'!$B$30),0,DATEDIF(DATE(YEAR('Исходные данные'!$B$30),MONTH('Исходные данные'!$B$30),1),B149,"m")+1)</f>
        <v>0</v>
      </c>
      <c r="G149">
        <f t="shared" si="83"/>
        <v>0</v>
      </c>
      <c r="H149">
        <f>IF(F149=0,0,IF(G149=1,N('Исходные данные'!$B$31),IF(G149=2,N('Исходные данные'!$B$32),IF(G149=3,N('Исходные данные'!$B$33),N('Исходные данные'!$B$33)*(1+N('Исходные данные'!$B$34))^(G149-3)))))</f>
        <v>0</v>
      </c>
      <c r="I149">
        <f>IF(OR(F149=0,N('Исходные данные'!$B$5)=0,H149=0),0,'Исходные данные'!$B$5*H149*IF(AND(B149&lt;='Исходные данные'!$B$30,C149&gt;='Исходные данные'!$B$30),(C149-'Исходные данные'!$B$30+1)/DAY(C149),1))</f>
        <v>0</v>
      </c>
      <c r="J149">
        <f>IF(AND(F149&gt;0,F149&lt;=N('Исходные данные'!$B$37)),-I149,0)</f>
        <v>0</v>
      </c>
      <c r="K149">
        <f>IF(OR(F149=0,F149&lt;=N('Исходные данные'!$B$37)),0,-(I149+J149)*N('Исходные данные'!$B$38))</f>
        <v>0</v>
      </c>
      <c r="L149">
        <f t="shared" si="84"/>
        <v>0</v>
      </c>
      <c r="M149">
        <f>IF('Исходные данные'!$B$51="Да",L149*N('Исходные данные'!$B$52),0)</f>
        <v>0</v>
      </c>
      <c r="N149">
        <f t="shared" si="85"/>
        <v>0</v>
      </c>
      <c r="O149">
        <f>IF(OR(B149="",IF('Исходные данные'!$B$45="",'Исходные данные'!$B$10,'Исходные данные'!$B$45)="",C149&lt;IF('Исходные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данные'!$B$45)),1),B149,"m")/12))*IF(AND(B149&lt;=IF('Исходные данные'!$B$45="",'Исходные данные'!$B$10,'Исходные данные'!$B$45),C149&gt;=IF('Исходные данные'!$B$45="",'Исходные данные'!$B$10,'Исходные данные'!$B$45)),(C149-IF('Исходные данные'!$B$45="",'Исходные данные'!$B$10,'Исходные данные'!$B$45)+1)/DAY(C149),1)*IF('Исходные данные'!$B$43="Без НДС",1+N('Исходные данные'!$B$44),1))</f>
        <v>0</v>
      </c>
      <c r="P149">
        <f>IF('Исходные данные'!$B$51="Да",-O149*N('Исходные данные'!$B$44)/(1+N('Исходные данные'!$B$44)),0)</f>
        <v>0</v>
      </c>
      <c r="Q149">
        <f>IF('Исходные данные'!$B$35="Да",-O149,0)</f>
        <v>0</v>
      </c>
      <c r="R149">
        <f>IF(AND('Исходные данные'!$B$51="Да",Q149&gt;0),Q149*N('Исходные данные'!$B$52)/(1+N('Исходные данные'!$B$52)),0)</f>
        <v>0</v>
      </c>
      <c r="S149">
        <f>IF(OR(B149="",IF('Исходные данные'!$B$45="",'Исходные данные'!$B$10,'Исходные данные'!$B$45)="",C149&lt;IF('Исходные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данные'!$B$45)),1),B149,"m")/12))*IF(AND(B149&lt;=IF('Исходные данные'!$B$45="",'Исходные данные'!$B$10,'Исходные данные'!$B$45),C149&gt;=IF('Исходные данные'!$B$45="",'Исходные данные'!$B$10,'Исходные данные'!$B$45)),(C149-IF('Исходные данные'!$B$45="",'Исходные данные'!$B$10,'Исходные данные'!$B$45)+1)/DAY(C149),1)*IF('Исходные данные'!$B$43="Без НДС",1+N('Исходные данные'!$B$44),1))</f>
        <v>0</v>
      </c>
      <c r="T149">
        <f>IF('Исходные данные'!$B$51="Да",-S149*N('Исходные данные'!$B$44)/(1+N('Исходные данные'!$B$44)),0)</f>
        <v>0</v>
      </c>
      <c r="U149">
        <f>IF('Исходные данные'!$B$36="Да",-S149,0)</f>
        <v>0</v>
      </c>
      <c r="V149">
        <f>IF(AND('Исходные данные'!$B$51="Да",U149&gt;0),U149*N('Исходные данные'!$B$52)/(1+N('Исходные данные'!$B$52)),0)</f>
        <v>0</v>
      </c>
      <c r="W149">
        <f>IF(OR(B149="",IF('Исходные данные'!$B$69="",'Исходные данные'!$B$10,'Исходные данные'!$B$69)="",C149&lt;IF('Исходные данные'!$B$69="",'Исходные данные'!$B$10,'Исходные данные'!$B$69)),0,-N('Исходные данные'!$B$16)*N('Исходные данные'!$B$68)*N('Исходные данные'!$B$67)/12*IF(AND(B149&lt;=IF('Исходные данные'!$B$69="",'Исходные данные'!$B$10,'Исходные данные'!$B$69),C149&gt;=IF('Исходные данные'!$B$69="",'Исходные данные'!$B$10,'Исходные данные'!$B$69)),(C149-IF('Исходные данные'!$B$69="",'Исходные данные'!$B$10,'Исходные данные'!$B$69)+1)/DAY(C149),1))</f>
        <v>0</v>
      </c>
      <c r="X149">
        <f>IF(OR(B149="",IF('Исходные данные'!$B$76="",'Исходные данные'!$B$10,'Исходные данные'!$B$76)="",C149&lt;IF('Исходные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данные'!$B$76)),1),B149,"m")/12))*IF(AND(B149&lt;=IF('Исходные данные'!$B$76="",'Исходные данные'!$B$10,'Исходные данные'!$B$76),C149&gt;=IF('Исходные данные'!$B$76="",'Исходные данные'!$B$10,'Исходные данные'!$B$76)),(C149-IF('Исходные данные'!$B$76="",'Исходные данные'!$B$10,'Исходные данные'!$B$76)+1)/DAY(C149),1))</f>
        <v>0</v>
      </c>
      <c r="Y149">
        <f t="shared" si="86"/>
        <v>0</v>
      </c>
      <c r="Z149">
        <f>IF(OR(B149="",N('Исходные данные'!$B$19)=0),0,-SUMIFS('Исходные данные'!$I$6:$I$186,'Исходные данные'!$F$6:$F$186,B149)*N('Исходные данные'!$B$17)/N('Исходные данные'!$B$19))</f>
        <v>0</v>
      </c>
      <c r="AA149">
        <f>IF(OR(B149="",N('Исходные данные'!$B$19)=0),0,-SUMIFS('Исходные данные'!$I$6:$I$186,'Исходные данные'!$F$6:$F$186,B149)*N('Исходные данные'!$B$18)/N('Исходные данные'!$B$19))</f>
        <v>0</v>
      </c>
      <c r="AB149">
        <f>IF(OR(B149="",'Исходные данные'!$B$13=""),0,IF(AND(YEAR(B149)=YEAR('Исходные данные'!$B$13),MONTH(B149)=MONTH('Исходные данные'!$B$13)),-N('Исходные данные'!$B$11),0))</f>
        <v>0</v>
      </c>
      <c r="AC149">
        <f>IF(A149=1,-N('Исходные данные'!$B$19)*N('Исходные данные'!$B$72),0)</f>
        <v>0</v>
      </c>
      <c r="AD149">
        <f>IF(OR(B149="",'Исходные данные'!$B$22&lt;&gt;"Да",'Исходные данные'!$B$26=""),0,IF(AND(YEAR(B149)=YEAR('Исходные данные'!$B$26),MONTH(B149)=MONTH('Исходные данные'!$B$26)),N('Исходные данные'!$B$23),0))</f>
        <v>0</v>
      </c>
      <c r="AE149">
        <f t="shared" si="99"/>
        <v>0</v>
      </c>
      <c r="AF149">
        <f>IF(OR('Исходные данные'!$B$22&lt;&gt;"Да",'Исходные данные'!$B$26="",C149&lt;'Исходные данные'!$B$26),0,DATEDIF(DATE(YEAR('Исходные данные'!$B$26),MONTH('Исходные данные'!$B$26),1),B149,"m")+1)</f>
        <v>0</v>
      </c>
      <c r="AG149">
        <f>IF(OR(AF149&lt;1,AF149&gt;N('Исходные данные'!$B$25),AE149+AD149&lt;=0),0,-(AE149+AD149)*N('Исходные данные'!$B$24)*IF(AF149=1,C149-'Исходные данные'!$B$26+1,DAY(C149))/365)</f>
        <v>0</v>
      </c>
      <c r="AH149">
        <f>IF(OR(AF149&lt;1,AF149&gt;N('Исходные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данные'!$B$25)-AG149))</f>
        <v>0</v>
      </c>
      <c r="AI149">
        <f>IF(OR('Исходные данные'!$B$22&lt;&gt;"Да",AE149+AD149&lt;=0),0,IF(AND('Исходные данные'!$B$91&lt;&gt;"",B149&lt;&gt;"",YEAR(B149)=YEAR('Исходные данные'!$B$91),MONTH(B149)=MONTH('Исходные данные'!$B$91)),-(AE149+AD149),IF(OR(AF149&lt;1,AF149&gt;N('Исходные данные'!$B$25)),0,IF('Исходные данные'!$B$27="Равными долями",-MIN(AE149+AD149,N('Исходные данные'!$B$23)/N('Исходные данные'!$B$25)),-MIN(AE149+AD149,IF(AF149=N('Исходные данные'!$B$25),AE149+AD149,MAX(0,AH149+AG149)))))))</f>
        <v>0</v>
      </c>
      <c r="AJ149">
        <f t="shared" si="87"/>
        <v>0</v>
      </c>
      <c r="AK149">
        <f t="shared" si="88"/>
        <v>0</v>
      </c>
      <c r="AL149">
        <f>IF(OR(B149="",'Исходные данные'!$B$51&lt;&gt;"Да",'Исходные данные'!$B$61=""),0,IF(AND(YEAR(B149)=YEAR('Исходные данные'!$B$61),MONTH(B149)=MONTH('Исходные данные'!$B$61)),N('Исходные данные'!$B$18)*N('Исходные данные'!$B$62),0))</f>
        <v>0</v>
      </c>
      <c r="AM149">
        <f t="shared" si="100"/>
        <v>0</v>
      </c>
      <c r="AN149">
        <f t="shared" si="89"/>
        <v>0</v>
      </c>
      <c r="AO149">
        <f t="shared" si="90"/>
        <v>0</v>
      </c>
      <c r="AP149">
        <f>IF('Исходные данные'!$B$51="Да",-MAX(0,AN149-AO149-AM149),0)</f>
        <v>0</v>
      </c>
      <c r="AQ149">
        <f>IF('Исходные данные'!$B$51="Да",MAX(0,AM149+AO149-AN149),0)</f>
        <v>0</v>
      </c>
      <c r="AR149">
        <f>IF('Исходные данные'!$B$53="Выручка",MAX(0,L149+(Q149-R149)+(U149-V149)),IF('Исходные данные'!$B$53="Прибыль до налога",MAX(0,L149+(Q149-R149)+(U149-V149)+N('Исходные данные'!$B$54)*((O149+P149)+(S149+T149)+W149+X149)+IF('Исходные данные'!$B$55="Да",AG149,0)-N('Исходные данные'!$B$56)/12),IF('Исходные данные'!$B$53="Пользовательская база",MAX(0,N('Исходные данные'!$B$57)/12),0)))</f>
        <v>0</v>
      </c>
      <c r="AS149">
        <f>IF(E149=1,-AR149*N('Исходные данные'!$B$50),0)</f>
        <v>0</v>
      </c>
      <c r="AT149">
        <f t="shared" si="91"/>
        <v>0</v>
      </c>
      <c r="AU149">
        <f>IF(OR(B149="",N('Исходные данные'!$B$80)&lt;=0,'Исходные данные'!$B$88=""),0,MAX(0,IF('Исходные данные'!$B$88="Последние 12 месяцев",SUMIFS($Y$2:$Y$194,$B$2:$B$194,"&gt;="&amp;EDATE(B149,-11),$B$2:$B$194,"&lt;="&amp;B149),IF('Исходные данные'!$B$88="Пользовательский NOI",N('Исходные данные'!$B$89),AT149))/N('Исходные данные'!$B$80)*(1+N('Исходные данные'!$B$81))))</f>
        <v>0</v>
      </c>
      <c r="AV149">
        <f>IF(OR(E149&lt;&gt;1,B149="",'Исходные данные'!$B$91=""),0,IF(AND(YEAR(B149)=YEAR('Исходные данные'!$B$91),MONTH(B149)=MONTH('Исходные данные'!$B$91)),AU149,0))</f>
        <v>0</v>
      </c>
      <c r="AW149">
        <f>-AV149*N('Исходные данные'!$B$73)</f>
        <v>0</v>
      </c>
      <c r="AX149">
        <f>IF(AV149=0,0,-N('Исходные данные'!$B$87)-IF('Исходные данные'!$B$82="Да",IF('Исходные данные'!$B$84="С выручки",AV149,IF('Исходные данные'!$B$84="С прибыли",MAX(0,AV149+AW149-IF('Исходные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49">
        <f t="shared" si="92"/>
        <v>0</v>
      </c>
      <c r="AZ149">
        <f t="shared" si="93"/>
        <v>0</v>
      </c>
      <c r="BA149">
        <f t="shared" si="94"/>
        <v>0</v>
      </c>
      <c r="BB149" t="str">
        <f t="shared" si="101"/>
        <v/>
      </c>
      <c r="BC149">
        <f>IF(OR(E149=0,'Исходные данные'!$B$9="",'Исходные данные'!$B$90=""),0,BA149/(1+'Исходные данные'!$B$90)^((D149-'Исходные данные'!$B$9)/365))</f>
        <v>0</v>
      </c>
      <c r="BD149">
        <f>IF(AND(E149=1,BB149&gt;=0,BB148&lt;0,MIN($BB$2:BB149)&lt;0),1,0)</f>
        <v>0</v>
      </c>
      <c r="BE149">
        <f t="shared" si="95"/>
        <v>0</v>
      </c>
      <c r="BF149">
        <f t="shared" si="96"/>
        <v>0</v>
      </c>
      <c r="BG149">
        <f t="shared" si="97"/>
        <v>0</v>
      </c>
      <c r="BH149">
        <f t="shared" si="98"/>
        <v>1</v>
      </c>
      <c r="BI149">
        <f>AZ149+N149+AP149-AR149*N('Исходные данные'!$B$50)</f>
        <v>0</v>
      </c>
      <c r="BJ149">
        <f t="shared" si="102"/>
        <v>0</v>
      </c>
      <c r="BK149">
        <f>IF(AND(BJ149&gt;=0,BJ148&lt;0,MIN($BJ$2:BJ149)&lt;0),1,0)</f>
        <v>0</v>
      </c>
    </row>
    <row r="150" spans="1:63" x14ac:dyDescent="0.2">
      <c r="A150">
        <v>149</v>
      </c>
      <c r="B150" t="str">
        <f>IF('Исходные данные'!$B$9="","",EDATE(DATE(YEAR('Исходные данные'!$B$9),MONTH('Исходные данные'!$B$9),1),A150-1))</f>
        <v/>
      </c>
      <c r="C150" t="str">
        <f t="shared" si="82"/>
        <v/>
      </c>
      <c r="D150" t="str">
        <f>IF(B150="","",IF('Исходные данные'!$B$91&lt;&gt;"",IF(AND(YEAR(B150)=YEAR('Исходные данные'!$B$91),MONTH(B150)=MONTH('Исходные данные'!$B$91)),'Исходные данные'!$B$91,IF('Исходные данные'!$B$13&lt;&gt;"",IF(AND(YEAR(B150)=YEAR('Исходные данные'!$B$13),MONTH(B150)=MONTH('Исходные данные'!$B$13)),'Исходные данные'!$B$13,IF('Исходные данные'!$B$26&lt;&gt;"",IF(AND(YEAR(B150)=YEAR('Исходные данные'!$B$26),MONTH(B150)=MONTH('Исходные данные'!$B$26)),'Исходные данные'!$B$26,IF(A150=1,'Исходные данные'!$B$9,C150)),IF(A150=1,'Исходные данные'!$B$9,C150))),IF('Исходные данные'!$B$26&lt;&gt;"",IF(AND(YEAR(B150)=YEAR('Исходные данные'!$B$26),MONTH(B150)=MONTH('Исходные данные'!$B$26)),'Исходные данные'!$B$26,IF(A150=1,'Исходные данные'!$B$9,C150)),IF(A150=1,'Исходные данные'!$B$9,C150)))),IF('Исходные данные'!$B$13&lt;&gt;"",IF(AND(YEAR(B150)=YEAR('Исходные данные'!$B$13),MONTH(B150)=MONTH('Исходные данные'!$B$13)),'Исходные данные'!$B$13,IF('Исходные данные'!$B$26&lt;&gt;"",IF(AND(YEAR(B150)=YEAR('Исходные данные'!$B$26),MONTH(B150)=MONTH('Исходные данные'!$B$26)),'Исходные данные'!$B$26,IF(A150=1,'Исходные данные'!$B$9,C150)),IF(A150=1,'Исходные данные'!$B$9,C150))),IF('Исходные данные'!$B$26&lt;&gt;"",IF(AND(YEAR(B150)=YEAR('Исходные данные'!$B$26),MONTH(B150)=MONTH('Исходные данные'!$B$26)),'Исходные данные'!$B$26,IF(A150=1,'Исходные данные'!$B$9,C150)),IF(A150=1,'Исходные данные'!$B$9,C150)))))</f>
        <v/>
      </c>
      <c r="E150">
        <f>IF(OR(B150="",'Исходные данные'!$B$91=""),0,--(B150&lt;=DATE(YEAR('Исходные данные'!$B$91),MONTH('Исходные данные'!$B$91),1)))</f>
        <v>0</v>
      </c>
      <c r="F150">
        <f>IF(OR(B150="",'Исходные данные'!$B$30="",C150&lt;'Исходные данные'!$B$30),0,DATEDIF(DATE(YEAR('Исходные данные'!$B$30),MONTH('Исходные данные'!$B$30),1),B150,"m")+1)</f>
        <v>0</v>
      </c>
      <c r="G150">
        <f t="shared" si="83"/>
        <v>0</v>
      </c>
      <c r="H150">
        <f>IF(F150=0,0,IF(G150=1,N('Исходные данные'!$B$31),IF(G150=2,N('Исходные данные'!$B$32),IF(G150=3,N('Исходные данные'!$B$33),N('Исходные данные'!$B$33)*(1+N('Исходные данные'!$B$34))^(G150-3)))))</f>
        <v>0</v>
      </c>
      <c r="I150">
        <f>IF(OR(F150=0,N('Исходные данные'!$B$5)=0,H150=0),0,'Исходные данные'!$B$5*H150*IF(AND(B150&lt;='Исходные данные'!$B$30,C150&gt;='Исходные данные'!$B$30),(C150-'Исходные данные'!$B$30+1)/DAY(C150),1))</f>
        <v>0</v>
      </c>
      <c r="J150">
        <f>IF(AND(F150&gt;0,F150&lt;=N('Исходные данные'!$B$37)),-I150,0)</f>
        <v>0</v>
      </c>
      <c r="K150">
        <f>IF(OR(F150=0,F150&lt;=N('Исходные данные'!$B$37)),0,-(I150+J150)*N('Исходные данные'!$B$38))</f>
        <v>0</v>
      </c>
      <c r="L150">
        <f t="shared" si="84"/>
        <v>0</v>
      </c>
      <c r="M150">
        <f>IF('Исходные данные'!$B$51="Да",L150*N('Исходные данные'!$B$52),0)</f>
        <v>0</v>
      </c>
      <c r="N150">
        <f t="shared" si="85"/>
        <v>0</v>
      </c>
      <c r="O150">
        <f>IF(OR(B150="",IF('Исходные данные'!$B$45="",'Исходные данные'!$B$10,'Исходные данные'!$B$45)="",C150&lt;IF('Исходные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данные'!$B$45)),1),B150,"m")/12))*IF(AND(B150&lt;=IF('Исходные данные'!$B$45="",'Исходные данные'!$B$10,'Исходные данные'!$B$45),C150&gt;=IF('Исходные данные'!$B$45="",'Исходные данные'!$B$10,'Исходные данные'!$B$45)),(C150-IF('Исходные данные'!$B$45="",'Исходные данные'!$B$10,'Исходные данные'!$B$45)+1)/DAY(C150),1)*IF('Исходные данные'!$B$43="Без НДС",1+N('Исходные данные'!$B$44),1))</f>
        <v>0</v>
      </c>
      <c r="P150">
        <f>IF('Исходные данные'!$B$51="Да",-O150*N('Исходные данные'!$B$44)/(1+N('Исходные данные'!$B$44)),0)</f>
        <v>0</v>
      </c>
      <c r="Q150">
        <f>IF('Исходные данные'!$B$35="Да",-O150,0)</f>
        <v>0</v>
      </c>
      <c r="R150">
        <f>IF(AND('Исходные данные'!$B$51="Да",Q150&gt;0),Q150*N('Исходные данные'!$B$52)/(1+N('Исходные данные'!$B$52)),0)</f>
        <v>0</v>
      </c>
      <c r="S150">
        <f>IF(OR(B150="",IF('Исходные данные'!$B$45="",'Исходные данные'!$B$10,'Исходные данные'!$B$45)="",C150&lt;IF('Исходные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данные'!$B$45)),1),B150,"m")/12))*IF(AND(B150&lt;=IF('Исходные данные'!$B$45="",'Исходные данные'!$B$10,'Исходные данные'!$B$45),C150&gt;=IF('Исходные данные'!$B$45="",'Исходные данные'!$B$10,'Исходные данные'!$B$45)),(C150-IF('Исходные данные'!$B$45="",'Исходные данные'!$B$10,'Исходные данные'!$B$45)+1)/DAY(C150),1)*IF('Исходные данные'!$B$43="Без НДС",1+N('Исходные данные'!$B$44),1))</f>
        <v>0</v>
      </c>
      <c r="T150">
        <f>IF('Исходные данные'!$B$51="Да",-S150*N('Исходные данные'!$B$44)/(1+N('Исходные данные'!$B$44)),0)</f>
        <v>0</v>
      </c>
      <c r="U150">
        <f>IF('Исходные данные'!$B$36="Да",-S150,0)</f>
        <v>0</v>
      </c>
      <c r="V150">
        <f>IF(AND('Исходные данные'!$B$51="Да",U150&gt;0),U150*N('Исходные данные'!$B$52)/(1+N('Исходные данные'!$B$52)),0)</f>
        <v>0</v>
      </c>
      <c r="W150">
        <f>IF(OR(B150="",IF('Исходные данные'!$B$69="",'Исходные данные'!$B$10,'Исходные данные'!$B$69)="",C150&lt;IF('Исходные данные'!$B$69="",'Исходные данные'!$B$10,'Исходные данные'!$B$69)),0,-N('Исходные данные'!$B$16)*N('Исходные данные'!$B$68)*N('Исходные данные'!$B$67)/12*IF(AND(B150&lt;=IF('Исходные данные'!$B$69="",'Исходные данные'!$B$10,'Исходные данные'!$B$69),C150&gt;=IF('Исходные данные'!$B$69="",'Исходные данные'!$B$10,'Исходные данные'!$B$69)),(C150-IF('Исходные данные'!$B$69="",'Исходные данные'!$B$10,'Исходные данные'!$B$69)+1)/DAY(C150),1))</f>
        <v>0</v>
      </c>
      <c r="X150">
        <f>IF(OR(B150="",IF('Исходные данные'!$B$76="",'Исходные данные'!$B$10,'Исходные данные'!$B$76)="",C150&lt;IF('Исходные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данные'!$B$76)),1),B150,"m")/12))*IF(AND(B150&lt;=IF('Исходные данные'!$B$76="",'Исходные данные'!$B$10,'Исходные данные'!$B$76),C150&gt;=IF('Исходные данные'!$B$76="",'Исходные данные'!$B$10,'Исходные данные'!$B$76)),(C150-IF('Исходные данные'!$B$76="",'Исходные данные'!$B$10,'Исходные данные'!$B$76)+1)/DAY(C150),1))</f>
        <v>0</v>
      </c>
      <c r="Y150">
        <f t="shared" si="86"/>
        <v>0</v>
      </c>
      <c r="Z150">
        <f>IF(OR(B150="",N('Исходные данные'!$B$19)=0),0,-SUMIFS('Исходные данные'!$I$6:$I$186,'Исходные данные'!$F$6:$F$186,B150)*N('Исходные данные'!$B$17)/N('Исходные данные'!$B$19))</f>
        <v>0</v>
      </c>
      <c r="AA150">
        <f>IF(OR(B150="",N('Исходные данные'!$B$19)=0),0,-SUMIFS('Исходные данные'!$I$6:$I$186,'Исходные данные'!$F$6:$F$186,B150)*N('Исходные данные'!$B$18)/N('Исходные данные'!$B$19))</f>
        <v>0</v>
      </c>
      <c r="AB150">
        <f>IF(OR(B150="",'Исходные данные'!$B$13=""),0,IF(AND(YEAR(B150)=YEAR('Исходные данные'!$B$13),MONTH(B150)=MONTH('Исходные данные'!$B$13)),-N('Исходные данные'!$B$11),0))</f>
        <v>0</v>
      </c>
      <c r="AC150">
        <f>IF(A150=1,-N('Исходные данные'!$B$19)*N('Исходные данные'!$B$72),0)</f>
        <v>0</v>
      </c>
      <c r="AD150">
        <f>IF(OR(B150="",'Исходные данные'!$B$22&lt;&gt;"Да",'Исходные данные'!$B$26=""),0,IF(AND(YEAR(B150)=YEAR('Исходные данные'!$B$26),MONTH(B150)=MONTH('Исходные данные'!$B$26)),N('Исходные данные'!$B$23),0))</f>
        <v>0</v>
      </c>
      <c r="AE150">
        <f t="shared" si="99"/>
        <v>0</v>
      </c>
      <c r="AF150">
        <f>IF(OR('Исходные данные'!$B$22&lt;&gt;"Да",'Исходные данные'!$B$26="",C150&lt;'Исходные данные'!$B$26),0,DATEDIF(DATE(YEAR('Исходные данные'!$B$26),MONTH('Исходные данные'!$B$26),1),B150,"m")+1)</f>
        <v>0</v>
      </c>
      <c r="AG150">
        <f>IF(OR(AF150&lt;1,AF150&gt;N('Исходные данные'!$B$25),AE150+AD150&lt;=0),0,-(AE150+AD150)*N('Исходные данные'!$B$24)*IF(AF150=1,C150-'Исходные данные'!$B$26+1,DAY(C150))/365)</f>
        <v>0</v>
      </c>
      <c r="AH150">
        <f>IF(OR(AF150&lt;1,AF150&gt;N('Исходные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данные'!$B$25)-AG150))</f>
        <v>0</v>
      </c>
      <c r="AI150">
        <f>IF(OR('Исходные данные'!$B$22&lt;&gt;"Да",AE150+AD150&lt;=0),0,IF(AND('Исходные данные'!$B$91&lt;&gt;"",B150&lt;&gt;"",YEAR(B150)=YEAR('Исходные данные'!$B$91),MONTH(B150)=MONTH('Исходные данные'!$B$91)),-(AE150+AD150),IF(OR(AF150&lt;1,AF150&gt;N('Исходные данные'!$B$25)),0,IF('Исходные данные'!$B$27="Равными долями",-MIN(AE150+AD150,N('Исходные данные'!$B$23)/N('Исходные данные'!$B$25)),-MIN(AE150+AD150,IF(AF150=N('Исходные данные'!$B$25),AE150+AD150,MAX(0,AH150+AG150)))))))</f>
        <v>0</v>
      </c>
      <c r="AJ150">
        <f t="shared" si="87"/>
        <v>0</v>
      </c>
      <c r="AK150">
        <f t="shared" si="88"/>
        <v>0</v>
      </c>
      <c r="AL150">
        <f>IF(OR(B150="",'Исходные данные'!$B$51&lt;&gt;"Да",'Исходные данные'!$B$61=""),0,IF(AND(YEAR(B150)=YEAR('Исходные данные'!$B$61),MONTH(B150)=MONTH('Исходные данные'!$B$61)),N('Исходные данные'!$B$18)*N('Исходные данные'!$B$62),0))</f>
        <v>0</v>
      </c>
      <c r="AM150">
        <f t="shared" si="100"/>
        <v>0</v>
      </c>
      <c r="AN150">
        <f t="shared" si="89"/>
        <v>0</v>
      </c>
      <c r="AO150">
        <f t="shared" si="90"/>
        <v>0</v>
      </c>
      <c r="AP150">
        <f>IF('Исходные данные'!$B$51="Да",-MAX(0,AN150-AO150-AM150),0)</f>
        <v>0</v>
      </c>
      <c r="AQ150">
        <f>IF('Исходные данные'!$B$51="Да",MAX(0,AM150+AO150-AN150),0)</f>
        <v>0</v>
      </c>
      <c r="AR150">
        <f>IF('Исходные данные'!$B$53="Выручка",MAX(0,L150+(Q150-R150)+(U150-V150)),IF('Исходные данные'!$B$53="Прибыль до налога",MAX(0,L150+(Q150-R150)+(U150-V150)+N('Исходные данные'!$B$54)*((O150+P150)+(S150+T150)+W150+X150)+IF('Исходные данные'!$B$55="Да",AG150,0)-N('Исходные данные'!$B$56)/12),IF('Исходные данные'!$B$53="Пользовательская база",MAX(0,N('Исходные данные'!$B$57)/12),0)))</f>
        <v>0</v>
      </c>
      <c r="AS150">
        <f>IF(E150=1,-AR150*N('Исходные данные'!$B$50),0)</f>
        <v>0</v>
      </c>
      <c r="AT150">
        <f t="shared" si="91"/>
        <v>0</v>
      </c>
      <c r="AU150">
        <f>IF(OR(B150="",N('Исходные данные'!$B$80)&lt;=0,'Исходные данные'!$B$88=""),0,MAX(0,IF('Исходные данные'!$B$88="Последние 12 месяцев",SUMIFS($Y$2:$Y$194,$B$2:$B$194,"&gt;="&amp;EDATE(B150,-11),$B$2:$B$194,"&lt;="&amp;B150),IF('Исходные данные'!$B$88="Пользовательский NOI",N('Исходные данные'!$B$89),AT150))/N('Исходные данные'!$B$80)*(1+N('Исходные данные'!$B$81))))</f>
        <v>0</v>
      </c>
      <c r="AV150">
        <f>IF(OR(E150&lt;&gt;1,B150="",'Исходные данные'!$B$91=""),0,IF(AND(YEAR(B150)=YEAR('Исходные данные'!$B$91),MONTH(B150)=MONTH('Исходные данные'!$B$91)),AU150,0))</f>
        <v>0</v>
      </c>
      <c r="AW150">
        <f>-AV150*N('Исходные данные'!$B$73)</f>
        <v>0</v>
      </c>
      <c r="AX150">
        <f>IF(AV150=0,0,-N('Исходные данные'!$B$87)-IF('Исходные данные'!$B$82="Да",IF('Исходные данные'!$B$84="С выручки",AV150,IF('Исходные данные'!$B$84="С прибыли",MAX(0,AV150+AW150-IF('Исходные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50">
        <f t="shared" si="92"/>
        <v>0</v>
      </c>
      <c r="AZ150">
        <f t="shared" si="93"/>
        <v>0</v>
      </c>
      <c r="BA150">
        <f t="shared" si="94"/>
        <v>0</v>
      </c>
      <c r="BB150" t="str">
        <f t="shared" si="101"/>
        <v/>
      </c>
      <c r="BC150">
        <f>IF(OR(E150=0,'Исходные данные'!$B$9="",'Исходные данные'!$B$90=""),0,BA150/(1+'Исходные данные'!$B$90)^((D150-'Исходные данные'!$B$9)/365))</f>
        <v>0</v>
      </c>
      <c r="BD150">
        <f>IF(AND(E150=1,BB150&gt;=0,BB149&lt;0,MIN($BB$2:BB150)&lt;0),1,0)</f>
        <v>0</v>
      </c>
      <c r="BE150">
        <f t="shared" si="95"/>
        <v>0</v>
      </c>
      <c r="BF150">
        <f t="shared" si="96"/>
        <v>0</v>
      </c>
      <c r="BG150">
        <f t="shared" si="97"/>
        <v>0</v>
      </c>
      <c r="BH150">
        <f t="shared" si="98"/>
        <v>1</v>
      </c>
      <c r="BI150">
        <f>AZ150+N150+AP150-AR150*N('Исходные данные'!$B$50)</f>
        <v>0</v>
      </c>
      <c r="BJ150">
        <f t="shared" si="102"/>
        <v>0</v>
      </c>
      <c r="BK150">
        <f>IF(AND(BJ150&gt;=0,BJ149&lt;0,MIN($BJ$2:BJ150)&lt;0),1,0)</f>
        <v>0</v>
      </c>
    </row>
    <row r="151" spans="1:63" x14ac:dyDescent="0.2">
      <c r="A151">
        <v>150</v>
      </c>
      <c r="B151" t="str">
        <f>IF('Исходные данные'!$B$9="","",EDATE(DATE(YEAR('Исходные данные'!$B$9),MONTH('Исходные данные'!$B$9),1),A151-1))</f>
        <v/>
      </c>
      <c r="C151" t="str">
        <f t="shared" si="82"/>
        <v/>
      </c>
      <c r="D151" t="str">
        <f>IF(B151="","",IF('Исходные данные'!$B$91&lt;&gt;"",IF(AND(YEAR(B151)=YEAR('Исходные данные'!$B$91),MONTH(B151)=MONTH('Исходные данные'!$B$91)),'Исходные данные'!$B$91,IF('Исходные данные'!$B$13&lt;&gt;"",IF(AND(YEAR(B151)=YEAR('Исходные данные'!$B$13),MONTH(B151)=MONTH('Исходные данные'!$B$13)),'Исходные данные'!$B$13,IF('Исходные данные'!$B$26&lt;&gt;"",IF(AND(YEAR(B151)=YEAR('Исходные данные'!$B$26),MONTH(B151)=MONTH('Исходные данные'!$B$26)),'Исходные данные'!$B$26,IF(A151=1,'Исходные данные'!$B$9,C151)),IF(A151=1,'Исходные данные'!$B$9,C151))),IF('Исходные данные'!$B$26&lt;&gt;"",IF(AND(YEAR(B151)=YEAR('Исходные данные'!$B$26),MONTH(B151)=MONTH('Исходные данные'!$B$26)),'Исходные данные'!$B$26,IF(A151=1,'Исходные данные'!$B$9,C151)),IF(A151=1,'Исходные данные'!$B$9,C151)))),IF('Исходные данные'!$B$13&lt;&gt;"",IF(AND(YEAR(B151)=YEAR('Исходные данные'!$B$13),MONTH(B151)=MONTH('Исходные данные'!$B$13)),'Исходные данные'!$B$13,IF('Исходные данные'!$B$26&lt;&gt;"",IF(AND(YEAR(B151)=YEAR('Исходные данные'!$B$26),MONTH(B151)=MONTH('Исходные данные'!$B$26)),'Исходные данные'!$B$26,IF(A151=1,'Исходные данные'!$B$9,C151)),IF(A151=1,'Исходные данные'!$B$9,C151))),IF('Исходные данные'!$B$26&lt;&gt;"",IF(AND(YEAR(B151)=YEAR('Исходные данные'!$B$26),MONTH(B151)=MONTH('Исходные данные'!$B$26)),'Исходные данные'!$B$26,IF(A151=1,'Исходные данные'!$B$9,C151)),IF(A151=1,'Исходные данные'!$B$9,C151)))))</f>
        <v/>
      </c>
      <c r="E151">
        <f>IF(OR(B151="",'Исходные данные'!$B$91=""),0,--(B151&lt;=DATE(YEAR('Исходные данные'!$B$91),MONTH('Исходные данные'!$B$91),1)))</f>
        <v>0</v>
      </c>
      <c r="F151">
        <f>IF(OR(B151="",'Исходные данные'!$B$30="",C151&lt;'Исходные данные'!$B$30),0,DATEDIF(DATE(YEAR('Исходные данные'!$B$30),MONTH('Исходные данные'!$B$30),1),B151,"m")+1)</f>
        <v>0</v>
      </c>
      <c r="G151">
        <f t="shared" si="83"/>
        <v>0</v>
      </c>
      <c r="H151">
        <f>IF(F151=0,0,IF(G151=1,N('Исходные данные'!$B$31),IF(G151=2,N('Исходные данные'!$B$32),IF(G151=3,N('Исходные данные'!$B$33),N('Исходные данные'!$B$33)*(1+N('Исходные данные'!$B$34))^(G151-3)))))</f>
        <v>0</v>
      </c>
      <c r="I151">
        <f>IF(OR(F151=0,N('Исходные данные'!$B$5)=0,H151=0),0,'Исходные данные'!$B$5*H151*IF(AND(B151&lt;='Исходные данные'!$B$30,C151&gt;='Исходные данные'!$B$30),(C151-'Исходные данные'!$B$30+1)/DAY(C151),1))</f>
        <v>0</v>
      </c>
      <c r="J151">
        <f>IF(AND(F151&gt;0,F151&lt;=N('Исходные данные'!$B$37)),-I151,0)</f>
        <v>0</v>
      </c>
      <c r="K151">
        <f>IF(OR(F151=0,F151&lt;=N('Исходные данные'!$B$37)),0,-(I151+J151)*N('Исходные данные'!$B$38))</f>
        <v>0</v>
      </c>
      <c r="L151">
        <f t="shared" si="84"/>
        <v>0</v>
      </c>
      <c r="M151">
        <f>IF('Исходные данные'!$B$51="Да",L151*N('Исходные данные'!$B$52),0)</f>
        <v>0</v>
      </c>
      <c r="N151">
        <f t="shared" si="85"/>
        <v>0</v>
      </c>
      <c r="O151">
        <f>IF(OR(B151="",IF('Исходные данные'!$B$45="",'Исходные данные'!$B$10,'Исходные данные'!$B$45)="",C151&lt;IF('Исходные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данные'!$B$45)),1),B151,"m")/12))*IF(AND(B151&lt;=IF('Исходные данные'!$B$45="",'Исходные данные'!$B$10,'Исходные данные'!$B$45),C151&gt;=IF('Исходные данные'!$B$45="",'Исходные данные'!$B$10,'Исходные данные'!$B$45)),(C151-IF('Исходные данные'!$B$45="",'Исходные данные'!$B$10,'Исходные данные'!$B$45)+1)/DAY(C151),1)*IF('Исходные данные'!$B$43="Без НДС",1+N('Исходные данные'!$B$44),1))</f>
        <v>0</v>
      </c>
      <c r="P151">
        <f>IF('Исходные данные'!$B$51="Да",-O151*N('Исходные данные'!$B$44)/(1+N('Исходные данные'!$B$44)),0)</f>
        <v>0</v>
      </c>
      <c r="Q151">
        <f>IF('Исходные данные'!$B$35="Да",-O151,0)</f>
        <v>0</v>
      </c>
      <c r="R151">
        <f>IF(AND('Исходные данные'!$B$51="Да",Q151&gt;0),Q151*N('Исходные данные'!$B$52)/(1+N('Исходные данные'!$B$52)),0)</f>
        <v>0</v>
      </c>
      <c r="S151">
        <f>IF(OR(B151="",IF('Исходные данные'!$B$45="",'Исходные данные'!$B$10,'Исходные данные'!$B$45)="",C151&lt;IF('Исходные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данные'!$B$45)),1),B151,"m")/12))*IF(AND(B151&lt;=IF('Исходные данные'!$B$45="",'Исходные данные'!$B$10,'Исходные данные'!$B$45),C151&gt;=IF('Исходные данные'!$B$45="",'Исходные данные'!$B$10,'Исходные данные'!$B$45)),(C151-IF('Исходные данные'!$B$45="",'Исходные данные'!$B$10,'Исходные данные'!$B$45)+1)/DAY(C151),1)*IF('Исходные данные'!$B$43="Без НДС",1+N('Исходные данные'!$B$44),1))</f>
        <v>0</v>
      </c>
      <c r="T151">
        <f>IF('Исходные данные'!$B$51="Да",-S151*N('Исходные данные'!$B$44)/(1+N('Исходные данные'!$B$44)),0)</f>
        <v>0</v>
      </c>
      <c r="U151">
        <f>IF('Исходные данные'!$B$36="Да",-S151,0)</f>
        <v>0</v>
      </c>
      <c r="V151">
        <f>IF(AND('Исходные данные'!$B$51="Да",U151&gt;0),U151*N('Исходные данные'!$B$52)/(1+N('Исходные данные'!$B$52)),0)</f>
        <v>0</v>
      </c>
      <c r="W151">
        <f>IF(OR(B151="",IF('Исходные данные'!$B$69="",'Исходные данные'!$B$10,'Исходные данные'!$B$69)="",C151&lt;IF('Исходные данные'!$B$69="",'Исходные данные'!$B$10,'Исходные данные'!$B$69)),0,-N('Исходные данные'!$B$16)*N('Исходные данные'!$B$68)*N('Исходные данные'!$B$67)/12*IF(AND(B151&lt;=IF('Исходные данные'!$B$69="",'Исходные данные'!$B$10,'Исходные данные'!$B$69),C151&gt;=IF('Исходные данные'!$B$69="",'Исходные данные'!$B$10,'Исходные данные'!$B$69)),(C151-IF('Исходные данные'!$B$69="",'Исходные данные'!$B$10,'Исходные данные'!$B$69)+1)/DAY(C151),1))</f>
        <v>0</v>
      </c>
      <c r="X151">
        <f>IF(OR(B151="",IF('Исходные данные'!$B$76="",'Исходные данные'!$B$10,'Исходные данные'!$B$76)="",C151&lt;IF('Исходные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данные'!$B$76)),1),B151,"m")/12))*IF(AND(B151&lt;=IF('Исходные данные'!$B$76="",'Исходные данные'!$B$10,'Исходные данные'!$B$76),C151&gt;=IF('Исходные данные'!$B$76="",'Исходные данные'!$B$10,'Исходные данные'!$B$76)),(C151-IF('Исходные данные'!$B$76="",'Исходные данные'!$B$10,'Исходные данные'!$B$76)+1)/DAY(C151),1))</f>
        <v>0</v>
      </c>
      <c r="Y151">
        <f t="shared" si="86"/>
        <v>0</v>
      </c>
      <c r="Z151">
        <f>IF(OR(B151="",N('Исходные данные'!$B$19)=0),0,-SUMIFS('Исходные данные'!$I$6:$I$186,'Исходные данные'!$F$6:$F$186,B151)*N('Исходные данные'!$B$17)/N('Исходные данные'!$B$19))</f>
        <v>0</v>
      </c>
      <c r="AA151">
        <f>IF(OR(B151="",N('Исходные данные'!$B$19)=0),0,-SUMIFS('Исходные данные'!$I$6:$I$186,'Исходные данные'!$F$6:$F$186,B151)*N('Исходные данные'!$B$18)/N('Исходные данные'!$B$19))</f>
        <v>0</v>
      </c>
      <c r="AB151">
        <f>IF(OR(B151="",'Исходные данные'!$B$13=""),0,IF(AND(YEAR(B151)=YEAR('Исходные данные'!$B$13),MONTH(B151)=MONTH('Исходные данные'!$B$13)),-N('Исходные данные'!$B$11),0))</f>
        <v>0</v>
      </c>
      <c r="AC151">
        <f>IF(A151=1,-N('Исходные данные'!$B$19)*N('Исходные данные'!$B$72),0)</f>
        <v>0</v>
      </c>
      <c r="AD151">
        <f>IF(OR(B151="",'Исходные данные'!$B$22&lt;&gt;"Да",'Исходные данные'!$B$26=""),0,IF(AND(YEAR(B151)=YEAR('Исходные данные'!$B$26),MONTH(B151)=MONTH('Исходные данные'!$B$26)),N('Исходные данные'!$B$23),0))</f>
        <v>0</v>
      </c>
      <c r="AE151">
        <f t="shared" si="99"/>
        <v>0</v>
      </c>
      <c r="AF151">
        <f>IF(OR('Исходные данные'!$B$22&lt;&gt;"Да",'Исходные данные'!$B$26="",C151&lt;'Исходные данные'!$B$26),0,DATEDIF(DATE(YEAR('Исходные данные'!$B$26),MONTH('Исходные данные'!$B$26),1),B151,"m")+1)</f>
        <v>0</v>
      </c>
      <c r="AG151">
        <f>IF(OR(AF151&lt;1,AF151&gt;N('Исходные данные'!$B$25),AE151+AD151&lt;=0),0,-(AE151+AD151)*N('Исходные данные'!$B$24)*IF(AF151=1,C151-'Исходные данные'!$B$26+1,DAY(C151))/365)</f>
        <v>0</v>
      </c>
      <c r="AH151">
        <f>IF(OR(AF151&lt;1,AF151&gt;N('Исходные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данные'!$B$25)-AG151))</f>
        <v>0</v>
      </c>
      <c r="AI151">
        <f>IF(OR('Исходные данные'!$B$22&lt;&gt;"Да",AE151+AD151&lt;=0),0,IF(AND('Исходные данные'!$B$91&lt;&gt;"",B151&lt;&gt;"",YEAR(B151)=YEAR('Исходные данные'!$B$91),MONTH(B151)=MONTH('Исходные данные'!$B$91)),-(AE151+AD151),IF(OR(AF151&lt;1,AF151&gt;N('Исходные данные'!$B$25)),0,IF('Исходные данные'!$B$27="Равными долями",-MIN(AE151+AD151,N('Исходные данные'!$B$23)/N('Исходные данные'!$B$25)),-MIN(AE151+AD151,IF(AF151=N('Исходные данные'!$B$25),AE151+AD151,MAX(0,AH151+AG151)))))))</f>
        <v>0</v>
      </c>
      <c r="AJ151">
        <f t="shared" si="87"/>
        <v>0</v>
      </c>
      <c r="AK151">
        <f t="shared" si="88"/>
        <v>0</v>
      </c>
      <c r="AL151">
        <f>IF(OR(B151="",'Исходные данные'!$B$51&lt;&gt;"Да",'Исходные данные'!$B$61=""),0,IF(AND(YEAR(B151)=YEAR('Исходные данные'!$B$61),MONTH(B151)=MONTH('Исходные данные'!$B$61)),N('Исходные данные'!$B$18)*N('Исходные данные'!$B$62),0))</f>
        <v>0</v>
      </c>
      <c r="AM151">
        <f t="shared" si="100"/>
        <v>0</v>
      </c>
      <c r="AN151">
        <f t="shared" si="89"/>
        <v>0</v>
      </c>
      <c r="AO151">
        <f t="shared" si="90"/>
        <v>0</v>
      </c>
      <c r="AP151">
        <f>IF('Исходные данные'!$B$51="Да",-MAX(0,AN151-AO151-AM151),0)</f>
        <v>0</v>
      </c>
      <c r="AQ151">
        <f>IF('Исходные данные'!$B$51="Да",MAX(0,AM151+AO151-AN151),0)</f>
        <v>0</v>
      </c>
      <c r="AR151">
        <f>IF('Исходные данные'!$B$53="Выручка",MAX(0,L151+(Q151-R151)+(U151-V151)),IF('Исходные данные'!$B$53="Прибыль до налога",MAX(0,L151+(Q151-R151)+(U151-V151)+N('Исходные данные'!$B$54)*((O151+P151)+(S151+T151)+W151+X151)+IF('Исходные данные'!$B$55="Да",AG151,0)-N('Исходные данные'!$B$56)/12),IF('Исходные данные'!$B$53="Пользовательская база",MAX(0,N('Исходные данные'!$B$57)/12),0)))</f>
        <v>0</v>
      </c>
      <c r="AS151">
        <f>IF(E151=1,-AR151*N('Исходные данные'!$B$50),0)</f>
        <v>0</v>
      </c>
      <c r="AT151">
        <f t="shared" si="91"/>
        <v>0</v>
      </c>
      <c r="AU151">
        <f>IF(OR(B151="",N('Исходные данные'!$B$80)&lt;=0,'Исходные данные'!$B$88=""),0,MAX(0,IF('Исходные данные'!$B$88="Последние 12 месяцев",SUMIFS($Y$2:$Y$194,$B$2:$B$194,"&gt;="&amp;EDATE(B151,-11),$B$2:$B$194,"&lt;="&amp;B151),IF('Исходные данные'!$B$88="Пользовательский NOI",N('Исходные данные'!$B$89),AT151))/N('Исходные данные'!$B$80)*(1+N('Исходные данные'!$B$81))))</f>
        <v>0</v>
      </c>
      <c r="AV151">
        <f>IF(OR(E151&lt;&gt;1,B151="",'Исходные данные'!$B$91=""),0,IF(AND(YEAR(B151)=YEAR('Исходные данные'!$B$91),MONTH(B151)=MONTH('Исходные данные'!$B$91)),AU151,0))</f>
        <v>0</v>
      </c>
      <c r="AW151">
        <f>-AV151*N('Исходные данные'!$B$73)</f>
        <v>0</v>
      </c>
      <c r="AX151">
        <f>IF(AV151=0,0,-N('Исходные данные'!$B$87)-IF('Исходные данные'!$B$82="Да",IF('Исходные данные'!$B$84="С выручки",AV151,IF('Исходные данные'!$B$84="С прибыли",MAX(0,AV151+AW151-IF('Исходные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51">
        <f t="shared" si="92"/>
        <v>0</v>
      </c>
      <c r="AZ151">
        <f t="shared" si="93"/>
        <v>0</v>
      </c>
      <c r="BA151">
        <f t="shared" si="94"/>
        <v>0</v>
      </c>
      <c r="BB151" t="str">
        <f t="shared" si="101"/>
        <v/>
      </c>
      <c r="BC151">
        <f>IF(OR(E151=0,'Исходные данные'!$B$9="",'Исходные данные'!$B$90=""),0,BA151/(1+'Исходные данные'!$B$90)^((D151-'Исходные данные'!$B$9)/365))</f>
        <v>0</v>
      </c>
      <c r="BD151">
        <f>IF(AND(E151=1,BB151&gt;=0,BB150&lt;0,MIN($BB$2:BB151)&lt;0),1,0)</f>
        <v>0</v>
      </c>
      <c r="BE151">
        <f t="shared" si="95"/>
        <v>0</v>
      </c>
      <c r="BF151">
        <f t="shared" si="96"/>
        <v>0</v>
      </c>
      <c r="BG151">
        <f t="shared" si="97"/>
        <v>0</v>
      </c>
      <c r="BH151">
        <f t="shared" si="98"/>
        <v>1</v>
      </c>
      <c r="BI151">
        <f>AZ151+N151+AP151-AR151*N('Исходные данные'!$B$50)</f>
        <v>0</v>
      </c>
      <c r="BJ151">
        <f t="shared" si="102"/>
        <v>0</v>
      </c>
      <c r="BK151">
        <f>IF(AND(BJ151&gt;=0,BJ150&lt;0,MIN($BJ$2:BJ151)&lt;0),1,0)</f>
        <v>0</v>
      </c>
    </row>
    <row r="152" spans="1:63" x14ac:dyDescent="0.2">
      <c r="A152">
        <v>151</v>
      </c>
      <c r="B152" t="str">
        <f>IF('Исходные данные'!$B$9="","",EDATE(DATE(YEAR('Исходные данные'!$B$9),MONTH('Исходные данные'!$B$9),1),A152-1))</f>
        <v/>
      </c>
      <c r="C152" t="str">
        <f t="shared" si="82"/>
        <v/>
      </c>
      <c r="D152" t="str">
        <f>IF(B152="","",IF('Исходные данные'!$B$91&lt;&gt;"",IF(AND(YEAR(B152)=YEAR('Исходные данные'!$B$91),MONTH(B152)=MONTH('Исходные данные'!$B$91)),'Исходные данные'!$B$91,IF('Исходные данные'!$B$13&lt;&gt;"",IF(AND(YEAR(B152)=YEAR('Исходные данные'!$B$13),MONTH(B152)=MONTH('Исходные данные'!$B$13)),'Исходные данные'!$B$13,IF('Исходные данные'!$B$26&lt;&gt;"",IF(AND(YEAR(B152)=YEAR('Исходные данные'!$B$26),MONTH(B152)=MONTH('Исходные данные'!$B$26)),'Исходные данные'!$B$26,IF(A152=1,'Исходные данные'!$B$9,C152)),IF(A152=1,'Исходные данные'!$B$9,C152))),IF('Исходные данные'!$B$26&lt;&gt;"",IF(AND(YEAR(B152)=YEAR('Исходные данные'!$B$26),MONTH(B152)=MONTH('Исходные данные'!$B$26)),'Исходные данные'!$B$26,IF(A152=1,'Исходные данные'!$B$9,C152)),IF(A152=1,'Исходные данные'!$B$9,C152)))),IF('Исходные данные'!$B$13&lt;&gt;"",IF(AND(YEAR(B152)=YEAR('Исходные данные'!$B$13),MONTH(B152)=MONTH('Исходные данные'!$B$13)),'Исходные данные'!$B$13,IF('Исходные данные'!$B$26&lt;&gt;"",IF(AND(YEAR(B152)=YEAR('Исходные данные'!$B$26),MONTH(B152)=MONTH('Исходные данные'!$B$26)),'Исходные данные'!$B$26,IF(A152=1,'Исходные данные'!$B$9,C152)),IF(A152=1,'Исходные данные'!$B$9,C152))),IF('Исходные данные'!$B$26&lt;&gt;"",IF(AND(YEAR(B152)=YEAR('Исходные данные'!$B$26),MONTH(B152)=MONTH('Исходные данные'!$B$26)),'Исходные данные'!$B$26,IF(A152=1,'Исходные данные'!$B$9,C152)),IF(A152=1,'Исходные данные'!$B$9,C152)))))</f>
        <v/>
      </c>
      <c r="E152">
        <f>IF(OR(B152="",'Исходные данные'!$B$91=""),0,--(B152&lt;=DATE(YEAR('Исходные данные'!$B$91),MONTH('Исходные данные'!$B$91),1)))</f>
        <v>0</v>
      </c>
      <c r="F152">
        <f>IF(OR(B152="",'Исходные данные'!$B$30="",C152&lt;'Исходные данные'!$B$30),0,DATEDIF(DATE(YEAR('Исходные данные'!$B$30),MONTH('Исходные данные'!$B$30),1),B152,"m")+1)</f>
        <v>0</v>
      </c>
      <c r="G152">
        <f t="shared" si="83"/>
        <v>0</v>
      </c>
      <c r="H152">
        <f>IF(F152=0,0,IF(G152=1,N('Исходные данные'!$B$31),IF(G152=2,N('Исходные данные'!$B$32),IF(G152=3,N('Исходные данные'!$B$33),N('Исходные данные'!$B$33)*(1+N('Исходные данные'!$B$34))^(G152-3)))))</f>
        <v>0</v>
      </c>
      <c r="I152">
        <f>IF(OR(F152=0,N('Исходные данные'!$B$5)=0,H152=0),0,'Исходные данные'!$B$5*H152*IF(AND(B152&lt;='Исходные данные'!$B$30,C152&gt;='Исходные данные'!$B$30),(C152-'Исходные данные'!$B$30+1)/DAY(C152),1))</f>
        <v>0</v>
      </c>
      <c r="J152">
        <f>IF(AND(F152&gt;0,F152&lt;=N('Исходные данные'!$B$37)),-I152,0)</f>
        <v>0</v>
      </c>
      <c r="K152">
        <f>IF(OR(F152=0,F152&lt;=N('Исходные данные'!$B$37)),0,-(I152+J152)*N('Исходные данные'!$B$38))</f>
        <v>0</v>
      </c>
      <c r="L152">
        <f t="shared" si="84"/>
        <v>0</v>
      </c>
      <c r="M152">
        <f>IF('Исходные данные'!$B$51="Да",L152*N('Исходные данные'!$B$52),0)</f>
        <v>0</v>
      </c>
      <c r="N152">
        <f t="shared" si="85"/>
        <v>0</v>
      </c>
      <c r="O152">
        <f>IF(OR(B152="",IF('Исходные данные'!$B$45="",'Исходные данные'!$B$10,'Исходные данные'!$B$45)="",C152&lt;IF('Исходные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данные'!$B$45)),1),B152,"m")/12))*IF(AND(B152&lt;=IF('Исходные данные'!$B$45="",'Исходные данные'!$B$10,'Исходные данные'!$B$45),C152&gt;=IF('Исходные данные'!$B$45="",'Исходные данные'!$B$10,'Исходные данные'!$B$45)),(C152-IF('Исходные данные'!$B$45="",'Исходные данные'!$B$10,'Исходные данные'!$B$45)+1)/DAY(C152),1)*IF('Исходные данные'!$B$43="Без НДС",1+N('Исходные данные'!$B$44),1))</f>
        <v>0</v>
      </c>
      <c r="P152">
        <f>IF('Исходные данные'!$B$51="Да",-O152*N('Исходные данные'!$B$44)/(1+N('Исходные данные'!$B$44)),0)</f>
        <v>0</v>
      </c>
      <c r="Q152">
        <f>IF('Исходные данные'!$B$35="Да",-O152,0)</f>
        <v>0</v>
      </c>
      <c r="R152">
        <f>IF(AND('Исходные данные'!$B$51="Да",Q152&gt;0),Q152*N('Исходные данные'!$B$52)/(1+N('Исходные данные'!$B$52)),0)</f>
        <v>0</v>
      </c>
      <c r="S152">
        <f>IF(OR(B152="",IF('Исходные данные'!$B$45="",'Исходные данные'!$B$10,'Исходные данные'!$B$45)="",C152&lt;IF('Исходные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данные'!$B$45)),1),B152,"m")/12))*IF(AND(B152&lt;=IF('Исходные данные'!$B$45="",'Исходные данные'!$B$10,'Исходные данные'!$B$45),C152&gt;=IF('Исходные данные'!$B$45="",'Исходные данные'!$B$10,'Исходные данные'!$B$45)),(C152-IF('Исходные данные'!$B$45="",'Исходные данные'!$B$10,'Исходные данные'!$B$45)+1)/DAY(C152),1)*IF('Исходные данные'!$B$43="Без НДС",1+N('Исходные данные'!$B$44),1))</f>
        <v>0</v>
      </c>
      <c r="T152">
        <f>IF('Исходные данные'!$B$51="Да",-S152*N('Исходные данные'!$B$44)/(1+N('Исходные данные'!$B$44)),0)</f>
        <v>0</v>
      </c>
      <c r="U152">
        <f>IF('Исходные данные'!$B$36="Да",-S152,0)</f>
        <v>0</v>
      </c>
      <c r="V152">
        <f>IF(AND('Исходные данные'!$B$51="Да",U152&gt;0),U152*N('Исходные данные'!$B$52)/(1+N('Исходные данные'!$B$52)),0)</f>
        <v>0</v>
      </c>
      <c r="W152">
        <f>IF(OR(B152="",IF('Исходные данные'!$B$69="",'Исходные данные'!$B$10,'Исходные данные'!$B$69)="",C152&lt;IF('Исходные данные'!$B$69="",'Исходные данные'!$B$10,'Исходные данные'!$B$69)),0,-N('Исходные данные'!$B$16)*N('Исходные данные'!$B$68)*N('Исходные данные'!$B$67)/12*IF(AND(B152&lt;=IF('Исходные данные'!$B$69="",'Исходные данные'!$B$10,'Исходные данные'!$B$69),C152&gt;=IF('Исходные данные'!$B$69="",'Исходные данные'!$B$10,'Исходные данные'!$B$69)),(C152-IF('Исходные данные'!$B$69="",'Исходные данные'!$B$10,'Исходные данные'!$B$69)+1)/DAY(C152),1))</f>
        <v>0</v>
      </c>
      <c r="X152">
        <f>IF(OR(B152="",IF('Исходные данные'!$B$76="",'Исходные данные'!$B$10,'Исходные данные'!$B$76)="",C152&lt;IF('Исходные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данные'!$B$76)),1),B152,"m")/12))*IF(AND(B152&lt;=IF('Исходные данные'!$B$76="",'Исходные данные'!$B$10,'Исходные данные'!$B$76),C152&gt;=IF('Исходные данные'!$B$76="",'Исходные данные'!$B$10,'Исходные данные'!$B$76)),(C152-IF('Исходные данные'!$B$76="",'Исходные данные'!$B$10,'Исходные данные'!$B$76)+1)/DAY(C152),1))</f>
        <v>0</v>
      </c>
      <c r="Y152">
        <f t="shared" si="86"/>
        <v>0</v>
      </c>
      <c r="Z152">
        <f>IF(OR(B152="",N('Исходные данные'!$B$19)=0),0,-SUMIFS('Исходные данные'!$I$6:$I$186,'Исходные данные'!$F$6:$F$186,B152)*N('Исходные данные'!$B$17)/N('Исходные данные'!$B$19))</f>
        <v>0</v>
      </c>
      <c r="AA152">
        <f>IF(OR(B152="",N('Исходные данные'!$B$19)=0),0,-SUMIFS('Исходные данные'!$I$6:$I$186,'Исходные данные'!$F$6:$F$186,B152)*N('Исходные данные'!$B$18)/N('Исходные данные'!$B$19))</f>
        <v>0</v>
      </c>
      <c r="AB152">
        <f>IF(OR(B152="",'Исходные данные'!$B$13=""),0,IF(AND(YEAR(B152)=YEAR('Исходные данные'!$B$13),MONTH(B152)=MONTH('Исходные данные'!$B$13)),-N('Исходные данные'!$B$11),0))</f>
        <v>0</v>
      </c>
      <c r="AC152">
        <f>IF(A152=1,-N('Исходные данные'!$B$19)*N('Исходные данные'!$B$72),0)</f>
        <v>0</v>
      </c>
      <c r="AD152">
        <f>IF(OR(B152="",'Исходные данные'!$B$22&lt;&gt;"Да",'Исходные данные'!$B$26=""),0,IF(AND(YEAR(B152)=YEAR('Исходные данные'!$B$26),MONTH(B152)=MONTH('Исходные данные'!$B$26)),N('Исходные данные'!$B$23),0))</f>
        <v>0</v>
      </c>
      <c r="AE152">
        <f t="shared" si="99"/>
        <v>0</v>
      </c>
      <c r="AF152">
        <f>IF(OR('Исходные данные'!$B$22&lt;&gt;"Да",'Исходные данные'!$B$26="",C152&lt;'Исходные данные'!$B$26),0,DATEDIF(DATE(YEAR('Исходные данные'!$B$26),MONTH('Исходные данные'!$B$26),1),B152,"m")+1)</f>
        <v>0</v>
      </c>
      <c r="AG152">
        <f>IF(OR(AF152&lt;1,AF152&gt;N('Исходные данные'!$B$25),AE152+AD152&lt;=0),0,-(AE152+AD152)*N('Исходные данные'!$B$24)*IF(AF152=1,C152-'Исходные данные'!$B$26+1,DAY(C152))/365)</f>
        <v>0</v>
      </c>
      <c r="AH152">
        <f>IF(OR(AF152&lt;1,AF152&gt;N('Исходные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данные'!$B$25)-AG152))</f>
        <v>0</v>
      </c>
      <c r="AI152">
        <f>IF(OR('Исходные данные'!$B$22&lt;&gt;"Да",AE152+AD152&lt;=0),0,IF(AND('Исходные данные'!$B$91&lt;&gt;"",B152&lt;&gt;"",YEAR(B152)=YEAR('Исходные данные'!$B$91),MONTH(B152)=MONTH('Исходные данные'!$B$91)),-(AE152+AD152),IF(OR(AF152&lt;1,AF152&gt;N('Исходные данные'!$B$25)),0,IF('Исходные данные'!$B$27="Равными долями",-MIN(AE152+AD152,N('Исходные данные'!$B$23)/N('Исходные данные'!$B$25)),-MIN(AE152+AD152,IF(AF152=N('Исходные данные'!$B$25),AE152+AD152,MAX(0,AH152+AG152)))))))</f>
        <v>0</v>
      </c>
      <c r="AJ152">
        <f t="shared" si="87"/>
        <v>0</v>
      </c>
      <c r="AK152">
        <f t="shared" si="88"/>
        <v>0</v>
      </c>
      <c r="AL152">
        <f>IF(OR(B152="",'Исходные данные'!$B$51&lt;&gt;"Да",'Исходные данные'!$B$61=""),0,IF(AND(YEAR(B152)=YEAR('Исходные данные'!$B$61),MONTH(B152)=MONTH('Исходные данные'!$B$61)),N('Исходные данные'!$B$18)*N('Исходные данные'!$B$62),0))</f>
        <v>0</v>
      </c>
      <c r="AM152">
        <f t="shared" si="100"/>
        <v>0</v>
      </c>
      <c r="AN152">
        <f t="shared" si="89"/>
        <v>0</v>
      </c>
      <c r="AO152">
        <f t="shared" si="90"/>
        <v>0</v>
      </c>
      <c r="AP152">
        <f>IF('Исходные данные'!$B$51="Да",-MAX(0,AN152-AO152-AM152),0)</f>
        <v>0</v>
      </c>
      <c r="AQ152">
        <f>IF('Исходные данные'!$B$51="Да",MAX(0,AM152+AO152-AN152),0)</f>
        <v>0</v>
      </c>
      <c r="AR152">
        <f>IF('Исходные данные'!$B$53="Выручка",MAX(0,L152+(Q152-R152)+(U152-V152)),IF('Исходные данные'!$B$53="Прибыль до налога",MAX(0,L152+(Q152-R152)+(U152-V152)+N('Исходные данные'!$B$54)*((O152+P152)+(S152+T152)+W152+X152)+IF('Исходные данные'!$B$55="Да",AG152,0)-N('Исходные данные'!$B$56)/12),IF('Исходные данные'!$B$53="Пользовательская база",MAX(0,N('Исходные данные'!$B$57)/12),0)))</f>
        <v>0</v>
      </c>
      <c r="AS152">
        <f>IF(E152=1,-AR152*N('Исходные данные'!$B$50),0)</f>
        <v>0</v>
      </c>
      <c r="AT152">
        <f t="shared" si="91"/>
        <v>0</v>
      </c>
      <c r="AU152">
        <f>IF(OR(B152="",N('Исходные данные'!$B$80)&lt;=0,'Исходные данные'!$B$88=""),0,MAX(0,IF('Исходные данные'!$B$88="Последние 12 месяцев",SUMIFS($Y$2:$Y$194,$B$2:$B$194,"&gt;="&amp;EDATE(B152,-11),$B$2:$B$194,"&lt;="&amp;B152),IF('Исходные данные'!$B$88="Пользовательский NOI",N('Исходные данные'!$B$89),AT152))/N('Исходные данные'!$B$80)*(1+N('Исходные данные'!$B$81))))</f>
        <v>0</v>
      </c>
      <c r="AV152">
        <f>IF(OR(E152&lt;&gt;1,B152="",'Исходные данные'!$B$91=""),0,IF(AND(YEAR(B152)=YEAR('Исходные данные'!$B$91),MONTH(B152)=MONTH('Исходные данные'!$B$91)),AU152,0))</f>
        <v>0</v>
      </c>
      <c r="AW152">
        <f>-AV152*N('Исходные данные'!$B$73)</f>
        <v>0</v>
      </c>
      <c r="AX152">
        <f>IF(AV152=0,0,-N('Исходные данные'!$B$87)-IF('Исходные данные'!$B$82="Да",IF('Исходные данные'!$B$84="С выручки",AV152,IF('Исходные данные'!$B$84="С прибыли",MAX(0,AV152+AW152-IF('Исходные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52">
        <f t="shared" si="92"/>
        <v>0</v>
      </c>
      <c r="AZ152">
        <f t="shared" si="93"/>
        <v>0</v>
      </c>
      <c r="BA152">
        <f t="shared" si="94"/>
        <v>0</v>
      </c>
      <c r="BB152" t="str">
        <f t="shared" si="101"/>
        <v/>
      </c>
      <c r="BC152">
        <f>IF(OR(E152=0,'Исходные данные'!$B$9="",'Исходные данные'!$B$90=""),0,BA152/(1+'Исходные данные'!$B$90)^((D152-'Исходные данные'!$B$9)/365))</f>
        <v>0</v>
      </c>
      <c r="BD152">
        <f>IF(AND(E152=1,BB152&gt;=0,BB151&lt;0,MIN($BB$2:BB152)&lt;0),1,0)</f>
        <v>0</v>
      </c>
      <c r="BE152">
        <f t="shared" si="95"/>
        <v>0</v>
      </c>
      <c r="BF152">
        <f t="shared" si="96"/>
        <v>0</v>
      </c>
      <c r="BG152">
        <f t="shared" si="97"/>
        <v>0</v>
      </c>
      <c r="BH152">
        <f t="shared" si="98"/>
        <v>1</v>
      </c>
      <c r="BI152">
        <f>AZ152+N152+AP152-AR152*N('Исходные данные'!$B$50)</f>
        <v>0</v>
      </c>
      <c r="BJ152">
        <f t="shared" si="102"/>
        <v>0</v>
      </c>
      <c r="BK152">
        <f>IF(AND(BJ152&gt;=0,BJ151&lt;0,MIN($BJ$2:BJ152)&lt;0),1,0)</f>
        <v>0</v>
      </c>
    </row>
    <row r="153" spans="1:63" x14ac:dyDescent="0.2">
      <c r="A153">
        <v>152</v>
      </c>
      <c r="B153" t="str">
        <f>IF('Исходные данные'!$B$9="","",EDATE(DATE(YEAR('Исходные данные'!$B$9),MONTH('Исходные данные'!$B$9),1),A153-1))</f>
        <v/>
      </c>
      <c r="C153" t="str">
        <f t="shared" si="82"/>
        <v/>
      </c>
      <c r="D153" t="str">
        <f>IF(B153="","",IF('Исходные данные'!$B$91&lt;&gt;"",IF(AND(YEAR(B153)=YEAR('Исходные данные'!$B$91),MONTH(B153)=MONTH('Исходные данные'!$B$91)),'Исходные данные'!$B$91,IF('Исходные данные'!$B$13&lt;&gt;"",IF(AND(YEAR(B153)=YEAR('Исходные данные'!$B$13),MONTH(B153)=MONTH('Исходные данные'!$B$13)),'Исходные данные'!$B$13,IF('Исходные данные'!$B$26&lt;&gt;"",IF(AND(YEAR(B153)=YEAR('Исходные данные'!$B$26),MONTH(B153)=MONTH('Исходные данные'!$B$26)),'Исходные данные'!$B$26,IF(A153=1,'Исходные данные'!$B$9,C153)),IF(A153=1,'Исходные данные'!$B$9,C153))),IF('Исходные данные'!$B$26&lt;&gt;"",IF(AND(YEAR(B153)=YEAR('Исходные данные'!$B$26),MONTH(B153)=MONTH('Исходные данные'!$B$26)),'Исходные данные'!$B$26,IF(A153=1,'Исходные данные'!$B$9,C153)),IF(A153=1,'Исходные данные'!$B$9,C153)))),IF('Исходные данные'!$B$13&lt;&gt;"",IF(AND(YEAR(B153)=YEAR('Исходные данные'!$B$13),MONTH(B153)=MONTH('Исходные данные'!$B$13)),'Исходные данные'!$B$13,IF('Исходные данные'!$B$26&lt;&gt;"",IF(AND(YEAR(B153)=YEAR('Исходные данные'!$B$26),MONTH(B153)=MONTH('Исходные данные'!$B$26)),'Исходные данные'!$B$26,IF(A153=1,'Исходные данные'!$B$9,C153)),IF(A153=1,'Исходные данные'!$B$9,C153))),IF('Исходные данные'!$B$26&lt;&gt;"",IF(AND(YEAR(B153)=YEAR('Исходные данные'!$B$26),MONTH(B153)=MONTH('Исходные данные'!$B$26)),'Исходные данные'!$B$26,IF(A153=1,'Исходные данные'!$B$9,C153)),IF(A153=1,'Исходные данные'!$B$9,C153)))))</f>
        <v/>
      </c>
      <c r="E153">
        <f>IF(OR(B153="",'Исходные данные'!$B$91=""),0,--(B153&lt;=DATE(YEAR('Исходные данные'!$B$91),MONTH('Исходные данные'!$B$91),1)))</f>
        <v>0</v>
      </c>
      <c r="F153">
        <f>IF(OR(B153="",'Исходные данные'!$B$30="",C153&lt;'Исходные данные'!$B$30),0,DATEDIF(DATE(YEAR('Исходные данные'!$B$30),MONTH('Исходные данные'!$B$30),1),B153,"m")+1)</f>
        <v>0</v>
      </c>
      <c r="G153">
        <f t="shared" si="83"/>
        <v>0</v>
      </c>
      <c r="H153">
        <f>IF(F153=0,0,IF(G153=1,N('Исходные данные'!$B$31),IF(G153=2,N('Исходные данные'!$B$32),IF(G153=3,N('Исходные данные'!$B$33),N('Исходные данные'!$B$33)*(1+N('Исходные данные'!$B$34))^(G153-3)))))</f>
        <v>0</v>
      </c>
      <c r="I153">
        <f>IF(OR(F153=0,N('Исходные данные'!$B$5)=0,H153=0),0,'Исходные данные'!$B$5*H153*IF(AND(B153&lt;='Исходные данные'!$B$30,C153&gt;='Исходные данные'!$B$30),(C153-'Исходные данные'!$B$30+1)/DAY(C153),1))</f>
        <v>0</v>
      </c>
      <c r="J153">
        <f>IF(AND(F153&gt;0,F153&lt;=N('Исходные данные'!$B$37)),-I153,0)</f>
        <v>0</v>
      </c>
      <c r="K153">
        <f>IF(OR(F153=0,F153&lt;=N('Исходные данные'!$B$37)),0,-(I153+J153)*N('Исходные данные'!$B$38))</f>
        <v>0</v>
      </c>
      <c r="L153">
        <f t="shared" si="84"/>
        <v>0</v>
      </c>
      <c r="M153">
        <f>IF('Исходные данные'!$B$51="Да",L153*N('Исходные данные'!$B$52),0)</f>
        <v>0</v>
      </c>
      <c r="N153">
        <f t="shared" si="85"/>
        <v>0</v>
      </c>
      <c r="O153">
        <f>IF(OR(B153="",IF('Исходные данные'!$B$45="",'Исходные данные'!$B$10,'Исходные данные'!$B$45)="",C153&lt;IF('Исходные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данные'!$B$45)),1),B153,"m")/12))*IF(AND(B153&lt;=IF('Исходные данные'!$B$45="",'Исходные данные'!$B$10,'Исходные данные'!$B$45),C153&gt;=IF('Исходные данные'!$B$45="",'Исходные данные'!$B$10,'Исходные данные'!$B$45)),(C153-IF('Исходные данные'!$B$45="",'Исходные данные'!$B$10,'Исходные данные'!$B$45)+1)/DAY(C153),1)*IF('Исходные данные'!$B$43="Без НДС",1+N('Исходные данные'!$B$44),1))</f>
        <v>0</v>
      </c>
      <c r="P153">
        <f>IF('Исходные данные'!$B$51="Да",-O153*N('Исходные данные'!$B$44)/(1+N('Исходные данные'!$B$44)),0)</f>
        <v>0</v>
      </c>
      <c r="Q153">
        <f>IF('Исходные данные'!$B$35="Да",-O153,0)</f>
        <v>0</v>
      </c>
      <c r="R153">
        <f>IF(AND('Исходные данные'!$B$51="Да",Q153&gt;0),Q153*N('Исходные данные'!$B$52)/(1+N('Исходные данные'!$B$52)),0)</f>
        <v>0</v>
      </c>
      <c r="S153">
        <f>IF(OR(B153="",IF('Исходные данные'!$B$45="",'Исходные данные'!$B$10,'Исходные данные'!$B$45)="",C153&lt;IF('Исходные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данные'!$B$45)),1),B153,"m")/12))*IF(AND(B153&lt;=IF('Исходные данные'!$B$45="",'Исходные данные'!$B$10,'Исходные данные'!$B$45),C153&gt;=IF('Исходные данные'!$B$45="",'Исходные данные'!$B$10,'Исходные данные'!$B$45)),(C153-IF('Исходные данные'!$B$45="",'Исходные данные'!$B$10,'Исходные данные'!$B$45)+1)/DAY(C153),1)*IF('Исходные данные'!$B$43="Без НДС",1+N('Исходные данные'!$B$44),1))</f>
        <v>0</v>
      </c>
      <c r="T153">
        <f>IF('Исходные данные'!$B$51="Да",-S153*N('Исходные данные'!$B$44)/(1+N('Исходные данные'!$B$44)),0)</f>
        <v>0</v>
      </c>
      <c r="U153">
        <f>IF('Исходные данные'!$B$36="Да",-S153,0)</f>
        <v>0</v>
      </c>
      <c r="V153">
        <f>IF(AND('Исходные данные'!$B$51="Да",U153&gt;0),U153*N('Исходные данные'!$B$52)/(1+N('Исходные данные'!$B$52)),0)</f>
        <v>0</v>
      </c>
      <c r="W153">
        <f>IF(OR(B153="",IF('Исходные данные'!$B$69="",'Исходные данные'!$B$10,'Исходные данные'!$B$69)="",C153&lt;IF('Исходные данные'!$B$69="",'Исходные данные'!$B$10,'Исходные данные'!$B$69)),0,-N('Исходные данные'!$B$16)*N('Исходные данные'!$B$68)*N('Исходные данные'!$B$67)/12*IF(AND(B153&lt;=IF('Исходные данные'!$B$69="",'Исходные данные'!$B$10,'Исходные данные'!$B$69),C153&gt;=IF('Исходные данные'!$B$69="",'Исходные данные'!$B$10,'Исходные данные'!$B$69)),(C153-IF('Исходные данные'!$B$69="",'Исходные данные'!$B$10,'Исходные данные'!$B$69)+1)/DAY(C153),1))</f>
        <v>0</v>
      </c>
      <c r="X153">
        <f>IF(OR(B153="",IF('Исходные данные'!$B$76="",'Исходные данные'!$B$10,'Исходные данные'!$B$76)="",C153&lt;IF('Исходные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данные'!$B$76)),1),B153,"m")/12))*IF(AND(B153&lt;=IF('Исходные данные'!$B$76="",'Исходные данные'!$B$10,'Исходные данные'!$B$76),C153&gt;=IF('Исходные данные'!$B$76="",'Исходные данные'!$B$10,'Исходные данные'!$B$76)),(C153-IF('Исходные данные'!$B$76="",'Исходные данные'!$B$10,'Исходные данные'!$B$76)+1)/DAY(C153),1))</f>
        <v>0</v>
      </c>
      <c r="Y153">
        <f t="shared" si="86"/>
        <v>0</v>
      </c>
      <c r="Z153">
        <f>IF(OR(B153="",N('Исходные данные'!$B$19)=0),0,-SUMIFS('Исходные данные'!$I$6:$I$186,'Исходные данные'!$F$6:$F$186,B153)*N('Исходные данные'!$B$17)/N('Исходные данные'!$B$19))</f>
        <v>0</v>
      </c>
      <c r="AA153">
        <f>IF(OR(B153="",N('Исходные данные'!$B$19)=0),0,-SUMIFS('Исходные данные'!$I$6:$I$186,'Исходные данные'!$F$6:$F$186,B153)*N('Исходные данные'!$B$18)/N('Исходные данные'!$B$19))</f>
        <v>0</v>
      </c>
      <c r="AB153">
        <f>IF(OR(B153="",'Исходные данные'!$B$13=""),0,IF(AND(YEAR(B153)=YEAR('Исходные данные'!$B$13),MONTH(B153)=MONTH('Исходные данные'!$B$13)),-N('Исходные данные'!$B$11),0))</f>
        <v>0</v>
      </c>
      <c r="AC153">
        <f>IF(A153=1,-N('Исходные данные'!$B$19)*N('Исходные данные'!$B$72),0)</f>
        <v>0</v>
      </c>
      <c r="AD153">
        <f>IF(OR(B153="",'Исходные данные'!$B$22&lt;&gt;"Да",'Исходные данные'!$B$26=""),0,IF(AND(YEAR(B153)=YEAR('Исходные данные'!$B$26),MONTH(B153)=MONTH('Исходные данные'!$B$26)),N('Исходные данные'!$B$23),0))</f>
        <v>0</v>
      </c>
      <c r="AE153">
        <f t="shared" si="99"/>
        <v>0</v>
      </c>
      <c r="AF153">
        <f>IF(OR('Исходные данные'!$B$22&lt;&gt;"Да",'Исходные данные'!$B$26="",C153&lt;'Исходные данные'!$B$26),0,DATEDIF(DATE(YEAR('Исходные данные'!$B$26),MONTH('Исходные данные'!$B$26),1),B153,"m")+1)</f>
        <v>0</v>
      </c>
      <c r="AG153">
        <f>IF(OR(AF153&lt;1,AF153&gt;N('Исходные данные'!$B$25),AE153+AD153&lt;=0),0,-(AE153+AD153)*N('Исходные данные'!$B$24)*IF(AF153=1,C153-'Исходные данные'!$B$26+1,DAY(C153))/365)</f>
        <v>0</v>
      </c>
      <c r="AH153">
        <f>IF(OR(AF153&lt;1,AF153&gt;N('Исходные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данные'!$B$25)-AG153))</f>
        <v>0</v>
      </c>
      <c r="AI153">
        <f>IF(OR('Исходные данные'!$B$22&lt;&gt;"Да",AE153+AD153&lt;=0),0,IF(AND('Исходные данные'!$B$91&lt;&gt;"",B153&lt;&gt;"",YEAR(B153)=YEAR('Исходные данные'!$B$91),MONTH(B153)=MONTH('Исходные данные'!$B$91)),-(AE153+AD153),IF(OR(AF153&lt;1,AF153&gt;N('Исходные данные'!$B$25)),0,IF('Исходные данные'!$B$27="Равными долями",-MIN(AE153+AD153,N('Исходные данные'!$B$23)/N('Исходные данные'!$B$25)),-MIN(AE153+AD153,IF(AF153=N('Исходные данные'!$B$25),AE153+AD153,MAX(0,AH153+AG153)))))))</f>
        <v>0</v>
      </c>
      <c r="AJ153">
        <f t="shared" si="87"/>
        <v>0</v>
      </c>
      <c r="AK153">
        <f t="shared" si="88"/>
        <v>0</v>
      </c>
      <c r="AL153">
        <f>IF(OR(B153="",'Исходные данные'!$B$51&lt;&gt;"Да",'Исходные данные'!$B$61=""),0,IF(AND(YEAR(B153)=YEAR('Исходные данные'!$B$61),MONTH(B153)=MONTH('Исходные данные'!$B$61)),N('Исходные данные'!$B$18)*N('Исходные данные'!$B$62),0))</f>
        <v>0</v>
      </c>
      <c r="AM153">
        <f t="shared" si="100"/>
        <v>0</v>
      </c>
      <c r="AN153">
        <f t="shared" si="89"/>
        <v>0</v>
      </c>
      <c r="AO153">
        <f t="shared" si="90"/>
        <v>0</v>
      </c>
      <c r="AP153">
        <f>IF('Исходные данные'!$B$51="Да",-MAX(0,AN153-AO153-AM153),0)</f>
        <v>0</v>
      </c>
      <c r="AQ153">
        <f>IF('Исходные данные'!$B$51="Да",MAX(0,AM153+AO153-AN153),0)</f>
        <v>0</v>
      </c>
      <c r="AR153">
        <f>IF('Исходные данные'!$B$53="Выручка",MAX(0,L153+(Q153-R153)+(U153-V153)),IF('Исходные данные'!$B$53="Прибыль до налога",MAX(0,L153+(Q153-R153)+(U153-V153)+N('Исходные данные'!$B$54)*((O153+P153)+(S153+T153)+W153+X153)+IF('Исходные данные'!$B$55="Да",AG153,0)-N('Исходные данные'!$B$56)/12),IF('Исходные данные'!$B$53="Пользовательская база",MAX(0,N('Исходные данные'!$B$57)/12),0)))</f>
        <v>0</v>
      </c>
      <c r="AS153">
        <f>IF(E153=1,-AR153*N('Исходные данные'!$B$50),0)</f>
        <v>0</v>
      </c>
      <c r="AT153">
        <f t="shared" si="91"/>
        <v>0</v>
      </c>
      <c r="AU153">
        <f>IF(OR(B153="",N('Исходные данные'!$B$80)&lt;=0,'Исходные данные'!$B$88=""),0,MAX(0,IF('Исходные данные'!$B$88="Последние 12 месяцев",SUMIFS($Y$2:$Y$194,$B$2:$B$194,"&gt;="&amp;EDATE(B153,-11),$B$2:$B$194,"&lt;="&amp;B153),IF('Исходные данные'!$B$88="Пользовательский NOI",N('Исходные данные'!$B$89),AT153))/N('Исходные данные'!$B$80)*(1+N('Исходные данные'!$B$81))))</f>
        <v>0</v>
      </c>
      <c r="AV153">
        <f>IF(OR(E153&lt;&gt;1,B153="",'Исходные данные'!$B$91=""),0,IF(AND(YEAR(B153)=YEAR('Исходные данные'!$B$91),MONTH(B153)=MONTH('Исходные данные'!$B$91)),AU153,0))</f>
        <v>0</v>
      </c>
      <c r="AW153">
        <f>-AV153*N('Исходные данные'!$B$73)</f>
        <v>0</v>
      </c>
      <c r="AX153">
        <f>IF(AV153=0,0,-N('Исходные данные'!$B$87)-IF('Исходные данные'!$B$82="Да",IF('Исходные данные'!$B$84="С выручки",AV153,IF('Исходные данные'!$B$84="С прибыли",MAX(0,AV153+AW153-IF('Исходные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53">
        <f t="shared" si="92"/>
        <v>0</v>
      </c>
      <c r="AZ153">
        <f t="shared" si="93"/>
        <v>0</v>
      </c>
      <c r="BA153">
        <f t="shared" si="94"/>
        <v>0</v>
      </c>
      <c r="BB153" t="str">
        <f t="shared" si="101"/>
        <v/>
      </c>
      <c r="BC153">
        <f>IF(OR(E153=0,'Исходные данные'!$B$9="",'Исходные данные'!$B$90=""),0,BA153/(1+'Исходные данные'!$B$90)^((D153-'Исходные данные'!$B$9)/365))</f>
        <v>0</v>
      </c>
      <c r="BD153">
        <f>IF(AND(E153=1,BB153&gt;=0,BB152&lt;0,MIN($BB$2:BB153)&lt;0),1,0)</f>
        <v>0</v>
      </c>
      <c r="BE153">
        <f t="shared" si="95"/>
        <v>0</v>
      </c>
      <c r="BF153">
        <f t="shared" si="96"/>
        <v>0</v>
      </c>
      <c r="BG153">
        <f t="shared" si="97"/>
        <v>0</v>
      </c>
      <c r="BH153">
        <f t="shared" si="98"/>
        <v>1</v>
      </c>
      <c r="BI153">
        <f>AZ153+N153+AP153-AR153*N('Исходные данные'!$B$50)</f>
        <v>0</v>
      </c>
      <c r="BJ153">
        <f t="shared" si="102"/>
        <v>0</v>
      </c>
      <c r="BK153">
        <f>IF(AND(BJ153&gt;=0,BJ152&lt;0,MIN($BJ$2:BJ153)&lt;0),1,0)</f>
        <v>0</v>
      </c>
    </row>
    <row r="154" spans="1:63" x14ac:dyDescent="0.2">
      <c r="A154">
        <v>153</v>
      </c>
      <c r="B154" t="str">
        <f>IF('Исходные данные'!$B$9="","",EDATE(DATE(YEAR('Исходные данные'!$B$9),MONTH('Исходные данные'!$B$9),1),A154-1))</f>
        <v/>
      </c>
      <c r="C154" t="str">
        <f t="shared" si="82"/>
        <v/>
      </c>
      <c r="D154" t="str">
        <f>IF(B154="","",IF('Исходные данные'!$B$91&lt;&gt;"",IF(AND(YEAR(B154)=YEAR('Исходные данные'!$B$91),MONTH(B154)=MONTH('Исходные данные'!$B$91)),'Исходные данные'!$B$91,IF('Исходные данные'!$B$13&lt;&gt;"",IF(AND(YEAR(B154)=YEAR('Исходные данные'!$B$13),MONTH(B154)=MONTH('Исходные данные'!$B$13)),'Исходные данные'!$B$13,IF('Исходные данные'!$B$26&lt;&gt;"",IF(AND(YEAR(B154)=YEAR('Исходные данные'!$B$26),MONTH(B154)=MONTH('Исходные данные'!$B$26)),'Исходные данные'!$B$26,IF(A154=1,'Исходные данные'!$B$9,C154)),IF(A154=1,'Исходные данные'!$B$9,C154))),IF('Исходные данные'!$B$26&lt;&gt;"",IF(AND(YEAR(B154)=YEAR('Исходные данные'!$B$26),MONTH(B154)=MONTH('Исходные данные'!$B$26)),'Исходные данные'!$B$26,IF(A154=1,'Исходные данные'!$B$9,C154)),IF(A154=1,'Исходные данные'!$B$9,C154)))),IF('Исходные данные'!$B$13&lt;&gt;"",IF(AND(YEAR(B154)=YEAR('Исходные данные'!$B$13),MONTH(B154)=MONTH('Исходные данные'!$B$13)),'Исходные данные'!$B$13,IF('Исходные данные'!$B$26&lt;&gt;"",IF(AND(YEAR(B154)=YEAR('Исходные данные'!$B$26),MONTH(B154)=MONTH('Исходные данные'!$B$26)),'Исходные данные'!$B$26,IF(A154=1,'Исходные данные'!$B$9,C154)),IF(A154=1,'Исходные данные'!$B$9,C154))),IF('Исходные данные'!$B$26&lt;&gt;"",IF(AND(YEAR(B154)=YEAR('Исходные данные'!$B$26),MONTH(B154)=MONTH('Исходные данные'!$B$26)),'Исходные данные'!$B$26,IF(A154=1,'Исходные данные'!$B$9,C154)),IF(A154=1,'Исходные данные'!$B$9,C154)))))</f>
        <v/>
      </c>
      <c r="E154">
        <f>IF(OR(B154="",'Исходные данные'!$B$91=""),0,--(B154&lt;=DATE(YEAR('Исходные данные'!$B$91),MONTH('Исходные данные'!$B$91),1)))</f>
        <v>0</v>
      </c>
      <c r="F154">
        <f>IF(OR(B154="",'Исходные данные'!$B$30="",C154&lt;'Исходные данные'!$B$30),0,DATEDIF(DATE(YEAR('Исходные данные'!$B$30),MONTH('Исходные данные'!$B$30),1),B154,"m")+1)</f>
        <v>0</v>
      </c>
      <c r="G154">
        <f t="shared" si="83"/>
        <v>0</v>
      </c>
      <c r="H154">
        <f>IF(F154=0,0,IF(G154=1,N('Исходные данные'!$B$31),IF(G154=2,N('Исходные данные'!$B$32),IF(G154=3,N('Исходные данные'!$B$33),N('Исходные данные'!$B$33)*(1+N('Исходные данные'!$B$34))^(G154-3)))))</f>
        <v>0</v>
      </c>
      <c r="I154">
        <f>IF(OR(F154=0,N('Исходные данные'!$B$5)=0,H154=0),0,'Исходные данные'!$B$5*H154*IF(AND(B154&lt;='Исходные данные'!$B$30,C154&gt;='Исходные данные'!$B$30),(C154-'Исходные данные'!$B$30+1)/DAY(C154),1))</f>
        <v>0</v>
      </c>
      <c r="J154">
        <f>IF(AND(F154&gt;0,F154&lt;=N('Исходные данные'!$B$37)),-I154,0)</f>
        <v>0</v>
      </c>
      <c r="K154">
        <f>IF(OR(F154=0,F154&lt;=N('Исходные данные'!$B$37)),0,-(I154+J154)*N('Исходные данные'!$B$38))</f>
        <v>0</v>
      </c>
      <c r="L154">
        <f t="shared" si="84"/>
        <v>0</v>
      </c>
      <c r="M154">
        <f>IF('Исходные данные'!$B$51="Да",L154*N('Исходные данные'!$B$52),0)</f>
        <v>0</v>
      </c>
      <c r="N154">
        <f t="shared" si="85"/>
        <v>0</v>
      </c>
      <c r="O154">
        <f>IF(OR(B154="",IF('Исходные данные'!$B$45="",'Исходные данные'!$B$10,'Исходные данные'!$B$45)="",C154&lt;IF('Исходные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данные'!$B$45)),1),B154,"m")/12))*IF(AND(B154&lt;=IF('Исходные данные'!$B$45="",'Исходные данные'!$B$10,'Исходные данные'!$B$45),C154&gt;=IF('Исходные данные'!$B$45="",'Исходные данные'!$B$10,'Исходные данные'!$B$45)),(C154-IF('Исходные данные'!$B$45="",'Исходные данные'!$B$10,'Исходные данные'!$B$45)+1)/DAY(C154),1)*IF('Исходные данные'!$B$43="Без НДС",1+N('Исходные данные'!$B$44),1))</f>
        <v>0</v>
      </c>
      <c r="P154">
        <f>IF('Исходные данные'!$B$51="Да",-O154*N('Исходные данные'!$B$44)/(1+N('Исходные данные'!$B$44)),0)</f>
        <v>0</v>
      </c>
      <c r="Q154">
        <f>IF('Исходные данные'!$B$35="Да",-O154,0)</f>
        <v>0</v>
      </c>
      <c r="R154">
        <f>IF(AND('Исходные данные'!$B$51="Да",Q154&gt;0),Q154*N('Исходные данные'!$B$52)/(1+N('Исходные данные'!$B$52)),0)</f>
        <v>0</v>
      </c>
      <c r="S154">
        <f>IF(OR(B154="",IF('Исходные данные'!$B$45="",'Исходные данные'!$B$10,'Исходные данные'!$B$45)="",C154&lt;IF('Исходные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данные'!$B$45)),1),B154,"m")/12))*IF(AND(B154&lt;=IF('Исходные данные'!$B$45="",'Исходные данные'!$B$10,'Исходные данные'!$B$45),C154&gt;=IF('Исходные данные'!$B$45="",'Исходные данные'!$B$10,'Исходные данные'!$B$45)),(C154-IF('Исходные данные'!$B$45="",'Исходные данные'!$B$10,'Исходные данные'!$B$45)+1)/DAY(C154),1)*IF('Исходные данные'!$B$43="Без НДС",1+N('Исходные данные'!$B$44),1))</f>
        <v>0</v>
      </c>
      <c r="T154">
        <f>IF('Исходные данные'!$B$51="Да",-S154*N('Исходные данные'!$B$44)/(1+N('Исходные данные'!$B$44)),0)</f>
        <v>0</v>
      </c>
      <c r="U154">
        <f>IF('Исходные данные'!$B$36="Да",-S154,0)</f>
        <v>0</v>
      </c>
      <c r="V154">
        <f>IF(AND('Исходные данные'!$B$51="Да",U154&gt;0),U154*N('Исходные данные'!$B$52)/(1+N('Исходные данные'!$B$52)),0)</f>
        <v>0</v>
      </c>
      <c r="W154">
        <f>IF(OR(B154="",IF('Исходные данные'!$B$69="",'Исходные данные'!$B$10,'Исходные данные'!$B$69)="",C154&lt;IF('Исходные данные'!$B$69="",'Исходные данные'!$B$10,'Исходные данные'!$B$69)),0,-N('Исходные данные'!$B$16)*N('Исходные данные'!$B$68)*N('Исходные данные'!$B$67)/12*IF(AND(B154&lt;=IF('Исходные данные'!$B$69="",'Исходные данные'!$B$10,'Исходные данные'!$B$69),C154&gt;=IF('Исходные данные'!$B$69="",'Исходные данные'!$B$10,'Исходные данные'!$B$69)),(C154-IF('Исходные данные'!$B$69="",'Исходные данные'!$B$10,'Исходные данные'!$B$69)+1)/DAY(C154),1))</f>
        <v>0</v>
      </c>
      <c r="X154">
        <f>IF(OR(B154="",IF('Исходные данные'!$B$76="",'Исходные данные'!$B$10,'Исходные данные'!$B$76)="",C154&lt;IF('Исходные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данные'!$B$76)),1),B154,"m")/12))*IF(AND(B154&lt;=IF('Исходные данные'!$B$76="",'Исходные данные'!$B$10,'Исходные данные'!$B$76),C154&gt;=IF('Исходные данные'!$B$76="",'Исходные данные'!$B$10,'Исходные данные'!$B$76)),(C154-IF('Исходные данные'!$B$76="",'Исходные данные'!$B$10,'Исходные данные'!$B$76)+1)/DAY(C154),1))</f>
        <v>0</v>
      </c>
      <c r="Y154">
        <f t="shared" si="86"/>
        <v>0</v>
      </c>
      <c r="Z154">
        <f>IF(OR(B154="",N('Исходные данные'!$B$19)=0),0,-SUMIFS('Исходные данные'!$I$6:$I$186,'Исходные данные'!$F$6:$F$186,B154)*N('Исходные данные'!$B$17)/N('Исходные данные'!$B$19))</f>
        <v>0</v>
      </c>
      <c r="AA154">
        <f>IF(OR(B154="",N('Исходные данные'!$B$19)=0),0,-SUMIFS('Исходные данные'!$I$6:$I$186,'Исходные данные'!$F$6:$F$186,B154)*N('Исходные данные'!$B$18)/N('Исходные данные'!$B$19))</f>
        <v>0</v>
      </c>
      <c r="AB154">
        <f>IF(OR(B154="",'Исходные данные'!$B$13=""),0,IF(AND(YEAR(B154)=YEAR('Исходные данные'!$B$13),MONTH(B154)=MONTH('Исходные данные'!$B$13)),-N('Исходные данные'!$B$11),0))</f>
        <v>0</v>
      </c>
      <c r="AC154">
        <f>IF(A154=1,-N('Исходные данные'!$B$19)*N('Исходные данные'!$B$72),0)</f>
        <v>0</v>
      </c>
      <c r="AD154">
        <f>IF(OR(B154="",'Исходные данные'!$B$22&lt;&gt;"Да",'Исходные данные'!$B$26=""),0,IF(AND(YEAR(B154)=YEAR('Исходные данные'!$B$26),MONTH(B154)=MONTH('Исходные данные'!$B$26)),N('Исходные данные'!$B$23),0))</f>
        <v>0</v>
      </c>
      <c r="AE154">
        <f t="shared" si="99"/>
        <v>0</v>
      </c>
      <c r="AF154">
        <f>IF(OR('Исходные данные'!$B$22&lt;&gt;"Да",'Исходные данные'!$B$26="",C154&lt;'Исходные данные'!$B$26),0,DATEDIF(DATE(YEAR('Исходные данные'!$B$26),MONTH('Исходные данные'!$B$26),1),B154,"m")+1)</f>
        <v>0</v>
      </c>
      <c r="AG154">
        <f>IF(OR(AF154&lt;1,AF154&gt;N('Исходные данные'!$B$25),AE154+AD154&lt;=0),0,-(AE154+AD154)*N('Исходные данные'!$B$24)*IF(AF154=1,C154-'Исходные данные'!$B$26+1,DAY(C154))/365)</f>
        <v>0</v>
      </c>
      <c r="AH154">
        <f>IF(OR(AF154&lt;1,AF154&gt;N('Исходные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данные'!$B$25)-AG154))</f>
        <v>0</v>
      </c>
      <c r="AI154">
        <f>IF(OR('Исходные данные'!$B$22&lt;&gt;"Да",AE154+AD154&lt;=0),0,IF(AND('Исходные данные'!$B$91&lt;&gt;"",B154&lt;&gt;"",YEAR(B154)=YEAR('Исходные данные'!$B$91),MONTH(B154)=MONTH('Исходные данные'!$B$91)),-(AE154+AD154),IF(OR(AF154&lt;1,AF154&gt;N('Исходные данные'!$B$25)),0,IF('Исходные данные'!$B$27="Равными долями",-MIN(AE154+AD154,N('Исходные данные'!$B$23)/N('Исходные данные'!$B$25)),-MIN(AE154+AD154,IF(AF154=N('Исходные данные'!$B$25),AE154+AD154,MAX(0,AH154+AG154)))))))</f>
        <v>0</v>
      </c>
      <c r="AJ154">
        <f t="shared" si="87"/>
        <v>0</v>
      </c>
      <c r="AK154">
        <f t="shared" si="88"/>
        <v>0</v>
      </c>
      <c r="AL154">
        <f>IF(OR(B154="",'Исходные данные'!$B$51&lt;&gt;"Да",'Исходные данные'!$B$61=""),0,IF(AND(YEAR(B154)=YEAR('Исходные данные'!$B$61),MONTH(B154)=MONTH('Исходные данные'!$B$61)),N('Исходные данные'!$B$18)*N('Исходные данные'!$B$62),0))</f>
        <v>0</v>
      </c>
      <c r="AM154">
        <f t="shared" si="100"/>
        <v>0</v>
      </c>
      <c r="AN154">
        <f t="shared" si="89"/>
        <v>0</v>
      </c>
      <c r="AO154">
        <f t="shared" si="90"/>
        <v>0</v>
      </c>
      <c r="AP154">
        <f>IF('Исходные данные'!$B$51="Да",-MAX(0,AN154-AO154-AM154),0)</f>
        <v>0</v>
      </c>
      <c r="AQ154">
        <f>IF('Исходные данные'!$B$51="Да",MAX(0,AM154+AO154-AN154),0)</f>
        <v>0</v>
      </c>
      <c r="AR154">
        <f>IF('Исходные данные'!$B$53="Выручка",MAX(0,L154+(Q154-R154)+(U154-V154)),IF('Исходные данные'!$B$53="Прибыль до налога",MAX(0,L154+(Q154-R154)+(U154-V154)+N('Исходные данные'!$B$54)*((O154+P154)+(S154+T154)+W154+X154)+IF('Исходные данные'!$B$55="Да",AG154,0)-N('Исходные данные'!$B$56)/12),IF('Исходные данные'!$B$53="Пользовательская база",MAX(0,N('Исходные данные'!$B$57)/12),0)))</f>
        <v>0</v>
      </c>
      <c r="AS154">
        <f>IF(E154=1,-AR154*N('Исходные данные'!$B$50),0)</f>
        <v>0</v>
      </c>
      <c r="AT154">
        <f t="shared" si="91"/>
        <v>0</v>
      </c>
      <c r="AU154">
        <f>IF(OR(B154="",N('Исходные данные'!$B$80)&lt;=0,'Исходные данные'!$B$88=""),0,MAX(0,IF('Исходные данные'!$B$88="Последние 12 месяцев",SUMIFS($Y$2:$Y$194,$B$2:$B$194,"&gt;="&amp;EDATE(B154,-11),$B$2:$B$194,"&lt;="&amp;B154),IF('Исходные данные'!$B$88="Пользовательский NOI",N('Исходные данные'!$B$89),AT154))/N('Исходные данные'!$B$80)*(1+N('Исходные данные'!$B$81))))</f>
        <v>0</v>
      </c>
      <c r="AV154">
        <f>IF(OR(E154&lt;&gt;1,B154="",'Исходные данные'!$B$91=""),0,IF(AND(YEAR(B154)=YEAR('Исходные данные'!$B$91),MONTH(B154)=MONTH('Исходные данные'!$B$91)),AU154,0))</f>
        <v>0</v>
      </c>
      <c r="AW154">
        <f>-AV154*N('Исходные данные'!$B$73)</f>
        <v>0</v>
      </c>
      <c r="AX154">
        <f>IF(AV154=0,0,-N('Исходные данные'!$B$87)-IF('Исходные данные'!$B$82="Да",IF('Исходные данные'!$B$84="С выручки",AV154,IF('Исходные данные'!$B$84="С прибыли",MAX(0,AV154+AW154-IF('Исходные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54">
        <f t="shared" si="92"/>
        <v>0</v>
      </c>
      <c r="AZ154">
        <f t="shared" si="93"/>
        <v>0</v>
      </c>
      <c r="BA154">
        <f t="shared" si="94"/>
        <v>0</v>
      </c>
      <c r="BB154" t="str">
        <f t="shared" si="101"/>
        <v/>
      </c>
      <c r="BC154">
        <f>IF(OR(E154=0,'Исходные данные'!$B$9="",'Исходные данные'!$B$90=""),0,BA154/(1+'Исходные данные'!$B$90)^((D154-'Исходные данные'!$B$9)/365))</f>
        <v>0</v>
      </c>
      <c r="BD154">
        <f>IF(AND(E154=1,BB154&gt;=0,BB153&lt;0,MIN($BB$2:BB154)&lt;0),1,0)</f>
        <v>0</v>
      </c>
      <c r="BE154">
        <f t="shared" si="95"/>
        <v>0</v>
      </c>
      <c r="BF154">
        <f t="shared" si="96"/>
        <v>0</v>
      </c>
      <c r="BG154">
        <f t="shared" si="97"/>
        <v>0</v>
      </c>
      <c r="BH154">
        <f t="shared" si="98"/>
        <v>1</v>
      </c>
      <c r="BI154">
        <f>AZ154+N154+AP154-AR154*N('Исходные данные'!$B$50)</f>
        <v>0</v>
      </c>
      <c r="BJ154">
        <f t="shared" si="102"/>
        <v>0</v>
      </c>
      <c r="BK154">
        <f>IF(AND(BJ154&gt;=0,BJ153&lt;0,MIN($BJ$2:BJ154)&lt;0),1,0)</f>
        <v>0</v>
      </c>
    </row>
    <row r="155" spans="1:63" x14ac:dyDescent="0.2">
      <c r="A155">
        <v>154</v>
      </c>
      <c r="B155" t="str">
        <f>IF('Исходные данные'!$B$9="","",EDATE(DATE(YEAR('Исходные данные'!$B$9),MONTH('Исходные данные'!$B$9),1),A155-1))</f>
        <v/>
      </c>
      <c r="C155" t="str">
        <f t="shared" si="82"/>
        <v/>
      </c>
      <c r="D155" t="str">
        <f>IF(B155="","",IF('Исходные данные'!$B$91&lt;&gt;"",IF(AND(YEAR(B155)=YEAR('Исходные данные'!$B$91),MONTH(B155)=MONTH('Исходные данные'!$B$91)),'Исходные данные'!$B$91,IF('Исходные данные'!$B$13&lt;&gt;"",IF(AND(YEAR(B155)=YEAR('Исходные данные'!$B$13),MONTH(B155)=MONTH('Исходные данные'!$B$13)),'Исходные данные'!$B$13,IF('Исходные данные'!$B$26&lt;&gt;"",IF(AND(YEAR(B155)=YEAR('Исходные данные'!$B$26),MONTH(B155)=MONTH('Исходные данные'!$B$26)),'Исходные данные'!$B$26,IF(A155=1,'Исходные данные'!$B$9,C155)),IF(A155=1,'Исходные данные'!$B$9,C155))),IF('Исходные данные'!$B$26&lt;&gt;"",IF(AND(YEAR(B155)=YEAR('Исходные данные'!$B$26),MONTH(B155)=MONTH('Исходные данные'!$B$26)),'Исходные данные'!$B$26,IF(A155=1,'Исходные данные'!$B$9,C155)),IF(A155=1,'Исходные данные'!$B$9,C155)))),IF('Исходные данные'!$B$13&lt;&gt;"",IF(AND(YEAR(B155)=YEAR('Исходные данные'!$B$13),MONTH(B155)=MONTH('Исходные данные'!$B$13)),'Исходные данные'!$B$13,IF('Исходные данные'!$B$26&lt;&gt;"",IF(AND(YEAR(B155)=YEAR('Исходные данные'!$B$26),MONTH(B155)=MONTH('Исходные данные'!$B$26)),'Исходные данные'!$B$26,IF(A155=1,'Исходные данные'!$B$9,C155)),IF(A155=1,'Исходные данные'!$B$9,C155))),IF('Исходные данные'!$B$26&lt;&gt;"",IF(AND(YEAR(B155)=YEAR('Исходные данные'!$B$26),MONTH(B155)=MONTH('Исходные данные'!$B$26)),'Исходные данные'!$B$26,IF(A155=1,'Исходные данные'!$B$9,C155)),IF(A155=1,'Исходные данные'!$B$9,C155)))))</f>
        <v/>
      </c>
      <c r="E155">
        <f>IF(OR(B155="",'Исходные данные'!$B$91=""),0,--(B155&lt;=DATE(YEAR('Исходные данные'!$B$91),MONTH('Исходные данные'!$B$91),1)))</f>
        <v>0</v>
      </c>
      <c r="F155">
        <f>IF(OR(B155="",'Исходные данные'!$B$30="",C155&lt;'Исходные данные'!$B$30),0,DATEDIF(DATE(YEAR('Исходные данные'!$B$30),MONTH('Исходные данные'!$B$30),1),B155,"m")+1)</f>
        <v>0</v>
      </c>
      <c r="G155">
        <f t="shared" si="83"/>
        <v>0</v>
      </c>
      <c r="H155">
        <f>IF(F155=0,0,IF(G155=1,N('Исходные данные'!$B$31),IF(G155=2,N('Исходные данные'!$B$32),IF(G155=3,N('Исходные данные'!$B$33),N('Исходные данные'!$B$33)*(1+N('Исходные данные'!$B$34))^(G155-3)))))</f>
        <v>0</v>
      </c>
      <c r="I155">
        <f>IF(OR(F155=0,N('Исходные данные'!$B$5)=0,H155=0),0,'Исходные данные'!$B$5*H155*IF(AND(B155&lt;='Исходные данные'!$B$30,C155&gt;='Исходные данные'!$B$30),(C155-'Исходные данные'!$B$30+1)/DAY(C155),1))</f>
        <v>0</v>
      </c>
      <c r="J155">
        <f>IF(AND(F155&gt;0,F155&lt;=N('Исходные данные'!$B$37)),-I155,0)</f>
        <v>0</v>
      </c>
      <c r="K155">
        <f>IF(OR(F155=0,F155&lt;=N('Исходные данные'!$B$37)),0,-(I155+J155)*N('Исходные данные'!$B$38))</f>
        <v>0</v>
      </c>
      <c r="L155">
        <f t="shared" si="84"/>
        <v>0</v>
      </c>
      <c r="M155">
        <f>IF('Исходные данные'!$B$51="Да",L155*N('Исходные данные'!$B$52),0)</f>
        <v>0</v>
      </c>
      <c r="N155">
        <f t="shared" si="85"/>
        <v>0</v>
      </c>
      <c r="O155">
        <f>IF(OR(B155="",IF('Исходные данные'!$B$45="",'Исходные данные'!$B$10,'Исходные данные'!$B$45)="",C155&lt;IF('Исходные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данные'!$B$45)),1),B155,"m")/12))*IF(AND(B155&lt;=IF('Исходные данные'!$B$45="",'Исходные данные'!$B$10,'Исходные данные'!$B$45),C155&gt;=IF('Исходные данные'!$B$45="",'Исходные данные'!$B$10,'Исходные данные'!$B$45)),(C155-IF('Исходные данные'!$B$45="",'Исходные данные'!$B$10,'Исходные данные'!$B$45)+1)/DAY(C155),1)*IF('Исходные данные'!$B$43="Без НДС",1+N('Исходные данные'!$B$44),1))</f>
        <v>0</v>
      </c>
      <c r="P155">
        <f>IF('Исходные данные'!$B$51="Да",-O155*N('Исходные данные'!$B$44)/(1+N('Исходные данные'!$B$44)),0)</f>
        <v>0</v>
      </c>
      <c r="Q155">
        <f>IF('Исходные данные'!$B$35="Да",-O155,0)</f>
        <v>0</v>
      </c>
      <c r="R155">
        <f>IF(AND('Исходные данные'!$B$51="Да",Q155&gt;0),Q155*N('Исходные данные'!$B$52)/(1+N('Исходные данные'!$B$52)),0)</f>
        <v>0</v>
      </c>
      <c r="S155">
        <f>IF(OR(B155="",IF('Исходные данные'!$B$45="",'Исходные данные'!$B$10,'Исходные данные'!$B$45)="",C155&lt;IF('Исходные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данные'!$B$45)),1),B155,"m")/12))*IF(AND(B155&lt;=IF('Исходные данные'!$B$45="",'Исходные данные'!$B$10,'Исходные данные'!$B$45),C155&gt;=IF('Исходные данные'!$B$45="",'Исходные данные'!$B$10,'Исходные данные'!$B$45)),(C155-IF('Исходные данные'!$B$45="",'Исходные данные'!$B$10,'Исходные данные'!$B$45)+1)/DAY(C155),1)*IF('Исходные данные'!$B$43="Без НДС",1+N('Исходные данные'!$B$44),1))</f>
        <v>0</v>
      </c>
      <c r="T155">
        <f>IF('Исходные данные'!$B$51="Да",-S155*N('Исходные данные'!$B$44)/(1+N('Исходные данные'!$B$44)),0)</f>
        <v>0</v>
      </c>
      <c r="U155">
        <f>IF('Исходные данные'!$B$36="Да",-S155,0)</f>
        <v>0</v>
      </c>
      <c r="V155">
        <f>IF(AND('Исходные данные'!$B$51="Да",U155&gt;0),U155*N('Исходные данные'!$B$52)/(1+N('Исходные данные'!$B$52)),0)</f>
        <v>0</v>
      </c>
      <c r="W155">
        <f>IF(OR(B155="",IF('Исходные данные'!$B$69="",'Исходные данные'!$B$10,'Исходные данные'!$B$69)="",C155&lt;IF('Исходные данные'!$B$69="",'Исходные данные'!$B$10,'Исходные данные'!$B$69)),0,-N('Исходные данные'!$B$16)*N('Исходные данные'!$B$68)*N('Исходные данные'!$B$67)/12*IF(AND(B155&lt;=IF('Исходные данные'!$B$69="",'Исходные данные'!$B$10,'Исходные данные'!$B$69),C155&gt;=IF('Исходные данные'!$B$69="",'Исходные данные'!$B$10,'Исходные данные'!$B$69)),(C155-IF('Исходные данные'!$B$69="",'Исходные данные'!$B$10,'Исходные данные'!$B$69)+1)/DAY(C155),1))</f>
        <v>0</v>
      </c>
      <c r="X155">
        <f>IF(OR(B155="",IF('Исходные данные'!$B$76="",'Исходные данные'!$B$10,'Исходные данные'!$B$76)="",C155&lt;IF('Исходные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данные'!$B$76)),1),B155,"m")/12))*IF(AND(B155&lt;=IF('Исходные данные'!$B$76="",'Исходные данные'!$B$10,'Исходные данные'!$B$76),C155&gt;=IF('Исходные данные'!$B$76="",'Исходные данные'!$B$10,'Исходные данные'!$B$76)),(C155-IF('Исходные данные'!$B$76="",'Исходные данные'!$B$10,'Исходные данные'!$B$76)+1)/DAY(C155),1))</f>
        <v>0</v>
      </c>
      <c r="Y155">
        <f t="shared" si="86"/>
        <v>0</v>
      </c>
      <c r="Z155">
        <f>IF(OR(B155="",N('Исходные данные'!$B$19)=0),0,-SUMIFS('Исходные данные'!$I$6:$I$186,'Исходные данные'!$F$6:$F$186,B155)*N('Исходные данные'!$B$17)/N('Исходные данные'!$B$19))</f>
        <v>0</v>
      </c>
      <c r="AA155">
        <f>IF(OR(B155="",N('Исходные данные'!$B$19)=0),0,-SUMIFS('Исходные данные'!$I$6:$I$186,'Исходные данные'!$F$6:$F$186,B155)*N('Исходные данные'!$B$18)/N('Исходные данные'!$B$19))</f>
        <v>0</v>
      </c>
      <c r="AB155">
        <f>IF(OR(B155="",'Исходные данные'!$B$13=""),0,IF(AND(YEAR(B155)=YEAR('Исходные данные'!$B$13),MONTH(B155)=MONTH('Исходные данные'!$B$13)),-N('Исходные данные'!$B$11),0))</f>
        <v>0</v>
      </c>
      <c r="AC155">
        <f>IF(A155=1,-N('Исходные данные'!$B$19)*N('Исходные данные'!$B$72),0)</f>
        <v>0</v>
      </c>
      <c r="AD155">
        <f>IF(OR(B155="",'Исходные данные'!$B$22&lt;&gt;"Да",'Исходные данные'!$B$26=""),0,IF(AND(YEAR(B155)=YEAR('Исходные данные'!$B$26),MONTH(B155)=MONTH('Исходные данные'!$B$26)),N('Исходные данные'!$B$23),0))</f>
        <v>0</v>
      </c>
      <c r="AE155">
        <f t="shared" si="99"/>
        <v>0</v>
      </c>
      <c r="AF155">
        <f>IF(OR('Исходные данные'!$B$22&lt;&gt;"Да",'Исходные данные'!$B$26="",C155&lt;'Исходные данные'!$B$26),0,DATEDIF(DATE(YEAR('Исходные данные'!$B$26),MONTH('Исходные данные'!$B$26),1),B155,"m")+1)</f>
        <v>0</v>
      </c>
      <c r="AG155">
        <f>IF(OR(AF155&lt;1,AF155&gt;N('Исходные данные'!$B$25),AE155+AD155&lt;=0),0,-(AE155+AD155)*N('Исходные данные'!$B$24)*IF(AF155=1,C155-'Исходные данные'!$B$26+1,DAY(C155))/365)</f>
        <v>0</v>
      </c>
      <c r="AH155">
        <f>IF(OR(AF155&lt;1,AF155&gt;N('Исходные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данные'!$B$25)-AG155))</f>
        <v>0</v>
      </c>
      <c r="AI155">
        <f>IF(OR('Исходные данные'!$B$22&lt;&gt;"Да",AE155+AD155&lt;=0),0,IF(AND('Исходные данные'!$B$91&lt;&gt;"",B155&lt;&gt;"",YEAR(B155)=YEAR('Исходные данные'!$B$91),MONTH(B155)=MONTH('Исходные данные'!$B$91)),-(AE155+AD155),IF(OR(AF155&lt;1,AF155&gt;N('Исходные данные'!$B$25)),0,IF('Исходные данные'!$B$27="Равными долями",-MIN(AE155+AD155,N('Исходные данные'!$B$23)/N('Исходные данные'!$B$25)),-MIN(AE155+AD155,IF(AF155=N('Исходные данные'!$B$25),AE155+AD155,MAX(0,AH155+AG155)))))))</f>
        <v>0</v>
      </c>
      <c r="AJ155">
        <f t="shared" si="87"/>
        <v>0</v>
      </c>
      <c r="AK155">
        <f t="shared" si="88"/>
        <v>0</v>
      </c>
      <c r="AL155">
        <f>IF(OR(B155="",'Исходные данные'!$B$51&lt;&gt;"Да",'Исходные данные'!$B$61=""),0,IF(AND(YEAR(B155)=YEAR('Исходные данные'!$B$61),MONTH(B155)=MONTH('Исходные данные'!$B$61)),N('Исходные данные'!$B$18)*N('Исходные данные'!$B$62),0))</f>
        <v>0</v>
      </c>
      <c r="AM155">
        <f t="shared" si="100"/>
        <v>0</v>
      </c>
      <c r="AN155">
        <f t="shared" si="89"/>
        <v>0</v>
      </c>
      <c r="AO155">
        <f t="shared" si="90"/>
        <v>0</v>
      </c>
      <c r="AP155">
        <f>IF('Исходные данные'!$B$51="Да",-MAX(0,AN155-AO155-AM155),0)</f>
        <v>0</v>
      </c>
      <c r="AQ155">
        <f>IF('Исходные данные'!$B$51="Да",MAX(0,AM155+AO155-AN155),0)</f>
        <v>0</v>
      </c>
      <c r="AR155">
        <f>IF('Исходные данные'!$B$53="Выручка",MAX(0,L155+(Q155-R155)+(U155-V155)),IF('Исходные данные'!$B$53="Прибыль до налога",MAX(0,L155+(Q155-R155)+(U155-V155)+N('Исходные данные'!$B$54)*((O155+P155)+(S155+T155)+W155+X155)+IF('Исходные данные'!$B$55="Да",AG155,0)-N('Исходные данные'!$B$56)/12),IF('Исходные данные'!$B$53="Пользовательская база",MAX(0,N('Исходные данные'!$B$57)/12),0)))</f>
        <v>0</v>
      </c>
      <c r="AS155">
        <f>IF(E155=1,-AR155*N('Исходные данные'!$B$50),0)</f>
        <v>0</v>
      </c>
      <c r="AT155">
        <f t="shared" si="91"/>
        <v>0</v>
      </c>
      <c r="AU155">
        <f>IF(OR(B155="",N('Исходные данные'!$B$80)&lt;=0,'Исходные данные'!$B$88=""),0,MAX(0,IF('Исходные данные'!$B$88="Последние 12 месяцев",SUMIFS($Y$2:$Y$194,$B$2:$B$194,"&gt;="&amp;EDATE(B155,-11),$B$2:$B$194,"&lt;="&amp;B155),IF('Исходные данные'!$B$88="Пользовательский NOI",N('Исходные данные'!$B$89),AT155))/N('Исходные данные'!$B$80)*(1+N('Исходные данные'!$B$81))))</f>
        <v>0</v>
      </c>
      <c r="AV155">
        <f>IF(OR(E155&lt;&gt;1,B155="",'Исходные данные'!$B$91=""),0,IF(AND(YEAR(B155)=YEAR('Исходные данные'!$B$91),MONTH(B155)=MONTH('Исходные данные'!$B$91)),AU155,0))</f>
        <v>0</v>
      </c>
      <c r="AW155">
        <f>-AV155*N('Исходные данные'!$B$73)</f>
        <v>0</v>
      </c>
      <c r="AX155">
        <f>IF(AV155=0,0,-N('Исходные данные'!$B$87)-IF('Исходные данные'!$B$82="Да",IF('Исходные данные'!$B$84="С выручки",AV155,IF('Исходные данные'!$B$84="С прибыли",MAX(0,AV155+AW155-IF('Исходные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55">
        <f t="shared" si="92"/>
        <v>0</v>
      </c>
      <c r="AZ155">
        <f t="shared" si="93"/>
        <v>0</v>
      </c>
      <c r="BA155">
        <f t="shared" si="94"/>
        <v>0</v>
      </c>
      <c r="BB155" t="str">
        <f t="shared" si="101"/>
        <v/>
      </c>
      <c r="BC155">
        <f>IF(OR(E155=0,'Исходные данные'!$B$9="",'Исходные данные'!$B$90=""),0,BA155/(1+'Исходные данные'!$B$90)^((D155-'Исходные данные'!$B$9)/365))</f>
        <v>0</v>
      </c>
      <c r="BD155">
        <f>IF(AND(E155=1,BB155&gt;=0,BB154&lt;0,MIN($BB$2:BB155)&lt;0),1,0)</f>
        <v>0</v>
      </c>
      <c r="BE155">
        <f t="shared" si="95"/>
        <v>0</v>
      </c>
      <c r="BF155">
        <f t="shared" si="96"/>
        <v>0</v>
      </c>
      <c r="BG155">
        <f t="shared" si="97"/>
        <v>0</v>
      </c>
      <c r="BH155">
        <f t="shared" si="98"/>
        <v>1</v>
      </c>
      <c r="BI155">
        <f>AZ155+N155+AP155-AR155*N('Исходные данные'!$B$50)</f>
        <v>0</v>
      </c>
      <c r="BJ155">
        <f t="shared" si="102"/>
        <v>0</v>
      </c>
      <c r="BK155">
        <f>IF(AND(BJ155&gt;=0,BJ154&lt;0,MIN($BJ$2:BJ155)&lt;0),1,0)</f>
        <v>0</v>
      </c>
    </row>
    <row r="156" spans="1:63" x14ac:dyDescent="0.2">
      <c r="A156">
        <v>155</v>
      </c>
      <c r="B156" t="str">
        <f>IF('Исходные данные'!$B$9="","",EDATE(DATE(YEAR('Исходные данные'!$B$9),MONTH('Исходные данные'!$B$9),1),A156-1))</f>
        <v/>
      </c>
      <c r="C156" t="str">
        <f t="shared" si="82"/>
        <v/>
      </c>
      <c r="D156" t="str">
        <f>IF(B156="","",IF('Исходные данные'!$B$91&lt;&gt;"",IF(AND(YEAR(B156)=YEAR('Исходные данные'!$B$91),MONTH(B156)=MONTH('Исходные данные'!$B$91)),'Исходные данные'!$B$91,IF('Исходные данные'!$B$13&lt;&gt;"",IF(AND(YEAR(B156)=YEAR('Исходные данные'!$B$13),MONTH(B156)=MONTH('Исходные данные'!$B$13)),'Исходные данные'!$B$13,IF('Исходные данные'!$B$26&lt;&gt;"",IF(AND(YEAR(B156)=YEAR('Исходные данные'!$B$26),MONTH(B156)=MONTH('Исходные данные'!$B$26)),'Исходные данные'!$B$26,IF(A156=1,'Исходные данные'!$B$9,C156)),IF(A156=1,'Исходные данные'!$B$9,C156))),IF('Исходные данные'!$B$26&lt;&gt;"",IF(AND(YEAR(B156)=YEAR('Исходные данные'!$B$26),MONTH(B156)=MONTH('Исходные данные'!$B$26)),'Исходные данные'!$B$26,IF(A156=1,'Исходные данные'!$B$9,C156)),IF(A156=1,'Исходные данные'!$B$9,C156)))),IF('Исходные данные'!$B$13&lt;&gt;"",IF(AND(YEAR(B156)=YEAR('Исходные данные'!$B$13),MONTH(B156)=MONTH('Исходные данные'!$B$13)),'Исходные данные'!$B$13,IF('Исходные данные'!$B$26&lt;&gt;"",IF(AND(YEAR(B156)=YEAR('Исходные данные'!$B$26),MONTH(B156)=MONTH('Исходные данные'!$B$26)),'Исходные данные'!$B$26,IF(A156=1,'Исходные данные'!$B$9,C156)),IF(A156=1,'Исходные данные'!$B$9,C156))),IF('Исходные данные'!$B$26&lt;&gt;"",IF(AND(YEAR(B156)=YEAR('Исходные данные'!$B$26),MONTH(B156)=MONTH('Исходные данные'!$B$26)),'Исходные данные'!$B$26,IF(A156=1,'Исходные данные'!$B$9,C156)),IF(A156=1,'Исходные данные'!$B$9,C156)))))</f>
        <v/>
      </c>
      <c r="E156">
        <f>IF(OR(B156="",'Исходные данные'!$B$91=""),0,--(B156&lt;=DATE(YEAR('Исходные данные'!$B$91),MONTH('Исходные данные'!$B$91),1)))</f>
        <v>0</v>
      </c>
      <c r="F156">
        <f>IF(OR(B156="",'Исходные данные'!$B$30="",C156&lt;'Исходные данные'!$B$30),0,DATEDIF(DATE(YEAR('Исходные данные'!$B$30),MONTH('Исходные данные'!$B$30),1),B156,"m")+1)</f>
        <v>0</v>
      </c>
      <c r="G156">
        <f t="shared" si="83"/>
        <v>0</v>
      </c>
      <c r="H156">
        <f>IF(F156=0,0,IF(G156=1,N('Исходные данные'!$B$31),IF(G156=2,N('Исходные данные'!$B$32),IF(G156=3,N('Исходные данные'!$B$33),N('Исходные данные'!$B$33)*(1+N('Исходные данные'!$B$34))^(G156-3)))))</f>
        <v>0</v>
      </c>
      <c r="I156">
        <f>IF(OR(F156=0,N('Исходные данные'!$B$5)=0,H156=0),0,'Исходные данные'!$B$5*H156*IF(AND(B156&lt;='Исходные данные'!$B$30,C156&gt;='Исходные данные'!$B$30),(C156-'Исходные данные'!$B$30+1)/DAY(C156),1))</f>
        <v>0</v>
      </c>
      <c r="J156">
        <f>IF(AND(F156&gt;0,F156&lt;=N('Исходные данные'!$B$37)),-I156,0)</f>
        <v>0</v>
      </c>
      <c r="K156">
        <f>IF(OR(F156=0,F156&lt;=N('Исходные данные'!$B$37)),0,-(I156+J156)*N('Исходные данные'!$B$38))</f>
        <v>0</v>
      </c>
      <c r="L156">
        <f t="shared" si="84"/>
        <v>0</v>
      </c>
      <c r="M156">
        <f>IF('Исходные данные'!$B$51="Да",L156*N('Исходные данные'!$B$52),0)</f>
        <v>0</v>
      </c>
      <c r="N156">
        <f t="shared" si="85"/>
        <v>0</v>
      </c>
      <c r="O156">
        <f>IF(OR(B156="",IF('Исходные данные'!$B$45="",'Исходные данные'!$B$10,'Исходные данные'!$B$45)="",C156&lt;IF('Исходные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данные'!$B$45)),1),B156,"m")/12))*IF(AND(B156&lt;=IF('Исходные данные'!$B$45="",'Исходные данные'!$B$10,'Исходные данные'!$B$45),C156&gt;=IF('Исходные данные'!$B$45="",'Исходные данные'!$B$10,'Исходные данные'!$B$45)),(C156-IF('Исходные данные'!$B$45="",'Исходные данные'!$B$10,'Исходные данные'!$B$45)+1)/DAY(C156),1)*IF('Исходные данные'!$B$43="Без НДС",1+N('Исходные данные'!$B$44),1))</f>
        <v>0</v>
      </c>
      <c r="P156">
        <f>IF('Исходные данные'!$B$51="Да",-O156*N('Исходные данные'!$B$44)/(1+N('Исходные данные'!$B$44)),0)</f>
        <v>0</v>
      </c>
      <c r="Q156">
        <f>IF('Исходные данные'!$B$35="Да",-O156,0)</f>
        <v>0</v>
      </c>
      <c r="R156">
        <f>IF(AND('Исходные данные'!$B$51="Да",Q156&gt;0),Q156*N('Исходные данные'!$B$52)/(1+N('Исходные данные'!$B$52)),0)</f>
        <v>0</v>
      </c>
      <c r="S156">
        <f>IF(OR(B156="",IF('Исходные данные'!$B$45="",'Исходные данные'!$B$10,'Исходные данные'!$B$45)="",C156&lt;IF('Исходные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данные'!$B$45)),1),B156,"m")/12))*IF(AND(B156&lt;=IF('Исходные данные'!$B$45="",'Исходные данные'!$B$10,'Исходные данные'!$B$45),C156&gt;=IF('Исходные данные'!$B$45="",'Исходные данные'!$B$10,'Исходные данные'!$B$45)),(C156-IF('Исходные данные'!$B$45="",'Исходные данные'!$B$10,'Исходные данные'!$B$45)+1)/DAY(C156),1)*IF('Исходные данные'!$B$43="Без НДС",1+N('Исходные данные'!$B$44),1))</f>
        <v>0</v>
      </c>
      <c r="T156">
        <f>IF('Исходные данные'!$B$51="Да",-S156*N('Исходные данные'!$B$44)/(1+N('Исходные данные'!$B$44)),0)</f>
        <v>0</v>
      </c>
      <c r="U156">
        <f>IF('Исходные данные'!$B$36="Да",-S156,0)</f>
        <v>0</v>
      </c>
      <c r="V156">
        <f>IF(AND('Исходные данные'!$B$51="Да",U156&gt;0),U156*N('Исходные данные'!$B$52)/(1+N('Исходные данные'!$B$52)),0)</f>
        <v>0</v>
      </c>
      <c r="W156">
        <f>IF(OR(B156="",IF('Исходные данные'!$B$69="",'Исходные данные'!$B$10,'Исходные данные'!$B$69)="",C156&lt;IF('Исходные данные'!$B$69="",'Исходные данные'!$B$10,'Исходные данные'!$B$69)),0,-N('Исходные данные'!$B$16)*N('Исходные данные'!$B$68)*N('Исходные данные'!$B$67)/12*IF(AND(B156&lt;=IF('Исходные данные'!$B$69="",'Исходные данные'!$B$10,'Исходные данные'!$B$69),C156&gt;=IF('Исходные данные'!$B$69="",'Исходные данные'!$B$10,'Исходные данные'!$B$69)),(C156-IF('Исходные данные'!$B$69="",'Исходные данные'!$B$10,'Исходные данные'!$B$69)+1)/DAY(C156),1))</f>
        <v>0</v>
      </c>
      <c r="X156">
        <f>IF(OR(B156="",IF('Исходные данные'!$B$76="",'Исходные данные'!$B$10,'Исходные данные'!$B$76)="",C156&lt;IF('Исходные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данные'!$B$76)),1),B156,"m")/12))*IF(AND(B156&lt;=IF('Исходные данные'!$B$76="",'Исходные данные'!$B$10,'Исходные данные'!$B$76),C156&gt;=IF('Исходные данные'!$B$76="",'Исходные данные'!$B$10,'Исходные данные'!$B$76)),(C156-IF('Исходные данные'!$B$76="",'Исходные данные'!$B$10,'Исходные данные'!$B$76)+1)/DAY(C156),1))</f>
        <v>0</v>
      </c>
      <c r="Y156">
        <f t="shared" si="86"/>
        <v>0</v>
      </c>
      <c r="Z156">
        <f>IF(OR(B156="",N('Исходные данные'!$B$19)=0),0,-SUMIFS('Исходные данные'!$I$6:$I$186,'Исходные данные'!$F$6:$F$186,B156)*N('Исходные данные'!$B$17)/N('Исходные данные'!$B$19))</f>
        <v>0</v>
      </c>
      <c r="AA156">
        <f>IF(OR(B156="",N('Исходные данные'!$B$19)=0),0,-SUMIFS('Исходные данные'!$I$6:$I$186,'Исходные данные'!$F$6:$F$186,B156)*N('Исходные данные'!$B$18)/N('Исходные данные'!$B$19))</f>
        <v>0</v>
      </c>
      <c r="AB156">
        <f>IF(OR(B156="",'Исходные данные'!$B$13=""),0,IF(AND(YEAR(B156)=YEAR('Исходные данные'!$B$13),MONTH(B156)=MONTH('Исходные данные'!$B$13)),-N('Исходные данные'!$B$11),0))</f>
        <v>0</v>
      </c>
      <c r="AC156">
        <f>IF(A156=1,-N('Исходные данные'!$B$19)*N('Исходные данные'!$B$72),0)</f>
        <v>0</v>
      </c>
      <c r="AD156">
        <f>IF(OR(B156="",'Исходные данные'!$B$22&lt;&gt;"Да",'Исходные данные'!$B$26=""),0,IF(AND(YEAR(B156)=YEAR('Исходные данные'!$B$26),MONTH(B156)=MONTH('Исходные данные'!$B$26)),N('Исходные данные'!$B$23),0))</f>
        <v>0</v>
      </c>
      <c r="AE156">
        <f t="shared" si="99"/>
        <v>0</v>
      </c>
      <c r="AF156">
        <f>IF(OR('Исходные данные'!$B$22&lt;&gt;"Да",'Исходные данные'!$B$26="",C156&lt;'Исходные данные'!$B$26),0,DATEDIF(DATE(YEAR('Исходные данные'!$B$26),MONTH('Исходные данные'!$B$26),1),B156,"m")+1)</f>
        <v>0</v>
      </c>
      <c r="AG156">
        <f>IF(OR(AF156&lt;1,AF156&gt;N('Исходные данные'!$B$25),AE156+AD156&lt;=0),0,-(AE156+AD156)*N('Исходные данные'!$B$24)*IF(AF156=1,C156-'Исходные данные'!$B$26+1,DAY(C156))/365)</f>
        <v>0</v>
      </c>
      <c r="AH156">
        <f>IF(OR(AF156&lt;1,AF156&gt;N('Исходные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данные'!$B$25)-AG156))</f>
        <v>0</v>
      </c>
      <c r="AI156">
        <f>IF(OR('Исходные данные'!$B$22&lt;&gt;"Да",AE156+AD156&lt;=0),0,IF(AND('Исходные данные'!$B$91&lt;&gt;"",B156&lt;&gt;"",YEAR(B156)=YEAR('Исходные данные'!$B$91),MONTH(B156)=MONTH('Исходные данные'!$B$91)),-(AE156+AD156),IF(OR(AF156&lt;1,AF156&gt;N('Исходные данные'!$B$25)),0,IF('Исходные данные'!$B$27="Равными долями",-MIN(AE156+AD156,N('Исходные данные'!$B$23)/N('Исходные данные'!$B$25)),-MIN(AE156+AD156,IF(AF156=N('Исходные данные'!$B$25),AE156+AD156,MAX(0,AH156+AG156)))))))</f>
        <v>0</v>
      </c>
      <c r="AJ156">
        <f t="shared" si="87"/>
        <v>0</v>
      </c>
      <c r="AK156">
        <f t="shared" si="88"/>
        <v>0</v>
      </c>
      <c r="AL156">
        <f>IF(OR(B156="",'Исходные данные'!$B$51&lt;&gt;"Да",'Исходные данные'!$B$61=""),0,IF(AND(YEAR(B156)=YEAR('Исходные данные'!$B$61),MONTH(B156)=MONTH('Исходные данные'!$B$61)),N('Исходные данные'!$B$18)*N('Исходные данные'!$B$62),0))</f>
        <v>0</v>
      </c>
      <c r="AM156">
        <f t="shared" si="100"/>
        <v>0</v>
      </c>
      <c r="AN156">
        <f t="shared" si="89"/>
        <v>0</v>
      </c>
      <c r="AO156">
        <f t="shared" si="90"/>
        <v>0</v>
      </c>
      <c r="AP156">
        <f>IF('Исходные данные'!$B$51="Да",-MAX(0,AN156-AO156-AM156),0)</f>
        <v>0</v>
      </c>
      <c r="AQ156">
        <f>IF('Исходные данные'!$B$51="Да",MAX(0,AM156+AO156-AN156),0)</f>
        <v>0</v>
      </c>
      <c r="AR156">
        <f>IF('Исходные данные'!$B$53="Выручка",MAX(0,L156+(Q156-R156)+(U156-V156)),IF('Исходные данные'!$B$53="Прибыль до налога",MAX(0,L156+(Q156-R156)+(U156-V156)+N('Исходные данные'!$B$54)*((O156+P156)+(S156+T156)+W156+X156)+IF('Исходные данные'!$B$55="Да",AG156,0)-N('Исходные данные'!$B$56)/12),IF('Исходные данные'!$B$53="Пользовательская база",MAX(0,N('Исходные данные'!$B$57)/12),0)))</f>
        <v>0</v>
      </c>
      <c r="AS156">
        <f>IF(E156=1,-AR156*N('Исходные данные'!$B$50),0)</f>
        <v>0</v>
      </c>
      <c r="AT156">
        <f t="shared" si="91"/>
        <v>0</v>
      </c>
      <c r="AU156">
        <f>IF(OR(B156="",N('Исходные данные'!$B$80)&lt;=0,'Исходные данные'!$B$88=""),0,MAX(0,IF('Исходные данные'!$B$88="Последние 12 месяцев",SUMIFS($Y$2:$Y$194,$B$2:$B$194,"&gt;="&amp;EDATE(B156,-11),$B$2:$B$194,"&lt;="&amp;B156),IF('Исходные данные'!$B$88="Пользовательский NOI",N('Исходные данные'!$B$89),AT156))/N('Исходные данные'!$B$80)*(1+N('Исходные данные'!$B$81))))</f>
        <v>0</v>
      </c>
      <c r="AV156">
        <f>IF(OR(E156&lt;&gt;1,B156="",'Исходные данные'!$B$91=""),0,IF(AND(YEAR(B156)=YEAR('Исходные данные'!$B$91),MONTH(B156)=MONTH('Исходные данные'!$B$91)),AU156,0))</f>
        <v>0</v>
      </c>
      <c r="AW156">
        <f>-AV156*N('Исходные данные'!$B$73)</f>
        <v>0</v>
      </c>
      <c r="AX156">
        <f>IF(AV156=0,0,-N('Исходные данные'!$B$87)-IF('Исходные данные'!$B$82="Да",IF('Исходные данные'!$B$84="С выручки",AV156,IF('Исходные данные'!$B$84="С прибыли",MAX(0,AV156+AW156-IF('Исходные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56">
        <f t="shared" si="92"/>
        <v>0</v>
      </c>
      <c r="AZ156">
        <f t="shared" si="93"/>
        <v>0</v>
      </c>
      <c r="BA156">
        <f t="shared" si="94"/>
        <v>0</v>
      </c>
      <c r="BB156" t="str">
        <f t="shared" si="101"/>
        <v/>
      </c>
      <c r="BC156">
        <f>IF(OR(E156=0,'Исходные данные'!$B$9="",'Исходные данные'!$B$90=""),0,BA156/(1+'Исходные данные'!$B$90)^((D156-'Исходные данные'!$B$9)/365))</f>
        <v>0</v>
      </c>
      <c r="BD156">
        <f>IF(AND(E156=1,BB156&gt;=0,BB155&lt;0,MIN($BB$2:BB156)&lt;0),1,0)</f>
        <v>0</v>
      </c>
      <c r="BE156">
        <f t="shared" si="95"/>
        <v>0</v>
      </c>
      <c r="BF156">
        <f t="shared" si="96"/>
        <v>0</v>
      </c>
      <c r="BG156">
        <f t="shared" si="97"/>
        <v>0</v>
      </c>
      <c r="BH156">
        <f t="shared" si="98"/>
        <v>1</v>
      </c>
      <c r="BI156">
        <f>AZ156+N156+AP156-AR156*N('Исходные данные'!$B$50)</f>
        <v>0</v>
      </c>
      <c r="BJ156">
        <f t="shared" si="102"/>
        <v>0</v>
      </c>
      <c r="BK156">
        <f>IF(AND(BJ156&gt;=0,BJ155&lt;0,MIN($BJ$2:BJ156)&lt;0),1,0)</f>
        <v>0</v>
      </c>
    </row>
    <row r="157" spans="1:63" x14ac:dyDescent="0.2">
      <c r="A157">
        <v>156</v>
      </c>
      <c r="B157" t="str">
        <f>IF('Исходные данные'!$B$9="","",EDATE(DATE(YEAR('Исходные данные'!$B$9),MONTH('Исходные данные'!$B$9),1),A157-1))</f>
        <v/>
      </c>
      <c r="C157" t="str">
        <f t="shared" si="82"/>
        <v/>
      </c>
      <c r="D157" t="str">
        <f>IF(B157="","",IF('Исходные данные'!$B$91&lt;&gt;"",IF(AND(YEAR(B157)=YEAR('Исходные данные'!$B$91),MONTH(B157)=MONTH('Исходные данные'!$B$91)),'Исходные данные'!$B$91,IF('Исходные данные'!$B$13&lt;&gt;"",IF(AND(YEAR(B157)=YEAR('Исходные данные'!$B$13),MONTH(B157)=MONTH('Исходные данные'!$B$13)),'Исходные данные'!$B$13,IF('Исходные данные'!$B$26&lt;&gt;"",IF(AND(YEAR(B157)=YEAR('Исходные данные'!$B$26),MONTH(B157)=MONTH('Исходные данные'!$B$26)),'Исходные данные'!$B$26,IF(A157=1,'Исходные данные'!$B$9,C157)),IF(A157=1,'Исходные данные'!$B$9,C157))),IF('Исходные данные'!$B$26&lt;&gt;"",IF(AND(YEAR(B157)=YEAR('Исходные данные'!$B$26),MONTH(B157)=MONTH('Исходные данные'!$B$26)),'Исходные данные'!$B$26,IF(A157=1,'Исходные данные'!$B$9,C157)),IF(A157=1,'Исходные данные'!$B$9,C157)))),IF('Исходные данные'!$B$13&lt;&gt;"",IF(AND(YEAR(B157)=YEAR('Исходные данные'!$B$13),MONTH(B157)=MONTH('Исходные данные'!$B$13)),'Исходные данные'!$B$13,IF('Исходные данные'!$B$26&lt;&gt;"",IF(AND(YEAR(B157)=YEAR('Исходные данные'!$B$26),MONTH(B157)=MONTH('Исходные данные'!$B$26)),'Исходные данные'!$B$26,IF(A157=1,'Исходные данные'!$B$9,C157)),IF(A157=1,'Исходные данные'!$B$9,C157))),IF('Исходные данные'!$B$26&lt;&gt;"",IF(AND(YEAR(B157)=YEAR('Исходные данные'!$B$26),MONTH(B157)=MONTH('Исходные данные'!$B$26)),'Исходные данные'!$B$26,IF(A157=1,'Исходные данные'!$B$9,C157)),IF(A157=1,'Исходные данные'!$B$9,C157)))))</f>
        <v/>
      </c>
      <c r="E157">
        <f>IF(OR(B157="",'Исходные данные'!$B$91=""),0,--(B157&lt;=DATE(YEAR('Исходные данные'!$B$91),MONTH('Исходные данные'!$B$91),1)))</f>
        <v>0</v>
      </c>
      <c r="F157">
        <f>IF(OR(B157="",'Исходные данные'!$B$30="",C157&lt;'Исходные данные'!$B$30),0,DATEDIF(DATE(YEAR('Исходные данные'!$B$30),MONTH('Исходные данные'!$B$30),1),B157,"m")+1)</f>
        <v>0</v>
      </c>
      <c r="G157">
        <f t="shared" si="83"/>
        <v>0</v>
      </c>
      <c r="H157">
        <f>IF(F157=0,0,IF(G157=1,N('Исходные данные'!$B$31),IF(G157=2,N('Исходные данные'!$B$32),IF(G157=3,N('Исходные данные'!$B$33),N('Исходные данные'!$B$33)*(1+N('Исходные данные'!$B$34))^(G157-3)))))</f>
        <v>0</v>
      </c>
      <c r="I157">
        <f>IF(OR(F157=0,N('Исходные данные'!$B$5)=0,H157=0),0,'Исходные данные'!$B$5*H157*IF(AND(B157&lt;='Исходные данные'!$B$30,C157&gt;='Исходные данные'!$B$30),(C157-'Исходные данные'!$B$30+1)/DAY(C157),1))</f>
        <v>0</v>
      </c>
      <c r="J157">
        <f>IF(AND(F157&gt;0,F157&lt;=N('Исходные данные'!$B$37)),-I157,0)</f>
        <v>0</v>
      </c>
      <c r="K157">
        <f>IF(OR(F157=0,F157&lt;=N('Исходные данные'!$B$37)),0,-(I157+J157)*N('Исходные данные'!$B$38))</f>
        <v>0</v>
      </c>
      <c r="L157">
        <f t="shared" si="84"/>
        <v>0</v>
      </c>
      <c r="M157">
        <f>IF('Исходные данные'!$B$51="Да",L157*N('Исходные данные'!$B$52),0)</f>
        <v>0</v>
      </c>
      <c r="N157">
        <f t="shared" si="85"/>
        <v>0</v>
      </c>
      <c r="O157">
        <f>IF(OR(B157="",IF('Исходные данные'!$B$45="",'Исходные данные'!$B$10,'Исходные данные'!$B$45)="",C157&lt;IF('Исходные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данные'!$B$45)),1),B157,"m")/12))*IF(AND(B157&lt;=IF('Исходные данные'!$B$45="",'Исходные данные'!$B$10,'Исходные данные'!$B$45),C157&gt;=IF('Исходные данные'!$B$45="",'Исходные данные'!$B$10,'Исходные данные'!$B$45)),(C157-IF('Исходные данные'!$B$45="",'Исходные данные'!$B$10,'Исходные данные'!$B$45)+1)/DAY(C157),1)*IF('Исходные данные'!$B$43="Без НДС",1+N('Исходные данные'!$B$44),1))</f>
        <v>0</v>
      </c>
      <c r="P157">
        <f>IF('Исходные данные'!$B$51="Да",-O157*N('Исходные данные'!$B$44)/(1+N('Исходные данные'!$B$44)),0)</f>
        <v>0</v>
      </c>
      <c r="Q157">
        <f>IF('Исходные данные'!$B$35="Да",-O157,0)</f>
        <v>0</v>
      </c>
      <c r="R157">
        <f>IF(AND('Исходные данные'!$B$51="Да",Q157&gt;0),Q157*N('Исходные данные'!$B$52)/(1+N('Исходные данные'!$B$52)),0)</f>
        <v>0</v>
      </c>
      <c r="S157">
        <f>IF(OR(B157="",IF('Исходные данные'!$B$45="",'Исходные данные'!$B$10,'Исходные данные'!$B$45)="",C157&lt;IF('Исходные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данные'!$B$45)),1),B157,"m")/12))*IF(AND(B157&lt;=IF('Исходные данные'!$B$45="",'Исходные данные'!$B$10,'Исходные данные'!$B$45),C157&gt;=IF('Исходные данные'!$B$45="",'Исходные данные'!$B$10,'Исходные данные'!$B$45)),(C157-IF('Исходные данные'!$B$45="",'Исходные данные'!$B$10,'Исходные данные'!$B$45)+1)/DAY(C157),1)*IF('Исходные данные'!$B$43="Без НДС",1+N('Исходные данные'!$B$44),1))</f>
        <v>0</v>
      </c>
      <c r="T157">
        <f>IF('Исходные данные'!$B$51="Да",-S157*N('Исходные данные'!$B$44)/(1+N('Исходные данные'!$B$44)),0)</f>
        <v>0</v>
      </c>
      <c r="U157">
        <f>IF('Исходные данные'!$B$36="Да",-S157,0)</f>
        <v>0</v>
      </c>
      <c r="V157">
        <f>IF(AND('Исходные данные'!$B$51="Да",U157&gt;0),U157*N('Исходные данные'!$B$52)/(1+N('Исходные данные'!$B$52)),0)</f>
        <v>0</v>
      </c>
      <c r="W157">
        <f>IF(OR(B157="",IF('Исходные данные'!$B$69="",'Исходные данные'!$B$10,'Исходные данные'!$B$69)="",C157&lt;IF('Исходные данные'!$B$69="",'Исходные данные'!$B$10,'Исходные данные'!$B$69)),0,-N('Исходные данные'!$B$16)*N('Исходные данные'!$B$68)*N('Исходные данные'!$B$67)/12*IF(AND(B157&lt;=IF('Исходные данные'!$B$69="",'Исходные данные'!$B$10,'Исходные данные'!$B$69),C157&gt;=IF('Исходные данные'!$B$69="",'Исходные данные'!$B$10,'Исходные данные'!$B$69)),(C157-IF('Исходные данные'!$B$69="",'Исходные данные'!$B$10,'Исходные данные'!$B$69)+1)/DAY(C157),1))</f>
        <v>0</v>
      </c>
      <c r="X157">
        <f>IF(OR(B157="",IF('Исходные данные'!$B$76="",'Исходные данные'!$B$10,'Исходные данные'!$B$76)="",C157&lt;IF('Исходные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данные'!$B$76)),1),B157,"m")/12))*IF(AND(B157&lt;=IF('Исходные данные'!$B$76="",'Исходные данные'!$B$10,'Исходные данные'!$B$76),C157&gt;=IF('Исходные данные'!$B$76="",'Исходные данные'!$B$10,'Исходные данные'!$B$76)),(C157-IF('Исходные данные'!$B$76="",'Исходные данные'!$B$10,'Исходные данные'!$B$76)+1)/DAY(C157),1))</f>
        <v>0</v>
      </c>
      <c r="Y157">
        <f t="shared" si="86"/>
        <v>0</v>
      </c>
      <c r="Z157">
        <f>IF(OR(B157="",N('Исходные данные'!$B$19)=0),0,-SUMIFS('Исходные данные'!$I$6:$I$186,'Исходные данные'!$F$6:$F$186,B157)*N('Исходные данные'!$B$17)/N('Исходные данные'!$B$19))</f>
        <v>0</v>
      </c>
      <c r="AA157">
        <f>IF(OR(B157="",N('Исходные данные'!$B$19)=0),0,-SUMIFS('Исходные данные'!$I$6:$I$186,'Исходные данные'!$F$6:$F$186,B157)*N('Исходные данные'!$B$18)/N('Исходные данные'!$B$19))</f>
        <v>0</v>
      </c>
      <c r="AB157">
        <f>IF(OR(B157="",'Исходные данные'!$B$13=""),0,IF(AND(YEAR(B157)=YEAR('Исходные данные'!$B$13),MONTH(B157)=MONTH('Исходные данные'!$B$13)),-N('Исходные данные'!$B$11),0))</f>
        <v>0</v>
      </c>
      <c r="AC157">
        <f>IF(A157=1,-N('Исходные данные'!$B$19)*N('Исходные данные'!$B$72),0)</f>
        <v>0</v>
      </c>
      <c r="AD157">
        <f>IF(OR(B157="",'Исходные данные'!$B$22&lt;&gt;"Да",'Исходные данные'!$B$26=""),0,IF(AND(YEAR(B157)=YEAR('Исходные данные'!$B$26),MONTH(B157)=MONTH('Исходные данные'!$B$26)),N('Исходные данные'!$B$23),0))</f>
        <v>0</v>
      </c>
      <c r="AE157">
        <f t="shared" si="99"/>
        <v>0</v>
      </c>
      <c r="AF157">
        <f>IF(OR('Исходные данные'!$B$22&lt;&gt;"Да",'Исходные данные'!$B$26="",C157&lt;'Исходные данные'!$B$26),0,DATEDIF(DATE(YEAR('Исходные данные'!$B$26),MONTH('Исходные данные'!$B$26),1),B157,"m")+1)</f>
        <v>0</v>
      </c>
      <c r="AG157">
        <f>IF(OR(AF157&lt;1,AF157&gt;N('Исходные данные'!$B$25),AE157+AD157&lt;=0),0,-(AE157+AD157)*N('Исходные данные'!$B$24)*IF(AF157=1,C157-'Исходные данные'!$B$26+1,DAY(C157))/365)</f>
        <v>0</v>
      </c>
      <c r="AH157">
        <f>IF(OR(AF157&lt;1,AF157&gt;N('Исходные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данные'!$B$25)-AG157))</f>
        <v>0</v>
      </c>
      <c r="AI157">
        <f>IF(OR('Исходные данные'!$B$22&lt;&gt;"Да",AE157+AD157&lt;=0),0,IF(AND('Исходные данные'!$B$91&lt;&gt;"",B157&lt;&gt;"",YEAR(B157)=YEAR('Исходные данные'!$B$91),MONTH(B157)=MONTH('Исходные данные'!$B$91)),-(AE157+AD157),IF(OR(AF157&lt;1,AF157&gt;N('Исходные данные'!$B$25)),0,IF('Исходные данные'!$B$27="Равными долями",-MIN(AE157+AD157,N('Исходные данные'!$B$23)/N('Исходные данные'!$B$25)),-MIN(AE157+AD157,IF(AF157=N('Исходные данные'!$B$25),AE157+AD157,MAX(0,AH157+AG157)))))))</f>
        <v>0</v>
      </c>
      <c r="AJ157">
        <f t="shared" si="87"/>
        <v>0</v>
      </c>
      <c r="AK157">
        <f t="shared" si="88"/>
        <v>0</v>
      </c>
      <c r="AL157">
        <f>IF(OR(B157="",'Исходные данные'!$B$51&lt;&gt;"Да",'Исходные данные'!$B$61=""),0,IF(AND(YEAR(B157)=YEAR('Исходные данные'!$B$61),MONTH(B157)=MONTH('Исходные данные'!$B$61)),N('Исходные данные'!$B$18)*N('Исходные данные'!$B$62),0))</f>
        <v>0</v>
      </c>
      <c r="AM157">
        <f t="shared" si="100"/>
        <v>0</v>
      </c>
      <c r="AN157">
        <f t="shared" si="89"/>
        <v>0</v>
      </c>
      <c r="AO157">
        <f t="shared" si="90"/>
        <v>0</v>
      </c>
      <c r="AP157">
        <f>IF('Исходные данные'!$B$51="Да",-MAX(0,AN157-AO157-AM157),0)</f>
        <v>0</v>
      </c>
      <c r="AQ157">
        <f>IF('Исходные данные'!$B$51="Да",MAX(0,AM157+AO157-AN157),0)</f>
        <v>0</v>
      </c>
      <c r="AR157">
        <f>IF('Исходные данные'!$B$53="Выручка",MAX(0,L157+(Q157-R157)+(U157-V157)),IF('Исходные данные'!$B$53="Прибыль до налога",MAX(0,L157+(Q157-R157)+(U157-V157)+N('Исходные данные'!$B$54)*((O157+P157)+(S157+T157)+W157+X157)+IF('Исходные данные'!$B$55="Да",AG157,0)-N('Исходные данные'!$B$56)/12),IF('Исходные данные'!$B$53="Пользовательская база",MAX(0,N('Исходные данные'!$B$57)/12),0)))</f>
        <v>0</v>
      </c>
      <c r="AS157">
        <f>IF(E157=1,-AR157*N('Исходные данные'!$B$50),0)</f>
        <v>0</v>
      </c>
      <c r="AT157">
        <f t="shared" si="91"/>
        <v>0</v>
      </c>
      <c r="AU157">
        <f>IF(OR(B157="",N('Исходные данные'!$B$80)&lt;=0,'Исходные данные'!$B$88=""),0,MAX(0,IF('Исходные данные'!$B$88="Последние 12 месяцев",SUMIFS($Y$2:$Y$194,$B$2:$B$194,"&gt;="&amp;EDATE(B157,-11),$B$2:$B$194,"&lt;="&amp;B157),IF('Исходные данные'!$B$88="Пользовательский NOI",N('Исходные данные'!$B$89),AT157))/N('Исходные данные'!$B$80)*(1+N('Исходные данные'!$B$81))))</f>
        <v>0</v>
      </c>
      <c r="AV157">
        <f>IF(OR(E157&lt;&gt;1,B157="",'Исходные данные'!$B$91=""),0,IF(AND(YEAR(B157)=YEAR('Исходные данные'!$B$91),MONTH(B157)=MONTH('Исходные данные'!$B$91)),AU157,0))</f>
        <v>0</v>
      </c>
      <c r="AW157">
        <f>-AV157*N('Исходные данные'!$B$73)</f>
        <v>0</v>
      </c>
      <c r="AX157">
        <f>IF(AV157=0,0,-N('Исходные данные'!$B$87)-IF('Исходные данные'!$B$82="Да",IF('Исходные данные'!$B$84="С выручки",AV157,IF('Исходные данные'!$B$84="С прибыли",MAX(0,AV157+AW157-IF('Исходные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57">
        <f t="shared" si="92"/>
        <v>0</v>
      </c>
      <c r="AZ157">
        <f t="shared" si="93"/>
        <v>0</v>
      </c>
      <c r="BA157">
        <f t="shared" si="94"/>
        <v>0</v>
      </c>
      <c r="BB157" t="str">
        <f t="shared" si="101"/>
        <v/>
      </c>
      <c r="BC157">
        <f>IF(OR(E157=0,'Исходные данные'!$B$9="",'Исходные данные'!$B$90=""),0,BA157/(1+'Исходные данные'!$B$90)^((D157-'Исходные данные'!$B$9)/365))</f>
        <v>0</v>
      </c>
      <c r="BD157">
        <f>IF(AND(E157=1,BB157&gt;=0,BB156&lt;0,MIN($BB$2:BB157)&lt;0),1,0)</f>
        <v>0</v>
      </c>
      <c r="BE157">
        <f t="shared" si="95"/>
        <v>0</v>
      </c>
      <c r="BF157">
        <f t="shared" si="96"/>
        <v>0</v>
      </c>
      <c r="BG157">
        <f t="shared" si="97"/>
        <v>0</v>
      </c>
      <c r="BH157">
        <f t="shared" si="98"/>
        <v>1</v>
      </c>
      <c r="BI157">
        <f>AZ157+N157+AP157-AR157*N('Исходные данные'!$B$50)</f>
        <v>0</v>
      </c>
      <c r="BJ157">
        <f t="shared" si="102"/>
        <v>0</v>
      </c>
      <c r="BK157">
        <f>IF(AND(BJ157&gt;=0,BJ156&lt;0,MIN($BJ$2:BJ157)&lt;0),1,0)</f>
        <v>0</v>
      </c>
    </row>
    <row r="158" spans="1:63" x14ac:dyDescent="0.2">
      <c r="A158">
        <v>157</v>
      </c>
      <c r="B158" t="str">
        <f>IF('Исходные данные'!$B$9="","",EDATE(DATE(YEAR('Исходные данные'!$B$9),MONTH('Исходные данные'!$B$9),1),A158-1))</f>
        <v/>
      </c>
      <c r="C158" t="str">
        <f t="shared" si="82"/>
        <v/>
      </c>
      <c r="D158" t="str">
        <f>IF(B158="","",IF('Исходные данные'!$B$91&lt;&gt;"",IF(AND(YEAR(B158)=YEAR('Исходные данные'!$B$91),MONTH(B158)=MONTH('Исходные данные'!$B$91)),'Исходные данные'!$B$91,IF('Исходные данные'!$B$13&lt;&gt;"",IF(AND(YEAR(B158)=YEAR('Исходные данные'!$B$13),MONTH(B158)=MONTH('Исходные данные'!$B$13)),'Исходные данные'!$B$13,IF('Исходные данные'!$B$26&lt;&gt;"",IF(AND(YEAR(B158)=YEAR('Исходные данные'!$B$26),MONTH(B158)=MONTH('Исходные данные'!$B$26)),'Исходные данные'!$B$26,IF(A158=1,'Исходные данные'!$B$9,C158)),IF(A158=1,'Исходные данные'!$B$9,C158))),IF('Исходные данные'!$B$26&lt;&gt;"",IF(AND(YEAR(B158)=YEAR('Исходные данные'!$B$26),MONTH(B158)=MONTH('Исходные данные'!$B$26)),'Исходные данные'!$B$26,IF(A158=1,'Исходные данные'!$B$9,C158)),IF(A158=1,'Исходные данные'!$B$9,C158)))),IF('Исходные данные'!$B$13&lt;&gt;"",IF(AND(YEAR(B158)=YEAR('Исходные данные'!$B$13),MONTH(B158)=MONTH('Исходные данные'!$B$13)),'Исходные данные'!$B$13,IF('Исходные данные'!$B$26&lt;&gt;"",IF(AND(YEAR(B158)=YEAR('Исходные данные'!$B$26),MONTH(B158)=MONTH('Исходные данные'!$B$26)),'Исходные данные'!$B$26,IF(A158=1,'Исходные данные'!$B$9,C158)),IF(A158=1,'Исходные данные'!$B$9,C158))),IF('Исходные данные'!$B$26&lt;&gt;"",IF(AND(YEAR(B158)=YEAR('Исходные данные'!$B$26),MONTH(B158)=MONTH('Исходные данные'!$B$26)),'Исходные данные'!$B$26,IF(A158=1,'Исходные данные'!$B$9,C158)),IF(A158=1,'Исходные данные'!$B$9,C158)))))</f>
        <v/>
      </c>
      <c r="E158">
        <f>IF(OR(B158="",'Исходные данные'!$B$91=""),0,--(B158&lt;=DATE(YEAR('Исходные данные'!$B$91),MONTH('Исходные данные'!$B$91),1)))</f>
        <v>0</v>
      </c>
      <c r="F158">
        <f>IF(OR(B158="",'Исходные данные'!$B$30="",C158&lt;'Исходные данные'!$B$30),0,DATEDIF(DATE(YEAR('Исходные данные'!$B$30),MONTH('Исходные данные'!$B$30),1),B158,"m")+1)</f>
        <v>0</v>
      </c>
      <c r="G158">
        <f t="shared" si="83"/>
        <v>0</v>
      </c>
      <c r="H158">
        <f>IF(F158=0,0,IF(G158=1,N('Исходные данные'!$B$31),IF(G158=2,N('Исходные данные'!$B$32),IF(G158=3,N('Исходные данные'!$B$33),N('Исходные данные'!$B$33)*(1+N('Исходные данные'!$B$34))^(G158-3)))))</f>
        <v>0</v>
      </c>
      <c r="I158">
        <f>IF(OR(F158=0,N('Исходные данные'!$B$5)=0,H158=0),0,'Исходные данные'!$B$5*H158*IF(AND(B158&lt;='Исходные данные'!$B$30,C158&gt;='Исходные данные'!$B$30),(C158-'Исходные данные'!$B$30+1)/DAY(C158),1))</f>
        <v>0</v>
      </c>
      <c r="J158">
        <f>IF(AND(F158&gt;0,F158&lt;=N('Исходные данные'!$B$37)),-I158,0)</f>
        <v>0</v>
      </c>
      <c r="K158">
        <f>IF(OR(F158=0,F158&lt;=N('Исходные данные'!$B$37)),0,-(I158+J158)*N('Исходные данные'!$B$38))</f>
        <v>0</v>
      </c>
      <c r="L158">
        <f t="shared" si="84"/>
        <v>0</v>
      </c>
      <c r="M158">
        <f>IF('Исходные данные'!$B$51="Да",L158*N('Исходные данные'!$B$52),0)</f>
        <v>0</v>
      </c>
      <c r="N158">
        <f t="shared" si="85"/>
        <v>0</v>
      </c>
      <c r="O158">
        <f>IF(OR(B158="",IF('Исходные данные'!$B$45="",'Исходные данные'!$B$10,'Исходные данные'!$B$45)="",C158&lt;IF('Исходные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данные'!$B$45)),1),B158,"m")/12))*IF(AND(B158&lt;=IF('Исходные данные'!$B$45="",'Исходные данные'!$B$10,'Исходные данные'!$B$45),C158&gt;=IF('Исходные данные'!$B$45="",'Исходные данные'!$B$10,'Исходные данные'!$B$45)),(C158-IF('Исходные данные'!$B$45="",'Исходные данные'!$B$10,'Исходные данные'!$B$45)+1)/DAY(C158),1)*IF('Исходные данные'!$B$43="Без НДС",1+N('Исходные данные'!$B$44),1))</f>
        <v>0</v>
      </c>
      <c r="P158">
        <f>IF('Исходные данные'!$B$51="Да",-O158*N('Исходные данные'!$B$44)/(1+N('Исходные данные'!$B$44)),0)</f>
        <v>0</v>
      </c>
      <c r="Q158">
        <f>IF('Исходные данные'!$B$35="Да",-O158,0)</f>
        <v>0</v>
      </c>
      <c r="R158">
        <f>IF(AND('Исходные данные'!$B$51="Да",Q158&gt;0),Q158*N('Исходные данные'!$B$52)/(1+N('Исходные данные'!$B$52)),0)</f>
        <v>0</v>
      </c>
      <c r="S158">
        <f>IF(OR(B158="",IF('Исходные данные'!$B$45="",'Исходные данные'!$B$10,'Исходные данные'!$B$45)="",C158&lt;IF('Исходные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данные'!$B$45)),1),B158,"m")/12))*IF(AND(B158&lt;=IF('Исходные данные'!$B$45="",'Исходные данные'!$B$10,'Исходные данные'!$B$45),C158&gt;=IF('Исходные данные'!$B$45="",'Исходные данные'!$B$10,'Исходные данные'!$B$45)),(C158-IF('Исходные данные'!$B$45="",'Исходные данные'!$B$10,'Исходные данные'!$B$45)+1)/DAY(C158),1)*IF('Исходные данные'!$B$43="Без НДС",1+N('Исходные данные'!$B$44),1))</f>
        <v>0</v>
      </c>
      <c r="T158">
        <f>IF('Исходные данные'!$B$51="Да",-S158*N('Исходные данные'!$B$44)/(1+N('Исходные данные'!$B$44)),0)</f>
        <v>0</v>
      </c>
      <c r="U158">
        <f>IF('Исходные данные'!$B$36="Да",-S158,0)</f>
        <v>0</v>
      </c>
      <c r="V158">
        <f>IF(AND('Исходные данные'!$B$51="Да",U158&gt;0),U158*N('Исходные данные'!$B$52)/(1+N('Исходные данные'!$B$52)),0)</f>
        <v>0</v>
      </c>
      <c r="W158">
        <f>IF(OR(B158="",IF('Исходные данные'!$B$69="",'Исходные данные'!$B$10,'Исходные данные'!$B$69)="",C158&lt;IF('Исходные данные'!$B$69="",'Исходные данные'!$B$10,'Исходные данные'!$B$69)),0,-N('Исходные данные'!$B$16)*N('Исходные данные'!$B$68)*N('Исходные данные'!$B$67)/12*IF(AND(B158&lt;=IF('Исходные данные'!$B$69="",'Исходные данные'!$B$10,'Исходные данные'!$B$69),C158&gt;=IF('Исходные данные'!$B$69="",'Исходные данные'!$B$10,'Исходные данные'!$B$69)),(C158-IF('Исходные данные'!$B$69="",'Исходные данные'!$B$10,'Исходные данные'!$B$69)+1)/DAY(C158),1))</f>
        <v>0</v>
      </c>
      <c r="X158">
        <f>IF(OR(B158="",IF('Исходные данные'!$B$76="",'Исходные данные'!$B$10,'Исходные данные'!$B$76)="",C158&lt;IF('Исходные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данные'!$B$76)),1),B158,"m")/12))*IF(AND(B158&lt;=IF('Исходные данные'!$B$76="",'Исходные данные'!$B$10,'Исходные данные'!$B$76),C158&gt;=IF('Исходные данные'!$B$76="",'Исходные данные'!$B$10,'Исходные данные'!$B$76)),(C158-IF('Исходные данные'!$B$76="",'Исходные данные'!$B$10,'Исходные данные'!$B$76)+1)/DAY(C158),1))</f>
        <v>0</v>
      </c>
      <c r="Y158">
        <f t="shared" si="86"/>
        <v>0</v>
      </c>
      <c r="Z158">
        <f>IF(OR(B158="",N('Исходные данные'!$B$19)=0),0,-SUMIFS('Исходные данные'!$I$6:$I$186,'Исходные данные'!$F$6:$F$186,B158)*N('Исходные данные'!$B$17)/N('Исходные данные'!$B$19))</f>
        <v>0</v>
      </c>
      <c r="AA158">
        <f>IF(OR(B158="",N('Исходные данные'!$B$19)=0),0,-SUMIFS('Исходные данные'!$I$6:$I$186,'Исходные данные'!$F$6:$F$186,B158)*N('Исходные данные'!$B$18)/N('Исходные данные'!$B$19))</f>
        <v>0</v>
      </c>
      <c r="AB158">
        <f>IF(OR(B158="",'Исходные данные'!$B$13=""),0,IF(AND(YEAR(B158)=YEAR('Исходные данные'!$B$13),MONTH(B158)=MONTH('Исходные данные'!$B$13)),-N('Исходные данные'!$B$11),0))</f>
        <v>0</v>
      </c>
      <c r="AC158">
        <f>IF(A158=1,-N('Исходные данные'!$B$19)*N('Исходные данные'!$B$72),0)</f>
        <v>0</v>
      </c>
      <c r="AD158">
        <f>IF(OR(B158="",'Исходные данные'!$B$22&lt;&gt;"Да",'Исходные данные'!$B$26=""),0,IF(AND(YEAR(B158)=YEAR('Исходные данные'!$B$26),MONTH(B158)=MONTH('Исходные данные'!$B$26)),N('Исходные данные'!$B$23),0))</f>
        <v>0</v>
      </c>
      <c r="AE158">
        <f t="shared" si="99"/>
        <v>0</v>
      </c>
      <c r="AF158">
        <f>IF(OR('Исходные данные'!$B$22&lt;&gt;"Да",'Исходные данные'!$B$26="",C158&lt;'Исходные данные'!$B$26),0,DATEDIF(DATE(YEAR('Исходные данные'!$B$26),MONTH('Исходные данные'!$B$26),1),B158,"m")+1)</f>
        <v>0</v>
      </c>
      <c r="AG158">
        <f>IF(OR(AF158&lt;1,AF158&gt;N('Исходные данные'!$B$25),AE158+AD158&lt;=0),0,-(AE158+AD158)*N('Исходные данные'!$B$24)*IF(AF158=1,C158-'Исходные данные'!$B$26+1,DAY(C158))/365)</f>
        <v>0</v>
      </c>
      <c r="AH158">
        <f>IF(OR(AF158&lt;1,AF158&gt;N('Исходные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данные'!$B$25)-AG158))</f>
        <v>0</v>
      </c>
      <c r="AI158">
        <f>IF(OR('Исходные данные'!$B$22&lt;&gt;"Да",AE158+AD158&lt;=0),0,IF(AND('Исходные данные'!$B$91&lt;&gt;"",B158&lt;&gt;"",YEAR(B158)=YEAR('Исходные данные'!$B$91),MONTH(B158)=MONTH('Исходные данные'!$B$91)),-(AE158+AD158),IF(OR(AF158&lt;1,AF158&gt;N('Исходные данные'!$B$25)),0,IF('Исходные данные'!$B$27="Равными долями",-MIN(AE158+AD158,N('Исходные данные'!$B$23)/N('Исходные данные'!$B$25)),-MIN(AE158+AD158,IF(AF158=N('Исходные данные'!$B$25),AE158+AD158,MAX(0,AH158+AG158)))))))</f>
        <v>0</v>
      </c>
      <c r="AJ158">
        <f t="shared" si="87"/>
        <v>0</v>
      </c>
      <c r="AK158">
        <f t="shared" si="88"/>
        <v>0</v>
      </c>
      <c r="AL158">
        <f>IF(OR(B158="",'Исходные данные'!$B$51&lt;&gt;"Да",'Исходные данные'!$B$61=""),0,IF(AND(YEAR(B158)=YEAR('Исходные данные'!$B$61),MONTH(B158)=MONTH('Исходные данные'!$B$61)),N('Исходные данные'!$B$18)*N('Исходные данные'!$B$62),0))</f>
        <v>0</v>
      </c>
      <c r="AM158">
        <f t="shared" si="100"/>
        <v>0</v>
      </c>
      <c r="AN158">
        <f t="shared" si="89"/>
        <v>0</v>
      </c>
      <c r="AO158">
        <f t="shared" si="90"/>
        <v>0</v>
      </c>
      <c r="AP158">
        <f>IF('Исходные данные'!$B$51="Да",-MAX(0,AN158-AO158-AM158),0)</f>
        <v>0</v>
      </c>
      <c r="AQ158">
        <f>IF('Исходные данные'!$B$51="Да",MAX(0,AM158+AO158-AN158),0)</f>
        <v>0</v>
      </c>
      <c r="AR158">
        <f>IF('Исходные данные'!$B$53="Выручка",MAX(0,L158+(Q158-R158)+(U158-V158)),IF('Исходные данные'!$B$53="Прибыль до налога",MAX(0,L158+(Q158-R158)+(U158-V158)+N('Исходные данные'!$B$54)*((O158+P158)+(S158+T158)+W158+X158)+IF('Исходные данные'!$B$55="Да",AG158,0)-N('Исходные данные'!$B$56)/12),IF('Исходные данные'!$B$53="Пользовательская база",MAX(0,N('Исходные данные'!$B$57)/12),0)))</f>
        <v>0</v>
      </c>
      <c r="AS158">
        <f>IF(E158=1,-AR158*N('Исходные данные'!$B$50),0)</f>
        <v>0</v>
      </c>
      <c r="AT158">
        <f t="shared" si="91"/>
        <v>0</v>
      </c>
      <c r="AU158">
        <f>IF(OR(B158="",N('Исходные данные'!$B$80)&lt;=0,'Исходные данные'!$B$88=""),0,MAX(0,IF('Исходные данные'!$B$88="Последние 12 месяцев",SUMIFS($Y$2:$Y$194,$B$2:$B$194,"&gt;="&amp;EDATE(B158,-11),$B$2:$B$194,"&lt;="&amp;B158),IF('Исходные данные'!$B$88="Пользовательский NOI",N('Исходные данные'!$B$89),AT158))/N('Исходные данные'!$B$80)*(1+N('Исходные данные'!$B$81))))</f>
        <v>0</v>
      </c>
      <c r="AV158">
        <f>IF(OR(E158&lt;&gt;1,B158="",'Исходные данные'!$B$91=""),0,IF(AND(YEAR(B158)=YEAR('Исходные данные'!$B$91),MONTH(B158)=MONTH('Исходные данные'!$B$91)),AU158,0))</f>
        <v>0</v>
      </c>
      <c r="AW158">
        <f>-AV158*N('Исходные данные'!$B$73)</f>
        <v>0</v>
      </c>
      <c r="AX158">
        <f>IF(AV158=0,0,-N('Исходные данные'!$B$87)-IF('Исходные данные'!$B$82="Да",IF('Исходные данные'!$B$84="С выручки",AV158,IF('Исходные данные'!$B$84="С прибыли",MAX(0,AV158+AW158-IF('Исходные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58">
        <f t="shared" si="92"/>
        <v>0</v>
      </c>
      <c r="AZ158">
        <f t="shared" si="93"/>
        <v>0</v>
      </c>
      <c r="BA158">
        <f t="shared" si="94"/>
        <v>0</v>
      </c>
      <c r="BB158" t="str">
        <f t="shared" si="101"/>
        <v/>
      </c>
      <c r="BC158">
        <f>IF(OR(E158=0,'Исходные данные'!$B$9="",'Исходные данные'!$B$90=""),0,BA158/(1+'Исходные данные'!$B$90)^((D158-'Исходные данные'!$B$9)/365))</f>
        <v>0</v>
      </c>
      <c r="BD158">
        <f>IF(AND(E158=1,BB158&gt;=0,BB157&lt;0,MIN($BB$2:BB158)&lt;0),1,0)</f>
        <v>0</v>
      </c>
      <c r="BE158">
        <f t="shared" si="95"/>
        <v>0</v>
      </c>
      <c r="BF158">
        <f t="shared" si="96"/>
        <v>0</v>
      </c>
      <c r="BG158">
        <f t="shared" si="97"/>
        <v>0</v>
      </c>
      <c r="BH158">
        <f t="shared" si="98"/>
        <v>1</v>
      </c>
      <c r="BI158">
        <f>AZ158+N158+AP158-AR158*N('Исходные данные'!$B$50)</f>
        <v>0</v>
      </c>
      <c r="BJ158">
        <f t="shared" si="102"/>
        <v>0</v>
      </c>
      <c r="BK158">
        <f>IF(AND(BJ158&gt;=0,BJ157&lt;0,MIN($BJ$2:BJ158)&lt;0),1,0)</f>
        <v>0</v>
      </c>
    </row>
    <row r="159" spans="1:63" x14ac:dyDescent="0.2">
      <c r="A159">
        <v>158</v>
      </c>
      <c r="B159" t="str">
        <f>IF('Исходные данные'!$B$9="","",EDATE(DATE(YEAR('Исходные данные'!$B$9),MONTH('Исходные данные'!$B$9),1),A159-1))</f>
        <v/>
      </c>
      <c r="C159" t="str">
        <f t="shared" si="82"/>
        <v/>
      </c>
      <c r="D159" t="str">
        <f>IF(B159="","",IF('Исходные данные'!$B$91&lt;&gt;"",IF(AND(YEAR(B159)=YEAR('Исходные данные'!$B$91),MONTH(B159)=MONTH('Исходные данные'!$B$91)),'Исходные данные'!$B$91,IF('Исходные данные'!$B$13&lt;&gt;"",IF(AND(YEAR(B159)=YEAR('Исходные данные'!$B$13),MONTH(B159)=MONTH('Исходные данные'!$B$13)),'Исходные данные'!$B$13,IF('Исходные данные'!$B$26&lt;&gt;"",IF(AND(YEAR(B159)=YEAR('Исходные данные'!$B$26),MONTH(B159)=MONTH('Исходные данные'!$B$26)),'Исходные данные'!$B$26,IF(A159=1,'Исходные данные'!$B$9,C159)),IF(A159=1,'Исходные данные'!$B$9,C159))),IF('Исходные данные'!$B$26&lt;&gt;"",IF(AND(YEAR(B159)=YEAR('Исходные данные'!$B$26),MONTH(B159)=MONTH('Исходные данные'!$B$26)),'Исходные данные'!$B$26,IF(A159=1,'Исходные данные'!$B$9,C159)),IF(A159=1,'Исходные данные'!$B$9,C159)))),IF('Исходные данные'!$B$13&lt;&gt;"",IF(AND(YEAR(B159)=YEAR('Исходные данные'!$B$13),MONTH(B159)=MONTH('Исходные данные'!$B$13)),'Исходные данные'!$B$13,IF('Исходные данные'!$B$26&lt;&gt;"",IF(AND(YEAR(B159)=YEAR('Исходные данные'!$B$26),MONTH(B159)=MONTH('Исходные данные'!$B$26)),'Исходные данные'!$B$26,IF(A159=1,'Исходные данные'!$B$9,C159)),IF(A159=1,'Исходные данные'!$B$9,C159))),IF('Исходные данные'!$B$26&lt;&gt;"",IF(AND(YEAR(B159)=YEAR('Исходные данные'!$B$26),MONTH(B159)=MONTH('Исходные данные'!$B$26)),'Исходные данные'!$B$26,IF(A159=1,'Исходные данные'!$B$9,C159)),IF(A159=1,'Исходные данные'!$B$9,C159)))))</f>
        <v/>
      </c>
      <c r="E159">
        <f>IF(OR(B159="",'Исходные данные'!$B$91=""),0,--(B159&lt;=DATE(YEAR('Исходные данные'!$B$91),MONTH('Исходные данные'!$B$91),1)))</f>
        <v>0</v>
      </c>
      <c r="F159">
        <f>IF(OR(B159="",'Исходные данные'!$B$30="",C159&lt;'Исходные данные'!$B$30),0,DATEDIF(DATE(YEAR('Исходные данные'!$B$30),MONTH('Исходные данные'!$B$30),1),B159,"m")+1)</f>
        <v>0</v>
      </c>
      <c r="G159">
        <f t="shared" si="83"/>
        <v>0</v>
      </c>
      <c r="H159">
        <f>IF(F159=0,0,IF(G159=1,N('Исходные данные'!$B$31),IF(G159=2,N('Исходные данные'!$B$32),IF(G159=3,N('Исходные данные'!$B$33),N('Исходные данные'!$B$33)*(1+N('Исходные данные'!$B$34))^(G159-3)))))</f>
        <v>0</v>
      </c>
      <c r="I159">
        <f>IF(OR(F159=0,N('Исходные данные'!$B$5)=0,H159=0),0,'Исходные данные'!$B$5*H159*IF(AND(B159&lt;='Исходные данные'!$B$30,C159&gt;='Исходные данные'!$B$30),(C159-'Исходные данные'!$B$30+1)/DAY(C159),1))</f>
        <v>0</v>
      </c>
      <c r="J159">
        <f>IF(AND(F159&gt;0,F159&lt;=N('Исходные данные'!$B$37)),-I159,0)</f>
        <v>0</v>
      </c>
      <c r="K159">
        <f>IF(OR(F159=0,F159&lt;=N('Исходные данные'!$B$37)),0,-(I159+J159)*N('Исходные данные'!$B$38))</f>
        <v>0</v>
      </c>
      <c r="L159">
        <f t="shared" si="84"/>
        <v>0</v>
      </c>
      <c r="M159">
        <f>IF('Исходные данные'!$B$51="Да",L159*N('Исходные данные'!$B$52),0)</f>
        <v>0</v>
      </c>
      <c r="N159">
        <f t="shared" si="85"/>
        <v>0</v>
      </c>
      <c r="O159">
        <f>IF(OR(B159="",IF('Исходные данные'!$B$45="",'Исходные данные'!$B$10,'Исходные данные'!$B$45)="",C159&lt;IF('Исходные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данные'!$B$45)),1),B159,"m")/12))*IF(AND(B159&lt;=IF('Исходные данные'!$B$45="",'Исходные данные'!$B$10,'Исходные данные'!$B$45),C159&gt;=IF('Исходные данные'!$B$45="",'Исходные данные'!$B$10,'Исходные данные'!$B$45)),(C159-IF('Исходные данные'!$B$45="",'Исходные данные'!$B$10,'Исходные данные'!$B$45)+1)/DAY(C159),1)*IF('Исходные данные'!$B$43="Без НДС",1+N('Исходные данные'!$B$44),1))</f>
        <v>0</v>
      </c>
      <c r="P159">
        <f>IF('Исходные данные'!$B$51="Да",-O159*N('Исходные данные'!$B$44)/(1+N('Исходные данные'!$B$44)),0)</f>
        <v>0</v>
      </c>
      <c r="Q159">
        <f>IF('Исходные данные'!$B$35="Да",-O159,0)</f>
        <v>0</v>
      </c>
      <c r="R159">
        <f>IF(AND('Исходные данные'!$B$51="Да",Q159&gt;0),Q159*N('Исходные данные'!$B$52)/(1+N('Исходные данные'!$B$52)),0)</f>
        <v>0</v>
      </c>
      <c r="S159">
        <f>IF(OR(B159="",IF('Исходные данные'!$B$45="",'Исходные данные'!$B$10,'Исходные данные'!$B$45)="",C159&lt;IF('Исходные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данные'!$B$45)),1),B159,"m")/12))*IF(AND(B159&lt;=IF('Исходные данные'!$B$45="",'Исходные данные'!$B$10,'Исходные данные'!$B$45),C159&gt;=IF('Исходные данные'!$B$45="",'Исходные данные'!$B$10,'Исходные данные'!$B$45)),(C159-IF('Исходные данные'!$B$45="",'Исходные данные'!$B$10,'Исходные данные'!$B$45)+1)/DAY(C159),1)*IF('Исходные данные'!$B$43="Без НДС",1+N('Исходные данные'!$B$44),1))</f>
        <v>0</v>
      </c>
      <c r="T159">
        <f>IF('Исходные данные'!$B$51="Да",-S159*N('Исходные данные'!$B$44)/(1+N('Исходные данные'!$B$44)),0)</f>
        <v>0</v>
      </c>
      <c r="U159">
        <f>IF('Исходные данные'!$B$36="Да",-S159,0)</f>
        <v>0</v>
      </c>
      <c r="V159">
        <f>IF(AND('Исходные данные'!$B$51="Да",U159&gt;0),U159*N('Исходные данные'!$B$52)/(1+N('Исходные данные'!$B$52)),0)</f>
        <v>0</v>
      </c>
      <c r="W159">
        <f>IF(OR(B159="",IF('Исходные данные'!$B$69="",'Исходные данные'!$B$10,'Исходные данные'!$B$69)="",C159&lt;IF('Исходные данные'!$B$69="",'Исходные данные'!$B$10,'Исходные данные'!$B$69)),0,-N('Исходные данные'!$B$16)*N('Исходные данные'!$B$68)*N('Исходные данные'!$B$67)/12*IF(AND(B159&lt;=IF('Исходные данные'!$B$69="",'Исходные данные'!$B$10,'Исходные данные'!$B$69),C159&gt;=IF('Исходные данные'!$B$69="",'Исходные данные'!$B$10,'Исходные данные'!$B$69)),(C159-IF('Исходные данные'!$B$69="",'Исходные данные'!$B$10,'Исходные данные'!$B$69)+1)/DAY(C159),1))</f>
        <v>0</v>
      </c>
      <c r="X159">
        <f>IF(OR(B159="",IF('Исходные данные'!$B$76="",'Исходные данные'!$B$10,'Исходные данные'!$B$76)="",C159&lt;IF('Исходные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данные'!$B$76)),1),B159,"m")/12))*IF(AND(B159&lt;=IF('Исходные данные'!$B$76="",'Исходные данные'!$B$10,'Исходные данные'!$B$76),C159&gt;=IF('Исходные данные'!$B$76="",'Исходные данные'!$B$10,'Исходные данные'!$B$76)),(C159-IF('Исходные данные'!$B$76="",'Исходные данные'!$B$10,'Исходные данные'!$B$76)+1)/DAY(C159),1))</f>
        <v>0</v>
      </c>
      <c r="Y159">
        <f t="shared" si="86"/>
        <v>0</v>
      </c>
      <c r="Z159">
        <f>IF(OR(B159="",N('Исходные данные'!$B$19)=0),0,-SUMIFS('Исходные данные'!$I$6:$I$186,'Исходные данные'!$F$6:$F$186,B159)*N('Исходные данные'!$B$17)/N('Исходные данные'!$B$19))</f>
        <v>0</v>
      </c>
      <c r="AA159">
        <f>IF(OR(B159="",N('Исходные данные'!$B$19)=0),0,-SUMIFS('Исходные данные'!$I$6:$I$186,'Исходные данные'!$F$6:$F$186,B159)*N('Исходные данные'!$B$18)/N('Исходные данные'!$B$19))</f>
        <v>0</v>
      </c>
      <c r="AB159">
        <f>IF(OR(B159="",'Исходные данные'!$B$13=""),0,IF(AND(YEAR(B159)=YEAR('Исходные данные'!$B$13),MONTH(B159)=MONTH('Исходные данные'!$B$13)),-N('Исходные данные'!$B$11),0))</f>
        <v>0</v>
      </c>
      <c r="AC159">
        <f>IF(A159=1,-N('Исходные данные'!$B$19)*N('Исходные данные'!$B$72),0)</f>
        <v>0</v>
      </c>
      <c r="AD159">
        <f>IF(OR(B159="",'Исходные данные'!$B$22&lt;&gt;"Да",'Исходные данные'!$B$26=""),0,IF(AND(YEAR(B159)=YEAR('Исходные данные'!$B$26),MONTH(B159)=MONTH('Исходные данные'!$B$26)),N('Исходные данные'!$B$23),0))</f>
        <v>0</v>
      </c>
      <c r="AE159">
        <f t="shared" si="99"/>
        <v>0</v>
      </c>
      <c r="AF159">
        <f>IF(OR('Исходные данные'!$B$22&lt;&gt;"Да",'Исходные данные'!$B$26="",C159&lt;'Исходные данные'!$B$26),0,DATEDIF(DATE(YEAR('Исходные данные'!$B$26),MONTH('Исходные данные'!$B$26),1),B159,"m")+1)</f>
        <v>0</v>
      </c>
      <c r="AG159">
        <f>IF(OR(AF159&lt;1,AF159&gt;N('Исходные данные'!$B$25),AE159+AD159&lt;=0),0,-(AE159+AD159)*N('Исходные данные'!$B$24)*IF(AF159=1,C159-'Исходные данные'!$B$26+1,DAY(C159))/365)</f>
        <v>0</v>
      </c>
      <c r="AH159">
        <f>IF(OR(AF159&lt;1,AF159&gt;N('Исходные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данные'!$B$25)-AG159))</f>
        <v>0</v>
      </c>
      <c r="AI159">
        <f>IF(OR('Исходные данные'!$B$22&lt;&gt;"Да",AE159+AD159&lt;=0),0,IF(AND('Исходные данные'!$B$91&lt;&gt;"",B159&lt;&gt;"",YEAR(B159)=YEAR('Исходные данные'!$B$91),MONTH(B159)=MONTH('Исходные данные'!$B$91)),-(AE159+AD159),IF(OR(AF159&lt;1,AF159&gt;N('Исходные данные'!$B$25)),0,IF('Исходные данные'!$B$27="Равными долями",-MIN(AE159+AD159,N('Исходные данные'!$B$23)/N('Исходные данные'!$B$25)),-MIN(AE159+AD159,IF(AF159=N('Исходные данные'!$B$25),AE159+AD159,MAX(0,AH159+AG159)))))))</f>
        <v>0</v>
      </c>
      <c r="AJ159">
        <f t="shared" si="87"/>
        <v>0</v>
      </c>
      <c r="AK159">
        <f t="shared" si="88"/>
        <v>0</v>
      </c>
      <c r="AL159">
        <f>IF(OR(B159="",'Исходные данные'!$B$51&lt;&gt;"Да",'Исходные данные'!$B$61=""),0,IF(AND(YEAR(B159)=YEAR('Исходные данные'!$B$61),MONTH(B159)=MONTH('Исходные данные'!$B$61)),N('Исходные данные'!$B$18)*N('Исходные данные'!$B$62),0))</f>
        <v>0</v>
      </c>
      <c r="AM159">
        <f t="shared" si="100"/>
        <v>0</v>
      </c>
      <c r="AN159">
        <f t="shared" si="89"/>
        <v>0</v>
      </c>
      <c r="AO159">
        <f t="shared" si="90"/>
        <v>0</v>
      </c>
      <c r="AP159">
        <f>IF('Исходные данные'!$B$51="Да",-MAX(0,AN159-AO159-AM159),0)</f>
        <v>0</v>
      </c>
      <c r="AQ159">
        <f>IF('Исходные данные'!$B$51="Да",MAX(0,AM159+AO159-AN159),0)</f>
        <v>0</v>
      </c>
      <c r="AR159">
        <f>IF('Исходные данные'!$B$53="Выручка",MAX(0,L159+(Q159-R159)+(U159-V159)),IF('Исходные данные'!$B$53="Прибыль до налога",MAX(0,L159+(Q159-R159)+(U159-V159)+N('Исходные данные'!$B$54)*((O159+P159)+(S159+T159)+W159+X159)+IF('Исходные данные'!$B$55="Да",AG159,0)-N('Исходные данные'!$B$56)/12),IF('Исходные данные'!$B$53="Пользовательская база",MAX(0,N('Исходные данные'!$B$57)/12),0)))</f>
        <v>0</v>
      </c>
      <c r="AS159">
        <f>IF(E159=1,-AR159*N('Исходные данные'!$B$50),0)</f>
        <v>0</v>
      </c>
      <c r="AT159">
        <f t="shared" si="91"/>
        <v>0</v>
      </c>
      <c r="AU159">
        <f>IF(OR(B159="",N('Исходные данные'!$B$80)&lt;=0,'Исходные данные'!$B$88=""),0,MAX(0,IF('Исходные данные'!$B$88="Последние 12 месяцев",SUMIFS($Y$2:$Y$194,$B$2:$B$194,"&gt;="&amp;EDATE(B159,-11),$B$2:$B$194,"&lt;="&amp;B159),IF('Исходные данные'!$B$88="Пользовательский NOI",N('Исходные данные'!$B$89),AT159))/N('Исходные данные'!$B$80)*(1+N('Исходные данные'!$B$81))))</f>
        <v>0</v>
      </c>
      <c r="AV159">
        <f>IF(OR(E159&lt;&gt;1,B159="",'Исходные данные'!$B$91=""),0,IF(AND(YEAR(B159)=YEAR('Исходные данные'!$B$91),MONTH(B159)=MONTH('Исходные данные'!$B$91)),AU159,0))</f>
        <v>0</v>
      </c>
      <c r="AW159">
        <f>-AV159*N('Исходные данные'!$B$73)</f>
        <v>0</v>
      </c>
      <c r="AX159">
        <f>IF(AV159=0,0,-N('Исходные данные'!$B$87)-IF('Исходные данные'!$B$82="Да",IF('Исходные данные'!$B$84="С выручки",AV159,IF('Исходные данные'!$B$84="С прибыли",MAX(0,AV159+AW159-IF('Исходные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59">
        <f t="shared" si="92"/>
        <v>0</v>
      </c>
      <c r="AZ159">
        <f t="shared" si="93"/>
        <v>0</v>
      </c>
      <c r="BA159">
        <f t="shared" si="94"/>
        <v>0</v>
      </c>
      <c r="BB159" t="str">
        <f t="shared" si="101"/>
        <v/>
      </c>
      <c r="BC159">
        <f>IF(OR(E159=0,'Исходные данные'!$B$9="",'Исходные данные'!$B$90=""),0,BA159/(1+'Исходные данные'!$B$90)^((D159-'Исходные данные'!$B$9)/365))</f>
        <v>0</v>
      </c>
      <c r="BD159">
        <f>IF(AND(E159=1,BB159&gt;=0,BB158&lt;0,MIN($BB$2:BB159)&lt;0),1,0)</f>
        <v>0</v>
      </c>
      <c r="BE159">
        <f t="shared" si="95"/>
        <v>0</v>
      </c>
      <c r="BF159">
        <f t="shared" si="96"/>
        <v>0</v>
      </c>
      <c r="BG159">
        <f t="shared" si="97"/>
        <v>0</v>
      </c>
      <c r="BH159">
        <f t="shared" si="98"/>
        <v>1</v>
      </c>
      <c r="BI159">
        <f>AZ159+N159+AP159-AR159*N('Исходные данные'!$B$50)</f>
        <v>0</v>
      </c>
      <c r="BJ159">
        <f t="shared" si="102"/>
        <v>0</v>
      </c>
      <c r="BK159">
        <f>IF(AND(BJ159&gt;=0,BJ158&lt;0,MIN($BJ$2:BJ159)&lt;0),1,0)</f>
        <v>0</v>
      </c>
    </row>
    <row r="160" spans="1:63" x14ac:dyDescent="0.2">
      <c r="A160">
        <v>159</v>
      </c>
      <c r="B160" t="str">
        <f>IF('Исходные данные'!$B$9="","",EDATE(DATE(YEAR('Исходные данные'!$B$9),MONTH('Исходные данные'!$B$9),1),A160-1))</f>
        <v/>
      </c>
      <c r="C160" t="str">
        <f t="shared" si="82"/>
        <v/>
      </c>
      <c r="D160" t="str">
        <f>IF(B160="","",IF('Исходные данные'!$B$91&lt;&gt;"",IF(AND(YEAR(B160)=YEAR('Исходные данные'!$B$91),MONTH(B160)=MONTH('Исходные данные'!$B$91)),'Исходные данные'!$B$91,IF('Исходные данные'!$B$13&lt;&gt;"",IF(AND(YEAR(B160)=YEAR('Исходные данные'!$B$13),MONTH(B160)=MONTH('Исходные данные'!$B$13)),'Исходные данные'!$B$13,IF('Исходные данные'!$B$26&lt;&gt;"",IF(AND(YEAR(B160)=YEAR('Исходные данные'!$B$26),MONTH(B160)=MONTH('Исходные данные'!$B$26)),'Исходные данные'!$B$26,IF(A160=1,'Исходные данные'!$B$9,C160)),IF(A160=1,'Исходные данные'!$B$9,C160))),IF('Исходные данные'!$B$26&lt;&gt;"",IF(AND(YEAR(B160)=YEAR('Исходные данные'!$B$26),MONTH(B160)=MONTH('Исходные данные'!$B$26)),'Исходные данные'!$B$26,IF(A160=1,'Исходные данные'!$B$9,C160)),IF(A160=1,'Исходные данные'!$B$9,C160)))),IF('Исходные данные'!$B$13&lt;&gt;"",IF(AND(YEAR(B160)=YEAR('Исходные данные'!$B$13),MONTH(B160)=MONTH('Исходные данные'!$B$13)),'Исходные данные'!$B$13,IF('Исходные данные'!$B$26&lt;&gt;"",IF(AND(YEAR(B160)=YEAR('Исходные данные'!$B$26),MONTH(B160)=MONTH('Исходные данные'!$B$26)),'Исходные данные'!$B$26,IF(A160=1,'Исходные данные'!$B$9,C160)),IF(A160=1,'Исходные данные'!$B$9,C160))),IF('Исходные данные'!$B$26&lt;&gt;"",IF(AND(YEAR(B160)=YEAR('Исходные данные'!$B$26),MONTH(B160)=MONTH('Исходные данные'!$B$26)),'Исходные данные'!$B$26,IF(A160=1,'Исходные данные'!$B$9,C160)),IF(A160=1,'Исходные данные'!$B$9,C160)))))</f>
        <v/>
      </c>
      <c r="E160">
        <f>IF(OR(B160="",'Исходные данные'!$B$91=""),0,--(B160&lt;=DATE(YEAR('Исходные данные'!$B$91),MONTH('Исходные данные'!$B$91),1)))</f>
        <v>0</v>
      </c>
      <c r="F160">
        <f>IF(OR(B160="",'Исходные данные'!$B$30="",C160&lt;'Исходные данные'!$B$30),0,DATEDIF(DATE(YEAR('Исходные данные'!$B$30),MONTH('Исходные данные'!$B$30),1),B160,"m")+1)</f>
        <v>0</v>
      </c>
      <c r="G160">
        <f t="shared" si="83"/>
        <v>0</v>
      </c>
      <c r="H160">
        <f>IF(F160=0,0,IF(G160=1,N('Исходные данные'!$B$31),IF(G160=2,N('Исходные данные'!$B$32),IF(G160=3,N('Исходные данные'!$B$33),N('Исходные данные'!$B$33)*(1+N('Исходные данные'!$B$34))^(G160-3)))))</f>
        <v>0</v>
      </c>
      <c r="I160">
        <f>IF(OR(F160=0,N('Исходные данные'!$B$5)=0,H160=0),0,'Исходные данные'!$B$5*H160*IF(AND(B160&lt;='Исходные данные'!$B$30,C160&gt;='Исходные данные'!$B$30),(C160-'Исходные данные'!$B$30+1)/DAY(C160),1))</f>
        <v>0</v>
      </c>
      <c r="J160">
        <f>IF(AND(F160&gt;0,F160&lt;=N('Исходные данные'!$B$37)),-I160,0)</f>
        <v>0</v>
      </c>
      <c r="K160">
        <f>IF(OR(F160=0,F160&lt;=N('Исходные данные'!$B$37)),0,-(I160+J160)*N('Исходные данные'!$B$38))</f>
        <v>0</v>
      </c>
      <c r="L160">
        <f t="shared" si="84"/>
        <v>0</v>
      </c>
      <c r="M160">
        <f>IF('Исходные данные'!$B$51="Да",L160*N('Исходные данные'!$B$52),0)</f>
        <v>0</v>
      </c>
      <c r="N160">
        <f t="shared" si="85"/>
        <v>0</v>
      </c>
      <c r="O160">
        <f>IF(OR(B160="",IF('Исходные данные'!$B$45="",'Исходные данные'!$B$10,'Исходные данные'!$B$45)="",C160&lt;IF('Исходные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данные'!$B$45)),1),B160,"m")/12))*IF(AND(B160&lt;=IF('Исходные данные'!$B$45="",'Исходные данные'!$B$10,'Исходные данные'!$B$45),C160&gt;=IF('Исходные данные'!$B$45="",'Исходные данные'!$B$10,'Исходные данные'!$B$45)),(C160-IF('Исходные данные'!$B$45="",'Исходные данные'!$B$10,'Исходные данные'!$B$45)+1)/DAY(C160),1)*IF('Исходные данные'!$B$43="Без НДС",1+N('Исходные данные'!$B$44),1))</f>
        <v>0</v>
      </c>
      <c r="P160">
        <f>IF('Исходные данные'!$B$51="Да",-O160*N('Исходные данные'!$B$44)/(1+N('Исходные данные'!$B$44)),0)</f>
        <v>0</v>
      </c>
      <c r="Q160">
        <f>IF('Исходные данные'!$B$35="Да",-O160,0)</f>
        <v>0</v>
      </c>
      <c r="R160">
        <f>IF(AND('Исходные данные'!$B$51="Да",Q160&gt;0),Q160*N('Исходные данные'!$B$52)/(1+N('Исходные данные'!$B$52)),0)</f>
        <v>0</v>
      </c>
      <c r="S160">
        <f>IF(OR(B160="",IF('Исходные данные'!$B$45="",'Исходные данные'!$B$10,'Исходные данные'!$B$45)="",C160&lt;IF('Исходные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данные'!$B$45)),1),B160,"m")/12))*IF(AND(B160&lt;=IF('Исходные данные'!$B$45="",'Исходные данные'!$B$10,'Исходные данные'!$B$45),C160&gt;=IF('Исходные данные'!$B$45="",'Исходные данные'!$B$10,'Исходные данные'!$B$45)),(C160-IF('Исходные данные'!$B$45="",'Исходные данные'!$B$10,'Исходные данные'!$B$45)+1)/DAY(C160),1)*IF('Исходные данные'!$B$43="Без НДС",1+N('Исходные данные'!$B$44),1))</f>
        <v>0</v>
      </c>
      <c r="T160">
        <f>IF('Исходные данные'!$B$51="Да",-S160*N('Исходные данные'!$B$44)/(1+N('Исходные данные'!$B$44)),0)</f>
        <v>0</v>
      </c>
      <c r="U160">
        <f>IF('Исходные данные'!$B$36="Да",-S160,0)</f>
        <v>0</v>
      </c>
      <c r="V160">
        <f>IF(AND('Исходные данные'!$B$51="Да",U160&gt;0),U160*N('Исходные данные'!$B$52)/(1+N('Исходные данные'!$B$52)),0)</f>
        <v>0</v>
      </c>
      <c r="W160">
        <f>IF(OR(B160="",IF('Исходные данные'!$B$69="",'Исходные данные'!$B$10,'Исходные данные'!$B$69)="",C160&lt;IF('Исходные данные'!$B$69="",'Исходные данные'!$B$10,'Исходные данные'!$B$69)),0,-N('Исходные данные'!$B$16)*N('Исходные данные'!$B$68)*N('Исходные данные'!$B$67)/12*IF(AND(B160&lt;=IF('Исходные данные'!$B$69="",'Исходные данные'!$B$10,'Исходные данные'!$B$69),C160&gt;=IF('Исходные данные'!$B$69="",'Исходные данные'!$B$10,'Исходные данные'!$B$69)),(C160-IF('Исходные данные'!$B$69="",'Исходные данные'!$B$10,'Исходные данные'!$B$69)+1)/DAY(C160),1))</f>
        <v>0</v>
      </c>
      <c r="X160">
        <f>IF(OR(B160="",IF('Исходные данные'!$B$76="",'Исходные данные'!$B$10,'Исходные данные'!$B$76)="",C160&lt;IF('Исходные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данные'!$B$76)),1),B160,"m")/12))*IF(AND(B160&lt;=IF('Исходные данные'!$B$76="",'Исходные данные'!$B$10,'Исходные данные'!$B$76),C160&gt;=IF('Исходные данные'!$B$76="",'Исходные данные'!$B$10,'Исходные данные'!$B$76)),(C160-IF('Исходные данные'!$B$76="",'Исходные данные'!$B$10,'Исходные данные'!$B$76)+1)/DAY(C160),1))</f>
        <v>0</v>
      </c>
      <c r="Y160">
        <f t="shared" si="86"/>
        <v>0</v>
      </c>
      <c r="Z160">
        <f>IF(OR(B160="",N('Исходные данные'!$B$19)=0),0,-SUMIFS('Исходные данные'!$I$6:$I$186,'Исходные данные'!$F$6:$F$186,B160)*N('Исходные данные'!$B$17)/N('Исходные данные'!$B$19))</f>
        <v>0</v>
      </c>
      <c r="AA160">
        <f>IF(OR(B160="",N('Исходные данные'!$B$19)=0),0,-SUMIFS('Исходные данные'!$I$6:$I$186,'Исходные данные'!$F$6:$F$186,B160)*N('Исходные данные'!$B$18)/N('Исходные данные'!$B$19))</f>
        <v>0</v>
      </c>
      <c r="AB160">
        <f>IF(OR(B160="",'Исходные данные'!$B$13=""),0,IF(AND(YEAR(B160)=YEAR('Исходные данные'!$B$13),MONTH(B160)=MONTH('Исходные данные'!$B$13)),-N('Исходные данные'!$B$11),0))</f>
        <v>0</v>
      </c>
      <c r="AC160">
        <f>IF(A160=1,-N('Исходные данные'!$B$19)*N('Исходные данные'!$B$72),0)</f>
        <v>0</v>
      </c>
      <c r="AD160">
        <f>IF(OR(B160="",'Исходные данные'!$B$22&lt;&gt;"Да",'Исходные данные'!$B$26=""),0,IF(AND(YEAR(B160)=YEAR('Исходные данные'!$B$26),MONTH(B160)=MONTH('Исходные данные'!$B$26)),N('Исходные данные'!$B$23),0))</f>
        <v>0</v>
      </c>
      <c r="AE160">
        <f t="shared" si="99"/>
        <v>0</v>
      </c>
      <c r="AF160">
        <f>IF(OR('Исходные данные'!$B$22&lt;&gt;"Да",'Исходные данные'!$B$26="",C160&lt;'Исходные данные'!$B$26),0,DATEDIF(DATE(YEAR('Исходные данные'!$B$26),MONTH('Исходные данные'!$B$26),1),B160,"m")+1)</f>
        <v>0</v>
      </c>
      <c r="AG160">
        <f>IF(OR(AF160&lt;1,AF160&gt;N('Исходные данные'!$B$25),AE160+AD160&lt;=0),0,-(AE160+AD160)*N('Исходные данные'!$B$24)*IF(AF160=1,C160-'Исходные данные'!$B$26+1,DAY(C160))/365)</f>
        <v>0</v>
      </c>
      <c r="AH160">
        <f>IF(OR(AF160&lt;1,AF160&gt;N('Исходные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данные'!$B$25)-AG160))</f>
        <v>0</v>
      </c>
      <c r="AI160">
        <f>IF(OR('Исходные данные'!$B$22&lt;&gt;"Да",AE160+AD160&lt;=0),0,IF(AND('Исходные данные'!$B$91&lt;&gt;"",B160&lt;&gt;"",YEAR(B160)=YEAR('Исходные данные'!$B$91),MONTH(B160)=MONTH('Исходные данные'!$B$91)),-(AE160+AD160),IF(OR(AF160&lt;1,AF160&gt;N('Исходные данные'!$B$25)),0,IF('Исходные данные'!$B$27="Равными долями",-MIN(AE160+AD160,N('Исходные данные'!$B$23)/N('Исходные данные'!$B$25)),-MIN(AE160+AD160,IF(AF160=N('Исходные данные'!$B$25),AE160+AD160,MAX(0,AH160+AG160)))))))</f>
        <v>0</v>
      </c>
      <c r="AJ160">
        <f t="shared" si="87"/>
        <v>0</v>
      </c>
      <c r="AK160">
        <f t="shared" si="88"/>
        <v>0</v>
      </c>
      <c r="AL160">
        <f>IF(OR(B160="",'Исходные данные'!$B$51&lt;&gt;"Да",'Исходные данные'!$B$61=""),0,IF(AND(YEAR(B160)=YEAR('Исходные данные'!$B$61),MONTH(B160)=MONTH('Исходные данные'!$B$61)),N('Исходные данные'!$B$18)*N('Исходные данные'!$B$62),0))</f>
        <v>0</v>
      </c>
      <c r="AM160">
        <f t="shared" si="100"/>
        <v>0</v>
      </c>
      <c r="AN160">
        <f t="shared" si="89"/>
        <v>0</v>
      </c>
      <c r="AO160">
        <f t="shared" si="90"/>
        <v>0</v>
      </c>
      <c r="AP160">
        <f>IF('Исходные данные'!$B$51="Да",-MAX(0,AN160-AO160-AM160),0)</f>
        <v>0</v>
      </c>
      <c r="AQ160">
        <f>IF('Исходные данные'!$B$51="Да",MAX(0,AM160+AO160-AN160),0)</f>
        <v>0</v>
      </c>
      <c r="AR160">
        <f>IF('Исходные данные'!$B$53="Выручка",MAX(0,L160+(Q160-R160)+(U160-V160)),IF('Исходные данные'!$B$53="Прибыль до налога",MAX(0,L160+(Q160-R160)+(U160-V160)+N('Исходные данные'!$B$54)*((O160+P160)+(S160+T160)+W160+X160)+IF('Исходные данные'!$B$55="Да",AG160,0)-N('Исходные данные'!$B$56)/12),IF('Исходные данные'!$B$53="Пользовательская база",MAX(0,N('Исходные данные'!$B$57)/12),0)))</f>
        <v>0</v>
      </c>
      <c r="AS160">
        <f>IF(E160=1,-AR160*N('Исходные данные'!$B$50),0)</f>
        <v>0</v>
      </c>
      <c r="AT160">
        <f t="shared" si="91"/>
        <v>0</v>
      </c>
      <c r="AU160">
        <f>IF(OR(B160="",N('Исходные данные'!$B$80)&lt;=0,'Исходные данные'!$B$88=""),0,MAX(0,IF('Исходные данные'!$B$88="Последние 12 месяцев",SUMIFS($Y$2:$Y$194,$B$2:$B$194,"&gt;="&amp;EDATE(B160,-11),$B$2:$B$194,"&lt;="&amp;B160),IF('Исходные данные'!$B$88="Пользовательский NOI",N('Исходные данные'!$B$89),AT160))/N('Исходные данные'!$B$80)*(1+N('Исходные данные'!$B$81))))</f>
        <v>0</v>
      </c>
      <c r="AV160">
        <f>IF(OR(E160&lt;&gt;1,B160="",'Исходные данные'!$B$91=""),0,IF(AND(YEAR(B160)=YEAR('Исходные данные'!$B$91),MONTH(B160)=MONTH('Исходные данные'!$B$91)),AU160,0))</f>
        <v>0</v>
      </c>
      <c r="AW160">
        <f>-AV160*N('Исходные данные'!$B$73)</f>
        <v>0</v>
      </c>
      <c r="AX160">
        <f>IF(AV160=0,0,-N('Исходные данные'!$B$87)-IF('Исходные данные'!$B$82="Да",IF('Исходные данные'!$B$84="С выручки",AV160,IF('Исходные данные'!$B$84="С прибыли",MAX(0,AV160+AW160-IF('Исходные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60">
        <f t="shared" si="92"/>
        <v>0</v>
      </c>
      <c r="AZ160">
        <f t="shared" si="93"/>
        <v>0</v>
      </c>
      <c r="BA160">
        <f t="shared" si="94"/>
        <v>0</v>
      </c>
      <c r="BB160" t="str">
        <f t="shared" si="101"/>
        <v/>
      </c>
      <c r="BC160">
        <f>IF(OR(E160=0,'Исходные данные'!$B$9="",'Исходные данные'!$B$90=""),0,BA160/(1+'Исходные данные'!$B$90)^((D160-'Исходные данные'!$B$9)/365))</f>
        <v>0</v>
      </c>
      <c r="BD160">
        <f>IF(AND(E160=1,BB160&gt;=0,BB159&lt;0,MIN($BB$2:BB160)&lt;0),1,0)</f>
        <v>0</v>
      </c>
      <c r="BE160">
        <f t="shared" si="95"/>
        <v>0</v>
      </c>
      <c r="BF160">
        <f t="shared" si="96"/>
        <v>0</v>
      </c>
      <c r="BG160">
        <f t="shared" si="97"/>
        <v>0</v>
      </c>
      <c r="BH160">
        <f t="shared" si="98"/>
        <v>1</v>
      </c>
      <c r="BI160">
        <f>AZ160+N160+AP160-AR160*N('Исходные данные'!$B$50)</f>
        <v>0</v>
      </c>
      <c r="BJ160">
        <f t="shared" si="102"/>
        <v>0</v>
      </c>
      <c r="BK160">
        <f>IF(AND(BJ160&gt;=0,BJ159&lt;0,MIN($BJ$2:BJ160)&lt;0),1,0)</f>
        <v>0</v>
      </c>
    </row>
    <row r="161" spans="1:63" x14ac:dyDescent="0.2">
      <c r="A161">
        <v>160</v>
      </c>
      <c r="B161" t="str">
        <f>IF('Исходные данные'!$B$9="","",EDATE(DATE(YEAR('Исходные данные'!$B$9),MONTH('Исходные данные'!$B$9),1),A161-1))</f>
        <v/>
      </c>
      <c r="C161" t="str">
        <f t="shared" si="82"/>
        <v/>
      </c>
      <c r="D161" t="str">
        <f>IF(B161="","",IF('Исходные данные'!$B$91&lt;&gt;"",IF(AND(YEAR(B161)=YEAR('Исходные данные'!$B$91),MONTH(B161)=MONTH('Исходные данные'!$B$91)),'Исходные данные'!$B$91,IF('Исходные данные'!$B$13&lt;&gt;"",IF(AND(YEAR(B161)=YEAR('Исходные данные'!$B$13),MONTH(B161)=MONTH('Исходные данные'!$B$13)),'Исходные данные'!$B$13,IF('Исходные данные'!$B$26&lt;&gt;"",IF(AND(YEAR(B161)=YEAR('Исходные данные'!$B$26),MONTH(B161)=MONTH('Исходные данные'!$B$26)),'Исходные данные'!$B$26,IF(A161=1,'Исходные данные'!$B$9,C161)),IF(A161=1,'Исходные данные'!$B$9,C161))),IF('Исходные данные'!$B$26&lt;&gt;"",IF(AND(YEAR(B161)=YEAR('Исходные данные'!$B$26),MONTH(B161)=MONTH('Исходные данные'!$B$26)),'Исходные данные'!$B$26,IF(A161=1,'Исходные данные'!$B$9,C161)),IF(A161=1,'Исходные данные'!$B$9,C161)))),IF('Исходные данные'!$B$13&lt;&gt;"",IF(AND(YEAR(B161)=YEAR('Исходные данные'!$B$13),MONTH(B161)=MONTH('Исходные данные'!$B$13)),'Исходные данные'!$B$13,IF('Исходные данные'!$B$26&lt;&gt;"",IF(AND(YEAR(B161)=YEAR('Исходные данные'!$B$26),MONTH(B161)=MONTH('Исходные данные'!$B$26)),'Исходные данные'!$B$26,IF(A161=1,'Исходные данные'!$B$9,C161)),IF(A161=1,'Исходные данные'!$B$9,C161))),IF('Исходные данные'!$B$26&lt;&gt;"",IF(AND(YEAR(B161)=YEAR('Исходные данные'!$B$26),MONTH(B161)=MONTH('Исходные данные'!$B$26)),'Исходные данные'!$B$26,IF(A161=1,'Исходные данные'!$B$9,C161)),IF(A161=1,'Исходные данные'!$B$9,C161)))))</f>
        <v/>
      </c>
      <c r="E161">
        <f>IF(OR(B161="",'Исходные данные'!$B$91=""),0,--(B161&lt;=DATE(YEAR('Исходные данные'!$B$91),MONTH('Исходные данные'!$B$91),1)))</f>
        <v>0</v>
      </c>
      <c r="F161">
        <f>IF(OR(B161="",'Исходные данные'!$B$30="",C161&lt;'Исходные данные'!$B$30),0,DATEDIF(DATE(YEAR('Исходные данные'!$B$30),MONTH('Исходные данные'!$B$30),1),B161,"m")+1)</f>
        <v>0</v>
      </c>
      <c r="G161">
        <f t="shared" si="83"/>
        <v>0</v>
      </c>
      <c r="H161">
        <f>IF(F161=0,0,IF(G161=1,N('Исходные данные'!$B$31),IF(G161=2,N('Исходные данные'!$B$32),IF(G161=3,N('Исходные данные'!$B$33),N('Исходные данные'!$B$33)*(1+N('Исходные данные'!$B$34))^(G161-3)))))</f>
        <v>0</v>
      </c>
      <c r="I161">
        <f>IF(OR(F161=0,N('Исходные данные'!$B$5)=0,H161=0),0,'Исходные данные'!$B$5*H161*IF(AND(B161&lt;='Исходные данные'!$B$30,C161&gt;='Исходные данные'!$B$30),(C161-'Исходные данные'!$B$30+1)/DAY(C161),1))</f>
        <v>0</v>
      </c>
      <c r="J161">
        <f>IF(AND(F161&gt;0,F161&lt;=N('Исходные данные'!$B$37)),-I161,0)</f>
        <v>0</v>
      </c>
      <c r="K161">
        <f>IF(OR(F161=0,F161&lt;=N('Исходные данные'!$B$37)),0,-(I161+J161)*N('Исходные данные'!$B$38))</f>
        <v>0</v>
      </c>
      <c r="L161">
        <f t="shared" si="84"/>
        <v>0</v>
      </c>
      <c r="M161">
        <f>IF('Исходные данные'!$B$51="Да",L161*N('Исходные данные'!$B$52),0)</f>
        <v>0</v>
      </c>
      <c r="N161">
        <f t="shared" si="85"/>
        <v>0</v>
      </c>
      <c r="O161">
        <f>IF(OR(B161="",IF('Исходные данные'!$B$45="",'Исходные данные'!$B$10,'Исходные данные'!$B$45)="",C161&lt;IF('Исходные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данные'!$B$45)),1),B161,"m")/12))*IF(AND(B161&lt;=IF('Исходные данные'!$B$45="",'Исходные данные'!$B$10,'Исходные данные'!$B$45),C161&gt;=IF('Исходные данные'!$B$45="",'Исходные данные'!$B$10,'Исходные данные'!$B$45)),(C161-IF('Исходные данные'!$B$45="",'Исходные данные'!$B$10,'Исходные данные'!$B$45)+1)/DAY(C161),1)*IF('Исходные данные'!$B$43="Без НДС",1+N('Исходные данные'!$B$44),1))</f>
        <v>0</v>
      </c>
      <c r="P161">
        <f>IF('Исходные данные'!$B$51="Да",-O161*N('Исходные данные'!$B$44)/(1+N('Исходные данные'!$B$44)),0)</f>
        <v>0</v>
      </c>
      <c r="Q161">
        <f>IF('Исходные данные'!$B$35="Да",-O161,0)</f>
        <v>0</v>
      </c>
      <c r="R161">
        <f>IF(AND('Исходные данные'!$B$51="Да",Q161&gt;0),Q161*N('Исходные данные'!$B$52)/(1+N('Исходные данные'!$B$52)),0)</f>
        <v>0</v>
      </c>
      <c r="S161">
        <f>IF(OR(B161="",IF('Исходные данные'!$B$45="",'Исходные данные'!$B$10,'Исходные данные'!$B$45)="",C161&lt;IF('Исходные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данные'!$B$45)),1),B161,"m")/12))*IF(AND(B161&lt;=IF('Исходные данные'!$B$45="",'Исходные данные'!$B$10,'Исходные данные'!$B$45),C161&gt;=IF('Исходные данные'!$B$45="",'Исходные данные'!$B$10,'Исходные данные'!$B$45)),(C161-IF('Исходные данные'!$B$45="",'Исходные данные'!$B$10,'Исходные данные'!$B$45)+1)/DAY(C161),1)*IF('Исходные данные'!$B$43="Без НДС",1+N('Исходные данные'!$B$44),1))</f>
        <v>0</v>
      </c>
      <c r="T161">
        <f>IF('Исходные данные'!$B$51="Да",-S161*N('Исходные данные'!$B$44)/(1+N('Исходные данные'!$B$44)),0)</f>
        <v>0</v>
      </c>
      <c r="U161">
        <f>IF('Исходные данные'!$B$36="Да",-S161,0)</f>
        <v>0</v>
      </c>
      <c r="V161">
        <f>IF(AND('Исходные данные'!$B$51="Да",U161&gt;0),U161*N('Исходные данные'!$B$52)/(1+N('Исходные данные'!$B$52)),0)</f>
        <v>0</v>
      </c>
      <c r="W161">
        <f>IF(OR(B161="",IF('Исходные данные'!$B$69="",'Исходные данные'!$B$10,'Исходные данные'!$B$69)="",C161&lt;IF('Исходные данные'!$B$69="",'Исходные данные'!$B$10,'Исходные данные'!$B$69)),0,-N('Исходные данные'!$B$16)*N('Исходные данные'!$B$68)*N('Исходные данные'!$B$67)/12*IF(AND(B161&lt;=IF('Исходные данные'!$B$69="",'Исходные данные'!$B$10,'Исходные данные'!$B$69),C161&gt;=IF('Исходные данные'!$B$69="",'Исходные данные'!$B$10,'Исходные данные'!$B$69)),(C161-IF('Исходные данные'!$B$69="",'Исходные данные'!$B$10,'Исходные данные'!$B$69)+1)/DAY(C161),1))</f>
        <v>0</v>
      </c>
      <c r="X161">
        <f>IF(OR(B161="",IF('Исходные данные'!$B$76="",'Исходные данные'!$B$10,'Исходные данные'!$B$76)="",C161&lt;IF('Исходные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данные'!$B$76)),1),B161,"m")/12))*IF(AND(B161&lt;=IF('Исходные данные'!$B$76="",'Исходные данные'!$B$10,'Исходные данные'!$B$76),C161&gt;=IF('Исходные данные'!$B$76="",'Исходные данные'!$B$10,'Исходные данные'!$B$76)),(C161-IF('Исходные данные'!$B$76="",'Исходные данные'!$B$10,'Исходные данные'!$B$76)+1)/DAY(C161),1))</f>
        <v>0</v>
      </c>
      <c r="Y161">
        <f t="shared" si="86"/>
        <v>0</v>
      </c>
      <c r="Z161">
        <f>IF(OR(B161="",N('Исходные данные'!$B$19)=0),0,-SUMIFS('Исходные данные'!$I$6:$I$186,'Исходные данные'!$F$6:$F$186,B161)*N('Исходные данные'!$B$17)/N('Исходные данные'!$B$19))</f>
        <v>0</v>
      </c>
      <c r="AA161">
        <f>IF(OR(B161="",N('Исходные данные'!$B$19)=0),0,-SUMIFS('Исходные данные'!$I$6:$I$186,'Исходные данные'!$F$6:$F$186,B161)*N('Исходные данные'!$B$18)/N('Исходные данные'!$B$19))</f>
        <v>0</v>
      </c>
      <c r="AB161">
        <f>IF(OR(B161="",'Исходные данные'!$B$13=""),0,IF(AND(YEAR(B161)=YEAR('Исходные данные'!$B$13),MONTH(B161)=MONTH('Исходные данные'!$B$13)),-N('Исходные данные'!$B$11),0))</f>
        <v>0</v>
      </c>
      <c r="AC161">
        <f>IF(A161=1,-N('Исходные данные'!$B$19)*N('Исходные данные'!$B$72),0)</f>
        <v>0</v>
      </c>
      <c r="AD161">
        <f>IF(OR(B161="",'Исходные данные'!$B$22&lt;&gt;"Да",'Исходные данные'!$B$26=""),0,IF(AND(YEAR(B161)=YEAR('Исходные данные'!$B$26),MONTH(B161)=MONTH('Исходные данные'!$B$26)),N('Исходные данные'!$B$23),0))</f>
        <v>0</v>
      </c>
      <c r="AE161">
        <f t="shared" si="99"/>
        <v>0</v>
      </c>
      <c r="AF161">
        <f>IF(OR('Исходные данные'!$B$22&lt;&gt;"Да",'Исходные данные'!$B$26="",C161&lt;'Исходные данные'!$B$26),0,DATEDIF(DATE(YEAR('Исходные данные'!$B$26),MONTH('Исходные данные'!$B$26),1),B161,"m")+1)</f>
        <v>0</v>
      </c>
      <c r="AG161">
        <f>IF(OR(AF161&lt;1,AF161&gt;N('Исходные данные'!$B$25),AE161+AD161&lt;=0),0,-(AE161+AD161)*N('Исходные данные'!$B$24)*IF(AF161=1,C161-'Исходные данные'!$B$26+1,DAY(C161))/365)</f>
        <v>0</v>
      </c>
      <c r="AH161">
        <f>IF(OR(AF161&lt;1,AF161&gt;N('Исходные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данные'!$B$25)-AG161))</f>
        <v>0</v>
      </c>
      <c r="AI161">
        <f>IF(OR('Исходные данные'!$B$22&lt;&gt;"Да",AE161+AD161&lt;=0),0,IF(AND('Исходные данные'!$B$91&lt;&gt;"",B161&lt;&gt;"",YEAR(B161)=YEAR('Исходные данные'!$B$91),MONTH(B161)=MONTH('Исходные данные'!$B$91)),-(AE161+AD161),IF(OR(AF161&lt;1,AF161&gt;N('Исходные данные'!$B$25)),0,IF('Исходные данные'!$B$27="Равными долями",-MIN(AE161+AD161,N('Исходные данные'!$B$23)/N('Исходные данные'!$B$25)),-MIN(AE161+AD161,IF(AF161=N('Исходные данные'!$B$25),AE161+AD161,MAX(0,AH161+AG161)))))))</f>
        <v>0</v>
      </c>
      <c r="AJ161">
        <f t="shared" si="87"/>
        <v>0</v>
      </c>
      <c r="AK161">
        <f t="shared" si="88"/>
        <v>0</v>
      </c>
      <c r="AL161">
        <f>IF(OR(B161="",'Исходные данные'!$B$51&lt;&gt;"Да",'Исходные данные'!$B$61=""),0,IF(AND(YEAR(B161)=YEAR('Исходные данные'!$B$61),MONTH(B161)=MONTH('Исходные данные'!$B$61)),N('Исходные данные'!$B$18)*N('Исходные данные'!$B$62),0))</f>
        <v>0</v>
      </c>
      <c r="AM161">
        <f t="shared" si="100"/>
        <v>0</v>
      </c>
      <c r="AN161">
        <f t="shared" si="89"/>
        <v>0</v>
      </c>
      <c r="AO161">
        <f t="shared" si="90"/>
        <v>0</v>
      </c>
      <c r="AP161">
        <f>IF('Исходные данные'!$B$51="Да",-MAX(0,AN161-AO161-AM161),0)</f>
        <v>0</v>
      </c>
      <c r="AQ161">
        <f>IF('Исходные данные'!$B$51="Да",MAX(0,AM161+AO161-AN161),0)</f>
        <v>0</v>
      </c>
      <c r="AR161">
        <f>IF('Исходные данные'!$B$53="Выручка",MAX(0,L161+(Q161-R161)+(U161-V161)),IF('Исходные данные'!$B$53="Прибыль до налога",MAX(0,L161+(Q161-R161)+(U161-V161)+N('Исходные данные'!$B$54)*((O161+P161)+(S161+T161)+W161+X161)+IF('Исходные данные'!$B$55="Да",AG161,0)-N('Исходные данные'!$B$56)/12),IF('Исходные данные'!$B$53="Пользовательская база",MAX(0,N('Исходные данные'!$B$57)/12),0)))</f>
        <v>0</v>
      </c>
      <c r="AS161">
        <f>IF(E161=1,-AR161*N('Исходные данные'!$B$50),0)</f>
        <v>0</v>
      </c>
      <c r="AT161">
        <f t="shared" si="91"/>
        <v>0</v>
      </c>
      <c r="AU161">
        <f>IF(OR(B161="",N('Исходные данные'!$B$80)&lt;=0,'Исходные данные'!$B$88=""),0,MAX(0,IF('Исходные данные'!$B$88="Последние 12 месяцев",SUMIFS($Y$2:$Y$194,$B$2:$B$194,"&gt;="&amp;EDATE(B161,-11),$B$2:$B$194,"&lt;="&amp;B161),IF('Исходные данные'!$B$88="Пользовательский NOI",N('Исходные данные'!$B$89),AT161))/N('Исходные данные'!$B$80)*(1+N('Исходные данные'!$B$81))))</f>
        <v>0</v>
      </c>
      <c r="AV161">
        <f>IF(OR(E161&lt;&gt;1,B161="",'Исходные данные'!$B$91=""),0,IF(AND(YEAR(B161)=YEAR('Исходные данные'!$B$91),MONTH(B161)=MONTH('Исходные данные'!$B$91)),AU161,0))</f>
        <v>0</v>
      </c>
      <c r="AW161">
        <f>-AV161*N('Исходные данные'!$B$73)</f>
        <v>0</v>
      </c>
      <c r="AX161">
        <f>IF(AV161=0,0,-N('Исходные данные'!$B$87)-IF('Исходные данные'!$B$82="Да",IF('Исходные данные'!$B$84="С выручки",AV161,IF('Исходные данные'!$B$84="С прибыли",MAX(0,AV161+AW161-IF('Исходные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61">
        <f t="shared" si="92"/>
        <v>0</v>
      </c>
      <c r="AZ161">
        <f t="shared" si="93"/>
        <v>0</v>
      </c>
      <c r="BA161">
        <f t="shared" si="94"/>
        <v>0</v>
      </c>
      <c r="BB161" t="str">
        <f t="shared" si="101"/>
        <v/>
      </c>
      <c r="BC161">
        <f>IF(OR(E161=0,'Исходные данные'!$B$9="",'Исходные данные'!$B$90=""),0,BA161/(1+'Исходные данные'!$B$90)^((D161-'Исходные данные'!$B$9)/365))</f>
        <v>0</v>
      </c>
      <c r="BD161">
        <f>IF(AND(E161=1,BB161&gt;=0,BB160&lt;0,MIN($BB$2:BB161)&lt;0),1,0)</f>
        <v>0</v>
      </c>
      <c r="BE161">
        <f t="shared" si="95"/>
        <v>0</v>
      </c>
      <c r="BF161">
        <f t="shared" si="96"/>
        <v>0</v>
      </c>
      <c r="BG161">
        <f t="shared" si="97"/>
        <v>0</v>
      </c>
      <c r="BH161">
        <f t="shared" si="98"/>
        <v>1</v>
      </c>
      <c r="BI161">
        <f>AZ161+N161+AP161-AR161*N('Исходные данные'!$B$50)</f>
        <v>0</v>
      </c>
      <c r="BJ161">
        <f t="shared" si="102"/>
        <v>0</v>
      </c>
      <c r="BK161">
        <f>IF(AND(BJ161&gt;=0,BJ160&lt;0,MIN($BJ$2:BJ161)&lt;0),1,0)</f>
        <v>0</v>
      </c>
    </row>
    <row r="162" spans="1:63" x14ac:dyDescent="0.2">
      <c r="A162">
        <v>161</v>
      </c>
      <c r="B162" t="str">
        <f>IF('Исходные данные'!$B$9="","",EDATE(DATE(YEAR('Исходные данные'!$B$9),MONTH('Исходные данные'!$B$9),1),A162-1))</f>
        <v/>
      </c>
      <c r="C162" t="str">
        <f t="shared" ref="C162:C193" si="103">IF(B162="","",EOMONTH(B162,0))</f>
        <v/>
      </c>
      <c r="D162" t="str">
        <f>IF(B162="","",IF('Исходные данные'!$B$91&lt;&gt;"",IF(AND(YEAR(B162)=YEAR('Исходные данные'!$B$91),MONTH(B162)=MONTH('Исходные данные'!$B$91)),'Исходные данные'!$B$91,IF('Исходные данные'!$B$13&lt;&gt;"",IF(AND(YEAR(B162)=YEAR('Исходные данные'!$B$13),MONTH(B162)=MONTH('Исходные данные'!$B$13)),'Исходные данные'!$B$13,IF('Исходные данные'!$B$26&lt;&gt;"",IF(AND(YEAR(B162)=YEAR('Исходные данные'!$B$26),MONTH(B162)=MONTH('Исходные данные'!$B$26)),'Исходные данные'!$B$26,IF(A162=1,'Исходные данные'!$B$9,C162)),IF(A162=1,'Исходные данные'!$B$9,C162))),IF('Исходные данные'!$B$26&lt;&gt;"",IF(AND(YEAR(B162)=YEAR('Исходные данные'!$B$26),MONTH(B162)=MONTH('Исходные данные'!$B$26)),'Исходные данные'!$B$26,IF(A162=1,'Исходные данные'!$B$9,C162)),IF(A162=1,'Исходные данные'!$B$9,C162)))),IF('Исходные данные'!$B$13&lt;&gt;"",IF(AND(YEAR(B162)=YEAR('Исходные данные'!$B$13),MONTH(B162)=MONTH('Исходные данные'!$B$13)),'Исходные данные'!$B$13,IF('Исходные данные'!$B$26&lt;&gt;"",IF(AND(YEAR(B162)=YEAR('Исходные данные'!$B$26),MONTH(B162)=MONTH('Исходные данные'!$B$26)),'Исходные данные'!$B$26,IF(A162=1,'Исходные данные'!$B$9,C162)),IF(A162=1,'Исходные данные'!$B$9,C162))),IF('Исходные данные'!$B$26&lt;&gt;"",IF(AND(YEAR(B162)=YEAR('Исходные данные'!$B$26),MONTH(B162)=MONTH('Исходные данные'!$B$26)),'Исходные данные'!$B$26,IF(A162=1,'Исходные данные'!$B$9,C162)),IF(A162=1,'Исходные данные'!$B$9,C162)))))</f>
        <v/>
      </c>
      <c r="E162">
        <f>IF(OR(B162="",'Исходные данные'!$B$91=""),0,--(B162&lt;=DATE(YEAR('Исходные данные'!$B$91),MONTH('Исходные данные'!$B$91),1)))</f>
        <v>0</v>
      </c>
      <c r="F162">
        <f>IF(OR(B162="",'Исходные данные'!$B$30="",C162&lt;'Исходные данные'!$B$30),0,DATEDIF(DATE(YEAR('Исходные данные'!$B$30),MONTH('Исходные данные'!$B$30),1),B162,"m")+1)</f>
        <v>0</v>
      </c>
      <c r="G162">
        <f t="shared" ref="G162:G193" si="104">IF(F162=0,0,1+INT((F162-1)/12))</f>
        <v>0</v>
      </c>
      <c r="H162">
        <f>IF(F162=0,0,IF(G162=1,N('Исходные данные'!$B$31),IF(G162=2,N('Исходные данные'!$B$32),IF(G162=3,N('Исходные данные'!$B$33),N('Исходные данные'!$B$33)*(1+N('Исходные данные'!$B$34))^(G162-3)))))</f>
        <v>0</v>
      </c>
      <c r="I162">
        <f>IF(OR(F162=0,N('Исходные данные'!$B$5)=0,H162=0),0,'Исходные данные'!$B$5*H162*IF(AND(B162&lt;='Исходные данные'!$B$30,C162&gt;='Исходные данные'!$B$30),(C162-'Исходные данные'!$B$30+1)/DAY(C162),1))</f>
        <v>0</v>
      </c>
      <c r="J162">
        <f>IF(AND(F162&gt;0,F162&lt;=N('Исходные данные'!$B$37)),-I162,0)</f>
        <v>0</v>
      </c>
      <c r="K162">
        <f>IF(OR(F162=0,F162&lt;=N('Исходные данные'!$B$37)),0,-(I162+J162)*N('Исходные данные'!$B$38))</f>
        <v>0</v>
      </c>
      <c r="L162">
        <f t="shared" ref="L162:L193" si="105">I162+J162+K162</f>
        <v>0</v>
      </c>
      <c r="M162">
        <f>IF('Исходные данные'!$B$51="Да",L162*N('Исходные данные'!$B$52),0)</f>
        <v>0</v>
      </c>
      <c r="N162">
        <f t="shared" ref="N162:N193" si="106">L162+M162</f>
        <v>0</v>
      </c>
      <c r="O162">
        <f>IF(OR(B162="",IF('Исходные данные'!$B$45="",'Исходные данные'!$B$10,'Исходные данные'!$B$45)="",C162&lt;IF('Исходные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данные'!$B$45)),1),B162,"m")/12))*IF(AND(B162&lt;=IF('Исходные данные'!$B$45="",'Исходные данные'!$B$10,'Исходные данные'!$B$45),C162&gt;=IF('Исходные данные'!$B$45="",'Исходные данные'!$B$10,'Исходные данные'!$B$45)),(C162-IF('Исходные данные'!$B$45="",'Исходные данные'!$B$10,'Исходные данные'!$B$45)+1)/DAY(C162),1)*IF('Исходные данные'!$B$43="Без НДС",1+N('Исходные данные'!$B$44),1))</f>
        <v>0</v>
      </c>
      <c r="P162">
        <f>IF('Исходные данные'!$B$51="Да",-O162*N('Исходные данные'!$B$44)/(1+N('Исходные данные'!$B$44)),0)</f>
        <v>0</v>
      </c>
      <c r="Q162">
        <f>IF('Исходные данные'!$B$35="Да",-O162,0)</f>
        <v>0</v>
      </c>
      <c r="R162">
        <f>IF(AND('Исходные данные'!$B$51="Да",Q162&gt;0),Q162*N('Исходные данные'!$B$52)/(1+N('Исходные данные'!$B$52)),0)</f>
        <v>0</v>
      </c>
      <c r="S162">
        <f>IF(OR(B162="",IF('Исходные данные'!$B$45="",'Исходные данные'!$B$10,'Исходные данные'!$B$45)="",C162&lt;IF('Исходные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данные'!$B$45)),1),B162,"m")/12))*IF(AND(B162&lt;=IF('Исходные данные'!$B$45="",'Исходные данные'!$B$10,'Исходные данные'!$B$45),C162&gt;=IF('Исходные данные'!$B$45="",'Исходные данные'!$B$10,'Исходные данные'!$B$45)),(C162-IF('Исходные данные'!$B$45="",'Исходные данные'!$B$10,'Исходные данные'!$B$45)+1)/DAY(C162),1)*IF('Исходные данные'!$B$43="Без НДС",1+N('Исходные данные'!$B$44),1))</f>
        <v>0</v>
      </c>
      <c r="T162">
        <f>IF('Исходные данные'!$B$51="Да",-S162*N('Исходные данные'!$B$44)/(1+N('Исходные данные'!$B$44)),0)</f>
        <v>0</v>
      </c>
      <c r="U162">
        <f>IF('Исходные данные'!$B$36="Да",-S162,0)</f>
        <v>0</v>
      </c>
      <c r="V162">
        <f>IF(AND('Исходные данные'!$B$51="Да",U162&gt;0),U162*N('Исходные данные'!$B$52)/(1+N('Исходные данные'!$B$52)),0)</f>
        <v>0</v>
      </c>
      <c r="W162">
        <f>IF(OR(B162="",IF('Исходные данные'!$B$69="",'Исходные данные'!$B$10,'Исходные данные'!$B$69)="",C162&lt;IF('Исходные данные'!$B$69="",'Исходные данные'!$B$10,'Исходные данные'!$B$69)),0,-N('Исходные данные'!$B$16)*N('Исходные данные'!$B$68)*N('Исходные данные'!$B$67)/12*IF(AND(B162&lt;=IF('Исходные данные'!$B$69="",'Исходные данные'!$B$10,'Исходные данные'!$B$69),C162&gt;=IF('Исходные данные'!$B$69="",'Исходные данные'!$B$10,'Исходные данные'!$B$69)),(C162-IF('Исходные данные'!$B$69="",'Исходные данные'!$B$10,'Исходные данные'!$B$69)+1)/DAY(C162),1))</f>
        <v>0</v>
      </c>
      <c r="X162">
        <f>IF(OR(B162="",IF('Исходные данные'!$B$76="",'Исходные данные'!$B$10,'Исходные данные'!$B$76)="",C162&lt;IF('Исходные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данные'!$B$76)),1),B162,"m")/12))*IF(AND(B162&lt;=IF('Исходные данные'!$B$76="",'Исходные данные'!$B$10,'Исходные данные'!$B$76),C162&gt;=IF('Исходные данные'!$B$76="",'Исходные данные'!$B$10,'Исходные данные'!$B$76)),(C162-IF('Исходные данные'!$B$76="",'Исходные данные'!$B$10,'Исходные данные'!$B$76)+1)/DAY(C162),1))</f>
        <v>0</v>
      </c>
      <c r="Y162">
        <f t="shared" ref="Y162:Y193" si="107">L162+(Q162-R162)+(U162-V162)+(O162+P162)+(S162+T162)+W162+X162</f>
        <v>0</v>
      </c>
      <c r="Z162">
        <f>IF(OR(B162="",N('Исходные данные'!$B$19)=0),0,-SUMIFS('Исходные данные'!$I$6:$I$186,'Исходные данные'!$F$6:$F$186,B162)*N('Исходные данные'!$B$17)/N('Исходные данные'!$B$19))</f>
        <v>0</v>
      </c>
      <c r="AA162">
        <f>IF(OR(B162="",N('Исходные данные'!$B$19)=0),0,-SUMIFS('Исходные данные'!$I$6:$I$186,'Исходные данные'!$F$6:$F$186,B162)*N('Исходные данные'!$B$18)/N('Исходные данные'!$B$19))</f>
        <v>0</v>
      </c>
      <c r="AB162">
        <f>IF(OR(B162="",'Исходные данные'!$B$13=""),0,IF(AND(YEAR(B162)=YEAR('Исходные данные'!$B$13),MONTH(B162)=MONTH('Исходные данные'!$B$13)),-N('Исходные данные'!$B$11),0))</f>
        <v>0</v>
      </c>
      <c r="AC162">
        <f>IF(A162=1,-N('Исходные данные'!$B$19)*N('Исходные данные'!$B$72),0)</f>
        <v>0</v>
      </c>
      <c r="AD162">
        <f>IF(OR(B162="",'Исходные данные'!$B$22&lt;&gt;"Да",'Исходные данные'!$B$26=""),0,IF(AND(YEAR(B162)=YEAR('Исходные данные'!$B$26),MONTH(B162)=MONTH('Исходные данные'!$B$26)),N('Исходные данные'!$B$23),0))</f>
        <v>0</v>
      </c>
      <c r="AE162">
        <f t="shared" si="99"/>
        <v>0</v>
      </c>
      <c r="AF162">
        <f>IF(OR('Исходные данные'!$B$22&lt;&gt;"Да",'Исходные данные'!$B$26="",C162&lt;'Исходные данные'!$B$26),0,DATEDIF(DATE(YEAR('Исходные данные'!$B$26),MONTH('Исходные данные'!$B$26),1),B162,"m")+1)</f>
        <v>0</v>
      </c>
      <c r="AG162">
        <f>IF(OR(AF162&lt;1,AF162&gt;N('Исходные данные'!$B$25),AE162+AD162&lt;=0),0,-(AE162+AD162)*N('Исходные данные'!$B$24)*IF(AF162=1,C162-'Исходные данные'!$B$26+1,DAY(C162))/365)</f>
        <v>0</v>
      </c>
      <c r="AH162">
        <f>IF(OR(AF162&lt;1,AF162&gt;N('Исходные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данные'!$B$25)-AG162))</f>
        <v>0</v>
      </c>
      <c r="AI162">
        <f>IF(OR('Исходные данные'!$B$22&lt;&gt;"Да",AE162+AD162&lt;=0),0,IF(AND('Исходные данные'!$B$91&lt;&gt;"",B162&lt;&gt;"",YEAR(B162)=YEAR('Исходные данные'!$B$91),MONTH(B162)=MONTH('Исходные данные'!$B$91)),-(AE162+AD162),IF(OR(AF162&lt;1,AF162&gt;N('Исходные данные'!$B$25)),0,IF('Исходные данные'!$B$27="Равными долями",-MIN(AE162+AD162,N('Исходные данные'!$B$23)/N('Исходные данные'!$B$25)),-MIN(AE162+AD162,IF(AF162=N('Исходные данные'!$B$25),AE162+AD162,MAX(0,AH162+AG162)))))))</f>
        <v>0</v>
      </c>
      <c r="AJ162">
        <f t="shared" ref="AJ162:AJ193" si="108">AG162+AI162</f>
        <v>0</v>
      </c>
      <c r="AK162">
        <f t="shared" ref="AK162:AK194" si="109">MAX(0,AE162+AD162+AI162)</f>
        <v>0</v>
      </c>
      <c r="AL162">
        <f>IF(OR(B162="",'Исходные данные'!$B$51&lt;&gt;"Да",'Исходные данные'!$B$61=""),0,IF(AND(YEAR(B162)=YEAR('Исходные данные'!$B$61),MONTH(B162)=MONTH('Исходные данные'!$B$61)),N('Исходные данные'!$B$18)*N('Исходные данные'!$B$62),0))</f>
        <v>0</v>
      </c>
      <c r="AM162">
        <f t="shared" si="100"/>
        <v>0</v>
      </c>
      <c r="AN162">
        <f t="shared" ref="AN162:AN194" si="110">M162+R162+V162</f>
        <v>0</v>
      </c>
      <c r="AO162">
        <f t="shared" ref="AO162:AO194" si="111">P162+T162</f>
        <v>0</v>
      </c>
      <c r="AP162">
        <f>IF('Исходные данные'!$B$51="Да",-MAX(0,AN162-AO162-AM162),0)</f>
        <v>0</v>
      </c>
      <c r="AQ162">
        <f>IF('Исходные данные'!$B$51="Да",MAX(0,AM162+AO162-AN162),0)</f>
        <v>0</v>
      </c>
      <c r="AR162">
        <f>IF('Исходные данные'!$B$53="Выручка",MAX(0,L162+(Q162-R162)+(U162-V162)),IF('Исходные данные'!$B$53="Прибыль до налога",MAX(0,L162+(Q162-R162)+(U162-V162)+N('Исходные данные'!$B$54)*((O162+P162)+(S162+T162)+W162+X162)+IF('Исходные данные'!$B$55="Да",AG162,0)-N('Исходные данные'!$B$56)/12),IF('Исходные данные'!$B$53="Пользовательская база",MAX(0,N('Исходные данные'!$B$57)/12),0)))</f>
        <v>0</v>
      </c>
      <c r="AS162">
        <f>IF(E162=1,-AR162*N('Исходные данные'!$B$50),0)</f>
        <v>0</v>
      </c>
      <c r="AT162">
        <f t="shared" ref="AT162:AT194" si="112">IF(B162="",0,SUMIFS($Y$2:$Y$194,$B$2:$B$194,"&gt;"&amp;B162,$B$2:$B$194,"&lt;="&amp;EDATE(B162,12)))</f>
        <v>0</v>
      </c>
      <c r="AU162">
        <f>IF(OR(B162="",N('Исходные данные'!$B$80)&lt;=0,'Исходные данные'!$B$88=""),0,MAX(0,IF('Исходные данные'!$B$88="Последние 12 месяцев",SUMIFS($Y$2:$Y$194,$B$2:$B$194,"&gt;="&amp;EDATE(B162,-11),$B$2:$B$194,"&lt;="&amp;B162),IF('Исходные данные'!$B$88="Пользовательский NOI",N('Исходные данные'!$B$89),AT162))/N('Исходные данные'!$B$80)*(1+N('Исходные данные'!$B$81))))</f>
        <v>0</v>
      </c>
      <c r="AV162">
        <f>IF(OR(E162&lt;&gt;1,B162="",'Исходные данные'!$B$91=""),0,IF(AND(YEAR(B162)=YEAR('Исходные данные'!$B$91),MONTH(B162)=MONTH('Исходные данные'!$B$91)),AU162,0))</f>
        <v>0</v>
      </c>
      <c r="AW162">
        <f>-AV162*N('Исходные данные'!$B$73)</f>
        <v>0</v>
      </c>
      <c r="AX162">
        <f>IF(AV162=0,0,-N('Исходные данные'!$B$87)-IF('Исходные данные'!$B$82="Да",IF('Исходные данные'!$B$84="С выручки",AV162,IF('Исходные данные'!$B$84="С прибыли",MAX(0,AV162+AW162-IF('Исходные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62">
        <f t="shared" ref="AY162:AY193" si="113">AV162+AW162+AX162</f>
        <v>0</v>
      </c>
      <c r="AZ162">
        <f t="shared" ref="AZ162:AZ194" si="114">Z162+AA162+AB162+AC162+AD162+AI162+AG162+O162+Q162+S162+U162+W162+X162+AL162</f>
        <v>0</v>
      </c>
      <c r="BA162">
        <f t="shared" ref="BA162:BA193" si="115">IF(E162=1,AZ162+N162+AP162+AS162+AY162,0)</f>
        <v>0</v>
      </c>
      <c r="BB162" t="str">
        <f t="shared" si="101"/>
        <v/>
      </c>
      <c r="BC162">
        <f>IF(OR(E162=0,'Исходные данные'!$B$9="",'Исходные данные'!$B$90=""),0,BA162/(1+'Исходные данные'!$B$90)^((D162-'Исходные данные'!$B$9)/365))</f>
        <v>0</v>
      </c>
      <c r="BD162">
        <f>IF(AND(E162=1,BB162&gt;=0,BB161&lt;0,MIN($BB$2:BB162)&lt;0),1,0)</f>
        <v>0</v>
      </c>
      <c r="BE162">
        <f t="shared" ref="BE162:BE194" si="116">IF(E162=1,N162+O162+Q162+S162+U162+W162+X162+AP162+AS162,0)</f>
        <v>0</v>
      </c>
      <c r="BF162">
        <f t="shared" ref="BF162:BF194" si="117">Y162</f>
        <v>0</v>
      </c>
      <c r="BG162">
        <f t="shared" ref="BG162:BG194" si="118">IF(E162=1,Y162+AG162+AS162+Z162+AA162+AB162+AC162+AL162+AY162,0)</f>
        <v>0</v>
      </c>
      <c r="BH162">
        <f t="shared" ref="BH162:BH194" si="119">--AND(Z162&lt;=0,AA162&lt;=0,AB162&lt;=0,AC162&lt;=0,AD162&gt;=0,AI162&lt;=0,AG162&lt;=0,O162&lt;=0,Q162&gt;=0,S162&lt;=0,U162&gt;=0,W162&lt;=0,X162&lt;=0,AL162&gt;=0,AP162&lt;=0,AS162&lt;=0,AV162&gt;=0,AW162&lt;=0,AX162&lt;=0,AK162&gt;=-0.01)</f>
        <v>1</v>
      </c>
      <c r="BI162">
        <f>AZ162+N162+AP162-AR162*N('Исходные данные'!$B$50)</f>
        <v>0</v>
      </c>
      <c r="BJ162">
        <f t="shared" si="102"/>
        <v>0</v>
      </c>
      <c r="BK162">
        <f>IF(AND(BJ162&gt;=0,BJ161&lt;0,MIN($BJ$2:BJ162)&lt;0),1,0)</f>
        <v>0</v>
      </c>
    </row>
    <row r="163" spans="1:63" x14ac:dyDescent="0.2">
      <c r="A163">
        <v>162</v>
      </c>
      <c r="B163" t="str">
        <f>IF('Исходные данные'!$B$9="","",EDATE(DATE(YEAR('Исходные данные'!$B$9),MONTH('Исходные данные'!$B$9),1),A163-1))</f>
        <v/>
      </c>
      <c r="C163" t="str">
        <f t="shared" si="103"/>
        <v/>
      </c>
      <c r="D163" t="str">
        <f>IF(B163="","",IF('Исходные данные'!$B$91&lt;&gt;"",IF(AND(YEAR(B163)=YEAR('Исходные данные'!$B$91),MONTH(B163)=MONTH('Исходные данные'!$B$91)),'Исходные данные'!$B$91,IF('Исходные данные'!$B$13&lt;&gt;"",IF(AND(YEAR(B163)=YEAR('Исходные данные'!$B$13),MONTH(B163)=MONTH('Исходные данные'!$B$13)),'Исходные данные'!$B$13,IF('Исходные данные'!$B$26&lt;&gt;"",IF(AND(YEAR(B163)=YEAR('Исходные данные'!$B$26),MONTH(B163)=MONTH('Исходные данные'!$B$26)),'Исходные данные'!$B$26,IF(A163=1,'Исходные данные'!$B$9,C163)),IF(A163=1,'Исходные данные'!$B$9,C163))),IF('Исходные данные'!$B$26&lt;&gt;"",IF(AND(YEAR(B163)=YEAR('Исходные данные'!$B$26),MONTH(B163)=MONTH('Исходные данные'!$B$26)),'Исходные данные'!$B$26,IF(A163=1,'Исходные данные'!$B$9,C163)),IF(A163=1,'Исходные данные'!$B$9,C163)))),IF('Исходные данные'!$B$13&lt;&gt;"",IF(AND(YEAR(B163)=YEAR('Исходные данные'!$B$13),MONTH(B163)=MONTH('Исходные данные'!$B$13)),'Исходные данные'!$B$13,IF('Исходные данные'!$B$26&lt;&gt;"",IF(AND(YEAR(B163)=YEAR('Исходные данные'!$B$26),MONTH(B163)=MONTH('Исходные данные'!$B$26)),'Исходные данные'!$B$26,IF(A163=1,'Исходные данные'!$B$9,C163)),IF(A163=1,'Исходные данные'!$B$9,C163))),IF('Исходные данные'!$B$26&lt;&gt;"",IF(AND(YEAR(B163)=YEAR('Исходные данные'!$B$26),MONTH(B163)=MONTH('Исходные данные'!$B$26)),'Исходные данные'!$B$26,IF(A163=1,'Исходные данные'!$B$9,C163)),IF(A163=1,'Исходные данные'!$B$9,C163)))))</f>
        <v/>
      </c>
      <c r="E163">
        <f>IF(OR(B163="",'Исходные данные'!$B$91=""),0,--(B163&lt;=DATE(YEAR('Исходные данные'!$B$91),MONTH('Исходные данные'!$B$91),1)))</f>
        <v>0</v>
      </c>
      <c r="F163">
        <f>IF(OR(B163="",'Исходные данные'!$B$30="",C163&lt;'Исходные данные'!$B$30),0,DATEDIF(DATE(YEAR('Исходные данные'!$B$30),MONTH('Исходные данные'!$B$30),1),B163,"m")+1)</f>
        <v>0</v>
      </c>
      <c r="G163">
        <f t="shared" si="104"/>
        <v>0</v>
      </c>
      <c r="H163">
        <f>IF(F163=0,0,IF(G163=1,N('Исходные данные'!$B$31),IF(G163=2,N('Исходные данные'!$B$32),IF(G163=3,N('Исходные данные'!$B$33),N('Исходные данные'!$B$33)*(1+N('Исходные данные'!$B$34))^(G163-3)))))</f>
        <v>0</v>
      </c>
      <c r="I163">
        <f>IF(OR(F163=0,N('Исходные данные'!$B$5)=0,H163=0),0,'Исходные данные'!$B$5*H163*IF(AND(B163&lt;='Исходные данные'!$B$30,C163&gt;='Исходные данные'!$B$30),(C163-'Исходные данные'!$B$30+1)/DAY(C163),1))</f>
        <v>0</v>
      </c>
      <c r="J163">
        <f>IF(AND(F163&gt;0,F163&lt;=N('Исходные данные'!$B$37)),-I163,0)</f>
        <v>0</v>
      </c>
      <c r="K163">
        <f>IF(OR(F163=0,F163&lt;=N('Исходные данные'!$B$37)),0,-(I163+J163)*N('Исходные данные'!$B$38))</f>
        <v>0</v>
      </c>
      <c r="L163">
        <f t="shared" si="105"/>
        <v>0</v>
      </c>
      <c r="M163">
        <f>IF('Исходные данные'!$B$51="Да",L163*N('Исходные данные'!$B$52),0)</f>
        <v>0</v>
      </c>
      <c r="N163">
        <f t="shared" si="106"/>
        <v>0</v>
      </c>
      <c r="O163">
        <f>IF(OR(B163="",IF('Исходные данные'!$B$45="",'Исходные данные'!$B$10,'Исходные данные'!$B$45)="",C163&lt;IF('Исходные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данные'!$B$45)),1),B163,"m")/12))*IF(AND(B163&lt;=IF('Исходные данные'!$B$45="",'Исходные данные'!$B$10,'Исходные данные'!$B$45),C163&gt;=IF('Исходные данные'!$B$45="",'Исходные данные'!$B$10,'Исходные данные'!$B$45)),(C163-IF('Исходные данные'!$B$45="",'Исходные данные'!$B$10,'Исходные данные'!$B$45)+1)/DAY(C163),1)*IF('Исходные данные'!$B$43="Без НДС",1+N('Исходные данные'!$B$44),1))</f>
        <v>0</v>
      </c>
      <c r="P163">
        <f>IF('Исходные данные'!$B$51="Да",-O163*N('Исходные данные'!$B$44)/(1+N('Исходные данные'!$B$44)),0)</f>
        <v>0</v>
      </c>
      <c r="Q163">
        <f>IF('Исходные данные'!$B$35="Да",-O163,0)</f>
        <v>0</v>
      </c>
      <c r="R163">
        <f>IF(AND('Исходные данные'!$B$51="Да",Q163&gt;0),Q163*N('Исходные данные'!$B$52)/(1+N('Исходные данные'!$B$52)),0)</f>
        <v>0</v>
      </c>
      <c r="S163">
        <f>IF(OR(B163="",IF('Исходные данные'!$B$45="",'Исходные данные'!$B$10,'Исходные данные'!$B$45)="",C163&lt;IF('Исходные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данные'!$B$45)),1),B163,"m")/12))*IF(AND(B163&lt;=IF('Исходные данные'!$B$45="",'Исходные данные'!$B$10,'Исходные данные'!$B$45),C163&gt;=IF('Исходные данные'!$B$45="",'Исходные данные'!$B$10,'Исходные данные'!$B$45)),(C163-IF('Исходные данные'!$B$45="",'Исходные данные'!$B$10,'Исходные данные'!$B$45)+1)/DAY(C163),1)*IF('Исходные данные'!$B$43="Без НДС",1+N('Исходные данные'!$B$44),1))</f>
        <v>0</v>
      </c>
      <c r="T163">
        <f>IF('Исходные данные'!$B$51="Да",-S163*N('Исходные данные'!$B$44)/(1+N('Исходные данные'!$B$44)),0)</f>
        <v>0</v>
      </c>
      <c r="U163">
        <f>IF('Исходные данные'!$B$36="Да",-S163,0)</f>
        <v>0</v>
      </c>
      <c r="V163">
        <f>IF(AND('Исходные данные'!$B$51="Да",U163&gt;0),U163*N('Исходные данные'!$B$52)/(1+N('Исходные данные'!$B$52)),0)</f>
        <v>0</v>
      </c>
      <c r="W163">
        <f>IF(OR(B163="",IF('Исходные данные'!$B$69="",'Исходные данные'!$B$10,'Исходные данные'!$B$69)="",C163&lt;IF('Исходные данные'!$B$69="",'Исходные данные'!$B$10,'Исходные данные'!$B$69)),0,-N('Исходные данные'!$B$16)*N('Исходные данные'!$B$68)*N('Исходные данные'!$B$67)/12*IF(AND(B163&lt;=IF('Исходные данные'!$B$69="",'Исходные данные'!$B$10,'Исходные данные'!$B$69),C163&gt;=IF('Исходные данные'!$B$69="",'Исходные данные'!$B$10,'Исходные данные'!$B$69)),(C163-IF('Исходные данные'!$B$69="",'Исходные данные'!$B$10,'Исходные данные'!$B$69)+1)/DAY(C163),1))</f>
        <v>0</v>
      </c>
      <c r="X163">
        <f>IF(OR(B163="",IF('Исходные данные'!$B$76="",'Исходные данные'!$B$10,'Исходные данные'!$B$76)="",C163&lt;IF('Исходные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данные'!$B$76)),1),B163,"m")/12))*IF(AND(B163&lt;=IF('Исходные данные'!$B$76="",'Исходные данные'!$B$10,'Исходные данные'!$B$76),C163&gt;=IF('Исходные данные'!$B$76="",'Исходные данные'!$B$10,'Исходные данные'!$B$76)),(C163-IF('Исходные данные'!$B$76="",'Исходные данные'!$B$10,'Исходные данные'!$B$76)+1)/DAY(C163),1))</f>
        <v>0</v>
      </c>
      <c r="Y163">
        <f t="shared" si="107"/>
        <v>0</v>
      </c>
      <c r="Z163">
        <f>IF(OR(B163="",N('Исходные данные'!$B$19)=0),0,-SUMIFS('Исходные данные'!$I$6:$I$186,'Исходные данные'!$F$6:$F$186,B163)*N('Исходные данные'!$B$17)/N('Исходные данные'!$B$19))</f>
        <v>0</v>
      </c>
      <c r="AA163">
        <f>IF(OR(B163="",N('Исходные данные'!$B$19)=0),0,-SUMIFS('Исходные данные'!$I$6:$I$186,'Исходные данные'!$F$6:$F$186,B163)*N('Исходные данные'!$B$18)/N('Исходные данные'!$B$19))</f>
        <v>0</v>
      </c>
      <c r="AB163">
        <f>IF(OR(B163="",'Исходные данные'!$B$13=""),0,IF(AND(YEAR(B163)=YEAR('Исходные данные'!$B$13),MONTH(B163)=MONTH('Исходные данные'!$B$13)),-N('Исходные данные'!$B$11),0))</f>
        <v>0</v>
      </c>
      <c r="AC163">
        <f>IF(A163=1,-N('Исходные данные'!$B$19)*N('Исходные данные'!$B$72),0)</f>
        <v>0</v>
      </c>
      <c r="AD163">
        <f>IF(OR(B163="",'Исходные данные'!$B$22&lt;&gt;"Да",'Исходные данные'!$B$26=""),0,IF(AND(YEAR(B163)=YEAR('Исходные данные'!$B$26),MONTH(B163)=MONTH('Исходные данные'!$B$26)),N('Исходные данные'!$B$23),0))</f>
        <v>0</v>
      </c>
      <c r="AE163">
        <f t="shared" ref="AE163:AE194" si="120">AK162</f>
        <v>0</v>
      </c>
      <c r="AF163">
        <f>IF(OR('Исходные данные'!$B$22&lt;&gt;"Да",'Исходные данные'!$B$26="",C163&lt;'Исходные данные'!$B$26),0,DATEDIF(DATE(YEAR('Исходные данные'!$B$26),MONTH('Исходные данные'!$B$26),1),B163,"m")+1)</f>
        <v>0</v>
      </c>
      <c r="AG163">
        <f>IF(OR(AF163&lt;1,AF163&gt;N('Исходные данные'!$B$25),AE163+AD163&lt;=0),0,-(AE163+AD163)*N('Исходные данные'!$B$24)*IF(AF163=1,C163-'Исходные данные'!$B$26+1,DAY(C163))/365)</f>
        <v>0</v>
      </c>
      <c r="AH163">
        <f>IF(OR(AF163&lt;1,AF163&gt;N('Исходные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данные'!$B$25)-AG163))</f>
        <v>0</v>
      </c>
      <c r="AI163">
        <f>IF(OR('Исходные данные'!$B$22&lt;&gt;"Да",AE163+AD163&lt;=0),0,IF(AND('Исходные данные'!$B$91&lt;&gt;"",B163&lt;&gt;"",YEAR(B163)=YEAR('Исходные данные'!$B$91),MONTH(B163)=MONTH('Исходные данные'!$B$91)),-(AE163+AD163),IF(OR(AF163&lt;1,AF163&gt;N('Исходные данные'!$B$25)),0,IF('Исходные данные'!$B$27="Равными долями",-MIN(AE163+AD163,N('Исходные данные'!$B$23)/N('Исходные данные'!$B$25)),-MIN(AE163+AD163,IF(AF163=N('Исходные данные'!$B$25),AE163+AD163,MAX(0,AH163+AG163)))))))</f>
        <v>0</v>
      </c>
      <c r="AJ163">
        <f t="shared" si="108"/>
        <v>0</v>
      </c>
      <c r="AK163">
        <f t="shared" si="109"/>
        <v>0</v>
      </c>
      <c r="AL163">
        <f>IF(OR(B163="",'Исходные данные'!$B$51&lt;&gt;"Да",'Исходные данные'!$B$61=""),0,IF(AND(YEAR(B163)=YEAR('Исходные данные'!$B$61),MONTH(B163)=MONTH('Исходные данные'!$B$61)),N('Исходные данные'!$B$18)*N('Исходные данные'!$B$62),0))</f>
        <v>0</v>
      </c>
      <c r="AM163">
        <f t="shared" ref="AM163:AM194" si="121">AQ162</f>
        <v>0</v>
      </c>
      <c r="AN163">
        <f t="shared" si="110"/>
        <v>0</v>
      </c>
      <c r="AO163">
        <f t="shared" si="111"/>
        <v>0</v>
      </c>
      <c r="AP163">
        <f>IF('Исходные данные'!$B$51="Да",-MAX(0,AN163-AO163-AM163),0)</f>
        <v>0</v>
      </c>
      <c r="AQ163">
        <f>IF('Исходные данные'!$B$51="Да",MAX(0,AM163+AO163-AN163),0)</f>
        <v>0</v>
      </c>
      <c r="AR163">
        <f>IF('Исходные данные'!$B$53="Выручка",MAX(0,L163+(Q163-R163)+(U163-V163)),IF('Исходные данные'!$B$53="Прибыль до налога",MAX(0,L163+(Q163-R163)+(U163-V163)+N('Исходные данные'!$B$54)*((O163+P163)+(S163+T163)+W163+X163)+IF('Исходные данные'!$B$55="Да",AG163,0)-N('Исходные данные'!$B$56)/12),IF('Исходные данные'!$B$53="Пользовательская база",MAX(0,N('Исходные данные'!$B$57)/12),0)))</f>
        <v>0</v>
      </c>
      <c r="AS163">
        <f>IF(E163=1,-AR163*N('Исходные данные'!$B$50),0)</f>
        <v>0</v>
      </c>
      <c r="AT163">
        <f t="shared" si="112"/>
        <v>0</v>
      </c>
      <c r="AU163">
        <f>IF(OR(B163="",N('Исходные данные'!$B$80)&lt;=0,'Исходные данные'!$B$88=""),0,MAX(0,IF('Исходные данные'!$B$88="Последние 12 месяцев",SUMIFS($Y$2:$Y$194,$B$2:$B$194,"&gt;="&amp;EDATE(B163,-11),$B$2:$B$194,"&lt;="&amp;B163),IF('Исходные данные'!$B$88="Пользовательский NOI",N('Исходные данные'!$B$89),AT163))/N('Исходные данные'!$B$80)*(1+N('Исходные данные'!$B$81))))</f>
        <v>0</v>
      </c>
      <c r="AV163">
        <f>IF(OR(E163&lt;&gt;1,B163="",'Исходные данные'!$B$91=""),0,IF(AND(YEAR(B163)=YEAR('Исходные данные'!$B$91),MONTH(B163)=MONTH('Исходные данные'!$B$91)),AU163,0))</f>
        <v>0</v>
      </c>
      <c r="AW163">
        <f>-AV163*N('Исходные данные'!$B$73)</f>
        <v>0</v>
      </c>
      <c r="AX163">
        <f>IF(AV163=0,0,-N('Исходные данные'!$B$87)-IF('Исходные данные'!$B$82="Да",IF('Исходные данные'!$B$84="С выручки",AV163,IF('Исходные данные'!$B$84="С прибыли",MAX(0,AV163+AW163-IF('Исходные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63">
        <f t="shared" si="113"/>
        <v>0</v>
      </c>
      <c r="AZ163">
        <f t="shared" si="114"/>
        <v>0</v>
      </c>
      <c r="BA163">
        <f t="shared" si="115"/>
        <v>0</v>
      </c>
      <c r="BB163" t="str">
        <f t="shared" ref="BB163:BB194" si="122">IF(E163=1,BB162+BA163,"")</f>
        <v/>
      </c>
      <c r="BC163">
        <f>IF(OR(E163=0,'Исходные данные'!$B$9="",'Исходные данные'!$B$90=""),0,BA163/(1+'Исходные данные'!$B$90)^((D163-'Исходные данные'!$B$9)/365))</f>
        <v>0</v>
      </c>
      <c r="BD163">
        <f>IF(AND(E163=1,BB163&gt;=0,BB162&lt;0,MIN($BB$2:BB163)&lt;0),1,0)</f>
        <v>0</v>
      </c>
      <c r="BE163">
        <f t="shared" si="116"/>
        <v>0</v>
      </c>
      <c r="BF163">
        <f t="shared" si="117"/>
        <v>0</v>
      </c>
      <c r="BG163">
        <f t="shared" si="118"/>
        <v>0</v>
      </c>
      <c r="BH163">
        <f t="shared" si="119"/>
        <v>1</v>
      </c>
      <c r="BI163">
        <f>AZ163+N163+AP163-AR163*N('Исходные данные'!$B$50)</f>
        <v>0</v>
      </c>
      <c r="BJ163">
        <f t="shared" si="102"/>
        <v>0</v>
      </c>
      <c r="BK163">
        <f>IF(AND(BJ163&gt;=0,BJ162&lt;0,MIN($BJ$2:BJ163)&lt;0),1,0)</f>
        <v>0</v>
      </c>
    </row>
    <row r="164" spans="1:63" x14ac:dyDescent="0.2">
      <c r="A164">
        <v>163</v>
      </c>
      <c r="B164" t="str">
        <f>IF('Исходные данные'!$B$9="","",EDATE(DATE(YEAR('Исходные данные'!$B$9),MONTH('Исходные данные'!$B$9),1),A164-1))</f>
        <v/>
      </c>
      <c r="C164" t="str">
        <f t="shared" si="103"/>
        <v/>
      </c>
      <c r="D164" t="str">
        <f>IF(B164="","",IF('Исходные данные'!$B$91&lt;&gt;"",IF(AND(YEAR(B164)=YEAR('Исходные данные'!$B$91),MONTH(B164)=MONTH('Исходные данные'!$B$91)),'Исходные данные'!$B$91,IF('Исходные данные'!$B$13&lt;&gt;"",IF(AND(YEAR(B164)=YEAR('Исходные данные'!$B$13),MONTH(B164)=MONTH('Исходные данные'!$B$13)),'Исходные данные'!$B$13,IF('Исходные данные'!$B$26&lt;&gt;"",IF(AND(YEAR(B164)=YEAR('Исходные данные'!$B$26),MONTH(B164)=MONTH('Исходные данные'!$B$26)),'Исходные данные'!$B$26,IF(A164=1,'Исходные данные'!$B$9,C164)),IF(A164=1,'Исходные данные'!$B$9,C164))),IF('Исходные данные'!$B$26&lt;&gt;"",IF(AND(YEAR(B164)=YEAR('Исходные данные'!$B$26),MONTH(B164)=MONTH('Исходные данные'!$B$26)),'Исходные данные'!$B$26,IF(A164=1,'Исходные данные'!$B$9,C164)),IF(A164=1,'Исходные данные'!$B$9,C164)))),IF('Исходные данные'!$B$13&lt;&gt;"",IF(AND(YEAR(B164)=YEAR('Исходные данные'!$B$13),MONTH(B164)=MONTH('Исходные данные'!$B$13)),'Исходные данные'!$B$13,IF('Исходные данные'!$B$26&lt;&gt;"",IF(AND(YEAR(B164)=YEAR('Исходные данные'!$B$26),MONTH(B164)=MONTH('Исходные данные'!$B$26)),'Исходные данные'!$B$26,IF(A164=1,'Исходные данные'!$B$9,C164)),IF(A164=1,'Исходные данные'!$B$9,C164))),IF('Исходные данные'!$B$26&lt;&gt;"",IF(AND(YEAR(B164)=YEAR('Исходные данные'!$B$26),MONTH(B164)=MONTH('Исходные данные'!$B$26)),'Исходные данные'!$B$26,IF(A164=1,'Исходные данные'!$B$9,C164)),IF(A164=1,'Исходные данные'!$B$9,C164)))))</f>
        <v/>
      </c>
      <c r="E164">
        <f>IF(OR(B164="",'Исходные данные'!$B$91=""),0,--(B164&lt;=DATE(YEAR('Исходные данные'!$B$91),MONTH('Исходные данные'!$B$91),1)))</f>
        <v>0</v>
      </c>
      <c r="F164">
        <f>IF(OR(B164="",'Исходные данные'!$B$30="",C164&lt;'Исходные данные'!$B$30),0,DATEDIF(DATE(YEAR('Исходные данные'!$B$30),MONTH('Исходные данные'!$B$30),1),B164,"m")+1)</f>
        <v>0</v>
      </c>
      <c r="G164">
        <f t="shared" si="104"/>
        <v>0</v>
      </c>
      <c r="H164">
        <f>IF(F164=0,0,IF(G164=1,N('Исходные данные'!$B$31),IF(G164=2,N('Исходные данные'!$B$32),IF(G164=3,N('Исходные данные'!$B$33),N('Исходные данные'!$B$33)*(1+N('Исходные данные'!$B$34))^(G164-3)))))</f>
        <v>0</v>
      </c>
      <c r="I164">
        <f>IF(OR(F164=0,N('Исходные данные'!$B$5)=0,H164=0),0,'Исходные данные'!$B$5*H164*IF(AND(B164&lt;='Исходные данные'!$B$30,C164&gt;='Исходные данные'!$B$30),(C164-'Исходные данные'!$B$30+1)/DAY(C164),1))</f>
        <v>0</v>
      </c>
      <c r="J164">
        <f>IF(AND(F164&gt;0,F164&lt;=N('Исходные данные'!$B$37)),-I164,0)</f>
        <v>0</v>
      </c>
      <c r="K164">
        <f>IF(OR(F164=0,F164&lt;=N('Исходные данные'!$B$37)),0,-(I164+J164)*N('Исходные данные'!$B$38))</f>
        <v>0</v>
      </c>
      <c r="L164">
        <f t="shared" si="105"/>
        <v>0</v>
      </c>
      <c r="M164">
        <f>IF('Исходные данные'!$B$51="Да",L164*N('Исходные данные'!$B$52),0)</f>
        <v>0</v>
      </c>
      <c r="N164">
        <f t="shared" si="106"/>
        <v>0</v>
      </c>
      <c r="O164">
        <f>IF(OR(B164="",IF('Исходные данные'!$B$45="",'Исходные данные'!$B$10,'Исходные данные'!$B$45)="",C164&lt;IF('Исходные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данные'!$B$45)),1),B164,"m")/12))*IF(AND(B164&lt;=IF('Исходные данные'!$B$45="",'Исходные данные'!$B$10,'Исходные данные'!$B$45),C164&gt;=IF('Исходные данные'!$B$45="",'Исходные данные'!$B$10,'Исходные данные'!$B$45)),(C164-IF('Исходные данные'!$B$45="",'Исходные данные'!$B$10,'Исходные данные'!$B$45)+1)/DAY(C164),1)*IF('Исходные данные'!$B$43="Без НДС",1+N('Исходные данные'!$B$44),1))</f>
        <v>0</v>
      </c>
      <c r="P164">
        <f>IF('Исходные данные'!$B$51="Да",-O164*N('Исходные данные'!$B$44)/(1+N('Исходные данные'!$B$44)),0)</f>
        <v>0</v>
      </c>
      <c r="Q164">
        <f>IF('Исходные данные'!$B$35="Да",-O164,0)</f>
        <v>0</v>
      </c>
      <c r="R164">
        <f>IF(AND('Исходные данные'!$B$51="Да",Q164&gt;0),Q164*N('Исходные данные'!$B$52)/(1+N('Исходные данные'!$B$52)),0)</f>
        <v>0</v>
      </c>
      <c r="S164">
        <f>IF(OR(B164="",IF('Исходные данные'!$B$45="",'Исходные данные'!$B$10,'Исходные данные'!$B$45)="",C164&lt;IF('Исходные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данные'!$B$45)),1),B164,"m")/12))*IF(AND(B164&lt;=IF('Исходные данные'!$B$45="",'Исходные данные'!$B$10,'Исходные данные'!$B$45),C164&gt;=IF('Исходные данные'!$B$45="",'Исходные данные'!$B$10,'Исходные данные'!$B$45)),(C164-IF('Исходные данные'!$B$45="",'Исходные данные'!$B$10,'Исходные данные'!$B$45)+1)/DAY(C164),1)*IF('Исходные данные'!$B$43="Без НДС",1+N('Исходные данные'!$B$44),1))</f>
        <v>0</v>
      </c>
      <c r="T164">
        <f>IF('Исходные данные'!$B$51="Да",-S164*N('Исходные данные'!$B$44)/(1+N('Исходные данные'!$B$44)),0)</f>
        <v>0</v>
      </c>
      <c r="U164">
        <f>IF('Исходные данные'!$B$36="Да",-S164,0)</f>
        <v>0</v>
      </c>
      <c r="V164">
        <f>IF(AND('Исходные данные'!$B$51="Да",U164&gt;0),U164*N('Исходные данные'!$B$52)/(1+N('Исходные данные'!$B$52)),0)</f>
        <v>0</v>
      </c>
      <c r="W164">
        <f>IF(OR(B164="",IF('Исходные данные'!$B$69="",'Исходные данные'!$B$10,'Исходные данные'!$B$69)="",C164&lt;IF('Исходные данные'!$B$69="",'Исходные данные'!$B$10,'Исходные данные'!$B$69)),0,-N('Исходные данные'!$B$16)*N('Исходные данные'!$B$68)*N('Исходные данные'!$B$67)/12*IF(AND(B164&lt;=IF('Исходные данные'!$B$69="",'Исходные данные'!$B$10,'Исходные данные'!$B$69),C164&gt;=IF('Исходные данные'!$B$69="",'Исходные данные'!$B$10,'Исходные данные'!$B$69)),(C164-IF('Исходные данные'!$B$69="",'Исходные данные'!$B$10,'Исходные данные'!$B$69)+1)/DAY(C164),1))</f>
        <v>0</v>
      </c>
      <c r="X164">
        <f>IF(OR(B164="",IF('Исходные данные'!$B$76="",'Исходные данные'!$B$10,'Исходные данные'!$B$76)="",C164&lt;IF('Исходные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данные'!$B$76)),1),B164,"m")/12))*IF(AND(B164&lt;=IF('Исходные данные'!$B$76="",'Исходные данные'!$B$10,'Исходные данные'!$B$76),C164&gt;=IF('Исходные данные'!$B$76="",'Исходные данные'!$B$10,'Исходные данные'!$B$76)),(C164-IF('Исходные данные'!$B$76="",'Исходные данные'!$B$10,'Исходные данные'!$B$76)+1)/DAY(C164),1))</f>
        <v>0</v>
      </c>
      <c r="Y164">
        <f t="shared" si="107"/>
        <v>0</v>
      </c>
      <c r="Z164">
        <f>IF(OR(B164="",N('Исходные данные'!$B$19)=0),0,-SUMIFS('Исходные данные'!$I$6:$I$186,'Исходные данные'!$F$6:$F$186,B164)*N('Исходные данные'!$B$17)/N('Исходные данные'!$B$19))</f>
        <v>0</v>
      </c>
      <c r="AA164">
        <f>IF(OR(B164="",N('Исходные данные'!$B$19)=0),0,-SUMIFS('Исходные данные'!$I$6:$I$186,'Исходные данные'!$F$6:$F$186,B164)*N('Исходные данные'!$B$18)/N('Исходные данные'!$B$19))</f>
        <v>0</v>
      </c>
      <c r="AB164">
        <f>IF(OR(B164="",'Исходные данные'!$B$13=""),0,IF(AND(YEAR(B164)=YEAR('Исходные данные'!$B$13),MONTH(B164)=MONTH('Исходные данные'!$B$13)),-N('Исходные данные'!$B$11),0))</f>
        <v>0</v>
      </c>
      <c r="AC164">
        <f>IF(A164=1,-N('Исходные данные'!$B$19)*N('Исходные данные'!$B$72),0)</f>
        <v>0</v>
      </c>
      <c r="AD164">
        <f>IF(OR(B164="",'Исходные данные'!$B$22&lt;&gt;"Да",'Исходные данные'!$B$26=""),0,IF(AND(YEAR(B164)=YEAR('Исходные данные'!$B$26),MONTH(B164)=MONTH('Исходные данные'!$B$26)),N('Исходные данные'!$B$23),0))</f>
        <v>0</v>
      </c>
      <c r="AE164">
        <f t="shared" si="120"/>
        <v>0</v>
      </c>
      <c r="AF164">
        <f>IF(OR('Исходные данные'!$B$22&lt;&gt;"Да",'Исходные данные'!$B$26="",C164&lt;'Исходные данные'!$B$26),0,DATEDIF(DATE(YEAR('Исходные данные'!$B$26),MONTH('Исходные данные'!$B$26),1),B164,"m")+1)</f>
        <v>0</v>
      </c>
      <c r="AG164">
        <f>IF(OR(AF164&lt;1,AF164&gt;N('Исходные данные'!$B$25),AE164+AD164&lt;=0),0,-(AE164+AD164)*N('Исходные данные'!$B$24)*IF(AF164=1,C164-'Исходные данные'!$B$26+1,DAY(C164))/365)</f>
        <v>0</v>
      </c>
      <c r="AH164">
        <f>IF(OR(AF164&lt;1,AF164&gt;N('Исходные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данные'!$B$25)-AG164))</f>
        <v>0</v>
      </c>
      <c r="AI164">
        <f>IF(OR('Исходные данные'!$B$22&lt;&gt;"Да",AE164+AD164&lt;=0),0,IF(AND('Исходные данные'!$B$91&lt;&gt;"",B164&lt;&gt;"",YEAR(B164)=YEAR('Исходные данные'!$B$91),MONTH(B164)=MONTH('Исходные данные'!$B$91)),-(AE164+AD164),IF(OR(AF164&lt;1,AF164&gt;N('Исходные данные'!$B$25)),0,IF('Исходные данные'!$B$27="Равными долями",-MIN(AE164+AD164,N('Исходные данные'!$B$23)/N('Исходные данные'!$B$25)),-MIN(AE164+AD164,IF(AF164=N('Исходные данные'!$B$25),AE164+AD164,MAX(0,AH164+AG164)))))))</f>
        <v>0</v>
      </c>
      <c r="AJ164">
        <f t="shared" si="108"/>
        <v>0</v>
      </c>
      <c r="AK164">
        <f t="shared" si="109"/>
        <v>0</v>
      </c>
      <c r="AL164">
        <f>IF(OR(B164="",'Исходные данные'!$B$51&lt;&gt;"Да",'Исходные данные'!$B$61=""),0,IF(AND(YEAR(B164)=YEAR('Исходные данные'!$B$61),MONTH(B164)=MONTH('Исходные данные'!$B$61)),N('Исходные данные'!$B$18)*N('Исходные данные'!$B$62),0))</f>
        <v>0</v>
      </c>
      <c r="AM164">
        <f t="shared" si="121"/>
        <v>0</v>
      </c>
      <c r="AN164">
        <f t="shared" si="110"/>
        <v>0</v>
      </c>
      <c r="AO164">
        <f t="shared" si="111"/>
        <v>0</v>
      </c>
      <c r="AP164">
        <f>IF('Исходные данные'!$B$51="Да",-MAX(0,AN164-AO164-AM164),0)</f>
        <v>0</v>
      </c>
      <c r="AQ164">
        <f>IF('Исходные данные'!$B$51="Да",MAX(0,AM164+AO164-AN164),0)</f>
        <v>0</v>
      </c>
      <c r="AR164">
        <f>IF('Исходные данные'!$B$53="Выручка",MAX(0,L164+(Q164-R164)+(U164-V164)),IF('Исходные данные'!$B$53="Прибыль до налога",MAX(0,L164+(Q164-R164)+(U164-V164)+N('Исходные данные'!$B$54)*((O164+P164)+(S164+T164)+W164+X164)+IF('Исходные данные'!$B$55="Да",AG164,0)-N('Исходные данные'!$B$56)/12),IF('Исходные данные'!$B$53="Пользовательская база",MAX(0,N('Исходные данные'!$B$57)/12),0)))</f>
        <v>0</v>
      </c>
      <c r="AS164">
        <f>IF(E164=1,-AR164*N('Исходные данные'!$B$50),0)</f>
        <v>0</v>
      </c>
      <c r="AT164">
        <f t="shared" si="112"/>
        <v>0</v>
      </c>
      <c r="AU164">
        <f>IF(OR(B164="",N('Исходные данные'!$B$80)&lt;=0,'Исходные данные'!$B$88=""),0,MAX(0,IF('Исходные данные'!$B$88="Последние 12 месяцев",SUMIFS($Y$2:$Y$194,$B$2:$B$194,"&gt;="&amp;EDATE(B164,-11),$B$2:$B$194,"&lt;="&amp;B164),IF('Исходные данные'!$B$88="Пользовательский NOI",N('Исходные данные'!$B$89),AT164))/N('Исходные данные'!$B$80)*(1+N('Исходные данные'!$B$81))))</f>
        <v>0</v>
      </c>
      <c r="AV164">
        <f>IF(OR(E164&lt;&gt;1,B164="",'Исходные данные'!$B$91=""),0,IF(AND(YEAR(B164)=YEAR('Исходные данные'!$B$91),MONTH(B164)=MONTH('Исходные данные'!$B$91)),AU164,0))</f>
        <v>0</v>
      </c>
      <c r="AW164">
        <f>-AV164*N('Исходные данные'!$B$73)</f>
        <v>0</v>
      </c>
      <c r="AX164">
        <f>IF(AV164=0,0,-N('Исходные данные'!$B$87)-IF('Исходные данные'!$B$82="Да",IF('Исходные данные'!$B$84="С выручки",AV164,IF('Исходные данные'!$B$84="С прибыли",MAX(0,AV164+AW164-IF('Исходные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64">
        <f t="shared" si="113"/>
        <v>0</v>
      </c>
      <c r="AZ164">
        <f t="shared" si="114"/>
        <v>0</v>
      </c>
      <c r="BA164">
        <f t="shared" si="115"/>
        <v>0</v>
      </c>
      <c r="BB164" t="str">
        <f t="shared" si="122"/>
        <v/>
      </c>
      <c r="BC164">
        <f>IF(OR(E164=0,'Исходные данные'!$B$9="",'Исходные данные'!$B$90=""),0,BA164/(1+'Исходные данные'!$B$90)^((D164-'Исходные данные'!$B$9)/365))</f>
        <v>0</v>
      </c>
      <c r="BD164">
        <f>IF(AND(E164=1,BB164&gt;=0,BB163&lt;0,MIN($BB$2:BB164)&lt;0),1,0)</f>
        <v>0</v>
      </c>
      <c r="BE164">
        <f t="shared" si="116"/>
        <v>0</v>
      </c>
      <c r="BF164">
        <f t="shared" si="117"/>
        <v>0</v>
      </c>
      <c r="BG164">
        <f t="shared" si="118"/>
        <v>0</v>
      </c>
      <c r="BH164">
        <f t="shared" si="119"/>
        <v>1</v>
      </c>
      <c r="BI164">
        <f>AZ164+N164+AP164-AR164*N('Исходные данные'!$B$50)</f>
        <v>0</v>
      </c>
      <c r="BJ164">
        <f t="shared" si="102"/>
        <v>0</v>
      </c>
      <c r="BK164">
        <f>IF(AND(BJ164&gt;=0,BJ163&lt;0,MIN($BJ$2:BJ164)&lt;0),1,0)</f>
        <v>0</v>
      </c>
    </row>
    <row r="165" spans="1:63" x14ac:dyDescent="0.2">
      <c r="A165">
        <v>164</v>
      </c>
      <c r="B165" t="str">
        <f>IF('Исходные данные'!$B$9="","",EDATE(DATE(YEAR('Исходные данные'!$B$9),MONTH('Исходные данные'!$B$9),1),A165-1))</f>
        <v/>
      </c>
      <c r="C165" t="str">
        <f t="shared" si="103"/>
        <v/>
      </c>
      <c r="D165" t="str">
        <f>IF(B165="","",IF('Исходные данные'!$B$91&lt;&gt;"",IF(AND(YEAR(B165)=YEAR('Исходные данные'!$B$91),MONTH(B165)=MONTH('Исходные данные'!$B$91)),'Исходные данные'!$B$91,IF('Исходные данные'!$B$13&lt;&gt;"",IF(AND(YEAR(B165)=YEAR('Исходные данные'!$B$13),MONTH(B165)=MONTH('Исходные данные'!$B$13)),'Исходные данные'!$B$13,IF('Исходные данные'!$B$26&lt;&gt;"",IF(AND(YEAR(B165)=YEAR('Исходные данные'!$B$26),MONTH(B165)=MONTH('Исходные данные'!$B$26)),'Исходные данные'!$B$26,IF(A165=1,'Исходные данные'!$B$9,C165)),IF(A165=1,'Исходные данные'!$B$9,C165))),IF('Исходные данные'!$B$26&lt;&gt;"",IF(AND(YEAR(B165)=YEAR('Исходные данные'!$B$26),MONTH(B165)=MONTH('Исходные данные'!$B$26)),'Исходные данные'!$B$26,IF(A165=1,'Исходные данные'!$B$9,C165)),IF(A165=1,'Исходные данные'!$B$9,C165)))),IF('Исходные данные'!$B$13&lt;&gt;"",IF(AND(YEAR(B165)=YEAR('Исходные данные'!$B$13),MONTH(B165)=MONTH('Исходные данные'!$B$13)),'Исходные данные'!$B$13,IF('Исходные данные'!$B$26&lt;&gt;"",IF(AND(YEAR(B165)=YEAR('Исходные данные'!$B$26),MONTH(B165)=MONTH('Исходные данные'!$B$26)),'Исходные данные'!$B$26,IF(A165=1,'Исходные данные'!$B$9,C165)),IF(A165=1,'Исходные данные'!$B$9,C165))),IF('Исходные данные'!$B$26&lt;&gt;"",IF(AND(YEAR(B165)=YEAR('Исходные данные'!$B$26),MONTH(B165)=MONTH('Исходные данные'!$B$26)),'Исходные данные'!$B$26,IF(A165=1,'Исходные данные'!$B$9,C165)),IF(A165=1,'Исходные данные'!$B$9,C165)))))</f>
        <v/>
      </c>
      <c r="E165">
        <f>IF(OR(B165="",'Исходные данные'!$B$91=""),0,--(B165&lt;=DATE(YEAR('Исходные данные'!$B$91),MONTH('Исходные данные'!$B$91),1)))</f>
        <v>0</v>
      </c>
      <c r="F165">
        <f>IF(OR(B165="",'Исходные данные'!$B$30="",C165&lt;'Исходные данные'!$B$30),0,DATEDIF(DATE(YEAR('Исходные данные'!$B$30),MONTH('Исходные данные'!$B$30),1),B165,"m")+1)</f>
        <v>0</v>
      </c>
      <c r="G165">
        <f t="shared" si="104"/>
        <v>0</v>
      </c>
      <c r="H165">
        <f>IF(F165=0,0,IF(G165=1,N('Исходные данные'!$B$31),IF(G165=2,N('Исходные данные'!$B$32),IF(G165=3,N('Исходные данные'!$B$33),N('Исходные данные'!$B$33)*(1+N('Исходные данные'!$B$34))^(G165-3)))))</f>
        <v>0</v>
      </c>
      <c r="I165">
        <f>IF(OR(F165=0,N('Исходные данные'!$B$5)=0,H165=0),0,'Исходные данные'!$B$5*H165*IF(AND(B165&lt;='Исходные данные'!$B$30,C165&gt;='Исходные данные'!$B$30),(C165-'Исходные данные'!$B$30+1)/DAY(C165),1))</f>
        <v>0</v>
      </c>
      <c r="J165">
        <f>IF(AND(F165&gt;0,F165&lt;=N('Исходные данные'!$B$37)),-I165,0)</f>
        <v>0</v>
      </c>
      <c r="K165">
        <f>IF(OR(F165=0,F165&lt;=N('Исходные данные'!$B$37)),0,-(I165+J165)*N('Исходные данные'!$B$38))</f>
        <v>0</v>
      </c>
      <c r="L165">
        <f t="shared" si="105"/>
        <v>0</v>
      </c>
      <c r="M165">
        <f>IF('Исходные данные'!$B$51="Да",L165*N('Исходные данные'!$B$52),0)</f>
        <v>0</v>
      </c>
      <c r="N165">
        <f t="shared" si="106"/>
        <v>0</v>
      </c>
      <c r="O165">
        <f>IF(OR(B165="",IF('Исходные данные'!$B$45="",'Исходные данные'!$B$10,'Исходные данные'!$B$45)="",C165&lt;IF('Исходные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данные'!$B$45)),1),B165,"m")/12))*IF(AND(B165&lt;=IF('Исходные данные'!$B$45="",'Исходные данные'!$B$10,'Исходные данные'!$B$45),C165&gt;=IF('Исходные данные'!$B$45="",'Исходные данные'!$B$10,'Исходные данные'!$B$45)),(C165-IF('Исходные данные'!$B$45="",'Исходные данные'!$B$10,'Исходные данные'!$B$45)+1)/DAY(C165),1)*IF('Исходные данные'!$B$43="Без НДС",1+N('Исходные данные'!$B$44),1))</f>
        <v>0</v>
      </c>
      <c r="P165">
        <f>IF('Исходные данные'!$B$51="Да",-O165*N('Исходные данные'!$B$44)/(1+N('Исходные данные'!$B$44)),0)</f>
        <v>0</v>
      </c>
      <c r="Q165">
        <f>IF('Исходные данные'!$B$35="Да",-O165,0)</f>
        <v>0</v>
      </c>
      <c r="R165">
        <f>IF(AND('Исходные данные'!$B$51="Да",Q165&gt;0),Q165*N('Исходные данные'!$B$52)/(1+N('Исходные данные'!$B$52)),0)</f>
        <v>0</v>
      </c>
      <c r="S165">
        <f>IF(OR(B165="",IF('Исходные данные'!$B$45="",'Исходные данные'!$B$10,'Исходные данные'!$B$45)="",C165&lt;IF('Исходные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данные'!$B$45)),1),B165,"m")/12))*IF(AND(B165&lt;=IF('Исходные данные'!$B$45="",'Исходные данные'!$B$10,'Исходные данные'!$B$45),C165&gt;=IF('Исходные данные'!$B$45="",'Исходные данные'!$B$10,'Исходные данные'!$B$45)),(C165-IF('Исходные данные'!$B$45="",'Исходные данные'!$B$10,'Исходные данные'!$B$45)+1)/DAY(C165),1)*IF('Исходные данные'!$B$43="Без НДС",1+N('Исходные данные'!$B$44),1))</f>
        <v>0</v>
      </c>
      <c r="T165">
        <f>IF('Исходные данные'!$B$51="Да",-S165*N('Исходные данные'!$B$44)/(1+N('Исходные данные'!$B$44)),0)</f>
        <v>0</v>
      </c>
      <c r="U165">
        <f>IF('Исходные данные'!$B$36="Да",-S165,0)</f>
        <v>0</v>
      </c>
      <c r="V165">
        <f>IF(AND('Исходные данные'!$B$51="Да",U165&gt;0),U165*N('Исходные данные'!$B$52)/(1+N('Исходные данные'!$B$52)),0)</f>
        <v>0</v>
      </c>
      <c r="W165">
        <f>IF(OR(B165="",IF('Исходные данные'!$B$69="",'Исходные данные'!$B$10,'Исходные данные'!$B$69)="",C165&lt;IF('Исходные данные'!$B$69="",'Исходные данные'!$B$10,'Исходные данные'!$B$69)),0,-N('Исходные данные'!$B$16)*N('Исходные данные'!$B$68)*N('Исходные данные'!$B$67)/12*IF(AND(B165&lt;=IF('Исходные данные'!$B$69="",'Исходные данные'!$B$10,'Исходные данные'!$B$69),C165&gt;=IF('Исходные данные'!$B$69="",'Исходные данные'!$B$10,'Исходные данные'!$B$69)),(C165-IF('Исходные данные'!$B$69="",'Исходные данные'!$B$10,'Исходные данные'!$B$69)+1)/DAY(C165),1))</f>
        <v>0</v>
      </c>
      <c r="X165">
        <f>IF(OR(B165="",IF('Исходные данные'!$B$76="",'Исходные данные'!$B$10,'Исходные данные'!$B$76)="",C165&lt;IF('Исходные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данные'!$B$76)),1),B165,"m")/12))*IF(AND(B165&lt;=IF('Исходные данные'!$B$76="",'Исходные данные'!$B$10,'Исходные данные'!$B$76),C165&gt;=IF('Исходные данные'!$B$76="",'Исходные данные'!$B$10,'Исходные данные'!$B$76)),(C165-IF('Исходные данные'!$B$76="",'Исходные данные'!$B$10,'Исходные данные'!$B$76)+1)/DAY(C165),1))</f>
        <v>0</v>
      </c>
      <c r="Y165">
        <f t="shared" si="107"/>
        <v>0</v>
      </c>
      <c r="Z165">
        <f>IF(OR(B165="",N('Исходные данные'!$B$19)=0),0,-SUMIFS('Исходные данные'!$I$6:$I$186,'Исходные данные'!$F$6:$F$186,B165)*N('Исходные данные'!$B$17)/N('Исходные данные'!$B$19))</f>
        <v>0</v>
      </c>
      <c r="AA165">
        <f>IF(OR(B165="",N('Исходные данные'!$B$19)=0),0,-SUMIFS('Исходные данные'!$I$6:$I$186,'Исходные данные'!$F$6:$F$186,B165)*N('Исходные данные'!$B$18)/N('Исходные данные'!$B$19))</f>
        <v>0</v>
      </c>
      <c r="AB165">
        <f>IF(OR(B165="",'Исходные данные'!$B$13=""),0,IF(AND(YEAR(B165)=YEAR('Исходные данные'!$B$13),MONTH(B165)=MONTH('Исходные данные'!$B$13)),-N('Исходные данные'!$B$11),0))</f>
        <v>0</v>
      </c>
      <c r="AC165">
        <f>IF(A165=1,-N('Исходные данные'!$B$19)*N('Исходные данные'!$B$72),0)</f>
        <v>0</v>
      </c>
      <c r="AD165">
        <f>IF(OR(B165="",'Исходные данные'!$B$22&lt;&gt;"Да",'Исходные данные'!$B$26=""),0,IF(AND(YEAR(B165)=YEAR('Исходные данные'!$B$26),MONTH(B165)=MONTH('Исходные данные'!$B$26)),N('Исходные данные'!$B$23),0))</f>
        <v>0</v>
      </c>
      <c r="AE165">
        <f t="shared" si="120"/>
        <v>0</v>
      </c>
      <c r="AF165">
        <f>IF(OR('Исходные данные'!$B$22&lt;&gt;"Да",'Исходные данные'!$B$26="",C165&lt;'Исходные данные'!$B$26),0,DATEDIF(DATE(YEAR('Исходные данные'!$B$26),MONTH('Исходные данные'!$B$26),1),B165,"m")+1)</f>
        <v>0</v>
      </c>
      <c r="AG165">
        <f>IF(OR(AF165&lt;1,AF165&gt;N('Исходные данные'!$B$25),AE165+AD165&lt;=0),0,-(AE165+AD165)*N('Исходные данные'!$B$24)*IF(AF165=1,C165-'Исходные данные'!$B$26+1,DAY(C165))/365)</f>
        <v>0</v>
      </c>
      <c r="AH165">
        <f>IF(OR(AF165&lt;1,AF165&gt;N('Исходные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данные'!$B$25)-AG165))</f>
        <v>0</v>
      </c>
      <c r="AI165">
        <f>IF(OR('Исходные данные'!$B$22&lt;&gt;"Да",AE165+AD165&lt;=0),0,IF(AND('Исходные данные'!$B$91&lt;&gt;"",B165&lt;&gt;"",YEAR(B165)=YEAR('Исходные данные'!$B$91),MONTH(B165)=MONTH('Исходные данные'!$B$91)),-(AE165+AD165),IF(OR(AF165&lt;1,AF165&gt;N('Исходные данные'!$B$25)),0,IF('Исходные данные'!$B$27="Равными долями",-MIN(AE165+AD165,N('Исходные данные'!$B$23)/N('Исходные данные'!$B$25)),-MIN(AE165+AD165,IF(AF165=N('Исходные данные'!$B$25),AE165+AD165,MAX(0,AH165+AG165)))))))</f>
        <v>0</v>
      </c>
      <c r="AJ165">
        <f t="shared" si="108"/>
        <v>0</v>
      </c>
      <c r="AK165">
        <f t="shared" si="109"/>
        <v>0</v>
      </c>
      <c r="AL165">
        <f>IF(OR(B165="",'Исходные данные'!$B$51&lt;&gt;"Да",'Исходные данные'!$B$61=""),0,IF(AND(YEAR(B165)=YEAR('Исходные данные'!$B$61),MONTH(B165)=MONTH('Исходные данные'!$B$61)),N('Исходные данные'!$B$18)*N('Исходные данные'!$B$62),0))</f>
        <v>0</v>
      </c>
      <c r="AM165">
        <f t="shared" si="121"/>
        <v>0</v>
      </c>
      <c r="AN165">
        <f t="shared" si="110"/>
        <v>0</v>
      </c>
      <c r="AO165">
        <f t="shared" si="111"/>
        <v>0</v>
      </c>
      <c r="AP165">
        <f>IF('Исходные данные'!$B$51="Да",-MAX(0,AN165-AO165-AM165),0)</f>
        <v>0</v>
      </c>
      <c r="AQ165">
        <f>IF('Исходные данные'!$B$51="Да",MAX(0,AM165+AO165-AN165),0)</f>
        <v>0</v>
      </c>
      <c r="AR165">
        <f>IF('Исходные данные'!$B$53="Выручка",MAX(0,L165+(Q165-R165)+(U165-V165)),IF('Исходные данные'!$B$53="Прибыль до налога",MAX(0,L165+(Q165-R165)+(U165-V165)+N('Исходные данные'!$B$54)*((O165+P165)+(S165+T165)+W165+X165)+IF('Исходные данные'!$B$55="Да",AG165,0)-N('Исходные данные'!$B$56)/12),IF('Исходные данные'!$B$53="Пользовательская база",MAX(0,N('Исходные данные'!$B$57)/12),0)))</f>
        <v>0</v>
      </c>
      <c r="AS165">
        <f>IF(E165=1,-AR165*N('Исходные данные'!$B$50),0)</f>
        <v>0</v>
      </c>
      <c r="AT165">
        <f t="shared" si="112"/>
        <v>0</v>
      </c>
      <c r="AU165">
        <f>IF(OR(B165="",N('Исходные данные'!$B$80)&lt;=0,'Исходные данные'!$B$88=""),0,MAX(0,IF('Исходные данные'!$B$88="Последние 12 месяцев",SUMIFS($Y$2:$Y$194,$B$2:$B$194,"&gt;="&amp;EDATE(B165,-11),$B$2:$B$194,"&lt;="&amp;B165),IF('Исходные данные'!$B$88="Пользовательский NOI",N('Исходные данные'!$B$89),AT165))/N('Исходные данные'!$B$80)*(1+N('Исходные данные'!$B$81))))</f>
        <v>0</v>
      </c>
      <c r="AV165">
        <f>IF(OR(E165&lt;&gt;1,B165="",'Исходные данные'!$B$91=""),0,IF(AND(YEAR(B165)=YEAR('Исходные данные'!$B$91),MONTH(B165)=MONTH('Исходные данные'!$B$91)),AU165,0))</f>
        <v>0</v>
      </c>
      <c r="AW165">
        <f>-AV165*N('Исходные данные'!$B$73)</f>
        <v>0</v>
      </c>
      <c r="AX165">
        <f>IF(AV165=0,0,-N('Исходные данные'!$B$87)-IF('Исходные данные'!$B$82="Да",IF('Исходные данные'!$B$84="С выручки",AV165,IF('Исходные данные'!$B$84="С прибыли",MAX(0,AV165+AW165-IF('Исходные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65">
        <f t="shared" si="113"/>
        <v>0</v>
      </c>
      <c r="AZ165">
        <f t="shared" si="114"/>
        <v>0</v>
      </c>
      <c r="BA165">
        <f t="shared" si="115"/>
        <v>0</v>
      </c>
      <c r="BB165" t="str">
        <f t="shared" si="122"/>
        <v/>
      </c>
      <c r="BC165">
        <f>IF(OR(E165=0,'Исходные данные'!$B$9="",'Исходные данные'!$B$90=""),0,BA165/(1+'Исходные данные'!$B$90)^((D165-'Исходные данные'!$B$9)/365))</f>
        <v>0</v>
      </c>
      <c r="BD165">
        <f>IF(AND(E165=1,BB165&gt;=0,BB164&lt;0,MIN($BB$2:BB165)&lt;0),1,0)</f>
        <v>0</v>
      </c>
      <c r="BE165">
        <f t="shared" si="116"/>
        <v>0</v>
      </c>
      <c r="BF165">
        <f t="shared" si="117"/>
        <v>0</v>
      </c>
      <c r="BG165">
        <f t="shared" si="118"/>
        <v>0</v>
      </c>
      <c r="BH165">
        <f t="shared" si="119"/>
        <v>1</v>
      </c>
      <c r="BI165">
        <f>AZ165+N165+AP165-AR165*N('Исходные данные'!$B$50)</f>
        <v>0</v>
      </c>
      <c r="BJ165">
        <f t="shared" si="102"/>
        <v>0</v>
      </c>
      <c r="BK165">
        <f>IF(AND(BJ165&gt;=0,BJ164&lt;0,MIN($BJ$2:BJ165)&lt;0),1,0)</f>
        <v>0</v>
      </c>
    </row>
    <row r="166" spans="1:63" x14ac:dyDescent="0.2">
      <c r="A166">
        <v>165</v>
      </c>
      <c r="B166" t="str">
        <f>IF('Исходные данные'!$B$9="","",EDATE(DATE(YEAR('Исходные данные'!$B$9),MONTH('Исходные данные'!$B$9),1),A166-1))</f>
        <v/>
      </c>
      <c r="C166" t="str">
        <f t="shared" si="103"/>
        <v/>
      </c>
      <c r="D166" t="str">
        <f>IF(B166="","",IF('Исходные данные'!$B$91&lt;&gt;"",IF(AND(YEAR(B166)=YEAR('Исходные данные'!$B$91),MONTH(B166)=MONTH('Исходные данные'!$B$91)),'Исходные данные'!$B$91,IF('Исходные данные'!$B$13&lt;&gt;"",IF(AND(YEAR(B166)=YEAR('Исходные данные'!$B$13),MONTH(B166)=MONTH('Исходные данные'!$B$13)),'Исходные данные'!$B$13,IF('Исходные данные'!$B$26&lt;&gt;"",IF(AND(YEAR(B166)=YEAR('Исходные данные'!$B$26),MONTH(B166)=MONTH('Исходные данные'!$B$26)),'Исходные данные'!$B$26,IF(A166=1,'Исходные данные'!$B$9,C166)),IF(A166=1,'Исходные данные'!$B$9,C166))),IF('Исходные данные'!$B$26&lt;&gt;"",IF(AND(YEAR(B166)=YEAR('Исходные данные'!$B$26),MONTH(B166)=MONTH('Исходные данные'!$B$26)),'Исходные данные'!$B$26,IF(A166=1,'Исходные данные'!$B$9,C166)),IF(A166=1,'Исходные данные'!$B$9,C166)))),IF('Исходные данные'!$B$13&lt;&gt;"",IF(AND(YEAR(B166)=YEAR('Исходные данные'!$B$13),MONTH(B166)=MONTH('Исходные данные'!$B$13)),'Исходные данные'!$B$13,IF('Исходные данные'!$B$26&lt;&gt;"",IF(AND(YEAR(B166)=YEAR('Исходные данные'!$B$26),MONTH(B166)=MONTH('Исходные данные'!$B$26)),'Исходные данные'!$B$26,IF(A166=1,'Исходные данные'!$B$9,C166)),IF(A166=1,'Исходные данные'!$B$9,C166))),IF('Исходные данные'!$B$26&lt;&gt;"",IF(AND(YEAR(B166)=YEAR('Исходные данные'!$B$26),MONTH(B166)=MONTH('Исходные данные'!$B$26)),'Исходные данные'!$B$26,IF(A166=1,'Исходные данные'!$B$9,C166)),IF(A166=1,'Исходные данные'!$B$9,C166)))))</f>
        <v/>
      </c>
      <c r="E166">
        <f>IF(OR(B166="",'Исходные данные'!$B$91=""),0,--(B166&lt;=DATE(YEAR('Исходные данные'!$B$91),MONTH('Исходные данные'!$B$91),1)))</f>
        <v>0</v>
      </c>
      <c r="F166">
        <f>IF(OR(B166="",'Исходные данные'!$B$30="",C166&lt;'Исходные данные'!$B$30),0,DATEDIF(DATE(YEAR('Исходные данные'!$B$30),MONTH('Исходные данные'!$B$30),1),B166,"m")+1)</f>
        <v>0</v>
      </c>
      <c r="G166">
        <f t="shared" si="104"/>
        <v>0</v>
      </c>
      <c r="H166">
        <f>IF(F166=0,0,IF(G166=1,N('Исходные данные'!$B$31),IF(G166=2,N('Исходные данные'!$B$32),IF(G166=3,N('Исходные данные'!$B$33),N('Исходные данные'!$B$33)*(1+N('Исходные данные'!$B$34))^(G166-3)))))</f>
        <v>0</v>
      </c>
      <c r="I166">
        <f>IF(OR(F166=0,N('Исходные данные'!$B$5)=0,H166=0),0,'Исходные данные'!$B$5*H166*IF(AND(B166&lt;='Исходные данные'!$B$30,C166&gt;='Исходные данные'!$B$30),(C166-'Исходные данные'!$B$30+1)/DAY(C166),1))</f>
        <v>0</v>
      </c>
      <c r="J166">
        <f>IF(AND(F166&gt;0,F166&lt;=N('Исходные данные'!$B$37)),-I166,0)</f>
        <v>0</v>
      </c>
      <c r="K166">
        <f>IF(OR(F166=0,F166&lt;=N('Исходные данные'!$B$37)),0,-(I166+J166)*N('Исходные данные'!$B$38))</f>
        <v>0</v>
      </c>
      <c r="L166">
        <f t="shared" si="105"/>
        <v>0</v>
      </c>
      <c r="M166">
        <f>IF('Исходные данные'!$B$51="Да",L166*N('Исходные данные'!$B$52),0)</f>
        <v>0</v>
      </c>
      <c r="N166">
        <f t="shared" si="106"/>
        <v>0</v>
      </c>
      <c r="O166">
        <f>IF(OR(B166="",IF('Исходные данные'!$B$45="",'Исходные данные'!$B$10,'Исходные данные'!$B$45)="",C166&lt;IF('Исходные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данные'!$B$45)),1),B166,"m")/12))*IF(AND(B166&lt;=IF('Исходные данные'!$B$45="",'Исходные данные'!$B$10,'Исходные данные'!$B$45),C166&gt;=IF('Исходные данные'!$B$45="",'Исходные данные'!$B$10,'Исходные данные'!$B$45)),(C166-IF('Исходные данные'!$B$45="",'Исходные данные'!$B$10,'Исходные данные'!$B$45)+1)/DAY(C166),1)*IF('Исходные данные'!$B$43="Без НДС",1+N('Исходные данные'!$B$44),1))</f>
        <v>0</v>
      </c>
      <c r="P166">
        <f>IF('Исходные данные'!$B$51="Да",-O166*N('Исходные данные'!$B$44)/(1+N('Исходные данные'!$B$44)),0)</f>
        <v>0</v>
      </c>
      <c r="Q166">
        <f>IF('Исходные данные'!$B$35="Да",-O166,0)</f>
        <v>0</v>
      </c>
      <c r="R166">
        <f>IF(AND('Исходные данные'!$B$51="Да",Q166&gt;0),Q166*N('Исходные данные'!$B$52)/(1+N('Исходные данные'!$B$52)),0)</f>
        <v>0</v>
      </c>
      <c r="S166">
        <f>IF(OR(B166="",IF('Исходные данные'!$B$45="",'Исходные данные'!$B$10,'Исходные данные'!$B$45)="",C166&lt;IF('Исходные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данные'!$B$45)),1),B166,"m")/12))*IF(AND(B166&lt;=IF('Исходные данные'!$B$45="",'Исходные данные'!$B$10,'Исходные данные'!$B$45),C166&gt;=IF('Исходные данные'!$B$45="",'Исходные данные'!$B$10,'Исходные данные'!$B$45)),(C166-IF('Исходные данные'!$B$45="",'Исходные данные'!$B$10,'Исходные данные'!$B$45)+1)/DAY(C166),1)*IF('Исходные данные'!$B$43="Без НДС",1+N('Исходные данные'!$B$44),1))</f>
        <v>0</v>
      </c>
      <c r="T166">
        <f>IF('Исходные данные'!$B$51="Да",-S166*N('Исходные данные'!$B$44)/(1+N('Исходные данные'!$B$44)),0)</f>
        <v>0</v>
      </c>
      <c r="U166">
        <f>IF('Исходные данные'!$B$36="Да",-S166,0)</f>
        <v>0</v>
      </c>
      <c r="V166">
        <f>IF(AND('Исходные данные'!$B$51="Да",U166&gt;0),U166*N('Исходные данные'!$B$52)/(1+N('Исходные данные'!$B$52)),0)</f>
        <v>0</v>
      </c>
      <c r="W166">
        <f>IF(OR(B166="",IF('Исходные данные'!$B$69="",'Исходные данные'!$B$10,'Исходные данные'!$B$69)="",C166&lt;IF('Исходные данные'!$B$69="",'Исходные данные'!$B$10,'Исходные данные'!$B$69)),0,-N('Исходные данные'!$B$16)*N('Исходные данные'!$B$68)*N('Исходные данные'!$B$67)/12*IF(AND(B166&lt;=IF('Исходные данные'!$B$69="",'Исходные данные'!$B$10,'Исходные данные'!$B$69),C166&gt;=IF('Исходные данные'!$B$69="",'Исходные данные'!$B$10,'Исходные данные'!$B$69)),(C166-IF('Исходные данные'!$B$69="",'Исходные данные'!$B$10,'Исходные данные'!$B$69)+1)/DAY(C166),1))</f>
        <v>0</v>
      </c>
      <c r="X166">
        <f>IF(OR(B166="",IF('Исходные данные'!$B$76="",'Исходные данные'!$B$10,'Исходные данные'!$B$76)="",C166&lt;IF('Исходные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данные'!$B$76)),1),B166,"m")/12))*IF(AND(B166&lt;=IF('Исходные данные'!$B$76="",'Исходные данные'!$B$10,'Исходные данные'!$B$76),C166&gt;=IF('Исходные данные'!$B$76="",'Исходные данные'!$B$10,'Исходные данные'!$B$76)),(C166-IF('Исходные данные'!$B$76="",'Исходные данные'!$B$10,'Исходные данные'!$B$76)+1)/DAY(C166),1))</f>
        <v>0</v>
      </c>
      <c r="Y166">
        <f t="shared" si="107"/>
        <v>0</v>
      </c>
      <c r="Z166">
        <f>IF(OR(B166="",N('Исходные данные'!$B$19)=0),0,-SUMIFS('Исходные данные'!$I$6:$I$186,'Исходные данные'!$F$6:$F$186,B166)*N('Исходные данные'!$B$17)/N('Исходные данные'!$B$19))</f>
        <v>0</v>
      </c>
      <c r="AA166">
        <f>IF(OR(B166="",N('Исходные данные'!$B$19)=0),0,-SUMIFS('Исходные данные'!$I$6:$I$186,'Исходные данные'!$F$6:$F$186,B166)*N('Исходные данные'!$B$18)/N('Исходные данные'!$B$19))</f>
        <v>0</v>
      </c>
      <c r="AB166">
        <f>IF(OR(B166="",'Исходные данные'!$B$13=""),0,IF(AND(YEAR(B166)=YEAR('Исходные данные'!$B$13),MONTH(B166)=MONTH('Исходные данные'!$B$13)),-N('Исходные данные'!$B$11),0))</f>
        <v>0</v>
      </c>
      <c r="AC166">
        <f>IF(A166=1,-N('Исходные данные'!$B$19)*N('Исходные данные'!$B$72),0)</f>
        <v>0</v>
      </c>
      <c r="AD166">
        <f>IF(OR(B166="",'Исходные данные'!$B$22&lt;&gt;"Да",'Исходные данные'!$B$26=""),0,IF(AND(YEAR(B166)=YEAR('Исходные данные'!$B$26),MONTH(B166)=MONTH('Исходные данные'!$B$26)),N('Исходные данные'!$B$23),0))</f>
        <v>0</v>
      </c>
      <c r="AE166">
        <f t="shared" si="120"/>
        <v>0</v>
      </c>
      <c r="AF166">
        <f>IF(OR('Исходные данные'!$B$22&lt;&gt;"Да",'Исходные данные'!$B$26="",C166&lt;'Исходные данные'!$B$26),0,DATEDIF(DATE(YEAR('Исходные данные'!$B$26),MONTH('Исходные данные'!$B$26),1),B166,"m")+1)</f>
        <v>0</v>
      </c>
      <c r="AG166">
        <f>IF(OR(AF166&lt;1,AF166&gt;N('Исходные данные'!$B$25),AE166+AD166&lt;=0),0,-(AE166+AD166)*N('Исходные данные'!$B$24)*IF(AF166=1,C166-'Исходные данные'!$B$26+1,DAY(C166))/365)</f>
        <v>0</v>
      </c>
      <c r="AH166">
        <f>IF(OR(AF166&lt;1,AF166&gt;N('Исходные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данные'!$B$25)-AG166))</f>
        <v>0</v>
      </c>
      <c r="AI166">
        <f>IF(OR('Исходные данные'!$B$22&lt;&gt;"Да",AE166+AD166&lt;=0),0,IF(AND('Исходные данные'!$B$91&lt;&gt;"",B166&lt;&gt;"",YEAR(B166)=YEAR('Исходные данные'!$B$91),MONTH(B166)=MONTH('Исходные данные'!$B$91)),-(AE166+AD166),IF(OR(AF166&lt;1,AF166&gt;N('Исходные данные'!$B$25)),0,IF('Исходные данные'!$B$27="Равными долями",-MIN(AE166+AD166,N('Исходные данные'!$B$23)/N('Исходные данные'!$B$25)),-MIN(AE166+AD166,IF(AF166=N('Исходные данные'!$B$25),AE166+AD166,MAX(0,AH166+AG166)))))))</f>
        <v>0</v>
      </c>
      <c r="AJ166">
        <f t="shared" si="108"/>
        <v>0</v>
      </c>
      <c r="AK166">
        <f t="shared" si="109"/>
        <v>0</v>
      </c>
      <c r="AL166">
        <f>IF(OR(B166="",'Исходные данные'!$B$51&lt;&gt;"Да",'Исходные данные'!$B$61=""),0,IF(AND(YEAR(B166)=YEAR('Исходные данные'!$B$61),MONTH(B166)=MONTH('Исходные данные'!$B$61)),N('Исходные данные'!$B$18)*N('Исходные данные'!$B$62),0))</f>
        <v>0</v>
      </c>
      <c r="AM166">
        <f t="shared" si="121"/>
        <v>0</v>
      </c>
      <c r="AN166">
        <f t="shared" si="110"/>
        <v>0</v>
      </c>
      <c r="AO166">
        <f t="shared" si="111"/>
        <v>0</v>
      </c>
      <c r="AP166">
        <f>IF('Исходные данные'!$B$51="Да",-MAX(0,AN166-AO166-AM166),0)</f>
        <v>0</v>
      </c>
      <c r="AQ166">
        <f>IF('Исходные данные'!$B$51="Да",MAX(0,AM166+AO166-AN166),0)</f>
        <v>0</v>
      </c>
      <c r="AR166">
        <f>IF('Исходные данные'!$B$53="Выручка",MAX(0,L166+(Q166-R166)+(U166-V166)),IF('Исходные данные'!$B$53="Прибыль до налога",MAX(0,L166+(Q166-R166)+(U166-V166)+N('Исходные данные'!$B$54)*((O166+P166)+(S166+T166)+W166+X166)+IF('Исходные данные'!$B$55="Да",AG166,0)-N('Исходные данные'!$B$56)/12),IF('Исходные данные'!$B$53="Пользовательская база",MAX(0,N('Исходные данные'!$B$57)/12),0)))</f>
        <v>0</v>
      </c>
      <c r="AS166">
        <f>IF(E166=1,-AR166*N('Исходные данные'!$B$50),0)</f>
        <v>0</v>
      </c>
      <c r="AT166">
        <f t="shared" si="112"/>
        <v>0</v>
      </c>
      <c r="AU166">
        <f>IF(OR(B166="",N('Исходные данные'!$B$80)&lt;=0,'Исходные данные'!$B$88=""),0,MAX(0,IF('Исходные данные'!$B$88="Последние 12 месяцев",SUMIFS($Y$2:$Y$194,$B$2:$B$194,"&gt;="&amp;EDATE(B166,-11),$B$2:$B$194,"&lt;="&amp;B166),IF('Исходные данные'!$B$88="Пользовательский NOI",N('Исходные данные'!$B$89),AT166))/N('Исходные данные'!$B$80)*(1+N('Исходные данные'!$B$81))))</f>
        <v>0</v>
      </c>
      <c r="AV166">
        <f>IF(OR(E166&lt;&gt;1,B166="",'Исходные данные'!$B$91=""),0,IF(AND(YEAR(B166)=YEAR('Исходные данные'!$B$91),MONTH(B166)=MONTH('Исходные данные'!$B$91)),AU166,0))</f>
        <v>0</v>
      </c>
      <c r="AW166">
        <f>-AV166*N('Исходные данные'!$B$73)</f>
        <v>0</v>
      </c>
      <c r="AX166">
        <f>IF(AV166=0,0,-N('Исходные данные'!$B$87)-IF('Исходные данные'!$B$82="Да",IF('Исходные данные'!$B$84="С выручки",AV166,IF('Исходные данные'!$B$84="С прибыли",MAX(0,AV166+AW166-IF('Исходные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66">
        <f t="shared" si="113"/>
        <v>0</v>
      </c>
      <c r="AZ166">
        <f t="shared" si="114"/>
        <v>0</v>
      </c>
      <c r="BA166">
        <f t="shared" si="115"/>
        <v>0</v>
      </c>
      <c r="BB166" t="str">
        <f t="shared" si="122"/>
        <v/>
      </c>
      <c r="BC166">
        <f>IF(OR(E166=0,'Исходные данные'!$B$9="",'Исходные данные'!$B$90=""),0,BA166/(1+'Исходные данные'!$B$90)^((D166-'Исходные данные'!$B$9)/365))</f>
        <v>0</v>
      </c>
      <c r="BD166">
        <f>IF(AND(E166=1,BB166&gt;=0,BB165&lt;0,MIN($BB$2:BB166)&lt;0),1,0)</f>
        <v>0</v>
      </c>
      <c r="BE166">
        <f t="shared" si="116"/>
        <v>0</v>
      </c>
      <c r="BF166">
        <f t="shared" si="117"/>
        <v>0</v>
      </c>
      <c r="BG166">
        <f t="shared" si="118"/>
        <v>0</v>
      </c>
      <c r="BH166">
        <f t="shared" si="119"/>
        <v>1</v>
      </c>
      <c r="BI166">
        <f>AZ166+N166+AP166-AR166*N('Исходные данные'!$B$50)</f>
        <v>0</v>
      </c>
      <c r="BJ166">
        <f t="shared" si="102"/>
        <v>0</v>
      </c>
      <c r="BK166">
        <f>IF(AND(BJ166&gt;=0,BJ165&lt;0,MIN($BJ$2:BJ166)&lt;0),1,0)</f>
        <v>0</v>
      </c>
    </row>
    <row r="167" spans="1:63" x14ac:dyDescent="0.2">
      <c r="A167">
        <v>166</v>
      </c>
      <c r="B167" t="str">
        <f>IF('Исходные данные'!$B$9="","",EDATE(DATE(YEAR('Исходные данные'!$B$9),MONTH('Исходные данные'!$B$9),1),A167-1))</f>
        <v/>
      </c>
      <c r="C167" t="str">
        <f t="shared" si="103"/>
        <v/>
      </c>
      <c r="D167" t="str">
        <f>IF(B167="","",IF('Исходные данные'!$B$91&lt;&gt;"",IF(AND(YEAR(B167)=YEAR('Исходные данные'!$B$91),MONTH(B167)=MONTH('Исходные данные'!$B$91)),'Исходные данные'!$B$91,IF('Исходные данные'!$B$13&lt;&gt;"",IF(AND(YEAR(B167)=YEAR('Исходные данные'!$B$13),MONTH(B167)=MONTH('Исходные данные'!$B$13)),'Исходные данные'!$B$13,IF('Исходные данные'!$B$26&lt;&gt;"",IF(AND(YEAR(B167)=YEAR('Исходные данные'!$B$26),MONTH(B167)=MONTH('Исходные данные'!$B$26)),'Исходные данные'!$B$26,IF(A167=1,'Исходные данные'!$B$9,C167)),IF(A167=1,'Исходные данные'!$B$9,C167))),IF('Исходные данные'!$B$26&lt;&gt;"",IF(AND(YEAR(B167)=YEAR('Исходные данные'!$B$26),MONTH(B167)=MONTH('Исходные данные'!$B$26)),'Исходные данные'!$B$26,IF(A167=1,'Исходные данные'!$B$9,C167)),IF(A167=1,'Исходные данные'!$B$9,C167)))),IF('Исходные данные'!$B$13&lt;&gt;"",IF(AND(YEAR(B167)=YEAR('Исходные данные'!$B$13),MONTH(B167)=MONTH('Исходные данные'!$B$13)),'Исходные данные'!$B$13,IF('Исходные данные'!$B$26&lt;&gt;"",IF(AND(YEAR(B167)=YEAR('Исходные данные'!$B$26),MONTH(B167)=MONTH('Исходные данные'!$B$26)),'Исходные данные'!$B$26,IF(A167=1,'Исходные данные'!$B$9,C167)),IF(A167=1,'Исходные данные'!$B$9,C167))),IF('Исходные данные'!$B$26&lt;&gt;"",IF(AND(YEAR(B167)=YEAR('Исходные данные'!$B$26),MONTH(B167)=MONTH('Исходные данные'!$B$26)),'Исходные данные'!$B$26,IF(A167=1,'Исходные данные'!$B$9,C167)),IF(A167=1,'Исходные данные'!$B$9,C167)))))</f>
        <v/>
      </c>
      <c r="E167">
        <f>IF(OR(B167="",'Исходные данные'!$B$91=""),0,--(B167&lt;=DATE(YEAR('Исходные данные'!$B$91),MONTH('Исходные данные'!$B$91),1)))</f>
        <v>0</v>
      </c>
      <c r="F167">
        <f>IF(OR(B167="",'Исходные данные'!$B$30="",C167&lt;'Исходные данные'!$B$30),0,DATEDIF(DATE(YEAR('Исходные данные'!$B$30),MONTH('Исходные данные'!$B$30),1),B167,"m")+1)</f>
        <v>0</v>
      </c>
      <c r="G167">
        <f t="shared" si="104"/>
        <v>0</v>
      </c>
      <c r="H167">
        <f>IF(F167=0,0,IF(G167=1,N('Исходные данные'!$B$31),IF(G167=2,N('Исходные данные'!$B$32),IF(G167=3,N('Исходные данные'!$B$33),N('Исходные данные'!$B$33)*(1+N('Исходные данные'!$B$34))^(G167-3)))))</f>
        <v>0</v>
      </c>
      <c r="I167">
        <f>IF(OR(F167=0,N('Исходные данные'!$B$5)=0,H167=0),0,'Исходные данные'!$B$5*H167*IF(AND(B167&lt;='Исходные данные'!$B$30,C167&gt;='Исходные данные'!$B$30),(C167-'Исходные данные'!$B$30+1)/DAY(C167),1))</f>
        <v>0</v>
      </c>
      <c r="J167">
        <f>IF(AND(F167&gt;0,F167&lt;=N('Исходные данные'!$B$37)),-I167,0)</f>
        <v>0</v>
      </c>
      <c r="K167">
        <f>IF(OR(F167=0,F167&lt;=N('Исходные данные'!$B$37)),0,-(I167+J167)*N('Исходные данные'!$B$38))</f>
        <v>0</v>
      </c>
      <c r="L167">
        <f t="shared" si="105"/>
        <v>0</v>
      </c>
      <c r="M167">
        <f>IF('Исходные данные'!$B$51="Да",L167*N('Исходные данные'!$B$52),0)</f>
        <v>0</v>
      </c>
      <c r="N167">
        <f t="shared" si="106"/>
        <v>0</v>
      </c>
      <c r="O167">
        <f>IF(OR(B167="",IF('Исходные данные'!$B$45="",'Исходные данные'!$B$10,'Исходные данные'!$B$45)="",C167&lt;IF('Исходные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данные'!$B$45)),1),B167,"m")/12))*IF(AND(B167&lt;=IF('Исходные данные'!$B$45="",'Исходные данные'!$B$10,'Исходные данные'!$B$45),C167&gt;=IF('Исходные данные'!$B$45="",'Исходные данные'!$B$10,'Исходные данные'!$B$45)),(C167-IF('Исходные данные'!$B$45="",'Исходные данные'!$B$10,'Исходные данные'!$B$45)+1)/DAY(C167),1)*IF('Исходные данные'!$B$43="Без НДС",1+N('Исходные данные'!$B$44),1))</f>
        <v>0</v>
      </c>
      <c r="P167">
        <f>IF('Исходные данные'!$B$51="Да",-O167*N('Исходные данные'!$B$44)/(1+N('Исходные данные'!$B$44)),0)</f>
        <v>0</v>
      </c>
      <c r="Q167">
        <f>IF('Исходные данные'!$B$35="Да",-O167,0)</f>
        <v>0</v>
      </c>
      <c r="R167">
        <f>IF(AND('Исходные данные'!$B$51="Да",Q167&gt;0),Q167*N('Исходные данные'!$B$52)/(1+N('Исходные данные'!$B$52)),0)</f>
        <v>0</v>
      </c>
      <c r="S167">
        <f>IF(OR(B167="",IF('Исходные данные'!$B$45="",'Исходные данные'!$B$10,'Исходные данные'!$B$45)="",C167&lt;IF('Исходные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данные'!$B$45)),1),B167,"m")/12))*IF(AND(B167&lt;=IF('Исходные данные'!$B$45="",'Исходные данные'!$B$10,'Исходные данные'!$B$45),C167&gt;=IF('Исходные данные'!$B$45="",'Исходные данные'!$B$10,'Исходные данные'!$B$45)),(C167-IF('Исходные данные'!$B$45="",'Исходные данные'!$B$10,'Исходные данные'!$B$45)+1)/DAY(C167),1)*IF('Исходные данные'!$B$43="Без НДС",1+N('Исходные данные'!$B$44),1))</f>
        <v>0</v>
      </c>
      <c r="T167">
        <f>IF('Исходные данные'!$B$51="Да",-S167*N('Исходные данные'!$B$44)/(1+N('Исходные данные'!$B$44)),0)</f>
        <v>0</v>
      </c>
      <c r="U167">
        <f>IF('Исходные данные'!$B$36="Да",-S167,0)</f>
        <v>0</v>
      </c>
      <c r="V167">
        <f>IF(AND('Исходные данные'!$B$51="Да",U167&gt;0),U167*N('Исходные данные'!$B$52)/(1+N('Исходные данные'!$B$52)),0)</f>
        <v>0</v>
      </c>
      <c r="W167">
        <f>IF(OR(B167="",IF('Исходные данные'!$B$69="",'Исходные данные'!$B$10,'Исходные данные'!$B$69)="",C167&lt;IF('Исходные данные'!$B$69="",'Исходные данные'!$B$10,'Исходные данные'!$B$69)),0,-N('Исходные данные'!$B$16)*N('Исходные данные'!$B$68)*N('Исходные данные'!$B$67)/12*IF(AND(B167&lt;=IF('Исходные данные'!$B$69="",'Исходные данные'!$B$10,'Исходные данные'!$B$69),C167&gt;=IF('Исходные данные'!$B$69="",'Исходные данные'!$B$10,'Исходные данные'!$B$69)),(C167-IF('Исходные данные'!$B$69="",'Исходные данные'!$B$10,'Исходные данные'!$B$69)+1)/DAY(C167),1))</f>
        <v>0</v>
      </c>
      <c r="X167">
        <f>IF(OR(B167="",IF('Исходные данные'!$B$76="",'Исходные данные'!$B$10,'Исходные данные'!$B$76)="",C167&lt;IF('Исходные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данные'!$B$76)),1),B167,"m")/12))*IF(AND(B167&lt;=IF('Исходные данные'!$B$76="",'Исходные данные'!$B$10,'Исходные данные'!$B$76),C167&gt;=IF('Исходные данные'!$B$76="",'Исходные данные'!$B$10,'Исходные данные'!$B$76)),(C167-IF('Исходные данные'!$B$76="",'Исходные данные'!$B$10,'Исходные данные'!$B$76)+1)/DAY(C167),1))</f>
        <v>0</v>
      </c>
      <c r="Y167">
        <f t="shared" si="107"/>
        <v>0</v>
      </c>
      <c r="Z167">
        <f>IF(OR(B167="",N('Исходные данные'!$B$19)=0),0,-SUMIFS('Исходные данные'!$I$6:$I$186,'Исходные данные'!$F$6:$F$186,B167)*N('Исходные данные'!$B$17)/N('Исходные данные'!$B$19))</f>
        <v>0</v>
      </c>
      <c r="AA167">
        <f>IF(OR(B167="",N('Исходные данные'!$B$19)=0),0,-SUMIFS('Исходные данные'!$I$6:$I$186,'Исходные данные'!$F$6:$F$186,B167)*N('Исходные данные'!$B$18)/N('Исходные данные'!$B$19))</f>
        <v>0</v>
      </c>
      <c r="AB167">
        <f>IF(OR(B167="",'Исходные данные'!$B$13=""),0,IF(AND(YEAR(B167)=YEAR('Исходные данные'!$B$13),MONTH(B167)=MONTH('Исходные данные'!$B$13)),-N('Исходные данные'!$B$11),0))</f>
        <v>0</v>
      </c>
      <c r="AC167">
        <f>IF(A167=1,-N('Исходные данные'!$B$19)*N('Исходные данные'!$B$72),0)</f>
        <v>0</v>
      </c>
      <c r="AD167">
        <f>IF(OR(B167="",'Исходные данные'!$B$22&lt;&gt;"Да",'Исходные данные'!$B$26=""),0,IF(AND(YEAR(B167)=YEAR('Исходные данные'!$B$26),MONTH(B167)=MONTH('Исходные данные'!$B$26)),N('Исходные данные'!$B$23),0))</f>
        <v>0</v>
      </c>
      <c r="AE167">
        <f t="shared" si="120"/>
        <v>0</v>
      </c>
      <c r="AF167">
        <f>IF(OR('Исходные данные'!$B$22&lt;&gt;"Да",'Исходные данные'!$B$26="",C167&lt;'Исходные данные'!$B$26),0,DATEDIF(DATE(YEAR('Исходные данные'!$B$26),MONTH('Исходные данные'!$B$26),1),B167,"m")+1)</f>
        <v>0</v>
      </c>
      <c r="AG167">
        <f>IF(OR(AF167&lt;1,AF167&gt;N('Исходные данные'!$B$25),AE167+AD167&lt;=0),0,-(AE167+AD167)*N('Исходные данные'!$B$24)*IF(AF167=1,C167-'Исходные данные'!$B$26+1,DAY(C167))/365)</f>
        <v>0</v>
      </c>
      <c r="AH167">
        <f>IF(OR(AF167&lt;1,AF167&gt;N('Исходные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данные'!$B$25)-AG167))</f>
        <v>0</v>
      </c>
      <c r="AI167">
        <f>IF(OR('Исходные данные'!$B$22&lt;&gt;"Да",AE167+AD167&lt;=0),0,IF(AND('Исходные данные'!$B$91&lt;&gt;"",B167&lt;&gt;"",YEAR(B167)=YEAR('Исходные данные'!$B$91),MONTH(B167)=MONTH('Исходные данные'!$B$91)),-(AE167+AD167),IF(OR(AF167&lt;1,AF167&gt;N('Исходные данные'!$B$25)),0,IF('Исходные данные'!$B$27="Равными долями",-MIN(AE167+AD167,N('Исходные данные'!$B$23)/N('Исходные данные'!$B$25)),-MIN(AE167+AD167,IF(AF167=N('Исходные данные'!$B$25),AE167+AD167,MAX(0,AH167+AG167)))))))</f>
        <v>0</v>
      </c>
      <c r="AJ167">
        <f t="shared" si="108"/>
        <v>0</v>
      </c>
      <c r="AK167">
        <f t="shared" si="109"/>
        <v>0</v>
      </c>
      <c r="AL167">
        <f>IF(OR(B167="",'Исходные данные'!$B$51&lt;&gt;"Да",'Исходные данные'!$B$61=""),0,IF(AND(YEAR(B167)=YEAR('Исходные данные'!$B$61),MONTH(B167)=MONTH('Исходные данные'!$B$61)),N('Исходные данные'!$B$18)*N('Исходные данные'!$B$62),0))</f>
        <v>0</v>
      </c>
      <c r="AM167">
        <f t="shared" si="121"/>
        <v>0</v>
      </c>
      <c r="AN167">
        <f t="shared" si="110"/>
        <v>0</v>
      </c>
      <c r="AO167">
        <f t="shared" si="111"/>
        <v>0</v>
      </c>
      <c r="AP167">
        <f>IF('Исходные данные'!$B$51="Да",-MAX(0,AN167-AO167-AM167),0)</f>
        <v>0</v>
      </c>
      <c r="AQ167">
        <f>IF('Исходные данные'!$B$51="Да",MAX(0,AM167+AO167-AN167),0)</f>
        <v>0</v>
      </c>
      <c r="AR167">
        <f>IF('Исходные данные'!$B$53="Выручка",MAX(0,L167+(Q167-R167)+(U167-V167)),IF('Исходные данные'!$B$53="Прибыль до налога",MAX(0,L167+(Q167-R167)+(U167-V167)+N('Исходные данные'!$B$54)*((O167+P167)+(S167+T167)+W167+X167)+IF('Исходные данные'!$B$55="Да",AG167,0)-N('Исходные данные'!$B$56)/12),IF('Исходные данные'!$B$53="Пользовательская база",MAX(0,N('Исходные данные'!$B$57)/12),0)))</f>
        <v>0</v>
      </c>
      <c r="AS167">
        <f>IF(E167=1,-AR167*N('Исходные данные'!$B$50),0)</f>
        <v>0</v>
      </c>
      <c r="AT167">
        <f t="shared" si="112"/>
        <v>0</v>
      </c>
      <c r="AU167">
        <f>IF(OR(B167="",N('Исходные данные'!$B$80)&lt;=0,'Исходные данные'!$B$88=""),0,MAX(0,IF('Исходные данные'!$B$88="Последние 12 месяцев",SUMIFS($Y$2:$Y$194,$B$2:$B$194,"&gt;="&amp;EDATE(B167,-11),$B$2:$B$194,"&lt;="&amp;B167),IF('Исходные данные'!$B$88="Пользовательский NOI",N('Исходные данные'!$B$89),AT167))/N('Исходные данные'!$B$80)*(1+N('Исходные данные'!$B$81))))</f>
        <v>0</v>
      </c>
      <c r="AV167">
        <f>IF(OR(E167&lt;&gt;1,B167="",'Исходные данные'!$B$91=""),0,IF(AND(YEAR(B167)=YEAR('Исходные данные'!$B$91),MONTH(B167)=MONTH('Исходные данные'!$B$91)),AU167,0))</f>
        <v>0</v>
      </c>
      <c r="AW167">
        <f>-AV167*N('Исходные данные'!$B$73)</f>
        <v>0</v>
      </c>
      <c r="AX167">
        <f>IF(AV167=0,0,-N('Исходные данные'!$B$87)-IF('Исходные данные'!$B$82="Да",IF('Исходные данные'!$B$84="С выручки",AV167,IF('Исходные данные'!$B$84="С прибыли",MAX(0,AV167+AW167-IF('Исходные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67">
        <f t="shared" si="113"/>
        <v>0</v>
      </c>
      <c r="AZ167">
        <f t="shared" si="114"/>
        <v>0</v>
      </c>
      <c r="BA167">
        <f t="shared" si="115"/>
        <v>0</v>
      </c>
      <c r="BB167" t="str">
        <f t="shared" si="122"/>
        <v/>
      </c>
      <c r="BC167">
        <f>IF(OR(E167=0,'Исходные данные'!$B$9="",'Исходные данные'!$B$90=""),0,BA167/(1+'Исходные данные'!$B$90)^((D167-'Исходные данные'!$B$9)/365))</f>
        <v>0</v>
      </c>
      <c r="BD167">
        <f>IF(AND(E167=1,BB167&gt;=0,BB166&lt;0,MIN($BB$2:BB167)&lt;0),1,0)</f>
        <v>0</v>
      </c>
      <c r="BE167">
        <f t="shared" si="116"/>
        <v>0</v>
      </c>
      <c r="BF167">
        <f t="shared" si="117"/>
        <v>0</v>
      </c>
      <c r="BG167">
        <f t="shared" si="118"/>
        <v>0</v>
      </c>
      <c r="BH167">
        <f t="shared" si="119"/>
        <v>1</v>
      </c>
      <c r="BI167">
        <f>AZ167+N167+AP167-AR167*N('Исходные данные'!$B$50)</f>
        <v>0</v>
      </c>
      <c r="BJ167">
        <f t="shared" si="102"/>
        <v>0</v>
      </c>
      <c r="BK167">
        <f>IF(AND(BJ167&gt;=0,BJ166&lt;0,MIN($BJ$2:BJ167)&lt;0),1,0)</f>
        <v>0</v>
      </c>
    </row>
    <row r="168" spans="1:63" x14ac:dyDescent="0.2">
      <c r="A168">
        <v>167</v>
      </c>
      <c r="B168" t="str">
        <f>IF('Исходные данные'!$B$9="","",EDATE(DATE(YEAR('Исходные данные'!$B$9),MONTH('Исходные данные'!$B$9),1),A168-1))</f>
        <v/>
      </c>
      <c r="C168" t="str">
        <f t="shared" si="103"/>
        <v/>
      </c>
      <c r="D168" t="str">
        <f>IF(B168="","",IF('Исходные данные'!$B$91&lt;&gt;"",IF(AND(YEAR(B168)=YEAR('Исходные данные'!$B$91),MONTH(B168)=MONTH('Исходные данные'!$B$91)),'Исходные данные'!$B$91,IF('Исходные данные'!$B$13&lt;&gt;"",IF(AND(YEAR(B168)=YEAR('Исходные данные'!$B$13),MONTH(B168)=MONTH('Исходные данные'!$B$13)),'Исходные данные'!$B$13,IF('Исходные данные'!$B$26&lt;&gt;"",IF(AND(YEAR(B168)=YEAR('Исходные данные'!$B$26),MONTH(B168)=MONTH('Исходные данные'!$B$26)),'Исходные данные'!$B$26,IF(A168=1,'Исходные данные'!$B$9,C168)),IF(A168=1,'Исходные данные'!$B$9,C168))),IF('Исходные данные'!$B$26&lt;&gt;"",IF(AND(YEAR(B168)=YEAR('Исходные данные'!$B$26),MONTH(B168)=MONTH('Исходные данные'!$B$26)),'Исходные данные'!$B$26,IF(A168=1,'Исходные данные'!$B$9,C168)),IF(A168=1,'Исходные данные'!$B$9,C168)))),IF('Исходные данные'!$B$13&lt;&gt;"",IF(AND(YEAR(B168)=YEAR('Исходные данные'!$B$13),MONTH(B168)=MONTH('Исходные данные'!$B$13)),'Исходные данные'!$B$13,IF('Исходные данные'!$B$26&lt;&gt;"",IF(AND(YEAR(B168)=YEAR('Исходные данные'!$B$26),MONTH(B168)=MONTH('Исходные данные'!$B$26)),'Исходные данные'!$B$26,IF(A168=1,'Исходные данные'!$B$9,C168)),IF(A168=1,'Исходные данные'!$B$9,C168))),IF('Исходные данные'!$B$26&lt;&gt;"",IF(AND(YEAR(B168)=YEAR('Исходные данные'!$B$26),MONTH(B168)=MONTH('Исходные данные'!$B$26)),'Исходные данные'!$B$26,IF(A168=1,'Исходные данные'!$B$9,C168)),IF(A168=1,'Исходные данные'!$B$9,C168)))))</f>
        <v/>
      </c>
      <c r="E168">
        <f>IF(OR(B168="",'Исходные данные'!$B$91=""),0,--(B168&lt;=DATE(YEAR('Исходные данные'!$B$91),MONTH('Исходные данные'!$B$91),1)))</f>
        <v>0</v>
      </c>
      <c r="F168">
        <f>IF(OR(B168="",'Исходные данные'!$B$30="",C168&lt;'Исходные данные'!$B$30),0,DATEDIF(DATE(YEAR('Исходные данные'!$B$30),MONTH('Исходные данные'!$B$30),1),B168,"m")+1)</f>
        <v>0</v>
      </c>
      <c r="G168">
        <f t="shared" si="104"/>
        <v>0</v>
      </c>
      <c r="H168">
        <f>IF(F168=0,0,IF(G168=1,N('Исходные данные'!$B$31),IF(G168=2,N('Исходные данные'!$B$32),IF(G168=3,N('Исходные данные'!$B$33),N('Исходные данные'!$B$33)*(1+N('Исходные данные'!$B$34))^(G168-3)))))</f>
        <v>0</v>
      </c>
      <c r="I168">
        <f>IF(OR(F168=0,N('Исходные данные'!$B$5)=0,H168=0),0,'Исходные данные'!$B$5*H168*IF(AND(B168&lt;='Исходные данные'!$B$30,C168&gt;='Исходные данные'!$B$30),(C168-'Исходные данные'!$B$30+1)/DAY(C168),1))</f>
        <v>0</v>
      </c>
      <c r="J168">
        <f>IF(AND(F168&gt;0,F168&lt;=N('Исходные данные'!$B$37)),-I168,0)</f>
        <v>0</v>
      </c>
      <c r="K168">
        <f>IF(OR(F168=0,F168&lt;=N('Исходные данные'!$B$37)),0,-(I168+J168)*N('Исходные данные'!$B$38))</f>
        <v>0</v>
      </c>
      <c r="L168">
        <f t="shared" si="105"/>
        <v>0</v>
      </c>
      <c r="M168">
        <f>IF('Исходные данные'!$B$51="Да",L168*N('Исходные данные'!$B$52),0)</f>
        <v>0</v>
      </c>
      <c r="N168">
        <f t="shared" si="106"/>
        <v>0</v>
      </c>
      <c r="O168">
        <f>IF(OR(B168="",IF('Исходные данные'!$B$45="",'Исходные данные'!$B$10,'Исходные данные'!$B$45)="",C168&lt;IF('Исходные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данные'!$B$45)),1),B168,"m")/12))*IF(AND(B168&lt;=IF('Исходные данные'!$B$45="",'Исходные данные'!$B$10,'Исходные данные'!$B$45),C168&gt;=IF('Исходные данные'!$B$45="",'Исходные данные'!$B$10,'Исходные данные'!$B$45)),(C168-IF('Исходные данные'!$B$45="",'Исходные данные'!$B$10,'Исходные данные'!$B$45)+1)/DAY(C168),1)*IF('Исходные данные'!$B$43="Без НДС",1+N('Исходные данные'!$B$44),1))</f>
        <v>0</v>
      </c>
      <c r="P168">
        <f>IF('Исходные данные'!$B$51="Да",-O168*N('Исходные данные'!$B$44)/(1+N('Исходные данные'!$B$44)),0)</f>
        <v>0</v>
      </c>
      <c r="Q168">
        <f>IF('Исходные данные'!$B$35="Да",-O168,0)</f>
        <v>0</v>
      </c>
      <c r="R168">
        <f>IF(AND('Исходные данные'!$B$51="Да",Q168&gt;0),Q168*N('Исходные данные'!$B$52)/(1+N('Исходные данные'!$B$52)),0)</f>
        <v>0</v>
      </c>
      <c r="S168">
        <f>IF(OR(B168="",IF('Исходные данные'!$B$45="",'Исходные данные'!$B$10,'Исходные данные'!$B$45)="",C168&lt;IF('Исходные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данные'!$B$45)),1),B168,"m")/12))*IF(AND(B168&lt;=IF('Исходные данные'!$B$45="",'Исходные данные'!$B$10,'Исходные данные'!$B$45),C168&gt;=IF('Исходные данные'!$B$45="",'Исходные данные'!$B$10,'Исходные данные'!$B$45)),(C168-IF('Исходные данные'!$B$45="",'Исходные данные'!$B$10,'Исходные данные'!$B$45)+1)/DAY(C168),1)*IF('Исходные данные'!$B$43="Без НДС",1+N('Исходные данные'!$B$44),1))</f>
        <v>0</v>
      </c>
      <c r="T168">
        <f>IF('Исходные данные'!$B$51="Да",-S168*N('Исходные данные'!$B$44)/(1+N('Исходные данные'!$B$44)),0)</f>
        <v>0</v>
      </c>
      <c r="U168">
        <f>IF('Исходные данные'!$B$36="Да",-S168,0)</f>
        <v>0</v>
      </c>
      <c r="V168">
        <f>IF(AND('Исходные данные'!$B$51="Да",U168&gt;0),U168*N('Исходные данные'!$B$52)/(1+N('Исходные данные'!$B$52)),0)</f>
        <v>0</v>
      </c>
      <c r="W168">
        <f>IF(OR(B168="",IF('Исходные данные'!$B$69="",'Исходные данные'!$B$10,'Исходные данные'!$B$69)="",C168&lt;IF('Исходные данные'!$B$69="",'Исходные данные'!$B$10,'Исходные данные'!$B$69)),0,-N('Исходные данные'!$B$16)*N('Исходные данные'!$B$68)*N('Исходные данные'!$B$67)/12*IF(AND(B168&lt;=IF('Исходные данные'!$B$69="",'Исходные данные'!$B$10,'Исходные данные'!$B$69),C168&gt;=IF('Исходные данные'!$B$69="",'Исходные данные'!$B$10,'Исходные данные'!$B$69)),(C168-IF('Исходные данные'!$B$69="",'Исходные данные'!$B$10,'Исходные данные'!$B$69)+1)/DAY(C168),1))</f>
        <v>0</v>
      </c>
      <c r="X168">
        <f>IF(OR(B168="",IF('Исходные данные'!$B$76="",'Исходные данные'!$B$10,'Исходные данные'!$B$76)="",C168&lt;IF('Исходные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данные'!$B$76)),1),B168,"m")/12))*IF(AND(B168&lt;=IF('Исходные данные'!$B$76="",'Исходные данные'!$B$10,'Исходные данные'!$B$76),C168&gt;=IF('Исходные данные'!$B$76="",'Исходные данные'!$B$10,'Исходные данные'!$B$76)),(C168-IF('Исходные данные'!$B$76="",'Исходные данные'!$B$10,'Исходные данные'!$B$76)+1)/DAY(C168),1))</f>
        <v>0</v>
      </c>
      <c r="Y168">
        <f t="shared" si="107"/>
        <v>0</v>
      </c>
      <c r="Z168">
        <f>IF(OR(B168="",N('Исходные данные'!$B$19)=0),0,-SUMIFS('Исходные данные'!$I$6:$I$186,'Исходные данные'!$F$6:$F$186,B168)*N('Исходные данные'!$B$17)/N('Исходные данные'!$B$19))</f>
        <v>0</v>
      </c>
      <c r="AA168">
        <f>IF(OR(B168="",N('Исходные данные'!$B$19)=0),0,-SUMIFS('Исходные данные'!$I$6:$I$186,'Исходные данные'!$F$6:$F$186,B168)*N('Исходные данные'!$B$18)/N('Исходные данные'!$B$19))</f>
        <v>0</v>
      </c>
      <c r="AB168">
        <f>IF(OR(B168="",'Исходные данные'!$B$13=""),0,IF(AND(YEAR(B168)=YEAR('Исходные данные'!$B$13),MONTH(B168)=MONTH('Исходные данные'!$B$13)),-N('Исходные данные'!$B$11),0))</f>
        <v>0</v>
      </c>
      <c r="AC168">
        <f>IF(A168=1,-N('Исходные данные'!$B$19)*N('Исходные данные'!$B$72),0)</f>
        <v>0</v>
      </c>
      <c r="AD168">
        <f>IF(OR(B168="",'Исходные данные'!$B$22&lt;&gt;"Да",'Исходные данные'!$B$26=""),0,IF(AND(YEAR(B168)=YEAR('Исходные данные'!$B$26),MONTH(B168)=MONTH('Исходные данные'!$B$26)),N('Исходные данные'!$B$23),0))</f>
        <v>0</v>
      </c>
      <c r="AE168">
        <f t="shared" si="120"/>
        <v>0</v>
      </c>
      <c r="AF168">
        <f>IF(OR('Исходные данные'!$B$22&lt;&gt;"Да",'Исходные данные'!$B$26="",C168&lt;'Исходные данные'!$B$26),0,DATEDIF(DATE(YEAR('Исходные данные'!$B$26),MONTH('Исходные данные'!$B$26),1),B168,"m")+1)</f>
        <v>0</v>
      </c>
      <c r="AG168">
        <f>IF(OR(AF168&lt;1,AF168&gt;N('Исходные данные'!$B$25),AE168+AD168&lt;=0),0,-(AE168+AD168)*N('Исходные данные'!$B$24)*IF(AF168=1,C168-'Исходные данные'!$B$26+1,DAY(C168))/365)</f>
        <v>0</v>
      </c>
      <c r="AH168">
        <f>IF(OR(AF168&lt;1,AF168&gt;N('Исходные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данные'!$B$25)-AG168))</f>
        <v>0</v>
      </c>
      <c r="AI168">
        <f>IF(OR('Исходные данные'!$B$22&lt;&gt;"Да",AE168+AD168&lt;=0),0,IF(AND('Исходные данные'!$B$91&lt;&gt;"",B168&lt;&gt;"",YEAR(B168)=YEAR('Исходные данные'!$B$91),MONTH(B168)=MONTH('Исходные данные'!$B$91)),-(AE168+AD168),IF(OR(AF168&lt;1,AF168&gt;N('Исходные данные'!$B$25)),0,IF('Исходные данные'!$B$27="Равными долями",-MIN(AE168+AD168,N('Исходные данные'!$B$23)/N('Исходные данные'!$B$25)),-MIN(AE168+AD168,IF(AF168=N('Исходные данные'!$B$25),AE168+AD168,MAX(0,AH168+AG168)))))))</f>
        <v>0</v>
      </c>
      <c r="AJ168">
        <f t="shared" si="108"/>
        <v>0</v>
      </c>
      <c r="AK168">
        <f t="shared" si="109"/>
        <v>0</v>
      </c>
      <c r="AL168">
        <f>IF(OR(B168="",'Исходные данные'!$B$51&lt;&gt;"Да",'Исходные данные'!$B$61=""),0,IF(AND(YEAR(B168)=YEAR('Исходные данные'!$B$61),MONTH(B168)=MONTH('Исходные данные'!$B$61)),N('Исходные данные'!$B$18)*N('Исходные данные'!$B$62),0))</f>
        <v>0</v>
      </c>
      <c r="AM168">
        <f t="shared" si="121"/>
        <v>0</v>
      </c>
      <c r="AN168">
        <f t="shared" si="110"/>
        <v>0</v>
      </c>
      <c r="AO168">
        <f t="shared" si="111"/>
        <v>0</v>
      </c>
      <c r="AP168">
        <f>IF('Исходные данные'!$B$51="Да",-MAX(0,AN168-AO168-AM168),0)</f>
        <v>0</v>
      </c>
      <c r="AQ168">
        <f>IF('Исходные данные'!$B$51="Да",MAX(0,AM168+AO168-AN168),0)</f>
        <v>0</v>
      </c>
      <c r="AR168">
        <f>IF('Исходные данные'!$B$53="Выручка",MAX(0,L168+(Q168-R168)+(U168-V168)),IF('Исходные данные'!$B$53="Прибыль до налога",MAX(0,L168+(Q168-R168)+(U168-V168)+N('Исходные данные'!$B$54)*((O168+P168)+(S168+T168)+W168+X168)+IF('Исходные данные'!$B$55="Да",AG168,0)-N('Исходные данные'!$B$56)/12),IF('Исходные данные'!$B$53="Пользовательская база",MAX(0,N('Исходные данные'!$B$57)/12),0)))</f>
        <v>0</v>
      </c>
      <c r="AS168">
        <f>IF(E168=1,-AR168*N('Исходные данные'!$B$50),0)</f>
        <v>0</v>
      </c>
      <c r="AT168">
        <f t="shared" si="112"/>
        <v>0</v>
      </c>
      <c r="AU168">
        <f>IF(OR(B168="",N('Исходные данные'!$B$80)&lt;=0,'Исходные данные'!$B$88=""),0,MAX(0,IF('Исходные данные'!$B$88="Последние 12 месяцев",SUMIFS($Y$2:$Y$194,$B$2:$B$194,"&gt;="&amp;EDATE(B168,-11),$B$2:$B$194,"&lt;="&amp;B168),IF('Исходные данные'!$B$88="Пользовательский NOI",N('Исходные данные'!$B$89),AT168))/N('Исходные данные'!$B$80)*(1+N('Исходные данные'!$B$81))))</f>
        <v>0</v>
      </c>
      <c r="AV168">
        <f>IF(OR(E168&lt;&gt;1,B168="",'Исходные данные'!$B$91=""),0,IF(AND(YEAR(B168)=YEAR('Исходные данные'!$B$91),MONTH(B168)=MONTH('Исходные данные'!$B$91)),AU168,0))</f>
        <v>0</v>
      </c>
      <c r="AW168">
        <f>-AV168*N('Исходные данные'!$B$73)</f>
        <v>0</v>
      </c>
      <c r="AX168">
        <f>IF(AV168=0,0,-N('Исходные данные'!$B$87)-IF('Исходные данные'!$B$82="Да",IF('Исходные данные'!$B$84="С выручки",AV168,IF('Исходные данные'!$B$84="С прибыли",MAX(0,AV168+AW168-IF('Исходные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68">
        <f t="shared" si="113"/>
        <v>0</v>
      </c>
      <c r="AZ168">
        <f t="shared" si="114"/>
        <v>0</v>
      </c>
      <c r="BA168">
        <f t="shared" si="115"/>
        <v>0</v>
      </c>
      <c r="BB168" t="str">
        <f t="shared" si="122"/>
        <v/>
      </c>
      <c r="BC168">
        <f>IF(OR(E168=0,'Исходные данные'!$B$9="",'Исходные данные'!$B$90=""),0,BA168/(1+'Исходные данные'!$B$90)^((D168-'Исходные данные'!$B$9)/365))</f>
        <v>0</v>
      </c>
      <c r="BD168">
        <f>IF(AND(E168=1,BB168&gt;=0,BB167&lt;0,MIN($BB$2:BB168)&lt;0),1,0)</f>
        <v>0</v>
      </c>
      <c r="BE168">
        <f t="shared" si="116"/>
        <v>0</v>
      </c>
      <c r="BF168">
        <f t="shared" si="117"/>
        <v>0</v>
      </c>
      <c r="BG168">
        <f t="shared" si="118"/>
        <v>0</v>
      </c>
      <c r="BH168">
        <f t="shared" si="119"/>
        <v>1</v>
      </c>
      <c r="BI168">
        <f>AZ168+N168+AP168-AR168*N('Исходные данные'!$B$50)</f>
        <v>0</v>
      </c>
      <c r="BJ168">
        <f t="shared" si="102"/>
        <v>0</v>
      </c>
      <c r="BK168">
        <f>IF(AND(BJ168&gt;=0,BJ167&lt;0,MIN($BJ$2:BJ168)&lt;0),1,0)</f>
        <v>0</v>
      </c>
    </row>
    <row r="169" spans="1:63" x14ac:dyDescent="0.2">
      <c r="A169">
        <v>168</v>
      </c>
      <c r="B169" t="str">
        <f>IF('Исходные данные'!$B$9="","",EDATE(DATE(YEAR('Исходные данные'!$B$9),MONTH('Исходные данные'!$B$9),1),A169-1))</f>
        <v/>
      </c>
      <c r="C169" t="str">
        <f t="shared" si="103"/>
        <v/>
      </c>
      <c r="D169" t="str">
        <f>IF(B169="","",IF('Исходные данные'!$B$91&lt;&gt;"",IF(AND(YEAR(B169)=YEAR('Исходные данные'!$B$91),MONTH(B169)=MONTH('Исходные данные'!$B$91)),'Исходные данные'!$B$91,IF('Исходные данные'!$B$13&lt;&gt;"",IF(AND(YEAR(B169)=YEAR('Исходные данные'!$B$13),MONTH(B169)=MONTH('Исходные данные'!$B$13)),'Исходные данные'!$B$13,IF('Исходные данные'!$B$26&lt;&gt;"",IF(AND(YEAR(B169)=YEAR('Исходные данные'!$B$26),MONTH(B169)=MONTH('Исходные данные'!$B$26)),'Исходные данные'!$B$26,IF(A169=1,'Исходные данные'!$B$9,C169)),IF(A169=1,'Исходные данные'!$B$9,C169))),IF('Исходные данные'!$B$26&lt;&gt;"",IF(AND(YEAR(B169)=YEAR('Исходные данные'!$B$26),MONTH(B169)=MONTH('Исходные данные'!$B$26)),'Исходные данные'!$B$26,IF(A169=1,'Исходные данные'!$B$9,C169)),IF(A169=1,'Исходные данные'!$B$9,C169)))),IF('Исходные данные'!$B$13&lt;&gt;"",IF(AND(YEAR(B169)=YEAR('Исходные данные'!$B$13),MONTH(B169)=MONTH('Исходные данные'!$B$13)),'Исходные данные'!$B$13,IF('Исходные данные'!$B$26&lt;&gt;"",IF(AND(YEAR(B169)=YEAR('Исходные данные'!$B$26),MONTH(B169)=MONTH('Исходные данные'!$B$26)),'Исходные данные'!$B$26,IF(A169=1,'Исходные данные'!$B$9,C169)),IF(A169=1,'Исходные данные'!$B$9,C169))),IF('Исходные данные'!$B$26&lt;&gt;"",IF(AND(YEAR(B169)=YEAR('Исходные данные'!$B$26),MONTH(B169)=MONTH('Исходные данные'!$B$26)),'Исходные данные'!$B$26,IF(A169=1,'Исходные данные'!$B$9,C169)),IF(A169=1,'Исходные данные'!$B$9,C169)))))</f>
        <v/>
      </c>
      <c r="E169">
        <f>IF(OR(B169="",'Исходные данные'!$B$91=""),0,--(B169&lt;=DATE(YEAR('Исходные данные'!$B$91),MONTH('Исходные данные'!$B$91),1)))</f>
        <v>0</v>
      </c>
      <c r="F169">
        <f>IF(OR(B169="",'Исходные данные'!$B$30="",C169&lt;'Исходные данные'!$B$30),0,DATEDIF(DATE(YEAR('Исходные данные'!$B$30),MONTH('Исходные данные'!$B$30),1),B169,"m")+1)</f>
        <v>0</v>
      </c>
      <c r="G169">
        <f t="shared" si="104"/>
        <v>0</v>
      </c>
      <c r="H169">
        <f>IF(F169=0,0,IF(G169=1,N('Исходные данные'!$B$31),IF(G169=2,N('Исходные данные'!$B$32),IF(G169=3,N('Исходные данные'!$B$33),N('Исходные данные'!$B$33)*(1+N('Исходные данные'!$B$34))^(G169-3)))))</f>
        <v>0</v>
      </c>
      <c r="I169">
        <f>IF(OR(F169=0,N('Исходные данные'!$B$5)=0,H169=0),0,'Исходные данные'!$B$5*H169*IF(AND(B169&lt;='Исходные данные'!$B$30,C169&gt;='Исходные данные'!$B$30),(C169-'Исходные данные'!$B$30+1)/DAY(C169),1))</f>
        <v>0</v>
      </c>
      <c r="J169">
        <f>IF(AND(F169&gt;0,F169&lt;=N('Исходные данные'!$B$37)),-I169,0)</f>
        <v>0</v>
      </c>
      <c r="K169">
        <f>IF(OR(F169=0,F169&lt;=N('Исходные данные'!$B$37)),0,-(I169+J169)*N('Исходные данные'!$B$38))</f>
        <v>0</v>
      </c>
      <c r="L169">
        <f t="shared" si="105"/>
        <v>0</v>
      </c>
      <c r="M169">
        <f>IF('Исходные данные'!$B$51="Да",L169*N('Исходные данные'!$B$52),0)</f>
        <v>0</v>
      </c>
      <c r="N169">
        <f t="shared" si="106"/>
        <v>0</v>
      </c>
      <c r="O169">
        <f>IF(OR(B169="",IF('Исходные данные'!$B$45="",'Исходные данные'!$B$10,'Исходные данные'!$B$45)="",C169&lt;IF('Исходные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данные'!$B$45)),1),B169,"m")/12))*IF(AND(B169&lt;=IF('Исходные данные'!$B$45="",'Исходные данные'!$B$10,'Исходные данные'!$B$45),C169&gt;=IF('Исходные данные'!$B$45="",'Исходные данные'!$B$10,'Исходные данные'!$B$45)),(C169-IF('Исходные данные'!$B$45="",'Исходные данные'!$B$10,'Исходные данные'!$B$45)+1)/DAY(C169),1)*IF('Исходные данные'!$B$43="Без НДС",1+N('Исходные данные'!$B$44),1))</f>
        <v>0</v>
      </c>
      <c r="P169">
        <f>IF('Исходные данные'!$B$51="Да",-O169*N('Исходные данные'!$B$44)/(1+N('Исходные данные'!$B$44)),0)</f>
        <v>0</v>
      </c>
      <c r="Q169">
        <f>IF('Исходные данные'!$B$35="Да",-O169,0)</f>
        <v>0</v>
      </c>
      <c r="R169">
        <f>IF(AND('Исходные данные'!$B$51="Да",Q169&gt;0),Q169*N('Исходные данные'!$B$52)/(1+N('Исходные данные'!$B$52)),0)</f>
        <v>0</v>
      </c>
      <c r="S169">
        <f>IF(OR(B169="",IF('Исходные данные'!$B$45="",'Исходные данные'!$B$10,'Исходные данные'!$B$45)="",C169&lt;IF('Исходные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данные'!$B$45)),1),B169,"m")/12))*IF(AND(B169&lt;=IF('Исходные данные'!$B$45="",'Исходные данные'!$B$10,'Исходные данные'!$B$45),C169&gt;=IF('Исходные данные'!$B$45="",'Исходные данные'!$B$10,'Исходные данные'!$B$45)),(C169-IF('Исходные данные'!$B$45="",'Исходные данные'!$B$10,'Исходные данные'!$B$45)+1)/DAY(C169),1)*IF('Исходные данные'!$B$43="Без НДС",1+N('Исходные данные'!$B$44),1))</f>
        <v>0</v>
      </c>
      <c r="T169">
        <f>IF('Исходные данные'!$B$51="Да",-S169*N('Исходные данные'!$B$44)/(1+N('Исходные данные'!$B$44)),0)</f>
        <v>0</v>
      </c>
      <c r="U169">
        <f>IF('Исходные данные'!$B$36="Да",-S169,0)</f>
        <v>0</v>
      </c>
      <c r="V169">
        <f>IF(AND('Исходные данные'!$B$51="Да",U169&gt;0),U169*N('Исходные данные'!$B$52)/(1+N('Исходные данные'!$B$52)),0)</f>
        <v>0</v>
      </c>
      <c r="W169">
        <f>IF(OR(B169="",IF('Исходные данные'!$B$69="",'Исходные данные'!$B$10,'Исходные данные'!$B$69)="",C169&lt;IF('Исходные данные'!$B$69="",'Исходные данные'!$B$10,'Исходные данные'!$B$69)),0,-N('Исходные данные'!$B$16)*N('Исходные данные'!$B$68)*N('Исходные данные'!$B$67)/12*IF(AND(B169&lt;=IF('Исходные данные'!$B$69="",'Исходные данные'!$B$10,'Исходные данные'!$B$69),C169&gt;=IF('Исходные данные'!$B$69="",'Исходные данные'!$B$10,'Исходные данные'!$B$69)),(C169-IF('Исходные данные'!$B$69="",'Исходные данные'!$B$10,'Исходные данные'!$B$69)+1)/DAY(C169),1))</f>
        <v>0</v>
      </c>
      <c r="X169">
        <f>IF(OR(B169="",IF('Исходные данные'!$B$76="",'Исходные данные'!$B$10,'Исходные данные'!$B$76)="",C169&lt;IF('Исходные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данные'!$B$76)),1),B169,"m")/12))*IF(AND(B169&lt;=IF('Исходные данные'!$B$76="",'Исходные данные'!$B$10,'Исходные данные'!$B$76),C169&gt;=IF('Исходные данные'!$B$76="",'Исходные данные'!$B$10,'Исходные данные'!$B$76)),(C169-IF('Исходные данные'!$B$76="",'Исходные данные'!$B$10,'Исходные данные'!$B$76)+1)/DAY(C169),1))</f>
        <v>0</v>
      </c>
      <c r="Y169">
        <f t="shared" si="107"/>
        <v>0</v>
      </c>
      <c r="Z169">
        <f>IF(OR(B169="",N('Исходные данные'!$B$19)=0),0,-SUMIFS('Исходные данные'!$I$6:$I$186,'Исходные данные'!$F$6:$F$186,B169)*N('Исходные данные'!$B$17)/N('Исходные данные'!$B$19))</f>
        <v>0</v>
      </c>
      <c r="AA169">
        <f>IF(OR(B169="",N('Исходные данные'!$B$19)=0),0,-SUMIFS('Исходные данные'!$I$6:$I$186,'Исходные данные'!$F$6:$F$186,B169)*N('Исходные данные'!$B$18)/N('Исходные данные'!$B$19))</f>
        <v>0</v>
      </c>
      <c r="AB169">
        <f>IF(OR(B169="",'Исходные данные'!$B$13=""),0,IF(AND(YEAR(B169)=YEAR('Исходные данные'!$B$13),MONTH(B169)=MONTH('Исходные данные'!$B$13)),-N('Исходные данные'!$B$11),0))</f>
        <v>0</v>
      </c>
      <c r="AC169">
        <f>IF(A169=1,-N('Исходные данные'!$B$19)*N('Исходные данные'!$B$72),0)</f>
        <v>0</v>
      </c>
      <c r="AD169">
        <f>IF(OR(B169="",'Исходные данные'!$B$22&lt;&gt;"Да",'Исходные данные'!$B$26=""),0,IF(AND(YEAR(B169)=YEAR('Исходные данные'!$B$26),MONTH(B169)=MONTH('Исходные данные'!$B$26)),N('Исходные данные'!$B$23),0))</f>
        <v>0</v>
      </c>
      <c r="AE169">
        <f t="shared" si="120"/>
        <v>0</v>
      </c>
      <c r="AF169">
        <f>IF(OR('Исходные данные'!$B$22&lt;&gt;"Да",'Исходные данные'!$B$26="",C169&lt;'Исходные данные'!$B$26),0,DATEDIF(DATE(YEAR('Исходные данные'!$B$26),MONTH('Исходные данные'!$B$26),1),B169,"m")+1)</f>
        <v>0</v>
      </c>
      <c r="AG169">
        <f>IF(OR(AF169&lt;1,AF169&gt;N('Исходные данные'!$B$25),AE169+AD169&lt;=0),0,-(AE169+AD169)*N('Исходные данные'!$B$24)*IF(AF169=1,C169-'Исходные данные'!$B$26+1,DAY(C169))/365)</f>
        <v>0</v>
      </c>
      <c r="AH169">
        <f>IF(OR(AF169&lt;1,AF169&gt;N('Исходные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данные'!$B$25)-AG169))</f>
        <v>0</v>
      </c>
      <c r="AI169">
        <f>IF(OR('Исходные данные'!$B$22&lt;&gt;"Да",AE169+AD169&lt;=0),0,IF(AND('Исходные данные'!$B$91&lt;&gt;"",B169&lt;&gt;"",YEAR(B169)=YEAR('Исходные данные'!$B$91),MONTH(B169)=MONTH('Исходные данные'!$B$91)),-(AE169+AD169),IF(OR(AF169&lt;1,AF169&gt;N('Исходные данные'!$B$25)),0,IF('Исходные данные'!$B$27="Равными долями",-MIN(AE169+AD169,N('Исходные данные'!$B$23)/N('Исходные данные'!$B$25)),-MIN(AE169+AD169,IF(AF169=N('Исходные данные'!$B$25),AE169+AD169,MAX(0,AH169+AG169)))))))</f>
        <v>0</v>
      </c>
      <c r="AJ169">
        <f t="shared" si="108"/>
        <v>0</v>
      </c>
      <c r="AK169">
        <f t="shared" si="109"/>
        <v>0</v>
      </c>
      <c r="AL169">
        <f>IF(OR(B169="",'Исходные данные'!$B$51&lt;&gt;"Да",'Исходные данные'!$B$61=""),0,IF(AND(YEAR(B169)=YEAR('Исходные данные'!$B$61),MONTH(B169)=MONTH('Исходные данные'!$B$61)),N('Исходные данные'!$B$18)*N('Исходные данные'!$B$62),0))</f>
        <v>0</v>
      </c>
      <c r="AM169">
        <f t="shared" si="121"/>
        <v>0</v>
      </c>
      <c r="AN169">
        <f t="shared" si="110"/>
        <v>0</v>
      </c>
      <c r="AO169">
        <f t="shared" si="111"/>
        <v>0</v>
      </c>
      <c r="AP169">
        <f>IF('Исходные данные'!$B$51="Да",-MAX(0,AN169-AO169-AM169),0)</f>
        <v>0</v>
      </c>
      <c r="AQ169">
        <f>IF('Исходные данные'!$B$51="Да",MAX(0,AM169+AO169-AN169),0)</f>
        <v>0</v>
      </c>
      <c r="AR169">
        <f>IF('Исходные данные'!$B$53="Выручка",MAX(0,L169+(Q169-R169)+(U169-V169)),IF('Исходные данные'!$B$53="Прибыль до налога",MAX(0,L169+(Q169-R169)+(U169-V169)+N('Исходные данные'!$B$54)*((O169+P169)+(S169+T169)+W169+X169)+IF('Исходные данные'!$B$55="Да",AG169,0)-N('Исходные данные'!$B$56)/12),IF('Исходные данные'!$B$53="Пользовательская база",MAX(0,N('Исходные данные'!$B$57)/12),0)))</f>
        <v>0</v>
      </c>
      <c r="AS169">
        <f>IF(E169=1,-AR169*N('Исходные данные'!$B$50),0)</f>
        <v>0</v>
      </c>
      <c r="AT169">
        <f t="shared" si="112"/>
        <v>0</v>
      </c>
      <c r="AU169">
        <f>IF(OR(B169="",N('Исходные данные'!$B$80)&lt;=0,'Исходные данные'!$B$88=""),0,MAX(0,IF('Исходные данные'!$B$88="Последние 12 месяцев",SUMIFS($Y$2:$Y$194,$B$2:$B$194,"&gt;="&amp;EDATE(B169,-11),$B$2:$B$194,"&lt;="&amp;B169),IF('Исходные данные'!$B$88="Пользовательский NOI",N('Исходные данные'!$B$89),AT169))/N('Исходные данные'!$B$80)*(1+N('Исходные данные'!$B$81))))</f>
        <v>0</v>
      </c>
      <c r="AV169">
        <f>IF(OR(E169&lt;&gt;1,B169="",'Исходные данные'!$B$91=""),0,IF(AND(YEAR(B169)=YEAR('Исходные данные'!$B$91),MONTH(B169)=MONTH('Исходные данные'!$B$91)),AU169,0))</f>
        <v>0</v>
      </c>
      <c r="AW169">
        <f>-AV169*N('Исходные данные'!$B$73)</f>
        <v>0</v>
      </c>
      <c r="AX169">
        <f>IF(AV169=0,0,-N('Исходные данные'!$B$87)-IF('Исходные данные'!$B$82="Да",IF('Исходные данные'!$B$84="С выручки",AV169,IF('Исходные данные'!$B$84="С прибыли",MAX(0,AV169+AW169-IF('Исходные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69">
        <f t="shared" si="113"/>
        <v>0</v>
      </c>
      <c r="AZ169">
        <f t="shared" si="114"/>
        <v>0</v>
      </c>
      <c r="BA169">
        <f t="shared" si="115"/>
        <v>0</v>
      </c>
      <c r="BB169" t="str">
        <f t="shared" si="122"/>
        <v/>
      </c>
      <c r="BC169">
        <f>IF(OR(E169=0,'Исходные данные'!$B$9="",'Исходные данные'!$B$90=""),0,BA169/(1+'Исходные данные'!$B$90)^((D169-'Исходные данные'!$B$9)/365))</f>
        <v>0</v>
      </c>
      <c r="BD169">
        <f>IF(AND(E169=1,BB169&gt;=0,BB168&lt;0,MIN($BB$2:BB169)&lt;0),1,0)</f>
        <v>0</v>
      </c>
      <c r="BE169">
        <f t="shared" si="116"/>
        <v>0</v>
      </c>
      <c r="BF169">
        <f t="shared" si="117"/>
        <v>0</v>
      </c>
      <c r="BG169">
        <f t="shared" si="118"/>
        <v>0</v>
      </c>
      <c r="BH169">
        <f t="shared" si="119"/>
        <v>1</v>
      </c>
      <c r="BI169">
        <f>AZ169+N169+AP169-AR169*N('Исходные данные'!$B$50)</f>
        <v>0</v>
      </c>
      <c r="BJ169">
        <f t="shared" si="102"/>
        <v>0</v>
      </c>
      <c r="BK169">
        <f>IF(AND(BJ169&gt;=0,BJ168&lt;0,MIN($BJ$2:BJ169)&lt;0),1,0)</f>
        <v>0</v>
      </c>
    </row>
    <row r="170" spans="1:63" x14ac:dyDescent="0.2">
      <c r="A170">
        <v>169</v>
      </c>
      <c r="B170" t="str">
        <f>IF('Исходные данные'!$B$9="","",EDATE(DATE(YEAR('Исходные данные'!$B$9),MONTH('Исходные данные'!$B$9),1),A170-1))</f>
        <v/>
      </c>
      <c r="C170" t="str">
        <f t="shared" si="103"/>
        <v/>
      </c>
      <c r="D170" t="str">
        <f>IF(B170="","",IF('Исходные данные'!$B$91&lt;&gt;"",IF(AND(YEAR(B170)=YEAR('Исходные данные'!$B$91),MONTH(B170)=MONTH('Исходные данные'!$B$91)),'Исходные данные'!$B$91,IF('Исходные данные'!$B$13&lt;&gt;"",IF(AND(YEAR(B170)=YEAR('Исходные данные'!$B$13),MONTH(B170)=MONTH('Исходные данные'!$B$13)),'Исходные данные'!$B$13,IF('Исходные данные'!$B$26&lt;&gt;"",IF(AND(YEAR(B170)=YEAR('Исходные данные'!$B$26),MONTH(B170)=MONTH('Исходные данные'!$B$26)),'Исходные данные'!$B$26,IF(A170=1,'Исходные данные'!$B$9,C170)),IF(A170=1,'Исходные данные'!$B$9,C170))),IF('Исходные данные'!$B$26&lt;&gt;"",IF(AND(YEAR(B170)=YEAR('Исходные данные'!$B$26),MONTH(B170)=MONTH('Исходные данные'!$B$26)),'Исходные данные'!$B$26,IF(A170=1,'Исходные данные'!$B$9,C170)),IF(A170=1,'Исходные данные'!$B$9,C170)))),IF('Исходные данные'!$B$13&lt;&gt;"",IF(AND(YEAR(B170)=YEAR('Исходные данные'!$B$13),MONTH(B170)=MONTH('Исходные данные'!$B$13)),'Исходные данные'!$B$13,IF('Исходные данные'!$B$26&lt;&gt;"",IF(AND(YEAR(B170)=YEAR('Исходные данные'!$B$26),MONTH(B170)=MONTH('Исходные данные'!$B$26)),'Исходные данные'!$B$26,IF(A170=1,'Исходные данные'!$B$9,C170)),IF(A170=1,'Исходные данные'!$B$9,C170))),IF('Исходные данные'!$B$26&lt;&gt;"",IF(AND(YEAR(B170)=YEAR('Исходные данные'!$B$26),MONTH(B170)=MONTH('Исходные данные'!$B$26)),'Исходные данные'!$B$26,IF(A170=1,'Исходные данные'!$B$9,C170)),IF(A170=1,'Исходные данные'!$B$9,C170)))))</f>
        <v/>
      </c>
      <c r="E170">
        <f>IF(OR(B170="",'Исходные данные'!$B$91=""),0,--(B170&lt;=DATE(YEAR('Исходные данные'!$B$91),MONTH('Исходные данные'!$B$91),1)))</f>
        <v>0</v>
      </c>
      <c r="F170">
        <f>IF(OR(B170="",'Исходные данные'!$B$30="",C170&lt;'Исходные данные'!$B$30),0,DATEDIF(DATE(YEAR('Исходные данные'!$B$30),MONTH('Исходные данные'!$B$30),1),B170,"m")+1)</f>
        <v>0</v>
      </c>
      <c r="G170">
        <f t="shared" si="104"/>
        <v>0</v>
      </c>
      <c r="H170">
        <f>IF(F170=0,0,IF(G170=1,N('Исходные данные'!$B$31),IF(G170=2,N('Исходные данные'!$B$32),IF(G170=3,N('Исходные данные'!$B$33),N('Исходные данные'!$B$33)*(1+N('Исходные данные'!$B$34))^(G170-3)))))</f>
        <v>0</v>
      </c>
      <c r="I170">
        <f>IF(OR(F170=0,N('Исходные данные'!$B$5)=0,H170=0),0,'Исходные данные'!$B$5*H170*IF(AND(B170&lt;='Исходные данные'!$B$30,C170&gt;='Исходные данные'!$B$30),(C170-'Исходные данные'!$B$30+1)/DAY(C170),1))</f>
        <v>0</v>
      </c>
      <c r="J170">
        <f>IF(AND(F170&gt;0,F170&lt;=N('Исходные данные'!$B$37)),-I170,0)</f>
        <v>0</v>
      </c>
      <c r="K170">
        <f>IF(OR(F170=0,F170&lt;=N('Исходные данные'!$B$37)),0,-(I170+J170)*N('Исходные данные'!$B$38))</f>
        <v>0</v>
      </c>
      <c r="L170">
        <f t="shared" si="105"/>
        <v>0</v>
      </c>
      <c r="M170">
        <f>IF('Исходные данные'!$B$51="Да",L170*N('Исходные данные'!$B$52),0)</f>
        <v>0</v>
      </c>
      <c r="N170">
        <f t="shared" si="106"/>
        <v>0</v>
      </c>
      <c r="O170">
        <f>IF(OR(B170="",IF('Исходные данные'!$B$45="",'Исходные данные'!$B$10,'Исходные данные'!$B$45)="",C170&lt;IF('Исходные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данные'!$B$45)),1),B170,"m")/12))*IF(AND(B170&lt;=IF('Исходные данные'!$B$45="",'Исходные данные'!$B$10,'Исходные данные'!$B$45),C170&gt;=IF('Исходные данные'!$B$45="",'Исходные данные'!$B$10,'Исходные данные'!$B$45)),(C170-IF('Исходные данные'!$B$45="",'Исходные данные'!$B$10,'Исходные данные'!$B$45)+1)/DAY(C170),1)*IF('Исходные данные'!$B$43="Без НДС",1+N('Исходные данные'!$B$44),1))</f>
        <v>0</v>
      </c>
      <c r="P170">
        <f>IF('Исходные данные'!$B$51="Да",-O170*N('Исходные данные'!$B$44)/(1+N('Исходные данные'!$B$44)),0)</f>
        <v>0</v>
      </c>
      <c r="Q170">
        <f>IF('Исходные данные'!$B$35="Да",-O170,0)</f>
        <v>0</v>
      </c>
      <c r="R170">
        <f>IF(AND('Исходные данные'!$B$51="Да",Q170&gt;0),Q170*N('Исходные данные'!$B$52)/(1+N('Исходные данные'!$B$52)),0)</f>
        <v>0</v>
      </c>
      <c r="S170">
        <f>IF(OR(B170="",IF('Исходные данные'!$B$45="",'Исходные данные'!$B$10,'Исходные данные'!$B$45)="",C170&lt;IF('Исходные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данные'!$B$45)),1),B170,"m")/12))*IF(AND(B170&lt;=IF('Исходные данные'!$B$45="",'Исходные данные'!$B$10,'Исходные данные'!$B$45),C170&gt;=IF('Исходные данные'!$B$45="",'Исходные данные'!$B$10,'Исходные данные'!$B$45)),(C170-IF('Исходные данные'!$B$45="",'Исходные данные'!$B$10,'Исходные данные'!$B$45)+1)/DAY(C170),1)*IF('Исходные данные'!$B$43="Без НДС",1+N('Исходные данные'!$B$44),1))</f>
        <v>0</v>
      </c>
      <c r="T170">
        <f>IF('Исходные данные'!$B$51="Да",-S170*N('Исходные данные'!$B$44)/(1+N('Исходные данные'!$B$44)),0)</f>
        <v>0</v>
      </c>
      <c r="U170">
        <f>IF('Исходные данные'!$B$36="Да",-S170,0)</f>
        <v>0</v>
      </c>
      <c r="V170">
        <f>IF(AND('Исходные данные'!$B$51="Да",U170&gt;0),U170*N('Исходные данные'!$B$52)/(1+N('Исходные данные'!$B$52)),0)</f>
        <v>0</v>
      </c>
      <c r="W170">
        <f>IF(OR(B170="",IF('Исходные данные'!$B$69="",'Исходные данные'!$B$10,'Исходные данные'!$B$69)="",C170&lt;IF('Исходные данные'!$B$69="",'Исходные данные'!$B$10,'Исходные данные'!$B$69)),0,-N('Исходные данные'!$B$16)*N('Исходные данные'!$B$68)*N('Исходные данные'!$B$67)/12*IF(AND(B170&lt;=IF('Исходные данные'!$B$69="",'Исходные данные'!$B$10,'Исходные данные'!$B$69),C170&gt;=IF('Исходные данные'!$B$69="",'Исходные данные'!$B$10,'Исходные данные'!$B$69)),(C170-IF('Исходные данные'!$B$69="",'Исходные данные'!$B$10,'Исходные данные'!$B$69)+1)/DAY(C170),1))</f>
        <v>0</v>
      </c>
      <c r="X170">
        <f>IF(OR(B170="",IF('Исходные данные'!$B$76="",'Исходные данные'!$B$10,'Исходные данные'!$B$76)="",C170&lt;IF('Исходные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данные'!$B$76)),1),B170,"m")/12))*IF(AND(B170&lt;=IF('Исходные данные'!$B$76="",'Исходные данные'!$B$10,'Исходные данные'!$B$76),C170&gt;=IF('Исходные данные'!$B$76="",'Исходные данные'!$B$10,'Исходные данные'!$B$76)),(C170-IF('Исходные данные'!$B$76="",'Исходные данные'!$B$10,'Исходные данные'!$B$76)+1)/DAY(C170),1))</f>
        <v>0</v>
      </c>
      <c r="Y170">
        <f t="shared" si="107"/>
        <v>0</v>
      </c>
      <c r="Z170">
        <f>IF(OR(B170="",N('Исходные данные'!$B$19)=0),0,-SUMIFS('Исходные данные'!$I$6:$I$186,'Исходные данные'!$F$6:$F$186,B170)*N('Исходные данные'!$B$17)/N('Исходные данные'!$B$19))</f>
        <v>0</v>
      </c>
      <c r="AA170">
        <f>IF(OR(B170="",N('Исходные данные'!$B$19)=0),0,-SUMIFS('Исходные данные'!$I$6:$I$186,'Исходные данные'!$F$6:$F$186,B170)*N('Исходные данные'!$B$18)/N('Исходные данные'!$B$19))</f>
        <v>0</v>
      </c>
      <c r="AB170">
        <f>IF(OR(B170="",'Исходные данные'!$B$13=""),0,IF(AND(YEAR(B170)=YEAR('Исходные данные'!$B$13),MONTH(B170)=MONTH('Исходные данные'!$B$13)),-N('Исходные данные'!$B$11),0))</f>
        <v>0</v>
      </c>
      <c r="AC170">
        <f>IF(A170=1,-N('Исходные данные'!$B$19)*N('Исходные данные'!$B$72),0)</f>
        <v>0</v>
      </c>
      <c r="AD170">
        <f>IF(OR(B170="",'Исходные данные'!$B$22&lt;&gt;"Да",'Исходные данные'!$B$26=""),0,IF(AND(YEAR(B170)=YEAR('Исходные данные'!$B$26),MONTH(B170)=MONTH('Исходные данные'!$B$26)),N('Исходные данные'!$B$23),0))</f>
        <v>0</v>
      </c>
      <c r="AE170">
        <f t="shared" si="120"/>
        <v>0</v>
      </c>
      <c r="AF170">
        <f>IF(OR('Исходные данные'!$B$22&lt;&gt;"Да",'Исходные данные'!$B$26="",C170&lt;'Исходные данные'!$B$26),0,DATEDIF(DATE(YEAR('Исходные данные'!$B$26),MONTH('Исходные данные'!$B$26),1),B170,"m")+1)</f>
        <v>0</v>
      </c>
      <c r="AG170">
        <f>IF(OR(AF170&lt;1,AF170&gt;N('Исходные данные'!$B$25),AE170+AD170&lt;=0),0,-(AE170+AD170)*N('Исходные данные'!$B$24)*IF(AF170=1,C170-'Исходные данные'!$B$26+1,DAY(C170))/365)</f>
        <v>0</v>
      </c>
      <c r="AH170">
        <f>IF(OR(AF170&lt;1,AF170&gt;N('Исходные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данные'!$B$25)-AG170))</f>
        <v>0</v>
      </c>
      <c r="AI170">
        <f>IF(OR('Исходные данные'!$B$22&lt;&gt;"Да",AE170+AD170&lt;=0),0,IF(AND('Исходные данные'!$B$91&lt;&gt;"",B170&lt;&gt;"",YEAR(B170)=YEAR('Исходные данные'!$B$91),MONTH(B170)=MONTH('Исходные данные'!$B$91)),-(AE170+AD170),IF(OR(AF170&lt;1,AF170&gt;N('Исходные данные'!$B$25)),0,IF('Исходные данные'!$B$27="Равными долями",-MIN(AE170+AD170,N('Исходные данные'!$B$23)/N('Исходные данные'!$B$25)),-MIN(AE170+AD170,IF(AF170=N('Исходные данные'!$B$25),AE170+AD170,MAX(0,AH170+AG170)))))))</f>
        <v>0</v>
      </c>
      <c r="AJ170">
        <f t="shared" si="108"/>
        <v>0</v>
      </c>
      <c r="AK170">
        <f t="shared" si="109"/>
        <v>0</v>
      </c>
      <c r="AL170">
        <f>IF(OR(B170="",'Исходные данные'!$B$51&lt;&gt;"Да",'Исходные данные'!$B$61=""),0,IF(AND(YEAR(B170)=YEAR('Исходные данные'!$B$61),MONTH(B170)=MONTH('Исходные данные'!$B$61)),N('Исходные данные'!$B$18)*N('Исходные данные'!$B$62),0))</f>
        <v>0</v>
      </c>
      <c r="AM170">
        <f t="shared" si="121"/>
        <v>0</v>
      </c>
      <c r="AN170">
        <f t="shared" si="110"/>
        <v>0</v>
      </c>
      <c r="AO170">
        <f t="shared" si="111"/>
        <v>0</v>
      </c>
      <c r="AP170">
        <f>IF('Исходные данные'!$B$51="Да",-MAX(0,AN170-AO170-AM170),0)</f>
        <v>0</v>
      </c>
      <c r="AQ170">
        <f>IF('Исходные данные'!$B$51="Да",MAX(0,AM170+AO170-AN170),0)</f>
        <v>0</v>
      </c>
      <c r="AR170">
        <f>IF('Исходные данные'!$B$53="Выручка",MAX(0,L170+(Q170-R170)+(U170-V170)),IF('Исходные данные'!$B$53="Прибыль до налога",MAX(0,L170+(Q170-R170)+(U170-V170)+N('Исходные данные'!$B$54)*((O170+P170)+(S170+T170)+W170+X170)+IF('Исходные данные'!$B$55="Да",AG170,0)-N('Исходные данные'!$B$56)/12),IF('Исходные данные'!$B$53="Пользовательская база",MAX(0,N('Исходные данные'!$B$57)/12),0)))</f>
        <v>0</v>
      </c>
      <c r="AS170">
        <f>IF(E170=1,-AR170*N('Исходные данные'!$B$50),0)</f>
        <v>0</v>
      </c>
      <c r="AT170">
        <f t="shared" si="112"/>
        <v>0</v>
      </c>
      <c r="AU170">
        <f>IF(OR(B170="",N('Исходные данные'!$B$80)&lt;=0,'Исходные данные'!$B$88=""),0,MAX(0,IF('Исходные данные'!$B$88="Последние 12 месяцев",SUMIFS($Y$2:$Y$194,$B$2:$B$194,"&gt;="&amp;EDATE(B170,-11),$B$2:$B$194,"&lt;="&amp;B170),IF('Исходные данные'!$B$88="Пользовательский NOI",N('Исходные данные'!$B$89),AT170))/N('Исходные данные'!$B$80)*(1+N('Исходные данные'!$B$81))))</f>
        <v>0</v>
      </c>
      <c r="AV170">
        <f>IF(OR(E170&lt;&gt;1,B170="",'Исходные данные'!$B$91=""),0,IF(AND(YEAR(B170)=YEAR('Исходные данные'!$B$91),MONTH(B170)=MONTH('Исходные данные'!$B$91)),AU170,0))</f>
        <v>0</v>
      </c>
      <c r="AW170">
        <f>-AV170*N('Исходные данные'!$B$73)</f>
        <v>0</v>
      </c>
      <c r="AX170">
        <f>IF(AV170=0,0,-N('Исходные данные'!$B$87)-IF('Исходные данные'!$B$82="Да",IF('Исходные данные'!$B$84="С выручки",AV170,IF('Исходные данные'!$B$84="С прибыли",MAX(0,AV170+AW170-IF('Исходные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70">
        <f t="shared" si="113"/>
        <v>0</v>
      </c>
      <c r="AZ170">
        <f t="shared" si="114"/>
        <v>0</v>
      </c>
      <c r="BA170">
        <f t="shared" si="115"/>
        <v>0</v>
      </c>
      <c r="BB170" t="str">
        <f t="shared" si="122"/>
        <v/>
      </c>
      <c r="BC170">
        <f>IF(OR(E170=0,'Исходные данные'!$B$9="",'Исходные данные'!$B$90=""),0,BA170/(1+'Исходные данные'!$B$90)^((D170-'Исходные данные'!$B$9)/365))</f>
        <v>0</v>
      </c>
      <c r="BD170">
        <f>IF(AND(E170=1,BB170&gt;=0,BB169&lt;0,MIN($BB$2:BB170)&lt;0),1,0)</f>
        <v>0</v>
      </c>
      <c r="BE170">
        <f t="shared" si="116"/>
        <v>0</v>
      </c>
      <c r="BF170">
        <f t="shared" si="117"/>
        <v>0</v>
      </c>
      <c r="BG170">
        <f t="shared" si="118"/>
        <v>0</v>
      </c>
      <c r="BH170">
        <f t="shared" si="119"/>
        <v>1</v>
      </c>
      <c r="BI170">
        <f>AZ170+N170+AP170-AR170*N('Исходные данные'!$B$50)</f>
        <v>0</v>
      </c>
      <c r="BJ170">
        <f t="shared" si="102"/>
        <v>0</v>
      </c>
      <c r="BK170">
        <f>IF(AND(BJ170&gt;=0,BJ169&lt;0,MIN($BJ$2:BJ170)&lt;0),1,0)</f>
        <v>0</v>
      </c>
    </row>
    <row r="171" spans="1:63" x14ac:dyDescent="0.2">
      <c r="A171">
        <v>170</v>
      </c>
      <c r="B171" t="str">
        <f>IF('Исходные данные'!$B$9="","",EDATE(DATE(YEAR('Исходные данные'!$B$9),MONTH('Исходные данные'!$B$9),1),A171-1))</f>
        <v/>
      </c>
      <c r="C171" t="str">
        <f t="shared" si="103"/>
        <v/>
      </c>
      <c r="D171" t="str">
        <f>IF(B171="","",IF('Исходные данные'!$B$91&lt;&gt;"",IF(AND(YEAR(B171)=YEAR('Исходные данные'!$B$91),MONTH(B171)=MONTH('Исходные данные'!$B$91)),'Исходные данные'!$B$91,IF('Исходные данные'!$B$13&lt;&gt;"",IF(AND(YEAR(B171)=YEAR('Исходные данные'!$B$13),MONTH(B171)=MONTH('Исходные данные'!$B$13)),'Исходные данные'!$B$13,IF('Исходные данные'!$B$26&lt;&gt;"",IF(AND(YEAR(B171)=YEAR('Исходные данные'!$B$26),MONTH(B171)=MONTH('Исходные данные'!$B$26)),'Исходные данные'!$B$26,IF(A171=1,'Исходные данные'!$B$9,C171)),IF(A171=1,'Исходные данные'!$B$9,C171))),IF('Исходные данные'!$B$26&lt;&gt;"",IF(AND(YEAR(B171)=YEAR('Исходные данные'!$B$26),MONTH(B171)=MONTH('Исходные данные'!$B$26)),'Исходные данные'!$B$26,IF(A171=1,'Исходные данные'!$B$9,C171)),IF(A171=1,'Исходные данные'!$B$9,C171)))),IF('Исходные данные'!$B$13&lt;&gt;"",IF(AND(YEAR(B171)=YEAR('Исходные данные'!$B$13),MONTH(B171)=MONTH('Исходные данные'!$B$13)),'Исходные данные'!$B$13,IF('Исходные данные'!$B$26&lt;&gt;"",IF(AND(YEAR(B171)=YEAR('Исходные данные'!$B$26),MONTH(B171)=MONTH('Исходные данные'!$B$26)),'Исходные данные'!$B$26,IF(A171=1,'Исходные данные'!$B$9,C171)),IF(A171=1,'Исходные данные'!$B$9,C171))),IF('Исходные данные'!$B$26&lt;&gt;"",IF(AND(YEAR(B171)=YEAR('Исходные данные'!$B$26),MONTH(B171)=MONTH('Исходные данные'!$B$26)),'Исходные данные'!$B$26,IF(A171=1,'Исходные данные'!$B$9,C171)),IF(A171=1,'Исходные данные'!$B$9,C171)))))</f>
        <v/>
      </c>
      <c r="E171">
        <f>IF(OR(B171="",'Исходные данные'!$B$91=""),0,--(B171&lt;=DATE(YEAR('Исходные данные'!$B$91),MONTH('Исходные данные'!$B$91),1)))</f>
        <v>0</v>
      </c>
      <c r="F171">
        <f>IF(OR(B171="",'Исходные данные'!$B$30="",C171&lt;'Исходные данные'!$B$30),0,DATEDIF(DATE(YEAR('Исходные данные'!$B$30),MONTH('Исходные данные'!$B$30),1),B171,"m")+1)</f>
        <v>0</v>
      </c>
      <c r="G171">
        <f t="shared" si="104"/>
        <v>0</v>
      </c>
      <c r="H171">
        <f>IF(F171=0,0,IF(G171=1,N('Исходные данные'!$B$31),IF(G171=2,N('Исходные данные'!$B$32),IF(G171=3,N('Исходные данные'!$B$33),N('Исходные данные'!$B$33)*(1+N('Исходные данные'!$B$34))^(G171-3)))))</f>
        <v>0</v>
      </c>
      <c r="I171">
        <f>IF(OR(F171=0,N('Исходные данные'!$B$5)=0,H171=0),0,'Исходные данные'!$B$5*H171*IF(AND(B171&lt;='Исходные данные'!$B$30,C171&gt;='Исходные данные'!$B$30),(C171-'Исходные данные'!$B$30+1)/DAY(C171),1))</f>
        <v>0</v>
      </c>
      <c r="J171">
        <f>IF(AND(F171&gt;0,F171&lt;=N('Исходные данные'!$B$37)),-I171,0)</f>
        <v>0</v>
      </c>
      <c r="K171">
        <f>IF(OR(F171=0,F171&lt;=N('Исходные данные'!$B$37)),0,-(I171+J171)*N('Исходные данные'!$B$38))</f>
        <v>0</v>
      </c>
      <c r="L171">
        <f t="shared" si="105"/>
        <v>0</v>
      </c>
      <c r="M171">
        <f>IF('Исходные данные'!$B$51="Да",L171*N('Исходные данные'!$B$52),0)</f>
        <v>0</v>
      </c>
      <c r="N171">
        <f t="shared" si="106"/>
        <v>0</v>
      </c>
      <c r="O171">
        <f>IF(OR(B171="",IF('Исходные данные'!$B$45="",'Исходные данные'!$B$10,'Исходные данные'!$B$45)="",C171&lt;IF('Исходные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данные'!$B$45)),1),B171,"m")/12))*IF(AND(B171&lt;=IF('Исходные данные'!$B$45="",'Исходные данные'!$B$10,'Исходные данные'!$B$45),C171&gt;=IF('Исходные данные'!$B$45="",'Исходные данные'!$B$10,'Исходные данные'!$B$45)),(C171-IF('Исходные данные'!$B$45="",'Исходные данные'!$B$10,'Исходные данные'!$B$45)+1)/DAY(C171),1)*IF('Исходные данные'!$B$43="Без НДС",1+N('Исходные данные'!$B$44),1))</f>
        <v>0</v>
      </c>
      <c r="P171">
        <f>IF('Исходные данные'!$B$51="Да",-O171*N('Исходные данные'!$B$44)/(1+N('Исходные данные'!$B$44)),0)</f>
        <v>0</v>
      </c>
      <c r="Q171">
        <f>IF('Исходные данные'!$B$35="Да",-O171,0)</f>
        <v>0</v>
      </c>
      <c r="R171">
        <f>IF(AND('Исходные данные'!$B$51="Да",Q171&gt;0),Q171*N('Исходные данные'!$B$52)/(1+N('Исходные данные'!$B$52)),0)</f>
        <v>0</v>
      </c>
      <c r="S171">
        <f>IF(OR(B171="",IF('Исходные данные'!$B$45="",'Исходные данные'!$B$10,'Исходные данные'!$B$45)="",C171&lt;IF('Исходные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данные'!$B$45)),1),B171,"m")/12))*IF(AND(B171&lt;=IF('Исходные данные'!$B$45="",'Исходные данные'!$B$10,'Исходные данные'!$B$45),C171&gt;=IF('Исходные данные'!$B$45="",'Исходные данные'!$B$10,'Исходные данные'!$B$45)),(C171-IF('Исходные данные'!$B$45="",'Исходные данные'!$B$10,'Исходные данные'!$B$45)+1)/DAY(C171),1)*IF('Исходные данные'!$B$43="Без НДС",1+N('Исходные данные'!$B$44),1))</f>
        <v>0</v>
      </c>
      <c r="T171">
        <f>IF('Исходные данные'!$B$51="Да",-S171*N('Исходные данные'!$B$44)/(1+N('Исходные данные'!$B$44)),0)</f>
        <v>0</v>
      </c>
      <c r="U171">
        <f>IF('Исходные данные'!$B$36="Да",-S171,0)</f>
        <v>0</v>
      </c>
      <c r="V171">
        <f>IF(AND('Исходные данные'!$B$51="Да",U171&gt;0),U171*N('Исходные данные'!$B$52)/(1+N('Исходные данные'!$B$52)),0)</f>
        <v>0</v>
      </c>
      <c r="W171">
        <f>IF(OR(B171="",IF('Исходные данные'!$B$69="",'Исходные данные'!$B$10,'Исходные данные'!$B$69)="",C171&lt;IF('Исходные данные'!$B$69="",'Исходные данные'!$B$10,'Исходные данные'!$B$69)),0,-N('Исходные данные'!$B$16)*N('Исходные данные'!$B$68)*N('Исходные данные'!$B$67)/12*IF(AND(B171&lt;=IF('Исходные данные'!$B$69="",'Исходные данные'!$B$10,'Исходные данные'!$B$69),C171&gt;=IF('Исходные данные'!$B$69="",'Исходные данные'!$B$10,'Исходные данные'!$B$69)),(C171-IF('Исходные данные'!$B$69="",'Исходные данные'!$B$10,'Исходные данные'!$B$69)+1)/DAY(C171),1))</f>
        <v>0</v>
      </c>
      <c r="X171">
        <f>IF(OR(B171="",IF('Исходные данные'!$B$76="",'Исходные данные'!$B$10,'Исходные данные'!$B$76)="",C171&lt;IF('Исходные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данные'!$B$76)),1),B171,"m")/12))*IF(AND(B171&lt;=IF('Исходные данные'!$B$76="",'Исходные данные'!$B$10,'Исходные данные'!$B$76),C171&gt;=IF('Исходные данные'!$B$76="",'Исходные данные'!$B$10,'Исходные данные'!$B$76)),(C171-IF('Исходные данные'!$B$76="",'Исходные данные'!$B$10,'Исходные данные'!$B$76)+1)/DAY(C171),1))</f>
        <v>0</v>
      </c>
      <c r="Y171">
        <f t="shared" si="107"/>
        <v>0</v>
      </c>
      <c r="Z171">
        <f>IF(OR(B171="",N('Исходные данные'!$B$19)=0),0,-SUMIFS('Исходные данные'!$I$6:$I$186,'Исходные данные'!$F$6:$F$186,B171)*N('Исходные данные'!$B$17)/N('Исходные данные'!$B$19))</f>
        <v>0</v>
      </c>
      <c r="AA171">
        <f>IF(OR(B171="",N('Исходные данные'!$B$19)=0),0,-SUMIFS('Исходные данные'!$I$6:$I$186,'Исходные данные'!$F$6:$F$186,B171)*N('Исходные данные'!$B$18)/N('Исходные данные'!$B$19))</f>
        <v>0</v>
      </c>
      <c r="AB171">
        <f>IF(OR(B171="",'Исходные данные'!$B$13=""),0,IF(AND(YEAR(B171)=YEAR('Исходные данные'!$B$13),MONTH(B171)=MONTH('Исходные данные'!$B$13)),-N('Исходные данные'!$B$11),0))</f>
        <v>0</v>
      </c>
      <c r="AC171">
        <f>IF(A171=1,-N('Исходные данные'!$B$19)*N('Исходные данные'!$B$72),0)</f>
        <v>0</v>
      </c>
      <c r="AD171">
        <f>IF(OR(B171="",'Исходные данные'!$B$22&lt;&gt;"Да",'Исходные данные'!$B$26=""),0,IF(AND(YEAR(B171)=YEAR('Исходные данные'!$B$26),MONTH(B171)=MONTH('Исходные данные'!$B$26)),N('Исходные данные'!$B$23),0))</f>
        <v>0</v>
      </c>
      <c r="AE171">
        <f t="shared" si="120"/>
        <v>0</v>
      </c>
      <c r="AF171">
        <f>IF(OR('Исходные данные'!$B$22&lt;&gt;"Да",'Исходные данные'!$B$26="",C171&lt;'Исходные данные'!$B$26),0,DATEDIF(DATE(YEAR('Исходные данные'!$B$26),MONTH('Исходные данные'!$B$26),1),B171,"m")+1)</f>
        <v>0</v>
      </c>
      <c r="AG171">
        <f>IF(OR(AF171&lt;1,AF171&gt;N('Исходные данные'!$B$25),AE171+AD171&lt;=0),0,-(AE171+AD171)*N('Исходные данные'!$B$24)*IF(AF171=1,C171-'Исходные данные'!$B$26+1,DAY(C171))/365)</f>
        <v>0</v>
      </c>
      <c r="AH171">
        <f>IF(OR(AF171&lt;1,AF171&gt;N('Исходные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данные'!$B$25)-AG171))</f>
        <v>0</v>
      </c>
      <c r="AI171">
        <f>IF(OR('Исходные данные'!$B$22&lt;&gt;"Да",AE171+AD171&lt;=0),0,IF(AND('Исходные данные'!$B$91&lt;&gt;"",B171&lt;&gt;"",YEAR(B171)=YEAR('Исходные данные'!$B$91),MONTH(B171)=MONTH('Исходные данные'!$B$91)),-(AE171+AD171),IF(OR(AF171&lt;1,AF171&gt;N('Исходные данные'!$B$25)),0,IF('Исходные данные'!$B$27="Равными долями",-MIN(AE171+AD171,N('Исходные данные'!$B$23)/N('Исходные данные'!$B$25)),-MIN(AE171+AD171,IF(AF171=N('Исходные данные'!$B$25),AE171+AD171,MAX(0,AH171+AG171)))))))</f>
        <v>0</v>
      </c>
      <c r="AJ171">
        <f t="shared" si="108"/>
        <v>0</v>
      </c>
      <c r="AK171">
        <f t="shared" si="109"/>
        <v>0</v>
      </c>
      <c r="AL171">
        <f>IF(OR(B171="",'Исходные данные'!$B$51&lt;&gt;"Да",'Исходные данные'!$B$61=""),0,IF(AND(YEAR(B171)=YEAR('Исходные данные'!$B$61),MONTH(B171)=MONTH('Исходные данные'!$B$61)),N('Исходные данные'!$B$18)*N('Исходные данные'!$B$62),0))</f>
        <v>0</v>
      </c>
      <c r="AM171">
        <f t="shared" si="121"/>
        <v>0</v>
      </c>
      <c r="AN171">
        <f t="shared" si="110"/>
        <v>0</v>
      </c>
      <c r="AO171">
        <f t="shared" si="111"/>
        <v>0</v>
      </c>
      <c r="AP171">
        <f>IF('Исходные данные'!$B$51="Да",-MAX(0,AN171-AO171-AM171),0)</f>
        <v>0</v>
      </c>
      <c r="AQ171">
        <f>IF('Исходные данные'!$B$51="Да",MAX(0,AM171+AO171-AN171),0)</f>
        <v>0</v>
      </c>
      <c r="AR171">
        <f>IF('Исходные данные'!$B$53="Выручка",MAX(0,L171+(Q171-R171)+(U171-V171)),IF('Исходные данные'!$B$53="Прибыль до налога",MAX(0,L171+(Q171-R171)+(U171-V171)+N('Исходные данные'!$B$54)*((O171+P171)+(S171+T171)+W171+X171)+IF('Исходные данные'!$B$55="Да",AG171,0)-N('Исходные данные'!$B$56)/12),IF('Исходные данные'!$B$53="Пользовательская база",MAX(0,N('Исходные данные'!$B$57)/12),0)))</f>
        <v>0</v>
      </c>
      <c r="AS171">
        <f>IF(E171=1,-AR171*N('Исходные данные'!$B$50),0)</f>
        <v>0</v>
      </c>
      <c r="AT171">
        <f t="shared" si="112"/>
        <v>0</v>
      </c>
      <c r="AU171">
        <f>IF(OR(B171="",N('Исходные данные'!$B$80)&lt;=0,'Исходные данные'!$B$88=""),0,MAX(0,IF('Исходные данные'!$B$88="Последние 12 месяцев",SUMIFS($Y$2:$Y$194,$B$2:$B$194,"&gt;="&amp;EDATE(B171,-11),$B$2:$B$194,"&lt;="&amp;B171),IF('Исходные данные'!$B$88="Пользовательский NOI",N('Исходные данные'!$B$89),AT171))/N('Исходные данные'!$B$80)*(1+N('Исходные данные'!$B$81))))</f>
        <v>0</v>
      </c>
      <c r="AV171">
        <f>IF(OR(E171&lt;&gt;1,B171="",'Исходные данные'!$B$91=""),0,IF(AND(YEAR(B171)=YEAR('Исходные данные'!$B$91),MONTH(B171)=MONTH('Исходные данные'!$B$91)),AU171,0))</f>
        <v>0</v>
      </c>
      <c r="AW171">
        <f>-AV171*N('Исходные данные'!$B$73)</f>
        <v>0</v>
      </c>
      <c r="AX171">
        <f>IF(AV171=0,0,-N('Исходные данные'!$B$87)-IF('Исходные данные'!$B$82="Да",IF('Исходные данные'!$B$84="С выручки",AV171,IF('Исходные данные'!$B$84="С прибыли",MAX(0,AV171+AW171-IF('Исходные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71">
        <f t="shared" si="113"/>
        <v>0</v>
      </c>
      <c r="AZ171">
        <f t="shared" si="114"/>
        <v>0</v>
      </c>
      <c r="BA171">
        <f t="shared" si="115"/>
        <v>0</v>
      </c>
      <c r="BB171" t="str">
        <f t="shared" si="122"/>
        <v/>
      </c>
      <c r="BC171">
        <f>IF(OR(E171=0,'Исходные данные'!$B$9="",'Исходные данные'!$B$90=""),0,BA171/(1+'Исходные данные'!$B$90)^((D171-'Исходные данные'!$B$9)/365))</f>
        <v>0</v>
      </c>
      <c r="BD171">
        <f>IF(AND(E171=1,BB171&gt;=0,BB170&lt;0,MIN($BB$2:BB171)&lt;0),1,0)</f>
        <v>0</v>
      </c>
      <c r="BE171">
        <f t="shared" si="116"/>
        <v>0</v>
      </c>
      <c r="BF171">
        <f t="shared" si="117"/>
        <v>0</v>
      </c>
      <c r="BG171">
        <f t="shared" si="118"/>
        <v>0</v>
      </c>
      <c r="BH171">
        <f t="shared" si="119"/>
        <v>1</v>
      </c>
      <c r="BI171">
        <f>AZ171+N171+AP171-AR171*N('Исходные данные'!$B$50)</f>
        <v>0</v>
      </c>
      <c r="BJ171">
        <f t="shared" si="102"/>
        <v>0</v>
      </c>
      <c r="BK171">
        <f>IF(AND(BJ171&gt;=0,BJ170&lt;0,MIN($BJ$2:BJ171)&lt;0),1,0)</f>
        <v>0</v>
      </c>
    </row>
    <row r="172" spans="1:63" x14ac:dyDescent="0.2">
      <c r="A172">
        <v>171</v>
      </c>
      <c r="B172" t="str">
        <f>IF('Исходные данные'!$B$9="","",EDATE(DATE(YEAR('Исходные данные'!$B$9),MONTH('Исходные данные'!$B$9),1),A172-1))</f>
        <v/>
      </c>
      <c r="C172" t="str">
        <f t="shared" si="103"/>
        <v/>
      </c>
      <c r="D172" t="str">
        <f>IF(B172="","",IF('Исходные данные'!$B$91&lt;&gt;"",IF(AND(YEAR(B172)=YEAR('Исходные данные'!$B$91),MONTH(B172)=MONTH('Исходные данные'!$B$91)),'Исходные данные'!$B$91,IF('Исходные данные'!$B$13&lt;&gt;"",IF(AND(YEAR(B172)=YEAR('Исходные данные'!$B$13),MONTH(B172)=MONTH('Исходные данные'!$B$13)),'Исходные данные'!$B$13,IF('Исходные данные'!$B$26&lt;&gt;"",IF(AND(YEAR(B172)=YEAR('Исходные данные'!$B$26),MONTH(B172)=MONTH('Исходные данные'!$B$26)),'Исходные данные'!$B$26,IF(A172=1,'Исходные данные'!$B$9,C172)),IF(A172=1,'Исходные данные'!$B$9,C172))),IF('Исходные данные'!$B$26&lt;&gt;"",IF(AND(YEAR(B172)=YEAR('Исходные данные'!$B$26),MONTH(B172)=MONTH('Исходные данные'!$B$26)),'Исходные данные'!$B$26,IF(A172=1,'Исходные данные'!$B$9,C172)),IF(A172=1,'Исходные данные'!$B$9,C172)))),IF('Исходные данные'!$B$13&lt;&gt;"",IF(AND(YEAR(B172)=YEAR('Исходные данные'!$B$13),MONTH(B172)=MONTH('Исходные данные'!$B$13)),'Исходные данные'!$B$13,IF('Исходные данные'!$B$26&lt;&gt;"",IF(AND(YEAR(B172)=YEAR('Исходные данные'!$B$26),MONTH(B172)=MONTH('Исходные данные'!$B$26)),'Исходные данные'!$B$26,IF(A172=1,'Исходные данные'!$B$9,C172)),IF(A172=1,'Исходные данные'!$B$9,C172))),IF('Исходные данные'!$B$26&lt;&gt;"",IF(AND(YEAR(B172)=YEAR('Исходные данные'!$B$26),MONTH(B172)=MONTH('Исходные данные'!$B$26)),'Исходные данные'!$B$26,IF(A172=1,'Исходные данные'!$B$9,C172)),IF(A172=1,'Исходные данные'!$B$9,C172)))))</f>
        <v/>
      </c>
      <c r="E172">
        <f>IF(OR(B172="",'Исходные данные'!$B$91=""),0,--(B172&lt;=DATE(YEAR('Исходные данные'!$B$91),MONTH('Исходные данные'!$B$91),1)))</f>
        <v>0</v>
      </c>
      <c r="F172">
        <f>IF(OR(B172="",'Исходные данные'!$B$30="",C172&lt;'Исходные данные'!$B$30),0,DATEDIF(DATE(YEAR('Исходные данные'!$B$30),MONTH('Исходные данные'!$B$30),1),B172,"m")+1)</f>
        <v>0</v>
      </c>
      <c r="G172">
        <f t="shared" si="104"/>
        <v>0</v>
      </c>
      <c r="H172">
        <f>IF(F172=0,0,IF(G172=1,N('Исходные данные'!$B$31),IF(G172=2,N('Исходные данные'!$B$32),IF(G172=3,N('Исходные данные'!$B$33),N('Исходные данные'!$B$33)*(1+N('Исходные данные'!$B$34))^(G172-3)))))</f>
        <v>0</v>
      </c>
      <c r="I172">
        <f>IF(OR(F172=0,N('Исходные данные'!$B$5)=0,H172=0),0,'Исходные данные'!$B$5*H172*IF(AND(B172&lt;='Исходные данные'!$B$30,C172&gt;='Исходные данные'!$B$30),(C172-'Исходные данные'!$B$30+1)/DAY(C172),1))</f>
        <v>0</v>
      </c>
      <c r="J172">
        <f>IF(AND(F172&gt;0,F172&lt;=N('Исходные данные'!$B$37)),-I172,0)</f>
        <v>0</v>
      </c>
      <c r="K172">
        <f>IF(OR(F172=0,F172&lt;=N('Исходные данные'!$B$37)),0,-(I172+J172)*N('Исходные данные'!$B$38))</f>
        <v>0</v>
      </c>
      <c r="L172">
        <f t="shared" si="105"/>
        <v>0</v>
      </c>
      <c r="M172">
        <f>IF('Исходные данные'!$B$51="Да",L172*N('Исходные данные'!$B$52),0)</f>
        <v>0</v>
      </c>
      <c r="N172">
        <f t="shared" si="106"/>
        <v>0</v>
      </c>
      <c r="O172">
        <f>IF(OR(B172="",IF('Исходные данные'!$B$45="",'Исходные данные'!$B$10,'Исходные данные'!$B$45)="",C172&lt;IF('Исходные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данные'!$B$45)),1),B172,"m")/12))*IF(AND(B172&lt;=IF('Исходные данные'!$B$45="",'Исходные данные'!$B$10,'Исходные данные'!$B$45),C172&gt;=IF('Исходные данные'!$B$45="",'Исходные данные'!$B$10,'Исходные данные'!$B$45)),(C172-IF('Исходные данные'!$B$45="",'Исходные данные'!$B$10,'Исходные данные'!$B$45)+1)/DAY(C172),1)*IF('Исходные данные'!$B$43="Без НДС",1+N('Исходные данные'!$B$44),1))</f>
        <v>0</v>
      </c>
      <c r="P172">
        <f>IF('Исходные данные'!$B$51="Да",-O172*N('Исходные данные'!$B$44)/(1+N('Исходные данные'!$B$44)),0)</f>
        <v>0</v>
      </c>
      <c r="Q172">
        <f>IF('Исходные данные'!$B$35="Да",-O172,0)</f>
        <v>0</v>
      </c>
      <c r="R172">
        <f>IF(AND('Исходные данные'!$B$51="Да",Q172&gt;0),Q172*N('Исходные данные'!$B$52)/(1+N('Исходные данные'!$B$52)),0)</f>
        <v>0</v>
      </c>
      <c r="S172">
        <f>IF(OR(B172="",IF('Исходные данные'!$B$45="",'Исходные данные'!$B$10,'Исходные данные'!$B$45)="",C172&lt;IF('Исходные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данные'!$B$45)),1),B172,"m")/12))*IF(AND(B172&lt;=IF('Исходные данные'!$B$45="",'Исходные данные'!$B$10,'Исходные данные'!$B$45),C172&gt;=IF('Исходные данные'!$B$45="",'Исходные данные'!$B$10,'Исходные данные'!$B$45)),(C172-IF('Исходные данные'!$B$45="",'Исходные данные'!$B$10,'Исходные данные'!$B$45)+1)/DAY(C172),1)*IF('Исходные данные'!$B$43="Без НДС",1+N('Исходные данные'!$B$44),1))</f>
        <v>0</v>
      </c>
      <c r="T172">
        <f>IF('Исходные данные'!$B$51="Да",-S172*N('Исходные данные'!$B$44)/(1+N('Исходные данные'!$B$44)),0)</f>
        <v>0</v>
      </c>
      <c r="U172">
        <f>IF('Исходные данные'!$B$36="Да",-S172,0)</f>
        <v>0</v>
      </c>
      <c r="V172">
        <f>IF(AND('Исходные данные'!$B$51="Да",U172&gt;0),U172*N('Исходные данные'!$B$52)/(1+N('Исходные данные'!$B$52)),0)</f>
        <v>0</v>
      </c>
      <c r="W172">
        <f>IF(OR(B172="",IF('Исходные данные'!$B$69="",'Исходные данные'!$B$10,'Исходные данные'!$B$69)="",C172&lt;IF('Исходные данные'!$B$69="",'Исходные данные'!$B$10,'Исходные данные'!$B$69)),0,-N('Исходные данные'!$B$16)*N('Исходные данные'!$B$68)*N('Исходные данные'!$B$67)/12*IF(AND(B172&lt;=IF('Исходные данные'!$B$69="",'Исходные данные'!$B$10,'Исходные данные'!$B$69),C172&gt;=IF('Исходные данные'!$B$69="",'Исходные данные'!$B$10,'Исходные данные'!$B$69)),(C172-IF('Исходные данные'!$B$69="",'Исходные данные'!$B$10,'Исходные данные'!$B$69)+1)/DAY(C172),1))</f>
        <v>0</v>
      </c>
      <c r="X172">
        <f>IF(OR(B172="",IF('Исходные данные'!$B$76="",'Исходные данные'!$B$10,'Исходные данные'!$B$76)="",C172&lt;IF('Исходные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данные'!$B$76)),1),B172,"m")/12))*IF(AND(B172&lt;=IF('Исходные данные'!$B$76="",'Исходные данные'!$B$10,'Исходные данные'!$B$76),C172&gt;=IF('Исходные данные'!$B$76="",'Исходные данные'!$B$10,'Исходные данные'!$B$76)),(C172-IF('Исходные данные'!$B$76="",'Исходные данные'!$B$10,'Исходные данные'!$B$76)+1)/DAY(C172),1))</f>
        <v>0</v>
      </c>
      <c r="Y172">
        <f t="shared" si="107"/>
        <v>0</v>
      </c>
      <c r="Z172">
        <f>IF(OR(B172="",N('Исходные данные'!$B$19)=0),0,-SUMIFS('Исходные данные'!$I$6:$I$186,'Исходные данные'!$F$6:$F$186,B172)*N('Исходные данные'!$B$17)/N('Исходные данные'!$B$19))</f>
        <v>0</v>
      </c>
      <c r="AA172">
        <f>IF(OR(B172="",N('Исходные данные'!$B$19)=0),0,-SUMIFS('Исходные данные'!$I$6:$I$186,'Исходные данные'!$F$6:$F$186,B172)*N('Исходные данные'!$B$18)/N('Исходные данные'!$B$19))</f>
        <v>0</v>
      </c>
      <c r="AB172">
        <f>IF(OR(B172="",'Исходные данные'!$B$13=""),0,IF(AND(YEAR(B172)=YEAR('Исходные данные'!$B$13),MONTH(B172)=MONTH('Исходные данные'!$B$13)),-N('Исходные данные'!$B$11),0))</f>
        <v>0</v>
      </c>
      <c r="AC172">
        <f>IF(A172=1,-N('Исходные данные'!$B$19)*N('Исходные данные'!$B$72),0)</f>
        <v>0</v>
      </c>
      <c r="AD172">
        <f>IF(OR(B172="",'Исходные данные'!$B$22&lt;&gt;"Да",'Исходные данные'!$B$26=""),0,IF(AND(YEAR(B172)=YEAR('Исходные данные'!$B$26),MONTH(B172)=MONTH('Исходные данные'!$B$26)),N('Исходные данные'!$B$23),0))</f>
        <v>0</v>
      </c>
      <c r="AE172">
        <f t="shared" si="120"/>
        <v>0</v>
      </c>
      <c r="AF172">
        <f>IF(OR('Исходные данные'!$B$22&lt;&gt;"Да",'Исходные данные'!$B$26="",C172&lt;'Исходные данные'!$B$26),0,DATEDIF(DATE(YEAR('Исходные данные'!$B$26),MONTH('Исходные данные'!$B$26),1),B172,"m")+1)</f>
        <v>0</v>
      </c>
      <c r="AG172">
        <f>IF(OR(AF172&lt;1,AF172&gt;N('Исходные данные'!$B$25),AE172+AD172&lt;=0),0,-(AE172+AD172)*N('Исходные данные'!$B$24)*IF(AF172=1,C172-'Исходные данные'!$B$26+1,DAY(C172))/365)</f>
        <v>0</v>
      </c>
      <c r="AH172">
        <f>IF(OR(AF172&lt;1,AF172&gt;N('Исходные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данные'!$B$25)-AG172))</f>
        <v>0</v>
      </c>
      <c r="AI172">
        <f>IF(OR('Исходные данные'!$B$22&lt;&gt;"Да",AE172+AD172&lt;=0),0,IF(AND('Исходные данные'!$B$91&lt;&gt;"",B172&lt;&gt;"",YEAR(B172)=YEAR('Исходные данные'!$B$91),MONTH(B172)=MONTH('Исходные данные'!$B$91)),-(AE172+AD172),IF(OR(AF172&lt;1,AF172&gt;N('Исходные данные'!$B$25)),0,IF('Исходные данные'!$B$27="Равными долями",-MIN(AE172+AD172,N('Исходные данные'!$B$23)/N('Исходные данные'!$B$25)),-MIN(AE172+AD172,IF(AF172=N('Исходные данные'!$B$25),AE172+AD172,MAX(0,AH172+AG172)))))))</f>
        <v>0</v>
      </c>
      <c r="AJ172">
        <f t="shared" si="108"/>
        <v>0</v>
      </c>
      <c r="AK172">
        <f t="shared" si="109"/>
        <v>0</v>
      </c>
      <c r="AL172">
        <f>IF(OR(B172="",'Исходные данные'!$B$51&lt;&gt;"Да",'Исходные данные'!$B$61=""),0,IF(AND(YEAR(B172)=YEAR('Исходные данные'!$B$61),MONTH(B172)=MONTH('Исходные данные'!$B$61)),N('Исходные данные'!$B$18)*N('Исходные данные'!$B$62),0))</f>
        <v>0</v>
      </c>
      <c r="AM172">
        <f t="shared" si="121"/>
        <v>0</v>
      </c>
      <c r="AN172">
        <f t="shared" si="110"/>
        <v>0</v>
      </c>
      <c r="AO172">
        <f t="shared" si="111"/>
        <v>0</v>
      </c>
      <c r="AP172">
        <f>IF('Исходные данные'!$B$51="Да",-MAX(0,AN172-AO172-AM172),0)</f>
        <v>0</v>
      </c>
      <c r="AQ172">
        <f>IF('Исходные данные'!$B$51="Да",MAX(0,AM172+AO172-AN172),0)</f>
        <v>0</v>
      </c>
      <c r="AR172">
        <f>IF('Исходные данные'!$B$53="Выручка",MAX(0,L172+(Q172-R172)+(U172-V172)),IF('Исходные данные'!$B$53="Прибыль до налога",MAX(0,L172+(Q172-R172)+(U172-V172)+N('Исходные данные'!$B$54)*((O172+P172)+(S172+T172)+W172+X172)+IF('Исходные данные'!$B$55="Да",AG172,0)-N('Исходные данные'!$B$56)/12),IF('Исходные данные'!$B$53="Пользовательская база",MAX(0,N('Исходные данные'!$B$57)/12),0)))</f>
        <v>0</v>
      </c>
      <c r="AS172">
        <f>IF(E172=1,-AR172*N('Исходные данные'!$B$50),0)</f>
        <v>0</v>
      </c>
      <c r="AT172">
        <f t="shared" si="112"/>
        <v>0</v>
      </c>
      <c r="AU172">
        <f>IF(OR(B172="",N('Исходные данные'!$B$80)&lt;=0,'Исходные данные'!$B$88=""),0,MAX(0,IF('Исходные данные'!$B$88="Последние 12 месяцев",SUMIFS($Y$2:$Y$194,$B$2:$B$194,"&gt;="&amp;EDATE(B172,-11),$B$2:$B$194,"&lt;="&amp;B172),IF('Исходные данные'!$B$88="Пользовательский NOI",N('Исходные данные'!$B$89),AT172))/N('Исходные данные'!$B$80)*(1+N('Исходные данные'!$B$81))))</f>
        <v>0</v>
      </c>
      <c r="AV172">
        <f>IF(OR(E172&lt;&gt;1,B172="",'Исходные данные'!$B$91=""),0,IF(AND(YEAR(B172)=YEAR('Исходные данные'!$B$91),MONTH(B172)=MONTH('Исходные данные'!$B$91)),AU172,0))</f>
        <v>0</v>
      </c>
      <c r="AW172">
        <f>-AV172*N('Исходные данные'!$B$73)</f>
        <v>0</v>
      </c>
      <c r="AX172">
        <f>IF(AV172=0,0,-N('Исходные данные'!$B$87)-IF('Исходные данные'!$B$82="Да",IF('Исходные данные'!$B$84="С выручки",AV172,IF('Исходные данные'!$B$84="С прибыли",MAX(0,AV172+AW172-IF('Исходные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72">
        <f t="shared" si="113"/>
        <v>0</v>
      </c>
      <c r="AZ172">
        <f t="shared" si="114"/>
        <v>0</v>
      </c>
      <c r="BA172">
        <f t="shared" si="115"/>
        <v>0</v>
      </c>
      <c r="BB172" t="str">
        <f t="shared" si="122"/>
        <v/>
      </c>
      <c r="BC172">
        <f>IF(OR(E172=0,'Исходные данные'!$B$9="",'Исходные данные'!$B$90=""),0,BA172/(1+'Исходные данные'!$B$90)^((D172-'Исходные данные'!$B$9)/365))</f>
        <v>0</v>
      </c>
      <c r="BD172">
        <f>IF(AND(E172=1,BB172&gt;=0,BB171&lt;0,MIN($BB$2:BB172)&lt;0),1,0)</f>
        <v>0</v>
      </c>
      <c r="BE172">
        <f t="shared" si="116"/>
        <v>0</v>
      </c>
      <c r="BF172">
        <f t="shared" si="117"/>
        <v>0</v>
      </c>
      <c r="BG172">
        <f t="shared" si="118"/>
        <v>0</v>
      </c>
      <c r="BH172">
        <f t="shared" si="119"/>
        <v>1</v>
      </c>
      <c r="BI172">
        <f>AZ172+N172+AP172-AR172*N('Исходные данные'!$B$50)</f>
        <v>0</v>
      </c>
      <c r="BJ172">
        <f t="shared" si="102"/>
        <v>0</v>
      </c>
      <c r="BK172">
        <f>IF(AND(BJ172&gt;=0,BJ171&lt;0,MIN($BJ$2:BJ172)&lt;0),1,0)</f>
        <v>0</v>
      </c>
    </row>
    <row r="173" spans="1:63" x14ac:dyDescent="0.2">
      <c r="A173">
        <v>172</v>
      </c>
      <c r="B173" t="str">
        <f>IF('Исходные данные'!$B$9="","",EDATE(DATE(YEAR('Исходные данные'!$B$9),MONTH('Исходные данные'!$B$9),1),A173-1))</f>
        <v/>
      </c>
      <c r="C173" t="str">
        <f t="shared" si="103"/>
        <v/>
      </c>
      <c r="D173" t="str">
        <f>IF(B173="","",IF('Исходные данные'!$B$91&lt;&gt;"",IF(AND(YEAR(B173)=YEAR('Исходные данные'!$B$91),MONTH(B173)=MONTH('Исходные данные'!$B$91)),'Исходные данные'!$B$91,IF('Исходные данные'!$B$13&lt;&gt;"",IF(AND(YEAR(B173)=YEAR('Исходные данные'!$B$13),MONTH(B173)=MONTH('Исходные данные'!$B$13)),'Исходные данные'!$B$13,IF('Исходные данные'!$B$26&lt;&gt;"",IF(AND(YEAR(B173)=YEAR('Исходные данные'!$B$26),MONTH(B173)=MONTH('Исходные данные'!$B$26)),'Исходные данные'!$B$26,IF(A173=1,'Исходные данные'!$B$9,C173)),IF(A173=1,'Исходные данные'!$B$9,C173))),IF('Исходные данные'!$B$26&lt;&gt;"",IF(AND(YEAR(B173)=YEAR('Исходные данные'!$B$26),MONTH(B173)=MONTH('Исходные данные'!$B$26)),'Исходные данные'!$B$26,IF(A173=1,'Исходные данные'!$B$9,C173)),IF(A173=1,'Исходные данные'!$B$9,C173)))),IF('Исходные данные'!$B$13&lt;&gt;"",IF(AND(YEAR(B173)=YEAR('Исходные данные'!$B$13),MONTH(B173)=MONTH('Исходные данные'!$B$13)),'Исходные данные'!$B$13,IF('Исходные данные'!$B$26&lt;&gt;"",IF(AND(YEAR(B173)=YEAR('Исходные данные'!$B$26),MONTH(B173)=MONTH('Исходные данные'!$B$26)),'Исходные данные'!$B$26,IF(A173=1,'Исходные данные'!$B$9,C173)),IF(A173=1,'Исходные данные'!$B$9,C173))),IF('Исходные данные'!$B$26&lt;&gt;"",IF(AND(YEAR(B173)=YEAR('Исходные данные'!$B$26),MONTH(B173)=MONTH('Исходные данные'!$B$26)),'Исходные данные'!$B$26,IF(A173=1,'Исходные данные'!$B$9,C173)),IF(A173=1,'Исходные данные'!$B$9,C173)))))</f>
        <v/>
      </c>
      <c r="E173">
        <f>IF(OR(B173="",'Исходные данные'!$B$91=""),0,--(B173&lt;=DATE(YEAR('Исходные данные'!$B$91),MONTH('Исходные данные'!$B$91),1)))</f>
        <v>0</v>
      </c>
      <c r="F173">
        <f>IF(OR(B173="",'Исходные данные'!$B$30="",C173&lt;'Исходные данные'!$B$30),0,DATEDIF(DATE(YEAR('Исходные данные'!$B$30),MONTH('Исходные данные'!$B$30),1),B173,"m")+1)</f>
        <v>0</v>
      </c>
      <c r="G173">
        <f t="shared" si="104"/>
        <v>0</v>
      </c>
      <c r="H173">
        <f>IF(F173=0,0,IF(G173=1,N('Исходные данные'!$B$31),IF(G173=2,N('Исходные данные'!$B$32),IF(G173=3,N('Исходные данные'!$B$33),N('Исходные данные'!$B$33)*(1+N('Исходные данные'!$B$34))^(G173-3)))))</f>
        <v>0</v>
      </c>
      <c r="I173">
        <f>IF(OR(F173=0,N('Исходные данные'!$B$5)=0,H173=0),0,'Исходные данные'!$B$5*H173*IF(AND(B173&lt;='Исходные данные'!$B$30,C173&gt;='Исходные данные'!$B$30),(C173-'Исходные данные'!$B$30+1)/DAY(C173),1))</f>
        <v>0</v>
      </c>
      <c r="J173">
        <f>IF(AND(F173&gt;0,F173&lt;=N('Исходные данные'!$B$37)),-I173,0)</f>
        <v>0</v>
      </c>
      <c r="K173">
        <f>IF(OR(F173=0,F173&lt;=N('Исходные данные'!$B$37)),0,-(I173+J173)*N('Исходные данные'!$B$38))</f>
        <v>0</v>
      </c>
      <c r="L173">
        <f t="shared" si="105"/>
        <v>0</v>
      </c>
      <c r="M173">
        <f>IF('Исходные данные'!$B$51="Да",L173*N('Исходные данные'!$B$52),0)</f>
        <v>0</v>
      </c>
      <c r="N173">
        <f t="shared" si="106"/>
        <v>0</v>
      </c>
      <c r="O173">
        <f>IF(OR(B173="",IF('Исходные данные'!$B$45="",'Исходные данные'!$B$10,'Исходные данные'!$B$45)="",C173&lt;IF('Исходные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данные'!$B$45)),1),B173,"m")/12))*IF(AND(B173&lt;=IF('Исходные данные'!$B$45="",'Исходные данные'!$B$10,'Исходные данные'!$B$45),C173&gt;=IF('Исходные данные'!$B$45="",'Исходные данные'!$B$10,'Исходные данные'!$B$45)),(C173-IF('Исходные данные'!$B$45="",'Исходные данные'!$B$10,'Исходные данные'!$B$45)+1)/DAY(C173),1)*IF('Исходные данные'!$B$43="Без НДС",1+N('Исходные данные'!$B$44),1))</f>
        <v>0</v>
      </c>
      <c r="P173">
        <f>IF('Исходные данные'!$B$51="Да",-O173*N('Исходные данные'!$B$44)/(1+N('Исходные данные'!$B$44)),0)</f>
        <v>0</v>
      </c>
      <c r="Q173">
        <f>IF('Исходные данные'!$B$35="Да",-O173,0)</f>
        <v>0</v>
      </c>
      <c r="R173">
        <f>IF(AND('Исходные данные'!$B$51="Да",Q173&gt;0),Q173*N('Исходные данные'!$B$52)/(1+N('Исходные данные'!$B$52)),0)</f>
        <v>0</v>
      </c>
      <c r="S173">
        <f>IF(OR(B173="",IF('Исходные данные'!$B$45="",'Исходные данные'!$B$10,'Исходные данные'!$B$45)="",C173&lt;IF('Исходные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данные'!$B$45)),1),B173,"m")/12))*IF(AND(B173&lt;=IF('Исходные данные'!$B$45="",'Исходные данные'!$B$10,'Исходные данные'!$B$45),C173&gt;=IF('Исходные данные'!$B$45="",'Исходные данные'!$B$10,'Исходные данные'!$B$45)),(C173-IF('Исходные данные'!$B$45="",'Исходные данные'!$B$10,'Исходные данные'!$B$45)+1)/DAY(C173),1)*IF('Исходные данные'!$B$43="Без НДС",1+N('Исходные данные'!$B$44),1))</f>
        <v>0</v>
      </c>
      <c r="T173">
        <f>IF('Исходные данные'!$B$51="Да",-S173*N('Исходные данные'!$B$44)/(1+N('Исходные данные'!$B$44)),0)</f>
        <v>0</v>
      </c>
      <c r="U173">
        <f>IF('Исходные данные'!$B$36="Да",-S173,0)</f>
        <v>0</v>
      </c>
      <c r="V173">
        <f>IF(AND('Исходные данные'!$B$51="Да",U173&gt;0),U173*N('Исходные данные'!$B$52)/(1+N('Исходные данные'!$B$52)),0)</f>
        <v>0</v>
      </c>
      <c r="W173">
        <f>IF(OR(B173="",IF('Исходные данные'!$B$69="",'Исходные данные'!$B$10,'Исходные данные'!$B$69)="",C173&lt;IF('Исходные данные'!$B$69="",'Исходные данные'!$B$10,'Исходные данные'!$B$69)),0,-N('Исходные данные'!$B$16)*N('Исходные данные'!$B$68)*N('Исходные данные'!$B$67)/12*IF(AND(B173&lt;=IF('Исходные данные'!$B$69="",'Исходные данные'!$B$10,'Исходные данные'!$B$69),C173&gt;=IF('Исходные данные'!$B$69="",'Исходные данные'!$B$10,'Исходные данные'!$B$69)),(C173-IF('Исходные данные'!$B$69="",'Исходные данные'!$B$10,'Исходные данные'!$B$69)+1)/DAY(C173),1))</f>
        <v>0</v>
      </c>
      <c r="X173">
        <f>IF(OR(B173="",IF('Исходные данные'!$B$76="",'Исходные данные'!$B$10,'Исходные данные'!$B$76)="",C173&lt;IF('Исходные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данные'!$B$76)),1),B173,"m")/12))*IF(AND(B173&lt;=IF('Исходные данные'!$B$76="",'Исходные данные'!$B$10,'Исходные данные'!$B$76),C173&gt;=IF('Исходные данные'!$B$76="",'Исходные данные'!$B$10,'Исходные данные'!$B$76)),(C173-IF('Исходные данные'!$B$76="",'Исходные данные'!$B$10,'Исходные данные'!$B$76)+1)/DAY(C173),1))</f>
        <v>0</v>
      </c>
      <c r="Y173">
        <f t="shared" si="107"/>
        <v>0</v>
      </c>
      <c r="Z173">
        <f>IF(OR(B173="",N('Исходные данные'!$B$19)=0),0,-SUMIFS('Исходные данные'!$I$6:$I$186,'Исходные данные'!$F$6:$F$186,B173)*N('Исходные данные'!$B$17)/N('Исходные данные'!$B$19))</f>
        <v>0</v>
      </c>
      <c r="AA173">
        <f>IF(OR(B173="",N('Исходные данные'!$B$19)=0),0,-SUMIFS('Исходные данные'!$I$6:$I$186,'Исходные данные'!$F$6:$F$186,B173)*N('Исходные данные'!$B$18)/N('Исходные данные'!$B$19))</f>
        <v>0</v>
      </c>
      <c r="AB173">
        <f>IF(OR(B173="",'Исходные данные'!$B$13=""),0,IF(AND(YEAR(B173)=YEAR('Исходные данные'!$B$13),MONTH(B173)=MONTH('Исходные данные'!$B$13)),-N('Исходные данные'!$B$11),0))</f>
        <v>0</v>
      </c>
      <c r="AC173">
        <f>IF(A173=1,-N('Исходные данные'!$B$19)*N('Исходные данные'!$B$72),0)</f>
        <v>0</v>
      </c>
      <c r="AD173">
        <f>IF(OR(B173="",'Исходные данные'!$B$22&lt;&gt;"Да",'Исходные данные'!$B$26=""),0,IF(AND(YEAR(B173)=YEAR('Исходные данные'!$B$26),MONTH(B173)=MONTH('Исходные данные'!$B$26)),N('Исходные данные'!$B$23),0))</f>
        <v>0</v>
      </c>
      <c r="AE173">
        <f t="shared" si="120"/>
        <v>0</v>
      </c>
      <c r="AF173">
        <f>IF(OR('Исходные данные'!$B$22&lt;&gt;"Да",'Исходные данные'!$B$26="",C173&lt;'Исходные данные'!$B$26),0,DATEDIF(DATE(YEAR('Исходные данные'!$B$26),MONTH('Исходные данные'!$B$26),1),B173,"m")+1)</f>
        <v>0</v>
      </c>
      <c r="AG173">
        <f>IF(OR(AF173&lt;1,AF173&gt;N('Исходные данные'!$B$25),AE173+AD173&lt;=0),0,-(AE173+AD173)*N('Исходные данные'!$B$24)*IF(AF173=1,C173-'Исходные данные'!$B$26+1,DAY(C173))/365)</f>
        <v>0</v>
      </c>
      <c r="AH173">
        <f>IF(OR(AF173&lt;1,AF173&gt;N('Исходные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данные'!$B$25)-AG173))</f>
        <v>0</v>
      </c>
      <c r="AI173">
        <f>IF(OR('Исходные данные'!$B$22&lt;&gt;"Да",AE173+AD173&lt;=0),0,IF(AND('Исходные данные'!$B$91&lt;&gt;"",B173&lt;&gt;"",YEAR(B173)=YEAR('Исходные данные'!$B$91),MONTH(B173)=MONTH('Исходные данные'!$B$91)),-(AE173+AD173),IF(OR(AF173&lt;1,AF173&gt;N('Исходные данные'!$B$25)),0,IF('Исходные данные'!$B$27="Равными долями",-MIN(AE173+AD173,N('Исходные данные'!$B$23)/N('Исходные данные'!$B$25)),-MIN(AE173+AD173,IF(AF173=N('Исходные данные'!$B$25),AE173+AD173,MAX(0,AH173+AG173)))))))</f>
        <v>0</v>
      </c>
      <c r="AJ173">
        <f t="shared" si="108"/>
        <v>0</v>
      </c>
      <c r="AK173">
        <f t="shared" si="109"/>
        <v>0</v>
      </c>
      <c r="AL173">
        <f>IF(OR(B173="",'Исходные данные'!$B$51&lt;&gt;"Да",'Исходные данные'!$B$61=""),0,IF(AND(YEAR(B173)=YEAR('Исходные данные'!$B$61),MONTH(B173)=MONTH('Исходные данные'!$B$61)),N('Исходные данные'!$B$18)*N('Исходные данные'!$B$62),0))</f>
        <v>0</v>
      </c>
      <c r="AM173">
        <f t="shared" si="121"/>
        <v>0</v>
      </c>
      <c r="AN173">
        <f t="shared" si="110"/>
        <v>0</v>
      </c>
      <c r="AO173">
        <f t="shared" si="111"/>
        <v>0</v>
      </c>
      <c r="AP173">
        <f>IF('Исходные данные'!$B$51="Да",-MAX(0,AN173-AO173-AM173),0)</f>
        <v>0</v>
      </c>
      <c r="AQ173">
        <f>IF('Исходные данные'!$B$51="Да",MAX(0,AM173+AO173-AN173),0)</f>
        <v>0</v>
      </c>
      <c r="AR173">
        <f>IF('Исходные данные'!$B$53="Выручка",MAX(0,L173+(Q173-R173)+(U173-V173)),IF('Исходные данные'!$B$53="Прибыль до налога",MAX(0,L173+(Q173-R173)+(U173-V173)+N('Исходные данные'!$B$54)*((O173+P173)+(S173+T173)+W173+X173)+IF('Исходные данные'!$B$55="Да",AG173,0)-N('Исходные данные'!$B$56)/12),IF('Исходные данные'!$B$53="Пользовательская база",MAX(0,N('Исходные данные'!$B$57)/12),0)))</f>
        <v>0</v>
      </c>
      <c r="AS173">
        <f>IF(E173=1,-AR173*N('Исходные данные'!$B$50),0)</f>
        <v>0</v>
      </c>
      <c r="AT173">
        <f t="shared" si="112"/>
        <v>0</v>
      </c>
      <c r="AU173">
        <f>IF(OR(B173="",N('Исходные данные'!$B$80)&lt;=0,'Исходные данные'!$B$88=""),0,MAX(0,IF('Исходные данные'!$B$88="Последние 12 месяцев",SUMIFS($Y$2:$Y$194,$B$2:$B$194,"&gt;="&amp;EDATE(B173,-11),$B$2:$B$194,"&lt;="&amp;B173),IF('Исходные данные'!$B$88="Пользовательский NOI",N('Исходные данные'!$B$89),AT173))/N('Исходные данные'!$B$80)*(1+N('Исходные данные'!$B$81))))</f>
        <v>0</v>
      </c>
      <c r="AV173">
        <f>IF(OR(E173&lt;&gt;1,B173="",'Исходные данные'!$B$91=""),0,IF(AND(YEAR(B173)=YEAR('Исходные данные'!$B$91),MONTH(B173)=MONTH('Исходные данные'!$B$91)),AU173,0))</f>
        <v>0</v>
      </c>
      <c r="AW173">
        <f>-AV173*N('Исходные данные'!$B$73)</f>
        <v>0</v>
      </c>
      <c r="AX173">
        <f>IF(AV173=0,0,-N('Исходные данные'!$B$87)-IF('Исходные данные'!$B$82="Да",IF('Исходные данные'!$B$84="С выручки",AV173,IF('Исходные данные'!$B$84="С прибыли",MAX(0,AV173+AW173-IF('Исходные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73">
        <f t="shared" si="113"/>
        <v>0</v>
      </c>
      <c r="AZ173">
        <f t="shared" si="114"/>
        <v>0</v>
      </c>
      <c r="BA173">
        <f t="shared" si="115"/>
        <v>0</v>
      </c>
      <c r="BB173" t="str">
        <f t="shared" si="122"/>
        <v/>
      </c>
      <c r="BC173">
        <f>IF(OR(E173=0,'Исходные данные'!$B$9="",'Исходные данные'!$B$90=""),0,BA173/(1+'Исходные данные'!$B$90)^((D173-'Исходные данные'!$B$9)/365))</f>
        <v>0</v>
      </c>
      <c r="BD173">
        <f>IF(AND(E173=1,BB173&gt;=0,BB172&lt;0,MIN($BB$2:BB173)&lt;0),1,0)</f>
        <v>0</v>
      </c>
      <c r="BE173">
        <f t="shared" si="116"/>
        <v>0</v>
      </c>
      <c r="BF173">
        <f t="shared" si="117"/>
        <v>0</v>
      </c>
      <c r="BG173">
        <f t="shared" si="118"/>
        <v>0</v>
      </c>
      <c r="BH173">
        <f t="shared" si="119"/>
        <v>1</v>
      </c>
      <c r="BI173">
        <f>AZ173+N173+AP173-AR173*N('Исходные данные'!$B$50)</f>
        <v>0</v>
      </c>
      <c r="BJ173">
        <f t="shared" si="102"/>
        <v>0</v>
      </c>
      <c r="BK173">
        <f>IF(AND(BJ173&gt;=0,BJ172&lt;0,MIN($BJ$2:BJ173)&lt;0),1,0)</f>
        <v>0</v>
      </c>
    </row>
    <row r="174" spans="1:63" x14ac:dyDescent="0.2">
      <c r="A174">
        <v>173</v>
      </c>
      <c r="B174" t="str">
        <f>IF('Исходные данные'!$B$9="","",EDATE(DATE(YEAR('Исходные данные'!$B$9),MONTH('Исходные данные'!$B$9),1),A174-1))</f>
        <v/>
      </c>
      <c r="C174" t="str">
        <f t="shared" si="103"/>
        <v/>
      </c>
      <c r="D174" t="str">
        <f>IF(B174="","",IF('Исходные данные'!$B$91&lt;&gt;"",IF(AND(YEAR(B174)=YEAR('Исходные данные'!$B$91),MONTH(B174)=MONTH('Исходные данные'!$B$91)),'Исходные данные'!$B$91,IF('Исходные данные'!$B$13&lt;&gt;"",IF(AND(YEAR(B174)=YEAR('Исходные данные'!$B$13),MONTH(B174)=MONTH('Исходные данные'!$B$13)),'Исходные данные'!$B$13,IF('Исходные данные'!$B$26&lt;&gt;"",IF(AND(YEAR(B174)=YEAR('Исходные данные'!$B$26),MONTH(B174)=MONTH('Исходные данные'!$B$26)),'Исходные данные'!$B$26,IF(A174=1,'Исходные данные'!$B$9,C174)),IF(A174=1,'Исходные данные'!$B$9,C174))),IF('Исходные данные'!$B$26&lt;&gt;"",IF(AND(YEAR(B174)=YEAR('Исходные данные'!$B$26),MONTH(B174)=MONTH('Исходные данные'!$B$26)),'Исходные данные'!$B$26,IF(A174=1,'Исходные данные'!$B$9,C174)),IF(A174=1,'Исходные данные'!$B$9,C174)))),IF('Исходные данные'!$B$13&lt;&gt;"",IF(AND(YEAR(B174)=YEAR('Исходные данные'!$B$13),MONTH(B174)=MONTH('Исходные данные'!$B$13)),'Исходные данные'!$B$13,IF('Исходные данные'!$B$26&lt;&gt;"",IF(AND(YEAR(B174)=YEAR('Исходные данные'!$B$26),MONTH(B174)=MONTH('Исходные данные'!$B$26)),'Исходные данные'!$B$26,IF(A174=1,'Исходные данные'!$B$9,C174)),IF(A174=1,'Исходные данные'!$B$9,C174))),IF('Исходные данные'!$B$26&lt;&gt;"",IF(AND(YEAR(B174)=YEAR('Исходные данные'!$B$26),MONTH(B174)=MONTH('Исходные данные'!$B$26)),'Исходные данные'!$B$26,IF(A174=1,'Исходные данные'!$B$9,C174)),IF(A174=1,'Исходные данные'!$B$9,C174)))))</f>
        <v/>
      </c>
      <c r="E174">
        <f>IF(OR(B174="",'Исходные данные'!$B$91=""),0,--(B174&lt;=DATE(YEAR('Исходные данные'!$B$91),MONTH('Исходные данные'!$B$91),1)))</f>
        <v>0</v>
      </c>
      <c r="F174">
        <f>IF(OR(B174="",'Исходные данные'!$B$30="",C174&lt;'Исходные данные'!$B$30),0,DATEDIF(DATE(YEAR('Исходные данные'!$B$30),MONTH('Исходные данные'!$B$30),1),B174,"m")+1)</f>
        <v>0</v>
      </c>
      <c r="G174">
        <f t="shared" si="104"/>
        <v>0</v>
      </c>
      <c r="H174">
        <f>IF(F174=0,0,IF(G174=1,N('Исходные данные'!$B$31),IF(G174=2,N('Исходные данные'!$B$32),IF(G174=3,N('Исходные данные'!$B$33),N('Исходные данные'!$B$33)*(1+N('Исходные данные'!$B$34))^(G174-3)))))</f>
        <v>0</v>
      </c>
      <c r="I174">
        <f>IF(OR(F174=0,N('Исходные данные'!$B$5)=0,H174=0),0,'Исходные данные'!$B$5*H174*IF(AND(B174&lt;='Исходные данные'!$B$30,C174&gt;='Исходные данные'!$B$30),(C174-'Исходные данные'!$B$30+1)/DAY(C174),1))</f>
        <v>0</v>
      </c>
      <c r="J174">
        <f>IF(AND(F174&gt;0,F174&lt;=N('Исходные данные'!$B$37)),-I174,0)</f>
        <v>0</v>
      </c>
      <c r="K174">
        <f>IF(OR(F174=0,F174&lt;=N('Исходные данные'!$B$37)),0,-(I174+J174)*N('Исходные данные'!$B$38))</f>
        <v>0</v>
      </c>
      <c r="L174">
        <f t="shared" si="105"/>
        <v>0</v>
      </c>
      <c r="M174">
        <f>IF('Исходные данные'!$B$51="Да",L174*N('Исходные данные'!$B$52),0)</f>
        <v>0</v>
      </c>
      <c r="N174">
        <f t="shared" si="106"/>
        <v>0</v>
      </c>
      <c r="O174">
        <f>IF(OR(B174="",IF('Исходные данные'!$B$45="",'Исходные данные'!$B$10,'Исходные данные'!$B$45)="",C174&lt;IF('Исходные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данные'!$B$45)),1),B174,"m")/12))*IF(AND(B174&lt;=IF('Исходные данные'!$B$45="",'Исходные данные'!$B$10,'Исходные данные'!$B$45),C174&gt;=IF('Исходные данные'!$B$45="",'Исходные данные'!$B$10,'Исходные данные'!$B$45)),(C174-IF('Исходные данные'!$B$45="",'Исходные данные'!$B$10,'Исходные данные'!$B$45)+1)/DAY(C174),1)*IF('Исходные данные'!$B$43="Без НДС",1+N('Исходные данные'!$B$44),1))</f>
        <v>0</v>
      </c>
      <c r="P174">
        <f>IF('Исходные данные'!$B$51="Да",-O174*N('Исходные данные'!$B$44)/(1+N('Исходные данные'!$B$44)),0)</f>
        <v>0</v>
      </c>
      <c r="Q174">
        <f>IF('Исходные данные'!$B$35="Да",-O174,0)</f>
        <v>0</v>
      </c>
      <c r="R174">
        <f>IF(AND('Исходные данные'!$B$51="Да",Q174&gt;0),Q174*N('Исходные данные'!$B$52)/(1+N('Исходные данные'!$B$52)),0)</f>
        <v>0</v>
      </c>
      <c r="S174">
        <f>IF(OR(B174="",IF('Исходные данные'!$B$45="",'Исходные данные'!$B$10,'Исходные данные'!$B$45)="",C174&lt;IF('Исходные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данные'!$B$45)),1),B174,"m")/12))*IF(AND(B174&lt;=IF('Исходные данные'!$B$45="",'Исходные данные'!$B$10,'Исходные данные'!$B$45),C174&gt;=IF('Исходные данные'!$B$45="",'Исходные данные'!$B$10,'Исходные данные'!$B$45)),(C174-IF('Исходные данные'!$B$45="",'Исходные данные'!$B$10,'Исходные данные'!$B$45)+1)/DAY(C174),1)*IF('Исходные данные'!$B$43="Без НДС",1+N('Исходные данные'!$B$44),1))</f>
        <v>0</v>
      </c>
      <c r="T174">
        <f>IF('Исходные данные'!$B$51="Да",-S174*N('Исходные данные'!$B$44)/(1+N('Исходные данные'!$B$44)),0)</f>
        <v>0</v>
      </c>
      <c r="U174">
        <f>IF('Исходные данные'!$B$36="Да",-S174,0)</f>
        <v>0</v>
      </c>
      <c r="V174">
        <f>IF(AND('Исходные данные'!$B$51="Да",U174&gt;0),U174*N('Исходные данные'!$B$52)/(1+N('Исходные данные'!$B$52)),0)</f>
        <v>0</v>
      </c>
      <c r="W174">
        <f>IF(OR(B174="",IF('Исходные данные'!$B$69="",'Исходные данные'!$B$10,'Исходные данные'!$B$69)="",C174&lt;IF('Исходные данные'!$B$69="",'Исходные данные'!$B$10,'Исходные данные'!$B$69)),0,-N('Исходные данные'!$B$16)*N('Исходные данные'!$B$68)*N('Исходные данные'!$B$67)/12*IF(AND(B174&lt;=IF('Исходные данные'!$B$69="",'Исходные данные'!$B$10,'Исходные данные'!$B$69),C174&gt;=IF('Исходные данные'!$B$69="",'Исходные данные'!$B$10,'Исходные данные'!$B$69)),(C174-IF('Исходные данные'!$B$69="",'Исходные данные'!$B$10,'Исходные данные'!$B$69)+1)/DAY(C174),1))</f>
        <v>0</v>
      </c>
      <c r="X174">
        <f>IF(OR(B174="",IF('Исходные данные'!$B$76="",'Исходные данные'!$B$10,'Исходные данные'!$B$76)="",C174&lt;IF('Исходные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данные'!$B$76)),1),B174,"m")/12))*IF(AND(B174&lt;=IF('Исходные данные'!$B$76="",'Исходные данные'!$B$10,'Исходные данные'!$B$76),C174&gt;=IF('Исходные данные'!$B$76="",'Исходные данные'!$B$10,'Исходные данные'!$B$76)),(C174-IF('Исходные данные'!$B$76="",'Исходные данные'!$B$10,'Исходные данные'!$B$76)+1)/DAY(C174),1))</f>
        <v>0</v>
      </c>
      <c r="Y174">
        <f t="shared" si="107"/>
        <v>0</v>
      </c>
      <c r="Z174">
        <f>IF(OR(B174="",N('Исходные данные'!$B$19)=0),0,-SUMIFS('Исходные данные'!$I$6:$I$186,'Исходные данные'!$F$6:$F$186,B174)*N('Исходные данные'!$B$17)/N('Исходные данные'!$B$19))</f>
        <v>0</v>
      </c>
      <c r="AA174">
        <f>IF(OR(B174="",N('Исходные данные'!$B$19)=0),0,-SUMIFS('Исходные данные'!$I$6:$I$186,'Исходные данные'!$F$6:$F$186,B174)*N('Исходные данные'!$B$18)/N('Исходные данные'!$B$19))</f>
        <v>0</v>
      </c>
      <c r="AB174">
        <f>IF(OR(B174="",'Исходные данные'!$B$13=""),0,IF(AND(YEAR(B174)=YEAR('Исходные данные'!$B$13),MONTH(B174)=MONTH('Исходные данные'!$B$13)),-N('Исходные данные'!$B$11),0))</f>
        <v>0</v>
      </c>
      <c r="AC174">
        <f>IF(A174=1,-N('Исходные данные'!$B$19)*N('Исходные данные'!$B$72),0)</f>
        <v>0</v>
      </c>
      <c r="AD174">
        <f>IF(OR(B174="",'Исходные данные'!$B$22&lt;&gt;"Да",'Исходные данные'!$B$26=""),0,IF(AND(YEAR(B174)=YEAR('Исходные данные'!$B$26),MONTH(B174)=MONTH('Исходные данные'!$B$26)),N('Исходные данные'!$B$23),0))</f>
        <v>0</v>
      </c>
      <c r="AE174">
        <f t="shared" si="120"/>
        <v>0</v>
      </c>
      <c r="AF174">
        <f>IF(OR('Исходные данные'!$B$22&lt;&gt;"Да",'Исходные данные'!$B$26="",C174&lt;'Исходные данные'!$B$26),0,DATEDIF(DATE(YEAR('Исходные данные'!$B$26),MONTH('Исходные данные'!$B$26),1),B174,"m")+1)</f>
        <v>0</v>
      </c>
      <c r="AG174">
        <f>IF(OR(AF174&lt;1,AF174&gt;N('Исходные данные'!$B$25),AE174+AD174&lt;=0),0,-(AE174+AD174)*N('Исходные данные'!$B$24)*IF(AF174=1,C174-'Исходные данные'!$B$26+1,DAY(C174))/365)</f>
        <v>0</v>
      </c>
      <c r="AH174">
        <f>IF(OR(AF174&lt;1,AF174&gt;N('Исходные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данные'!$B$25)-AG174))</f>
        <v>0</v>
      </c>
      <c r="AI174">
        <f>IF(OR('Исходные данные'!$B$22&lt;&gt;"Да",AE174+AD174&lt;=0),0,IF(AND('Исходные данные'!$B$91&lt;&gt;"",B174&lt;&gt;"",YEAR(B174)=YEAR('Исходные данные'!$B$91),MONTH(B174)=MONTH('Исходные данные'!$B$91)),-(AE174+AD174),IF(OR(AF174&lt;1,AF174&gt;N('Исходные данные'!$B$25)),0,IF('Исходные данные'!$B$27="Равными долями",-MIN(AE174+AD174,N('Исходные данные'!$B$23)/N('Исходные данные'!$B$25)),-MIN(AE174+AD174,IF(AF174=N('Исходные данные'!$B$25),AE174+AD174,MAX(0,AH174+AG174)))))))</f>
        <v>0</v>
      </c>
      <c r="AJ174">
        <f t="shared" si="108"/>
        <v>0</v>
      </c>
      <c r="AK174">
        <f t="shared" si="109"/>
        <v>0</v>
      </c>
      <c r="AL174">
        <f>IF(OR(B174="",'Исходные данные'!$B$51&lt;&gt;"Да",'Исходные данные'!$B$61=""),0,IF(AND(YEAR(B174)=YEAR('Исходные данные'!$B$61),MONTH(B174)=MONTH('Исходные данные'!$B$61)),N('Исходные данные'!$B$18)*N('Исходные данные'!$B$62),0))</f>
        <v>0</v>
      </c>
      <c r="AM174">
        <f t="shared" si="121"/>
        <v>0</v>
      </c>
      <c r="AN174">
        <f t="shared" si="110"/>
        <v>0</v>
      </c>
      <c r="AO174">
        <f t="shared" si="111"/>
        <v>0</v>
      </c>
      <c r="AP174">
        <f>IF('Исходные данные'!$B$51="Да",-MAX(0,AN174-AO174-AM174),0)</f>
        <v>0</v>
      </c>
      <c r="AQ174">
        <f>IF('Исходные данные'!$B$51="Да",MAX(0,AM174+AO174-AN174),0)</f>
        <v>0</v>
      </c>
      <c r="AR174">
        <f>IF('Исходные данные'!$B$53="Выручка",MAX(0,L174+(Q174-R174)+(U174-V174)),IF('Исходные данные'!$B$53="Прибыль до налога",MAX(0,L174+(Q174-R174)+(U174-V174)+N('Исходные данные'!$B$54)*((O174+P174)+(S174+T174)+W174+X174)+IF('Исходные данные'!$B$55="Да",AG174,0)-N('Исходные данные'!$B$56)/12),IF('Исходные данные'!$B$53="Пользовательская база",MAX(0,N('Исходные данные'!$B$57)/12),0)))</f>
        <v>0</v>
      </c>
      <c r="AS174">
        <f>IF(E174=1,-AR174*N('Исходные данные'!$B$50),0)</f>
        <v>0</v>
      </c>
      <c r="AT174">
        <f t="shared" si="112"/>
        <v>0</v>
      </c>
      <c r="AU174">
        <f>IF(OR(B174="",N('Исходные данные'!$B$80)&lt;=0,'Исходные данные'!$B$88=""),0,MAX(0,IF('Исходные данные'!$B$88="Последние 12 месяцев",SUMIFS($Y$2:$Y$194,$B$2:$B$194,"&gt;="&amp;EDATE(B174,-11),$B$2:$B$194,"&lt;="&amp;B174),IF('Исходные данные'!$B$88="Пользовательский NOI",N('Исходные данные'!$B$89),AT174))/N('Исходные данные'!$B$80)*(1+N('Исходные данные'!$B$81))))</f>
        <v>0</v>
      </c>
      <c r="AV174">
        <f>IF(OR(E174&lt;&gt;1,B174="",'Исходные данные'!$B$91=""),0,IF(AND(YEAR(B174)=YEAR('Исходные данные'!$B$91),MONTH(B174)=MONTH('Исходные данные'!$B$91)),AU174,0))</f>
        <v>0</v>
      </c>
      <c r="AW174">
        <f>-AV174*N('Исходные данные'!$B$73)</f>
        <v>0</v>
      </c>
      <c r="AX174">
        <f>IF(AV174=0,0,-N('Исходные данные'!$B$87)-IF('Исходные данные'!$B$82="Да",IF('Исходные данные'!$B$84="С выручки",AV174,IF('Исходные данные'!$B$84="С прибыли",MAX(0,AV174+AW174-IF('Исходные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74">
        <f t="shared" si="113"/>
        <v>0</v>
      </c>
      <c r="AZ174">
        <f t="shared" si="114"/>
        <v>0</v>
      </c>
      <c r="BA174">
        <f t="shared" si="115"/>
        <v>0</v>
      </c>
      <c r="BB174" t="str">
        <f t="shared" si="122"/>
        <v/>
      </c>
      <c r="BC174">
        <f>IF(OR(E174=0,'Исходные данные'!$B$9="",'Исходные данные'!$B$90=""),0,BA174/(1+'Исходные данные'!$B$90)^((D174-'Исходные данные'!$B$9)/365))</f>
        <v>0</v>
      </c>
      <c r="BD174">
        <f>IF(AND(E174=1,BB174&gt;=0,BB173&lt;0,MIN($BB$2:BB174)&lt;0),1,0)</f>
        <v>0</v>
      </c>
      <c r="BE174">
        <f t="shared" si="116"/>
        <v>0</v>
      </c>
      <c r="BF174">
        <f t="shared" si="117"/>
        <v>0</v>
      </c>
      <c r="BG174">
        <f t="shared" si="118"/>
        <v>0</v>
      </c>
      <c r="BH174">
        <f t="shared" si="119"/>
        <v>1</v>
      </c>
      <c r="BI174">
        <f>AZ174+N174+AP174-AR174*N('Исходные данные'!$B$50)</f>
        <v>0</v>
      </c>
      <c r="BJ174">
        <f t="shared" si="102"/>
        <v>0</v>
      </c>
      <c r="BK174">
        <f>IF(AND(BJ174&gt;=0,BJ173&lt;0,MIN($BJ$2:BJ174)&lt;0),1,0)</f>
        <v>0</v>
      </c>
    </row>
    <row r="175" spans="1:63" x14ac:dyDescent="0.2">
      <c r="A175">
        <v>174</v>
      </c>
      <c r="B175" t="str">
        <f>IF('Исходные данные'!$B$9="","",EDATE(DATE(YEAR('Исходные данные'!$B$9),MONTH('Исходные данные'!$B$9),1),A175-1))</f>
        <v/>
      </c>
      <c r="C175" t="str">
        <f t="shared" si="103"/>
        <v/>
      </c>
      <c r="D175" t="str">
        <f>IF(B175="","",IF('Исходные данные'!$B$91&lt;&gt;"",IF(AND(YEAR(B175)=YEAR('Исходные данные'!$B$91),MONTH(B175)=MONTH('Исходные данные'!$B$91)),'Исходные данные'!$B$91,IF('Исходные данные'!$B$13&lt;&gt;"",IF(AND(YEAR(B175)=YEAR('Исходные данные'!$B$13),MONTH(B175)=MONTH('Исходные данные'!$B$13)),'Исходные данные'!$B$13,IF('Исходные данные'!$B$26&lt;&gt;"",IF(AND(YEAR(B175)=YEAR('Исходные данные'!$B$26),MONTH(B175)=MONTH('Исходные данные'!$B$26)),'Исходные данные'!$B$26,IF(A175=1,'Исходные данные'!$B$9,C175)),IF(A175=1,'Исходные данные'!$B$9,C175))),IF('Исходные данные'!$B$26&lt;&gt;"",IF(AND(YEAR(B175)=YEAR('Исходные данные'!$B$26),MONTH(B175)=MONTH('Исходные данные'!$B$26)),'Исходные данные'!$B$26,IF(A175=1,'Исходные данные'!$B$9,C175)),IF(A175=1,'Исходные данные'!$B$9,C175)))),IF('Исходные данные'!$B$13&lt;&gt;"",IF(AND(YEAR(B175)=YEAR('Исходные данные'!$B$13),MONTH(B175)=MONTH('Исходные данные'!$B$13)),'Исходные данные'!$B$13,IF('Исходные данные'!$B$26&lt;&gt;"",IF(AND(YEAR(B175)=YEAR('Исходные данные'!$B$26),MONTH(B175)=MONTH('Исходные данные'!$B$26)),'Исходные данные'!$B$26,IF(A175=1,'Исходные данные'!$B$9,C175)),IF(A175=1,'Исходные данные'!$B$9,C175))),IF('Исходные данные'!$B$26&lt;&gt;"",IF(AND(YEAR(B175)=YEAR('Исходные данные'!$B$26),MONTH(B175)=MONTH('Исходные данные'!$B$26)),'Исходные данные'!$B$26,IF(A175=1,'Исходные данные'!$B$9,C175)),IF(A175=1,'Исходные данные'!$B$9,C175)))))</f>
        <v/>
      </c>
      <c r="E175">
        <f>IF(OR(B175="",'Исходные данные'!$B$91=""),0,--(B175&lt;=DATE(YEAR('Исходные данные'!$B$91),MONTH('Исходные данные'!$B$91),1)))</f>
        <v>0</v>
      </c>
      <c r="F175">
        <f>IF(OR(B175="",'Исходные данные'!$B$30="",C175&lt;'Исходные данные'!$B$30),0,DATEDIF(DATE(YEAR('Исходные данные'!$B$30),MONTH('Исходные данные'!$B$30),1),B175,"m")+1)</f>
        <v>0</v>
      </c>
      <c r="G175">
        <f t="shared" si="104"/>
        <v>0</v>
      </c>
      <c r="H175">
        <f>IF(F175=0,0,IF(G175=1,N('Исходные данные'!$B$31),IF(G175=2,N('Исходные данные'!$B$32),IF(G175=3,N('Исходные данные'!$B$33),N('Исходные данные'!$B$33)*(1+N('Исходные данные'!$B$34))^(G175-3)))))</f>
        <v>0</v>
      </c>
      <c r="I175">
        <f>IF(OR(F175=0,N('Исходные данные'!$B$5)=0,H175=0),0,'Исходные данные'!$B$5*H175*IF(AND(B175&lt;='Исходные данные'!$B$30,C175&gt;='Исходные данные'!$B$30),(C175-'Исходные данные'!$B$30+1)/DAY(C175),1))</f>
        <v>0</v>
      </c>
      <c r="J175">
        <f>IF(AND(F175&gt;0,F175&lt;=N('Исходные данные'!$B$37)),-I175,0)</f>
        <v>0</v>
      </c>
      <c r="K175">
        <f>IF(OR(F175=0,F175&lt;=N('Исходные данные'!$B$37)),0,-(I175+J175)*N('Исходные данные'!$B$38))</f>
        <v>0</v>
      </c>
      <c r="L175">
        <f t="shared" si="105"/>
        <v>0</v>
      </c>
      <c r="M175">
        <f>IF('Исходные данные'!$B$51="Да",L175*N('Исходные данные'!$B$52),0)</f>
        <v>0</v>
      </c>
      <c r="N175">
        <f t="shared" si="106"/>
        <v>0</v>
      </c>
      <c r="O175">
        <f>IF(OR(B175="",IF('Исходные данные'!$B$45="",'Исходные данные'!$B$10,'Исходные данные'!$B$45)="",C175&lt;IF('Исходные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данные'!$B$45)),1),B175,"m")/12))*IF(AND(B175&lt;=IF('Исходные данные'!$B$45="",'Исходные данные'!$B$10,'Исходные данные'!$B$45),C175&gt;=IF('Исходные данные'!$B$45="",'Исходные данные'!$B$10,'Исходные данные'!$B$45)),(C175-IF('Исходные данные'!$B$45="",'Исходные данные'!$B$10,'Исходные данные'!$B$45)+1)/DAY(C175),1)*IF('Исходные данные'!$B$43="Без НДС",1+N('Исходные данные'!$B$44),1))</f>
        <v>0</v>
      </c>
      <c r="P175">
        <f>IF('Исходные данные'!$B$51="Да",-O175*N('Исходные данные'!$B$44)/(1+N('Исходные данные'!$B$44)),0)</f>
        <v>0</v>
      </c>
      <c r="Q175">
        <f>IF('Исходные данные'!$B$35="Да",-O175,0)</f>
        <v>0</v>
      </c>
      <c r="R175">
        <f>IF(AND('Исходные данные'!$B$51="Да",Q175&gt;0),Q175*N('Исходные данные'!$B$52)/(1+N('Исходные данные'!$B$52)),0)</f>
        <v>0</v>
      </c>
      <c r="S175">
        <f>IF(OR(B175="",IF('Исходные данные'!$B$45="",'Исходные данные'!$B$10,'Исходные данные'!$B$45)="",C175&lt;IF('Исходные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данные'!$B$45)),1),B175,"m")/12))*IF(AND(B175&lt;=IF('Исходные данные'!$B$45="",'Исходные данные'!$B$10,'Исходные данные'!$B$45),C175&gt;=IF('Исходные данные'!$B$45="",'Исходные данные'!$B$10,'Исходные данные'!$B$45)),(C175-IF('Исходные данные'!$B$45="",'Исходные данные'!$B$10,'Исходные данные'!$B$45)+1)/DAY(C175),1)*IF('Исходные данные'!$B$43="Без НДС",1+N('Исходные данные'!$B$44),1))</f>
        <v>0</v>
      </c>
      <c r="T175">
        <f>IF('Исходные данные'!$B$51="Да",-S175*N('Исходные данные'!$B$44)/(1+N('Исходные данные'!$B$44)),0)</f>
        <v>0</v>
      </c>
      <c r="U175">
        <f>IF('Исходные данные'!$B$36="Да",-S175,0)</f>
        <v>0</v>
      </c>
      <c r="V175">
        <f>IF(AND('Исходные данные'!$B$51="Да",U175&gt;0),U175*N('Исходные данные'!$B$52)/(1+N('Исходные данные'!$B$52)),0)</f>
        <v>0</v>
      </c>
      <c r="W175">
        <f>IF(OR(B175="",IF('Исходные данные'!$B$69="",'Исходные данные'!$B$10,'Исходные данные'!$B$69)="",C175&lt;IF('Исходные данные'!$B$69="",'Исходные данные'!$B$10,'Исходные данные'!$B$69)),0,-N('Исходные данные'!$B$16)*N('Исходные данные'!$B$68)*N('Исходные данные'!$B$67)/12*IF(AND(B175&lt;=IF('Исходные данные'!$B$69="",'Исходные данные'!$B$10,'Исходные данные'!$B$69),C175&gt;=IF('Исходные данные'!$B$69="",'Исходные данные'!$B$10,'Исходные данные'!$B$69)),(C175-IF('Исходные данные'!$B$69="",'Исходные данные'!$B$10,'Исходные данные'!$B$69)+1)/DAY(C175),1))</f>
        <v>0</v>
      </c>
      <c r="X175">
        <f>IF(OR(B175="",IF('Исходные данные'!$B$76="",'Исходные данные'!$B$10,'Исходные данные'!$B$76)="",C175&lt;IF('Исходные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данные'!$B$76)),1),B175,"m")/12))*IF(AND(B175&lt;=IF('Исходные данные'!$B$76="",'Исходные данные'!$B$10,'Исходные данные'!$B$76),C175&gt;=IF('Исходные данные'!$B$76="",'Исходные данные'!$B$10,'Исходные данные'!$B$76)),(C175-IF('Исходные данные'!$B$76="",'Исходные данные'!$B$10,'Исходные данные'!$B$76)+1)/DAY(C175),1))</f>
        <v>0</v>
      </c>
      <c r="Y175">
        <f t="shared" si="107"/>
        <v>0</v>
      </c>
      <c r="Z175">
        <f>IF(OR(B175="",N('Исходные данные'!$B$19)=0),0,-SUMIFS('Исходные данные'!$I$6:$I$186,'Исходные данные'!$F$6:$F$186,B175)*N('Исходные данные'!$B$17)/N('Исходные данные'!$B$19))</f>
        <v>0</v>
      </c>
      <c r="AA175">
        <f>IF(OR(B175="",N('Исходные данные'!$B$19)=0),0,-SUMIFS('Исходные данные'!$I$6:$I$186,'Исходные данные'!$F$6:$F$186,B175)*N('Исходные данные'!$B$18)/N('Исходные данные'!$B$19))</f>
        <v>0</v>
      </c>
      <c r="AB175">
        <f>IF(OR(B175="",'Исходные данные'!$B$13=""),0,IF(AND(YEAR(B175)=YEAR('Исходные данные'!$B$13),MONTH(B175)=MONTH('Исходные данные'!$B$13)),-N('Исходные данные'!$B$11),0))</f>
        <v>0</v>
      </c>
      <c r="AC175">
        <f>IF(A175=1,-N('Исходные данные'!$B$19)*N('Исходные данные'!$B$72),0)</f>
        <v>0</v>
      </c>
      <c r="AD175">
        <f>IF(OR(B175="",'Исходные данные'!$B$22&lt;&gt;"Да",'Исходные данные'!$B$26=""),0,IF(AND(YEAR(B175)=YEAR('Исходные данные'!$B$26),MONTH(B175)=MONTH('Исходные данные'!$B$26)),N('Исходные данные'!$B$23),0))</f>
        <v>0</v>
      </c>
      <c r="AE175">
        <f t="shared" si="120"/>
        <v>0</v>
      </c>
      <c r="AF175">
        <f>IF(OR('Исходные данные'!$B$22&lt;&gt;"Да",'Исходные данные'!$B$26="",C175&lt;'Исходные данные'!$B$26),0,DATEDIF(DATE(YEAR('Исходные данные'!$B$26),MONTH('Исходные данные'!$B$26),1),B175,"m")+1)</f>
        <v>0</v>
      </c>
      <c r="AG175">
        <f>IF(OR(AF175&lt;1,AF175&gt;N('Исходные данные'!$B$25),AE175+AD175&lt;=0),0,-(AE175+AD175)*N('Исходные данные'!$B$24)*IF(AF175=1,C175-'Исходные данные'!$B$26+1,DAY(C175))/365)</f>
        <v>0</v>
      </c>
      <c r="AH175">
        <f>IF(OR(AF175&lt;1,AF175&gt;N('Исходные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данные'!$B$25)-AG175))</f>
        <v>0</v>
      </c>
      <c r="AI175">
        <f>IF(OR('Исходные данные'!$B$22&lt;&gt;"Да",AE175+AD175&lt;=0),0,IF(AND('Исходные данные'!$B$91&lt;&gt;"",B175&lt;&gt;"",YEAR(B175)=YEAR('Исходные данные'!$B$91),MONTH(B175)=MONTH('Исходные данные'!$B$91)),-(AE175+AD175),IF(OR(AF175&lt;1,AF175&gt;N('Исходные данные'!$B$25)),0,IF('Исходные данные'!$B$27="Равными долями",-MIN(AE175+AD175,N('Исходные данные'!$B$23)/N('Исходные данные'!$B$25)),-MIN(AE175+AD175,IF(AF175=N('Исходные данные'!$B$25),AE175+AD175,MAX(0,AH175+AG175)))))))</f>
        <v>0</v>
      </c>
      <c r="AJ175">
        <f t="shared" si="108"/>
        <v>0</v>
      </c>
      <c r="AK175">
        <f t="shared" si="109"/>
        <v>0</v>
      </c>
      <c r="AL175">
        <f>IF(OR(B175="",'Исходные данные'!$B$51&lt;&gt;"Да",'Исходные данные'!$B$61=""),0,IF(AND(YEAR(B175)=YEAR('Исходные данные'!$B$61),MONTH(B175)=MONTH('Исходные данные'!$B$61)),N('Исходные данные'!$B$18)*N('Исходные данные'!$B$62),0))</f>
        <v>0</v>
      </c>
      <c r="AM175">
        <f t="shared" si="121"/>
        <v>0</v>
      </c>
      <c r="AN175">
        <f t="shared" si="110"/>
        <v>0</v>
      </c>
      <c r="AO175">
        <f t="shared" si="111"/>
        <v>0</v>
      </c>
      <c r="AP175">
        <f>IF('Исходные данные'!$B$51="Да",-MAX(0,AN175-AO175-AM175),0)</f>
        <v>0</v>
      </c>
      <c r="AQ175">
        <f>IF('Исходные данные'!$B$51="Да",MAX(0,AM175+AO175-AN175),0)</f>
        <v>0</v>
      </c>
      <c r="AR175">
        <f>IF('Исходные данные'!$B$53="Выручка",MAX(0,L175+(Q175-R175)+(U175-V175)),IF('Исходные данные'!$B$53="Прибыль до налога",MAX(0,L175+(Q175-R175)+(U175-V175)+N('Исходные данные'!$B$54)*((O175+P175)+(S175+T175)+W175+X175)+IF('Исходные данные'!$B$55="Да",AG175,0)-N('Исходные данные'!$B$56)/12),IF('Исходные данные'!$B$53="Пользовательская база",MAX(0,N('Исходные данные'!$B$57)/12),0)))</f>
        <v>0</v>
      </c>
      <c r="AS175">
        <f>IF(E175=1,-AR175*N('Исходные данные'!$B$50),0)</f>
        <v>0</v>
      </c>
      <c r="AT175">
        <f t="shared" si="112"/>
        <v>0</v>
      </c>
      <c r="AU175">
        <f>IF(OR(B175="",N('Исходные данные'!$B$80)&lt;=0,'Исходные данные'!$B$88=""),0,MAX(0,IF('Исходные данные'!$B$88="Последние 12 месяцев",SUMIFS($Y$2:$Y$194,$B$2:$B$194,"&gt;="&amp;EDATE(B175,-11),$B$2:$B$194,"&lt;="&amp;B175),IF('Исходные данные'!$B$88="Пользовательский NOI",N('Исходные данные'!$B$89),AT175))/N('Исходные данные'!$B$80)*(1+N('Исходные данные'!$B$81))))</f>
        <v>0</v>
      </c>
      <c r="AV175">
        <f>IF(OR(E175&lt;&gt;1,B175="",'Исходные данные'!$B$91=""),0,IF(AND(YEAR(B175)=YEAR('Исходные данные'!$B$91),MONTH(B175)=MONTH('Исходные данные'!$B$91)),AU175,0))</f>
        <v>0</v>
      </c>
      <c r="AW175">
        <f>-AV175*N('Исходные данные'!$B$73)</f>
        <v>0</v>
      </c>
      <c r="AX175">
        <f>IF(AV175=0,0,-N('Исходные данные'!$B$87)-IF('Исходные данные'!$B$82="Да",IF('Исходные данные'!$B$84="С выручки",AV175,IF('Исходные данные'!$B$84="С прибыли",MAX(0,AV175+AW175-IF('Исходные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75">
        <f t="shared" si="113"/>
        <v>0</v>
      </c>
      <c r="AZ175">
        <f t="shared" si="114"/>
        <v>0</v>
      </c>
      <c r="BA175">
        <f t="shared" si="115"/>
        <v>0</v>
      </c>
      <c r="BB175" t="str">
        <f t="shared" si="122"/>
        <v/>
      </c>
      <c r="BC175">
        <f>IF(OR(E175=0,'Исходные данные'!$B$9="",'Исходные данные'!$B$90=""),0,BA175/(1+'Исходные данные'!$B$90)^((D175-'Исходные данные'!$B$9)/365))</f>
        <v>0</v>
      </c>
      <c r="BD175">
        <f>IF(AND(E175=1,BB175&gt;=0,BB174&lt;0,MIN($BB$2:BB175)&lt;0),1,0)</f>
        <v>0</v>
      </c>
      <c r="BE175">
        <f t="shared" si="116"/>
        <v>0</v>
      </c>
      <c r="BF175">
        <f t="shared" si="117"/>
        <v>0</v>
      </c>
      <c r="BG175">
        <f t="shared" si="118"/>
        <v>0</v>
      </c>
      <c r="BH175">
        <f t="shared" si="119"/>
        <v>1</v>
      </c>
      <c r="BI175">
        <f>AZ175+N175+AP175-AR175*N('Исходные данные'!$B$50)</f>
        <v>0</v>
      </c>
      <c r="BJ175">
        <f t="shared" si="102"/>
        <v>0</v>
      </c>
      <c r="BK175">
        <f>IF(AND(BJ175&gt;=0,BJ174&lt;0,MIN($BJ$2:BJ175)&lt;0),1,0)</f>
        <v>0</v>
      </c>
    </row>
    <row r="176" spans="1:63" x14ac:dyDescent="0.2">
      <c r="A176">
        <v>175</v>
      </c>
      <c r="B176" t="str">
        <f>IF('Исходные данные'!$B$9="","",EDATE(DATE(YEAR('Исходные данные'!$B$9),MONTH('Исходные данные'!$B$9),1),A176-1))</f>
        <v/>
      </c>
      <c r="C176" t="str">
        <f t="shared" si="103"/>
        <v/>
      </c>
      <c r="D176" t="str">
        <f>IF(B176="","",IF('Исходные данные'!$B$91&lt;&gt;"",IF(AND(YEAR(B176)=YEAR('Исходные данные'!$B$91),MONTH(B176)=MONTH('Исходные данные'!$B$91)),'Исходные данные'!$B$91,IF('Исходные данные'!$B$13&lt;&gt;"",IF(AND(YEAR(B176)=YEAR('Исходные данные'!$B$13),MONTH(B176)=MONTH('Исходные данные'!$B$13)),'Исходные данные'!$B$13,IF('Исходные данные'!$B$26&lt;&gt;"",IF(AND(YEAR(B176)=YEAR('Исходные данные'!$B$26),MONTH(B176)=MONTH('Исходные данные'!$B$26)),'Исходные данные'!$B$26,IF(A176=1,'Исходные данные'!$B$9,C176)),IF(A176=1,'Исходные данные'!$B$9,C176))),IF('Исходные данные'!$B$26&lt;&gt;"",IF(AND(YEAR(B176)=YEAR('Исходные данные'!$B$26),MONTH(B176)=MONTH('Исходные данные'!$B$26)),'Исходные данные'!$B$26,IF(A176=1,'Исходные данные'!$B$9,C176)),IF(A176=1,'Исходные данные'!$B$9,C176)))),IF('Исходные данные'!$B$13&lt;&gt;"",IF(AND(YEAR(B176)=YEAR('Исходные данные'!$B$13),MONTH(B176)=MONTH('Исходные данные'!$B$13)),'Исходные данные'!$B$13,IF('Исходные данные'!$B$26&lt;&gt;"",IF(AND(YEAR(B176)=YEAR('Исходные данные'!$B$26),MONTH(B176)=MONTH('Исходные данные'!$B$26)),'Исходные данные'!$B$26,IF(A176=1,'Исходные данные'!$B$9,C176)),IF(A176=1,'Исходные данные'!$B$9,C176))),IF('Исходные данные'!$B$26&lt;&gt;"",IF(AND(YEAR(B176)=YEAR('Исходные данные'!$B$26),MONTH(B176)=MONTH('Исходные данные'!$B$26)),'Исходные данные'!$B$26,IF(A176=1,'Исходные данные'!$B$9,C176)),IF(A176=1,'Исходные данные'!$B$9,C176)))))</f>
        <v/>
      </c>
      <c r="E176">
        <f>IF(OR(B176="",'Исходные данные'!$B$91=""),0,--(B176&lt;=DATE(YEAR('Исходные данные'!$B$91),MONTH('Исходные данные'!$B$91),1)))</f>
        <v>0</v>
      </c>
      <c r="F176">
        <f>IF(OR(B176="",'Исходные данные'!$B$30="",C176&lt;'Исходные данные'!$B$30),0,DATEDIF(DATE(YEAR('Исходные данные'!$B$30),MONTH('Исходные данные'!$B$30),1),B176,"m")+1)</f>
        <v>0</v>
      </c>
      <c r="G176">
        <f t="shared" si="104"/>
        <v>0</v>
      </c>
      <c r="H176">
        <f>IF(F176=0,0,IF(G176=1,N('Исходные данные'!$B$31),IF(G176=2,N('Исходные данные'!$B$32),IF(G176=3,N('Исходные данные'!$B$33),N('Исходные данные'!$B$33)*(1+N('Исходные данные'!$B$34))^(G176-3)))))</f>
        <v>0</v>
      </c>
      <c r="I176">
        <f>IF(OR(F176=0,N('Исходные данные'!$B$5)=0,H176=0),0,'Исходные данные'!$B$5*H176*IF(AND(B176&lt;='Исходные данные'!$B$30,C176&gt;='Исходные данные'!$B$30),(C176-'Исходные данные'!$B$30+1)/DAY(C176),1))</f>
        <v>0</v>
      </c>
      <c r="J176">
        <f>IF(AND(F176&gt;0,F176&lt;=N('Исходные данные'!$B$37)),-I176,0)</f>
        <v>0</v>
      </c>
      <c r="K176">
        <f>IF(OR(F176=0,F176&lt;=N('Исходные данные'!$B$37)),0,-(I176+J176)*N('Исходные данные'!$B$38))</f>
        <v>0</v>
      </c>
      <c r="L176">
        <f t="shared" si="105"/>
        <v>0</v>
      </c>
      <c r="M176">
        <f>IF('Исходные данные'!$B$51="Да",L176*N('Исходные данные'!$B$52),0)</f>
        <v>0</v>
      </c>
      <c r="N176">
        <f t="shared" si="106"/>
        <v>0</v>
      </c>
      <c r="O176">
        <f>IF(OR(B176="",IF('Исходные данные'!$B$45="",'Исходные данные'!$B$10,'Исходные данные'!$B$45)="",C176&lt;IF('Исходные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данные'!$B$45)),1),B176,"m")/12))*IF(AND(B176&lt;=IF('Исходные данные'!$B$45="",'Исходные данные'!$B$10,'Исходные данные'!$B$45),C176&gt;=IF('Исходные данные'!$B$45="",'Исходные данные'!$B$10,'Исходные данные'!$B$45)),(C176-IF('Исходные данные'!$B$45="",'Исходные данные'!$B$10,'Исходные данные'!$B$45)+1)/DAY(C176),1)*IF('Исходные данные'!$B$43="Без НДС",1+N('Исходные данные'!$B$44),1))</f>
        <v>0</v>
      </c>
      <c r="P176">
        <f>IF('Исходные данные'!$B$51="Да",-O176*N('Исходные данные'!$B$44)/(1+N('Исходные данные'!$B$44)),0)</f>
        <v>0</v>
      </c>
      <c r="Q176">
        <f>IF('Исходные данные'!$B$35="Да",-O176,0)</f>
        <v>0</v>
      </c>
      <c r="R176">
        <f>IF(AND('Исходные данные'!$B$51="Да",Q176&gt;0),Q176*N('Исходные данные'!$B$52)/(1+N('Исходные данные'!$B$52)),0)</f>
        <v>0</v>
      </c>
      <c r="S176">
        <f>IF(OR(B176="",IF('Исходные данные'!$B$45="",'Исходные данные'!$B$10,'Исходные данные'!$B$45)="",C176&lt;IF('Исходные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данные'!$B$45)),1),B176,"m")/12))*IF(AND(B176&lt;=IF('Исходные данные'!$B$45="",'Исходные данные'!$B$10,'Исходные данные'!$B$45),C176&gt;=IF('Исходные данные'!$B$45="",'Исходные данные'!$B$10,'Исходные данные'!$B$45)),(C176-IF('Исходные данные'!$B$45="",'Исходные данные'!$B$10,'Исходные данные'!$B$45)+1)/DAY(C176),1)*IF('Исходные данные'!$B$43="Без НДС",1+N('Исходные данные'!$B$44),1))</f>
        <v>0</v>
      </c>
      <c r="T176">
        <f>IF('Исходные данные'!$B$51="Да",-S176*N('Исходные данные'!$B$44)/(1+N('Исходные данные'!$B$44)),0)</f>
        <v>0</v>
      </c>
      <c r="U176">
        <f>IF('Исходные данные'!$B$36="Да",-S176,0)</f>
        <v>0</v>
      </c>
      <c r="V176">
        <f>IF(AND('Исходные данные'!$B$51="Да",U176&gt;0),U176*N('Исходные данные'!$B$52)/(1+N('Исходные данные'!$B$52)),0)</f>
        <v>0</v>
      </c>
      <c r="W176">
        <f>IF(OR(B176="",IF('Исходные данные'!$B$69="",'Исходные данные'!$B$10,'Исходные данные'!$B$69)="",C176&lt;IF('Исходные данные'!$B$69="",'Исходные данные'!$B$10,'Исходные данные'!$B$69)),0,-N('Исходные данные'!$B$16)*N('Исходные данные'!$B$68)*N('Исходные данные'!$B$67)/12*IF(AND(B176&lt;=IF('Исходные данные'!$B$69="",'Исходные данные'!$B$10,'Исходные данные'!$B$69),C176&gt;=IF('Исходные данные'!$B$69="",'Исходные данные'!$B$10,'Исходные данные'!$B$69)),(C176-IF('Исходные данные'!$B$69="",'Исходные данные'!$B$10,'Исходные данные'!$B$69)+1)/DAY(C176),1))</f>
        <v>0</v>
      </c>
      <c r="X176">
        <f>IF(OR(B176="",IF('Исходные данные'!$B$76="",'Исходные данные'!$B$10,'Исходные данные'!$B$76)="",C176&lt;IF('Исходные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данные'!$B$76)),1),B176,"m")/12))*IF(AND(B176&lt;=IF('Исходные данные'!$B$76="",'Исходные данные'!$B$10,'Исходные данные'!$B$76),C176&gt;=IF('Исходные данные'!$B$76="",'Исходные данные'!$B$10,'Исходные данные'!$B$76)),(C176-IF('Исходные данные'!$B$76="",'Исходные данные'!$B$10,'Исходные данные'!$B$76)+1)/DAY(C176),1))</f>
        <v>0</v>
      </c>
      <c r="Y176">
        <f t="shared" si="107"/>
        <v>0</v>
      </c>
      <c r="Z176">
        <f>IF(OR(B176="",N('Исходные данные'!$B$19)=0),0,-SUMIFS('Исходные данные'!$I$6:$I$186,'Исходные данные'!$F$6:$F$186,B176)*N('Исходные данные'!$B$17)/N('Исходные данные'!$B$19))</f>
        <v>0</v>
      </c>
      <c r="AA176">
        <f>IF(OR(B176="",N('Исходные данные'!$B$19)=0),0,-SUMIFS('Исходные данные'!$I$6:$I$186,'Исходные данные'!$F$6:$F$186,B176)*N('Исходные данные'!$B$18)/N('Исходные данные'!$B$19))</f>
        <v>0</v>
      </c>
      <c r="AB176">
        <f>IF(OR(B176="",'Исходные данные'!$B$13=""),0,IF(AND(YEAR(B176)=YEAR('Исходные данные'!$B$13),MONTH(B176)=MONTH('Исходные данные'!$B$13)),-N('Исходные данные'!$B$11),0))</f>
        <v>0</v>
      </c>
      <c r="AC176">
        <f>IF(A176=1,-N('Исходные данные'!$B$19)*N('Исходные данные'!$B$72),0)</f>
        <v>0</v>
      </c>
      <c r="AD176">
        <f>IF(OR(B176="",'Исходные данные'!$B$22&lt;&gt;"Да",'Исходные данные'!$B$26=""),0,IF(AND(YEAR(B176)=YEAR('Исходные данные'!$B$26),MONTH(B176)=MONTH('Исходные данные'!$B$26)),N('Исходные данные'!$B$23),0))</f>
        <v>0</v>
      </c>
      <c r="AE176">
        <f t="shared" si="120"/>
        <v>0</v>
      </c>
      <c r="AF176">
        <f>IF(OR('Исходные данные'!$B$22&lt;&gt;"Да",'Исходные данные'!$B$26="",C176&lt;'Исходные данные'!$B$26),0,DATEDIF(DATE(YEAR('Исходные данные'!$B$26),MONTH('Исходные данные'!$B$26),1),B176,"m")+1)</f>
        <v>0</v>
      </c>
      <c r="AG176">
        <f>IF(OR(AF176&lt;1,AF176&gt;N('Исходные данные'!$B$25),AE176+AD176&lt;=0),0,-(AE176+AD176)*N('Исходные данные'!$B$24)*IF(AF176=1,C176-'Исходные данные'!$B$26+1,DAY(C176))/365)</f>
        <v>0</v>
      </c>
      <c r="AH176">
        <f>IF(OR(AF176&lt;1,AF176&gt;N('Исходные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данные'!$B$25)-AG176))</f>
        <v>0</v>
      </c>
      <c r="AI176">
        <f>IF(OR('Исходные данные'!$B$22&lt;&gt;"Да",AE176+AD176&lt;=0),0,IF(AND('Исходные данные'!$B$91&lt;&gt;"",B176&lt;&gt;"",YEAR(B176)=YEAR('Исходные данные'!$B$91),MONTH(B176)=MONTH('Исходные данные'!$B$91)),-(AE176+AD176),IF(OR(AF176&lt;1,AF176&gt;N('Исходные данные'!$B$25)),0,IF('Исходные данные'!$B$27="Равными долями",-MIN(AE176+AD176,N('Исходные данные'!$B$23)/N('Исходные данные'!$B$25)),-MIN(AE176+AD176,IF(AF176=N('Исходные данные'!$B$25),AE176+AD176,MAX(0,AH176+AG176)))))))</f>
        <v>0</v>
      </c>
      <c r="AJ176">
        <f t="shared" si="108"/>
        <v>0</v>
      </c>
      <c r="AK176">
        <f t="shared" si="109"/>
        <v>0</v>
      </c>
      <c r="AL176">
        <f>IF(OR(B176="",'Исходные данные'!$B$51&lt;&gt;"Да",'Исходные данные'!$B$61=""),0,IF(AND(YEAR(B176)=YEAR('Исходные данные'!$B$61),MONTH(B176)=MONTH('Исходные данные'!$B$61)),N('Исходные данные'!$B$18)*N('Исходные данные'!$B$62),0))</f>
        <v>0</v>
      </c>
      <c r="AM176">
        <f t="shared" si="121"/>
        <v>0</v>
      </c>
      <c r="AN176">
        <f t="shared" si="110"/>
        <v>0</v>
      </c>
      <c r="AO176">
        <f t="shared" si="111"/>
        <v>0</v>
      </c>
      <c r="AP176">
        <f>IF('Исходные данные'!$B$51="Да",-MAX(0,AN176-AO176-AM176),0)</f>
        <v>0</v>
      </c>
      <c r="AQ176">
        <f>IF('Исходные данные'!$B$51="Да",MAX(0,AM176+AO176-AN176),0)</f>
        <v>0</v>
      </c>
      <c r="AR176">
        <f>IF('Исходные данные'!$B$53="Выручка",MAX(0,L176+(Q176-R176)+(U176-V176)),IF('Исходные данные'!$B$53="Прибыль до налога",MAX(0,L176+(Q176-R176)+(U176-V176)+N('Исходные данные'!$B$54)*((O176+P176)+(S176+T176)+W176+X176)+IF('Исходные данные'!$B$55="Да",AG176,0)-N('Исходные данные'!$B$56)/12),IF('Исходные данные'!$B$53="Пользовательская база",MAX(0,N('Исходные данные'!$B$57)/12),0)))</f>
        <v>0</v>
      </c>
      <c r="AS176">
        <f>IF(E176=1,-AR176*N('Исходные данные'!$B$50),0)</f>
        <v>0</v>
      </c>
      <c r="AT176">
        <f t="shared" si="112"/>
        <v>0</v>
      </c>
      <c r="AU176">
        <f>IF(OR(B176="",N('Исходные данные'!$B$80)&lt;=0,'Исходные данные'!$B$88=""),0,MAX(0,IF('Исходные данные'!$B$88="Последние 12 месяцев",SUMIFS($Y$2:$Y$194,$B$2:$B$194,"&gt;="&amp;EDATE(B176,-11),$B$2:$B$194,"&lt;="&amp;B176),IF('Исходные данные'!$B$88="Пользовательский NOI",N('Исходные данные'!$B$89),AT176))/N('Исходные данные'!$B$80)*(1+N('Исходные данные'!$B$81))))</f>
        <v>0</v>
      </c>
      <c r="AV176">
        <f>IF(OR(E176&lt;&gt;1,B176="",'Исходные данные'!$B$91=""),0,IF(AND(YEAR(B176)=YEAR('Исходные данные'!$B$91),MONTH(B176)=MONTH('Исходные данные'!$B$91)),AU176,0))</f>
        <v>0</v>
      </c>
      <c r="AW176">
        <f>-AV176*N('Исходные данные'!$B$73)</f>
        <v>0</v>
      </c>
      <c r="AX176">
        <f>IF(AV176=0,0,-N('Исходные данные'!$B$87)-IF('Исходные данные'!$B$82="Да",IF('Исходные данные'!$B$84="С выручки",AV176,IF('Исходные данные'!$B$84="С прибыли",MAX(0,AV176+AW176-IF('Исходные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76">
        <f t="shared" si="113"/>
        <v>0</v>
      </c>
      <c r="AZ176">
        <f t="shared" si="114"/>
        <v>0</v>
      </c>
      <c r="BA176">
        <f t="shared" si="115"/>
        <v>0</v>
      </c>
      <c r="BB176" t="str">
        <f t="shared" si="122"/>
        <v/>
      </c>
      <c r="BC176">
        <f>IF(OR(E176=0,'Исходные данные'!$B$9="",'Исходные данные'!$B$90=""),0,BA176/(1+'Исходные данные'!$B$90)^((D176-'Исходные данные'!$B$9)/365))</f>
        <v>0</v>
      </c>
      <c r="BD176">
        <f>IF(AND(E176=1,BB176&gt;=0,BB175&lt;0,MIN($BB$2:BB176)&lt;0),1,0)</f>
        <v>0</v>
      </c>
      <c r="BE176">
        <f t="shared" si="116"/>
        <v>0</v>
      </c>
      <c r="BF176">
        <f t="shared" si="117"/>
        <v>0</v>
      </c>
      <c r="BG176">
        <f t="shared" si="118"/>
        <v>0</v>
      </c>
      <c r="BH176">
        <f t="shared" si="119"/>
        <v>1</v>
      </c>
      <c r="BI176">
        <f>AZ176+N176+AP176-AR176*N('Исходные данные'!$B$50)</f>
        <v>0</v>
      </c>
      <c r="BJ176">
        <f t="shared" si="102"/>
        <v>0</v>
      </c>
      <c r="BK176">
        <f>IF(AND(BJ176&gt;=0,BJ175&lt;0,MIN($BJ$2:BJ176)&lt;0),1,0)</f>
        <v>0</v>
      </c>
    </row>
    <row r="177" spans="1:63" x14ac:dyDescent="0.2">
      <c r="A177">
        <v>176</v>
      </c>
      <c r="B177" t="str">
        <f>IF('Исходные данные'!$B$9="","",EDATE(DATE(YEAR('Исходные данные'!$B$9),MONTH('Исходные данные'!$B$9),1),A177-1))</f>
        <v/>
      </c>
      <c r="C177" t="str">
        <f t="shared" si="103"/>
        <v/>
      </c>
      <c r="D177" t="str">
        <f>IF(B177="","",IF('Исходные данные'!$B$91&lt;&gt;"",IF(AND(YEAR(B177)=YEAR('Исходные данные'!$B$91),MONTH(B177)=MONTH('Исходные данные'!$B$91)),'Исходные данные'!$B$91,IF('Исходные данные'!$B$13&lt;&gt;"",IF(AND(YEAR(B177)=YEAR('Исходные данные'!$B$13),MONTH(B177)=MONTH('Исходные данные'!$B$13)),'Исходные данные'!$B$13,IF('Исходные данные'!$B$26&lt;&gt;"",IF(AND(YEAR(B177)=YEAR('Исходные данные'!$B$26),MONTH(B177)=MONTH('Исходные данные'!$B$26)),'Исходные данные'!$B$26,IF(A177=1,'Исходные данные'!$B$9,C177)),IF(A177=1,'Исходные данные'!$B$9,C177))),IF('Исходные данные'!$B$26&lt;&gt;"",IF(AND(YEAR(B177)=YEAR('Исходные данные'!$B$26),MONTH(B177)=MONTH('Исходные данные'!$B$26)),'Исходные данные'!$B$26,IF(A177=1,'Исходные данные'!$B$9,C177)),IF(A177=1,'Исходные данные'!$B$9,C177)))),IF('Исходные данные'!$B$13&lt;&gt;"",IF(AND(YEAR(B177)=YEAR('Исходные данные'!$B$13),MONTH(B177)=MONTH('Исходные данные'!$B$13)),'Исходные данные'!$B$13,IF('Исходные данные'!$B$26&lt;&gt;"",IF(AND(YEAR(B177)=YEAR('Исходные данные'!$B$26),MONTH(B177)=MONTH('Исходные данные'!$B$26)),'Исходные данные'!$B$26,IF(A177=1,'Исходные данные'!$B$9,C177)),IF(A177=1,'Исходные данные'!$B$9,C177))),IF('Исходные данные'!$B$26&lt;&gt;"",IF(AND(YEAR(B177)=YEAR('Исходные данные'!$B$26),MONTH(B177)=MONTH('Исходные данные'!$B$26)),'Исходные данные'!$B$26,IF(A177=1,'Исходные данные'!$B$9,C177)),IF(A177=1,'Исходные данные'!$B$9,C177)))))</f>
        <v/>
      </c>
      <c r="E177">
        <f>IF(OR(B177="",'Исходные данные'!$B$91=""),0,--(B177&lt;=DATE(YEAR('Исходные данные'!$B$91),MONTH('Исходные данные'!$B$91),1)))</f>
        <v>0</v>
      </c>
      <c r="F177">
        <f>IF(OR(B177="",'Исходные данные'!$B$30="",C177&lt;'Исходные данные'!$B$30),0,DATEDIF(DATE(YEAR('Исходные данные'!$B$30),MONTH('Исходные данные'!$B$30),1),B177,"m")+1)</f>
        <v>0</v>
      </c>
      <c r="G177">
        <f t="shared" si="104"/>
        <v>0</v>
      </c>
      <c r="H177">
        <f>IF(F177=0,0,IF(G177=1,N('Исходные данные'!$B$31),IF(G177=2,N('Исходные данные'!$B$32),IF(G177=3,N('Исходные данные'!$B$33),N('Исходные данные'!$B$33)*(1+N('Исходные данные'!$B$34))^(G177-3)))))</f>
        <v>0</v>
      </c>
      <c r="I177">
        <f>IF(OR(F177=0,N('Исходные данные'!$B$5)=0,H177=0),0,'Исходные данные'!$B$5*H177*IF(AND(B177&lt;='Исходные данные'!$B$30,C177&gt;='Исходные данные'!$B$30),(C177-'Исходные данные'!$B$30+1)/DAY(C177),1))</f>
        <v>0</v>
      </c>
      <c r="J177">
        <f>IF(AND(F177&gt;0,F177&lt;=N('Исходные данные'!$B$37)),-I177,0)</f>
        <v>0</v>
      </c>
      <c r="K177">
        <f>IF(OR(F177=0,F177&lt;=N('Исходные данные'!$B$37)),0,-(I177+J177)*N('Исходные данные'!$B$38))</f>
        <v>0</v>
      </c>
      <c r="L177">
        <f t="shared" si="105"/>
        <v>0</v>
      </c>
      <c r="M177">
        <f>IF('Исходные данные'!$B$51="Да",L177*N('Исходные данные'!$B$52),0)</f>
        <v>0</v>
      </c>
      <c r="N177">
        <f t="shared" si="106"/>
        <v>0</v>
      </c>
      <c r="O177">
        <f>IF(OR(B177="",IF('Исходные данные'!$B$45="",'Исходные данные'!$B$10,'Исходные данные'!$B$45)="",C177&lt;IF('Исходные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данные'!$B$45)),1),B177,"m")/12))*IF(AND(B177&lt;=IF('Исходные данные'!$B$45="",'Исходные данные'!$B$10,'Исходные данные'!$B$45),C177&gt;=IF('Исходные данные'!$B$45="",'Исходные данные'!$B$10,'Исходные данные'!$B$45)),(C177-IF('Исходные данные'!$B$45="",'Исходные данные'!$B$10,'Исходные данные'!$B$45)+1)/DAY(C177),1)*IF('Исходные данные'!$B$43="Без НДС",1+N('Исходные данные'!$B$44),1))</f>
        <v>0</v>
      </c>
      <c r="P177">
        <f>IF('Исходные данные'!$B$51="Да",-O177*N('Исходные данные'!$B$44)/(1+N('Исходные данные'!$B$44)),0)</f>
        <v>0</v>
      </c>
      <c r="Q177">
        <f>IF('Исходные данные'!$B$35="Да",-O177,0)</f>
        <v>0</v>
      </c>
      <c r="R177">
        <f>IF(AND('Исходные данные'!$B$51="Да",Q177&gt;0),Q177*N('Исходные данные'!$B$52)/(1+N('Исходные данные'!$B$52)),0)</f>
        <v>0</v>
      </c>
      <c r="S177">
        <f>IF(OR(B177="",IF('Исходные данные'!$B$45="",'Исходные данные'!$B$10,'Исходные данные'!$B$45)="",C177&lt;IF('Исходные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данные'!$B$45)),1),B177,"m")/12))*IF(AND(B177&lt;=IF('Исходные данные'!$B$45="",'Исходные данные'!$B$10,'Исходные данные'!$B$45),C177&gt;=IF('Исходные данные'!$B$45="",'Исходные данные'!$B$10,'Исходные данные'!$B$45)),(C177-IF('Исходные данные'!$B$45="",'Исходные данные'!$B$10,'Исходные данные'!$B$45)+1)/DAY(C177),1)*IF('Исходные данные'!$B$43="Без НДС",1+N('Исходные данные'!$B$44),1))</f>
        <v>0</v>
      </c>
      <c r="T177">
        <f>IF('Исходные данные'!$B$51="Да",-S177*N('Исходные данные'!$B$44)/(1+N('Исходные данные'!$B$44)),0)</f>
        <v>0</v>
      </c>
      <c r="U177">
        <f>IF('Исходные данные'!$B$36="Да",-S177,0)</f>
        <v>0</v>
      </c>
      <c r="V177">
        <f>IF(AND('Исходные данные'!$B$51="Да",U177&gt;0),U177*N('Исходные данные'!$B$52)/(1+N('Исходные данные'!$B$52)),0)</f>
        <v>0</v>
      </c>
      <c r="W177">
        <f>IF(OR(B177="",IF('Исходные данные'!$B$69="",'Исходные данные'!$B$10,'Исходные данные'!$B$69)="",C177&lt;IF('Исходные данные'!$B$69="",'Исходные данные'!$B$10,'Исходные данные'!$B$69)),0,-N('Исходные данные'!$B$16)*N('Исходные данные'!$B$68)*N('Исходные данные'!$B$67)/12*IF(AND(B177&lt;=IF('Исходные данные'!$B$69="",'Исходные данные'!$B$10,'Исходные данные'!$B$69),C177&gt;=IF('Исходные данные'!$B$69="",'Исходные данные'!$B$10,'Исходные данные'!$B$69)),(C177-IF('Исходные данные'!$B$69="",'Исходные данные'!$B$10,'Исходные данные'!$B$69)+1)/DAY(C177),1))</f>
        <v>0</v>
      </c>
      <c r="X177">
        <f>IF(OR(B177="",IF('Исходные данные'!$B$76="",'Исходные данные'!$B$10,'Исходные данные'!$B$76)="",C177&lt;IF('Исходные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данные'!$B$76)),1),B177,"m")/12))*IF(AND(B177&lt;=IF('Исходные данные'!$B$76="",'Исходные данные'!$B$10,'Исходные данные'!$B$76),C177&gt;=IF('Исходные данные'!$B$76="",'Исходные данные'!$B$10,'Исходные данные'!$B$76)),(C177-IF('Исходные данные'!$B$76="",'Исходные данные'!$B$10,'Исходные данные'!$B$76)+1)/DAY(C177),1))</f>
        <v>0</v>
      </c>
      <c r="Y177">
        <f t="shared" si="107"/>
        <v>0</v>
      </c>
      <c r="Z177">
        <f>IF(OR(B177="",N('Исходные данные'!$B$19)=0),0,-SUMIFS('Исходные данные'!$I$6:$I$186,'Исходные данные'!$F$6:$F$186,B177)*N('Исходные данные'!$B$17)/N('Исходные данные'!$B$19))</f>
        <v>0</v>
      </c>
      <c r="AA177">
        <f>IF(OR(B177="",N('Исходные данные'!$B$19)=0),0,-SUMIFS('Исходные данные'!$I$6:$I$186,'Исходные данные'!$F$6:$F$186,B177)*N('Исходные данные'!$B$18)/N('Исходные данные'!$B$19))</f>
        <v>0</v>
      </c>
      <c r="AB177">
        <f>IF(OR(B177="",'Исходные данные'!$B$13=""),0,IF(AND(YEAR(B177)=YEAR('Исходные данные'!$B$13),MONTH(B177)=MONTH('Исходные данные'!$B$13)),-N('Исходные данные'!$B$11),0))</f>
        <v>0</v>
      </c>
      <c r="AC177">
        <f>IF(A177=1,-N('Исходные данные'!$B$19)*N('Исходные данные'!$B$72),0)</f>
        <v>0</v>
      </c>
      <c r="AD177">
        <f>IF(OR(B177="",'Исходные данные'!$B$22&lt;&gt;"Да",'Исходные данные'!$B$26=""),0,IF(AND(YEAR(B177)=YEAR('Исходные данные'!$B$26),MONTH(B177)=MONTH('Исходные данные'!$B$26)),N('Исходные данные'!$B$23),0))</f>
        <v>0</v>
      </c>
      <c r="AE177">
        <f t="shared" si="120"/>
        <v>0</v>
      </c>
      <c r="AF177">
        <f>IF(OR('Исходные данные'!$B$22&lt;&gt;"Да",'Исходные данные'!$B$26="",C177&lt;'Исходные данные'!$B$26),0,DATEDIF(DATE(YEAR('Исходные данные'!$B$26),MONTH('Исходные данные'!$B$26),1),B177,"m")+1)</f>
        <v>0</v>
      </c>
      <c r="AG177">
        <f>IF(OR(AF177&lt;1,AF177&gt;N('Исходные данные'!$B$25),AE177+AD177&lt;=0),0,-(AE177+AD177)*N('Исходные данные'!$B$24)*IF(AF177=1,C177-'Исходные данные'!$B$26+1,DAY(C177))/365)</f>
        <v>0</v>
      </c>
      <c r="AH177">
        <f>IF(OR(AF177&lt;1,AF177&gt;N('Исходные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данные'!$B$25)-AG177))</f>
        <v>0</v>
      </c>
      <c r="AI177">
        <f>IF(OR('Исходные данные'!$B$22&lt;&gt;"Да",AE177+AD177&lt;=0),0,IF(AND('Исходные данные'!$B$91&lt;&gt;"",B177&lt;&gt;"",YEAR(B177)=YEAR('Исходные данные'!$B$91),MONTH(B177)=MONTH('Исходные данные'!$B$91)),-(AE177+AD177),IF(OR(AF177&lt;1,AF177&gt;N('Исходные данные'!$B$25)),0,IF('Исходные данные'!$B$27="Равными долями",-MIN(AE177+AD177,N('Исходные данные'!$B$23)/N('Исходные данные'!$B$25)),-MIN(AE177+AD177,IF(AF177=N('Исходные данные'!$B$25),AE177+AD177,MAX(0,AH177+AG177)))))))</f>
        <v>0</v>
      </c>
      <c r="AJ177">
        <f t="shared" si="108"/>
        <v>0</v>
      </c>
      <c r="AK177">
        <f t="shared" si="109"/>
        <v>0</v>
      </c>
      <c r="AL177">
        <f>IF(OR(B177="",'Исходные данные'!$B$51&lt;&gt;"Да",'Исходные данные'!$B$61=""),0,IF(AND(YEAR(B177)=YEAR('Исходные данные'!$B$61),MONTH(B177)=MONTH('Исходные данные'!$B$61)),N('Исходные данные'!$B$18)*N('Исходные данные'!$B$62),0))</f>
        <v>0</v>
      </c>
      <c r="AM177">
        <f t="shared" si="121"/>
        <v>0</v>
      </c>
      <c r="AN177">
        <f t="shared" si="110"/>
        <v>0</v>
      </c>
      <c r="AO177">
        <f t="shared" si="111"/>
        <v>0</v>
      </c>
      <c r="AP177">
        <f>IF('Исходные данные'!$B$51="Да",-MAX(0,AN177-AO177-AM177),0)</f>
        <v>0</v>
      </c>
      <c r="AQ177">
        <f>IF('Исходные данные'!$B$51="Да",MAX(0,AM177+AO177-AN177),0)</f>
        <v>0</v>
      </c>
      <c r="AR177">
        <f>IF('Исходные данные'!$B$53="Выручка",MAX(0,L177+(Q177-R177)+(U177-V177)),IF('Исходные данные'!$B$53="Прибыль до налога",MAX(0,L177+(Q177-R177)+(U177-V177)+N('Исходные данные'!$B$54)*((O177+P177)+(S177+T177)+W177+X177)+IF('Исходные данные'!$B$55="Да",AG177,0)-N('Исходные данные'!$B$56)/12),IF('Исходные данные'!$B$53="Пользовательская база",MAX(0,N('Исходные данные'!$B$57)/12),0)))</f>
        <v>0</v>
      </c>
      <c r="AS177">
        <f>IF(E177=1,-AR177*N('Исходные данные'!$B$50),0)</f>
        <v>0</v>
      </c>
      <c r="AT177">
        <f t="shared" si="112"/>
        <v>0</v>
      </c>
      <c r="AU177">
        <f>IF(OR(B177="",N('Исходные данные'!$B$80)&lt;=0,'Исходные данные'!$B$88=""),0,MAX(0,IF('Исходные данные'!$B$88="Последние 12 месяцев",SUMIFS($Y$2:$Y$194,$B$2:$B$194,"&gt;="&amp;EDATE(B177,-11),$B$2:$B$194,"&lt;="&amp;B177),IF('Исходные данные'!$B$88="Пользовательский NOI",N('Исходные данные'!$B$89),AT177))/N('Исходные данные'!$B$80)*(1+N('Исходные данные'!$B$81))))</f>
        <v>0</v>
      </c>
      <c r="AV177">
        <f>IF(OR(E177&lt;&gt;1,B177="",'Исходные данные'!$B$91=""),0,IF(AND(YEAR(B177)=YEAR('Исходные данные'!$B$91),MONTH(B177)=MONTH('Исходные данные'!$B$91)),AU177,0))</f>
        <v>0</v>
      </c>
      <c r="AW177">
        <f>-AV177*N('Исходные данные'!$B$73)</f>
        <v>0</v>
      </c>
      <c r="AX177">
        <f>IF(AV177=0,0,-N('Исходные данные'!$B$87)-IF('Исходные данные'!$B$82="Да",IF('Исходные данные'!$B$84="С выручки",AV177,IF('Исходные данные'!$B$84="С прибыли",MAX(0,AV177+AW177-IF('Исходные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77">
        <f t="shared" si="113"/>
        <v>0</v>
      </c>
      <c r="AZ177">
        <f t="shared" si="114"/>
        <v>0</v>
      </c>
      <c r="BA177">
        <f t="shared" si="115"/>
        <v>0</v>
      </c>
      <c r="BB177" t="str">
        <f t="shared" si="122"/>
        <v/>
      </c>
      <c r="BC177">
        <f>IF(OR(E177=0,'Исходные данные'!$B$9="",'Исходные данные'!$B$90=""),0,BA177/(1+'Исходные данные'!$B$90)^((D177-'Исходные данные'!$B$9)/365))</f>
        <v>0</v>
      </c>
      <c r="BD177">
        <f>IF(AND(E177=1,BB177&gt;=0,BB176&lt;0,MIN($BB$2:BB177)&lt;0),1,0)</f>
        <v>0</v>
      </c>
      <c r="BE177">
        <f t="shared" si="116"/>
        <v>0</v>
      </c>
      <c r="BF177">
        <f t="shared" si="117"/>
        <v>0</v>
      </c>
      <c r="BG177">
        <f t="shared" si="118"/>
        <v>0</v>
      </c>
      <c r="BH177">
        <f t="shared" si="119"/>
        <v>1</v>
      </c>
      <c r="BI177">
        <f>AZ177+N177+AP177-AR177*N('Исходные данные'!$B$50)</f>
        <v>0</v>
      </c>
      <c r="BJ177">
        <f t="shared" si="102"/>
        <v>0</v>
      </c>
      <c r="BK177">
        <f>IF(AND(BJ177&gt;=0,BJ176&lt;0,MIN($BJ$2:BJ177)&lt;0),1,0)</f>
        <v>0</v>
      </c>
    </row>
    <row r="178" spans="1:63" x14ac:dyDescent="0.2">
      <c r="A178">
        <v>177</v>
      </c>
      <c r="B178" t="str">
        <f>IF('Исходные данные'!$B$9="","",EDATE(DATE(YEAR('Исходные данные'!$B$9),MONTH('Исходные данные'!$B$9),1),A178-1))</f>
        <v/>
      </c>
      <c r="C178" t="str">
        <f t="shared" si="103"/>
        <v/>
      </c>
      <c r="D178" t="str">
        <f>IF(B178="","",IF('Исходные данные'!$B$91&lt;&gt;"",IF(AND(YEAR(B178)=YEAR('Исходные данные'!$B$91),MONTH(B178)=MONTH('Исходные данные'!$B$91)),'Исходные данные'!$B$91,IF('Исходные данные'!$B$13&lt;&gt;"",IF(AND(YEAR(B178)=YEAR('Исходные данные'!$B$13),MONTH(B178)=MONTH('Исходные данные'!$B$13)),'Исходные данные'!$B$13,IF('Исходные данные'!$B$26&lt;&gt;"",IF(AND(YEAR(B178)=YEAR('Исходные данные'!$B$26),MONTH(B178)=MONTH('Исходные данные'!$B$26)),'Исходные данные'!$B$26,IF(A178=1,'Исходные данные'!$B$9,C178)),IF(A178=1,'Исходные данные'!$B$9,C178))),IF('Исходные данные'!$B$26&lt;&gt;"",IF(AND(YEAR(B178)=YEAR('Исходные данные'!$B$26),MONTH(B178)=MONTH('Исходные данные'!$B$26)),'Исходные данные'!$B$26,IF(A178=1,'Исходные данные'!$B$9,C178)),IF(A178=1,'Исходные данные'!$B$9,C178)))),IF('Исходные данные'!$B$13&lt;&gt;"",IF(AND(YEAR(B178)=YEAR('Исходные данные'!$B$13),MONTH(B178)=MONTH('Исходные данные'!$B$13)),'Исходные данные'!$B$13,IF('Исходные данные'!$B$26&lt;&gt;"",IF(AND(YEAR(B178)=YEAR('Исходные данные'!$B$26),MONTH(B178)=MONTH('Исходные данные'!$B$26)),'Исходные данные'!$B$26,IF(A178=1,'Исходные данные'!$B$9,C178)),IF(A178=1,'Исходные данные'!$B$9,C178))),IF('Исходные данные'!$B$26&lt;&gt;"",IF(AND(YEAR(B178)=YEAR('Исходные данные'!$B$26),MONTH(B178)=MONTH('Исходные данные'!$B$26)),'Исходные данные'!$B$26,IF(A178=1,'Исходные данные'!$B$9,C178)),IF(A178=1,'Исходные данные'!$B$9,C178)))))</f>
        <v/>
      </c>
      <c r="E178">
        <f>IF(OR(B178="",'Исходные данные'!$B$91=""),0,--(B178&lt;=DATE(YEAR('Исходные данные'!$B$91),MONTH('Исходные данные'!$B$91),1)))</f>
        <v>0</v>
      </c>
      <c r="F178">
        <f>IF(OR(B178="",'Исходные данные'!$B$30="",C178&lt;'Исходные данные'!$B$30),0,DATEDIF(DATE(YEAR('Исходные данные'!$B$30),MONTH('Исходные данные'!$B$30),1),B178,"m")+1)</f>
        <v>0</v>
      </c>
      <c r="G178">
        <f t="shared" si="104"/>
        <v>0</v>
      </c>
      <c r="H178">
        <f>IF(F178=0,0,IF(G178=1,N('Исходные данные'!$B$31),IF(G178=2,N('Исходные данные'!$B$32),IF(G178=3,N('Исходные данные'!$B$33),N('Исходные данные'!$B$33)*(1+N('Исходные данные'!$B$34))^(G178-3)))))</f>
        <v>0</v>
      </c>
      <c r="I178">
        <f>IF(OR(F178=0,N('Исходные данные'!$B$5)=0,H178=0),0,'Исходные данные'!$B$5*H178*IF(AND(B178&lt;='Исходные данные'!$B$30,C178&gt;='Исходные данные'!$B$30),(C178-'Исходные данные'!$B$30+1)/DAY(C178),1))</f>
        <v>0</v>
      </c>
      <c r="J178">
        <f>IF(AND(F178&gt;0,F178&lt;=N('Исходные данные'!$B$37)),-I178,0)</f>
        <v>0</v>
      </c>
      <c r="K178">
        <f>IF(OR(F178=0,F178&lt;=N('Исходные данные'!$B$37)),0,-(I178+J178)*N('Исходные данные'!$B$38))</f>
        <v>0</v>
      </c>
      <c r="L178">
        <f t="shared" si="105"/>
        <v>0</v>
      </c>
      <c r="M178">
        <f>IF('Исходные данные'!$B$51="Да",L178*N('Исходные данные'!$B$52),0)</f>
        <v>0</v>
      </c>
      <c r="N178">
        <f t="shared" si="106"/>
        <v>0</v>
      </c>
      <c r="O178">
        <f>IF(OR(B178="",IF('Исходные данные'!$B$45="",'Исходные данные'!$B$10,'Исходные данные'!$B$45)="",C178&lt;IF('Исходные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данные'!$B$45)),1),B178,"m")/12))*IF(AND(B178&lt;=IF('Исходные данные'!$B$45="",'Исходные данные'!$B$10,'Исходные данные'!$B$45),C178&gt;=IF('Исходные данные'!$B$45="",'Исходные данные'!$B$10,'Исходные данные'!$B$45)),(C178-IF('Исходные данные'!$B$45="",'Исходные данные'!$B$10,'Исходные данные'!$B$45)+1)/DAY(C178),1)*IF('Исходные данные'!$B$43="Без НДС",1+N('Исходные данные'!$B$44),1))</f>
        <v>0</v>
      </c>
      <c r="P178">
        <f>IF('Исходные данные'!$B$51="Да",-O178*N('Исходные данные'!$B$44)/(1+N('Исходные данные'!$B$44)),0)</f>
        <v>0</v>
      </c>
      <c r="Q178">
        <f>IF('Исходные данные'!$B$35="Да",-O178,0)</f>
        <v>0</v>
      </c>
      <c r="R178">
        <f>IF(AND('Исходные данные'!$B$51="Да",Q178&gt;0),Q178*N('Исходные данные'!$B$52)/(1+N('Исходные данные'!$B$52)),0)</f>
        <v>0</v>
      </c>
      <c r="S178">
        <f>IF(OR(B178="",IF('Исходные данные'!$B$45="",'Исходные данные'!$B$10,'Исходные данные'!$B$45)="",C178&lt;IF('Исходные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данные'!$B$45)),1),B178,"m")/12))*IF(AND(B178&lt;=IF('Исходные данные'!$B$45="",'Исходные данные'!$B$10,'Исходные данные'!$B$45),C178&gt;=IF('Исходные данные'!$B$45="",'Исходные данные'!$B$10,'Исходные данные'!$B$45)),(C178-IF('Исходные данные'!$B$45="",'Исходные данные'!$B$10,'Исходные данные'!$B$45)+1)/DAY(C178),1)*IF('Исходные данные'!$B$43="Без НДС",1+N('Исходные данные'!$B$44),1))</f>
        <v>0</v>
      </c>
      <c r="T178">
        <f>IF('Исходные данные'!$B$51="Да",-S178*N('Исходные данные'!$B$44)/(1+N('Исходные данные'!$B$44)),0)</f>
        <v>0</v>
      </c>
      <c r="U178">
        <f>IF('Исходные данные'!$B$36="Да",-S178,0)</f>
        <v>0</v>
      </c>
      <c r="V178">
        <f>IF(AND('Исходные данные'!$B$51="Да",U178&gt;0),U178*N('Исходные данные'!$B$52)/(1+N('Исходные данные'!$B$52)),0)</f>
        <v>0</v>
      </c>
      <c r="W178">
        <f>IF(OR(B178="",IF('Исходные данные'!$B$69="",'Исходные данные'!$B$10,'Исходные данные'!$B$69)="",C178&lt;IF('Исходные данные'!$B$69="",'Исходные данные'!$B$10,'Исходные данные'!$B$69)),0,-N('Исходные данные'!$B$16)*N('Исходные данные'!$B$68)*N('Исходные данные'!$B$67)/12*IF(AND(B178&lt;=IF('Исходные данные'!$B$69="",'Исходные данные'!$B$10,'Исходные данные'!$B$69),C178&gt;=IF('Исходные данные'!$B$69="",'Исходные данные'!$B$10,'Исходные данные'!$B$69)),(C178-IF('Исходные данные'!$B$69="",'Исходные данные'!$B$10,'Исходные данные'!$B$69)+1)/DAY(C178),1))</f>
        <v>0</v>
      </c>
      <c r="X178">
        <f>IF(OR(B178="",IF('Исходные данные'!$B$76="",'Исходные данные'!$B$10,'Исходные данные'!$B$76)="",C178&lt;IF('Исходные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данные'!$B$76)),1),B178,"m")/12))*IF(AND(B178&lt;=IF('Исходные данные'!$B$76="",'Исходные данные'!$B$10,'Исходные данные'!$B$76),C178&gt;=IF('Исходные данные'!$B$76="",'Исходные данные'!$B$10,'Исходные данные'!$B$76)),(C178-IF('Исходные данные'!$B$76="",'Исходные данные'!$B$10,'Исходные данные'!$B$76)+1)/DAY(C178),1))</f>
        <v>0</v>
      </c>
      <c r="Y178">
        <f t="shared" si="107"/>
        <v>0</v>
      </c>
      <c r="Z178">
        <f>IF(OR(B178="",N('Исходные данные'!$B$19)=0),0,-SUMIFS('Исходные данные'!$I$6:$I$186,'Исходные данные'!$F$6:$F$186,B178)*N('Исходные данные'!$B$17)/N('Исходные данные'!$B$19))</f>
        <v>0</v>
      </c>
      <c r="AA178">
        <f>IF(OR(B178="",N('Исходные данные'!$B$19)=0),0,-SUMIFS('Исходные данные'!$I$6:$I$186,'Исходные данные'!$F$6:$F$186,B178)*N('Исходные данные'!$B$18)/N('Исходные данные'!$B$19))</f>
        <v>0</v>
      </c>
      <c r="AB178">
        <f>IF(OR(B178="",'Исходные данные'!$B$13=""),0,IF(AND(YEAR(B178)=YEAR('Исходные данные'!$B$13),MONTH(B178)=MONTH('Исходные данные'!$B$13)),-N('Исходные данные'!$B$11),0))</f>
        <v>0</v>
      </c>
      <c r="AC178">
        <f>IF(A178=1,-N('Исходные данные'!$B$19)*N('Исходные данные'!$B$72),0)</f>
        <v>0</v>
      </c>
      <c r="AD178">
        <f>IF(OR(B178="",'Исходные данные'!$B$22&lt;&gt;"Да",'Исходные данные'!$B$26=""),0,IF(AND(YEAR(B178)=YEAR('Исходные данные'!$B$26),MONTH(B178)=MONTH('Исходные данные'!$B$26)),N('Исходные данные'!$B$23),0))</f>
        <v>0</v>
      </c>
      <c r="AE178">
        <f t="shared" si="120"/>
        <v>0</v>
      </c>
      <c r="AF178">
        <f>IF(OR('Исходные данные'!$B$22&lt;&gt;"Да",'Исходные данные'!$B$26="",C178&lt;'Исходные данные'!$B$26),0,DATEDIF(DATE(YEAR('Исходные данные'!$B$26),MONTH('Исходные данные'!$B$26),1),B178,"m")+1)</f>
        <v>0</v>
      </c>
      <c r="AG178">
        <f>IF(OR(AF178&lt;1,AF178&gt;N('Исходные данные'!$B$25),AE178+AD178&lt;=0),0,-(AE178+AD178)*N('Исходные данные'!$B$24)*IF(AF178=1,C178-'Исходные данные'!$B$26+1,DAY(C178))/365)</f>
        <v>0</v>
      </c>
      <c r="AH178">
        <f>IF(OR(AF178&lt;1,AF178&gt;N('Исходные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данные'!$B$25)-AG178))</f>
        <v>0</v>
      </c>
      <c r="AI178">
        <f>IF(OR('Исходные данные'!$B$22&lt;&gt;"Да",AE178+AD178&lt;=0),0,IF(AND('Исходные данные'!$B$91&lt;&gt;"",B178&lt;&gt;"",YEAR(B178)=YEAR('Исходные данные'!$B$91),MONTH(B178)=MONTH('Исходные данные'!$B$91)),-(AE178+AD178),IF(OR(AF178&lt;1,AF178&gt;N('Исходные данные'!$B$25)),0,IF('Исходные данные'!$B$27="Равными долями",-MIN(AE178+AD178,N('Исходные данные'!$B$23)/N('Исходные данные'!$B$25)),-MIN(AE178+AD178,IF(AF178=N('Исходные данные'!$B$25),AE178+AD178,MAX(0,AH178+AG178)))))))</f>
        <v>0</v>
      </c>
      <c r="AJ178">
        <f t="shared" si="108"/>
        <v>0</v>
      </c>
      <c r="AK178">
        <f t="shared" si="109"/>
        <v>0</v>
      </c>
      <c r="AL178">
        <f>IF(OR(B178="",'Исходные данные'!$B$51&lt;&gt;"Да",'Исходные данные'!$B$61=""),0,IF(AND(YEAR(B178)=YEAR('Исходные данные'!$B$61),MONTH(B178)=MONTH('Исходные данные'!$B$61)),N('Исходные данные'!$B$18)*N('Исходные данные'!$B$62),0))</f>
        <v>0</v>
      </c>
      <c r="AM178">
        <f t="shared" si="121"/>
        <v>0</v>
      </c>
      <c r="AN178">
        <f t="shared" si="110"/>
        <v>0</v>
      </c>
      <c r="AO178">
        <f t="shared" si="111"/>
        <v>0</v>
      </c>
      <c r="AP178">
        <f>IF('Исходные данные'!$B$51="Да",-MAX(0,AN178-AO178-AM178),0)</f>
        <v>0</v>
      </c>
      <c r="AQ178">
        <f>IF('Исходные данные'!$B$51="Да",MAX(0,AM178+AO178-AN178),0)</f>
        <v>0</v>
      </c>
      <c r="AR178">
        <f>IF('Исходные данные'!$B$53="Выручка",MAX(0,L178+(Q178-R178)+(U178-V178)),IF('Исходные данные'!$B$53="Прибыль до налога",MAX(0,L178+(Q178-R178)+(U178-V178)+N('Исходные данные'!$B$54)*((O178+P178)+(S178+T178)+W178+X178)+IF('Исходные данные'!$B$55="Да",AG178,0)-N('Исходные данные'!$B$56)/12),IF('Исходные данные'!$B$53="Пользовательская база",MAX(0,N('Исходные данные'!$B$57)/12),0)))</f>
        <v>0</v>
      </c>
      <c r="AS178">
        <f>IF(E178=1,-AR178*N('Исходные данные'!$B$50),0)</f>
        <v>0</v>
      </c>
      <c r="AT178">
        <f t="shared" si="112"/>
        <v>0</v>
      </c>
      <c r="AU178">
        <f>IF(OR(B178="",N('Исходные данные'!$B$80)&lt;=0,'Исходные данные'!$B$88=""),0,MAX(0,IF('Исходные данные'!$B$88="Последние 12 месяцев",SUMIFS($Y$2:$Y$194,$B$2:$B$194,"&gt;="&amp;EDATE(B178,-11),$B$2:$B$194,"&lt;="&amp;B178),IF('Исходные данные'!$B$88="Пользовательский NOI",N('Исходные данные'!$B$89),AT178))/N('Исходные данные'!$B$80)*(1+N('Исходные данные'!$B$81))))</f>
        <v>0</v>
      </c>
      <c r="AV178">
        <f>IF(OR(E178&lt;&gt;1,B178="",'Исходные данные'!$B$91=""),0,IF(AND(YEAR(B178)=YEAR('Исходные данные'!$B$91),MONTH(B178)=MONTH('Исходные данные'!$B$91)),AU178,0))</f>
        <v>0</v>
      </c>
      <c r="AW178">
        <f>-AV178*N('Исходные данные'!$B$73)</f>
        <v>0</v>
      </c>
      <c r="AX178">
        <f>IF(AV178=0,0,-N('Исходные данные'!$B$87)-IF('Исходные данные'!$B$82="Да",IF('Исходные данные'!$B$84="С выручки",AV178,IF('Исходные данные'!$B$84="С прибыли",MAX(0,AV178+AW178-IF('Исходные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78">
        <f t="shared" si="113"/>
        <v>0</v>
      </c>
      <c r="AZ178">
        <f t="shared" si="114"/>
        <v>0</v>
      </c>
      <c r="BA178">
        <f t="shared" si="115"/>
        <v>0</v>
      </c>
      <c r="BB178" t="str">
        <f t="shared" si="122"/>
        <v/>
      </c>
      <c r="BC178">
        <f>IF(OR(E178=0,'Исходные данные'!$B$9="",'Исходные данные'!$B$90=""),0,BA178/(1+'Исходные данные'!$B$90)^((D178-'Исходные данные'!$B$9)/365))</f>
        <v>0</v>
      </c>
      <c r="BD178">
        <f>IF(AND(E178=1,BB178&gt;=0,BB177&lt;0,MIN($BB$2:BB178)&lt;0),1,0)</f>
        <v>0</v>
      </c>
      <c r="BE178">
        <f t="shared" si="116"/>
        <v>0</v>
      </c>
      <c r="BF178">
        <f t="shared" si="117"/>
        <v>0</v>
      </c>
      <c r="BG178">
        <f t="shared" si="118"/>
        <v>0</v>
      </c>
      <c r="BH178">
        <f t="shared" si="119"/>
        <v>1</v>
      </c>
      <c r="BI178">
        <f>AZ178+N178+AP178-AR178*N('Исходные данные'!$B$50)</f>
        <v>0</v>
      </c>
      <c r="BJ178">
        <f t="shared" si="102"/>
        <v>0</v>
      </c>
      <c r="BK178">
        <f>IF(AND(BJ178&gt;=0,BJ177&lt;0,MIN($BJ$2:BJ178)&lt;0),1,0)</f>
        <v>0</v>
      </c>
    </row>
    <row r="179" spans="1:63" x14ac:dyDescent="0.2">
      <c r="A179">
        <v>178</v>
      </c>
      <c r="B179" t="str">
        <f>IF('Исходные данные'!$B$9="","",EDATE(DATE(YEAR('Исходные данные'!$B$9),MONTH('Исходные данные'!$B$9),1),A179-1))</f>
        <v/>
      </c>
      <c r="C179" t="str">
        <f t="shared" si="103"/>
        <v/>
      </c>
      <c r="D179" t="str">
        <f>IF(B179="","",IF('Исходные данные'!$B$91&lt;&gt;"",IF(AND(YEAR(B179)=YEAR('Исходные данные'!$B$91),MONTH(B179)=MONTH('Исходные данные'!$B$91)),'Исходные данные'!$B$91,IF('Исходные данные'!$B$13&lt;&gt;"",IF(AND(YEAR(B179)=YEAR('Исходные данные'!$B$13),MONTH(B179)=MONTH('Исходные данные'!$B$13)),'Исходные данные'!$B$13,IF('Исходные данные'!$B$26&lt;&gt;"",IF(AND(YEAR(B179)=YEAR('Исходные данные'!$B$26),MONTH(B179)=MONTH('Исходные данные'!$B$26)),'Исходные данные'!$B$26,IF(A179=1,'Исходные данные'!$B$9,C179)),IF(A179=1,'Исходные данные'!$B$9,C179))),IF('Исходные данные'!$B$26&lt;&gt;"",IF(AND(YEAR(B179)=YEAR('Исходные данные'!$B$26),MONTH(B179)=MONTH('Исходные данные'!$B$26)),'Исходные данные'!$B$26,IF(A179=1,'Исходные данные'!$B$9,C179)),IF(A179=1,'Исходные данные'!$B$9,C179)))),IF('Исходные данные'!$B$13&lt;&gt;"",IF(AND(YEAR(B179)=YEAR('Исходные данные'!$B$13),MONTH(B179)=MONTH('Исходные данные'!$B$13)),'Исходные данные'!$B$13,IF('Исходные данные'!$B$26&lt;&gt;"",IF(AND(YEAR(B179)=YEAR('Исходные данные'!$B$26),MONTH(B179)=MONTH('Исходные данные'!$B$26)),'Исходные данные'!$B$26,IF(A179=1,'Исходные данные'!$B$9,C179)),IF(A179=1,'Исходные данные'!$B$9,C179))),IF('Исходные данные'!$B$26&lt;&gt;"",IF(AND(YEAR(B179)=YEAR('Исходные данные'!$B$26),MONTH(B179)=MONTH('Исходные данные'!$B$26)),'Исходные данные'!$B$26,IF(A179=1,'Исходные данные'!$B$9,C179)),IF(A179=1,'Исходные данные'!$B$9,C179)))))</f>
        <v/>
      </c>
      <c r="E179">
        <f>IF(OR(B179="",'Исходные данные'!$B$91=""),0,--(B179&lt;=DATE(YEAR('Исходные данные'!$B$91),MONTH('Исходные данные'!$B$91),1)))</f>
        <v>0</v>
      </c>
      <c r="F179">
        <f>IF(OR(B179="",'Исходные данные'!$B$30="",C179&lt;'Исходные данные'!$B$30),0,DATEDIF(DATE(YEAR('Исходные данные'!$B$30),MONTH('Исходные данные'!$B$30),1),B179,"m")+1)</f>
        <v>0</v>
      </c>
      <c r="G179">
        <f t="shared" si="104"/>
        <v>0</v>
      </c>
      <c r="H179">
        <f>IF(F179=0,0,IF(G179=1,N('Исходные данные'!$B$31),IF(G179=2,N('Исходные данные'!$B$32),IF(G179=3,N('Исходные данные'!$B$33),N('Исходные данные'!$B$33)*(1+N('Исходные данные'!$B$34))^(G179-3)))))</f>
        <v>0</v>
      </c>
      <c r="I179">
        <f>IF(OR(F179=0,N('Исходные данные'!$B$5)=0,H179=0),0,'Исходные данные'!$B$5*H179*IF(AND(B179&lt;='Исходные данные'!$B$30,C179&gt;='Исходные данные'!$B$30),(C179-'Исходные данные'!$B$30+1)/DAY(C179),1))</f>
        <v>0</v>
      </c>
      <c r="J179">
        <f>IF(AND(F179&gt;0,F179&lt;=N('Исходные данные'!$B$37)),-I179,0)</f>
        <v>0</v>
      </c>
      <c r="K179">
        <f>IF(OR(F179=0,F179&lt;=N('Исходные данные'!$B$37)),0,-(I179+J179)*N('Исходные данные'!$B$38))</f>
        <v>0</v>
      </c>
      <c r="L179">
        <f t="shared" si="105"/>
        <v>0</v>
      </c>
      <c r="M179">
        <f>IF('Исходные данные'!$B$51="Да",L179*N('Исходные данные'!$B$52),0)</f>
        <v>0</v>
      </c>
      <c r="N179">
        <f t="shared" si="106"/>
        <v>0</v>
      </c>
      <c r="O179">
        <f>IF(OR(B179="",IF('Исходные данные'!$B$45="",'Исходные данные'!$B$10,'Исходные данные'!$B$45)="",C179&lt;IF('Исходные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данные'!$B$45)),1),B179,"m")/12))*IF(AND(B179&lt;=IF('Исходные данные'!$B$45="",'Исходные данные'!$B$10,'Исходные данные'!$B$45),C179&gt;=IF('Исходные данные'!$B$45="",'Исходные данные'!$B$10,'Исходные данные'!$B$45)),(C179-IF('Исходные данные'!$B$45="",'Исходные данные'!$B$10,'Исходные данные'!$B$45)+1)/DAY(C179),1)*IF('Исходные данные'!$B$43="Без НДС",1+N('Исходные данные'!$B$44),1))</f>
        <v>0</v>
      </c>
      <c r="P179">
        <f>IF('Исходные данные'!$B$51="Да",-O179*N('Исходные данные'!$B$44)/(1+N('Исходные данные'!$B$44)),0)</f>
        <v>0</v>
      </c>
      <c r="Q179">
        <f>IF('Исходные данные'!$B$35="Да",-O179,0)</f>
        <v>0</v>
      </c>
      <c r="R179">
        <f>IF(AND('Исходные данные'!$B$51="Да",Q179&gt;0),Q179*N('Исходные данные'!$B$52)/(1+N('Исходные данные'!$B$52)),0)</f>
        <v>0</v>
      </c>
      <c r="S179">
        <f>IF(OR(B179="",IF('Исходные данные'!$B$45="",'Исходные данные'!$B$10,'Исходные данные'!$B$45)="",C179&lt;IF('Исходные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данные'!$B$45)),1),B179,"m")/12))*IF(AND(B179&lt;=IF('Исходные данные'!$B$45="",'Исходные данные'!$B$10,'Исходные данные'!$B$45),C179&gt;=IF('Исходные данные'!$B$45="",'Исходные данные'!$B$10,'Исходные данные'!$B$45)),(C179-IF('Исходные данные'!$B$45="",'Исходные данные'!$B$10,'Исходные данные'!$B$45)+1)/DAY(C179),1)*IF('Исходные данные'!$B$43="Без НДС",1+N('Исходные данные'!$B$44),1))</f>
        <v>0</v>
      </c>
      <c r="T179">
        <f>IF('Исходные данные'!$B$51="Да",-S179*N('Исходные данные'!$B$44)/(1+N('Исходные данные'!$B$44)),0)</f>
        <v>0</v>
      </c>
      <c r="U179">
        <f>IF('Исходные данные'!$B$36="Да",-S179,0)</f>
        <v>0</v>
      </c>
      <c r="V179">
        <f>IF(AND('Исходные данные'!$B$51="Да",U179&gt;0),U179*N('Исходные данные'!$B$52)/(1+N('Исходные данные'!$B$52)),0)</f>
        <v>0</v>
      </c>
      <c r="W179">
        <f>IF(OR(B179="",IF('Исходные данные'!$B$69="",'Исходные данные'!$B$10,'Исходные данные'!$B$69)="",C179&lt;IF('Исходные данные'!$B$69="",'Исходные данные'!$B$10,'Исходные данные'!$B$69)),0,-N('Исходные данные'!$B$16)*N('Исходные данные'!$B$68)*N('Исходные данные'!$B$67)/12*IF(AND(B179&lt;=IF('Исходные данные'!$B$69="",'Исходные данные'!$B$10,'Исходные данные'!$B$69),C179&gt;=IF('Исходные данные'!$B$69="",'Исходные данные'!$B$10,'Исходные данные'!$B$69)),(C179-IF('Исходные данные'!$B$69="",'Исходные данные'!$B$10,'Исходные данные'!$B$69)+1)/DAY(C179),1))</f>
        <v>0</v>
      </c>
      <c r="X179">
        <f>IF(OR(B179="",IF('Исходные данные'!$B$76="",'Исходные данные'!$B$10,'Исходные данные'!$B$76)="",C179&lt;IF('Исходные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данные'!$B$76)),1),B179,"m")/12))*IF(AND(B179&lt;=IF('Исходные данные'!$B$76="",'Исходные данные'!$B$10,'Исходные данные'!$B$76),C179&gt;=IF('Исходные данные'!$B$76="",'Исходные данные'!$B$10,'Исходные данные'!$B$76)),(C179-IF('Исходные данные'!$B$76="",'Исходные данные'!$B$10,'Исходные данные'!$B$76)+1)/DAY(C179),1))</f>
        <v>0</v>
      </c>
      <c r="Y179">
        <f t="shared" si="107"/>
        <v>0</v>
      </c>
      <c r="Z179">
        <f>IF(OR(B179="",N('Исходные данные'!$B$19)=0),0,-SUMIFS('Исходные данные'!$I$6:$I$186,'Исходные данные'!$F$6:$F$186,B179)*N('Исходные данные'!$B$17)/N('Исходные данные'!$B$19))</f>
        <v>0</v>
      </c>
      <c r="AA179">
        <f>IF(OR(B179="",N('Исходные данные'!$B$19)=0),0,-SUMIFS('Исходные данные'!$I$6:$I$186,'Исходные данные'!$F$6:$F$186,B179)*N('Исходные данные'!$B$18)/N('Исходные данные'!$B$19))</f>
        <v>0</v>
      </c>
      <c r="AB179">
        <f>IF(OR(B179="",'Исходные данные'!$B$13=""),0,IF(AND(YEAR(B179)=YEAR('Исходные данные'!$B$13),MONTH(B179)=MONTH('Исходные данные'!$B$13)),-N('Исходные данные'!$B$11),0))</f>
        <v>0</v>
      </c>
      <c r="AC179">
        <f>IF(A179=1,-N('Исходные данные'!$B$19)*N('Исходные данные'!$B$72),0)</f>
        <v>0</v>
      </c>
      <c r="AD179">
        <f>IF(OR(B179="",'Исходные данные'!$B$22&lt;&gt;"Да",'Исходные данные'!$B$26=""),0,IF(AND(YEAR(B179)=YEAR('Исходные данные'!$B$26),MONTH(B179)=MONTH('Исходные данные'!$B$26)),N('Исходные данные'!$B$23),0))</f>
        <v>0</v>
      </c>
      <c r="AE179">
        <f t="shared" si="120"/>
        <v>0</v>
      </c>
      <c r="AF179">
        <f>IF(OR('Исходные данные'!$B$22&lt;&gt;"Да",'Исходные данные'!$B$26="",C179&lt;'Исходные данные'!$B$26),0,DATEDIF(DATE(YEAR('Исходные данные'!$B$26),MONTH('Исходные данные'!$B$26),1),B179,"m")+1)</f>
        <v>0</v>
      </c>
      <c r="AG179">
        <f>IF(OR(AF179&lt;1,AF179&gt;N('Исходные данные'!$B$25),AE179+AD179&lt;=0),0,-(AE179+AD179)*N('Исходные данные'!$B$24)*IF(AF179=1,C179-'Исходные данные'!$B$26+1,DAY(C179))/365)</f>
        <v>0</v>
      </c>
      <c r="AH179">
        <f>IF(OR(AF179&lt;1,AF179&gt;N('Исходные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данные'!$B$25)-AG179))</f>
        <v>0</v>
      </c>
      <c r="AI179">
        <f>IF(OR('Исходные данные'!$B$22&lt;&gt;"Да",AE179+AD179&lt;=0),0,IF(AND('Исходные данные'!$B$91&lt;&gt;"",B179&lt;&gt;"",YEAR(B179)=YEAR('Исходные данные'!$B$91),MONTH(B179)=MONTH('Исходные данные'!$B$91)),-(AE179+AD179),IF(OR(AF179&lt;1,AF179&gt;N('Исходные данные'!$B$25)),0,IF('Исходные данные'!$B$27="Равными долями",-MIN(AE179+AD179,N('Исходные данные'!$B$23)/N('Исходные данные'!$B$25)),-MIN(AE179+AD179,IF(AF179=N('Исходные данные'!$B$25),AE179+AD179,MAX(0,AH179+AG179)))))))</f>
        <v>0</v>
      </c>
      <c r="AJ179">
        <f t="shared" si="108"/>
        <v>0</v>
      </c>
      <c r="AK179">
        <f t="shared" si="109"/>
        <v>0</v>
      </c>
      <c r="AL179">
        <f>IF(OR(B179="",'Исходные данные'!$B$51&lt;&gt;"Да",'Исходные данные'!$B$61=""),0,IF(AND(YEAR(B179)=YEAR('Исходные данные'!$B$61),MONTH(B179)=MONTH('Исходные данные'!$B$61)),N('Исходные данные'!$B$18)*N('Исходные данные'!$B$62),0))</f>
        <v>0</v>
      </c>
      <c r="AM179">
        <f t="shared" si="121"/>
        <v>0</v>
      </c>
      <c r="AN179">
        <f t="shared" si="110"/>
        <v>0</v>
      </c>
      <c r="AO179">
        <f t="shared" si="111"/>
        <v>0</v>
      </c>
      <c r="AP179">
        <f>IF('Исходные данные'!$B$51="Да",-MAX(0,AN179-AO179-AM179),0)</f>
        <v>0</v>
      </c>
      <c r="AQ179">
        <f>IF('Исходные данные'!$B$51="Да",MAX(0,AM179+AO179-AN179),0)</f>
        <v>0</v>
      </c>
      <c r="AR179">
        <f>IF('Исходные данные'!$B$53="Выручка",MAX(0,L179+(Q179-R179)+(U179-V179)),IF('Исходные данные'!$B$53="Прибыль до налога",MAX(0,L179+(Q179-R179)+(U179-V179)+N('Исходные данные'!$B$54)*((O179+P179)+(S179+T179)+W179+X179)+IF('Исходные данные'!$B$55="Да",AG179,0)-N('Исходные данные'!$B$56)/12),IF('Исходные данные'!$B$53="Пользовательская база",MAX(0,N('Исходные данные'!$B$57)/12),0)))</f>
        <v>0</v>
      </c>
      <c r="AS179">
        <f>IF(E179=1,-AR179*N('Исходные данные'!$B$50),0)</f>
        <v>0</v>
      </c>
      <c r="AT179">
        <f t="shared" si="112"/>
        <v>0</v>
      </c>
      <c r="AU179">
        <f>IF(OR(B179="",N('Исходные данные'!$B$80)&lt;=0,'Исходные данные'!$B$88=""),0,MAX(0,IF('Исходные данные'!$B$88="Последние 12 месяцев",SUMIFS($Y$2:$Y$194,$B$2:$B$194,"&gt;="&amp;EDATE(B179,-11),$B$2:$B$194,"&lt;="&amp;B179),IF('Исходные данные'!$B$88="Пользовательский NOI",N('Исходные данные'!$B$89),AT179))/N('Исходные данные'!$B$80)*(1+N('Исходные данные'!$B$81))))</f>
        <v>0</v>
      </c>
      <c r="AV179">
        <f>IF(OR(E179&lt;&gt;1,B179="",'Исходные данные'!$B$91=""),0,IF(AND(YEAR(B179)=YEAR('Исходные данные'!$B$91),MONTH(B179)=MONTH('Исходные данные'!$B$91)),AU179,0))</f>
        <v>0</v>
      </c>
      <c r="AW179">
        <f>-AV179*N('Исходные данные'!$B$73)</f>
        <v>0</v>
      </c>
      <c r="AX179">
        <f>IF(AV179=0,0,-N('Исходные данные'!$B$87)-IF('Исходные данные'!$B$82="Да",IF('Исходные данные'!$B$84="С выручки",AV179,IF('Исходные данные'!$B$84="С прибыли",MAX(0,AV179+AW179-IF('Исходные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79">
        <f t="shared" si="113"/>
        <v>0</v>
      </c>
      <c r="AZ179">
        <f t="shared" si="114"/>
        <v>0</v>
      </c>
      <c r="BA179">
        <f t="shared" si="115"/>
        <v>0</v>
      </c>
      <c r="BB179" t="str">
        <f t="shared" si="122"/>
        <v/>
      </c>
      <c r="BC179">
        <f>IF(OR(E179=0,'Исходные данные'!$B$9="",'Исходные данные'!$B$90=""),0,BA179/(1+'Исходные данные'!$B$90)^((D179-'Исходные данные'!$B$9)/365))</f>
        <v>0</v>
      </c>
      <c r="BD179">
        <f>IF(AND(E179=1,BB179&gt;=0,BB178&lt;0,MIN($BB$2:BB179)&lt;0),1,0)</f>
        <v>0</v>
      </c>
      <c r="BE179">
        <f t="shared" si="116"/>
        <v>0</v>
      </c>
      <c r="BF179">
        <f t="shared" si="117"/>
        <v>0</v>
      </c>
      <c r="BG179">
        <f t="shared" si="118"/>
        <v>0</v>
      </c>
      <c r="BH179">
        <f t="shared" si="119"/>
        <v>1</v>
      </c>
      <c r="BI179">
        <f>AZ179+N179+AP179-AR179*N('Исходные данные'!$B$50)</f>
        <v>0</v>
      </c>
      <c r="BJ179">
        <f t="shared" si="102"/>
        <v>0</v>
      </c>
      <c r="BK179">
        <f>IF(AND(BJ179&gt;=0,BJ178&lt;0,MIN($BJ$2:BJ179)&lt;0),1,0)</f>
        <v>0</v>
      </c>
    </row>
    <row r="180" spans="1:63" x14ac:dyDescent="0.2">
      <c r="A180">
        <v>179</v>
      </c>
      <c r="B180" t="str">
        <f>IF('Исходные данные'!$B$9="","",EDATE(DATE(YEAR('Исходные данные'!$B$9),MONTH('Исходные данные'!$B$9),1),A180-1))</f>
        <v/>
      </c>
      <c r="C180" t="str">
        <f t="shared" si="103"/>
        <v/>
      </c>
      <c r="D180" t="str">
        <f>IF(B180="","",IF('Исходные данные'!$B$91&lt;&gt;"",IF(AND(YEAR(B180)=YEAR('Исходные данные'!$B$91),MONTH(B180)=MONTH('Исходные данные'!$B$91)),'Исходные данные'!$B$91,IF('Исходные данные'!$B$13&lt;&gt;"",IF(AND(YEAR(B180)=YEAR('Исходные данные'!$B$13),MONTH(B180)=MONTH('Исходные данные'!$B$13)),'Исходные данные'!$B$13,IF('Исходные данные'!$B$26&lt;&gt;"",IF(AND(YEAR(B180)=YEAR('Исходные данные'!$B$26),MONTH(B180)=MONTH('Исходные данные'!$B$26)),'Исходные данные'!$B$26,IF(A180=1,'Исходные данные'!$B$9,C180)),IF(A180=1,'Исходные данные'!$B$9,C180))),IF('Исходные данные'!$B$26&lt;&gt;"",IF(AND(YEAR(B180)=YEAR('Исходные данные'!$B$26),MONTH(B180)=MONTH('Исходные данные'!$B$26)),'Исходные данные'!$B$26,IF(A180=1,'Исходные данные'!$B$9,C180)),IF(A180=1,'Исходные данные'!$B$9,C180)))),IF('Исходные данные'!$B$13&lt;&gt;"",IF(AND(YEAR(B180)=YEAR('Исходные данные'!$B$13),MONTH(B180)=MONTH('Исходные данные'!$B$13)),'Исходные данные'!$B$13,IF('Исходные данные'!$B$26&lt;&gt;"",IF(AND(YEAR(B180)=YEAR('Исходные данные'!$B$26),MONTH(B180)=MONTH('Исходные данные'!$B$26)),'Исходные данные'!$B$26,IF(A180=1,'Исходные данные'!$B$9,C180)),IF(A180=1,'Исходные данные'!$B$9,C180))),IF('Исходные данные'!$B$26&lt;&gt;"",IF(AND(YEAR(B180)=YEAR('Исходные данные'!$B$26),MONTH(B180)=MONTH('Исходные данные'!$B$26)),'Исходные данные'!$B$26,IF(A180=1,'Исходные данные'!$B$9,C180)),IF(A180=1,'Исходные данные'!$B$9,C180)))))</f>
        <v/>
      </c>
      <c r="E180">
        <f>IF(OR(B180="",'Исходные данные'!$B$91=""),0,--(B180&lt;=DATE(YEAR('Исходные данные'!$B$91),MONTH('Исходные данные'!$B$91),1)))</f>
        <v>0</v>
      </c>
      <c r="F180">
        <f>IF(OR(B180="",'Исходные данные'!$B$30="",C180&lt;'Исходные данные'!$B$30),0,DATEDIF(DATE(YEAR('Исходные данные'!$B$30),MONTH('Исходные данные'!$B$30),1),B180,"m")+1)</f>
        <v>0</v>
      </c>
      <c r="G180">
        <f t="shared" si="104"/>
        <v>0</v>
      </c>
      <c r="H180">
        <f>IF(F180=0,0,IF(G180=1,N('Исходные данные'!$B$31),IF(G180=2,N('Исходные данные'!$B$32),IF(G180=3,N('Исходные данные'!$B$33),N('Исходные данные'!$B$33)*(1+N('Исходные данные'!$B$34))^(G180-3)))))</f>
        <v>0</v>
      </c>
      <c r="I180">
        <f>IF(OR(F180=0,N('Исходные данные'!$B$5)=0,H180=0),0,'Исходные данные'!$B$5*H180*IF(AND(B180&lt;='Исходные данные'!$B$30,C180&gt;='Исходные данные'!$B$30),(C180-'Исходные данные'!$B$30+1)/DAY(C180),1))</f>
        <v>0</v>
      </c>
      <c r="J180">
        <f>IF(AND(F180&gt;0,F180&lt;=N('Исходные данные'!$B$37)),-I180,0)</f>
        <v>0</v>
      </c>
      <c r="K180">
        <f>IF(OR(F180=0,F180&lt;=N('Исходные данные'!$B$37)),0,-(I180+J180)*N('Исходные данные'!$B$38))</f>
        <v>0</v>
      </c>
      <c r="L180">
        <f t="shared" si="105"/>
        <v>0</v>
      </c>
      <c r="M180">
        <f>IF('Исходные данные'!$B$51="Да",L180*N('Исходные данные'!$B$52),0)</f>
        <v>0</v>
      </c>
      <c r="N180">
        <f t="shared" si="106"/>
        <v>0</v>
      </c>
      <c r="O180">
        <f>IF(OR(B180="",IF('Исходные данные'!$B$45="",'Исходные данные'!$B$10,'Исходные данные'!$B$45)="",C180&lt;IF('Исходные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данные'!$B$45)),1),B180,"m")/12))*IF(AND(B180&lt;=IF('Исходные данные'!$B$45="",'Исходные данные'!$B$10,'Исходные данные'!$B$45),C180&gt;=IF('Исходные данные'!$B$45="",'Исходные данные'!$B$10,'Исходные данные'!$B$45)),(C180-IF('Исходные данные'!$B$45="",'Исходные данные'!$B$10,'Исходные данные'!$B$45)+1)/DAY(C180),1)*IF('Исходные данные'!$B$43="Без НДС",1+N('Исходные данные'!$B$44),1))</f>
        <v>0</v>
      </c>
      <c r="P180">
        <f>IF('Исходные данные'!$B$51="Да",-O180*N('Исходные данные'!$B$44)/(1+N('Исходные данные'!$B$44)),0)</f>
        <v>0</v>
      </c>
      <c r="Q180">
        <f>IF('Исходные данные'!$B$35="Да",-O180,0)</f>
        <v>0</v>
      </c>
      <c r="R180">
        <f>IF(AND('Исходные данные'!$B$51="Да",Q180&gt;0),Q180*N('Исходные данные'!$B$52)/(1+N('Исходные данные'!$B$52)),0)</f>
        <v>0</v>
      </c>
      <c r="S180">
        <f>IF(OR(B180="",IF('Исходные данные'!$B$45="",'Исходные данные'!$B$10,'Исходные данные'!$B$45)="",C180&lt;IF('Исходные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данные'!$B$45)),1),B180,"m")/12))*IF(AND(B180&lt;=IF('Исходные данные'!$B$45="",'Исходные данные'!$B$10,'Исходные данные'!$B$45),C180&gt;=IF('Исходные данные'!$B$45="",'Исходные данные'!$B$10,'Исходные данные'!$B$45)),(C180-IF('Исходные данные'!$B$45="",'Исходные данные'!$B$10,'Исходные данные'!$B$45)+1)/DAY(C180),1)*IF('Исходные данные'!$B$43="Без НДС",1+N('Исходные данные'!$B$44),1))</f>
        <v>0</v>
      </c>
      <c r="T180">
        <f>IF('Исходные данные'!$B$51="Да",-S180*N('Исходные данные'!$B$44)/(1+N('Исходные данные'!$B$44)),0)</f>
        <v>0</v>
      </c>
      <c r="U180">
        <f>IF('Исходные данные'!$B$36="Да",-S180,0)</f>
        <v>0</v>
      </c>
      <c r="V180">
        <f>IF(AND('Исходные данные'!$B$51="Да",U180&gt;0),U180*N('Исходные данные'!$B$52)/(1+N('Исходные данные'!$B$52)),0)</f>
        <v>0</v>
      </c>
      <c r="W180">
        <f>IF(OR(B180="",IF('Исходные данные'!$B$69="",'Исходные данные'!$B$10,'Исходные данные'!$B$69)="",C180&lt;IF('Исходные данные'!$B$69="",'Исходные данные'!$B$10,'Исходные данные'!$B$69)),0,-N('Исходные данные'!$B$16)*N('Исходные данные'!$B$68)*N('Исходные данные'!$B$67)/12*IF(AND(B180&lt;=IF('Исходные данные'!$B$69="",'Исходные данные'!$B$10,'Исходные данные'!$B$69),C180&gt;=IF('Исходные данные'!$B$69="",'Исходные данные'!$B$10,'Исходные данные'!$B$69)),(C180-IF('Исходные данные'!$B$69="",'Исходные данные'!$B$10,'Исходные данные'!$B$69)+1)/DAY(C180),1))</f>
        <v>0</v>
      </c>
      <c r="X180">
        <f>IF(OR(B180="",IF('Исходные данные'!$B$76="",'Исходные данные'!$B$10,'Исходные данные'!$B$76)="",C180&lt;IF('Исходные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данные'!$B$76)),1),B180,"m")/12))*IF(AND(B180&lt;=IF('Исходные данные'!$B$76="",'Исходные данные'!$B$10,'Исходные данные'!$B$76),C180&gt;=IF('Исходные данные'!$B$76="",'Исходные данные'!$B$10,'Исходные данные'!$B$76)),(C180-IF('Исходные данные'!$B$76="",'Исходные данные'!$B$10,'Исходные данные'!$B$76)+1)/DAY(C180),1))</f>
        <v>0</v>
      </c>
      <c r="Y180">
        <f t="shared" si="107"/>
        <v>0</v>
      </c>
      <c r="Z180">
        <f>IF(OR(B180="",N('Исходные данные'!$B$19)=0),0,-SUMIFS('Исходные данные'!$I$6:$I$186,'Исходные данные'!$F$6:$F$186,B180)*N('Исходные данные'!$B$17)/N('Исходные данные'!$B$19))</f>
        <v>0</v>
      </c>
      <c r="AA180">
        <f>IF(OR(B180="",N('Исходные данные'!$B$19)=0),0,-SUMIFS('Исходные данные'!$I$6:$I$186,'Исходные данные'!$F$6:$F$186,B180)*N('Исходные данные'!$B$18)/N('Исходные данные'!$B$19))</f>
        <v>0</v>
      </c>
      <c r="AB180">
        <f>IF(OR(B180="",'Исходные данные'!$B$13=""),0,IF(AND(YEAR(B180)=YEAR('Исходные данные'!$B$13),MONTH(B180)=MONTH('Исходные данные'!$B$13)),-N('Исходные данные'!$B$11),0))</f>
        <v>0</v>
      </c>
      <c r="AC180">
        <f>IF(A180=1,-N('Исходные данные'!$B$19)*N('Исходные данные'!$B$72),0)</f>
        <v>0</v>
      </c>
      <c r="AD180">
        <f>IF(OR(B180="",'Исходные данные'!$B$22&lt;&gt;"Да",'Исходные данные'!$B$26=""),0,IF(AND(YEAR(B180)=YEAR('Исходные данные'!$B$26),MONTH(B180)=MONTH('Исходные данные'!$B$26)),N('Исходные данные'!$B$23),0))</f>
        <v>0</v>
      </c>
      <c r="AE180">
        <f t="shared" si="120"/>
        <v>0</v>
      </c>
      <c r="AF180">
        <f>IF(OR('Исходные данные'!$B$22&lt;&gt;"Да",'Исходные данные'!$B$26="",C180&lt;'Исходные данные'!$B$26),0,DATEDIF(DATE(YEAR('Исходные данные'!$B$26),MONTH('Исходные данные'!$B$26),1),B180,"m")+1)</f>
        <v>0</v>
      </c>
      <c r="AG180">
        <f>IF(OR(AF180&lt;1,AF180&gt;N('Исходные данные'!$B$25),AE180+AD180&lt;=0),0,-(AE180+AD180)*N('Исходные данные'!$B$24)*IF(AF180=1,C180-'Исходные данные'!$B$26+1,DAY(C180))/365)</f>
        <v>0</v>
      </c>
      <c r="AH180">
        <f>IF(OR(AF180&lt;1,AF180&gt;N('Исходные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данные'!$B$25)-AG180))</f>
        <v>0</v>
      </c>
      <c r="AI180">
        <f>IF(OR('Исходные данные'!$B$22&lt;&gt;"Да",AE180+AD180&lt;=0),0,IF(AND('Исходные данные'!$B$91&lt;&gt;"",B180&lt;&gt;"",YEAR(B180)=YEAR('Исходные данные'!$B$91),MONTH(B180)=MONTH('Исходные данные'!$B$91)),-(AE180+AD180),IF(OR(AF180&lt;1,AF180&gt;N('Исходные данные'!$B$25)),0,IF('Исходные данные'!$B$27="Равными долями",-MIN(AE180+AD180,N('Исходные данные'!$B$23)/N('Исходные данные'!$B$25)),-MIN(AE180+AD180,IF(AF180=N('Исходные данные'!$B$25),AE180+AD180,MAX(0,AH180+AG180)))))))</f>
        <v>0</v>
      </c>
      <c r="AJ180">
        <f t="shared" si="108"/>
        <v>0</v>
      </c>
      <c r="AK180">
        <f t="shared" si="109"/>
        <v>0</v>
      </c>
      <c r="AL180">
        <f>IF(OR(B180="",'Исходные данные'!$B$51&lt;&gt;"Да",'Исходные данные'!$B$61=""),0,IF(AND(YEAR(B180)=YEAR('Исходные данные'!$B$61),MONTH(B180)=MONTH('Исходные данные'!$B$61)),N('Исходные данные'!$B$18)*N('Исходные данные'!$B$62),0))</f>
        <v>0</v>
      </c>
      <c r="AM180">
        <f t="shared" si="121"/>
        <v>0</v>
      </c>
      <c r="AN180">
        <f t="shared" si="110"/>
        <v>0</v>
      </c>
      <c r="AO180">
        <f t="shared" si="111"/>
        <v>0</v>
      </c>
      <c r="AP180">
        <f>IF('Исходные данные'!$B$51="Да",-MAX(0,AN180-AO180-AM180),0)</f>
        <v>0</v>
      </c>
      <c r="AQ180">
        <f>IF('Исходные данные'!$B$51="Да",MAX(0,AM180+AO180-AN180),0)</f>
        <v>0</v>
      </c>
      <c r="AR180">
        <f>IF('Исходные данные'!$B$53="Выручка",MAX(0,L180+(Q180-R180)+(U180-V180)),IF('Исходные данные'!$B$53="Прибыль до налога",MAX(0,L180+(Q180-R180)+(U180-V180)+N('Исходные данные'!$B$54)*((O180+P180)+(S180+T180)+W180+X180)+IF('Исходные данные'!$B$55="Да",AG180,0)-N('Исходные данные'!$B$56)/12),IF('Исходные данные'!$B$53="Пользовательская база",MAX(0,N('Исходные данные'!$B$57)/12),0)))</f>
        <v>0</v>
      </c>
      <c r="AS180">
        <f>IF(E180=1,-AR180*N('Исходные данные'!$B$50),0)</f>
        <v>0</v>
      </c>
      <c r="AT180">
        <f t="shared" si="112"/>
        <v>0</v>
      </c>
      <c r="AU180">
        <f>IF(OR(B180="",N('Исходные данные'!$B$80)&lt;=0,'Исходные данные'!$B$88=""),0,MAX(0,IF('Исходные данные'!$B$88="Последние 12 месяцев",SUMIFS($Y$2:$Y$194,$B$2:$B$194,"&gt;="&amp;EDATE(B180,-11),$B$2:$B$194,"&lt;="&amp;B180),IF('Исходные данные'!$B$88="Пользовательский NOI",N('Исходные данные'!$B$89),AT180))/N('Исходные данные'!$B$80)*(1+N('Исходные данные'!$B$81))))</f>
        <v>0</v>
      </c>
      <c r="AV180">
        <f>IF(OR(E180&lt;&gt;1,B180="",'Исходные данные'!$B$91=""),0,IF(AND(YEAR(B180)=YEAR('Исходные данные'!$B$91),MONTH(B180)=MONTH('Исходные данные'!$B$91)),AU180,0))</f>
        <v>0</v>
      </c>
      <c r="AW180">
        <f>-AV180*N('Исходные данные'!$B$73)</f>
        <v>0</v>
      </c>
      <c r="AX180">
        <f>IF(AV180=0,0,-N('Исходные данные'!$B$87)-IF('Исходные данные'!$B$82="Да",IF('Исходные данные'!$B$84="С выручки",AV180,IF('Исходные данные'!$B$84="С прибыли",MAX(0,AV180+AW180-IF('Исходные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80">
        <f t="shared" si="113"/>
        <v>0</v>
      </c>
      <c r="AZ180">
        <f t="shared" si="114"/>
        <v>0</v>
      </c>
      <c r="BA180">
        <f t="shared" si="115"/>
        <v>0</v>
      </c>
      <c r="BB180" t="str">
        <f t="shared" si="122"/>
        <v/>
      </c>
      <c r="BC180">
        <f>IF(OR(E180=0,'Исходные данные'!$B$9="",'Исходные данные'!$B$90=""),0,BA180/(1+'Исходные данные'!$B$90)^((D180-'Исходные данные'!$B$9)/365))</f>
        <v>0</v>
      </c>
      <c r="BD180">
        <f>IF(AND(E180=1,BB180&gt;=0,BB179&lt;0,MIN($BB$2:BB180)&lt;0),1,0)</f>
        <v>0</v>
      </c>
      <c r="BE180">
        <f t="shared" si="116"/>
        <v>0</v>
      </c>
      <c r="BF180">
        <f t="shared" si="117"/>
        <v>0</v>
      </c>
      <c r="BG180">
        <f t="shared" si="118"/>
        <v>0</v>
      </c>
      <c r="BH180">
        <f t="shared" si="119"/>
        <v>1</v>
      </c>
      <c r="BI180">
        <f>AZ180+N180+AP180-AR180*N('Исходные данные'!$B$50)</f>
        <v>0</v>
      </c>
      <c r="BJ180">
        <f t="shared" si="102"/>
        <v>0</v>
      </c>
      <c r="BK180">
        <f>IF(AND(BJ180&gt;=0,BJ179&lt;0,MIN($BJ$2:BJ180)&lt;0),1,0)</f>
        <v>0</v>
      </c>
    </row>
    <row r="181" spans="1:63" x14ac:dyDescent="0.2">
      <c r="A181">
        <v>180</v>
      </c>
      <c r="B181" t="str">
        <f>IF('Исходные данные'!$B$9="","",EDATE(DATE(YEAR('Исходные данные'!$B$9),MONTH('Исходные данные'!$B$9),1),A181-1))</f>
        <v/>
      </c>
      <c r="C181" t="str">
        <f t="shared" si="103"/>
        <v/>
      </c>
      <c r="D181" t="str">
        <f>IF(B181="","",IF('Исходные данные'!$B$91&lt;&gt;"",IF(AND(YEAR(B181)=YEAR('Исходные данные'!$B$91),MONTH(B181)=MONTH('Исходные данные'!$B$91)),'Исходные данные'!$B$91,IF('Исходные данные'!$B$13&lt;&gt;"",IF(AND(YEAR(B181)=YEAR('Исходные данные'!$B$13),MONTH(B181)=MONTH('Исходные данные'!$B$13)),'Исходные данные'!$B$13,IF('Исходные данные'!$B$26&lt;&gt;"",IF(AND(YEAR(B181)=YEAR('Исходные данные'!$B$26),MONTH(B181)=MONTH('Исходные данные'!$B$26)),'Исходные данные'!$B$26,IF(A181=1,'Исходные данные'!$B$9,C181)),IF(A181=1,'Исходные данные'!$B$9,C181))),IF('Исходные данные'!$B$26&lt;&gt;"",IF(AND(YEAR(B181)=YEAR('Исходные данные'!$B$26),MONTH(B181)=MONTH('Исходные данные'!$B$26)),'Исходные данные'!$B$26,IF(A181=1,'Исходные данные'!$B$9,C181)),IF(A181=1,'Исходные данные'!$B$9,C181)))),IF('Исходные данные'!$B$13&lt;&gt;"",IF(AND(YEAR(B181)=YEAR('Исходные данные'!$B$13),MONTH(B181)=MONTH('Исходные данные'!$B$13)),'Исходные данные'!$B$13,IF('Исходные данные'!$B$26&lt;&gt;"",IF(AND(YEAR(B181)=YEAR('Исходные данные'!$B$26),MONTH(B181)=MONTH('Исходные данные'!$B$26)),'Исходные данные'!$B$26,IF(A181=1,'Исходные данные'!$B$9,C181)),IF(A181=1,'Исходные данные'!$B$9,C181))),IF('Исходные данные'!$B$26&lt;&gt;"",IF(AND(YEAR(B181)=YEAR('Исходные данные'!$B$26),MONTH(B181)=MONTH('Исходные данные'!$B$26)),'Исходные данные'!$B$26,IF(A181=1,'Исходные данные'!$B$9,C181)),IF(A181=1,'Исходные данные'!$B$9,C181)))))</f>
        <v/>
      </c>
      <c r="E181">
        <f>IF(OR(B181="",'Исходные данные'!$B$91=""),0,--(B181&lt;=DATE(YEAR('Исходные данные'!$B$91),MONTH('Исходные данные'!$B$91),1)))</f>
        <v>0</v>
      </c>
      <c r="F181">
        <f>IF(OR(B181="",'Исходные данные'!$B$30="",C181&lt;'Исходные данные'!$B$30),0,DATEDIF(DATE(YEAR('Исходные данные'!$B$30),MONTH('Исходные данные'!$B$30),1),B181,"m")+1)</f>
        <v>0</v>
      </c>
      <c r="G181">
        <f t="shared" si="104"/>
        <v>0</v>
      </c>
      <c r="H181">
        <f>IF(F181=0,0,IF(G181=1,N('Исходные данные'!$B$31),IF(G181=2,N('Исходные данные'!$B$32),IF(G181=3,N('Исходные данные'!$B$33),N('Исходные данные'!$B$33)*(1+N('Исходные данные'!$B$34))^(G181-3)))))</f>
        <v>0</v>
      </c>
      <c r="I181">
        <f>IF(OR(F181=0,N('Исходные данные'!$B$5)=0,H181=0),0,'Исходные данные'!$B$5*H181*IF(AND(B181&lt;='Исходные данные'!$B$30,C181&gt;='Исходные данные'!$B$30),(C181-'Исходные данные'!$B$30+1)/DAY(C181),1))</f>
        <v>0</v>
      </c>
      <c r="J181">
        <f>IF(AND(F181&gt;0,F181&lt;=N('Исходные данные'!$B$37)),-I181,0)</f>
        <v>0</v>
      </c>
      <c r="K181">
        <f>IF(OR(F181=0,F181&lt;=N('Исходные данные'!$B$37)),0,-(I181+J181)*N('Исходные данные'!$B$38))</f>
        <v>0</v>
      </c>
      <c r="L181">
        <f t="shared" si="105"/>
        <v>0</v>
      </c>
      <c r="M181">
        <f>IF('Исходные данные'!$B$51="Да",L181*N('Исходные данные'!$B$52),0)</f>
        <v>0</v>
      </c>
      <c r="N181">
        <f t="shared" si="106"/>
        <v>0</v>
      </c>
      <c r="O181">
        <f>IF(OR(B181="",IF('Исходные данные'!$B$45="",'Исходные данные'!$B$10,'Исходные данные'!$B$45)="",C181&lt;IF('Исходные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данные'!$B$45)),1),B181,"m")/12))*IF(AND(B181&lt;=IF('Исходные данные'!$B$45="",'Исходные данные'!$B$10,'Исходные данные'!$B$45),C181&gt;=IF('Исходные данные'!$B$45="",'Исходные данные'!$B$10,'Исходные данные'!$B$45)),(C181-IF('Исходные данные'!$B$45="",'Исходные данные'!$B$10,'Исходные данные'!$B$45)+1)/DAY(C181),1)*IF('Исходные данные'!$B$43="Без НДС",1+N('Исходные данные'!$B$44),1))</f>
        <v>0</v>
      </c>
      <c r="P181">
        <f>IF('Исходные данные'!$B$51="Да",-O181*N('Исходные данные'!$B$44)/(1+N('Исходные данные'!$B$44)),0)</f>
        <v>0</v>
      </c>
      <c r="Q181">
        <f>IF('Исходные данные'!$B$35="Да",-O181,0)</f>
        <v>0</v>
      </c>
      <c r="R181">
        <f>IF(AND('Исходные данные'!$B$51="Да",Q181&gt;0),Q181*N('Исходные данные'!$B$52)/(1+N('Исходные данные'!$B$52)),0)</f>
        <v>0</v>
      </c>
      <c r="S181">
        <f>IF(OR(B181="",IF('Исходные данные'!$B$45="",'Исходные данные'!$B$10,'Исходные данные'!$B$45)="",C181&lt;IF('Исходные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данные'!$B$45)),1),B181,"m")/12))*IF(AND(B181&lt;=IF('Исходные данные'!$B$45="",'Исходные данные'!$B$10,'Исходные данные'!$B$45),C181&gt;=IF('Исходные данные'!$B$45="",'Исходные данные'!$B$10,'Исходные данные'!$B$45)),(C181-IF('Исходные данные'!$B$45="",'Исходные данные'!$B$10,'Исходные данные'!$B$45)+1)/DAY(C181),1)*IF('Исходные данные'!$B$43="Без НДС",1+N('Исходные данные'!$B$44),1))</f>
        <v>0</v>
      </c>
      <c r="T181">
        <f>IF('Исходные данные'!$B$51="Да",-S181*N('Исходные данные'!$B$44)/(1+N('Исходные данные'!$B$44)),0)</f>
        <v>0</v>
      </c>
      <c r="U181">
        <f>IF('Исходные данные'!$B$36="Да",-S181,0)</f>
        <v>0</v>
      </c>
      <c r="V181">
        <f>IF(AND('Исходные данные'!$B$51="Да",U181&gt;0),U181*N('Исходные данные'!$B$52)/(1+N('Исходные данные'!$B$52)),0)</f>
        <v>0</v>
      </c>
      <c r="W181">
        <f>IF(OR(B181="",IF('Исходные данные'!$B$69="",'Исходные данные'!$B$10,'Исходные данные'!$B$69)="",C181&lt;IF('Исходные данные'!$B$69="",'Исходные данные'!$B$10,'Исходные данные'!$B$69)),0,-N('Исходные данные'!$B$16)*N('Исходные данные'!$B$68)*N('Исходные данные'!$B$67)/12*IF(AND(B181&lt;=IF('Исходные данные'!$B$69="",'Исходные данные'!$B$10,'Исходные данные'!$B$69),C181&gt;=IF('Исходные данные'!$B$69="",'Исходные данные'!$B$10,'Исходные данные'!$B$69)),(C181-IF('Исходные данные'!$B$69="",'Исходные данные'!$B$10,'Исходные данные'!$B$69)+1)/DAY(C181),1))</f>
        <v>0</v>
      </c>
      <c r="X181">
        <f>IF(OR(B181="",IF('Исходные данные'!$B$76="",'Исходные данные'!$B$10,'Исходные данные'!$B$76)="",C181&lt;IF('Исходные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данные'!$B$76)),1),B181,"m")/12))*IF(AND(B181&lt;=IF('Исходные данные'!$B$76="",'Исходные данные'!$B$10,'Исходные данные'!$B$76),C181&gt;=IF('Исходные данные'!$B$76="",'Исходные данные'!$B$10,'Исходные данные'!$B$76)),(C181-IF('Исходные данные'!$B$76="",'Исходные данные'!$B$10,'Исходные данные'!$B$76)+1)/DAY(C181),1))</f>
        <v>0</v>
      </c>
      <c r="Y181">
        <f t="shared" si="107"/>
        <v>0</v>
      </c>
      <c r="Z181">
        <f>IF(OR(B181="",N('Исходные данные'!$B$19)=0),0,-SUMIFS('Исходные данные'!$I$6:$I$186,'Исходные данные'!$F$6:$F$186,B181)*N('Исходные данные'!$B$17)/N('Исходные данные'!$B$19))</f>
        <v>0</v>
      </c>
      <c r="AA181">
        <f>IF(OR(B181="",N('Исходные данные'!$B$19)=0),0,-SUMIFS('Исходные данные'!$I$6:$I$186,'Исходные данные'!$F$6:$F$186,B181)*N('Исходные данные'!$B$18)/N('Исходные данные'!$B$19))</f>
        <v>0</v>
      </c>
      <c r="AB181">
        <f>IF(OR(B181="",'Исходные данные'!$B$13=""),0,IF(AND(YEAR(B181)=YEAR('Исходные данные'!$B$13),MONTH(B181)=MONTH('Исходные данные'!$B$13)),-N('Исходные данные'!$B$11),0))</f>
        <v>0</v>
      </c>
      <c r="AC181">
        <f>IF(A181=1,-N('Исходные данные'!$B$19)*N('Исходные данные'!$B$72),0)</f>
        <v>0</v>
      </c>
      <c r="AD181">
        <f>IF(OR(B181="",'Исходные данные'!$B$22&lt;&gt;"Да",'Исходные данные'!$B$26=""),0,IF(AND(YEAR(B181)=YEAR('Исходные данные'!$B$26),MONTH(B181)=MONTH('Исходные данные'!$B$26)),N('Исходные данные'!$B$23),0))</f>
        <v>0</v>
      </c>
      <c r="AE181">
        <f t="shared" si="120"/>
        <v>0</v>
      </c>
      <c r="AF181">
        <f>IF(OR('Исходные данные'!$B$22&lt;&gt;"Да",'Исходные данные'!$B$26="",C181&lt;'Исходные данные'!$B$26),0,DATEDIF(DATE(YEAR('Исходные данные'!$B$26),MONTH('Исходные данные'!$B$26),1),B181,"m")+1)</f>
        <v>0</v>
      </c>
      <c r="AG181">
        <f>IF(OR(AF181&lt;1,AF181&gt;N('Исходные данные'!$B$25),AE181+AD181&lt;=0),0,-(AE181+AD181)*N('Исходные данные'!$B$24)*IF(AF181=1,C181-'Исходные данные'!$B$26+1,DAY(C181))/365)</f>
        <v>0</v>
      </c>
      <c r="AH181">
        <f>IF(OR(AF181&lt;1,AF181&gt;N('Исходные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данные'!$B$25)-AG181))</f>
        <v>0</v>
      </c>
      <c r="AI181">
        <f>IF(OR('Исходные данные'!$B$22&lt;&gt;"Да",AE181+AD181&lt;=0),0,IF(AND('Исходные данные'!$B$91&lt;&gt;"",B181&lt;&gt;"",YEAR(B181)=YEAR('Исходные данные'!$B$91),MONTH(B181)=MONTH('Исходные данные'!$B$91)),-(AE181+AD181),IF(OR(AF181&lt;1,AF181&gt;N('Исходные данные'!$B$25)),0,IF('Исходные данные'!$B$27="Равными долями",-MIN(AE181+AD181,N('Исходные данные'!$B$23)/N('Исходные данные'!$B$25)),-MIN(AE181+AD181,IF(AF181=N('Исходные данные'!$B$25),AE181+AD181,MAX(0,AH181+AG181)))))))</f>
        <v>0</v>
      </c>
      <c r="AJ181">
        <f t="shared" si="108"/>
        <v>0</v>
      </c>
      <c r="AK181">
        <f t="shared" si="109"/>
        <v>0</v>
      </c>
      <c r="AL181">
        <f>IF(OR(B181="",'Исходные данные'!$B$51&lt;&gt;"Да",'Исходные данные'!$B$61=""),0,IF(AND(YEAR(B181)=YEAR('Исходные данные'!$B$61),MONTH(B181)=MONTH('Исходные данные'!$B$61)),N('Исходные данные'!$B$18)*N('Исходные данные'!$B$62),0))</f>
        <v>0</v>
      </c>
      <c r="AM181">
        <f t="shared" si="121"/>
        <v>0</v>
      </c>
      <c r="AN181">
        <f t="shared" si="110"/>
        <v>0</v>
      </c>
      <c r="AO181">
        <f t="shared" si="111"/>
        <v>0</v>
      </c>
      <c r="AP181">
        <f>IF('Исходные данные'!$B$51="Да",-MAX(0,AN181-AO181-AM181),0)</f>
        <v>0</v>
      </c>
      <c r="AQ181">
        <f>IF('Исходные данные'!$B$51="Да",MAX(0,AM181+AO181-AN181),0)</f>
        <v>0</v>
      </c>
      <c r="AR181">
        <f>IF('Исходные данные'!$B$53="Выручка",MAX(0,L181+(Q181-R181)+(U181-V181)),IF('Исходные данные'!$B$53="Прибыль до налога",MAX(0,L181+(Q181-R181)+(U181-V181)+N('Исходные данные'!$B$54)*((O181+P181)+(S181+T181)+W181+X181)+IF('Исходные данные'!$B$55="Да",AG181,0)-N('Исходные данные'!$B$56)/12),IF('Исходные данные'!$B$53="Пользовательская база",MAX(0,N('Исходные данные'!$B$57)/12),0)))</f>
        <v>0</v>
      </c>
      <c r="AS181">
        <f>IF(E181=1,-AR181*N('Исходные данные'!$B$50),0)</f>
        <v>0</v>
      </c>
      <c r="AT181">
        <f t="shared" si="112"/>
        <v>0</v>
      </c>
      <c r="AU181">
        <f>IF(OR(B181="",N('Исходные данные'!$B$80)&lt;=0,'Исходные данные'!$B$88=""),0,MAX(0,IF('Исходные данные'!$B$88="Последние 12 месяцев",SUMIFS($Y$2:$Y$194,$B$2:$B$194,"&gt;="&amp;EDATE(B181,-11),$B$2:$B$194,"&lt;="&amp;B181),IF('Исходные данные'!$B$88="Пользовательский NOI",N('Исходные данные'!$B$89),AT181))/N('Исходные данные'!$B$80)*(1+N('Исходные данные'!$B$81))))</f>
        <v>0</v>
      </c>
      <c r="AV181">
        <f>IF(OR(E181&lt;&gt;1,B181="",'Исходные данные'!$B$91=""),0,IF(AND(YEAR(B181)=YEAR('Исходные данные'!$B$91),MONTH(B181)=MONTH('Исходные данные'!$B$91)),AU181,0))</f>
        <v>0</v>
      </c>
      <c r="AW181">
        <f>-AV181*N('Исходные данные'!$B$73)</f>
        <v>0</v>
      </c>
      <c r="AX181">
        <f>IF(AV181=0,0,-N('Исходные данные'!$B$87)-IF('Исходные данные'!$B$82="Да",IF('Исходные данные'!$B$84="С выручки",AV181,IF('Исходные данные'!$B$84="С прибыли",MAX(0,AV181+AW181-IF('Исходные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81">
        <f t="shared" si="113"/>
        <v>0</v>
      </c>
      <c r="AZ181">
        <f t="shared" si="114"/>
        <v>0</v>
      </c>
      <c r="BA181">
        <f t="shared" si="115"/>
        <v>0</v>
      </c>
      <c r="BB181" t="str">
        <f t="shared" si="122"/>
        <v/>
      </c>
      <c r="BC181">
        <f>IF(OR(E181=0,'Исходные данные'!$B$9="",'Исходные данные'!$B$90=""),0,BA181/(1+'Исходные данные'!$B$90)^((D181-'Исходные данные'!$B$9)/365))</f>
        <v>0</v>
      </c>
      <c r="BD181">
        <f>IF(AND(E181=1,BB181&gt;=0,BB180&lt;0,MIN($BB$2:BB181)&lt;0),1,0)</f>
        <v>0</v>
      </c>
      <c r="BE181">
        <f t="shared" si="116"/>
        <v>0</v>
      </c>
      <c r="BF181">
        <f t="shared" si="117"/>
        <v>0</v>
      </c>
      <c r="BG181">
        <f t="shared" si="118"/>
        <v>0</v>
      </c>
      <c r="BH181">
        <f t="shared" si="119"/>
        <v>1</v>
      </c>
      <c r="BI181">
        <f>AZ181+N181+AP181-AR181*N('Исходные данные'!$B$50)</f>
        <v>0</v>
      </c>
      <c r="BJ181">
        <f t="shared" si="102"/>
        <v>0</v>
      </c>
      <c r="BK181">
        <f>IF(AND(BJ181&gt;=0,BJ180&lt;0,MIN($BJ$2:BJ181)&lt;0),1,0)</f>
        <v>0</v>
      </c>
    </row>
    <row r="182" spans="1:63" x14ac:dyDescent="0.2">
      <c r="A182">
        <v>181</v>
      </c>
      <c r="B182" t="str">
        <f>IF('Исходные данные'!$B$9="","",EDATE(DATE(YEAR('Исходные данные'!$B$9),MONTH('Исходные данные'!$B$9),1),A182-1))</f>
        <v/>
      </c>
      <c r="C182" t="str">
        <f t="shared" si="103"/>
        <v/>
      </c>
      <c r="D182" t="str">
        <f>IF(B182="","",IF('Исходные данные'!$B$91&lt;&gt;"",IF(AND(YEAR(B182)=YEAR('Исходные данные'!$B$91),MONTH(B182)=MONTH('Исходные данные'!$B$91)),'Исходные данные'!$B$91,IF('Исходные данные'!$B$13&lt;&gt;"",IF(AND(YEAR(B182)=YEAR('Исходные данные'!$B$13),MONTH(B182)=MONTH('Исходные данные'!$B$13)),'Исходные данные'!$B$13,IF('Исходные данные'!$B$26&lt;&gt;"",IF(AND(YEAR(B182)=YEAR('Исходные данные'!$B$26),MONTH(B182)=MONTH('Исходные данные'!$B$26)),'Исходные данные'!$B$26,IF(A182=1,'Исходные данные'!$B$9,C182)),IF(A182=1,'Исходные данные'!$B$9,C182))),IF('Исходные данные'!$B$26&lt;&gt;"",IF(AND(YEAR(B182)=YEAR('Исходные данные'!$B$26),MONTH(B182)=MONTH('Исходные данные'!$B$26)),'Исходные данные'!$B$26,IF(A182=1,'Исходные данные'!$B$9,C182)),IF(A182=1,'Исходные данные'!$B$9,C182)))),IF('Исходные данные'!$B$13&lt;&gt;"",IF(AND(YEAR(B182)=YEAR('Исходные данные'!$B$13),MONTH(B182)=MONTH('Исходные данные'!$B$13)),'Исходные данные'!$B$13,IF('Исходные данные'!$B$26&lt;&gt;"",IF(AND(YEAR(B182)=YEAR('Исходные данные'!$B$26),MONTH(B182)=MONTH('Исходные данные'!$B$26)),'Исходные данные'!$B$26,IF(A182=1,'Исходные данные'!$B$9,C182)),IF(A182=1,'Исходные данные'!$B$9,C182))),IF('Исходные данные'!$B$26&lt;&gt;"",IF(AND(YEAR(B182)=YEAR('Исходные данные'!$B$26),MONTH(B182)=MONTH('Исходные данные'!$B$26)),'Исходные данные'!$B$26,IF(A182=1,'Исходные данные'!$B$9,C182)),IF(A182=1,'Исходные данные'!$B$9,C182)))))</f>
        <v/>
      </c>
      <c r="E182">
        <f>IF(OR(B182="",'Исходные данные'!$B$91=""),0,--(B182&lt;=DATE(YEAR('Исходные данные'!$B$91),MONTH('Исходные данные'!$B$91),1)))</f>
        <v>0</v>
      </c>
      <c r="F182">
        <f>IF(OR(B182="",'Исходные данные'!$B$30="",C182&lt;'Исходные данные'!$B$30),0,DATEDIF(DATE(YEAR('Исходные данные'!$B$30),MONTH('Исходные данные'!$B$30),1),B182,"m")+1)</f>
        <v>0</v>
      </c>
      <c r="G182">
        <f t="shared" si="104"/>
        <v>0</v>
      </c>
      <c r="H182">
        <f>IF(F182=0,0,IF(G182=1,N('Исходные данные'!$B$31),IF(G182=2,N('Исходные данные'!$B$32),IF(G182=3,N('Исходные данные'!$B$33),N('Исходные данные'!$B$33)*(1+N('Исходные данные'!$B$34))^(G182-3)))))</f>
        <v>0</v>
      </c>
      <c r="I182">
        <f>IF(OR(F182=0,N('Исходные данные'!$B$5)=0,H182=0),0,'Исходные данные'!$B$5*H182*IF(AND(B182&lt;='Исходные данные'!$B$30,C182&gt;='Исходные данные'!$B$30),(C182-'Исходные данные'!$B$30+1)/DAY(C182),1))</f>
        <v>0</v>
      </c>
      <c r="J182">
        <f>IF(AND(F182&gt;0,F182&lt;=N('Исходные данные'!$B$37)),-I182,0)</f>
        <v>0</v>
      </c>
      <c r="K182">
        <f>IF(OR(F182=0,F182&lt;=N('Исходные данные'!$B$37)),0,-(I182+J182)*N('Исходные данные'!$B$38))</f>
        <v>0</v>
      </c>
      <c r="L182">
        <f t="shared" si="105"/>
        <v>0</v>
      </c>
      <c r="M182">
        <f>IF('Исходные данные'!$B$51="Да",L182*N('Исходные данные'!$B$52),0)</f>
        <v>0</v>
      </c>
      <c r="N182">
        <f t="shared" si="106"/>
        <v>0</v>
      </c>
      <c r="O182">
        <f>IF(OR(B182="",IF('Исходные данные'!$B$45="",'Исходные данные'!$B$10,'Исходные данные'!$B$45)="",C182&lt;IF('Исходные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данные'!$B$45)),1),B182,"m")/12))*IF(AND(B182&lt;=IF('Исходные данные'!$B$45="",'Исходные данные'!$B$10,'Исходные данные'!$B$45),C182&gt;=IF('Исходные данные'!$B$45="",'Исходные данные'!$B$10,'Исходные данные'!$B$45)),(C182-IF('Исходные данные'!$B$45="",'Исходные данные'!$B$10,'Исходные данные'!$B$45)+1)/DAY(C182),1)*IF('Исходные данные'!$B$43="Без НДС",1+N('Исходные данные'!$B$44),1))</f>
        <v>0</v>
      </c>
      <c r="P182">
        <f>IF('Исходные данные'!$B$51="Да",-O182*N('Исходные данные'!$B$44)/(1+N('Исходные данные'!$B$44)),0)</f>
        <v>0</v>
      </c>
      <c r="Q182">
        <f>IF('Исходные данные'!$B$35="Да",-O182,0)</f>
        <v>0</v>
      </c>
      <c r="R182">
        <f>IF(AND('Исходные данные'!$B$51="Да",Q182&gt;0),Q182*N('Исходные данные'!$B$52)/(1+N('Исходные данные'!$B$52)),0)</f>
        <v>0</v>
      </c>
      <c r="S182">
        <f>IF(OR(B182="",IF('Исходные данные'!$B$45="",'Исходные данные'!$B$10,'Исходные данные'!$B$45)="",C182&lt;IF('Исходные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данные'!$B$45)),1),B182,"m")/12))*IF(AND(B182&lt;=IF('Исходные данные'!$B$45="",'Исходные данные'!$B$10,'Исходные данные'!$B$45),C182&gt;=IF('Исходные данные'!$B$45="",'Исходные данные'!$B$10,'Исходные данные'!$B$45)),(C182-IF('Исходные данные'!$B$45="",'Исходные данные'!$B$10,'Исходные данные'!$B$45)+1)/DAY(C182),1)*IF('Исходные данные'!$B$43="Без НДС",1+N('Исходные данные'!$B$44),1))</f>
        <v>0</v>
      </c>
      <c r="T182">
        <f>IF('Исходные данные'!$B$51="Да",-S182*N('Исходные данные'!$B$44)/(1+N('Исходные данные'!$B$44)),0)</f>
        <v>0</v>
      </c>
      <c r="U182">
        <f>IF('Исходные данные'!$B$36="Да",-S182,0)</f>
        <v>0</v>
      </c>
      <c r="V182">
        <f>IF(AND('Исходные данные'!$B$51="Да",U182&gt;0),U182*N('Исходные данные'!$B$52)/(1+N('Исходные данные'!$B$52)),0)</f>
        <v>0</v>
      </c>
      <c r="W182">
        <f>IF(OR(B182="",IF('Исходные данные'!$B$69="",'Исходные данные'!$B$10,'Исходные данные'!$B$69)="",C182&lt;IF('Исходные данные'!$B$69="",'Исходные данные'!$B$10,'Исходные данные'!$B$69)),0,-N('Исходные данные'!$B$16)*N('Исходные данные'!$B$68)*N('Исходные данные'!$B$67)/12*IF(AND(B182&lt;=IF('Исходные данные'!$B$69="",'Исходные данные'!$B$10,'Исходные данные'!$B$69),C182&gt;=IF('Исходные данные'!$B$69="",'Исходные данные'!$B$10,'Исходные данные'!$B$69)),(C182-IF('Исходные данные'!$B$69="",'Исходные данные'!$B$10,'Исходные данные'!$B$69)+1)/DAY(C182),1))</f>
        <v>0</v>
      </c>
      <c r="X182">
        <f>IF(OR(B182="",IF('Исходные данные'!$B$76="",'Исходные данные'!$B$10,'Исходные данные'!$B$76)="",C182&lt;IF('Исходные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данные'!$B$76)),1),B182,"m")/12))*IF(AND(B182&lt;=IF('Исходные данные'!$B$76="",'Исходные данные'!$B$10,'Исходные данные'!$B$76),C182&gt;=IF('Исходные данные'!$B$76="",'Исходные данные'!$B$10,'Исходные данные'!$B$76)),(C182-IF('Исходные данные'!$B$76="",'Исходные данные'!$B$10,'Исходные данные'!$B$76)+1)/DAY(C182),1))</f>
        <v>0</v>
      </c>
      <c r="Y182">
        <f t="shared" si="107"/>
        <v>0</v>
      </c>
      <c r="Z182">
        <f>IF(OR(B182="",N('Исходные данные'!$B$19)=0),0,-SUMIFS('Исходные данные'!$I$6:$I$186,'Исходные данные'!$F$6:$F$186,B182)*N('Исходные данные'!$B$17)/N('Исходные данные'!$B$19))</f>
        <v>0</v>
      </c>
      <c r="AA182">
        <f>IF(OR(B182="",N('Исходные данные'!$B$19)=0),0,-SUMIFS('Исходные данные'!$I$6:$I$186,'Исходные данные'!$F$6:$F$186,B182)*N('Исходные данные'!$B$18)/N('Исходные данные'!$B$19))</f>
        <v>0</v>
      </c>
      <c r="AB182">
        <f>IF(OR(B182="",'Исходные данные'!$B$13=""),0,IF(AND(YEAR(B182)=YEAR('Исходные данные'!$B$13),MONTH(B182)=MONTH('Исходные данные'!$B$13)),-N('Исходные данные'!$B$11),0))</f>
        <v>0</v>
      </c>
      <c r="AC182">
        <f>IF(A182=1,-N('Исходные данные'!$B$19)*N('Исходные данные'!$B$72),0)</f>
        <v>0</v>
      </c>
      <c r="AD182">
        <f>IF(OR(B182="",'Исходные данные'!$B$22&lt;&gt;"Да",'Исходные данные'!$B$26=""),0,IF(AND(YEAR(B182)=YEAR('Исходные данные'!$B$26),MONTH(B182)=MONTH('Исходные данные'!$B$26)),N('Исходные данные'!$B$23),0))</f>
        <v>0</v>
      </c>
      <c r="AE182">
        <f t="shared" si="120"/>
        <v>0</v>
      </c>
      <c r="AF182">
        <f>IF(OR('Исходные данные'!$B$22&lt;&gt;"Да",'Исходные данные'!$B$26="",C182&lt;'Исходные данные'!$B$26),0,DATEDIF(DATE(YEAR('Исходные данные'!$B$26),MONTH('Исходные данные'!$B$26),1),B182,"m")+1)</f>
        <v>0</v>
      </c>
      <c r="AG182">
        <f>IF(OR(AF182&lt;1,AF182&gt;N('Исходные данные'!$B$25),AE182+AD182&lt;=0),0,-(AE182+AD182)*N('Исходные данные'!$B$24)*IF(AF182=1,C182-'Исходные данные'!$B$26+1,DAY(C182))/365)</f>
        <v>0</v>
      </c>
      <c r="AH182">
        <f>IF(OR(AF182&lt;1,AF182&gt;N('Исходные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данные'!$B$25)-AG182))</f>
        <v>0</v>
      </c>
      <c r="AI182">
        <f>IF(OR('Исходные данные'!$B$22&lt;&gt;"Да",AE182+AD182&lt;=0),0,IF(AND('Исходные данные'!$B$91&lt;&gt;"",B182&lt;&gt;"",YEAR(B182)=YEAR('Исходные данные'!$B$91),MONTH(B182)=MONTH('Исходные данные'!$B$91)),-(AE182+AD182),IF(OR(AF182&lt;1,AF182&gt;N('Исходные данные'!$B$25)),0,IF('Исходные данные'!$B$27="Равными долями",-MIN(AE182+AD182,N('Исходные данные'!$B$23)/N('Исходные данные'!$B$25)),-MIN(AE182+AD182,IF(AF182=N('Исходные данные'!$B$25),AE182+AD182,MAX(0,AH182+AG182)))))))</f>
        <v>0</v>
      </c>
      <c r="AJ182">
        <f t="shared" si="108"/>
        <v>0</v>
      </c>
      <c r="AK182">
        <f t="shared" si="109"/>
        <v>0</v>
      </c>
      <c r="AL182">
        <f>IF(OR(B182="",'Исходные данные'!$B$51&lt;&gt;"Да",'Исходные данные'!$B$61=""),0,IF(AND(YEAR(B182)=YEAR('Исходные данные'!$B$61),MONTH(B182)=MONTH('Исходные данные'!$B$61)),N('Исходные данные'!$B$18)*N('Исходные данные'!$B$62),0))</f>
        <v>0</v>
      </c>
      <c r="AM182">
        <f t="shared" si="121"/>
        <v>0</v>
      </c>
      <c r="AN182">
        <f t="shared" si="110"/>
        <v>0</v>
      </c>
      <c r="AO182">
        <f t="shared" si="111"/>
        <v>0</v>
      </c>
      <c r="AP182">
        <f>IF('Исходные данные'!$B$51="Да",-MAX(0,AN182-AO182-AM182),0)</f>
        <v>0</v>
      </c>
      <c r="AQ182">
        <f>IF('Исходные данные'!$B$51="Да",MAX(0,AM182+AO182-AN182),0)</f>
        <v>0</v>
      </c>
      <c r="AR182">
        <f>IF('Исходные данные'!$B$53="Выручка",MAX(0,L182+(Q182-R182)+(U182-V182)),IF('Исходные данные'!$B$53="Прибыль до налога",MAX(0,L182+(Q182-R182)+(U182-V182)+N('Исходные данные'!$B$54)*((O182+P182)+(S182+T182)+W182+X182)+IF('Исходные данные'!$B$55="Да",AG182,0)-N('Исходные данные'!$B$56)/12),IF('Исходные данные'!$B$53="Пользовательская база",MAX(0,N('Исходные данные'!$B$57)/12),0)))</f>
        <v>0</v>
      </c>
      <c r="AS182">
        <f>IF(E182=1,-AR182*N('Исходные данные'!$B$50),0)</f>
        <v>0</v>
      </c>
      <c r="AT182">
        <f t="shared" si="112"/>
        <v>0</v>
      </c>
      <c r="AU182">
        <f>IF(OR(B182="",N('Исходные данные'!$B$80)&lt;=0,'Исходные данные'!$B$88=""),0,MAX(0,IF('Исходные данные'!$B$88="Последние 12 месяцев",SUMIFS($Y$2:$Y$194,$B$2:$B$194,"&gt;="&amp;EDATE(B182,-11),$B$2:$B$194,"&lt;="&amp;B182),IF('Исходные данные'!$B$88="Пользовательский NOI",N('Исходные данные'!$B$89),AT182))/N('Исходные данные'!$B$80)*(1+N('Исходные данные'!$B$81))))</f>
        <v>0</v>
      </c>
      <c r="AV182">
        <f>IF(OR(E182&lt;&gt;1,B182="",'Исходные данные'!$B$91=""),0,IF(AND(YEAR(B182)=YEAR('Исходные данные'!$B$91),MONTH(B182)=MONTH('Исходные данные'!$B$91)),AU182,0))</f>
        <v>0</v>
      </c>
      <c r="AW182">
        <f>-AV182*N('Исходные данные'!$B$73)</f>
        <v>0</v>
      </c>
      <c r="AX182">
        <f>IF(AV182=0,0,-N('Исходные данные'!$B$87)-IF('Исходные данные'!$B$82="Да",IF('Исходные данные'!$B$84="С выручки",AV182,IF('Исходные данные'!$B$84="С прибыли",MAX(0,AV182+AW182-IF('Исходные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82">
        <f t="shared" si="113"/>
        <v>0</v>
      </c>
      <c r="AZ182">
        <f t="shared" si="114"/>
        <v>0</v>
      </c>
      <c r="BA182">
        <f t="shared" si="115"/>
        <v>0</v>
      </c>
      <c r="BB182" t="str">
        <f t="shared" si="122"/>
        <v/>
      </c>
      <c r="BC182">
        <f>IF(OR(E182=0,'Исходные данные'!$B$9="",'Исходные данные'!$B$90=""),0,BA182/(1+'Исходные данные'!$B$90)^((D182-'Исходные данные'!$B$9)/365))</f>
        <v>0</v>
      </c>
      <c r="BD182">
        <f>IF(AND(E182=1,BB182&gt;=0,BB181&lt;0,MIN($BB$2:BB182)&lt;0),1,0)</f>
        <v>0</v>
      </c>
      <c r="BE182">
        <f t="shared" si="116"/>
        <v>0</v>
      </c>
      <c r="BF182">
        <f t="shared" si="117"/>
        <v>0</v>
      </c>
      <c r="BG182">
        <f t="shared" si="118"/>
        <v>0</v>
      </c>
      <c r="BH182">
        <f t="shared" si="119"/>
        <v>1</v>
      </c>
      <c r="BI182">
        <f>AZ182+N182+AP182-AR182*N('Исходные данные'!$B$50)</f>
        <v>0</v>
      </c>
      <c r="BJ182">
        <f t="shared" si="102"/>
        <v>0</v>
      </c>
      <c r="BK182">
        <f>IF(AND(BJ182&gt;=0,BJ181&lt;0,MIN($BJ$2:BJ182)&lt;0),1,0)</f>
        <v>0</v>
      </c>
    </row>
    <row r="183" spans="1:63" x14ac:dyDescent="0.2">
      <c r="A183">
        <v>182</v>
      </c>
      <c r="B183" t="str">
        <f>IF('Исходные данные'!$B$9="","",EDATE(DATE(YEAR('Исходные данные'!$B$9),MONTH('Исходные данные'!$B$9),1),A183-1))</f>
        <v/>
      </c>
      <c r="C183" t="str">
        <f t="shared" si="103"/>
        <v/>
      </c>
      <c r="D183" t="str">
        <f>IF(B183="","",IF('Исходные данные'!$B$91&lt;&gt;"",IF(AND(YEAR(B183)=YEAR('Исходные данные'!$B$91),MONTH(B183)=MONTH('Исходные данные'!$B$91)),'Исходные данные'!$B$91,IF('Исходные данные'!$B$13&lt;&gt;"",IF(AND(YEAR(B183)=YEAR('Исходные данные'!$B$13),MONTH(B183)=MONTH('Исходные данные'!$B$13)),'Исходные данные'!$B$13,IF('Исходные данные'!$B$26&lt;&gt;"",IF(AND(YEAR(B183)=YEAR('Исходные данные'!$B$26),MONTH(B183)=MONTH('Исходные данные'!$B$26)),'Исходные данные'!$B$26,IF(A183=1,'Исходные данные'!$B$9,C183)),IF(A183=1,'Исходные данные'!$B$9,C183))),IF('Исходные данные'!$B$26&lt;&gt;"",IF(AND(YEAR(B183)=YEAR('Исходные данные'!$B$26),MONTH(B183)=MONTH('Исходные данные'!$B$26)),'Исходные данные'!$B$26,IF(A183=1,'Исходные данные'!$B$9,C183)),IF(A183=1,'Исходные данные'!$B$9,C183)))),IF('Исходные данные'!$B$13&lt;&gt;"",IF(AND(YEAR(B183)=YEAR('Исходные данные'!$B$13),MONTH(B183)=MONTH('Исходные данные'!$B$13)),'Исходные данные'!$B$13,IF('Исходные данные'!$B$26&lt;&gt;"",IF(AND(YEAR(B183)=YEAR('Исходные данные'!$B$26),MONTH(B183)=MONTH('Исходные данные'!$B$26)),'Исходные данные'!$B$26,IF(A183=1,'Исходные данные'!$B$9,C183)),IF(A183=1,'Исходные данные'!$B$9,C183))),IF('Исходные данные'!$B$26&lt;&gt;"",IF(AND(YEAR(B183)=YEAR('Исходные данные'!$B$26),MONTH(B183)=MONTH('Исходные данные'!$B$26)),'Исходные данные'!$B$26,IF(A183=1,'Исходные данные'!$B$9,C183)),IF(A183=1,'Исходные данные'!$B$9,C183)))))</f>
        <v/>
      </c>
      <c r="E183">
        <f>IF(OR(B183="",'Исходные данные'!$B$91=""),0,--(B183&lt;=DATE(YEAR('Исходные данные'!$B$91),MONTH('Исходные данные'!$B$91),1)))</f>
        <v>0</v>
      </c>
      <c r="F183">
        <f>IF(OR(B183="",'Исходные данные'!$B$30="",C183&lt;'Исходные данные'!$B$30),0,DATEDIF(DATE(YEAR('Исходные данные'!$B$30),MONTH('Исходные данные'!$B$30),1),B183,"m")+1)</f>
        <v>0</v>
      </c>
      <c r="G183">
        <f t="shared" si="104"/>
        <v>0</v>
      </c>
      <c r="H183">
        <f>IF(F183=0,0,IF(G183=1,N('Исходные данные'!$B$31),IF(G183=2,N('Исходные данные'!$B$32),IF(G183=3,N('Исходные данные'!$B$33),N('Исходные данные'!$B$33)*(1+N('Исходные данные'!$B$34))^(G183-3)))))</f>
        <v>0</v>
      </c>
      <c r="I183">
        <f>IF(OR(F183=0,N('Исходные данные'!$B$5)=0,H183=0),0,'Исходные данные'!$B$5*H183*IF(AND(B183&lt;='Исходные данные'!$B$30,C183&gt;='Исходные данные'!$B$30),(C183-'Исходные данные'!$B$30+1)/DAY(C183),1))</f>
        <v>0</v>
      </c>
      <c r="J183">
        <f>IF(AND(F183&gt;0,F183&lt;=N('Исходные данные'!$B$37)),-I183,0)</f>
        <v>0</v>
      </c>
      <c r="K183">
        <f>IF(OR(F183=0,F183&lt;=N('Исходные данные'!$B$37)),0,-(I183+J183)*N('Исходные данные'!$B$38))</f>
        <v>0</v>
      </c>
      <c r="L183">
        <f t="shared" si="105"/>
        <v>0</v>
      </c>
      <c r="M183">
        <f>IF('Исходные данные'!$B$51="Да",L183*N('Исходные данные'!$B$52),0)</f>
        <v>0</v>
      </c>
      <c r="N183">
        <f t="shared" si="106"/>
        <v>0</v>
      </c>
      <c r="O183">
        <f>IF(OR(B183="",IF('Исходные данные'!$B$45="",'Исходные данные'!$B$10,'Исходные данные'!$B$45)="",C183&lt;IF('Исходные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данные'!$B$45)),1),B183,"m")/12))*IF(AND(B183&lt;=IF('Исходные данные'!$B$45="",'Исходные данные'!$B$10,'Исходные данные'!$B$45),C183&gt;=IF('Исходные данные'!$B$45="",'Исходные данные'!$B$10,'Исходные данные'!$B$45)),(C183-IF('Исходные данные'!$B$45="",'Исходные данные'!$B$10,'Исходные данные'!$B$45)+1)/DAY(C183),1)*IF('Исходные данные'!$B$43="Без НДС",1+N('Исходные данные'!$B$44),1))</f>
        <v>0</v>
      </c>
      <c r="P183">
        <f>IF('Исходные данные'!$B$51="Да",-O183*N('Исходные данные'!$B$44)/(1+N('Исходные данные'!$B$44)),0)</f>
        <v>0</v>
      </c>
      <c r="Q183">
        <f>IF('Исходные данные'!$B$35="Да",-O183,0)</f>
        <v>0</v>
      </c>
      <c r="R183">
        <f>IF(AND('Исходные данные'!$B$51="Да",Q183&gt;0),Q183*N('Исходные данные'!$B$52)/(1+N('Исходные данные'!$B$52)),0)</f>
        <v>0</v>
      </c>
      <c r="S183">
        <f>IF(OR(B183="",IF('Исходные данные'!$B$45="",'Исходные данные'!$B$10,'Исходные данные'!$B$45)="",C183&lt;IF('Исходные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данные'!$B$45)),1),B183,"m")/12))*IF(AND(B183&lt;=IF('Исходные данные'!$B$45="",'Исходные данные'!$B$10,'Исходные данные'!$B$45),C183&gt;=IF('Исходные данные'!$B$45="",'Исходные данные'!$B$10,'Исходные данные'!$B$45)),(C183-IF('Исходные данные'!$B$45="",'Исходные данные'!$B$10,'Исходные данные'!$B$45)+1)/DAY(C183),1)*IF('Исходные данные'!$B$43="Без НДС",1+N('Исходные данные'!$B$44),1))</f>
        <v>0</v>
      </c>
      <c r="T183">
        <f>IF('Исходные данные'!$B$51="Да",-S183*N('Исходные данные'!$B$44)/(1+N('Исходные данные'!$B$44)),0)</f>
        <v>0</v>
      </c>
      <c r="U183">
        <f>IF('Исходные данные'!$B$36="Да",-S183,0)</f>
        <v>0</v>
      </c>
      <c r="V183">
        <f>IF(AND('Исходные данные'!$B$51="Да",U183&gt;0),U183*N('Исходные данные'!$B$52)/(1+N('Исходные данные'!$B$52)),0)</f>
        <v>0</v>
      </c>
      <c r="W183">
        <f>IF(OR(B183="",IF('Исходные данные'!$B$69="",'Исходные данные'!$B$10,'Исходные данные'!$B$69)="",C183&lt;IF('Исходные данные'!$B$69="",'Исходные данные'!$B$10,'Исходные данные'!$B$69)),0,-N('Исходные данные'!$B$16)*N('Исходные данные'!$B$68)*N('Исходные данные'!$B$67)/12*IF(AND(B183&lt;=IF('Исходные данные'!$B$69="",'Исходные данные'!$B$10,'Исходные данные'!$B$69),C183&gt;=IF('Исходные данные'!$B$69="",'Исходные данные'!$B$10,'Исходные данные'!$B$69)),(C183-IF('Исходные данные'!$B$69="",'Исходные данные'!$B$10,'Исходные данные'!$B$69)+1)/DAY(C183),1))</f>
        <v>0</v>
      </c>
      <c r="X183">
        <f>IF(OR(B183="",IF('Исходные данные'!$B$76="",'Исходные данные'!$B$10,'Исходные данные'!$B$76)="",C183&lt;IF('Исходные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данные'!$B$76)),1),B183,"m")/12))*IF(AND(B183&lt;=IF('Исходные данные'!$B$76="",'Исходные данные'!$B$10,'Исходные данные'!$B$76),C183&gt;=IF('Исходные данные'!$B$76="",'Исходные данные'!$B$10,'Исходные данные'!$B$76)),(C183-IF('Исходные данные'!$B$76="",'Исходные данные'!$B$10,'Исходные данные'!$B$76)+1)/DAY(C183),1))</f>
        <v>0</v>
      </c>
      <c r="Y183">
        <f t="shared" si="107"/>
        <v>0</v>
      </c>
      <c r="Z183">
        <f>IF(OR(B183="",N('Исходные данные'!$B$19)=0),0,-SUMIFS('Исходные данные'!$I$6:$I$186,'Исходные данные'!$F$6:$F$186,B183)*N('Исходные данные'!$B$17)/N('Исходные данные'!$B$19))</f>
        <v>0</v>
      </c>
      <c r="AA183">
        <f>IF(OR(B183="",N('Исходные данные'!$B$19)=0),0,-SUMIFS('Исходные данные'!$I$6:$I$186,'Исходные данные'!$F$6:$F$186,B183)*N('Исходные данные'!$B$18)/N('Исходные данные'!$B$19))</f>
        <v>0</v>
      </c>
      <c r="AB183">
        <f>IF(OR(B183="",'Исходные данные'!$B$13=""),0,IF(AND(YEAR(B183)=YEAR('Исходные данные'!$B$13),MONTH(B183)=MONTH('Исходные данные'!$B$13)),-N('Исходные данные'!$B$11),0))</f>
        <v>0</v>
      </c>
      <c r="AC183">
        <f>IF(A183=1,-N('Исходные данные'!$B$19)*N('Исходные данные'!$B$72),0)</f>
        <v>0</v>
      </c>
      <c r="AD183">
        <f>IF(OR(B183="",'Исходные данные'!$B$22&lt;&gt;"Да",'Исходные данные'!$B$26=""),0,IF(AND(YEAR(B183)=YEAR('Исходные данные'!$B$26),MONTH(B183)=MONTH('Исходные данные'!$B$26)),N('Исходные данные'!$B$23),0))</f>
        <v>0</v>
      </c>
      <c r="AE183">
        <f t="shared" si="120"/>
        <v>0</v>
      </c>
      <c r="AF183">
        <f>IF(OR('Исходные данные'!$B$22&lt;&gt;"Да",'Исходные данные'!$B$26="",C183&lt;'Исходные данные'!$B$26),0,DATEDIF(DATE(YEAR('Исходные данные'!$B$26),MONTH('Исходные данные'!$B$26),1),B183,"m")+1)</f>
        <v>0</v>
      </c>
      <c r="AG183">
        <f>IF(OR(AF183&lt;1,AF183&gt;N('Исходные данные'!$B$25),AE183+AD183&lt;=0),0,-(AE183+AD183)*N('Исходные данные'!$B$24)*IF(AF183=1,C183-'Исходные данные'!$B$26+1,DAY(C183))/365)</f>
        <v>0</v>
      </c>
      <c r="AH183">
        <f>IF(OR(AF183&lt;1,AF183&gt;N('Исходные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данные'!$B$25)-AG183))</f>
        <v>0</v>
      </c>
      <c r="AI183">
        <f>IF(OR('Исходные данные'!$B$22&lt;&gt;"Да",AE183+AD183&lt;=0),0,IF(AND('Исходные данные'!$B$91&lt;&gt;"",B183&lt;&gt;"",YEAR(B183)=YEAR('Исходные данные'!$B$91),MONTH(B183)=MONTH('Исходные данные'!$B$91)),-(AE183+AD183),IF(OR(AF183&lt;1,AF183&gt;N('Исходные данные'!$B$25)),0,IF('Исходные данные'!$B$27="Равными долями",-MIN(AE183+AD183,N('Исходные данные'!$B$23)/N('Исходные данные'!$B$25)),-MIN(AE183+AD183,IF(AF183=N('Исходные данные'!$B$25),AE183+AD183,MAX(0,AH183+AG183)))))))</f>
        <v>0</v>
      </c>
      <c r="AJ183">
        <f t="shared" si="108"/>
        <v>0</v>
      </c>
      <c r="AK183">
        <f t="shared" si="109"/>
        <v>0</v>
      </c>
      <c r="AL183">
        <f>IF(OR(B183="",'Исходные данные'!$B$51&lt;&gt;"Да",'Исходные данные'!$B$61=""),0,IF(AND(YEAR(B183)=YEAR('Исходные данные'!$B$61),MONTH(B183)=MONTH('Исходные данные'!$B$61)),N('Исходные данные'!$B$18)*N('Исходные данные'!$B$62),0))</f>
        <v>0</v>
      </c>
      <c r="AM183">
        <f t="shared" si="121"/>
        <v>0</v>
      </c>
      <c r="AN183">
        <f t="shared" si="110"/>
        <v>0</v>
      </c>
      <c r="AO183">
        <f t="shared" si="111"/>
        <v>0</v>
      </c>
      <c r="AP183">
        <f>IF('Исходные данные'!$B$51="Да",-MAX(0,AN183-AO183-AM183),0)</f>
        <v>0</v>
      </c>
      <c r="AQ183">
        <f>IF('Исходные данные'!$B$51="Да",MAX(0,AM183+AO183-AN183),0)</f>
        <v>0</v>
      </c>
      <c r="AR183">
        <f>IF('Исходные данные'!$B$53="Выручка",MAX(0,L183+(Q183-R183)+(U183-V183)),IF('Исходные данные'!$B$53="Прибыль до налога",MAX(0,L183+(Q183-R183)+(U183-V183)+N('Исходные данные'!$B$54)*((O183+P183)+(S183+T183)+W183+X183)+IF('Исходные данные'!$B$55="Да",AG183,0)-N('Исходные данные'!$B$56)/12),IF('Исходные данные'!$B$53="Пользовательская база",MAX(0,N('Исходные данные'!$B$57)/12),0)))</f>
        <v>0</v>
      </c>
      <c r="AS183">
        <f>IF(E183=1,-AR183*N('Исходные данные'!$B$50),0)</f>
        <v>0</v>
      </c>
      <c r="AT183">
        <f t="shared" si="112"/>
        <v>0</v>
      </c>
      <c r="AU183">
        <f>IF(OR(B183="",N('Исходные данные'!$B$80)&lt;=0,'Исходные данные'!$B$88=""),0,MAX(0,IF('Исходные данные'!$B$88="Последние 12 месяцев",SUMIFS($Y$2:$Y$194,$B$2:$B$194,"&gt;="&amp;EDATE(B183,-11),$B$2:$B$194,"&lt;="&amp;B183),IF('Исходные данные'!$B$88="Пользовательский NOI",N('Исходные данные'!$B$89),AT183))/N('Исходные данные'!$B$80)*(1+N('Исходные данные'!$B$81))))</f>
        <v>0</v>
      </c>
      <c r="AV183">
        <f>IF(OR(E183&lt;&gt;1,B183="",'Исходные данные'!$B$91=""),0,IF(AND(YEAR(B183)=YEAR('Исходные данные'!$B$91),MONTH(B183)=MONTH('Исходные данные'!$B$91)),AU183,0))</f>
        <v>0</v>
      </c>
      <c r="AW183">
        <f>-AV183*N('Исходные данные'!$B$73)</f>
        <v>0</v>
      </c>
      <c r="AX183">
        <f>IF(AV183=0,0,-N('Исходные данные'!$B$87)-IF('Исходные данные'!$B$82="Да",IF('Исходные данные'!$B$84="С выручки",AV183,IF('Исходные данные'!$B$84="С прибыли",MAX(0,AV183+AW183-IF('Исходные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83">
        <f t="shared" si="113"/>
        <v>0</v>
      </c>
      <c r="AZ183">
        <f t="shared" si="114"/>
        <v>0</v>
      </c>
      <c r="BA183">
        <f t="shared" si="115"/>
        <v>0</v>
      </c>
      <c r="BB183" t="str">
        <f t="shared" si="122"/>
        <v/>
      </c>
      <c r="BC183">
        <f>IF(OR(E183=0,'Исходные данные'!$B$9="",'Исходные данные'!$B$90=""),0,BA183/(1+'Исходные данные'!$B$90)^((D183-'Исходные данные'!$B$9)/365))</f>
        <v>0</v>
      </c>
      <c r="BD183">
        <f>IF(AND(E183=1,BB183&gt;=0,BB182&lt;0,MIN($BB$2:BB183)&lt;0),1,0)</f>
        <v>0</v>
      </c>
      <c r="BE183">
        <f t="shared" si="116"/>
        <v>0</v>
      </c>
      <c r="BF183">
        <f t="shared" si="117"/>
        <v>0</v>
      </c>
      <c r="BG183">
        <f t="shared" si="118"/>
        <v>0</v>
      </c>
      <c r="BH183">
        <f t="shared" si="119"/>
        <v>1</v>
      </c>
      <c r="BI183">
        <f>AZ183+N183+AP183-AR183*N('Исходные данные'!$B$50)</f>
        <v>0</v>
      </c>
      <c r="BJ183">
        <f t="shared" si="102"/>
        <v>0</v>
      </c>
      <c r="BK183">
        <f>IF(AND(BJ183&gt;=0,BJ182&lt;0,MIN($BJ$2:BJ183)&lt;0),1,0)</f>
        <v>0</v>
      </c>
    </row>
    <row r="184" spans="1:63" x14ac:dyDescent="0.2">
      <c r="A184">
        <v>183</v>
      </c>
      <c r="B184" t="str">
        <f>IF('Исходные данные'!$B$9="","",EDATE(DATE(YEAR('Исходные данные'!$B$9),MONTH('Исходные данные'!$B$9),1),A184-1))</f>
        <v/>
      </c>
      <c r="C184" t="str">
        <f t="shared" si="103"/>
        <v/>
      </c>
      <c r="D184" t="str">
        <f>IF(B184="","",IF('Исходные данные'!$B$91&lt;&gt;"",IF(AND(YEAR(B184)=YEAR('Исходные данные'!$B$91),MONTH(B184)=MONTH('Исходные данные'!$B$91)),'Исходные данные'!$B$91,IF('Исходные данные'!$B$13&lt;&gt;"",IF(AND(YEAR(B184)=YEAR('Исходные данные'!$B$13),MONTH(B184)=MONTH('Исходные данные'!$B$13)),'Исходные данные'!$B$13,IF('Исходные данные'!$B$26&lt;&gt;"",IF(AND(YEAR(B184)=YEAR('Исходные данные'!$B$26),MONTH(B184)=MONTH('Исходные данные'!$B$26)),'Исходные данные'!$B$26,IF(A184=1,'Исходные данные'!$B$9,C184)),IF(A184=1,'Исходные данные'!$B$9,C184))),IF('Исходные данные'!$B$26&lt;&gt;"",IF(AND(YEAR(B184)=YEAR('Исходные данные'!$B$26),MONTH(B184)=MONTH('Исходные данные'!$B$26)),'Исходные данные'!$B$26,IF(A184=1,'Исходные данные'!$B$9,C184)),IF(A184=1,'Исходные данные'!$B$9,C184)))),IF('Исходные данные'!$B$13&lt;&gt;"",IF(AND(YEAR(B184)=YEAR('Исходные данные'!$B$13),MONTH(B184)=MONTH('Исходные данные'!$B$13)),'Исходные данные'!$B$13,IF('Исходные данные'!$B$26&lt;&gt;"",IF(AND(YEAR(B184)=YEAR('Исходные данные'!$B$26),MONTH(B184)=MONTH('Исходные данные'!$B$26)),'Исходные данные'!$B$26,IF(A184=1,'Исходные данные'!$B$9,C184)),IF(A184=1,'Исходные данные'!$B$9,C184))),IF('Исходные данные'!$B$26&lt;&gt;"",IF(AND(YEAR(B184)=YEAR('Исходные данные'!$B$26),MONTH(B184)=MONTH('Исходные данные'!$B$26)),'Исходные данные'!$B$26,IF(A184=1,'Исходные данные'!$B$9,C184)),IF(A184=1,'Исходные данные'!$B$9,C184)))))</f>
        <v/>
      </c>
      <c r="E184">
        <f>IF(OR(B184="",'Исходные данные'!$B$91=""),0,--(B184&lt;=DATE(YEAR('Исходные данные'!$B$91),MONTH('Исходные данные'!$B$91),1)))</f>
        <v>0</v>
      </c>
      <c r="F184">
        <f>IF(OR(B184="",'Исходные данные'!$B$30="",C184&lt;'Исходные данные'!$B$30),0,DATEDIF(DATE(YEAR('Исходные данные'!$B$30),MONTH('Исходные данные'!$B$30),1),B184,"m")+1)</f>
        <v>0</v>
      </c>
      <c r="G184">
        <f t="shared" si="104"/>
        <v>0</v>
      </c>
      <c r="H184">
        <f>IF(F184=0,0,IF(G184=1,N('Исходные данные'!$B$31),IF(G184=2,N('Исходные данные'!$B$32),IF(G184=3,N('Исходные данные'!$B$33),N('Исходные данные'!$B$33)*(1+N('Исходные данные'!$B$34))^(G184-3)))))</f>
        <v>0</v>
      </c>
      <c r="I184">
        <f>IF(OR(F184=0,N('Исходные данные'!$B$5)=0,H184=0),0,'Исходные данные'!$B$5*H184*IF(AND(B184&lt;='Исходные данные'!$B$30,C184&gt;='Исходные данные'!$B$30),(C184-'Исходные данные'!$B$30+1)/DAY(C184),1))</f>
        <v>0</v>
      </c>
      <c r="J184">
        <f>IF(AND(F184&gt;0,F184&lt;=N('Исходные данные'!$B$37)),-I184,0)</f>
        <v>0</v>
      </c>
      <c r="K184">
        <f>IF(OR(F184=0,F184&lt;=N('Исходные данные'!$B$37)),0,-(I184+J184)*N('Исходные данные'!$B$38))</f>
        <v>0</v>
      </c>
      <c r="L184">
        <f t="shared" si="105"/>
        <v>0</v>
      </c>
      <c r="M184">
        <f>IF('Исходные данные'!$B$51="Да",L184*N('Исходные данные'!$B$52),0)</f>
        <v>0</v>
      </c>
      <c r="N184">
        <f t="shared" si="106"/>
        <v>0</v>
      </c>
      <c r="O184">
        <f>IF(OR(B184="",IF('Исходные данные'!$B$45="",'Исходные данные'!$B$10,'Исходные данные'!$B$45)="",C184&lt;IF('Исходные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данные'!$B$45)),1),B184,"m")/12))*IF(AND(B184&lt;=IF('Исходные данные'!$B$45="",'Исходные данные'!$B$10,'Исходные данные'!$B$45),C184&gt;=IF('Исходные данные'!$B$45="",'Исходные данные'!$B$10,'Исходные данные'!$B$45)),(C184-IF('Исходные данные'!$B$45="",'Исходные данные'!$B$10,'Исходные данные'!$B$45)+1)/DAY(C184),1)*IF('Исходные данные'!$B$43="Без НДС",1+N('Исходные данные'!$B$44),1))</f>
        <v>0</v>
      </c>
      <c r="P184">
        <f>IF('Исходные данные'!$B$51="Да",-O184*N('Исходные данные'!$B$44)/(1+N('Исходные данные'!$B$44)),0)</f>
        <v>0</v>
      </c>
      <c r="Q184">
        <f>IF('Исходные данные'!$B$35="Да",-O184,0)</f>
        <v>0</v>
      </c>
      <c r="R184">
        <f>IF(AND('Исходные данные'!$B$51="Да",Q184&gt;0),Q184*N('Исходные данные'!$B$52)/(1+N('Исходные данные'!$B$52)),0)</f>
        <v>0</v>
      </c>
      <c r="S184">
        <f>IF(OR(B184="",IF('Исходные данные'!$B$45="",'Исходные данные'!$B$10,'Исходные данные'!$B$45)="",C184&lt;IF('Исходные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данные'!$B$45)),1),B184,"m")/12))*IF(AND(B184&lt;=IF('Исходные данные'!$B$45="",'Исходные данные'!$B$10,'Исходные данные'!$B$45),C184&gt;=IF('Исходные данные'!$B$45="",'Исходные данные'!$B$10,'Исходные данные'!$B$45)),(C184-IF('Исходные данные'!$B$45="",'Исходные данные'!$B$10,'Исходные данные'!$B$45)+1)/DAY(C184),1)*IF('Исходные данные'!$B$43="Без НДС",1+N('Исходные данные'!$B$44),1))</f>
        <v>0</v>
      </c>
      <c r="T184">
        <f>IF('Исходные данные'!$B$51="Да",-S184*N('Исходные данные'!$B$44)/(1+N('Исходные данные'!$B$44)),0)</f>
        <v>0</v>
      </c>
      <c r="U184">
        <f>IF('Исходные данные'!$B$36="Да",-S184,0)</f>
        <v>0</v>
      </c>
      <c r="V184">
        <f>IF(AND('Исходные данные'!$B$51="Да",U184&gt;0),U184*N('Исходные данные'!$B$52)/(1+N('Исходные данные'!$B$52)),0)</f>
        <v>0</v>
      </c>
      <c r="W184">
        <f>IF(OR(B184="",IF('Исходные данные'!$B$69="",'Исходные данные'!$B$10,'Исходные данные'!$B$69)="",C184&lt;IF('Исходные данные'!$B$69="",'Исходные данные'!$B$10,'Исходные данные'!$B$69)),0,-N('Исходные данные'!$B$16)*N('Исходные данные'!$B$68)*N('Исходные данные'!$B$67)/12*IF(AND(B184&lt;=IF('Исходные данные'!$B$69="",'Исходные данные'!$B$10,'Исходные данные'!$B$69),C184&gt;=IF('Исходные данные'!$B$69="",'Исходные данные'!$B$10,'Исходные данные'!$B$69)),(C184-IF('Исходные данные'!$B$69="",'Исходные данные'!$B$10,'Исходные данные'!$B$69)+1)/DAY(C184),1))</f>
        <v>0</v>
      </c>
      <c r="X184">
        <f>IF(OR(B184="",IF('Исходные данные'!$B$76="",'Исходные данные'!$B$10,'Исходные данные'!$B$76)="",C184&lt;IF('Исходные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данные'!$B$76)),1),B184,"m")/12))*IF(AND(B184&lt;=IF('Исходные данные'!$B$76="",'Исходные данные'!$B$10,'Исходные данные'!$B$76),C184&gt;=IF('Исходные данные'!$B$76="",'Исходные данные'!$B$10,'Исходные данные'!$B$76)),(C184-IF('Исходные данные'!$B$76="",'Исходные данные'!$B$10,'Исходные данные'!$B$76)+1)/DAY(C184),1))</f>
        <v>0</v>
      </c>
      <c r="Y184">
        <f t="shared" si="107"/>
        <v>0</v>
      </c>
      <c r="Z184">
        <f>IF(OR(B184="",N('Исходные данные'!$B$19)=0),0,-SUMIFS('Исходные данные'!$I$6:$I$186,'Исходные данные'!$F$6:$F$186,B184)*N('Исходные данные'!$B$17)/N('Исходные данные'!$B$19))</f>
        <v>0</v>
      </c>
      <c r="AA184">
        <f>IF(OR(B184="",N('Исходные данные'!$B$19)=0),0,-SUMIFS('Исходные данные'!$I$6:$I$186,'Исходные данные'!$F$6:$F$186,B184)*N('Исходные данные'!$B$18)/N('Исходные данные'!$B$19))</f>
        <v>0</v>
      </c>
      <c r="AB184">
        <f>IF(OR(B184="",'Исходные данные'!$B$13=""),0,IF(AND(YEAR(B184)=YEAR('Исходные данные'!$B$13),MONTH(B184)=MONTH('Исходные данные'!$B$13)),-N('Исходные данные'!$B$11),0))</f>
        <v>0</v>
      </c>
      <c r="AC184">
        <f>IF(A184=1,-N('Исходные данные'!$B$19)*N('Исходные данные'!$B$72),0)</f>
        <v>0</v>
      </c>
      <c r="AD184">
        <f>IF(OR(B184="",'Исходные данные'!$B$22&lt;&gt;"Да",'Исходные данные'!$B$26=""),0,IF(AND(YEAR(B184)=YEAR('Исходные данные'!$B$26),MONTH(B184)=MONTH('Исходные данные'!$B$26)),N('Исходные данные'!$B$23),0))</f>
        <v>0</v>
      </c>
      <c r="AE184">
        <f t="shared" si="120"/>
        <v>0</v>
      </c>
      <c r="AF184">
        <f>IF(OR('Исходные данные'!$B$22&lt;&gt;"Да",'Исходные данные'!$B$26="",C184&lt;'Исходные данные'!$B$26),0,DATEDIF(DATE(YEAR('Исходные данные'!$B$26),MONTH('Исходные данные'!$B$26),1),B184,"m")+1)</f>
        <v>0</v>
      </c>
      <c r="AG184">
        <f>IF(OR(AF184&lt;1,AF184&gt;N('Исходные данные'!$B$25),AE184+AD184&lt;=0),0,-(AE184+AD184)*N('Исходные данные'!$B$24)*IF(AF184=1,C184-'Исходные данные'!$B$26+1,DAY(C184))/365)</f>
        <v>0</v>
      </c>
      <c r="AH184">
        <f>IF(OR(AF184&lt;1,AF184&gt;N('Исходные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данные'!$B$25)-AG184))</f>
        <v>0</v>
      </c>
      <c r="AI184">
        <f>IF(OR('Исходные данные'!$B$22&lt;&gt;"Да",AE184+AD184&lt;=0),0,IF(AND('Исходные данные'!$B$91&lt;&gt;"",B184&lt;&gt;"",YEAR(B184)=YEAR('Исходные данные'!$B$91),MONTH(B184)=MONTH('Исходные данные'!$B$91)),-(AE184+AD184),IF(OR(AF184&lt;1,AF184&gt;N('Исходные данные'!$B$25)),0,IF('Исходные данные'!$B$27="Равными долями",-MIN(AE184+AD184,N('Исходные данные'!$B$23)/N('Исходные данные'!$B$25)),-MIN(AE184+AD184,IF(AF184=N('Исходные данные'!$B$25),AE184+AD184,MAX(0,AH184+AG184)))))))</f>
        <v>0</v>
      </c>
      <c r="AJ184">
        <f t="shared" si="108"/>
        <v>0</v>
      </c>
      <c r="AK184">
        <f t="shared" si="109"/>
        <v>0</v>
      </c>
      <c r="AL184">
        <f>IF(OR(B184="",'Исходные данные'!$B$51&lt;&gt;"Да",'Исходные данные'!$B$61=""),0,IF(AND(YEAR(B184)=YEAR('Исходные данные'!$B$61),MONTH(B184)=MONTH('Исходные данные'!$B$61)),N('Исходные данные'!$B$18)*N('Исходные данные'!$B$62),0))</f>
        <v>0</v>
      </c>
      <c r="AM184">
        <f t="shared" si="121"/>
        <v>0</v>
      </c>
      <c r="AN184">
        <f t="shared" si="110"/>
        <v>0</v>
      </c>
      <c r="AO184">
        <f t="shared" si="111"/>
        <v>0</v>
      </c>
      <c r="AP184">
        <f>IF('Исходные данные'!$B$51="Да",-MAX(0,AN184-AO184-AM184),0)</f>
        <v>0</v>
      </c>
      <c r="AQ184">
        <f>IF('Исходные данные'!$B$51="Да",MAX(0,AM184+AO184-AN184),0)</f>
        <v>0</v>
      </c>
      <c r="AR184">
        <f>IF('Исходные данные'!$B$53="Выручка",MAX(0,L184+(Q184-R184)+(U184-V184)),IF('Исходные данные'!$B$53="Прибыль до налога",MAX(0,L184+(Q184-R184)+(U184-V184)+N('Исходные данные'!$B$54)*((O184+P184)+(S184+T184)+W184+X184)+IF('Исходные данные'!$B$55="Да",AG184,0)-N('Исходные данные'!$B$56)/12),IF('Исходные данные'!$B$53="Пользовательская база",MAX(0,N('Исходные данные'!$B$57)/12),0)))</f>
        <v>0</v>
      </c>
      <c r="AS184">
        <f>IF(E184=1,-AR184*N('Исходные данные'!$B$50),0)</f>
        <v>0</v>
      </c>
      <c r="AT184">
        <f t="shared" si="112"/>
        <v>0</v>
      </c>
      <c r="AU184">
        <f>IF(OR(B184="",N('Исходные данные'!$B$80)&lt;=0,'Исходные данные'!$B$88=""),0,MAX(0,IF('Исходные данные'!$B$88="Последние 12 месяцев",SUMIFS($Y$2:$Y$194,$B$2:$B$194,"&gt;="&amp;EDATE(B184,-11),$B$2:$B$194,"&lt;="&amp;B184),IF('Исходные данные'!$B$88="Пользовательский NOI",N('Исходные данные'!$B$89),AT184))/N('Исходные данные'!$B$80)*(1+N('Исходные данные'!$B$81))))</f>
        <v>0</v>
      </c>
      <c r="AV184">
        <f>IF(OR(E184&lt;&gt;1,B184="",'Исходные данные'!$B$91=""),0,IF(AND(YEAR(B184)=YEAR('Исходные данные'!$B$91),MONTH(B184)=MONTH('Исходные данные'!$B$91)),AU184,0))</f>
        <v>0</v>
      </c>
      <c r="AW184">
        <f>-AV184*N('Исходные данные'!$B$73)</f>
        <v>0</v>
      </c>
      <c r="AX184">
        <f>IF(AV184=0,0,-N('Исходные данные'!$B$87)-IF('Исходные данные'!$B$82="Да",IF('Исходные данные'!$B$84="С выручки",AV184,IF('Исходные данные'!$B$84="С прибыли",MAX(0,AV184+AW184-IF('Исходные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84">
        <f t="shared" si="113"/>
        <v>0</v>
      </c>
      <c r="AZ184">
        <f t="shared" si="114"/>
        <v>0</v>
      </c>
      <c r="BA184">
        <f t="shared" si="115"/>
        <v>0</v>
      </c>
      <c r="BB184" t="str">
        <f t="shared" si="122"/>
        <v/>
      </c>
      <c r="BC184">
        <f>IF(OR(E184=0,'Исходные данные'!$B$9="",'Исходные данные'!$B$90=""),0,BA184/(1+'Исходные данные'!$B$90)^((D184-'Исходные данные'!$B$9)/365))</f>
        <v>0</v>
      </c>
      <c r="BD184">
        <f>IF(AND(E184=1,BB184&gt;=0,BB183&lt;0,MIN($BB$2:BB184)&lt;0),1,0)</f>
        <v>0</v>
      </c>
      <c r="BE184">
        <f t="shared" si="116"/>
        <v>0</v>
      </c>
      <c r="BF184">
        <f t="shared" si="117"/>
        <v>0</v>
      </c>
      <c r="BG184">
        <f t="shared" si="118"/>
        <v>0</v>
      </c>
      <c r="BH184">
        <f t="shared" si="119"/>
        <v>1</v>
      </c>
      <c r="BI184">
        <f>AZ184+N184+AP184-AR184*N('Исходные данные'!$B$50)</f>
        <v>0</v>
      </c>
      <c r="BJ184">
        <f t="shared" si="102"/>
        <v>0</v>
      </c>
      <c r="BK184">
        <f>IF(AND(BJ184&gt;=0,BJ183&lt;0,MIN($BJ$2:BJ184)&lt;0),1,0)</f>
        <v>0</v>
      </c>
    </row>
    <row r="185" spans="1:63" x14ac:dyDescent="0.2">
      <c r="A185">
        <v>184</v>
      </c>
      <c r="B185" t="str">
        <f>IF('Исходные данные'!$B$9="","",EDATE(DATE(YEAR('Исходные данные'!$B$9),MONTH('Исходные данные'!$B$9),1),A185-1))</f>
        <v/>
      </c>
      <c r="C185" t="str">
        <f t="shared" si="103"/>
        <v/>
      </c>
      <c r="D185" t="str">
        <f>IF(B185="","",IF('Исходные данные'!$B$91&lt;&gt;"",IF(AND(YEAR(B185)=YEAR('Исходные данные'!$B$91),MONTH(B185)=MONTH('Исходные данные'!$B$91)),'Исходные данные'!$B$91,IF('Исходные данные'!$B$13&lt;&gt;"",IF(AND(YEAR(B185)=YEAR('Исходные данные'!$B$13),MONTH(B185)=MONTH('Исходные данные'!$B$13)),'Исходные данные'!$B$13,IF('Исходные данные'!$B$26&lt;&gt;"",IF(AND(YEAR(B185)=YEAR('Исходные данные'!$B$26),MONTH(B185)=MONTH('Исходные данные'!$B$26)),'Исходные данные'!$B$26,IF(A185=1,'Исходные данные'!$B$9,C185)),IF(A185=1,'Исходные данные'!$B$9,C185))),IF('Исходные данные'!$B$26&lt;&gt;"",IF(AND(YEAR(B185)=YEAR('Исходные данные'!$B$26),MONTH(B185)=MONTH('Исходные данные'!$B$26)),'Исходные данные'!$B$26,IF(A185=1,'Исходные данные'!$B$9,C185)),IF(A185=1,'Исходные данные'!$B$9,C185)))),IF('Исходные данные'!$B$13&lt;&gt;"",IF(AND(YEAR(B185)=YEAR('Исходные данные'!$B$13),MONTH(B185)=MONTH('Исходные данные'!$B$13)),'Исходные данные'!$B$13,IF('Исходные данные'!$B$26&lt;&gt;"",IF(AND(YEAR(B185)=YEAR('Исходные данные'!$B$26),MONTH(B185)=MONTH('Исходные данные'!$B$26)),'Исходные данные'!$B$26,IF(A185=1,'Исходные данные'!$B$9,C185)),IF(A185=1,'Исходные данные'!$B$9,C185))),IF('Исходные данные'!$B$26&lt;&gt;"",IF(AND(YEAR(B185)=YEAR('Исходные данные'!$B$26),MONTH(B185)=MONTH('Исходные данные'!$B$26)),'Исходные данные'!$B$26,IF(A185=1,'Исходные данные'!$B$9,C185)),IF(A185=1,'Исходные данные'!$B$9,C185)))))</f>
        <v/>
      </c>
      <c r="E185">
        <f>IF(OR(B185="",'Исходные данные'!$B$91=""),0,--(B185&lt;=DATE(YEAR('Исходные данные'!$B$91),MONTH('Исходные данные'!$B$91),1)))</f>
        <v>0</v>
      </c>
      <c r="F185">
        <f>IF(OR(B185="",'Исходные данные'!$B$30="",C185&lt;'Исходные данные'!$B$30),0,DATEDIF(DATE(YEAR('Исходные данные'!$B$30),MONTH('Исходные данные'!$B$30),1),B185,"m")+1)</f>
        <v>0</v>
      </c>
      <c r="G185">
        <f t="shared" si="104"/>
        <v>0</v>
      </c>
      <c r="H185">
        <f>IF(F185=0,0,IF(G185=1,N('Исходные данные'!$B$31),IF(G185=2,N('Исходные данные'!$B$32),IF(G185=3,N('Исходные данные'!$B$33),N('Исходные данные'!$B$33)*(1+N('Исходные данные'!$B$34))^(G185-3)))))</f>
        <v>0</v>
      </c>
      <c r="I185">
        <f>IF(OR(F185=0,N('Исходные данные'!$B$5)=0,H185=0),0,'Исходные данные'!$B$5*H185*IF(AND(B185&lt;='Исходные данные'!$B$30,C185&gt;='Исходные данные'!$B$30),(C185-'Исходные данные'!$B$30+1)/DAY(C185),1))</f>
        <v>0</v>
      </c>
      <c r="J185">
        <f>IF(AND(F185&gt;0,F185&lt;=N('Исходные данные'!$B$37)),-I185,0)</f>
        <v>0</v>
      </c>
      <c r="K185">
        <f>IF(OR(F185=0,F185&lt;=N('Исходные данные'!$B$37)),0,-(I185+J185)*N('Исходные данные'!$B$38))</f>
        <v>0</v>
      </c>
      <c r="L185">
        <f t="shared" si="105"/>
        <v>0</v>
      </c>
      <c r="M185">
        <f>IF('Исходные данные'!$B$51="Да",L185*N('Исходные данные'!$B$52),0)</f>
        <v>0</v>
      </c>
      <c r="N185">
        <f t="shared" si="106"/>
        <v>0</v>
      </c>
      <c r="O185">
        <f>IF(OR(B185="",IF('Исходные данные'!$B$45="",'Исходные данные'!$B$10,'Исходные данные'!$B$45)="",C185&lt;IF('Исходные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данные'!$B$45)),1),B185,"m")/12))*IF(AND(B185&lt;=IF('Исходные данные'!$B$45="",'Исходные данные'!$B$10,'Исходные данные'!$B$45),C185&gt;=IF('Исходные данные'!$B$45="",'Исходные данные'!$B$10,'Исходные данные'!$B$45)),(C185-IF('Исходные данные'!$B$45="",'Исходные данные'!$B$10,'Исходные данные'!$B$45)+1)/DAY(C185),1)*IF('Исходные данные'!$B$43="Без НДС",1+N('Исходные данные'!$B$44),1))</f>
        <v>0</v>
      </c>
      <c r="P185">
        <f>IF('Исходные данные'!$B$51="Да",-O185*N('Исходные данные'!$B$44)/(1+N('Исходные данные'!$B$44)),0)</f>
        <v>0</v>
      </c>
      <c r="Q185">
        <f>IF('Исходные данные'!$B$35="Да",-O185,0)</f>
        <v>0</v>
      </c>
      <c r="R185">
        <f>IF(AND('Исходные данные'!$B$51="Да",Q185&gt;0),Q185*N('Исходные данные'!$B$52)/(1+N('Исходные данные'!$B$52)),0)</f>
        <v>0</v>
      </c>
      <c r="S185">
        <f>IF(OR(B185="",IF('Исходные данные'!$B$45="",'Исходные данные'!$B$10,'Исходные данные'!$B$45)="",C185&lt;IF('Исходные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данные'!$B$45)),1),B185,"m")/12))*IF(AND(B185&lt;=IF('Исходные данные'!$B$45="",'Исходные данные'!$B$10,'Исходные данные'!$B$45),C185&gt;=IF('Исходные данные'!$B$45="",'Исходные данные'!$B$10,'Исходные данные'!$B$45)),(C185-IF('Исходные данные'!$B$45="",'Исходные данные'!$B$10,'Исходные данные'!$B$45)+1)/DAY(C185),1)*IF('Исходные данные'!$B$43="Без НДС",1+N('Исходные данные'!$B$44),1))</f>
        <v>0</v>
      </c>
      <c r="T185">
        <f>IF('Исходные данные'!$B$51="Да",-S185*N('Исходные данные'!$B$44)/(1+N('Исходные данные'!$B$44)),0)</f>
        <v>0</v>
      </c>
      <c r="U185">
        <f>IF('Исходные данные'!$B$36="Да",-S185,0)</f>
        <v>0</v>
      </c>
      <c r="V185">
        <f>IF(AND('Исходные данные'!$B$51="Да",U185&gt;0),U185*N('Исходные данные'!$B$52)/(1+N('Исходные данные'!$B$52)),0)</f>
        <v>0</v>
      </c>
      <c r="W185">
        <f>IF(OR(B185="",IF('Исходные данные'!$B$69="",'Исходные данные'!$B$10,'Исходные данные'!$B$69)="",C185&lt;IF('Исходные данные'!$B$69="",'Исходные данные'!$B$10,'Исходные данные'!$B$69)),0,-N('Исходные данные'!$B$16)*N('Исходные данные'!$B$68)*N('Исходные данные'!$B$67)/12*IF(AND(B185&lt;=IF('Исходные данные'!$B$69="",'Исходные данные'!$B$10,'Исходные данные'!$B$69),C185&gt;=IF('Исходные данные'!$B$69="",'Исходные данные'!$B$10,'Исходные данные'!$B$69)),(C185-IF('Исходные данные'!$B$69="",'Исходные данные'!$B$10,'Исходные данные'!$B$69)+1)/DAY(C185),1))</f>
        <v>0</v>
      </c>
      <c r="X185">
        <f>IF(OR(B185="",IF('Исходные данные'!$B$76="",'Исходные данные'!$B$10,'Исходные данные'!$B$76)="",C185&lt;IF('Исходные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данные'!$B$76)),1),B185,"m")/12))*IF(AND(B185&lt;=IF('Исходные данные'!$B$76="",'Исходные данные'!$B$10,'Исходные данные'!$B$76),C185&gt;=IF('Исходные данные'!$B$76="",'Исходные данные'!$B$10,'Исходные данные'!$B$76)),(C185-IF('Исходные данные'!$B$76="",'Исходные данные'!$B$10,'Исходные данные'!$B$76)+1)/DAY(C185),1))</f>
        <v>0</v>
      </c>
      <c r="Y185">
        <f t="shared" si="107"/>
        <v>0</v>
      </c>
      <c r="Z185">
        <f>IF(OR(B185="",N('Исходные данные'!$B$19)=0),0,-SUMIFS('Исходные данные'!$I$6:$I$186,'Исходные данные'!$F$6:$F$186,B185)*N('Исходные данные'!$B$17)/N('Исходные данные'!$B$19))</f>
        <v>0</v>
      </c>
      <c r="AA185">
        <f>IF(OR(B185="",N('Исходные данные'!$B$19)=0),0,-SUMIFS('Исходные данные'!$I$6:$I$186,'Исходные данные'!$F$6:$F$186,B185)*N('Исходные данные'!$B$18)/N('Исходные данные'!$B$19))</f>
        <v>0</v>
      </c>
      <c r="AB185">
        <f>IF(OR(B185="",'Исходные данные'!$B$13=""),0,IF(AND(YEAR(B185)=YEAR('Исходные данные'!$B$13),MONTH(B185)=MONTH('Исходные данные'!$B$13)),-N('Исходные данные'!$B$11),0))</f>
        <v>0</v>
      </c>
      <c r="AC185">
        <f>IF(A185=1,-N('Исходные данные'!$B$19)*N('Исходные данные'!$B$72),0)</f>
        <v>0</v>
      </c>
      <c r="AD185">
        <f>IF(OR(B185="",'Исходные данные'!$B$22&lt;&gt;"Да",'Исходные данные'!$B$26=""),0,IF(AND(YEAR(B185)=YEAR('Исходные данные'!$B$26),MONTH(B185)=MONTH('Исходные данные'!$B$26)),N('Исходные данные'!$B$23),0))</f>
        <v>0</v>
      </c>
      <c r="AE185">
        <f t="shared" si="120"/>
        <v>0</v>
      </c>
      <c r="AF185">
        <f>IF(OR('Исходные данные'!$B$22&lt;&gt;"Да",'Исходные данные'!$B$26="",C185&lt;'Исходные данные'!$B$26),0,DATEDIF(DATE(YEAR('Исходные данные'!$B$26),MONTH('Исходные данные'!$B$26),1),B185,"m")+1)</f>
        <v>0</v>
      </c>
      <c r="AG185">
        <f>IF(OR(AF185&lt;1,AF185&gt;N('Исходные данные'!$B$25),AE185+AD185&lt;=0),0,-(AE185+AD185)*N('Исходные данные'!$B$24)*IF(AF185=1,C185-'Исходные данные'!$B$26+1,DAY(C185))/365)</f>
        <v>0</v>
      </c>
      <c r="AH185">
        <f>IF(OR(AF185&lt;1,AF185&gt;N('Исходные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данные'!$B$25)-AG185))</f>
        <v>0</v>
      </c>
      <c r="AI185">
        <f>IF(OR('Исходные данные'!$B$22&lt;&gt;"Да",AE185+AD185&lt;=0),0,IF(AND('Исходные данные'!$B$91&lt;&gt;"",B185&lt;&gt;"",YEAR(B185)=YEAR('Исходные данные'!$B$91),MONTH(B185)=MONTH('Исходные данные'!$B$91)),-(AE185+AD185),IF(OR(AF185&lt;1,AF185&gt;N('Исходные данные'!$B$25)),0,IF('Исходные данные'!$B$27="Равными долями",-MIN(AE185+AD185,N('Исходные данные'!$B$23)/N('Исходные данные'!$B$25)),-MIN(AE185+AD185,IF(AF185=N('Исходные данные'!$B$25),AE185+AD185,MAX(0,AH185+AG185)))))))</f>
        <v>0</v>
      </c>
      <c r="AJ185">
        <f t="shared" si="108"/>
        <v>0</v>
      </c>
      <c r="AK185">
        <f t="shared" si="109"/>
        <v>0</v>
      </c>
      <c r="AL185">
        <f>IF(OR(B185="",'Исходные данные'!$B$51&lt;&gt;"Да",'Исходные данные'!$B$61=""),0,IF(AND(YEAR(B185)=YEAR('Исходные данные'!$B$61),MONTH(B185)=MONTH('Исходные данные'!$B$61)),N('Исходные данные'!$B$18)*N('Исходные данные'!$B$62),0))</f>
        <v>0</v>
      </c>
      <c r="AM185">
        <f t="shared" si="121"/>
        <v>0</v>
      </c>
      <c r="AN185">
        <f t="shared" si="110"/>
        <v>0</v>
      </c>
      <c r="AO185">
        <f t="shared" si="111"/>
        <v>0</v>
      </c>
      <c r="AP185">
        <f>IF('Исходные данные'!$B$51="Да",-MAX(0,AN185-AO185-AM185),0)</f>
        <v>0</v>
      </c>
      <c r="AQ185">
        <f>IF('Исходные данные'!$B$51="Да",MAX(0,AM185+AO185-AN185),0)</f>
        <v>0</v>
      </c>
      <c r="AR185">
        <f>IF('Исходные данные'!$B$53="Выручка",MAX(0,L185+(Q185-R185)+(U185-V185)),IF('Исходные данные'!$B$53="Прибыль до налога",MAX(0,L185+(Q185-R185)+(U185-V185)+N('Исходные данные'!$B$54)*((O185+P185)+(S185+T185)+W185+X185)+IF('Исходные данные'!$B$55="Да",AG185,0)-N('Исходные данные'!$B$56)/12),IF('Исходные данные'!$B$53="Пользовательская база",MAX(0,N('Исходные данные'!$B$57)/12),0)))</f>
        <v>0</v>
      </c>
      <c r="AS185">
        <f>IF(E185=1,-AR185*N('Исходные данные'!$B$50),0)</f>
        <v>0</v>
      </c>
      <c r="AT185">
        <f t="shared" si="112"/>
        <v>0</v>
      </c>
      <c r="AU185">
        <f>IF(OR(B185="",N('Исходные данные'!$B$80)&lt;=0,'Исходные данные'!$B$88=""),0,MAX(0,IF('Исходные данные'!$B$88="Последние 12 месяцев",SUMIFS($Y$2:$Y$194,$B$2:$B$194,"&gt;="&amp;EDATE(B185,-11),$B$2:$B$194,"&lt;="&amp;B185),IF('Исходные данные'!$B$88="Пользовательский NOI",N('Исходные данные'!$B$89),AT185))/N('Исходные данные'!$B$80)*(1+N('Исходные данные'!$B$81))))</f>
        <v>0</v>
      </c>
      <c r="AV185">
        <f>IF(OR(E185&lt;&gt;1,B185="",'Исходные данные'!$B$91=""),0,IF(AND(YEAR(B185)=YEAR('Исходные данные'!$B$91),MONTH(B185)=MONTH('Исходные данные'!$B$91)),AU185,0))</f>
        <v>0</v>
      </c>
      <c r="AW185">
        <f>-AV185*N('Исходные данные'!$B$73)</f>
        <v>0</v>
      </c>
      <c r="AX185">
        <f>IF(AV185=0,0,-N('Исходные данные'!$B$87)-IF('Исходные данные'!$B$82="Да",IF('Исходные данные'!$B$84="С выручки",AV185,IF('Исходные данные'!$B$84="С прибыли",MAX(0,AV185+AW185-IF('Исходные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85">
        <f t="shared" si="113"/>
        <v>0</v>
      </c>
      <c r="AZ185">
        <f t="shared" si="114"/>
        <v>0</v>
      </c>
      <c r="BA185">
        <f t="shared" si="115"/>
        <v>0</v>
      </c>
      <c r="BB185" t="str">
        <f t="shared" si="122"/>
        <v/>
      </c>
      <c r="BC185">
        <f>IF(OR(E185=0,'Исходные данные'!$B$9="",'Исходные данные'!$B$90=""),0,BA185/(1+'Исходные данные'!$B$90)^((D185-'Исходные данные'!$B$9)/365))</f>
        <v>0</v>
      </c>
      <c r="BD185">
        <f>IF(AND(E185=1,BB185&gt;=0,BB184&lt;0,MIN($BB$2:BB185)&lt;0),1,0)</f>
        <v>0</v>
      </c>
      <c r="BE185">
        <f t="shared" si="116"/>
        <v>0</v>
      </c>
      <c r="BF185">
        <f t="shared" si="117"/>
        <v>0</v>
      </c>
      <c r="BG185">
        <f t="shared" si="118"/>
        <v>0</v>
      </c>
      <c r="BH185">
        <f t="shared" si="119"/>
        <v>1</v>
      </c>
      <c r="BI185">
        <f>AZ185+N185+AP185-AR185*N('Исходные данные'!$B$50)</f>
        <v>0</v>
      </c>
      <c r="BJ185">
        <f t="shared" si="102"/>
        <v>0</v>
      </c>
      <c r="BK185">
        <f>IF(AND(BJ185&gt;=0,BJ184&lt;0,MIN($BJ$2:BJ185)&lt;0),1,0)</f>
        <v>0</v>
      </c>
    </row>
    <row r="186" spans="1:63" x14ac:dyDescent="0.2">
      <c r="A186">
        <v>185</v>
      </c>
      <c r="B186" t="str">
        <f>IF('Исходные данные'!$B$9="","",EDATE(DATE(YEAR('Исходные данные'!$B$9),MONTH('Исходные данные'!$B$9),1),A186-1))</f>
        <v/>
      </c>
      <c r="C186" t="str">
        <f t="shared" si="103"/>
        <v/>
      </c>
      <c r="D186" t="str">
        <f>IF(B186="","",IF('Исходные данные'!$B$91&lt;&gt;"",IF(AND(YEAR(B186)=YEAR('Исходные данные'!$B$91),MONTH(B186)=MONTH('Исходные данные'!$B$91)),'Исходные данные'!$B$91,IF('Исходные данные'!$B$13&lt;&gt;"",IF(AND(YEAR(B186)=YEAR('Исходные данные'!$B$13),MONTH(B186)=MONTH('Исходные данные'!$B$13)),'Исходные данные'!$B$13,IF('Исходные данные'!$B$26&lt;&gt;"",IF(AND(YEAR(B186)=YEAR('Исходные данные'!$B$26),MONTH(B186)=MONTH('Исходные данные'!$B$26)),'Исходные данные'!$B$26,IF(A186=1,'Исходные данные'!$B$9,C186)),IF(A186=1,'Исходные данные'!$B$9,C186))),IF('Исходные данные'!$B$26&lt;&gt;"",IF(AND(YEAR(B186)=YEAR('Исходные данные'!$B$26),MONTH(B186)=MONTH('Исходные данные'!$B$26)),'Исходные данные'!$B$26,IF(A186=1,'Исходные данные'!$B$9,C186)),IF(A186=1,'Исходные данные'!$B$9,C186)))),IF('Исходные данные'!$B$13&lt;&gt;"",IF(AND(YEAR(B186)=YEAR('Исходные данные'!$B$13),MONTH(B186)=MONTH('Исходные данные'!$B$13)),'Исходные данные'!$B$13,IF('Исходные данные'!$B$26&lt;&gt;"",IF(AND(YEAR(B186)=YEAR('Исходные данные'!$B$26),MONTH(B186)=MONTH('Исходные данные'!$B$26)),'Исходные данные'!$B$26,IF(A186=1,'Исходные данные'!$B$9,C186)),IF(A186=1,'Исходные данные'!$B$9,C186))),IF('Исходные данные'!$B$26&lt;&gt;"",IF(AND(YEAR(B186)=YEAR('Исходные данные'!$B$26),MONTH(B186)=MONTH('Исходные данные'!$B$26)),'Исходные данные'!$B$26,IF(A186=1,'Исходные данные'!$B$9,C186)),IF(A186=1,'Исходные данные'!$B$9,C186)))))</f>
        <v/>
      </c>
      <c r="E186">
        <f>IF(OR(B186="",'Исходные данные'!$B$91=""),0,--(B186&lt;=DATE(YEAR('Исходные данные'!$B$91),MONTH('Исходные данные'!$B$91),1)))</f>
        <v>0</v>
      </c>
      <c r="F186">
        <f>IF(OR(B186="",'Исходные данные'!$B$30="",C186&lt;'Исходные данные'!$B$30),0,DATEDIF(DATE(YEAR('Исходные данные'!$B$30),MONTH('Исходные данные'!$B$30),1),B186,"m")+1)</f>
        <v>0</v>
      </c>
      <c r="G186">
        <f t="shared" si="104"/>
        <v>0</v>
      </c>
      <c r="H186">
        <f>IF(F186=0,0,IF(G186=1,N('Исходные данные'!$B$31),IF(G186=2,N('Исходные данные'!$B$32),IF(G186=3,N('Исходные данные'!$B$33),N('Исходные данные'!$B$33)*(1+N('Исходные данные'!$B$34))^(G186-3)))))</f>
        <v>0</v>
      </c>
      <c r="I186">
        <f>IF(OR(F186=0,N('Исходные данные'!$B$5)=0,H186=0),0,'Исходные данные'!$B$5*H186*IF(AND(B186&lt;='Исходные данные'!$B$30,C186&gt;='Исходные данные'!$B$30),(C186-'Исходные данные'!$B$30+1)/DAY(C186),1))</f>
        <v>0</v>
      </c>
      <c r="J186">
        <f>IF(AND(F186&gt;0,F186&lt;=N('Исходные данные'!$B$37)),-I186,0)</f>
        <v>0</v>
      </c>
      <c r="K186">
        <f>IF(OR(F186=0,F186&lt;=N('Исходные данные'!$B$37)),0,-(I186+J186)*N('Исходные данные'!$B$38))</f>
        <v>0</v>
      </c>
      <c r="L186">
        <f t="shared" si="105"/>
        <v>0</v>
      </c>
      <c r="M186">
        <f>IF('Исходные данные'!$B$51="Да",L186*N('Исходные данные'!$B$52),0)</f>
        <v>0</v>
      </c>
      <c r="N186">
        <f t="shared" si="106"/>
        <v>0</v>
      </c>
      <c r="O186">
        <f>IF(OR(B186="",IF('Исходные данные'!$B$45="",'Исходные данные'!$B$10,'Исходные данные'!$B$45)="",C186&lt;IF('Исходные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данные'!$B$45)),1),B186,"m")/12))*IF(AND(B186&lt;=IF('Исходные данные'!$B$45="",'Исходные данные'!$B$10,'Исходные данные'!$B$45),C186&gt;=IF('Исходные данные'!$B$45="",'Исходные данные'!$B$10,'Исходные данные'!$B$45)),(C186-IF('Исходные данные'!$B$45="",'Исходные данные'!$B$10,'Исходные данные'!$B$45)+1)/DAY(C186),1)*IF('Исходные данные'!$B$43="Без НДС",1+N('Исходные данные'!$B$44),1))</f>
        <v>0</v>
      </c>
      <c r="P186">
        <f>IF('Исходные данные'!$B$51="Да",-O186*N('Исходные данные'!$B$44)/(1+N('Исходные данные'!$B$44)),0)</f>
        <v>0</v>
      </c>
      <c r="Q186">
        <f>IF('Исходные данные'!$B$35="Да",-O186,0)</f>
        <v>0</v>
      </c>
      <c r="R186">
        <f>IF(AND('Исходные данные'!$B$51="Да",Q186&gt;0),Q186*N('Исходные данные'!$B$52)/(1+N('Исходные данные'!$B$52)),0)</f>
        <v>0</v>
      </c>
      <c r="S186">
        <f>IF(OR(B186="",IF('Исходные данные'!$B$45="",'Исходные данные'!$B$10,'Исходные данные'!$B$45)="",C186&lt;IF('Исходные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данные'!$B$45)),1),B186,"m")/12))*IF(AND(B186&lt;=IF('Исходные данные'!$B$45="",'Исходные данные'!$B$10,'Исходные данные'!$B$45),C186&gt;=IF('Исходные данные'!$B$45="",'Исходные данные'!$B$10,'Исходные данные'!$B$45)),(C186-IF('Исходные данные'!$B$45="",'Исходные данные'!$B$10,'Исходные данные'!$B$45)+1)/DAY(C186),1)*IF('Исходные данные'!$B$43="Без НДС",1+N('Исходные данные'!$B$44),1))</f>
        <v>0</v>
      </c>
      <c r="T186">
        <f>IF('Исходные данные'!$B$51="Да",-S186*N('Исходные данные'!$B$44)/(1+N('Исходные данные'!$B$44)),0)</f>
        <v>0</v>
      </c>
      <c r="U186">
        <f>IF('Исходные данные'!$B$36="Да",-S186,0)</f>
        <v>0</v>
      </c>
      <c r="V186">
        <f>IF(AND('Исходные данные'!$B$51="Да",U186&gt;0),U186*N('Исходные данные'!$B$52)/(1+N('Исходные данные'!$B$52)),0)</f>
        <v>0</v>
      </c>
      <c r="W186">
        <f>IF(OR(B186="",IF('Исходные данные'!$B$69="",'Исходные данные'!$B$10,'Исходные данные'!$B$69)="",C186&lt;IF('Исходные данные'!$B$69="",'Исходные данные'!$B$10,'Исходные данные'!$B$69)),0,-N('Исходные данные'!$B$16)*N('Исходные данные'!$B$68)*N('Исходные данные'!$B$67)/12*IF(AND(B186&lt;=IF('Исходные данные'!$B$69="",'Исходные данные'!$B$10,'Исходные данные'!$B$69),C186&gt;=IF('Исходные данные'!$B$69="",'Исходные данные'!$B$10,'Исходные данные'!$B$69)),(C186-IF('Исходные данные'!$B$69="",'Исходные данные'!$B$10,'Исходные данные'!$B$69)+1)/DAY(C186),1))</f>
        <v>0</v>
      </c>
      <c r="X186">
        <f>IF(OR(B186="",IF('Исходные данные'!$B$76="",'Исходные данные'!$B$10,'Исходные данные'!$B$76)="",C186&lt;IF('Исходные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данные'!$B$76)),1),B186,"m")/12))*IF(AND(B186&lt;=IF('Исходные данные'!$B$76="",'Исходные данные'!$B$10,'Исходные данные'!$B$76),C186&gt;=IF('Исходные данные'!$B$76="",'Исходные данные'!$B$10,'Исходные данные'!$B$76)),(C186-IF('Исходные данные'!$B$76="",'Исходные данные'!$B$10,'Исходные данные'!$B$76)+1)/DAY(C186),1))</f>
        <v>0</v>
      </c>
      <c r="Y186">
        <f t="shared" si="107"/>
        <v>0</v>
      </c>
      <c r="Z186">
        <f>IF(OR(B186="",N('Исходные данные'!$B$19)=0),0,-SUMIFS('Исходные данные'!$I$6:$I$186,'Исходные данные'!$F$6:$F$186,B186)*N('Исходные данные'!$B$17)/N('Исходные данные'!$B$19))</f>
        <v>0</v>
      </c>
      <c r="AA186">
        <f>IF(OR(B186="",N('Исходные данные'!$B$19)=0),0,-SUMIFS('Исходные данные'!$I$6:$I$186,'Исходные данные'!$F$6:$F$186,B186)*N('Исходные данные'!$B$18)/N('Исходные данные'!$B$19))</f>
        <v>0</v>
      </c>
      <c r="AB186">
        <f>IF(OR(B186="",'Исходные данные'!$B$13=""),0,IF(AND(YEAR(B186)=YEAR('Исходные данные'!$B$13),MONTH(B186)=MONTH('Исходные данные'!$B$13)),-N('Исходные данные'!$B$11),0))</f>
        <v>0</v>
      </c>
      <c r="AC186">
        <f>IF(A186=1,-N('Исходные данные'!$B$19)*N('Исходные данные'!$B$72),0)</f>
        <v>0</v>
      </c>
      <c r="AD186">
        <f>IF(OR(B186="",'Исходные данные'!$B$22&lt;&gt;"Да",'Исходные данные'!$B$26=""),0,IF(AND(YEAR(B186)=YEAR('Исходные данные'!$B$26),MONTH(B186)=MONTH('Исходные данные'!$B$26)),N('Исходные данные'!$B$23),0))</f>
        <v>0</v>
      </c>
      <c r="AE186">
        <f t="shared" si="120"/>
        <v>0</v>
      </c>
      <c r="AF186">
        <f>IF(OR('Исходные данные'!$B$22&lt;&gt;"Да",'Исходные данные'!$B$26="",C186&lt;'Исходные данные'!$B$26),0,DATEDIF(DATE(YEAR('Исходные данные'!$B$26),MONTH('Исходные данные'!$B$26),1),B186,"m")+1)</f>
        <v>0</v>
      </c>
      <c r="AG186">
        <f>IF(OR(AF186&lt;1,AF186&gt;N('Исходные данные'!$B$25),AE186+AD186&lt;=0),0,-(AE186+AD186)*N('Исходные данные'!$B$24)*IF(AF186=1,C186-'Исходные данные'!$B$26+1,DAY(C186))/365)</f>
        <v>0</v>
      </c>
      <c r="AH186">
        <f>IF(OR(AF186&lt;1,AF186&gt;N('Исходные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данные'!$B$25)-AG186))</f>
        <v>0</v>
      </c>
      <c r="AI186">
        <f>IF(OR('Исходные данные'!$B$22&lt;&gt;"Да",AE186+AD186&lt;=0),0,IF(AND('Исходные данные'!$B$91&lt;&gt;"",B186&lt;&gt;"",YEAR(B186)=YEAR('Исходные данные'!$B$91),MONTH(B186)=MONTH('Исходные данные'!$B$91)),-(AE186+AD186),IF(OR(AF186&lt;1,AF186&gt;N('Исходные данные'!$B$25)),0,IF('Исходные данные'!$B$27="Равными долями",-MIN(AE186+AD186,N('Исходные данные'!$B$23)/N('Исходные данные'!$B$25)),-MIN(AE186+AD186,IF(AF186=N('Исходные данные'!$B$25),AE186+AD186,MAX(0,AH186+AG186)))))))</f>
        <v>0</v>
      </c>
      <c r="AJ186">
        <f t="shared" si="108"/>
        <v>0</v>
      </c>
      <c r="AK186">
        <f t="shared" si="109"/>
        <v>0</v>
      </c>
      <c r="AL186">
        <f>IF(OR(B186="",'Исходные данные'!$B$51&lt;&gt;"Да",'Исходные данные'!$B$61=""),0,IF(AND(YEAR(B186)=YEAR('Исходные данные'!$B$61),MONTH(B186)=MONTH('Исходные данные'!$B$61)),N('Исходные данные'!$B$18)*N('Исходные данные'!$B$62),0))</f>
        <v>0</v>
      </c>
      <c r="AM186">
        <f t="shared" si="121"/>
        <v>0</v>
      </c>
      <c r="AN186">
        <f t="shared" si="110"/>
        <v>0</v>
      </c>
      <c r="AO186">
        <f t="shared" si="111"/>
        <v>0</v>
      </c>
      <c r="AP186">
        <f>IF('Исходные данные'!$B$51="Да",-MAX(0,AN186-AO186-AM186),0)</f>
        <v>0</v>
      </c>
      <c r="AQ186">
        <f>IF('Исходные данные'!$B$51="Да",MAX(0,AM186+AO186-AN186),0)</f>
        <v>0</v>
      </c>
      <c r="AR186">
        <f>IF('Исходные данные'!$B$53="Выручка",MAX(0,L186+(Q186-R186)+(U186-V186)),IF('Исходные данные'!$B$53="Прибыль до налога",MAX(0,L186+(Q186-R186)+(U186-V186)+N('Исходные данные'!$B$54)*((O186+P186)+(S186+T186)+W186+X186)+IF('Исходные данные'!$B$55="Да",AG186,0)-N('Исходные данные'!$B$56)/12),IF('Исходные данные'!$B$53="Пользовательская база",MAX(0,N('Исходные данные'!$B$57)/12),0)))</f>
        <v>0</v>
      </c>
      <c r="AS186">
        <f>IF(E186=1,-AR186*N('Исходные данные'!$B$50),0)</f>
        <v>0</v>
      </c>
      <c r="AT186">
        <f t="shared" si="112"/>
        <v>0</v>
      </c>
      <c r="AU186">
        <f>IF(OR(B186="",N('Исходные данные'!$B$80)&lt;=0,'Исходные данные'!$B$88=""),0,MAX(0,IF('Исходные данные'!$B$88="Последние 12 месяцев",SUMIFS($Y$2:$Y$194,$B$2:$B$194,"&gt;="&amp;EDATE(B186,-11),$B$2:$B$194,"&lt;="&amp;B186),IF('Исходные данные'!$B$88="Пользовательский NOI",N('Исходные данные'!$B$89),AT186))/N('Исходные данные'!$B$80)*(1+N('Исходные данные'!$B$81))))</f>
        <v>0</v>
      </c>
      <c r="AV186">
        <f>IF(OR(E186&lt;&gt;1,B186="",'Исходные данные'!$B$91=""),0,IF(AND(YEAR(B186)=YEAR('Исходные данные'!$B$91),MONTH(B186)=MONTH('Исходные данные'!$B$91)),AU186,0))</f>
        <v>0</v>
      </c>
      <c r="AW186">
        <f>-AV186*N('Исходные данные'!$B$73)</f>
        <v>0</v>
      </c>
      <c r="AX186">
        <f>IF(AV186=0,0,-N('Исходные данные'!$B$87)-IF('Исходные данные'!$B$82="Да",IF('Исходные данные'!$B$84="С выручки",AV186,IF('Исходные данные'!$B$84="С прибыли",MAX(0,AV186+AW186-IF('Исходные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86">
        <f t="shared" si="113"/>
        <v>0</v>
      </c>
      <c r="AZ186">
        <f t="shared" si="114"/>
        <v>0</v>
      </c>
      <c r="BA186">
        <f t="shared" si="115"/>
        <v>0</v>
      </c>
      <c r="BB186" t="str">
        <f t="shared" si="122"/>
        <v/>
      </c>
      <c r="BC186">
        <f>IF(OR(E186=0,'Исходные данные'!$B$9="",'Исходные данные'!$B$90=""),0,BA186/(1+'Исходные данные'!$B$90)^((D186-'Исходные данные'!$B$9)/365))</f>
        <v>0</v>
      </c>
      <c r="BD186">
        <f>IF(AND(E186=1,BB186&gt;=0,BB185&lt;0,MIN($BB$2:BB186)&lt;0),1,0)</f>
        <v>0</v>
      </c>
      <c r="BE186">
        <f t="shared" si="116"/>
        <v>0</v>
      </c>
      <c r="BF186">
        <f t="shared" si="117"/>
        <v>0</v>
      </c>
      <c r="BG186">
        <f t="shared" si="118"/>
        <v>0</v>
      </c>
      <c r="BH186">
        <f t="shared" si="119"/>
        <v>1</v>
      </c>
      <c r="BI186">
        <f>AZ186+N186+AP186-AR186*N('Исходные данные'!$B$50)</f>
        <v>0</v>
      </c>
      <c r="BJ186">
        <f t="shared" si="102"/>
        <v>0</v>
      </c>
      <c r="BK186">
        <f>IF(AND(BJ186&gt;=0,BJ185&lt;0,MIN($BJ$2:BJ186)&lt;0),1,0)</f>
        <v>0</v>
      </c>
    </row>
    <row r="187" spans="1:63" x14ac:dyDescent="0.2">
      <c r="A187">
        <v>186</v>
      </c>
      <c r="B187" t="str">
        <f>IF('Исходные данные'!$B$9="","",EDATE(DATE(YEAR('Исходные данные'!$B$9),MONTH('Исходные данные'!$B$9),1),A187-1))</f>
        <v/>
      </c>
      <c r="C187" t="str">
        <f t="shared" si="103"/>
        <v/>
      </c>
      <c r="D187" t="str">
        <f>IF(B187="","",IF('Исходные данные'!$B$91&lt;&gt;"",IF(AND(YEAR(B187)=YEAR('Исходные данные'!$B$91),MONTH(B187)=MONTH('Исходные данные'!$B$91)),'Исходные данные'!$B$91,IF('Исходные данные'!$B$13&lt;&gt;"",IF(AND(YEAR(B187)=YEAR('Исходные данные'!$B$13),MONTH(B187)=MONTH('Исходные данные'!$B$13)),'Исходные данные'!$B$13,IF('Исходные данные'!$B$26&lt;&gt;"",IF(AND(YEAR(B187)=YEAR('Исходные данные'!$B$26),MONTH(B187)=MONTH('Исходные данные'!$B$26)),'Исходные данные'!$B$26,IF(A187=1,'Исходные данные'!$B$9,C187)),IF(A187=1,'Исходные данные'!$B$9,C187))),IF('Исходные данные'!$B$26&lt;&gt;"",IF(AND(YEAR(B187)=YEAR('Исходные данные'!$B$26),MONTH(B187)=MONTH('Исходные данные'!$B$26)),'Исходные данные'!$B$26,IF(A187=1,'Исходные данные'!$B$9,C187)),IF(A187=1,'Исходные данные'!$B$9,C187)))),IF('Исходные данные'!$B$13&lt;&gt;"",IF(AND(YEAR(B187)=YEAR('Исходные данные'!$B$13),MONTH(B187)=MONTH('Исходные данные'!$B$13)),'Исходные данные'!$B$13,IF('Исходные данные'!$B$26&lt;&gt;"",IF(AND(YEAR(B187)=YEAR('Исходные данные'!$B$26),MONTH(B187)=MONTH('Исходные данные'!$B$26)),'Исходные данные'!$B$26,IF(A187=1,'Исходные данные'!$B$9,C187)),IF(A187=1,'Исходные данные'!$B$9,C187))),IF('Исходные данные'!$B$26&lt;&gt;"",IF(AND(YEAR(B187)=YEAR('Исходные данные'!$B$26),MONTH(B187)=MONTH('Исходные данные'!$B$26)),'Исходные данные'!$B$26,IF(A187=1,'Исходные данные'!$B$9,C187)),IF(A187=1,'Исходные данные'!$B$9,C187)))))</f>
        <v/>
      </c>
      <c r="E187">
        <f>IF(OR(B187="",'Исходные данные'!$B$91=""),0,--(B187&lt;=DATE(YEAR('Исходные данные'!$B$91),MONTH('Исходные данные'!$B$91),1)))</f>
        <v>0</v>
      </c>
      <c r="F187">
        <f>IF(OR(B187="",'Исходные данные'!$B$30="",C187&lt;'Исходные данные'!$B$30),0,DATEDIF(DATE(YEAR('Исходные данные'!$B$30),MONTH('Исходные данные'!$B$30),1),B187,"m")+1)</f>
        <v>0</v>
      </c>
      <c r="G187">
        <f t="shared" si="104"/>
        <v>0</v>
      </c>
      <c r="H187">
        <f>IF(F187=0,0,IF(G187=1,N('Исходные данные'!$B$31),IF(G187=2,N('Исходные данные'!$B$32),IF(G187=3,N('Исходные данные'!$B$33),N('Исходные данные'!$B$33)*(1+N('Исходные данные'!$B$34))^(G187-3)))))</f>
        <v>0</v>
      </c>
      <c r="I187">
        <f>IF(OR(F187=0,N('Исходные данные'!$B$5)=0,H187=0),0,'Исходные данные'!$B$5*H187*IF(AND(B187&lt;='Исходные данные'!$B$30,C187&gt;='Исходные данные'!$B$30),(C187-'Исходные данные'!$B$30+1)/DAY(C187),1))</f>
        <v>0</v>
      </c>
      <c r="J187">
        <f>IF(AND(F187&gt;0,F187&lt;=N('Исходные данные'!$B$37)),-I187,0)</f>
        <v>0</v>
      </c>
      <c r="K187">
        <f>IF(OR(F187=0,F187&lt;=N('Исходные данные'!$B$37)),0,-(I187+J187)*N('Исходные данные'!$B$38))</f>
        <v>0</v>
      </c>
      <c r="L187">
        <f t="shared" si="105"/>
        <v>0</v>
      </c>
      <c r="M187">
        <f>IF('Исходные данные'!$B$51="Да",L187*N('Исходные данные'!$B$52),0)</f>
        <v>0</v>
      </c>
      <c r="N187">
        <f t="shared" si="106"/>
        <v>0</v>
      </c>
      <c r="O187">
        <f>IF(OR(B187="",IF('Исходные данные'!$B$45="",'Исходные данные'!$B$10,'Исходные данные'!$B$45)="",C187&lt;IF('Исходные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данные'!$B$45)),1),B187,"m")/12))*IF(AND(B187&lt;=IF('Исходные данные'!$B$45="",'Исходные данные'!$B$10,'Исходные данные'!$B$45),C187&gt;=IF('Исходные данные'!$B$45="",'Исходные данные'!$B$10,'Исходные данные'!$B$45)),(C187-IF('Исходные данные'!$B$45="",'Исходные данные'!$B$10,'Исходные данные'!$B$45)+1)/DAY(C187),1)*IF('Исходные данные'!$B$43="Без НДС",1+N('Исходные данные'!$B$44),1))</f>
        <v>0</v>
      </c>
      <c r="P187">
        <f>IF('Исходные данные'!$B$51="Да",-O187*N('Исходные данные'!$B$44)/(1+N('Исходные данные'!$B$44)),0)</f>
        <v>0</v>
      </c>
      <c r="Q187">
        <f>IF('Исходные данные'!$B$35="Да",-O187,0)</f>
        <v>0</v>
      </c>
      <c r="R187">
        <f>IF(AND('Исходные данные'!$B$51="Да",Q187&gt;0),Q187*N('Исходные данные'!$B$52)/(1+N('Исходные данные'!$B$52)),0)</f>
        <v>0</v>
      </c>
      <c r="S187">
        <f>IF(OR(B187="",IF('Исходные данные'!$B$45="",'Исходные данные'!$B$10,'Исходные данные'!$B$45)="",C187&lt;IF('Исходные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данные'!$B$45)),1),B187,"m")/12))*IF(AND(B187&lt;=IF('Исходные данные'!$B$45="",'Исходные данные'!$B$10,'Исходные данные'!$B$45),C187&gt;=IF('Исходные данные'!$B$45="",'Исходные данные'!$B$10,'Исходные данные'!$B$45)),(C187-IF('Исходные данные'!$B$45="",'Исходные данные'!$B$10,'Исходные данные'!$B$45)+1)/DAY(C187),1)*IF('Исходные данные'!$B$43="Без НДС",1+N('Исходные данные'!$B$44),1))</f>
        <v>0</v>
      </c>
      <c r="T187">
        <f>IF('Исходные данные'!$B$51="Да",-S187*N('Исходные данные'!$B$44)/(1+N('Исходные данные'!$B$44)),0)</f>
        <v>0</v>
      </c>
      <c r="U187">
        <f>IF('Исходные данные'!$B$36="Да",-S187,0)</f>
        <v>0</v>
      </c>
      <c r="V187">
        <f>IF(AND('Исходные данные'!$B$51="Да",U187&gt;0),U187*N('Исходные данные'!$B$52)/(1+N('Исходные данные'!$B$52)),0)</f>
        <v>0</v>
      </c>
      <c r="W187">
        <f>IF(OR(B187="",IF('Исходные данные'!$B$69="",'Исходные данные'!$B$10,'Исходные данные'!$B$69)="",C187&lt;IF('Исходные данные'!$B$69="",'Исходные данные'!$B$10,'Исходные данные'!$B$69)),0,-N('Исходные данные'!$B$16)*N('Исходные данные'!$B$68)*N('Исходные данные'!$B$67)/12*IF(AND(B187&lt;=IF('Исходные данные'!$B$69="",'Исходные данные'!$B$10,'Исходные данные'!$B$69),C187&gt;=IF('Исходные данные'!$B$69="",'Исходные данные'!$B$10,'Исходные данные'!$B$69)),(C187-IF('Исходные данные'!$B$69="",'Исходные данные'!$B$10,'Исходные данные'!$B$69)+1)/DAY(C187),1))</f>
        <v>0</v>
      </c>
      <c r="X187">
        <f>IF(OR(B187="",IF('Исходные данные'!$B$76="",'Исходные данные'!$B$10,'Исходные данные'!$B$76)="",C187&lt;IF('Исходные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данные'!$B$76)),1),B187,"m")/12))*IF(AND(B187&lt;=IF('Исходные данные'!$B$76="",'Исходные данные'!$B$10,'Исходные данные'!$B$76),C187&gt;=IF('Исходные данные'!$B$76="",'Исходные данные'!$B$10,'Исходные данные'!$B$76)),(C187-IF('Исходные данные'!$B$76="",'Исходные данные'!$B$10,'Исходные данные'!$B$76)+1)/DAY(C187),1))</f>
        <v>0</v>
      </c>
      <c r="Y187">
        <f t="shared" si="107"/>
        <v>0</v>
      </c>
      <c r="Z187">
        <f>IF(OR(B187="",N('Исходные данные'!$B$19)=0),0,-SUMIFS('Исходные данные'!$I$6:$I$186,'Исходные данные'!$F$6:$F$186,B187)*N('Исходные данные'!$B$17)/N('Исходные данные'!$B$19))</f>
        <v>0</v>
      </c>
      <c r="AA187">
        <f>IF(OR(B187="",N('Исходные данные'!$B$19)=0),0,-SUMIFS('Исходные данные'!$I$6:$I$186,'Исходные данные'!$F$6:$F$186,B187)*N('Исходные данные'!$B$18)/N('Исходные данные'!$B$19))</f>
        <v>0</v>
      </c>
      <c r="AB187">
        <f>IF(OR(B187="",'Исходные данные'!$B$13=""),0,IF(AND(YEAR(B187)=YEAR('Исходные данные'!$B$13),MONTH(B187)=MONTH('Исходные данные'!$B$13)),-N('Исходные данные'!$B$11),0))</f>
        <v>0</v>
      </c>
      <c r="AC187">
        <f>IF(A187=1,-N('Исходные данные'!$B$19)*N('Исходные данные'!$B$72),0)</f>
        <v>0</v>
      </c>
      <c r="AD187">
        <f>IF(OR(B187="",'Исходные данные'!$B$22&lt;&gt;"Да",'Исходные данные'!$B$26=""),0,IF(AND(YEAR(B187)=YEAR('Исходные данные'!$B$26),MONTH(B187)=MONTH('Исходные данные'!$B$26)),N('Исходные данные'!$B$23),0))</f>
        <v>0</v>
      </c>
      <c r="AE187">
        <f t="shared" si="120"/>
        <v>0</v>
      </c>
      <c r="AF187">
        <f>IF(OR('Исходные данные'!$B$22&lt;&gt;"Да",'Исходные данные'!$B$26="",C187&lt;'Исходные данные'!$B$26),0,DATEDIF(DATE(YEAR('Исходные данные'!$B$26),MONTH('Исходные данные'!$B$26),1),B187,"m")+1)</f>
        <v>0</v>
      </c>
      <c r="AG187">
        <f>IF(OR(AF187&lt;1,AF187&gt;N('Исходные данные'!$B$25),AE187+AD187&lt;=0),0,-(AE187+AD187)*N('Исходные данные'!$B$24)*IF(AF187=1,C187-'Исходные данные'!$B$26+1,DAY(C187))/365)</f>
        <v>0</v>
      </c>
      <c r="AH187">
        <f>IF(OR(AF187&lt;1,AF187&gt;N('Исходные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данные'!$B$25)-AG187))</f>
        <v>0</v>
      </c>
      <c r="AI187">
        <f>IF(OR('Исходные данные'!$B$22&lt;&gt;"Да",AE187+AD187&lt;=0),0,IF(AND('Исходные данные'!$B$91&lt;&gt;"",B187&lt;&gt;"",YEAR(B187)=YEAR('Исходные данные'!$B$91),MONTH(B187)=MONTH('Исходные данные'!$B$91)),-(AE187+AD187),IF(OR(AF187&lt;1,AF187&gt;N('Исходные данные'!$B$25)),0,IF('Исходные данные'!$B$27="Равными долями",-MIN(AE187+AD187,N('Исходные данные'!$B$23)/N('Исходные данные'!$B$25)),-MIN(AE187+AD187,IF(AF187=N('Исходные данные'!$B$25),AE187+AD187,MAX(0,AH187+AG187)))))))</f>
        <v>0</v>
      </c>
      <c r="AJ187">
        <f t="shared" si="108"/>
        <v>0</v>
      </c>
      <c r="AK187">
        <f t="shared" si="109"/>
        <v>0</v>
      </c>
      <c r="AL187">
        <f>IF(OR(B187="",'Исходные данные'!$B$51&lt;&gt;"Да",'Исходные данные'!$B$61=""),0,IF(AND(YEAR(B187)=YEAR('Исходные данные'!$B$61),MONTH(B187)=MONTH('Исходные данные'!$B$61)),N('Исходные данные'!$B$18)*N('Исходные данные'!$B$62),0))</f>
        <v>0</v>
      </c>
      <c r="AM187">
        <f t="shared" si="121"/>
        <v>0</v>
      </c>
      <c r="AN187">
        <f t="shared" si="110"/>
        <v>0</v>
      </c>
      <c r="AO187">
        <f t="shared" si="111"/>
        <v>0</v>
      </c>
      <c r="AP187">
        <f>IF('Исходные данные'!$B$51="Да",-MAX(0,AN187-AO187-AM187),0)</f>
        <v>0</v>
      </c>
      <c r="AQ187">
        <f>IF('Исходные данные'!$B$51="Да",MAX(0,AM187+AO187-AN187),0)</f>
        <v>0</v>
      </c>
      <c r="AR187">
        <f>IF('Исходные данные'!$B$53="Выручка",MAX(0,L187+(Q187-R187)+(U187-V187)),IF('Исходные данные'!$B$53="Прибыль до налога",MAX(0,L187+(Q187-R187)+(U187-V187)+N('Исходные данные'!$B$54)*((O187+P187)+(S187+T187)+W187+X187)+IF('Исходные данные'!$B$55="Да",AG187,0)-N('Исходные данные'!$B$56)/12),IF('Исходные данные'!$B$53="Пользовательская база",MAX(0,N('Исходные данные'!$B$57)/12),0)))</f>
        <v>0</v>
      </c>
      <c r="AS187">
        <f>IF(E187=1,-AR187*N('Исходные данные'!$B$50),0)</f>
        <v>0</v>
      </c>
      <c r="AT187">
        <f t="shared" si="112"/>
        <v>0</v>
      </c>
      <c r="AU187">
        <f>IF(OR(B187="",N('Исходные данные'!$B$80)&lt;=0,'Исходные данные'!$B$88=""),0,MAX(0,IF('Исходные данные'!$B$88="Последние 12 месяцев",SUMIFS($Y$2:$Y$194,$B$2:$B$194,"&gt;="&amp;EDATE(B187,-11),$B$2:$B$194,"&lt;="&amp;B187),IF('Исходные данные'!$B$88="Пользовательский NOI",N('Исходные данные'!$B$89),AT187))/N('Исходные данные'!$B$80)*(1+N('Исходные данные'!$B$81))))</f>
        <v>0</v>
      </c>
      <c r="AV187">
        <f>IF(OR(E187&lt;&gt;1,B187="",'Исходные данные'!$B$91=""),0,IF(AND(YEAR(B187)=YEAR('Исходные данные'!$B$91),MONTH(B187)=MONTH('Исходные данные'!$B$91)),AU187,0))</f>
        <v>0</v>
      </c>
      <c r="AW187">
        <f>-AV187*N('Исходные данные'!$B$73)</f>
        <v>0</v>
      </c>
      <c r="AX187">
        <f>IF(AV187=0,0,-N('Исходные данные'!$B$87)-IF('Исходные данные'!$B$82="Да",IF('Исходные данные'!$B$84="С выручки",AV187,IF('Исходные данные'!$B$84="С прибыли",MAX(0,AV187+AW187-IF('Исходные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87">
        <f t="shared" si="113"/>
        <v>0</v>
      </c>
      <c r="AZ187">
        <f t="shared" si="114"/>
        <v>0</v>
      </c>
      <c r="BA187">
        <f t="shared" si="115"/>
        <v>0</v>
      </c>
      <c r="BB187" t="str">
        <f t="shared" si="122"/>
        <v/>
      </c>
      <c r="BC187">
        <f>IF(OR(E187=0,'Исходные данные'!$B$9="",'Исходные данные'!$B$90=""),0,BA187/(1+'Исходные данные'!$B$90)^((D187-'Исходные данные'!$B$9)/365))</f>
        <v>0</v>
      </c>
      <c r="BD187">
        <f>IF(AND(E187=1,BB187&gt;=0,BB186&lt;0,MIN($BB$2:BB187)&lt;0),1,0)</f>
        <v>0</v>
      </c>
      <c r="BE187">
        <f t="shared" si="116"/>
        <v>0</v>
      </c>
      <c r="BF187">
        <f t="shared" si="117"/>
        <v>0</v>
      </c>
      <c r="BG187">
        <f t="shared" si="118"/>
        <v>0</v>
      </c>
      <c r="BH187">
        <f t="shared" si="119"/>
        <v>1</v>
      </c>
      <c r="BI187">
        <f>AZ187+N187+AP187-AR187*N('Исходные данные'!$B$50)</f>
        <v>0</v>
      </c>
      <c r="BJ187">
        <f t="shared" si="102"/>
        <v>0</v>
      </c>
      <c r="BK187">
        <f>IF(AND(BJ187&gt;=0,BJ186&lt;0,MIN($BJ$2:BJ187)&lt;0),1,0)</f>
        <v>0</v>
      </c>
    </row>
    <row r="188" spans="1:63" x14ac:dyDescent="0.2">
      <c r="A188">
        <v>187</v>
      </c>
      <c r="B188" t="str">
        <f>IF('Исходные данные'!$B$9="","",EDATE(DATE(YEAR('Исходные данные'!$B$9),MONTH('Исходные данные'!$B$9),1),A188-1))</f>
        <v/>
      </c>
      <c r="C188" t="str">
        <f t="shared" si="103"/>
        <v/>
      </c>
      <c r="D188" t="str">
        <f>IF(B188="","",IF('Исходные данные'!$B$91&lt;&gt;"",IF(AND(YEAR(B188)=YEAR('Исходные данные'!$B$91),MONTH(B188)=MONTH('Исходные данные'!$B$91)),'Исходные данные'!$B$91,IF('Исходные данные'!$B$13&lt;&gt;"",IF(AND(YEAR(B188)=YEAR('Исходные данные'!$B$13),MONTH(B188)=MONTH('Исходные данные'!$B$13)),'Исходные данные'!$B$13,IF('Исходные данные'!$B$26&lt;&gt;"",IF(AND(YEAR(B188)=YEAR('Исходные данные'!$B$26),MONTH(B188)=MONTH('Исходные данные'!$B$26)),'Исходные данные'!$B$26,IF(A188=1,'Исходные данные'!$B$9,C188)),IF(A188=1,'Исходные данные'!$B$9,C188))),IF('Исходные данные'!$B$26&lt;&gt;"",IF(AND(YEAR(B188)=YEAR('Исходные данные'!$B$26),MONTH(B188)=MONTH('Исходные данные'!$B$26)),'Исходные данные'!$B$26,IF(A188=1,'Исходные данные'!$B$9,C188)),IF(A188=1,'Исходные данные'!$B$9,C188)))),IF('Исходные данные'!$B$13&lt;&gt;"",IF(AND(YEAR(B188)=YEAR('Исходные данные'!$B$13),MONTH(B188)=MONTH('Исходные данные'!$B$13)),'Исходные данные'!$B$13,IF('Исходные данные'!$B$26&lt;&gt;"",IF(AND(YEAR(B188)=YEAR('Исходные данные'!$B$26),MONTH(B188)=MONTH('Исходные данные'!$B$26)),'Исходные данные'!$B$26,IF(A188=1,'Исходные данные'!$B$9,C188)),IF(A188=1,'Исходные данные'!$B$9,C188))),IF('Исходные данные'!$B$26&lt;&gt;"",IF(AND(YEAR(B188)=YEAR('Исходные данные'!$B$26),MONTH(B188)=MONTH('Исходные данные'!$B$26)),'Исходные данные'!$B$26,IF(A188=1,'Исходные данные'!$B$9,C188)),IF(A188=1,'Исходные данные'!$B$9,C188)))))</f>
        <v/>
      </c>
      <c r="E188">
        <f>IF(OR(B188="",'Исходные данные'!$B$91=""),0,--(B188&lt;=DATE(YEAR('Исходные данные'!$B$91),MONTH('Исходные данные'!$B$91),1)))</f>
        <v>0</v>
      </c>
      <c r="F188">
        <f>IF(OR(B188="",'Исходные данные'!$B$30="",C188&lt;'Исходные данные'!$B$30),0,DATEDIF(DATE(YEAR('Исходные данные'!$B$30),MONTH('Исходные данные'!$B$30),1),B188,"m")+1)</f>
        <v>0</v>
      </c>
      <c r="G188">
        <f t="shared" si="104"/>
        <v>0</v>
      </c>
      <c r="H188">
        <f>IF(F188=0,0,IF(G188=1,N('Исходные данные'!$B$31),IF(G188=2,N('Исходные данные'!$B$32),IF(G188=3,N('Исходные данные'!$B$33),N('Исходные данные'!$B$33)*(1+N('Исходные данные'!$B$34))^(G188-3)))))</f>
        <v>0</v>
      </c>
      <c r="I188">
        <f>IF(OR(F188=0,N('Исходные данные'!$B$5)=0,H188=0),0,'Исходные данные'!$B$5*H188*IF(AND(B188&lt;='Исходные данные'!$B$30,C188&gt;='Исходные данные'!$B$30),(C188-'Исходные данные'!$B$30+1)/DAY(C188),1))</f>
        <v>0</v>
      </c>
      <c r="J188">
        <f>IF(AND(F188&gt;0,F188&lt;=N('Исходные данные'!$B$37)),-I188,0)</f>
        <v>0</v>
      </c>
      <c r="K188">
        <f>IF(OR(F188=0,F188&lt;=N('Исходные данные'!$B$37)),0,-(I188+J188)*N('Исходные данные'!$B$38))</f>
        <v>0</v>
      </c>
      <c r="L188">
        <f t="shared" si="105"/>
        <v>0</v>
      </c>
      <c r="M188">
        <f>IF('Исходные данные'!$B$51="Да",L188*N('Исходные данные'!$B$52),0)</f>
        <v>0</v>
      </c>
      <c r="N188">
        <f t="shared" si="106"/>
        <v>0</v>
      </c>
      <c r="O188">
        <f>IF(OR(B188="",IF('Исходные данные'!$B$45="",'Исходные данные'!$B$10,'Исходные данные'!$B$45)="",C188&lt;IF('Исходные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данные'!$B$45)),1),B188,"m")/12))*IF(AND(B188&lt;=IF('Исходные данные'!$B$45="",'Исходные данные'!$B$10,'Исходные данные'!$B$45),C188&gt;=IF('Исходные данные'!$B$45="",'Исходные данные'!$B$10,'Исходные данные'!$B$45)),(C188-IF('Исходные данные'!$B$45="",'Исходные данные'!$B$10,'Исходные данные'!$B$45)+1)/DAY(C188),1)*IF('Исходные данные'!$B$43="Без НДС",1+N('Исходные данные'!$B$44),1))</f>
        <v>0</v>
      </c>
      <c r="P188">
        <f>IF('Исходные данные'!$B$51="Да",-O188*N('Исходные данные'!$B$44)/(1+N('Исходные данные'!$B$44)),0)</f>
        <v>0</v>
      </c>
      <c r="Q188">
        <f>IF('Исходные данные'!$B$35="Да",-O188,0)</f>
        <v>0</v>
      </c>
      <c r="R188">
        <f>IF(AND('Исходные данные'!$B$51="Да",Q188&gt;0),Q188*N('Исходные данные'!$B$52)/(1+N('Исходные данные'!$B$52)),0)</f>
        <v>0</v>
      </c>
      <c r="S188">
        <f>IF(OR(B188="",IF('Исходные данные'!$B$45="",'Исходные данные'!$B$10,'Исходные данные'!$B$45)="",C188&lt;IF('Исходные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данные'!$B$45)),1),B188,"m")/12))*IF(AND(B188&lt;=IF('Исходные данные'!$B$45="",'Исходные данные'!$B$10,'Исходные данные'!$B$45),C188&gt;=IF('Исходные данные'!$B$45="",'Исходные данные'!$B$10,'Исходные данные'!$B$45)),(C188-IF('Исходные данные'!$B$45="",'Исходные данные'!$B$10,'Исходные данные'!$B$45)+1)/DAY(C188),1)*IF('Исходные данные'!$B$43="Без НДС",1+N('Исходные данные'!$B$44),1))</f>
        <v>0</v>
      </c>
      <c r="T188">
        <f>IF('Исходные данные'!$B$51="Да",-S188*N('Исходные данные'!$B$44)/(1+N('Исходные данные'!$B$44)),0)</f>
        <v>0</v>
      </c>
      <c r="U188">
        <f>IF('Исходные данные'!$B$36="Да",-S188,0)</f>
        <v>0</v>
      </c>
      <c r="V188">
        <f>IF(AND('Исходные данные'!$B$51="Да",U188&gt;0),U188*N('Исходные данные'!$B$52)/(1+N('Исходные данные'!$B$52)),0)</f>
        <v>0</v>
      </c>
      <c r="W188">
        <f>IF(OR(B188="",IF('Исходные данные'!$B$69="",'Исходные данные'!$B$10,'Исходные данные'!$B$69)="",C188&lt;IF('Исходные данные'!$B$69="",'Исходные данные'!$B$10,'Исходные данные'!$B$69)),0,-N('Исходные данные'!$B$16)*N('Исходные данные'!$B$68)*N('Исходные данные'!$B$67)/12*IF(AND(B188&lt;=IF('Исходные данные'!$B$69="",'Исходные данные'!$B$10,'Исходные данные'!$B$69),C188&gt;=IF('Исходные данные'!$B$69="",'Исходные данные'!$B$10,'Исходные данные'!$B$69)),(C188-IF('Исходные данные'!$B$69="",'Исходные данные'!$B$10,'Исходные данные'!$B$69)+1)/DAY(C188),1))</f>
        <v>0</v>
      </c>
      <c r="X188">
        <f>IF(OR(B188="",IF('Исходные данные'!$B$76="",'Исходные данные'!$B$10,'Исходные данные'!$B$76)="",C188&lt;IF('Исходные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данные'!$B$76)),1),B188,"m")/12))*IF(AND(B188&lt;=IF('Исходные данные'!$B$76="",'Исходные данные'!$B$10,'Исходные данные'!$B$76),C188&gt;=IF('Исходные данные'!$B$76="",'Исходные данные'!$B$10,'Исходные данные'!$B$76)),(C188-IF('Исходные данные'!$B$76="",'Исходные данные'!$B$10,'Исходные данные'!$B$76)+1)/DAY(C188),1))</f>
        <v>0</v>
      </c>
      <c r="Y188">
        <f t="shared" si="107"/>
        <v>0</v>
      </c>
      <c r="Z188">
        <f>IF(OR(B188="",N('Исходные данные'!$B$19)=0),0,-SUMIFS('Исходные данные'!$I$6:$I$186,'Исходные данные'!$F$6:$F$186,B188)*N('Исходные данные'!$B$17)/N('Исходные данные'!$B$19))</f>
        <v>0</v>
      </c>
      <c r="AA188">
        <f>IF(OR(B188="",N('Исходные данные'!$B$19)=0),0,-SUMIFS('Исходные данные'!$I$6:$I$186,'Исходные данные'!$F$6:$F$186,B188)*N('Исходные данные'!$B$18)/N('Исходные данные'!$B$19))</f>
        <v>0</v>
      </c>
      <c r="AB188">
        <f>IF(OR(B188="",'Исходные данные'!$B$13=""),0,IF(AND(YEAR(B188)=YEAR('Исходные данные'!$B$13),MONTH(B188)=MONTH('Исходные данные'!$B$13)),-N('Исходные данные'!$B$11),0))</f>
        <v>0</v>
      </c>
      <c r="AC188">
        <f>IF(A188=1,-N('Исходные данные'!$B$19)*N('Исходные данные'!$B$72),0)</f>
        <v>0</v>
      </c>
      <c r="AD188">
        <f>IF(OR(B188="",'Исходные данные'!$B$22&lt;&gt;"Да",'Исходные данные'!$B$26=""),0,IF(AND(YEAR(B188)=YEAR('Исходные данные'!$B$26),MONTH(B188)=MONTH('Исходные данные'!$B$26)),N('Исходные данные'!$B$23),0))</f>
        <v>0</v>
      </c>
      <c r="AE188">
        <f t="shared" si="120"/>
        <v>0</v>
      </c>
      <c r="AF188">
        <f>IF(OR('Исходные данные'!$B$22&lt;&gt;"Да",'Исходные данные'!$B$26="",C188&lt;'Исходные данные'!$B$26),0,DATEDIF(DATE(YEAR('Исходные данные'!$B$26),MONTH('Исходные данные'!$B$26),1),B188,"m")+1)</f>
        <v>0</v>
      </c>
      <c r="AG188">
        <f>IF(OR(AF188&lt;1,AF188&gt;N('Исходные данные'!$B$25),AE188+AD188&lt;=0),0,-(AE188+AD188)*N('Исходные данные'!$B$24)*IF(AF188=1,C188-'Исходные данные'!$B$26+1,DAY(C188))/365)</f>
        <v>0</v>
      </c>
      <c r="AH188">
        <f>IF(OR(AF188&lt;1,AF188&gt;N('Исходные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данные'!$B$25)-AG188))</f>
        <v>0</v>
      </c>
      <c r="AI188">
        <f>IF(OR('Исходные данные'!$B$22&lt;&gt;"Да",AE188+AD188&lt;=0),0,IF(AND('Исходные данные'!$B$91&lt;&gt;"",B188&lt;&gt;"",YEAR(B188)=YEAR('Исходные данные'!$B$91),MONTH(B188)=MONTH('Исходные данные'!$B$91)),-(AE188+AD188),IF(OR(AF188&lt;1,AF188&gt;N('Исходные данные'!$B$25)),0,IF('Исходные данные'!$B$27="Равными долями",-MIN(AE188+AD188,N('Исходные данные'!$B$23)/N('Исходные данные'!$B$25)),-MIN(AE188+AD188,IF(AF188=N('Исходные данные'!$B$25),AE188+AD188,MAX(0,AH188+AG188)))))))</f>
        <v>0</v>
      </c>
      <c r="AJ188">
        <f t="shared" si="108"/>
        <v>0</v>
      </c>
      <c r="AK188">
        <f t="shared" si="109"/>
        <v>0</v>
      </c>
      <c r="AL188">
        <f>IF(OR(B188="",'Исходные данные'!$B$51&lt;&gt;"Да",'Исходные данные'!$B$61=""),0,IF(AND(YEAR(B188)=YEAR('Исходные данные'!$B$61),MONTH(B188)=MONTH('Исходные данные'!$B$61)),N('Исходные данные'!$B$18)*N('Исходные данные'!$B$62),0))</f>
        <v>0</v>
      </c>
      <c r="AM188">
        <f t="shared" si="121"/>
        <v>0</v>
      </c>
      <c r="AN188">
        <f t="shared" si="110"/>
        <v>0</v>
      </c>
      <c r="AO188">
        <f t="shared" si="111"/>
        <v>0</v>
      </c>
      <c r="AP188">
        <f>IF('Исходные данные'!$B$51="Да",-MAX(0,AN188-AO188-AM188),0)</f>
        <v>0</v>
      </c>
      <c r="AQ188">
        <f>IF('Исходные данные'!$B$51="Да",MAX(0,AM188+AO188-AN188),0)</f>
        <v>0</v>
      </c>
      <c r="AR188">
        <f>IF('Исходные данные'!$B$53="Выручка",MAX(0,L188+(Q188-R188)+(U188-V188)),IF('Исходные данные'!$B$53="Прибыль до налога",MAX(0,L188+(Q188-R188)+(U188-V188)+N('Исходные данные'!$B$54)*((O188+P188)+(S188+T188)+W188+X188)+IF('Исходные данные'!$B$55="Да",AG188,0)-N('Исходные данные'!$B$56)/12),IF('Исходные данные'!$B$53="Пользовательская база",MAX(0,N('Исходные данные'!$B$57)/12),0)))</f>
        <v>0</v>
      </c>
      <c r="AS188">
        <f>IF(E188=1,-AR188*N('Исходные данные'!$B$50),0)</f>
        <v>0</v>
      </c>
      <c r="AT188">
        <f t="shared" si="112"/>
        <v>0</v>
      </c>
      <c r="AU188">
        <f>IF(OR(B188="",N('Исходные данные'!$B$80)&lt;=0,'Исходные данные'!$B$88=""),0,MAX(0,IF('Исходные данные'!$B$88="Последние 12 месяцев",SUMIFS($Y$2:$Y$194,$B$2:$B$194,"&gt;="&amp;EDATE(B188,-11),$B$2:$B$194,"&lt;="&amp;B188),IF('Исходные данные'!$B$88="Пользовательский NOI",N('Исходные данные'!$B$89),AT188))/N('Исходные данные'!$B$80)*(1+N('Исходные данные'!$B$81))))</f>
        <v>0</v>
      </c>
      <c r="AV188">
        <f>IF(OR(E188&lt;&gt;1,B188="",'Исходные данные'!$B$91=""),0,IF(AND(YEAR(B188)=YEAR('Исходные данные'!$B$91),MONTH(B188)=MONTH('Исходные данные'!$B$91)),AU188,0))</f>
        <v>0</v>
      </c>
      <c r="AW188">
        <f>-AV188*N('Исходные данные'!$B$73)</f>
        <v>0</v>
      </c>
      <c r="AX188">
        <f>IF(AV188=0,0,-N('Исходные данные'!$B$87)-IF('Исходные данные'!$B$82="Да",IF('Исходные данные'!$B$84="С выручки",AV188,IF('Исходные данные'!$B$84="С прибыли",MAX(0,AV188+AW188-IF('Исходные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88">
        <f t="shared" si="113"/>
        <v>0</v>
      </c>
      <c r="AZ188">
        <f t="shared" si="114"/>
        <v>0</v>
      </c>
      <c r="BA188">
        <f t="shared" si="115"/>
        <v>0</v>
      </c>
      <c r="BB188" t="str">
        <f t="shared" si="122"/>
        <v/>
      </c>
      <c r="BC188">
        <f>IF(OR(E188=0,'Исходные данные'!$B$9="",'Исходные данные'!$B$90=""),0,BA188/(1+'Исходные данные'!$B$90)^((D188-'Исходные данные'!$B$9)/365))</f>
        <v>0</v>
      </c>
      <c r="BD188">
        <f>IF(AND(E188=1,BB188&gt;=0,BB187&lt;0,MIN($BB$2:BB188)&lt;0),1,0)</f>
        <v>0</v>
      </c>
      <c r="BE188">
        <f t="shared" si="116"/>
        <v>0</v>
      </c>
      <c r="BF188">
        <f t="shared" si="117"/>
        <v>0</v>
      </c>
      <c r="BG188">
        <f t="shared" si="118"/>
        <v>0</v>
      </c>
      <c r="BH188">
        <f t="shared" si="119"/>
        <v>1</v>
      </c>
      <c r="BI188">
        <f>AZ188+N188+AP188-AR188*N('Исходные данные'!$B$50)</f>
        <v>0</v>
      </c>
      <c r="BJ188">
        <f t="shared" si="102"/>
        <v>0</v>
      </c>
      <c r="BK188">
        <f>IF(AND(BJ188&gt;=0,BJ187&lt;0,MIN($BJ$2:BJ188)&lt;0),1,0)</f>
        <v>0</v>
      </c>
    </row>
    <row r="189" spans="1:63" x14ac:dyDescent="0.2">
      <c r="A189">
        <v>188</v>
      </c>
      <c r="B189" t="str">
        <f>IF('Исходные данные'!$B$9="","",EDATE(DATE(YEAR('Исходные данные'!$B$9),MONTH('Исходные данные'!$B$9),1),A189-1))</f>
        <v/>
      </c>
      <c r="C189" t="str">
        <f t="shared" si="103"/>
        <v/>
      </c>
      <c r="D189" t="str">
        <f>IF(B189="","",IF('Исходные данные'!$B$91&lt;&gt;"",IF(AND(YEAR(B189)=YEAR('Исходные данные'!$B$91),MONTH(B189)=MONTH('Исходные данные'!$B$91)),'Исходные данные'!$B$91,IF('Исходные данные'!$B$13&lt;&gt;"",IF(AND(YEAR(B189)=YEAR('Исходные данные'!$B$13),MONTH(B189)=MONTH('Исходные данные'!$B$13)),'Исходные данные'!$B$13,IF('Исходные данные'!$B$26&lt;&gt;"",IF(AND(YEAR(B189)=YEAR('Исходные данные'!$B$26),MONTH(B189)=MONTH('Исходные данные'!$B$26)),'Исходные данные'!$B$26,IF(A189=1,'Исходные данные'!$B$9,C189)),IF(A189=1,'Исходные данные'!$B$9,C189))),IF('Исходные данные'!$B$26&lt;&gt;"",IF(AND(YEAR(B189)=YEAR('Исходные данные'!$B$26),MONTH(B189)=MONTH('Исходные данные'!$B$26)),'Исходные данные'!$B$26,IF(A189=1,'Исходные данные'!$B$9,C189)),IF(A189=1,'Исходные данные'!$B$9,C189)))),IF('Исходные данные'!$B$13&lt;&gt;"",IF(AND(YEAR(B189)=YEAR('Исходные данные'!$B$13),MONTH(B189)=MONTH('Исходные данные'!$B$13)),'Исходные данные'!$B$13,IF('Исходные данные'!$B$26&lt;&gt;"",IF(AND(YEAR(B189)=YEAR('Исходные данные'!$B$26),MONTH(B189)=MONTH('Исходные данные'!$B$26)),'Исходные данные'!$B$26,IF(A189=1,'Исходные данные'!$B$9,C189)),IF(A189=1,'Исходные данные'!$B$9,C189))),IF('Исходные данные'!$B$26&lt;&gt;"",IF(AND(YEAR(B189)=YEAR('Исходные данные'!$B$26),MONTH(B189)=MONTH('Исходные данные'!$B$26)),'Исходные данные'!$B$26,IF(A189=1,'Исходные данные'!$B$9,C189)),IF(A189=1,'Исходные данные'!$B$9,C189)))))</f>
        <v/>
      </c>
      <c r="E189">
        <f>IF(OR(B189="",'Исходные данные'!$B$91=""),0,--(B189&lt;=DATE(YEAR('Исходные данные'!$B$91),MONTH('Исходные данные'!$B$91),1)))</f>
        <v>0</v>
      </c>
      <c r="F189">
        <f>IF(OR(B189="",'Исходные данные'!$B$30="",C189&lt;'Исходные данные'!$B$30),0,DATEDIF(DATE(YEAR('Исходные данные'!$B$30),MONTH('Исходные данные'!$B$30),1),B189,"m")+1)</f>
        <v>0</v>
      </c>
      <c r="G189">
        <f t="shared" si="104"/>
        <v>0</v>
      </c>
      <c r="H189">
        <f>IF(F189=0,0,IF(G189=1,N('Исходные данные'!$B$31),IF(G189=2,N('Исходные данные'!$B$32),IF(G189=3,N('Исходные данные'!$B$33),N('Исходные данные'!$B$33)*(1+N('Исходные данные'!$B$34))^(G189-3)))))</f>
        <v>0</v>
      </c>
      <c r="I189">
        <f>IF(OR(F189=0,N('Исходные данные'!$B$5)=0,H189=0),0,'Исходные данные'!$B$5*H189*IF(AND(B189&lt;='Исходные данные'!$B$30,C189&gt;='Исходные данные'!$B$30),(C189-'Исходные данные'!$B$30+1)/DAY(C189),1))</f>
        <v>0</v>
      </c>
      <c r="J189">
        <f>IF(AND(F189&gt;0,F189&lt;=N('Исходные данные'!$B$37)),-I189,0)</f>
        <v>0</v>
      </c>
      <c r="K189">
        <f>IF(OR(F189=0,F189&lt;=N('Исходные данные'!$B$37)),0,-(I189+J189)*N('Исходные данные'!$B$38))</f>
        <v>0</v>
      </c>
      <c r="L189">
        <f t="shared" si="105"/>
        <v>0</v>
      </c>
      <c r="M189">
        <f>IF('Исходные данные'!$B$51="Да",L189*N('Исходные данные'!$B$52),0)</f>
        <v>0</v>
      </c>
      <c r="N189">
        <f t="shared" si="106"/>
        <v>0</v>
      </c>
      <c r="O189">
        <f>IF(OR(B189="",IF('Исходные данные'!$B$45="",'Исходные данные'!$B$10,'Исходные данные'!$B$45)="",C189&lt;IF('Исходные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данные'!$B$45)),1),B189,"m")/12))*IF(AND(B189&lt;=IF('Исходные данные'!$B$45="",'Исходные данные'!$B$10,'Исходные данные'!$B$45),C189&gt;=IF('Исходные данные'!$B$45="",'Исходные данные'!$B$10,'Исходные данные'!$B$45)),(C189-IF('Исходные данные'!$B$45="",'Исходные данные'!$B$10,'Исходные данные'!$B$45)+1)/DAY(C189),1)*IF('Исходные данные'!$B$43="Без НДС",1+N('Исходные данные'!$B$44),1))</f>
        <v>0</v>
      </c>
      <c r="P189">
        <f>IF('Исходные данные'!$B$51="Да",-O189*N('Исходные данные'!$B$44)/(1+N('Исходные данные'!$B$44)),0)</f>
        <v>0</v>
      </c>
      <c r="Q189">
        <f>IF('Исходные данные'!$B$35="Да",-O189,0)</f>
        <v>0</v>
      </c>
      <c r="R189">
        <f>IF(AND('Исходные данные'!$B$51="Да",Q189&gt;0),Q189*N('Исходные данные'!$B$52)/(1+N('Исходные данные'!$B$52)),0)</f>
        <v>0</v>
      </c>
      <c r="S189">
        <f>IF(OR(B189="",IF('Исходные данные'!$B$45="",'Исходные данные'!$B$10,'Исходные данные'!$B$45)="",C189&lt;IF('Исходные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данные'!$B$45)),1),B189,"m")/12))*IF(AND(B189&lt;=IF('Исходные данные'!$B$45="",'Исходные данные'!$B$10,'Исходные данные'!$B$45),C189&gt;=IF('Исходные данные'!$B$45="",'Исходные данные'!$B$10,'Исходные данные'!$B$45)),(C189-IF('Исходные данные'!$B$45="",'Исходные данные'!$B$10,'Исходные данные'!$B$45)+1)/DAY(C189),1)*IF('Исходные данные'!$B$43="Без НДС",1+N('Исходные данные'!$B$44),1))</f>
        <v>0</v>
      </c>
      <c r="T189">
        <f>IF('Исходные данные'!$B$51="Да",-S189*N('Исходные данные'!$B$44)/(1+N('Исходные данные'!$B$44)),0)</f>
        <v>0</v>
      </c>
      <c r="U189">
        <f>IF('Исходные данные'!$B$36="Да",-S189,0)</f>
        <v>0</v>
      </c>
      <c r="V189">
        <f>IF(AND('Исходные данные'!$B$51="Да",U189&gt;0),U189*N('Исходные данные'!$B$52)/(1+N('Исходные данные'!$B$52)),0)</f>
        <v>0</v>
      </c>
      <c r="W189">
        <f>IF(OR(B189="",IF('Исходные данные'!$B$69="",'Исходные данные'!$B$10,'Исходные данные'!$B$69)="",C189&lt;IF('Исходные данные'!$B$69="",'Исходные данные'!$B$10,'Исходные данные'!$B$69)),0,-N('Исходные данные'!$B$16)*N('Исходные данные'!$B$68)*N('Исходные данные'!$B$67)/12*IF(AND(B189&lt;=IF('Исходные данные'!$B$69="",'Исходные данные'!$B$10,'Исходные данные'!$B$69),C189&gt;=IF('Исходные данные'!$B$69="",'Исходные данные'!$B$10,'Исходные данные'!$B$69)),(C189-IF('Исходные данные'!$B$69="",'Исходные данные'!$B$10,'Исходные данные'!$B$69)+1)/DAY(C189),1))</f>
        <v>0</v>
      </c>
      <c r="X189">
        <f>IF(OR(B189="",IF('Исходные данные'!$B$76="",'Исходные данные'!$B$10,'Исходные данные'!$B$76)="",C189&lt;IF('Исходные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данные'!$B$76)),1),B189,"m")/12))*IF(AND(B189&lt;=IF('Исходные данные'!$B$76="",'Исходные данные'!$B$10,'Исходные данные'!$B$76),C189&gt;=IF('Исходные данные'!$B$76="",'Исходные данные'!$B$10,'Исходные данные'!$B$76)),(C189-IF('Исходные данные'!$B$76="",'Исходные данные'!$B$10,'Исходные данные'!$B$76)+1)/DAY(C189),1))</f>
        <v>0</v>
      </c>
      <c r="Y189">
        <f t="shared" si="107"/>
        <v>0</v>
      </c>
      <c r="Z189">
        <f>IF(OR(B189="",N('Исходные данные'!$B$19)=0),0,-SUMIFS('Исходные данные'!$I$6:$I$186,'Исходные данные'!$F$6:$F$186,B189)*N('Исходные данные'!$B$17)/N('Исходные данные'!$B$19))</f>
        <v>0</v>
      </c>
      <c r="AA189">
        <f>IF(OR(B189="",N('Исходные данные'!$B$19)=0),0,-SUMIFS('Исходные данные'!$I$6:$I$186,'Исходные данные'!$F$6:$F$186,B189)*N('Исходные данные'!$B$18)/N('Исходные данные'!$B$19))</f>
        <v>0</v>
      </c>
      <c r="AB189">
        <f>IF(OR(B189="",'Исходные данные'!$B$13=""),0,IF(AND(YEAR(B189)=YEAR('Исходные данные'!$B$13),MONTH(B189)=MONTH('Исходные данные'!$B$13)),-N('Исходные данные'!$B$11),0))</f>
        <v>0</v>
      </c>
      <c r="AC189">
        <f>IF(A189=1,-N('Исходные данные'!$B$19)*N('Исходные данные'!$B$72),0)</f>
        <v>0</v>
      </c>
      <c r="AD189">
        <f>IF(OR(B189="",'Исходные данные'!$B$22&lt;&gt;"Да",'Исходные данные'!$B$26=""),0,IF(AND(YEAR(B189)=YEAR('Исходные данные'!$B$26),MONTH(B189)=MONTH('Исходные данные'!$B$26)),N('Исходные данные'!$B$23),0))</f>
        <v>0</v>
      </c>
      <c r="AE189">
        <f t="shared" si="120"/>
        <v>0</v>
      </c>
      <c r="AF189">
        <f>IF(OR('Исходные данные'!$B$22&lt;&gt;"Да",'Исходные данные'!$B$26="",C189&lt;'Исходные данные'!$B$26),0,DATEDIF(DATE(YEAR('Исходные данные'!$B$26),MONTH('Исходные данные'!$B$26),1),B189,"m")+1)</f>
        <v>0</v>
      </c>
      <c r="AG189">
        <f>IF(OR(AF189&lt;1,AF189&gt;N('Исходные данные'!$B$25),AE189+AD189&lt;=0),0,-(AE189+AD189)*N('Исходные данные'!$B$24)*IF(AF189=1,C189-'Исходные данные'!$B$26+1,DAY(C189))/365)</f>
        <v>0</v>
      </c>
      <c r="AH189">
        <f>IF(OR(AF189&lt;1,AF189&gt;N('Исходные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данные'!$B$25)-AG189))</f>
        <v>0</v>
      </c>
      <c r="AI189">
        <f>IF(OR('Исходные данные'!$B$22&lt;&gt;"Да",AE189+AD189&lt;=0),0,IF(AND('Исходные данные'!$B$91&lt;&gt;"",B189&lt;&gt;"",YEAR(B189)=YEAR('Исходные данные'!$B$91),MONTH(B189)=MONTH('Исходные данные'!$B$91)),-(AE189+AD189),IF(OR(AF189&lt;1,AF189&gt;N('Исходные данные'!$B$25)),0,IF('Исходные данные'!$B$27="Равными долями",-MIN(AE189+AD189,N('Исходные данные'!$B$23)/N('Исходные данные'!$B$25)),-MIN(AE189+AD189,IF(AF189=N('Исходные данные'!$B$25),AE189+AD189,MAX(0,AH189+AG189)))))))</f>
        <v>0</v>
      </c>
      <c r="AJ189">
        <f t="shared" si="108"/>
        <v>0</v>
      </c>
      <c r="AK189">
        <f t="shared" si="109"/>
        <v>0</v>
      </c>
      <c r="AL189">
        <f>IF(OR(B189="",'Исходные данные'!$B$51&lt;&gt;"Да",'Исходные данные'!$B$61=""),0,IF(AND(YEAR(B189)=YEAR('Исходные данные'!$B$61),MONTH(B189)=MONTH('Исходные данные'!$B$61)),N('Исходные данные'!$B$18)*N('Исходные данные'!$B$62),0))</f>
        <v>0</v>
      </c>
      <c r="AM189">
        <f t="shared" si="121"/>
        <v>0</v>
      </c>
      <c r="AN189">
        <f t="shared" si="110"/>
        <v>0</v>
      </c>
      <c r="AO189">
        <f t="shared" si="111"/>
        <v>0</v>
      </c>
      <c r="AP189">
        <f>IF('Исходные данные'!$B$51="Да",-MAX(0,AN189-AO189-AM189),0)</f>
        <v>0</v>
      </c>
      <c r="AQ189">
        <f>IF('Исходные данные'!$B$51="Да",MAX(0,AM189+AO189-AN189),0)</f>
        <v>0</v>
      </c>
      <c r="AR189">
        <f>IF('Исходные данные'!$B$53="Выручка",MAX(0,L189+(Q189-R189)+(U189-V189)),IF('Исходные данные'!$B$53="Прибыль до налога",MAX(0,L189+(Q189-R189)+(U189-V189)+N('Исходные данные'!$B$54)*((O189+P189)+(S189+T189)+W189+X189)+IF('Исходные данные'!$B$55="Да",AG189,0)-N('Исходные данные'!$B$56)/12),IF('Исходные данные'!$B$53="Пользовательская база",MAX(0,N('Исходные данные'!$B$57)/12),0)))</f>
        <v>0</v>
      </c>
      <c r="AS189">
        <f>IF(E189=1,-AR189*N('Исходные данные'!$B$50),0)</f>
        <v>0</v>
      </c>
      <c r="AT189">
        <f t="shared" si="112"/>
        <v>0</v>
      </c>
      <c r="AU189">
        <f>IF(OR(B189="",N('Исходные данные'!$B$80)&lt;=0,'Исходные данные'!$B$88=""),0,MAX(0,IF('Исходные данные'!$B$88="Последние 12 месяцев",SUMIFS($Y$2:$Y$194,$B$2:$B$194,"&gt;="&amp;EDATE(B189,-11),$B$2:$B$194,"&lt;="&amp;B189),IF('Исходные данные'!$B$88="Пользовательский NOI",N('Исходные данные'!$B$89),AT189))/N('Исходные данные'!$B$80)*(1+N('Исходные данные'!$B$81))))</f>
        <v>0</v>
      </c>
      <c r="AV189">
        <f>IF(OR(E189&lt;&gt;1,B189="",'Исходные данные'!$B$91=""),0,IF(AND(YEAR(B189)=YEAR('Исходные данные'!$B$91),MONTH(B189)=MONTH('Исходные данные'!$B$91)),AU189,0))</f>
        <v>0</v>
      </c>
      <c r="AW189">
        <f>-AV189*N('Исходные данные'!$B$73)</f>
        <v>0</v>
      </c>
      <c r="AX189">
        <f>IF(AV189=0,0,-N('Исходные данные'!$B$87)-IF('Исходные данные'!$B$82="Да",IF('Исходные данные'!$B$84="С выручки",AV189,IF('Исходные данные'!$B$84="С прибыли",MAX(0,AV189+AW189-IF('Исходные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89">
        <f t="shared" si="113"/>
        <v>0</v>
      </c>
      <c r="AZ189">
        <f t="shared" si="114"/>
        <v>0</v>
      </c>
      <c r="BA189">
        <f t="shared" si="115"/>
        <v>0</v>
      </c>
      <c r="BB189" t="str">
        <f t="shared" si="122"/>
        <v/>
      </c>
      <c r="BC189">
        <f>IF(OR(E189=0,'Исходные данные'!$B$9="",'Исходные данные'!$B$90=""),0,BA189/(1+'Исходные данные'!$B$90)^((D189-'Исходные данные'!$B$9)/365))</f>
        <v>0</v>
      </c>
      <c r="BD189">
        <f>IF(AND(E189=1,BB189&gt;=0,BB188&lt;0,MIN($BB$2:BB189)&lt;0),1,0)</f>
        <v>0</v>
      </c>
      <c r="BE189">
        <f t="shared" si="116"/>
        <v>0</v>
      </c>
      <c r="BF189">
        <f t="shared" si="117"/>
        <v>0</v>
      </c>
      <c r="BG189">
        <f t="shared" si="118"/>
        <v>0</v>
      </c>
      <c r="BH189">
        <f t="shared" si="119"/>
        <v>1</v>
      </c>
      <c r="BI189">
        <f>AZ189+N189+AP189-AR189*N('Исходные данные'!$B$50)</f>
        <v>0</v>
      </c>
      <c r="BJ189">
        <f t="shared" si="102"/>
        <v>0</v>
      </c>
      <c r="BK189">
        <f>IF(AND(BJ189&gt;=0,BJ188&lt;0,MIN($BJ$2:BJ189)&lt;0),1,0)</f>
        <v>0</v>
      </c>
    </row>
    <row r="190" spans="1:63" x14ac:dyDescent="0.2">
      <c r="A190">
        <v>189</v>
      </c>
      <c r="B190" t="str">
        <f>IF('Исходные данные'!$B$9="","",EDATE(DATE(YEAR('Исходные данные'!$B$9),MONTH('Исходные данные'!$B$9),1),A190-1))</f>
        <v/>
      </c>
      <c r="C190" t="str">
        <f t="shared" si="103"/>
        <v/>
      </c>
      <c r="D190" t="str">
        <f>IF(B190="","",IF('Исходные данные'!$B$91&lt;&gt;"",IF(AND(YEAR(B190)=YEAR('Исходные данные'!$B$91),MONTH(B190)=MONTH('Исходные данные'!$B$91)),'Исходные данные'!$B$91,IF('Исходные данные'!$B$13&lt;&gt;"",IF(AND(YEAR(B190)=YEAR('Исходные данные'!$B$13),MONTH(B190)=MONTH('Исходные данные'!$B$13)),'Исходные данные'!$B$13,IF('Исходные данные'!$B$26&lt;&gt;"",IF(AND(YEAR(B190)=YEAR('Исходные данные'!$B$26),MONTH(B190)=MONTH('Исходные данные'!$B$26)),'Исходные данные'!$B$26,IF(A190=1,'Исходные данные'!$B$9,C190)),IF(A190=1,'Исходные данные'!$B$9,C190))),IF('Исходные данные'!$B$26&lt;&gt;"",IF(AND(YEAR(B190)=YEAR('Исходные данные'!$B$26),MONTH(B190)=MONTH('Исходные данные'!$B$26)),'Исходные данные'!$B$26,IF(A190=1,'Исходные данные'!$B$9,C190)),IF(A190=1,'Исходные данные'!$B$9,C190)))),IF('Исходные данные'!$B$13&lt;&gt;"",IF(AND(YEAR(B190)=YEAR('Исходные данные'!$B$13),MONTH(B190)=MONTH('Исходные данные'!$B$13)),'Исходные данные'!$B$13,IF('Исходные данные'!$B$26&lt;&gt;"",IF(AND(YEAR(B190)=YEAR('Исходные данные'!$B$26),MONTH(B190)=MONTH('Исходные данные'!$B$26)),'Исходные данные'!$B$26,IF(A190=1,'Исходные данные'!$B$9,C190)),IF(A190=1,'Исходные данные'!$B$9,C190))),IF('Исходные данные'!$B$26&lt;&gt;"",IF(AND(YEAR(B190)=YEAR('Исходные данные'!$B$26),MONTH(B190)=MONTH('Исходные данные'!$B$26)),'Исходные данные'!$B$26,IF(A190=1,'Исходные данные'!$B$9,C190)),IF(A190=1,'Исходные данные'!$B$9,C190)))))</f>
        <v/>
      </c>
      <c r="E190">
        <f>IF(OR(B190="",'Исходные данные'!$B$91=""),0,--(B190&lt;=DATE(YEAR('Исходные данные'!$B$91),MONTH('Исходные данные'!$B$91),1)))</f>
        <v>0</v>
      </c>
      <c r="F190">
        <f>IF(OR(B190="",'Исходные данные'!$B$30="",C190&lt;'Исходные данные'!$B$30),0,DATEDIF(DATE(YEAR('Исходные данные'!$B$30),MONTH('Исходные данные'!$B$30),1),B190,"m")+1)</f>
        <v>0</v>
      </c>
      <c r="G190">
        <f t="shared" si="104"/>
        <v>0</v>
      </c>
      <c r="H190">
        <f>IF(F190=0,0,IF(G190=1,N('Исходные данные'!$B$31),IF(G190=2,N('Исходные данные'!$B$32),IF(G190=3,N('Исходные данные'!$B$33),N('Исходные данные'!$B$33)*(1+N('Исходные данные'!$B$34))^(G190-3)))))</f>
        <v>0</v>
      </c>
      <c r="I190">
        <f>IF(OR(F190=0,N('Исходные данные'!$B$5)=0,H190=0),0,'Исходные данные'!$B$5*H190*IF(AND(B190&lt;='Исходные данные'!$B$30,C190&gt;='Исходные данные'!$B$30),(C190-'Исходные данные'!$B$30+1)/DAY(C190),1))</f>
        <v>0</v>
      </c>
      <c r="J190">
        <f>IF(AND(F190&gt;0,F190&lt;=N('Исходные данные'!$B$37)),-I190,0)</f>
        <v>0</v>
      </c>
      <c r="K190">
        <f>IF(OR(F190=0,F190&lt;=N('Исходные данные'!$B$37)),0,-(I190+J190)*N('Исходные данные'!$B$38))</f>
        <v>0</v>
      </c>
      <c r="L190">
        <f t="shared" si="105"/>
        <v>0</v>
      </c>
      <c r="M190">
        <f>IF('Исходные данные'!$B$51="Да",L190*N('Исходные данные'!$B$52),0)</f>
        <v>0</v>
      </c>
      <c r="N190">
        <f t="shared" si="106"/>
        <v>0</v>
      </c>
      <c r="O190">
        <f>IF(OR(B190="",IF('Исходные данные'!$B$45="",'Исходные данные'!$B$10,'Исходные данные'!$B$45)="",C190&lt;IF('Исходные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данные'!$B$45)),1),B190,"m")/12))*IF(AND(B190&lt;=IF('Исходные данные'!$B$45="",'Исходные данные'!$B$10,'Исходные данные'!$B$45),C190&gt;=IF('Исходные данные'!$B$45="",'Исходные данные'!$B$10,'Исходные данные'!$B$45)),(C190-IF('Исходные данные'!$B$45="",'Исходные данные'!$B$10,'Исходные данные'!$B$45)+1)/DAY(C190),1)*IF('Исходные данные'!$B$43="Без НДС",1+N('Исходные данные'!$B$44),1))</f>
        <v>0</v>
      </c>
      <c r="P190">
        <f>IF('Исходные данные'!$B$51="Да",-O190*N('Исходные данные'!$B$44)/(1+N('Исходные данные'!$B$44)),0)</f>
        <v>0</v>
      </c>
      <c r="Q190">
        <f>IF('Исходные данные'!$B$35="Да",-O190,0)</f>
        <v>0</v>
      </c>
      <c r="R190">
        <f>IF(AND('Исходные данные'!$B$51="Да",Q190&gt;0),Q190*N('Исходные данные'!$B$52)/(1+N('Исходные данные'!$B$52)),0)</f>
        <v>0</v>
      </c>
      <c r="S190">
        <f>IF(OR(B190="",IF('Исходные данные'!$B$45="",'Исходные данные'!$B$10,'Исходные данные'!$B$45)="",C190&lt;IF('Исходные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данные'!$B$45)),1),B190,"m")/12))*IF(AND(B190&lt;=IF('Исходные данные'!$B$45="",'Исходные данные'!$B$10,'Исходные данные'!$B$45),C190&gt;=IF('Исходные данные'!$B$45="",'Исходные данные'!$B$10,'Исходные данные'!$B$45)),(C190-IF('Исходные данные'!$B$45="",'Исходные данные'!$B$10,'Исходные данные'!$B$45)+1)/DAY(C190),1)*IF('Исходные данные'!$B$43="Без НДС",1+N('Исходные данные'!$B$44),1))</f>
        <v>0</v>
      </c>
      <c r="T190">
        <f>IF('Исходные данные'!$B$51="Да",-S190*N('Исходные данные'!$B$44)/(1+N('Исходные данные'!$B$44)),0)</f>
        <v>0</v>
      </c>
      <c r="U190">
        <f>IF('Исходные данные'!$B$36="Да",-S190,0)</f>
        <v>0</v>
      </c>
      <c r="V190">
        <f>IF(AND('Исходные данные'!$B$51="Да",U190&gt;0),U190*N('Исходные данные'!$B$52)/(1+N('Исходные данные'!$B$52)),0)</f>
        <v>0</v>
      </c>
      <c r="W190">
        <f>IF(OR(B190="",IF('Исходные данные'!$B$69="",'Исходные данные'!$B$10,'Исходные данные'!$B$69)="",C190&lt;IF('Исходные данные'!$B$69="",'Исходные данные'!$B$10,'Исходные данные'!$B$69)),0,-N('Исходные данные'!$B$16)*N('Исходные данные'!$B$68)*N('Исходные данные'!$B$67)/12*IF(AND(B190&lt;=IF('Исходные данные'!$B$69="",'Исходные данные'!$B$10,'Исходные данные'!$B$69),C190&gt;=IF('Исходные данные'!$B$69="",'Исходные данные'!$B$10,'Исходные данные'!$B$69)),(C190-IF('Исходные данные'!$B$69="",'Исходные данные'!$B$10,'Исходные данные'!$B$69)+1)/DAY(C190),1))</f>
        <v>0</v>
      </c>
      <c r="X190">
        <f>IF(OR(B190="",IF('Исходные данные'!$B$76="",'Исходные данные'!$B$10,'Исходные данные'!$B$76)="",C190&lt;IF('Исходные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данные'!$B$76)),1),B190,"m")/12))*IF(AND(B190&lt;=IF('Исходные данные'!$B$76="",'Исходные данные'!$B$10,'Исходные данные'!$B$76),C190&gt;=IF('Исходные данные'!$B$76="",'Исходные данные'!$B$10,'Исходные данные'!$B$76)),(C190-IF('Исходные данные'!$B$76="",'Исходные данные'!$B$10,'Исходные данные'!$B$76)+1)/DAY(C190),1))</f>
        <v>0</v>
      </c>
      <c r="Y190">
        <f t="shared" si="107"/>
        <v>0</v>
      </c>
      <c r="Z190">
        <f>IF(OR(B190="",N('Исходные данные'!$B$19)=0),0,-SUMIFS('Исходные данные'!$I$6:$I$186,'Исходные данные'!$F$6:$F$186,B190)*N('Исходные данные'!$B$17)/N('Исходные данные'!$B$19))</f>
        <v>0</v>
      </c>
      <c r="AA190">
        <f>IF(OR(B190="",N('Исходные данные'!$B$19)=0),0,-SUMIFS('Исходные данные'!$I$6:$I$186,'Исходные данные'!$F$6:$F$186,B190)*N('Исходные данные'!$B$18)/N('Исходные данные'!$B$19))</f>
        <v>0</v>
      </c>
      <c r="AB190">
        <f>IF(OR(B190="",'Исходные данные'!$B$13=""),0,IF(AND(YEAR(B190)=YEAR('Исходные данные'!$B$13),MONTH(B190)=MONTH('Исходные данные'!$B$13)),-N('Исходные данные'!$B$11),0))</f>
        <v>0</v>
      </c>
      <c r="AC190">
        <f>IF(A190=1,-N('Исходные данные'!$B$19)*N('Исходные данные'!$B$72),0)</f>
        <v>0</v>
      </c>
      <c r="AD190">
        <f>IF(OR(B190="",'Исходные данные'!$B$22&lt;&gt;"Да",'Исходные данные'!$B$26=""),0,IF(AND(YEAR(B190)=YEAR('Исходные данные'!$B$26),MONTH(B190)=MONTH('Исходные данные'!$B$26)),N('Исходные данные'!$B$23),0))</f>
        <v>0</v>
      </c>
      <c r="AE190">
        <f t="shared" si="120"/>
        <v>0</v>
      </c>
      <c r="AF190">
        <f>IF(OR('Исходные данные'!$B$22&lt;&gt;"Да",'Исходные данные'!$B$26="",C190&lt;'Исходные данные'!$B$26),0,DATEDIF(DATE(YEAR('Исходные данные'!$B$26),MONTH('Исходные данные'!$B$26),1),B190,"m")+1)</f>
        <v>0</v>
      </c>
      <c r="AG190">
        <f>IF(OR(AF190&lt;1,AF190&gt;N('Исходные данные'!$B$25),AE190+AD190&lt;=0),0,-(AE190+AD190)*N('Исходные данные'!$B$24)*IF(AF190=1,C190-'Исходные данные'!$B$26+1,DAY(C190))/365)</f>
        <v>0</v>
      </c>
      <c r="AH190">
        <f>IF(OR(AF190&lt;1,AF190&gt;N('Исходные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данные'!$B$25)-AG190))</f>
        <v>0</v>
      </c>
      <c r="AI190">
        <f>IF(OR('Исходные данные'!$B$22&lt;&gt;"Да",AE190+AD190&lt;=0),0,IF(AND('Исходные данные'!$B$91&lt;&gt;"",B190&lt;&gt;"",YEAR(B190)=YEAR('Исходные данные'!$B$91),MONTH(B190)=MONTH('Исходные данные'!$B$91)),-(AE190+AD190),IF(OR(AF190&lt;1,AF190&gt;N('Исходные данные'!$B$25)),0,IF('Исходные данные'!$B$27="Равными долями",-MIN(AE190+AD190,N('Исходные данные'!$B$23)/N('Исходные данные'!$B$25)),-MIN(AE190+AD190,IF(AF190=N('Исходные данные'!$B$25),AE190+AD190,MAX(0,AH190+AG190)))))))</f>
        <v>0</v>
      </c>
      <c r="AJ190">
        <f t="shared" si="108"/>
        <v>0</v>
      </c>
      <c r="AK190">
        <f t="shared" si="109"/>
        <v>0</v>
      </c>
      <c r="AL190">
        <f>IF(OR(B190="",'Исходные данные'!$B$51&lt;&gt;"Да",'Исходные данные'!$B$61=""),0,IF(AND(YEAR(B190)=YEAR('Исходные данные'!$B$61),MONTH(B190)=MONTH('Исходные данные'!$B$61)),N('Исходные данные'!$B$18)*N('Исходные данные'!$B$62),0))</f>
        <v>0</v>
      </c>
      <c r="AM190">
        <f t="shared" si="121"/>
        <v>0</v>
      </c>
      <c r="AN190">
        <f t="shared" si="110"/>
        <v>0</v>
      </c>
      <c r="AO190">
        <f t="shared" si="111"/>
        <v>0</v>
      </c>
      <c r="AP190">
        <f>IF('Исходные данные'!$B$51="Да",-MAX(0,AN190-AO190-AM190),0)</f>
        <v>0</v>
      </c>
      <c r="AQ190">
        <f>IF('Исходные данные'!$B$51="Да",MAX(0,AM190+AO190-AN190),0)</f>
        <v>0</v>
      </c>
      <c r="AR190">
        <f>IF('Исходные данные'!$B$53="Выручка",MAX(0,L190+(Q190-R190)+(U190-V190)),IF('Исходные данные'!$B$53="Прибыль до налога",MAX(0,L190+(Q190-R190)+(U190-V190)+N('Исходные данные'!$B$54)*((O190+P190)+(S190+T190)+W190+X190)+IF('Исходные данные'!$B$55="Да",AG190,0)-N('Исходные данные'!$B$56)/12),IF('Исходные данные'!$B$53="Пользовательская база",MAX(0,N('Исходные данные'!$B$57)/12),0)))</f>
        <v>0</v>
      </c>
      <c r="AS190">
        <f>IF(E190=1,-AR190*N('Исходные данные'!$B$50),0)</f>
        <v>0</v>
      </c>
      <c r="AT190">
        <f t="shared" si="112"/>
        <v>0</v>
      </c>
      <c r="AU190">
        <f>IF(OR(B190="",N('Исходные данные'!$B$80)&lt;=0,'Исходные данные'!$B$88=""),0,MAX(0,IF('Исходные данные'!$B$88="Последние 12 месяцев",SUMIFS($Y$2:$Y$194,$B$2:$B$194,"&gt;="&amp;EDATE(B190,-11),$B$2:$B$194,"&lt;="&amp;B190),IF('Исходные данные'!$B$88="Пользовательский NOI",N('Исходные данные'!$B$89),AT190))/N('Исходные данные'!$B$80)*(1+N('Исходные данные'!$B$81))))</f>
        <v>0</v>
      </c>
      <c r="AV190">
        <f>IF(OR(E190&lt;&gt;1,B190="",'Исходные данные'!$B$91=""),0,IF(AND(YEAR(B190)=YEAR('Исходные данные'!$B$91),MONTH(B190)=MONTH('Исходные данные'!$B$91)),AU190,0))</f>
        <v>0</v>
      </c>
      <c r="AW190">
        <f>-AV190*N('Исходные данные'!$B$73)</f>
        <v>0</v>
      </c>
      <c r="AX190">
        <f>IF(AV190=0,0,-N('Исходные данные'!$B$87)-IF('Исходные данные'!$B$82="Да",IF('Исходные данные'!$B$84="С выручки",AV190,IF('Исходные данные'!$B$84="С прибыли",MAX(0,AV190+AW190-IF('Исходные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90">
        <f t="shared" si="113"/>
        <v>0</v>
      </c>
      <c r="AZ190">
        <f t="shared" si="114"/>
        <v>0</v>
      </c>
      <c r="BA190">
        <f t="shared" si="115"/>
        <v>0</v>
      </c>
      <c r="BB190" t="str">
        <f t="shared" si="122"/>
        <v/>
      </c>
      <c r="BC190">
        <f>IF(OR(E190=0,'Исходные данные'!$B$9="",'Исходные данные'!$B$90=""),0,BA190/(1+'Исходные данные'!$B$90)^((D190-'Исходные данные'!$B$9)/365))</f>
        <v>0</v>
      </c>
      <c r="BD190">
        <f>IF(AND(E190=1,BB190&gt;=0,BB189&lt;0,MIN($BB$2:BB190)&lt;0),1,0)</f>
        <v>0</v>
      </c>
      <c r="BE190">
        <f t="shared" si="116"/>
        <v>0</v>
      </c>
      <c r="BF190">
        <f t="shared" si="117"/>
        <v>0</v>
      </c>
      <c r="BG190">
        <f t="shared" si="118"/>
        <v>0</v>
      </c>
      <c r="BH190">
        <f t="shared" si="119"/>
        <v>1</v>
      </c>
      <c r="BI190">
        <f>AZ190+N190+AP190-AR190*N('Исходные данные'!$B$50)</f>
        <v>0</v>
      </c>
      <c r="BJ190">
        <f t="shared" si="102"/>
        <v>0</v>
      </c>
      <c r="BK190">
        <f>IF(AND(BJ190&gt;=0,BJ189&lt;0,MIN($BJ$2:BJ190)&lt;0),1,0)</f>
        <v>0</v>
      </c>
    </row>
    <row r="191" spans="1:63" x14ac:dyDescent="0.2">
      <c r="A191">
        <v>190</v>
      </c>
      <c r="B191" t="str">
        <f>IF('Исходные данные'!$B$9="","",EDATE(DATE(YEAR('Исходные данные'!$B$9),MONTH('Исходные данные'!$B$9),1),A191-1))</f>
        <v/>
      </c>
      <c r="C191" t="str">
        <f t="shared" si="103"/>
        <v/>
      </c>
      <c r="D191" t="str">
        <f>IF(B191="","",IF('Исходные данные'!$B$91&lt;&gt;"",IF(AND(YEAR(B191)=YEAR('Исходные данные'!$B$91),MONTH(B191)=MONTH('Исходные данные'!$B$91)),'Исходные данные'!$B$91,IF('Исходные данные'!$B$13&lt;&gt;"",IF(AND(YEAR(B191)=YEAR('Исходные данные'!$B$13),MONTH(B191)=MONTH('Исходные данные'!$B$13)),'Исходные данные'!$B$13,IF('Исходные данные'!$B$26&lt;&gt;"",IF(AND(YEAR(B191)=YEAR('Исходные данные'!$B$26),MONTH(B191)=MONTH('Исходные данные'!$B$26)),'Исходные данные'!$B$26,IF(A191=1,'Исходные данные'!$B$9,C191)),IF(A191=1,'Исходные данные'!$B$9,C191))),IF('Исходные данные'!$B$26&lt;&gt;"",IF(AND(YEAR(B191)=YEAR('Исходные данные'!$B$26),MONTH(B191)=MONTH('Исходные данные'!$B$26)),'Исходные данные'!$B$26,IF(A191=1,'Исходные данные'!$B$9,C191)),IF(A191=1,'Исходные данные'!$B$9,C191)))),IF('Исходные данные'!$B$13&lt;&gt;"",IF(AND(YEAR(B191)=YEAR('Исходные данные'!$B$13),MONTH(B191)=MONTH('Исходные данные'!$B$13)),'Исходные данные'!$B$13,IF('Исходные данные'!$B$26&lt;&gt;"",IF(AND(YEAR(B191)=YEAR('Исходные данные'!$B$26),MONTH(B191)=MONTH('Исходные данные'!$B$26)),'Исходные данные'!$B$26,IF(A191=1,'Исходные данные'!$B$9,C191)),IF(A191=1,'Исходные данные'!$B$9,C191))),IF('Исходные данные'!$B$26&lt;&gt;"",IF(AND(YEAR(B191)=YEAR('Исходные данные'!$B$26),MONTH(B191)=MONTH('Исходные данные'!$B$26)),'Исходные данные'!$B$26,IF(A191=1,'Исходные данные'!$B$9,C191)),IF(A191=1,'Исходные данные'!$B$9,C191)))))</f>
        <v/>
      </c>
      <c r="E191">
        <f>IF(OR(B191="",'Исходные данные'!$B$91=""),0,--(B191&lt;=DATE(YEAR('Исходные данные'!$B$91),MONTH('Исходные данные'!$B$91),1)))</f>
        <v>0</v>
      </c>
      <c r="F191">
        <f>IF(OR(B191="",'Исходные данные'!$B$30="",C191&lt;'Исходные данные'!$B$30),0,DATEDIF(DATE(YEAR('Исходные данные'!$B$30),MONTH('Исходные данные'!$B$30),1),B191,"m")+1)</f>
        <v>0</v>
      </c>
      <c r="G191">
        <f t="shared" si="104"/>
        <v>0</v>
      </c>
      <c r="H191">
        <f>IF(F191=0,0,IF(G191=1,N('Исходные данные'!$B$31),IF(G191=2,N('Исходные данные'!$B$32),IF(G191=3,N('Исходные данные'!$B$33),N('Исходные данные'!$B$33)*(1+N('Исходные данные'!$B$34))^(G191-3)))))</f>
        <v>0</v>
      </c>
      <c r="I191">
        <f>IF(OR(F191=0,N('Исходные данные'!$B$5)=0,H191=0),0,'Исходные данные'!$B$5*H191*IF(AND(B191&lt;='Исходные данные'!$B$30,C191&gt;='Исходные данные'!$B$30),(C191-'Исходные данные'!$B$30+1)/DAY(C191),1))</f>
        <v>0</v>
      </c>
      <c r="J191">
        <f>IF(AND(F191&gt;0,F191&lt;=N('Исходные данные'!$B$37)),-I191,0)</f>
        <v>0</v>
      </c>
      <c r="K191">
        <f>IF(OR(F191=0,F191&lt;=N('Исходные данные'!$B$37)),0,-(I191+J191)*N('Исходные данные'!$B$38))</f>
        <v>0</v>
      </c>
      <c r="L191">
        <f t="shared" si="105"/>
        <v>0</v>
      </c>
      <c r="M191">
        <f>IF('Исходные данные'!$B$51="Да",L191*N('Исходные данные'!$B$52),0)</f>
        <v>0</v>
      </c>
      <c r="N191">
        <f t="shared" si="106"/>
        <v>0</v>
      </c>
      <c r="O191">
        <f>IF(OR(B191="",IF('Исходные данные'!$B$45="",'Исходные данные'!$B$10,'Исходные данные'!$B$45)="",C191&lt;IF('Исходные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данные'!$B$45)),1),B191,"m")/12))*IF(AND(B191&lt;=IF('Исходные данные'!$B$45="",'Исходные данные'!$B$10,'Исходные данные'!$B$45),C191&gt;=IF('Исходные данные'!$B$45="",'Исходные данные'!$B$10,'Исходные данные'!$B$45)),(C191-IF('Исходные данные'!$B$45="",'Исходные данные'!$B$10,'Исходные данные'!$B$45)+1)/DAY(C191),1)*IF('Исходные данные'!$B$43="Без НДС",1+N('Исходные данные'!$B$44),1))</f>
        <v>0</v>
      </c>
      <c r="P191">
        <f>IF('Исходные данные'!$B$51="Да",-O191*N('Исходные данные'!$B$44)/(1+N('Исходные данные'!$B$44)),0)</f>
        <v>0</v>
      </c>
      <c r="Q191">
        <f>IF('Исходные данные'!$B$35="Да",-O191,0)</f>
        <v>0</v>
      </c>
      <c r="R191">
        <f>IF(AND('Исходные данные'!$B$51="Да",Q191&gt;0),Q191*N('Исходные данные'!$B$52)/(1+N('Исходные данные'!$B$52)),0)</f>
        <v>0</v>
      </c>
      <c r="S191">
        <f>IF(OR(B191="",IF('Исходные данные'!$B$45="",'Исходные данные'!$B$10,'Исходные данные'!$B$45)="",C191&lt;IF('Исходные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данные'!$B$45)),1),B191,"m")/12))*IF(AND(B191&lt;=IF('Исходные данные'!$B$45="",'Исходные данные'!$B$10,'Исходные данные'!$B$45),C191&gt;=IF('Исходные данные'!$B$45="",'Исходные данные'!$B$10,'Исходные данные'!$B$45)),(C191-IF('Исходные данные'!$B$45="",'Исходные данные'!$B$10,'Исходные данные'!$B$45)+1)/DAY(C191),1)*IF('Исходные данные'!$B$43="Без НДС",1+N('Исходные данные'!$B$44),1))</f>
        <v>0</v>
      </c>
      <c r="T191">
        <f>IF('Исходные данные'!$B$51="Да",-S191*N('Исходные данные'!$B$44)/(1+N('Исходные данные'!$B$44)),0)</f>
        <v>0</v>
      </c>
      <c r="U191">
        <f>IF('Исходные данные'!$B$36="Да",-S191,0)</f>
        <v>0</v>
      </c>
      <c r="V191">
        <f>IF(AND('Исходные данные'!$B$51="Да",U191&gt;0),U191*N('Исходные данные'!$B$52)/(1+N('Исходные данные'!$B$52)),0)</f>
        <v>0</v>
      </c>
      <c r="W191">
        <f>IF(OR(B191="",IF('Исходные данные'!$B$69="",'Исходные данные'!$B$10,'Исходные данные'!$B$69)="",C191&lt;IF('Исходные данные'!$B$69="",'Исходные данные'!$B$10,'Исходные данные'!$B$69)),0,-N('Исходные данные'!$B$16)*N('Исходные данные'!$B$68)*N('Исходные данные'!$B$67)/12*IF(AND(B191&lt;=IF('Исходные данные'!$B$69="",'Исходные данные'!$B$10,'Исходные данные'!$B$69),C191&gt;=IF('Исходные данные'!$B$69="",'Исходные данные'!$B$10,'Исходные данные'!$B$69)),(C191-IF('Исходные данные'!$B$69="",'Исходные данные'!$B$10,'Исходные данные'!$B$69)+1)/DAY(C191),1))</f>
        <v>0</v>
      </c>
      <c r="X191">
        <f>IF(OR(B191="",IF('Исходные данные'!$B$76="",'Исходные данные'!$B$10,'Исходные данные'!$B$76)="",C191&lt;IF('Исходные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данные'!$B$76)),1),B191,"m")/12))*IF(AND(B191&lt;=IF('Исходные данные'!$B$76="",'Исходные данные'!$B$10,'Исходные данные'!$B$76),C191&gt;=IF('Исходные данные'!$B$76="",'Исходные данные'!$B$10,'Исходные данные'!$B$76)),(C191-IF('Исходные данные'!$B$76="",'Исходные данные'!$B$10,'Исходные данные'!$B$76)+1)/DAY(C191),1))</f>
        <v>0</v>
      </c>
      <c r="Y191">
        <f t="shared" si="107"/>
        <v>0</v>
      </c>
      <c r="Z191">
        <f>IF(OR(B191="",N('Исходные данные'!$B$19)=0),0,-SUMIFS('Исходные данные'!$I$6:$I$186,'Исходные данные'!$F$6:$F$186,B191)*N('Исходные данные'!$B$17)/N('Исходные данные'!$B$19))</f>
        <v>0</v>
      </c>
      <c r="AA191">
        <f>IF(OR(B191="",N('Исходные данные'!$B$19)=0),0,-SUMIFS('Исходные данные'!$I$6:$I$186,'Исходные данные'!$F$6:$F$186,B191)*N('Исходные данные'!$B$18)/N('Исходные данные'!$B$19))</f>
        <v>0</v>
      </c>
      <c r="AB191">
        <f>IF(OR(B191="",'Исходные данные'!$B$13=""),0,IF(AND(YEAR(B191)=YEAR('Исходные данные'!$B$13),MONTH(B191)=MONTH('Исходные данные'!$B$13)),-N('Исходные данные'!$B$11),0))</f>
        <v>0</v>
      </c>
      <c r="AC191">
        <f>IF(A191=1,-N('Исходные данные'!$B$19)*N('Исходные данные'!$B$72),0)</f>
        <v>0</v>
      </c>
      <c r="AD191">
        <f>IF(OR(B191="",'Исходные данные'!$B$22&lt;&gt;"Да",'Исходные данные'!$B$26=""),0,IF(AND(YEAR(B191)=YEAR('Исходные данные'!$B$26),MONTH(B191)=MONTH('Исходные данные'!$B$26)),N('Исходные данные'!$B$23),0))</f>
        <v>0</v>
      </c>
      <c r="AE191">
        <f t="shared" si="120"/>
        <v>0</v>
      </c>
      <c r="AF191">
        <f>IF(OR('Исходные данные'!$B$22&lt;&gt;"Да",'Исходные данные'!$B$26="",C191&lt;'Исходные данные'!$B$26),0,DATEDIF(DATE(YEAR('Исходные данные'!$B$26),MONTH('Исходные данные'!$B$26),1),B191,"m")+1)</f>
        <v>0</v>
      </c>
      <c r="AG191">
        <f>IF(OR(AF191&lt;1,AF191&gt;N('Исходные данные'!$B$25),AE191+AD191&lt;=0),0,-(AE191+AD191)*N('Исходные данные'!$B$24)*IF(AF191=1,C191-'Исходные данные'!$B$26+1,DAY(C191))/365)</f>
        <v>0</v>
      </c>
      <c r="AH191">
        <f>IF(OR(AF191&lt;1,AF191&gt;N('Исходные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данные'!$B$25)-AG191))</f>
        <v>0</v>
      </c>
      <c r="AI191">
        <f>IF(OR('Исходные данные'!$B$22&lt;&gt;"Да",AE191+AD191&lt;=0),0,IF(AND('Исходные данные'!$B$91&lt;&gt;"",B191&lt;&gt;"",YEAR(B191)=YEAR('Исходные данные'!$B$91),MONTH(B191)=MONTH('Исходные данные'!$B$91)),-(AE191+AD191),IF(OR(AF191&lt;1,AF191&gt;N('Исходные данные'!$B$25)),0,IF('Исходные данные'!$B$27="Равными долями",-MIN(AE191+AD191,N('Исходные данные'!$B$23)/N('Исходные данные'!$B$25)),-MIN(AE191+AD191,IF(AF191=N('Исходные данные'!$B$25),AE191+AD191,MAX(0,AH191+AG191)))))))</f>
        <v>0</v>
      </c>
      <c r="AJ191">
        <f t="shared" si="108"/>
        <v>0</v>
      </c>
      <c r="AK191">
        <f t="shared" si="109"/>
        <v>0</v>
      </c>
      <c r="AL191">
        <f>IF(OR(B191="",'Исходные данные'!$B$51&lt;&gt;"Да",'Исходные данные'!$B$61=""),0,IF(AND(YEAR(B191)=YEAR('Исходные данные'!$B$61),MONTH(B191)=MONTH('Исходные данные'!$B$61)),N('Исходные данные'!$B$18)*N('Исходные данные'!$B$62),0))</f>
        <v>0</v>
      </c>
      <c r="AM191">
        <f t="shared" si="121"/>
        <v>0</v>
      </c>
      <c r="AN191">
        <f t="shared" si="110"/>
        <v>0</v>
      </c>
      <c r="AO191">
        <f t="shared" si="111"/>
        <v>0</v>
      </c>
      <c r="AP191">
        <f>IF('Исходные данные'!$B$51="Да",-MAX(0,AN191-AO191-AM191),0)</f>
        <v>0</v>
      </c>
      <c r="AQ191">
        <f>IF('Исходные данные'!$B$51="Да",MAX(0,AM191+AO191-AN191),0)</f>
        <v>0</v>
      </c>
      <c r="AR191">
        <f>IF('Исходные данные'!$B$53="Выручка",MAX(0,L191+(Q191-R191)+(U191-V191)),IF('Исходные данные'!$B$53="Прибыль до налога",MAX(0,L191+(Q191-R191)+(U191-V191)+N('Исходные данные'!$B$54)*((O191+P191)+(S191+T191)+W191+X191)+IF('Исходные данные'!$B$55="Да",AG191,0)-N('Исходные данные'!$B$56)/12),IF('Исходные данные'!$B$53="Пользовательская база",MAX(0,N('Исходные данные'!$B$57)/12),0)))</f>
        <v>0</v>
      </c>
      <c r="AS191">
        <f>IF(E191=1,-AR191*N('Исходные данные'!$B$50),0)</f>
        <v>0</v>
      </c>
      <c r="AT191">
        <f t="shared" si="112"/>
        <v>0</v>
      </c>
      <c r="AU191">
        <f>IF(OR(B191="",N('Исходные данные'!$B$80)&lt;=0,'Исходные данные'!$B$88=""),0,MAX(0,IF('Исходные данные'!$B$88="Последние 12 месяцев",SUMIFS($Y$2:$Y$194,$B$2:$B$194,"&gt;="&amp;EDATE(B191,-11),$B$2:$B$194,"&lt;="&amp;B191),IF('Исходные данные'!$B$88="Пользовательский NOI",N('Исходные данные'!$B$89),AT191))/N('Исходные данные'!$B$80)*(1+N('Исходные данные'!$B$81))))</f>
        <v>0</v>
      </c>
      <c r="AV191">
        <f>IF(OR(E191&lt;&gt;1,B191="",'Исходные данные'!$B$91=""),0,IF(AND(YEAR(B191)=YEAR('Исходные данные'!$B$91),MONTH(B191)=MONTH('Исходные данные'!$B$91)),AU191,0))</f>
        <v>0</v>
      </c>
      <c r="AW191">
        <f>-AV191*N('Исходные данные'!$B$73)</f>
        <v>0</v>
      </c>
      <c r="AX191">
        <f>IF(AV191=0,0,-N('Исходные данные'!$B$87)-IF('Исходные данные'!$B$82="Да",IF('Исходные данные'!$B$84="С выручки",AV191,IF('Исходные данные'!$B$84="С прибыли",MAX(0,AV191+AW191-IF('Исходные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91">
        <f t="shared" si="113"/>
        <v>0</v>
      </c>
      <c r="AZ191">
        <f t="shared" si="114"/>
        <v>0</v>
      </c>
      <c r="BA191">
        <f t="shared" si="115"/>
        <v>0</v>
      </c>
      <c r="BB191" t="str">
        <f t="shared" si="122"/>
        <v/>
      </c>
      <c r="BC191">
        <f>IF(OR(E191=0,'Исходные данные'!$B$9="",'Исходные данные'!$B$90=""),0,BA191/(1+'Исходные данные'!$B$90)^((D191-'Исходные данные'!$B$9)/365))</f>
        <v>0</v>
      </c>
      <c r="BD191">
        <f>IF(AND(E191=1,BB191&gt;=0,BB190&lt;0,MIN($BB$2:BB191)&lt;0),1,0)</f>
        <v>0</v>
      </c>
      <c r="BE191">
        <f t="shared" si="116"/>
        <v>0</v>
      </c>
      <c r="BF191">
        <f t="shared" si="117"/>
        <v>0</v>
      </c>
      <c r="BG191">
        <f t="shared" si="118"/>
        <v>0</v>
      </c>
      <c r="BH191">
        <f t="shared" si="119"/>
        <v>1</v>
      </c>
      <c r="BI191">
        <f>AZ191+N191+AP191-AR191*N('Исходные данные'!$B$50)</f>
        <v>0</v>
      </c>
      <c r="BJ191">
        <f t="shared" si="102"/>
        <v>0</v>
      </c>
      <c r="BK191">
        <f>IF(AND(BJ191&gt;=0,BJ190&lt;0,MIN($BJ$2:BJ191)&lt;0),1,0)</f>
        <v>0</v>
      </c>
    </row>
    <row r="192" spans="1:63" x14ac:dyDescent="0.2">
      <c r="A192">
        <v>191</v>
      </c>
      <c r="B192" t="str">
        <f>IF('Исходные данные'!$B$9="","",EDATE(DATE(YEAR('Исходные данные'!$B$9),MONTH('Исходные данные'!$B$9),1),A192-1))</f>
        <v/>
      </c>
      <c r="C192" t="str">
        <f t="shared" si="103"/>
        <v/>
      </c>
      <c r="D192" t="str">
        <f>IF(B192="","",IF('Исходные данные'!$B$91&lt;&gt;"",IF(AND(YEAR(B192)=YEAR('Исходные данные'!$B$91),MONTH(B192)=MONTH('Исходные данные'!$B$91)),'Исходные данные'!$B$91,IF('Исходные данные'!$B$13&lt;&gt;"",IF(AND(YEAR(B192)=YEAR('Исходные данные'!$B$13),MONTH(B192)=MONTH('Исходные данные'!$B$13)),'Исходные данные'!$B$13,IF('Исходные данные'!$B$26&lt;&gt;"",IF(AND(YEAR(B192)=YEAR('Исходные данные'!$B$26),MONTH(B192)=MONTH('Исходные данные'!$B$26)),'Исходные данные'!$B$26,IF(A192=1,'Исходные данные'!$B$9,C192)),IF(A192=1,'Исходные данные'!$B$9,C192))),IF('Исходные данные'!$B$26&lt;&gt;"",IF(AND(YEAR(B192)=YEAR('Исходные данные'!$B$26),MONTH(B192)=MONTH('Исходные данные'!$B$26)),'Исходные данные'!$B$26,IF(A192=1,'Исходные данные'!$B$9,C192)),IF(A192=1,'Исходные данные'!$B$9,C192)))),IF('Исходные данные'!$B$13&lt;&gt;"",IF(AND(YEAR(B192)=YEAR('Исходные данные'!$B$13),MONTH(B192)=MONTH('Исходные данные'!$B$13)),'Исходные данные'!$B$13,IF('Исходные данные'!$B$26&lt;&gt;"",IF(AND(YEAR(B192)=YEAR('Исходные данные'!$B$26),MONTH(B192)=MONTH('Исходные данные'!$B$26)),'Исходные данные'!$B$26,IF(A192=1,'Исходные данные'!$B$9,C192)),IF(A192=1,'Исходные данные'!$B$9,C192))),IF('Исходные данные'!$B$26&lt;&gt;"",IF(AND(YEAR(B192)=YEAR('Исходные данные'!$B$26),MONTH(B192)=MONTH('Исходные данные'!$B$26)),'Исходные данные'!$B$26,IF(A192=1,'Исходные данные'!$B$9,C192)),IF(A192=1,'Исходные данные'!$B$9,C192)))))</f>
        <v/>
      </c>
      <c r="E192">
        <f>IF(OR(B192="",'Исходные данные'!$B$91=""),0,--(B192&lt;=DATE(YEAR('Исходные данные'!$B$91),MONTH('Исходные данные'!$B$91),1)))</f>
        <v>0</v>
      </c>
      <c r="F192">
        <f>IF(OR(B192="",'Исходные данные'!$B$30="",C192&lt;'Исходные данные'!$B$30),0,DATEDIF(DATE(YEAR('Исходные данные'!$B$30),MONTH('Исходные данные'!$B$30),1),B192,"m")+1)</f>
        <v>0</v>
      </c>
      <c r="G192">
        <f t="shared" si="104"/>
        <v>0</v>
      </c>
      <c r="H192">
        <f>IF(F192=0,0,IF(G192=1,N('Исходные данные'!$B$31),IF(G192=2,N('Исходные данные'!$B$32),IF(G192=3,N('Исходные данные'!$B$33),N('Исходные данные'!$B$33)*(1+N('Исходные данные'!$B$34))^(G192-3)))))</f>
        <v>0</v>
      </c>
      <c r="I192">
        <f>IF(OR(F192=0,N('Исходные данные'!$B$5)=0,H192=0),0,'Исходные данные'!$B$5*H192*IF(AND(B192&lt;='Исходные данные'!$B$30,C192&gt;='Исходные данные'!$B$30),(C192-'Исходные данные'!$B$30+1)/DAY(C192),1))</f>
        <v>0</v>
      </c>
      <c r="J192">
        <f>IF(AND(F192&gt;0,F192&lt;=N('Исходные данные'!$B$37)),-I192,0)</f>
        <v>0</v>
      </c>
      <c r="K192">
        <f>IF(OR(F192=0,F192&lt;=N('Исходные данные'!$B$37)),0,-(I192+J192)*N('Исходные данные'!$B$38))</f>
        <v>0</v>
      </c>
      <c r="L192">
        <f t="shared" si="105"/>
        <v>0</v>
      </c>
      <c r="M192">
        <f>IF('Исходные данные'!$B$51="Да",L192*N('Исходные данные'!$B$52),0)</f>
        <v>0</v>
      </c>
      <c r="N192">
        <f t="shared" si="106"/>
        <v>0</v>
      </c>
      <c r="O192">
        <f>IF(OR(B192="",IF('Исходные данные'!$B$45="",'Исходные данные'!$B$10,'Исходные данные'!$B$45)="",C192&lt;IF('Исходные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данные'!$B$45)),1),B192,"m")/12))*IF(AND(B192&lt;=IF('Исходные данные'!$B$45="",'Исходные данные'!$B$10,'Исходные данные'!$B$45),C192&gt;=IF('Исходные данные'!$B$45="",'Исходные данные'!$B$10,'Исходные данные'!$B$45)),(C192-IF('Исходные данные'!$B$45="",'Исходные данные'!$B$10,'Исходные данные'!$B$45)+1)/DAY(C192),1)*IF('Исходные данные'!$B$43="Без НДС",1+N('Исходные данные'!$B$44),1))</f>
        <v>0</v>
      </c>
      <c r="P192">
        <f>IF('Исходные данные'!$B$51="Да",-O192*N('Исходные данные'!$B$44)/(1+N('Исходные данные'!$B$44)),0)</f>
        <v>0</v>
      </c>
      <c r="Q192">
        <f>IF('Исходные данные'!$B$35="Да",-O192,0)</f>
        <v>0</v>
      </c>
      <c r="R192">
        <f>IF(AND('Исходные данные'!$B$51="Да",Q192&gt;0),Q192*N('Исходные данные'!$B$52)/(1+N('Исходные данные'!$B$52)),0)</f>
        <v>0</v>
      </c>
      <c r="S192">
        <f>IF(OR(B192="",IF('Исходные данные'!$B$45="",'Исходные данные'!$B$10,'Исходные данные'!$B$45)="",C192&lt;IF('Исходные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данные'!$B$45)),1),B192,"m")/12))*IF(AND(B192&lt;=IF('Исходные данные'!$B$45="",'Исходные данные'!$B$10,'Исходные данные'!$B$45),C192&gt;=IF('Исходные данные'!$B$45="",'Исходные данные'!$B$10,'Исходные данные'!$B$45)),(C192-IF('Исходные данные'!$B$45="",'Исходные данные'!$B$10,'Исходные данные'!$B$45)+1)/DAY(C192),1)*IF('Исходные данные'!$B$43="Без НДС",1+N('Исходные данные'!$B$44),1))</f>
        <v>0</v>
      </c>
      <c r="T192">
        <f>IF('Исходные данные'!$B$51="Да",-S192*N('Исходные данные'!$B$44)/(1+N('Исходные данные'!$B$44)),0)</f>
        <v>0</v>
      </c>
      <c r="U192">
        <f>IF('Исходные данные'!$B$36="Да",-S192,0)</f>
        <v>0</v>
      </c>
      <c r="V192">
        <f>IF(AND('Исходные данные'!$B$51="Да",U192&gt;0),U192*N('Исходные данные'!$B$52)/(1+N('Исходные данные'!$B$52)),0)</f>
        <v>0</v>
      </c>
      <c r="W192">
        <f>IF(OR(B192="",IF('Исходные данные'!$B$69="",'Исходные данные'!$B$10,'Исходные данные'!$B$69)="",C192&lt;IF('Исходные данные'!$B$69="",'Исходные данные'!$B$10,'Исходные данные'!$B$69)),0,-N('Исходные данные'!$B$16)*N('Исходные данные'!$B$68)*N('Исходные данные'!$B$67)/12*IF(AND(B192&lt;=IF('Исходные данные'!$B$69="",'Исходные данные'!$B$10,'Исходные данные'!$B$69),C192&gt;=IF('Исходные данные'!$B$69="",'Исходные данные'!$B$10,'Исходные данные'!$B$69)),(C192-IF('Исходные данные'!$B$69="",'Исходные данные'!$B$10,'Исходные данные'!$B$69)+1)/DAY(C192),1))</f>
        <v>0</v>
      </c>
      <c r="X192">
        <f>IF(OR(B192="",IF('Исходные данные'!$B$76="",'Исходные данные'!$B$10,'Исходные данные'!$B$76)="",C192&lt;IF('Исходные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данные'!$B$76)),1),B192,"m")/12))*IF(AND(B192&lt;=IF('Исходные данные'!$B$76="",'Исходные данные'!$B$10,'Исходные данные'!$B$76),C192&gt;=IF('Исходные данные'!$B$76="",'Исходные данные'!$B$10,'Исходные данные'!$B$76)),(C192-IF('Исходные данные'!$B$76="",'Исходные данные'!$B$10,'Исходные данные'!$B$76)+1)/DAY(C192),1))</f>
        <v>0</v>
      </c>
      <c r="Y192">
        <f t="shared" si="107"/>
        <v>0</v>
      </c>
      <c r="Z192">
        <f>IF(OR(B192="",N('Исходные данные'!$B$19)=0),0,-SUMIFS('Исходные данные'!$I$6:$I$186,'Исходные данные'!$F$6:$F$186,B192)*N('Исходные данные'!$B$17)/N('Исходные данные'!$B$19))</f>
        <v>0</v>
      </c>
      <c r="AA192">
        <f>IF(OR(B192="",N('Исходные данные'!$B$19)=0),0,-SUMIFS('Исходные данные'!$I$6:$I$186,'Исходные данные'!$F$6:$F$186,B192)*N('Исходные данные'!$B$18)/N('Исходные данные'!$B$19))</f>
        <v>0</v>
      </c>
      <c r="AB192">
        <f>IF(OR(B192="",'Исходные данные'!$B$13=""),0,IF(AND(YEAR(B192)=YEAR('Исходные данные'!$B$13),MONTH(B192)=MONTH('Исходные данные'!$B$13)),-N('Исходные данные'!$B$11),0))</f>
        <v>0</v>
      </c>
      <c r="AC192">
        <f>IF(A192=1,-N('Исходные данные'!$B$19)*N('Исходные данные'!$B$72),0)</f>
        <v>0</v>
      </c>
      <c r="AD192">
        <f>IF(OR(B192="",'Исходные данные'!$B$22&lt;&gt;"Да",'Исходные данные'!$B$26=""),0,IF(AND(YEAR(B192)=YEAR('Исходные данные'!$B$26),MONTH(B192)=MONTH('Исходные данные'!$B$26)),N('Исходные данные'!$B$23),0))</f>
        <v>0</v>
      </c>
      <c r="AE192">
        <f t="shared" si="120"/>
        <v>0</v>
      </c>
      <c r="AF192">
        <f>IF(OR('Исходные данные'!$B$22&lt;&gt;"Да",'Исходные данные'!$B$26="",C192&lt;'Исходные данные'!$B$26),0,DATEDIF(DATE(YEAR('Исходные данные'!$B$26),MONTH('Исходные данные'!$B$26),1),B192,"m")+1)</f>
        <v>0</v>
      </c>
      <c r="AG192">
        <f>IF(OR(AF192&lt;1,AF192&gt;N('Исходные данные'!$B$25),AE192+AD192&lt;=0),0,-(AE192+AD192)*N('Исходные данные'!$B$24)*IF(AF192=1,C192-'Исходные данные'!$B$26+1,DAY(C192))/365)</f>
        <v>0</v>
      </c>
      <c r="AH192">
        <f>IF(OR(AF192&lt;1,AF192&gt;N('Исходные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данные'!$B$25)-AG192))</f>
        <v>0</v>
      </c>
      <c r="AI192">
        <f>IF(OR('Исходные данные'!$B$22&lt;&gt;"Да",AE192+AD192&lt;=0),0,IF(AND('Исходные данные'!$B$91&lt;&gt;"",B192&lt;&gt;"",YEAR(B192)=YEAR('Исходные данные'!$B$91),MONTH(B192)=MONTH('Исходные данные'!$B$91)),-(AE192+AD192),IF(OR(AF192&lt;1,AF192&gt;N('Исходные данные'!$B$25)),0,IF('Исходные данные'!$B$27="Равными долями",-MIN(AE192+AD192,N('Исходные данные'!$B$23)/N('Исходные данные'!$B$25)),-MIN(AE192+AD192,IF(AF192=N('Исходные данные'!$B$25),AE192+AD192,MAX(0,AH192+AG192)))))))</f>
        <v>0</v>
      </c>
      <c r="AJ192">
        <f t="shared" si="108"/>
        <v>0</v>
      </c>
      <c r="AK192">
        <f t="shared" si="109"/>
        <v>0</v>
      </c>
      <c r="AL192">
        <f>IF(OR(B192="",'Исходные данные'!$B$51&lt;&gt;"Да",'Исходные данные'!$B$61=""),0,IF(AND(YEAR(B192)=YEAR('Исходные данные'!$B$61),MONTH(B192)=MONTH('Исходные данные'!$B$61)),N('Исходные данные'!$B$18)*N('Исходные данные'!$B$62),0))</f>
        <v>0</v>
      </c>
      <c r="AM192">
        <f t="shared" si="121"/>
        <v>0</v>
      </c>
      <c r="AN192">
        <f t="shared" si="110"/>
        <v>0</v>
      </c>
      <c r="AO192">
        <f t="shared" si="111"/>
        <v>0</v>
      </c>
      <c r="AP192">
        <f>IF('Исходные данные'!$B$51="Да",-MAX(0,AN192-AO192-AM192),0)</f>
        <v>0</v>
      </c>
      <c r="AQ192">
        <f>IF('Исходные данные'!$B$51="Да",MAX(0,AM192+AO192-AN192),0)</f>
        <v>0</v>
      </c>
      <c r="AR192">
        <f>IF('Исходные данные'!$B$53="Выручка",MAX(0,L192+(Q192-R192)+(U192-V192)),IF('Исходные данные'!$B$53="Прибыль до налога",MAX(0,L192+(Q192-R192)+(U192-V192)+N('Исходные данные'!$B$54)*((O192+P192)+(S192+T192)+W192+X192)+IF('Исходные данные'!$B$55="Да",AG192,0)-N('Исходные данные'!$B$56)/12),IF('Исходные данные'!$B$53="Пользовательская база",MAX(0,N('Исходные данные'!$B$57)/12),0)))</f>
        <v>0</v>
      </c>
      <c r="AS192">
        <f>IF(E192=1,-AR192*N('Исходные данные'!$B$50),0)</f>
        <v>0</v>
      </c>
      <c r="AT192">
        <f t="shared" si="112"/>
        <v>0</v>
      </c>
      <c r="AU192">
        <f>IF(OR(B192="",N('Исходные данные'!$B$80)&lt;=0,'Исходные данные'!$B$88=""),0,MAX(0,IF('Исходные данные'!$B$88="Последние 12 месяцев",SUMIFS($Y$2:$Y$194,$B$2:$B$194,"&gt;="&amp;EDATE(B192,-11),$B$2:$B$194,"&lt;="&amp;B192),IF('Исходные данные'!$B$88="Пользовательский NOI",N('Исходные данные'!$B$89),AT192))/N('Исходные данные'!$B$80)*(1+N('Исходные данные'!$B$81))))</f>
        <v>0</v>
      </c>
      <c r="AV192">
        <f>IF(OR(E192&lt;&gt;1,B192="",'Исходные данные'!$B$91=""),0,IF(AND(YEAR(B192)=YEAR('Исходные данные'!$B$91),MONTH(B192)=MONTH('Исходные данные'!$B$91)),AU192,0))</f>
        <v>0</v>
      </c>
      <c r="AW192">
        <f>-AV192*N('Исходные данные'!$B$73)</f>
        <v>0</v>
      </c>
      <c r="AX192">
        <f>IF(AV192=0,0,-N('Исходные данные'!$B$87)-IF('Исходные данные'!$B$82="Да",IF('Исходные данные'!$B$84="С выручки",AV192,IF('Исходные данные'!$B$84="С прибыли",MAX(0,AV192+AW192-IF('Исходные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92">
        <f t="shared" si="113"/>
        <v>0</v>
      </c>
      <c r="AZ192">
        <f t="shared" si="114"/>
        <v>0</v>
      </c>
      <c r="BA192">
        <f t="shared" si="115"/>
        <v>0</v>
      </c>
      <c r="BB192" t="str">
        <f t="shared" si="122"/>
        <v/>
      </c>
      <c r="BC192">
        <f>IF(OR(E192=0,'Исходные данные'!$B$9="",'Исходные данные'!$B$90=""),0,BA192/(1+'Исходные данные'!$B$90)^((D192-'Исходные данные'!$B$9)/365))</f>
        <v>0</v>
      </c>
      <c r="BD192">
        <f>IF(AND(E192=1,BB192&gt;=0,BB191&lt;0,MIN($BB$2:BB192)&lt;0),1,0)</f>
        <v>0</v>
      </c>
      <c r="BE192">
        <f t="shared" si="116"/>
        <v>0</v>
      </c>
      <c r="BF192">
        <f t="shared" si="117"/>
        <v>0</v>
      </c>
      <c r="BG192">
        <f t="shared" si="118"/>
        <v>0</v>
      </c>
      <c r="BH192">
        <f t="shared" si="119"/>
        <v>1</v>
      </c>
      <c r="BI192">
        <f>AZ192+N192+AP192-AR192*N('Исходные данные'!$B$50)</f>
        <v>0</v>
      </c>
      <c r="BJ192">
        <f t="shared" si="102"/>
        <v>0</v>
      </c>
      <c r="BK192">
        <f>IF(AND(BJ192&gt;=0,BJ191&lt;0,MIN($BJ$2:BJ192)&lt;0),1,0)</f>
        <v>0</v>
      </c>
    </row>
    <row r="193" spans="1:63" x14ac:dyDescent="0.2">
      <c r="A193">
        <v>192</v>
      </c>
      <c r="B193" t="str">
        <f>IF('Исходные данные'!$B$9="","",EDATE(DATE(YEAR('Исходные данные'!$B$9),MONTH('Исходные данные'!$B$9),1),A193-1))</f>
        <v/>
      </c>
      <c r="C193" t="str">
        <f t="shared" si="103"/>
        <v/>
      </c>
      <c r="D193" t="str">
        <f>IF(B193="","",IF('Исходные данные'!$B$91&lt;&gt;"",IF(AND(YEAR(B193)=YEAR('Исходные данные'!$B$91),MONTH(B193)=MONTH('Исходные данные'!$B$91)),'Исходные данные'!$B$91,IF('Исходные данные'!$B$13&lt;&gt;"",IF(AND(YEAR(B193)=YEAR('Исходные данные'!$B$13),MONTH(B193)=MONTH('Исходные данные'!$B$13)),'Исходные данные'!$B$13,IF('Исходные данные'!$B$26&lt;&gt;"",IF(AND(YEAR(B193)=YEAR('Исходные данные'!$B$26),MONTH(B193)=MONTH('Исходные данные'!$B$26)),'Исходные данные'!$B$26,IF(A193=1,'Исходные данные'!$B$9,C193)),IF(A193=1,'Исходные данные'!$B$9,C193))),IF('Исходные данные'!$B$26&lt;&gt;"",IF(AND(YEAR(B193)=YEAR('Исходные данные'!$B$26),MONTH(B193)=MONTH('Исходные данные'!$B$26)),'Исходные данные'!$B$26,IF(A193=1,'Исходные данные'!$B$9,C193)),IF(A193=1,'Исходные данные'!$B$9,C193)))),IF('Исходные данные'!$B$13&lt;&gt;"",IF(AND(YEAR(B193)=YEAR('Исходные данные'!$B$13),MONTH(B193)=MONTH('Исходные данные'!$B$13)),'Исходные данные'!$B$13,IF('Исходные данные'!$B$26&lt;&gt;"",IF(AND(YEAR(B193)=YEAR('Исходные данные'!$B$26),MONTH(B193)=MONTH('Исходные данные'!$B$26)),'Исходные данные'!$B$26,IF(A193=1,'Исходные данные'!$B$9,C193)),IF(A193=1,'Исходные данные'!$B$9,C193))),IF('Исходные данные'!$B$26&lt;&gt;"",IF(AND(YEAR(B193)=YEAR('Исходные данные'!$B$26),MONTH(B193)=MONTH('Исходные данные'!$B$26)),'Исходные данные'!$B$26,IF(A193=1,'Исходные данные'!$B$9,C193)),IF(A193=1,'Исходные данные'!$B$9,C193)))))</f>
        <v/>
      </c>
      <c r="E193">
        <f>IF(OR(B193="",'Исходные данные'!$B$91=""),0,--(B193&lt;=DATE(YEAR('Исходные данные'!$B$91),MONTH('Исходные данные'!$B$91),1)))</f>
        <v>0</v>
      </c>
      <c r="F193">
        <f>IF(OR(B193="",'Исходные данные'!$B$30="",C193&lt;'Исходные данные'!$B$30),0,DATEDIF(DATE(YEAR('Исходные данные'!$B$30),MONTH('Исходные данные'!$B$30),1),B193,"m")+1)</f>
        <v>0</v>
      </c>
      <c r="G193">
        <f t="shared" si="104"/>
        <v>0</v>
      </c>
      <c r="H193">
        <f>IF(F193=0,0,IF(G193=1,N('Исходные данные'!$B$31),IF(G193=2,N('Исходные данные'!$B$32),IF(G193=3,N('Исходные данные'!$B$33),N('Исходные данные'!$B$33)*(1+N('Исходные данные'!$B$34))^(G193-3)))))</f>
        <v>0</v>
      </c>
      <c r="I193">
        <f>IF(OR(F193=0,N('Исходные данные'!$B$5)=0,H193=0),0,'Исходные данные'!$B$5*H193*IF(AND(B193&lt;='Исходные данные'!$B$30,C193&gt;='Исходные данные'!$B$30),(C193-'Исходные данные'!$B$30+1)/DAY(C193),1))</f>
        <v>0</v>
      </c>
      <c r="J193">
        <f>IF(AND(F193&gt;0,F193&lt;=N('Исходные данные'!$B$37)),-I193,0)</f>
        <v>0</v>
      </c>
      <c r="K193">
        <f>IF(OR(F193=0,F193&lt;=N('Исходные данные'!$B$37)),0,-(I193+J193)*N('Исходные данные'!$B$38))</f>
        <v>0</v>
      </c>
      <c r="L193">
        <f t="shared" si="105"/>
        <v>0</v>
      </c>
      <c r="M193">
        <f>IF('Исходные данные'!$B$51="Да",L193*N('Исходные данные'!$B$52),0)</f>
        <v>0</v>
      </c>
      <c r="N193">
        <f t="shared" si="106"/>
        <v>0</v>
      </c>
      <c r="O193">
        <f>IF(OR(B193="",IF('Исходные данные'!$B$45="",'Исходные данные'!$B$10,'Исходные данные'!$B$45)="",C193&lt;IF('Исходные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данные'!$B$45)),1),B193,"m")/12))*IF(AND(B193&lt;=IF('Исходные данные'!$B$45="",'Исходные данные'!$B$10,'Исходные данные'!$B$45),C193&gt;=IF('Исходные данные'!$B$45="",'Исходные данные'!$B$10,'Исходные данные'!$B$45)),(C193-IF('Исходные данные'!$B$45="",'Исходные данные'!$B$10,'Исходные данные'!$B$45)+1)/DAY(C193),1)*IF('Исходные данные'!$B$43="Без НДС",1+N('Исходные данные'!$B$44),1))</f>
        <v>0</v>
      </c>
      <c r="P193">
        <f>IF('Исходные данные'!$B$51="Да",-O193*N('Исходные данные'!$B$44)/(1+N('Исходные данные'!$B$44)),0)</f>
        <v>0</v>
      </c>
      <c r="Q193">
        <f>IF('Исходные данные'!$B$35="Да",-O193,0)</f>
        <v>0</v>
      </c>
      <c r="R193">
        <f>IF(AND('Исходные данные'!$B$51="Да",Q193&gt;0),Q193*N('Исходные данные'!$B$52)/(1+N('Исходные данные'!$B$52)),0)</f>
        <v>0</v>
      </c>
      <c r="S193">
        <f>IF(OR(B193="",IF('Исходные данные'!$B$45="",'Исходные данные'!$B$10,'Исходные данные'!$B$45)="",C193&lt;IF('Исходные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данные'!$B$45)),1),B193,"m")/12))*IF(AND(B193&lt;=IF('Исходные данные'!$B$45="",'Исходные данные'!$B$10,'Исходные данные'!$B$45),C193&gt;=IF('Исходные данные'!$B$45="",'Исходные данные'!$B$10,'Исходные данные'!$B$45)),(C193-IF('Исходные данные'!$B$45="",'Исходные данные'!$B$10,'Исходные данные'!$B$45)+1)/DAY(C193),1)*IF('Исходные данные'!$B$43="Без НДС",1+N('Исходные данные'!$B$44),1))</f>
        <v>0</v>
      </c>
      <c r="T193">
        <f>IF('Исходные данные'!$B$51="Да",-S193*N('Исходные данные'!$B$44)/(1+N('Исходные данные'!$B$44)),0)</f>
        <v>0</v>
      </c>
      <c r="U193">
        <f>IF('Исходные данные'!$B$36="Да",-S193,0)</f>
        <v>0</v>
      </c>
      <c r="V193">
        <f>IF(AND('Исходные данные'!$B$51="Да",U193&gt;0),U193*N('Исходные данные'!$B$52)/(1+N('Исходные данные'!$B$52)),0)</f>
        <v>0</v>
      </c>
      <c r="W193">
        <f>IF(OR(B193="",IF('Исходные данные'!$B$69="",'Исходные данные'!$B$10,'Исходные данные'!$B$69)="",C193&lt;IF('Исходные данные'!$B$69="",'Исходные данные'!$B$10,'Исходные данные'!$B$69)),0,-N('Исходные данные'!$B$16)*N('Исходные данные'!$B$68)*N('Исходные данные'!$B$67)/12*IF(AND(B193&lt;=IF('Исходные данные'!$B$69="",'Исходные данные'!$B$10,'Исходные данные'!$B$69),C193&gt;=IF('Исходные данные'!$B$69="",'Исходные данные'!$B$10,'Исходные данные'!$B$69)),(C193-IF('Исходные данные'!$B$69="",'Исходные данные'!$B$10,'Исходные данные'!$B$69)+1)/DAY(C193),1))</f>
        <v>0</v>
      </c>
      <c r="X193">
        <f>IF(OR(B193="",IF('Исходные данные'!$B$76="",'Исходные данные'!$B$10,'Исходные данные'!$B$76)="",C193&lt;IF('Исходные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данные'!$B$76)),1),B193,"m")/12))*IF(AND(B193&lt;=IF('Исходные данные'!$B$76="",'Исходные данные'!$B$10,'Исходные данные'!$B$76),C193&gt;=IF('Исходные данные'!$B$76="",'Исходные данные'!$B$10,'Исходные данные'!$B$76)),(C193-IF('Исходные данные'!$B$76="",'Исходные данные'!$B$10,'Исходные данные'!$B$76)+1)/DAY(C193),1))</f>
        <v>0</v>
      </c>
      <c r="Y193">
        <f t="shared" si="107"/>
        <v>0</v>
      </c>
      <c r="Z193">
        <f>IF(OR(B193="",N('Исходные данные'!$B$19)=0),0,-SUMIFS('Исходные данные'!$I$6:$I$186,'Исходные данные'!$F$6:$F$186,B193)*N('Исходные данные'!$B$17)/N('Исходные данные'!$B$19))</f>
        <v>0</v>
      </c>
      <c r="AA193">
        <f>IF(OR(B193="",N('Исходные данные'!$B$19)=0),0,-SUMIFS('Исходные данные'!$I$6:$I$186,'Исходные данные'!$F$6:$F$186,B193)*N('Исходные данные'!$B$18)/N('Исходные данные'!$B$19))</f>
        <v>0</v>
      </c>
      <c r="AB193">
        <f>IF(OR(B193="",'Исходные данные'!$B$13=""),0,IF(AND(YEAR(B193)=YEAR('Исходные данные'!$B$13),MONTH(B193)=MONTH('Исходные данные'!$B$13)),-N('Исходные данные'!$B$11),0))</f>
        <v>0</v>
      </c>
      <c r="AC193">
        <f>IF(A193=1,-N('Исходные данные'!$B$19)*N('Исходные данные'!$B$72),0)</f>
        <v>0</v>
      </c>
      <c r="AD193">
        <f>IF(OR(B193="",'Исходные данные'!$B$22&lt;&gt;"Да",'Исходные данные'!$B$26=""),0,IF(AND(YEAR(B193)=YEAR('Исходные данные'!$B$26),MONTH(B193)=MONTH('Исходные данные'!$B$26)),N('Исходные данные'!$B$23),0))</f>
        <v>0</v>
      </c>
      <c r="AE193">
        <f t="shared" si="120"/>
        <v>0</v>
      </c>
      <c r="AF193">
        <f>IF(OR('Исходные данные'!$B$22&lt;&gt;"Да",'Исходные данные'!$B$26="",C193&lt;'Исходные данные'!$B$26),0,DATEDIF(DATE(YEAR('Исходные данные'!$B$26),MONTH('Исходные данные'!$B$26),1),B193,"m")+1)</f>
        <v>0</v>
      </c>
      <c r="AG193">
        <f>IF(OR(AF193&lt;1,AF193&gt;N('Исходные данные'!$B$25),AE193+AD193&lt;=0),0,-(AE193+AD193)*N('Исходные данные'!$B$24)*IF(AF193=1,C193-'Исходные данные'!$B$26+1,DAY(C193))/365)</f>
        <v>0</v>
      </c>
      <c r="AH193">
        <f>IF(OR(AF193&lt;1,AF193&gt;N('Исходные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данные'!$B$25)-AG193))</f>
        <v>0</v>
      </c>
      <c r="AI193">
        <f>IF(OR('Исходные данные'!$B$22&lt;&gt;"Да",AE193+AD193&lt;=0),0,IF(AND('Исходные данные'!$B$91&lt;&gt;"",B193&lt;&gt;"",YEAR(B193)=YEAR('Исходные данные'!$B$91),MONTH(B193)=MONTH('Исходные данные'!$B$91)),-(AE193+AD193),IF(OR(AF193&lt;1,AF193&gt;N('Исходные данные'!$B$25)),0,IF('Исходные данные'!$B$27="Равными долями",-MIN(AE193+AD193,N('Исходные данные'!$B$23)/N('Исходные данные'!$B$25)),-MIN(AE193+AD193,IF(AF193=N('Исходные данные'!$B$25),AE193+AD193,MAX(0,AH193+AG193)))))))</f>
        <v>0</v>
      </c>
      <c r="AJ193">
        <f t="shared" si="108"/>
        <v>0</v>
      </c>
      <c r="AK193">
        <f t="shared" si="109"/>
        <v>0</v>
      </c>
      <c r="AL193">
        <f>IF(OR(B193="",'Исходные данные'!$B$51&lt;&gt;"Да",'Исходные данные'!$B$61=""),0,IF(AND(YEAR(B193)=YEAR('Исходные данные'!$B$61),MONTH(B193)=MONTH('Исходные данные'!$B$61)),N('Исходные данные'!$B$18)*N('Исходные данные'!$B$62),0))</f>
        <v>0</v>
      </c>
      <c r="AM193">
        <f t="shared" si="121"/>
        <v>0</v>
      </c>
      <c r="AN193">
        <f t="shared" si="110"/>
        <v>0</v>
      </c>
      <c r="AO193">
        <f t="shared" si="111"/>
        <v>0</v>
      </c>
      <c r="AP193">
        <f>IF('Исходные данные'!$B$51="Да",-MAX(0,AN193-AO193-AM193),0)</f>
        <v>0</v>
      </c>
      <c r="AQ193">
        <f>IF('Исходные данные'!$B$51="Да",MAX(0,AM193+AO193-AN193),0)</f>
        <v>0</v>
      </c>
      <c r="AR193">
        <f>IF('Исходные данные'!$B$53="Выручка",MAX(0,L193+(Q193-R193)+(U193-V193)),IF('Исходные данные'!$B$53="Прибыль до налога",MAX(0,L193+(Q193-R193)+(U193-V193)+N('Исходные данные'!$B$54)*((O193+P193)+(S193+T193)+W193+X193)+IF('Исходные данные'!$B$55="Да",AG193,0)-N('Исходные данные'!$B$56)/12),IF('Исходные данные'!$B$53="Пользовательская база",MAX(0,N('Исходные данные'!$B$57)/12),0)))</f>
        <v>0</v>
      </c>
      <c r="AS193">
        <f>IF(E193=1,-AR193*N('Исходные данные'!$B$50),0)</f>
        <v>0</v>
      </c>
      <c r="AT193">
        <f t="shared" si="112"/>
        <v>0</v>
      </c>
      <c r="AU193">
        <f>IF(OR(B193="",N('Исходные данные'!$B$80)&lt;=0,'Исходные данные'!$B$88=""),0,MAX(0,IF('Исходные данные'!$B$88="Последние 12 месяцев",SUMIFS($Y$2:$Y$194,$B$2:$B$194,"&gt;="&amp;EDATE(B193,-11),$B$2:$B$194,"&lt;="&amp;B193),IF('Исходные данные'!$B$88="Пользовательский NOI",N('Исходные данные'!$B$89),AT193))/N('Исходные данные'!$B$80)*(1+N('Исходные данные'!$B$81))))</f>
        <v>0</v>
      </c>
      <c r="AV193">
        <f>IF(OR(E193&lt;&gt;1,B193="",'Исходные данные'!$B$91=""),0,IF(AND(YEAR(B193)=YEAR('Исходные данные'!$B$91),MONTH(B193)=MONTH('Исходные данные'!$B$91)),AU193,0))</f>
        <v>0</v>
      </c>
      <c r="AW193">
        <f>-AV193*N('Исходные данные'!$B$73)</f>
        <v>0</v>
      </c>
      <c r="AX193">
        <f>IF(AV193=0,0,-N('Исходные данные'!$B$87)-IF('Исходные данные'!$B$82="Да",IF('Исходные данные'!$B$84="С выручки",AV193,IF('Исходные данные'!$B$84="С прибыли",MAX(0,AV193+AW193-IF('Исходные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93">
        <f t="shared" si="113"/>
        <v>0</v>
      </c>
      <c r="AZ193">
        <f t="shared" si="114"/>
        <v>0</v>
      </c>
      <c r="BA193">
        <f t="shared" si="115"/>
        <v>0</v>
      </c>
      <c r="BB193" t="str">
        <f t="shared" si="122"/>
        <v/>
      </c>
      <c r="BC193">
        <f>IF(OR(E193=0,'Исходные данные'!$B$9="",'Исходные данные'!$B$90=""),0,BA193/(1+'Исходные данные'!$B$90)^((D193-'Исходные данные'!$B$9)/365))</f>
        <v>0</v>
      </c>
      <c r="BD193">
        <f>IF(AND(E193=1,BB193&gt;=0,BB192&lt;0,MIN($BB$2:BB193)&lt;0),1,0)</f>
        <v>0</v>
      </c>
      <c r="BE193">
        <f t="shared" si="116"/>
        <v>0</v>
      </c>
      <c r="BF193">
        <f t="shared" si="117"/>
        <v>0</v>
      </c>
      <c r="BG193">
        <f t="shared" si="118"/>
        <v>0</v>
      </c>
      <c r="BH193">
        <f t="shared" si="119"/>
        <v>1</v>
      </c>
      <c r="BI193">
        <f>AZ193+N193+AP193-AR193*N('Исходные данные'!$B$50)</f>
        <v>0</v>
      </c>
      <c r="BJ193">
        <f t="shared" si="102"/>
        <v>0</v>
      </c>
      <c r="BK193">
        <f>IF(AND(BJ193&gt;=0,BJ192&lt;0,MIN($BJ$2:BJ193)&lt;0),1,0)</f>
        <v>0</v>
      </c>
    </row>
    <row r="194" spans="1:63" x14ac:dyDescent="0.2">
      <c r="A194">
        <v>193</v>
      </c>
      <c r="B194" t="str">
        <f>IF('Исходные данные'!$B$9="","",EDATE(DATE(YEAR('Исходные данные'!$B$9),MONTH('Исходные данные'!$B$9),1),A194-1))</f>
        <v/>
      </c>
      <c r="C194" t="str">
        <f t="shared" ref="C194:C195" si="123">IF(B194="","",EOMONTH(B194,0))</f>
        <v/>
      </c>
      <c r="D194" t="str">
        <f>IF(B194="","",IF('Исходные данные'!$B$91&lt;&gt;"",IF(AND(YEAR(B194)=YEAR('Исходные данные'!$B$91),MONTH(B194)=MONTH('Исходные данные'!$B$91)),'Исходные данные'!$B$91,IF('Исходные данные'!$B$13&lt;&gt;"",IF(AND(YEAR(B194)=YEAR('Исходные данные'!$B$13),MONTH(B194)=MONTH('Исходные данные'!$B$13)),'Исходные данные'!$B$13,IF('Исходные данные'!$B$26&lt;&gt;"",IF(AND(YEAR(B194)=YEAR('Исходные данные'!$B$26),MONTH(B194)=MONTH('Исходные данные'!$B$26)),'Исходные данные'!$B$26,IF(A194=1,'Исходные данные'!$B$9,C194)),IF(A194=1,'Исходные данные'!$B$9,C194))),IF('Исходные данные'!$B$26&lt;&gt;"",IF(AND(YEAR(B194)=YEAR('Исходные данные'!$B$26),MONTH(B194)=MONTH('Исходные данные'!$B$26)),'Исходные данные'!$B$26,IF(A194=1,'Исходные данные'!$B$9,C194)),IF(A194=1,'Исходные данные'!$B$9,C194)))),IF('Исходные данные'!$B$13&lt;&gt;"",IF(AND(YEAR(B194)=YEAR('Исходные данные'!$B$13),MONTH(B194)=MONTH('Исходные данные'!$B$13)),'Исходные данные'!$B$13,IF('Исходные данные'!$B$26&lt;&gt;"",IF(AND(YEAR(B194)=YEAR('Исходные данные'!$B$26),MONTH(B194)=MONTH('Исходные данные'!$B$26)),'Исходные данные'!$B$26,IF(A194=1,'Исходные данные'!$B$9,C194)),IF(A194=1,'Исходные данные'!$B$9,C194))),IF('Исходные данные'!$B$26&lt;&gt;"",IF(AND(YEAR(B194)=YEAR('Исходные данные'!$B$26),MONTH(B194)=MONTH('Исходные данные'!$B$26)),'Исходные данные'!$B$26,IF(A194=1,'Исходные данные'!$B$9,C194)),IF(A194=1,'Исходные данные'!$B$9,C194)))))</f>
        <v/>
      </c>
      <c r="E194">
        <f>IF(OR(B194="",'Исходные данные'!$B$91=""),0,--(B194&lt;=DATE(YEAR('Исходные данные'!$B$91),MONTH('Исходные данные'!$B$91),1)))</f>
        <v>0</v>
      </c>
      <c r="F194">
        <f>IF(OR(B194="",'Исходные данные'!$B$30="",C194&lt;'Исходные данные'!$B$30),0,DATEDIF(DATE(YEAR('Исходные данные'!$B$30),MONTH('Исходные данные'!$B$30),1),B194,"m")+1)</f>
        <v>0</v>
      </c>
      <c r="G194">
        <f t="shared" ref="G194:G195" si="124">IF(F194=0,0,1+INT((F194-1)/12))</f>
        <v>0</v>
      </c>
      <c r="H194">
        <f>IF(F194=0,0,IF(G194=1,N('Исходные данные'!$B$31),IF(G194=2,N('Исходные данные'!$B$32),IF(G194=3,N('Исходные данные'!$B$33),N('Исходные данные'!$B$33)*(1+N('Исходные данные'!$B$34))^(G194-3)))))</f>
        <v>0</v>
      </c>
      <c r="I194">
        <f>IF(OR(F194=0,N('Исходные данные'!$B$5)=0,H194=0),0,'Исходные данные'!$B$5*H194*IF(AND(B194&lt;='Исходные данные'!$B$30,C194&gt;='Исходные данные'!$B$30),(C194-'Исходные данные'!$B$30+1)/DAY(C194),1))</f>
        <v>0</v>
      </c>
      <c r="J194">
        <f>IF(AND(F194&gt;0,F194&lt;=N('Исходные данные'!$B$37)),-I194,0)</f>
        <v>0</v>
      </c>
      <c r="K194">
        <f>IF(OR(F194=0,F194&lt;=N('Исходные данные'!$B$37)),0,-(I194+J194)*N('Исходные данные'!$B$38))</f>
        <v>0</v>
      </c>
      <c r="L194">
        <f t="shared" ref="L194:L195" si="125">I194+J194+K194</f>
        <v>0</v>
      </c>
      <c r="M194">
        <f>IF('Исходные данные'!$B$51="Да",L194*N('Исходные данные'!$B$52),0)</f>
        <v>0</v>
      </c>
      <c r="N194">
        <f t="shared" ref="N194:N195" si="126">L194+M194</f>
        <v>0</v>
      </c>
      <c r="O194">
        <f>IF(OR(B194="",IF('Исходные данные'!$B$45="",'Исходные данные'!$B$10,'Исходные данные'!$B$45)="",C194&lt;IF('Исходные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данные'!$B$45)),1),B194,"m")/12))*IF(AND(B194&lt;=IF('Исходные данные'!$B$45="",'Исходные данные'!$B$10,'Исходные данные'!$B$45),C194&gt;=IF('Исходные данные'!$B$45="",'Исходные данные'!$B$10,'Исходные данные'!$B$45)),(C194-IF('Исходные данные'!$B$45="",'Исходные данные'!$B$10,'Исходные данные'!$B$45)+1)/DAY(C194),1)*IF('Исходные данные'!$B$43="Без НДС",1+N('Исходные данные'!$B$44),1))</f>
        <v>0</v>
      </c>
      <c r="P194">
        <f>IF('Исходные данные'!$B$51="Да",-O194*N('Исходные данные'!$B$44)/(1+N('Исходные данные'!$B$44)),0)</f>
        <v>0</v>
      </c>
      <c r="Q194">
        <f>IF('Исходные данные'!$B$35="Да",-O194,0)</f>
        <v>0</v>
      </c>
      <c r="R194">
        <f>IF(AND('Исходные данные'!$B$51="Да",Q194&gt;0),Q194*N('Исходные данные'!$B$52)/(1+N('Исходные данные'!$B$52)),0)</f>
        <v>0</v>
      </c>
      <c r="S194">
        <f>IF(OR(B194="",IF('Исходные данные'!$B$45="",'Исходные данные'!$B$10,'Исходные данные'!$B$45)="",C194&lt;IF('Исходные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данные'!$B$45)),1),B194,"m")/12))*IF(AND(B194&lt;=IF('Исходные данные'!$B$45="",'Исходные данные'!$B$10,'Исходные данные'!$B$45),C194&gt;=IF('Исходные данные'!$B$45="",'Исходные данные'!$B$10,'Исходные данные'!$B$45)),(C194-IF('Исходные данные'!$B$45="",'Исходные данные'!$B$10,'Исходные данные'!$B$45)+1)/DAY(C194),1)*IF('Исходные данные'!$B$43="Без НДС",1+N('Исходные данные'!$B$44),1))</f>
        <v>0</v>
      </c>
      <c r="T194">
        <f>IF('Исходные данные'!$B$51="Да",-S194*N('Исходные данные'!$B$44)/(1+N('Исходные данные'!$B$44)),0)</f>
        <v>0</v>
      </c>
      <c r="U194">
        <f>IF('Исходные данные'!$B$36="Да",-S194,0)</f>
        <v>0</v>
      </c>
      <c r="V194">
        <f>IF(AND('Исходные данные'!$B$51="Да",U194&gt;0),U194*N('Исходные данные'!$B$52)/(1+N('Исходные данные'!$B$52)),0)</f>
        <v>0</v>
      </c>
      <c r="W194">
        <f>IF(OR(B194="",IF('Исходные данные'!$B$69="",'Исходные данные'!$B$10,'Исходные данные'!$B$69)="",C194&lt;IF('Исходные данные'!$B$69="",'Исходные данные'!$B$10,'Исходные данные'!$B$69)),0,-N('Исходные данные'!$B$16)*N('Исходные данные'!$B$68)*N('Исходные данные'!$B$67)/12*IF(AND(B194&lt;=IF('Исходные данные'!$B$69="",'Исходные данные'!$B$10,'Исходные данные'!$B$69),C194&gt;=IF('Исходные данные'!$B$69="",'Исходные данные'!$B$10,'Исходные данные'!$B$69)),(C194-IF('Исходные данные'!$B$69="",'Исходные данные'!$B$10,'Исходные данные'!$B$69)+1)/DAY(C194),1))</f>
        <v>0</v>
      </c>
      <c r="X194">
        <f>IF(OR(B194="",IF('Исходные данные'!$B$76="",'Исходные данные'!$B$10,'Исходные данные'!$B$76)="",C194&lt;IF('Исходные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данные'!$B$76)),1),B194,"m")/12))*IF(AND(B194&lt;=IF('Исходные данные'!$B$76="",'Исходные данные'!$B$10,'Исходные данные'!$B$76),C194&gt;=IF('Исходные данные'!$B$76="",'Исходные данные'!$B$10,'Исходные данные'!$B$76)),(C194-IF('Исходные данные'!$B$76="",'Исходные данные'!$B$10,'Исходные данные'!$B$76)+1)/DAY(C194),1))</f>
        <v>0</v>
      </c>
      <c r="Y194">
        <f t="shared" ref="Y194:Y195" si="127">L194+(Q194-R194)+(U194-V194)+(O194+P194)+(S194+T194)+W194+X194</f>
        <v>0</v>
      </c>
      <c r="Z194">
        <f>IF(OR(B194="",N('Исходные данные'!$B$19)=0),0,-SUMIFS('Исходные данные'!$I$6:$I$186,'Исходные данные'!$F$6:$F$186,B194)*N('Исходные данные'!$B$17)/N('Исходные данные'!$B$19))</f>
        <v>0</v>
      </c>
      <c r="AA194">
        <f>IF(OR(B194="",N('Исходные данные'!$B$19)=0),0,-SUMIFS('Исходные данные'!$I$6:$I$186,'Исходные данные'!$F$6:$F$186,B194)*N('Исходные данные'!$B$18)/N('Исходные данные'!$B$19))</f>
        <v>0</v>
      </c>
      <c r="AB194">
        <f>IF(OR(B194="",'Исходные данные'!$B$13=""),0,IF(AND(YEAR(B194)=YEAR('Исходные данные'!$B$13),MONTH(B194)=MONTH('Исходные данные'!$B$13)),-N('Исходные данные'!$B$11),0))</f>
        <v>0</v>
      </c>
      <c r="AC194">
        <f>IF(A194=1,-N('Исходные данные'!$B$19)*N('Исходные данные'!$B$72),0)</f>
        <v>0</v>
      </c>
      <c r="AD194">
        <f>IF(OR(B194="",'Исходные данные'!$B$22&lt;&gt;"Да",'Исходные данные'!$B$26=""),0,IF(AND(YEAR(B194)=YEAR('Исходные данные'!$B$26),MONTH(B194)=MONTH('Исходные данные'!$B$26)),N('Исходные данные'!$B$23),0))</f>
        <v>0</v>
      </c>
      <c r="AE194">
        <f t="shared" si="120"/>
        <v>0</v>
      </c>
      <c r="AF194">
        <f>IF(OR('Исходные данные'!$B$22&lt;&gt;"Да",'Исходные данные'!$B$26="",C194&lt;'Исходные данные'!$B$26),0,DATEDIF(DATE(YEAR('Исходные данные'!$B$26),MONTH('Исходные данные'!$B$26),1),B194,"m")+1)</f>
        <v>0</v>
      </c>
      <c r="AG194">
        <f>IF(OR(AF194&lt;1,AF194&gt;N('Исходные данные'!$B$25),AE194+AD194&lt;=0),0,-(AE194+AD194)*N('Исходные данные'!$B$24)*IF(AF194=1,C194-'Исходные данные'!$B$26+1,DAY(C194))/365)</f>
        <v>0</v>
      </c>
      <c r="AH194">
        <f>IF(OR(AF194&lt;1,AF194&gt;N('Исходные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данные'!$B$25)-AG194))</f>
        <v>0</v>
      </c>
      <c r="AI194">
        <f>IF(OR('Исходные данные'!$B$22&lt;&gt;"Да",AE194+AD194&lt;=0),0,IF(AND('Исходные данные'!$B$91&lt;&gt;"",B194&lt;&gt;"",YEAR(B194)=YEAR('Исходные данные'!$B$91),MONTH(B194)=MONTH('Исходные данные'!$B$91)),-(AE194+AD194),IF(OR(AF194&lt;1,AF194&gt;N('Исходные данные'!$B$25)),0,IF('Исходные данные'!$B$27="Равными долями",-MIN(AE194+AD194,N('Исходные данные'!$B$23)/N('Исходные данные'!$B$25)),-MIN(AE194+AD194,IF(AF194=N('Исходные данные'!$B$25),AE194+AD194,MAX(0,AH194+AG194)))))))</f>
        <v>0</v>
      </c>
      <c r="AJ194">
        <f t="shared" ref="AJ194:AJ195" si="128">AG194+AI194</f>
        <v>0</v>
      </c>
      <c r="AK194">
        <f t="shared" si="109"/>
        <v>0</v>
      </c>
      <c r="AL194">
        <f>IF(OR(B194="",'Исходные данные'!$B$51&lt;&gt;"Да",'Исходные данные'!$B$61=""),0,IF(AND(YEAR(B194)=YEAR('Исходные данные'!$B$61),MONTH(B194)=MONTH('Исходные данные'!$B$61)),N('Исходные данные'!$B$18)*N('Исходные данные'!$B$62),0))</f>
        <v>0</v>
      </c>
      <c r="AM194">
        <f t="shared" si="121"/>
        <v>0</v>
      </c>
      <c r="AN194">
        <f t="shared" si="110"/>
        <v>0</v>
      </c>
      <c r="AO194">
        <f t="shared" si="111"/>
        <v>0</v>
      </c>
      <c r="AP194">
        <f>IF('Исходные данные'!$B$51="Да",-MAX(0,AN194-AO194-AM194),0)</f>
        <v>0</v>
      </c>
      <c r="AQ194">
        <f>IF('Исходные данные'!$B$51="Да",MAX(0,AM194+AO194-AN194),0)</f>
        <v>0</v>
      </c>
      <c r="AR194">
        <f>IF('Исходные данные'!$B$53="Выручка",MAX(0,L194+(Q194-R194)+(U194-V194)),IF('Исходные данные'!$B$53="Прибыль до налога",MAX(0,L194+(Q194-R194)+(U194-V194)+N('Исходные данные'!$B$54)*((O194+P194)+(S194+T194)+W194+X194)+IF('Исходные данные'!$B$55="Да",AG194,0)-N('Исходные данные'!$B$56)/12),IF('Исходные данные'!$B$53="Пользовательская база",MAX(0,N('Исходные данные'!$B$57)/12),0)))</f>
        <v>0</v>
      </c>
      <c r="AS194">
        <f>IF(E194=1,-AR194*N('Исходные данные'!$B$50),0)</f>
        <v>0</v>
      </c>
      <c r="AT194">
        <f t="shared" si="112"/>
        <v>0</v>
      </c>
      <c r="AU194">
        <f>IF(OR(B194="",N('Исходные данные'!$B$80)&lt;=0,'Исходные данные'!$B$88=""),0,MAX(0,IF('Исходные данные'!$B$88="Последние 12 месяцев",SUMIFS($Y$2:$Y$194,$B$2:$B$194,"&gt;="&amp;EDATE(B194,-11),$B$2:$B$194,"&lt;="&amp;B194),IF('Исходные данные'!$B$88="Пользовательский NOI",N('Исходные данные'!$B$89),AT194))/N('Исходные данные'!$B$80)*(1+N('Исходные данные'!$B$81))))</f>
        <v>0</v>
      </c>
      <c r="AV194">
        <f>IF(OR(E194&lt;&gt;1,B194="",'Исходные данные'!$B$91=""),0,IF(AND(YEAR(B194)=YEAR('Исходные данные'!$B$91),MONTH(B194)=MONTH('Исходные данные'!$B$91)),AU194,0))</f>
        <v>0</v>
      </c>
      <c r="AW194">
        <f>-AV194*N('Исходные данные'!$B$73)</f>
        <v>0</v>
      </c>
      <c r="AX194">
        <f>IF(AV194=0,0,-N('Исходные данные'!$B$87)-IF('Исходные данные'!$B$82="Да",IF('Исходные данные'!$B$84="С выручки",AV194,IF('Исходные данные'!$B$84="С прибыли",MAX(0,AV194+AW194-IF('Исходные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94">
        <f t="shared" ref="AY194:AY195" si="129">AV194+AW194+AX194</f>
        <v>0</v>
      </c>
      <c r="AZ194">
        <f t="shared" si="114"/>
        <v>0</v>
      </c>
      <c r="BA194">
        <f t="shared" ref="BA194:BA195" si="130">IF(E194=1,AZ194+N194+AP194+AS194+AY194,0)</f>
        <v>0</v>
      </c>
      <c r="BB194" t="str">
        <f t="shared" si="122"/>
        <v/>
      </c>
      <c r="BC194">
        <f>IF(OR(E194=0,'Исходные данные'!$B$9="",'Исходные данные'!$B$90=""),0,BA194/(1+'Исходные данные'!$B$90)^((D194-'Исходные данные'!$B$9)/365))</f>
        <v>0</v>
      </c>
      <c r="BD194">
        <f>IF(AND(E194=1,BB194&gt;=0,BB193&lt;0,MIN($BB$2:BB194)&lt;0),1,0)</f>
        <v>0</v>
      </c>
      <c r="BE194">
        <f t="shared" si="116"/>
        <v>0</v>
      </c>
      <c r="BF194">
        <f t="shared" si="117"/>
        <v>0</v>
      </c>
      <c r="BG194">
        <f t="shared" si="118"/>
        <v>0</v>
      </c>
      <c r="BH194">
        <f t="shared" si="119"/>
        <v>1</v>
      </c>
      <c r="BI194">
        <f>AZ194+N194+AP194-AR194*N('Исходные данные'!$B$50)</f>
        <v>0</v>
      </c>
      <c r="BJ194">
        <f t="shared" si="102"/>
        <v>0</v>
      </c>
      <c r="BK194">
        <f>IF(AND(BJ194&gt;=0,BJ193&lt;0,MIN($BJ$2:BJ194)&lt;0),1,0)</f>
        <v>0</v>
      </c>
    </row>
    <row r="195" spans="1:63" x14ac:dyDescent="0.2">
      <c r="A195">
        <v>194</v>
      </c>
      <c r="B195" t="str">
        <f>IF('Исходные данные'!$B$9="","",EDATE(DATE(YEAR('Исходные данные'!$B$9),MONTH('Исходные данные'!$B$9),1),A195-1))</f>
        <v/>
      </c>
      <c r="C195" t="str">
        <f t="shared" si="123"/>
        <v/>
      </c>
      <c r="D195" t="str">
        <f>IF(B195="","",IF('Исходные данные'!$B$91&lt;&gt;"",IF(AND(YEAR(B195)=YEAR('Исходные данные'!$B$91),MONTH(B195)=MONTH('Исходные данные'!$B$91)),'Исходные данные'!$B$91,IF('Исходные данные'!$B$13&lt;&gt;"",IF(AND(YEAR(B195)=YEAR('Исходные данные'!$B$13),MONTH(B195)=MONTH('Исходные данные'!$B$13)),'Исходные данные'!$B$13,IF('Исходные данные'!$B$26&lt;&gt;"",IF(AND(YEAR(B195)=YEAR('Исходные данные'!$B$26),MONTH(B195)=MONTH('Исходные данные'!$B$26)),'Исходные данные'!$B$26,IF(A195=1,'Исходные данные'!$B$9,C195)),IF(A195=1,'Исходные данные'!$B$9,C195))),IF('Исходные данные'!$B$26&lt;&gt;"",IF(AND(YEAR(B195)=YEAR('Исходные данные'!$B$26),MONTH(B195)=MONTH('Исходные данные'!$B$26)),'Исходные данные'!$B$26,IF(A195=1,'Исходные данные'!$B$9,C195)),IF(A195=1,'Исходные данные'!$B$9,C195)))),IF('Исходные данные'!$B$13&lt;&gt;"",IF(AND(YEAR(B195)=YEAR('Исходные данные'!$B$13),MONTH(B195)=MONTH('Исходные данные'!$B$13)),'Исходные данные'!$B$13,IF('Исходные данные'!$B$26&lt;&gt;"",IF(AND(YEAR(B195)=YEAR('Исходные данные'!$B$26),MONTH(B195)=MONTH('Исходные данные'!$B$26)),'Исходные данные'!$B$26,IF(A195=1,'Исходные данные'!$B$9,C195)),IF(A195=1,'Исходные данные'!$B$9,C195))),IF('Исходные данные'!$B$26&lt;&gt;"",IF(AND(YEAR(B195)=YEAR('Исходные данные'!$B$26),MONTH(B195)=MONTH('Исходные данные'!$B$26)),'Исходные данные'!$B$26,IF(A195=1,'Исходные данные'!$B$9,C195)),IF(A195=1,'Исходные данные'!$B$9,C195)))))</f>
        <v/>
      </c>
      <c r="E195">
        <f>IF(OR(B195="",'Исходные данные'!$B$91=""),0,--(B195&lt;=DATE(YEAR('Исходные данные'!$B$91),MONTH('Исходные данные'!$B$91),1)))</f>
        <v>0</v>
      </c>
      <c r="F195">
        <f>IF(OR(B195="",'Исходные данные'!$B$30="",C195&lt;'Исходные данные'!$B$30),0,DATEDIF(DATE(YEAR('Исходные данные'!$B$30),MONTH('Исходные данные'!$B$30),1),B195,"m")+1)</f>
        <v>0</v>
      </c>
      <c r="G195">
        <f t="shared" si="124"/>
        <v>0</v>
      </c>
      <c r="H195">
        <f>IF(F195=0,0,IF(G195=1,N('Исходные данные'!$B$31),IF(G195=2,N('Исходные данные'!$B$32),IF(G195=3,N('Исходные данные'!$B$33),N('Исходные данные'!$B$33)*(1+N('Исходные данные'!$B$34))^(G195-3)))))</f>
        <v>0</v>
      </c>
      <c r="I195">
        <f>IF(OR(F195=0,N('Исходные данные'!$B$5)=0,H195=0),0,'Исходные данные'!$B$5*H195*IF(AND(B195&lt;='Исходные данные'!$B$30,C195&gt;='Исходные данные'!$B$30),(C195-'Исходные данные'!$B$30+1)/DAY(C195),1))</f>
        <v>0</v>
      </c>
      <c r="J195">
        <f>IF(AND(F195&gt;0,F195&lt;=N('Исходные данные'!$B$37)),-I195,0)</f>
        <v>0</v>
      </c>
      <c r="K195">
        <f>IF(OR(F195=0,F195&lt;=N('Исходные данные'!$B$37)),0,-(I195+J195)*N('Исходные данные'!$B$38))</f>
        <v>0</v>
      </c>
      <c r="L195">
        <f t="shared" si="125"/>
        <v>0</v>
      </c>
      <c r="M195">
        <f>IF('Исходные данные'!$B$51="Да",L195*N('Исходные данные'!$B$52),0)</f>
        <v>0</v>
      </c>
      <c r="N195">
        <f t="shared" si="126"/>
        <v>0</v>
      </c>
      <c r="O195">
        <f>IF(OR(B195="",IF('Исходные данные'!$B$45="",'Исходные данные'!$B$10,'Исходные данные'!$B$45)="",C195&lt;IF('Исходные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данные'!$B$45)),1),B195,"m")/12))*IF(AND(B195&lt;=IF('Исходные данные'!$B$45="",'Исходные данные'!$B$10,'Исходные данные'!$B$45),C195&gt;=IF('Исходные данные'!$B$45="",'Исходные данные'!$B$10,'Исходные данные'!$B$45)),(C195-IF('Исходные данные'!$B$45="",'Исходные данные'!$B$10,'Исходные данные'!$B$45)+1)/DAY(C195),1)*IF('Исходные данные'!$B$43="Без НДС",1+N('Исходные данные'!$B$44),1))</f>
        <v>0</v>
      </c>
      <c r="P195">
        <f>IF('Исходные данные'!$B$51="Да",-O195*N('Исходные данные'!$B$44)/(1+N('Исходные данные'!$B$44)),0)</f>
        <v>0</v>
      </c>
      <c r="Q195">
        <f>IF('Исходные данные'!$B$35="Да",-O195,0)</f>
        <v>0</v>
      </c>
      <c r="R195">
        <f>IF(AND('Исходные данные'!$B$51="Да",Q195&gt;0),Q195*N('Исходные данные'!$B$52)/(1+N('Исходные данные'!$B$52)),0)</f>
        <v>0</v>
      </c>
      <c r="S195">
        <f>IF(OR(B195="",IF('Исходные данные'!$B$45="",'Исходные данные'!$B$10,'Исходные данные'!$B$45)="",C195&lt;IF('Исходные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данные'!$B$45)),1),B195,"m")/12))*IF(AND(B195&lt;=IF('Исходные данные'!$B$45="",'Исходные данные'!$B$10,'Исходные данные'!$B$45),C195&gt;=IF('Исходные данные'!$B$45="",'Исходные данные'!$B$10,'Исходные данные'!$B$45)),(C195-IF('Исходные данные'!$B$45="",'Исходные данные'!$B$10,'Исходные данные'!$B$45)+1)/DAY(C195),1)*IF('Исходные данные'!$B$43="Без НДС",1+N('Исходные данные'!$B$44),1))</f>
        <v>0</v>
      </c>
      <c r="T195">
        <f>IF('Исходные данные'!$B$51="Да",-S195*N('Исходные данные'!$B$44)/(1+N('Исходные данные'!$B$44)),0)</f>
        <v>0</v>
      </c>
      <c r="U195">
        <f>IF('Исходные данные'!$B$36="Да",-S195,0)</f>
        <v>0</v>
      </c>
      <c r="V195">
        <f>IF(AND('Исходные данные'!$B$51="Да",U195&gt;0),U195*N('Исходные данные'!$B$52)/(1+N('Исходные данные'!$B$52)),0)</f>
        <v>0</v>
      </c>
      <c r="W195">
        <f>IF(OR(B195="",IF('Исходные данные'!$B$69="",'Исходные данные'!$B$10,'Исходные данные'!$B$69)="",C195&lt;IF('Исходные данные'!$B$69="",'Исходные данные'!$B$10,'Исходные данные'!$B$69)),0,-N('Исходные данные'!$B$16)*N('Исходные данные'!$B$68)*N('Исходные данные'!$B$67)/12*IF(AND(B195&lt;=IF('Исходные данные'!$B$69="",'Исходные данные'!$B$10,'Исходные данные'!$B$69),C195&gt;=IF('Исходные данные'!$B$69="",'Исходные данные'!$B$10,'Исходные данные'!$B$69)),(C195-IF('Исходные данные'!$B$69="",'Исходные данные'!$B$10,'Исходные данные'!$B$69)+1)/DAY(C195),1))</f>
        <v>0</v>
      </c>
      <c r="X195">
        <f>IF(OR(B195="",IF('Исходные данные'!$B$76="",'Исходные данные'!$B$10,'Исходные данные'!$B$76)="",C195&lt;IF('Исходные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данные'!$B$76)),1),B195,"m")/12))*IF(AND(B195&lt;=IF('Исходные данные'!$B$76="",'Исходные данные'!$B$10,'Исходные данные'!$B$76),C195&gt;=IF('Исходные данные'!$B$76="",'Исходные данные'!$B$10,'Исходные данные'!$B$76)),(C195-IF('Исходные данные'!$B$76="",'Исходные данные'!$B$10,'Исходные данные'!$B$76)+1)/DAY(C195),1))</f>
        <v>0</v>
      </c>
      <c r="Y195">
        <f t="shared" si="127"/>
        <v>0</v>
      </c>
      <c r="Z195">
        <f>IF(OR(B195="",N('Исходные данные'!$B$19)=0),0,-SUMIFS('Исходные данные'!$I$6:$I$186,'Исходные данные'!$F$6:$F$186,B195)*N('Исходные данные'!$B$17)/N('Исходные данные'!$B$19))</f>
        <v>0</v>
      </c>
      <c r="AA195">
        <f>IF(OR(B195="",N('Исходные данные'!$B$19)=0),0,-SUMIFS('Исходные данные'!$I$6:$I$186,'Исходные данные'!$F$6:$F$186,B195)*N('Исходные данные'!$B$18)/N('Исходные данные'!$B$19))</f>
        <v>0</v>
      </c>
      <c r="AB195">
        <f>IF(OR(B195="",'Исходные данные'!$B$13=""),0,IF(AND(YEAR(B195)=YEAR('Исходные данные'!$B$13),MONTH(B195)=MONTH('Исходные данные'!$B$13)),-N('Исходные данные'!$B$11),0))</f>
        <v>0</v>
      </c>
      <c r="AC195">
        <f>IF(A195=1,-N('Исходные данные'!$B$19)*N('Исходные данные'!$B$72),0)</f>
        <v>0</v>
      </c>
      <c r="AD195">
        <f>IF(OR(B195="",'Исходные данные'!$B$22&lt;&gt;"Да",'Исходные данные'!$B$26=""),0,IF(AND(YEAR(B195)=YEAR('Исходные данные'!$B$26),MONTH(B195)=MONTH('Исходные данные'!$B$26)),N('Исходные данные'!$B$23),0))</f>
        <v>0</v>
      </c>
      <c r="AE195">
        <f t="shared" ref="AE195:AE258" si="131">AK194</f>
        <v>0</v>
      </c>
      <c r="AF195">
        <f>IF(OR('Исходные данные'!$B$22&lt;&gt;"Да",'Исходные данные'!$B$26="",C195&lt;'Исходные данные'!$B$26),0,DATEDIF(DATE(YEAR('Исходные данные'!$B$26),MONTH('Исходные данные'!$B$26),1),B195,"m")+1)</f>
        <v>0</v>
      </c>
      <c r="AG195">
        <f>IF(OR(AF195&lt;1,AF195&gt;N('Исходные данные'!$B$25),AE195+AD195&lt;=0),0,-(AE195+AD195)*N('Исходные данные'!$B$24)*IF(AF195=1,C195-'Исходные данные'!$B$26+1,DAY(C195))/365)</f>
        <v>0</v>
      </c>
      <c r="AH195">
        <f>IF(OR(AF195&lt;1,AF195&gt;N('Исходные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данные'!$B$25)-AG195))</f>
        <v>0</v>
      </c>
      <c r="AI195">
        <f>IF(OR('Исходные данные'!$B$22&lt;&gt;"Да",AE195+AD195&lt;=0),0,IF(AND('Исходные данные'!$B$91&lt;&gt;"",B195&lt;&gt;"",YEAR(B195)=YEAR('Исходные данные'!$B$91),MONTH(B195)=MONTH('Исходные данные'!$B$91)),-(AE195+AD195),IF(OR(AF195&lt;1,AF195&gt;N('Исходные данные'!$B$25)),0,IF('Исходные данные'!$B$27="Равными долями",-MIN(AE195+AD195,N('Исходные данные'!$B$23)/N('Исходные данные'!$B$25)),-MIN(AE195+AD195,IF(AF195=N('Исходные данные'!$B$25),AE195+AD195,MAX(0,AH195+AG195)))))))</f>
        <v>0</v>
      </c>
      <c r="AJ195">
        <f t="shared" si="128"/>
        <v>0</v>
      </c>
      <c r="AK195">
        <f t="shared" ref="AK195:AK258" si="132">MAX(0,AE195+AD195+AI195)</f>
        <v>0</v>
      </c>
      <c r="AL195">
        <f>IF(OR(B195="",'Исходные данные'!$B$51&lt;&gt;"Да",'Исходные данные'!$B$61=""),0,IF(AND(YEAR(B195)=YEAR('Исходные данные'!$B$61),MONTH(B195)=MONTH('Исходные данные'!$B$61)),N('Исходные данные'!$B$18)*N('Исходные данные'!$B$62),0))</f>
        <v>0</v>
      </c>
      <c r="AM195">
        <f t="shared" ref="AM195:AM258" si="133">AQ194</f>
        <v>0</v>
      </c>
      <c r="AN195">
        <f t="shared" ref="AN195:AN258" si="134">M195+R195+V195</f>
        <v>0</v>
      </c>
      <c r="AO195">
        <f t="shared" ref="AO195:AO258" si="135">P195+T195</f>
        <v>0</v>
      </c>
      <c r="AP195">
        <f>IF('Исходные данные'!$B$51="Да",-MAX(0,AN195-AO195-AM195),0)</f>
        <v>0</v>
      </c>
      <c r="AQ195">
        <f>IF('Исходные данные'!$B$51="Да",MAX(0,AM195+AO195-AN195),0)</f>
        <v>0</v>
      </c>
      <c r="AR195">
        <f>IF('Исходные данные'!$B$53="Выручка",MAX(0,L195+(Q195-R195)+(U195-V195)),IF('Исходные данные'!$B$53="Прибыль до налога",MAX(0,L195+(Q195-R195)+(U195-V195)+N('Исходные данные'!$B$54)*((O195+P195)+(S195+T195)+W195+X195)+IF('Исходные данные'!$B$55="Да",AG195,0)-N('Исходные данные'!$B$56)/12),IF('Исходные данные'!$B$53="Пользовательская база",MAX(0,N('Исходные данные'!$B$57)/12),0)))</f>
        <v>0</v>
      </c>
      <c r="AS195">
        <f>IF(E195=1,-AR195*N('Исходные данные'!$B$50),0)</f>
        <v>0</v>
      </c>
      <c r="AT195">
        <f t="shared" ref="AT195:AT258" si="136">IF(B195="",0,SUMIFS($Y$2:$Y$194,$B$2:$B$194,"&gt;"&amp;B195,$B$2:$B$194,"&lt;="&amp;EDATE(B195,12)))</f>
        <v>0</v>
      </c>
      <c r="AU195">
        <f>IF(OR(B195="",N('Исходные данные'!$B$80)&lt;=0,'Исходные данные'!$B$88=""),0,MAX(0,IF('Исходные данные'!$B$88="Последние 12 месяцев",SUMIFS($Y$2:$Y$194,$B$2:$B$194,"&gt;="&amp;EDATE(B195,-11),$B$2:$B$194,"&lt;="&amp;B195),IF('Исходные данные'!$B$88="Пользовательский NOI",N('Исходные данные'!$B$89),AT195))/N('Исходные данные'!$B$80)*(1+N('Исходные данные'!$B$81))))</f>
        <v>0</v>
      </c>
      <c r="AV195">
        <f>IF(OR(E195&lt;&gt;1,B195="",'Исходные данные'!$B$91=""),0,IF(AND(YEAR(B195)=YEAR('Исходные данные'!$B$91),MONTH(B195)=MONTH('Исходные данные'!$B$91)),AU195,0))</f>
        <v>0</v>
      </c>
      <c r="AW195">
        <f>-AV195*N('Исходные данные'!$B$73)</f>
        <v>0</v>
      </c>
      <c r="AX195">
        <f>IF(AV195=0,0,-N('Исходные данные'!$B$87)-IF('Исходные данные'!$B$82="Да",IF('Исходные данные'!$B$84="С выручки",AV195,IF('Исходные данные'!$B$84="С прибыли",MAX(0,AV195+AW195-IF('Исходные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95">
        <f t="shared" si="129"/>
        <v>0</v>
      </c>
      <c r="AZ195">
        <f t="shared" ref="AZ195:AZ258" si="137">Z195+AA195+AB195+AC195+AD195+AI195+AG195+O195+Q195+S195+U195+W195+X195+AL195</f>
        <v>0</v>
      </c>
      <c r="BA195">
        <f t="shared" si="130"/>
        <v>0</v>
      </c>
      <c r="BB195" t="str">
        <f t="shared" ref="BB195:BB258" si="138">IF(E195=1,BB194+BA195,"")</f>
        <v/>
      </c>
      <c r="BC195">
        <f>IF(OR(E195=0,'Исходные данные'!$B$9="",'Исходные данные'!$B$90=""),0,BA195/(1+'Исходные данные'!$B$90)^((D195-'Исходные данные'!$B$9)/365))</f>
        <v>0</v>
      </c>
      <c r="BD195">
        <f>IF(AND(E195=1,BB195&gt;=0,BB194&lt;0,MIN($BB$2:BB195)&lt;0),1,0)</f>
        <v>0</v>
      </c>
      <c r="BE195">
        <f t="shared" ref="BE195:BE258" si="139">IF(E195=1,N195+O195+Q195+S195+U195+W195+X195+AP195+AS195,0)</f>
        <v>0</v>
      </c>
      <c r="BF195">
        <f t="shared" ref="BF195:BF258" si="140">Y195</f>
        <v>0</v>
      </c>
      <c r="BG195">
        <f t="shared" ref="BG195:BG258" si="141">IF(E195=1,Y195+AG195+AS195+Z195+AA195+AB195+AC195+AL195+AY195,0)</f>
        <v>0</v>
      </c>
      <c r="BH195">
        <f t="shared" ref="BH195:BH258" si="142">--AND(Z195&lt;=0,AA195&lt;=0,AB195&lt;=0,AC195&lt;=0,AD195&gt;=0,AI195&lt;=0,AG195&lt;=0,O195&lt;=0,Q195&gt;=0,S195&lt;=0,U195&gt;=0,W195&lt;=0,X195&lt;=0,AL195&gt;=0,AP195&lt;=0,AS195&lt;=0,AV195&gt;=0,AW195&lt;=0,AX195&lt;=0,AK195&gt;=-0.01)</f>
        <v>1</v>
      </c>
      <c r="BI195">
        <f>AZ195+N195+AP195-AR195*N('Исходные данные'!$B$50)</f>
        <v>0</v>
      </c>
      <c r="BJ195">
        <f t="shared" ref="BJ195:BJ258" si="143">BJ194+BI195</f>
        <v>0</v>
      </c>
      <c r="BK195">
        <f>IF(AND(BJ195&gt;=0,BJ194&lt;0,MIN($BJ$2:BJ195)&lt;0),1,0)</f>
        <v>0</v>
      </c>
    </row>
    <row r="196" spans="1:63" x14ac:dyDescent="0.2">
      <c r="A196">
        <v>195</v>
      </c>
      <c r="B196" t="str">
        <f>IF('Исходные данные'!$B$9="","",EDATE(DATE(YEAR('Исходные данные'!$B$9),MONTH('Исходные данные'!$B$9),1),A196-1))</f>
        <v/>
      </c>
      <c r="C196" t="str">
        <f t="shared" ref="C196:C259" si="144">IF(B196="","",EOMONTH(B196,0))</f>
        <v/>
      </c>
      <c r="D196" t="str">
        <f>IF(B196="","",IF('Исходные данные'!$B$91&lt;&gt;"",IF(AND(YEAR(B196)=YEAR('Исходные данные'!$B$91),MONTH(B196)=MONTH('Исходные данные'!$B$91)),'Исходные данные'!$B$91,IF('Исходные данные'!$B$13&lt;&gt;"",IF(AND(YEAR(B196)=YEAR('Исходные данные'!$B$13),MONTH(B196)=MONTH('Исходные данные'!$B$13)),'Исходные данные'!$B$13,IF('Исходные данные'!$B$26&lt;&gt;"",IF(AND(YEAR(B196)=YEAR('Исходные данные'!$B$26),MONTH(B196)=MONTH('Исходные данные'!$B$26)),'Исходные данные'!$B$26,IF(A196=1,'Исходные данные'!$B$9,C196)),IF(A196=1,'Исходные данные'!$B$9,C196))),IF('Исходные данные'!$B$26&lt;&gt;"",IF(AND(YEAR(B196)=YEAR('Исходные данные'!$B$26),MONTH(B196)=MONTH('Исходные данные'!$B$26)),'Исходные данные'!$B$26,IF(A196=1,'Исходные данные'!$B$9,C196)),IF(A196=1,'Исходные данные'!$B$9,C196)))),IF('Исходные данные'!$B$13&lt;&gt;"",IF(AND(YEAR(B196)=YEAR('Исходные данные'!$B$13),MONTH(B196)=MONTH('Исходные данные'!$B$13)),'Исходные данные'!$B$13,IF('Исходные данные'!$B$26&lt;&gt;"",IF(AND(YEAR(B196)=YEAR('Исходные данные'!$B$26),MONTH(B196)=MONTH('Исходные данные'!$B$26)),'Исходные данные'!$B$26,IF(A196=1,'Исходные данные'!$B$9,C196)),IF(A196=1,'Исходные данные'!$B$9,C196))),IF('Исходные данные'!$B$26&lt;&gt;"",IF(AND(YEAR(B196)=YEAR('Исходные данные'!$B$26),MONTH(B196)=MONTH('Исходные данные'!$B$26)),'Исходные данные'!$B$26,IF(A196=1,'Исходные данные'!$B$9,C196)),IF(A196=1,'Исходные данные'!$B$9,C196)))))</f>
        <v/>
      </c>
      <c r="E196">
        <f>IF(OR(B196="",'Исходные данные'!$B$91=""),0,--(B196&lt;=DATE(YEAR('Исходные данные'!$B$91),MONTH('Исходные данные'!$B$91),1)))</f>
        <v>0</v>
      </c>
      <c r="F196">
        <f>IF(OR(B196="",'Исходные данные'!$B$30="",C196&lt;'Исходные данные'!$B$30),0,DATEDIF(DATE(YEAR('Исходные данные'!$B$30),MONTH('Исходные данные'!$B$30),1),B196,"m")+1)</f>
        <v>0</v>
      </c>
      <c r="G196">
        <f t="shared" ref="G196:G259" si="145">IF(F196=0,0,1+INT((F196-1)/12))</f>
        <v>0</v>
      </c>
      <c r="H196">
        <f>IF(F196=0,0,IF(G196=1,N('Исходные данные'!$B$31),IF(G196=2,N('Исходные данные'!$B$32),IF(G196=3,N('Исходные данные'!$B$33),N('Исходные данные'!$B$33)*(1+N('Исходные данные'!$B$34))^(G196-3)))))</f>
        <v>0</v>
      </c>
      <c r="I196">
        <f>IF(OR(F196=0,N('Исходные данные'!$B$5)=0,H196=0),0,'Исходные данные'!$B$5*H196*IF(AND(B196&lt;='Исходные данные'!$B$30,C196&gt;='Исходные данные'!$B$30),(C196-'Исходные данные'!$B$30+1)/DAY(C196),1))</f>
        <v>0</v>
      </c>
      <c r="J196">
        <f>IF(AND(F196&gt;0,F196&lt;=N('Исходные данные'!$B$37)),-I196,0)</f>
        <v>0</v>
      </c>
      <c r="K196">
        <f>IF(OR(F196=0,F196&lt;=N('Исходные данные'!$B$37)),0,-(I196+J196)*N('Исходные данные'!$B$38))</f>
        <v>0</v>
      </c>
      <c r="L196">
        <f t="shared" ref="L196:L259" si="146">I196+J196+K196</f>
        <v>0</v>
      </c>
      <c r="M196">
        <f>IF('Исходные данные'!$B$51="Да",L196*N('Исходные данные'!$B$52),0)</f>
        <v>0</v>
      </c>
      <c r="N196">
        <f t="shared" ref="N196:N259" si="147">L196+M196</f>
        <v>0</v>
      </c>
      <c r="O196">
        <f>IF(OR(B196="",IF('Исходные данные'!$B$45="",'Исходные данные'!$B$10,'Исходные данные'!$B$45)="",C196&lt;IF('Исходные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данные'!$B$45)),1),B196,"m")/12))*IF(AND(B196&lt;=IF('Исходные данные'!$B$45="",'Исходные данные'!$B$10,'Исходные данные'!$B$45),C196&gt;=IF('Исходные данные'!$B$45="",'Исходные данные'!$B$10,'Исходные данные'!$B$45)),(C196-IF('Исходные данные'!$B$45="",'Исходные данные'!$B$10,'Исходные данные'!$B$45)+1)/DAY(C196),1)*IF('Исходные данные'!$B$43="Без НДС",1+N('Исходные данные'!$B$44),1))</f>
        <v>0</v>
      </c>
      <c r="P196">
        <f>IF('Исходные данные'!$B$51="Да",-O196*N('Исходные данные'!$B$44)/(1+N('Исходные данные'!$B$44)),0)</f>
        <v>0</v>
      </c>
      <c r="Q196">
        <f>IF('Исходные данные'!$B$35="Да",-O196,0)</f>
        <v>0</v>
      </c>
      <c r="R196">
        <f>IF(AND('Исходные данные'!$B$51="Да",Q196&gt;0),Q196*N('Исходные данные'!$B$52)/(1+N('Исходные данные'!$B$52)),0)</f>
        <v>0</v>
      </c>
      <c r="S196">
        <f>IF(OR(B196="",IF('Исходные данные'!$B$45="",'Исходные данные'!$B$10,'Исходные данные'!$B$45)="",C196&lt;IF('Исходные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данные'!$B$45)),1),B196,"m")/12))*IF(AND(B196&lt;=IF('Исходные данные'!$B$45="",'Исходные данные'!$B$10,'Исходные данные'!$B$45),C196&gt;=IF('Исходные данные'!$B$45="",'Исходные данные'!$B$10,'Исходные данные'!$B$45)),(C196-IF('Исходные данные'!$B$45="",'Исходные данные'!$B$10,'Исходные данные'!$B$45)+1)/DAY(C196),1)*IF('Исходные данные'!$B$43="Без НДС",1+N('Исходные данные'!$B$44),1))</f>
        <v>0</v>
      </c>
      <c r="T196">
        <f>IF('Исходные данные'!$B$51="Да",-S196*N('Исходные данные'!$B$44)/(1+N('Исходные данные'!$B$44)),0)</f>
        <v>0</v>
      </c>
      <c r="U196">
        <f>IF('Исходные данные'!$B$36="Да",-S196,0)</f>
        <v>0</v>
      </c>
      <c r="V196">
        <f>IF(AND('Исходные данные'!$B$51="Да",U196&gt;0),U196*N('Исходные данные'!$B$52)/(1+N('Исходные данные'!$B$52)),0)</f>
        <v>0</v>
      </c>
      <c r="W196">
        <f>IF(OR(B196="",IF('Исходные данные'!$B$69="",'Исходные данные'!$B$10,'Исходные данные'!$B$69)="",C196&lt;IF('Исходные данные'!$B$69="",'Исходные данные'!$B$10,'Исходные данные'!$B$69)),0,-N('Исходные данные'!$B$16)*N('Исходные данные'!$B$68)*N('Исходные данные'!$B$67)/12*IF(AND(B196&lt;=IF('Исходные данные'!$B$69="",'Исходные данные'!$B$10,'Исходные данные'!$B$69),C196&gt;=IF('Исходные данные'!$B$69="",'Исходные данные'!$B$10,'Исходные данные'!$B$69)),(C196-IF('Исходные данные'!$B$69="",'Исходные данные'!$B$10,'Исходные данные'!$B$69)+1)/DAY(C196),1))</f>
        <v>0</v>
      </c>
      <c r="X196">
        <f>IF(OR(B196="",IF('Исходные данные'!$B$76="",'Исходные данные'!$B$10,'Исходные данные'!$B$76)="",C196&lt;IF('Исходные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данные'!$B$76)),1),B196,"m")/12))*IF(AND(B196&lt;=IF('Исходные данные'!$B$76="",'Исходные данные'!$B$10,'Исходные данные'!$B$76),C196&gt;=IF('Исходные данные'!$B$76="",'Исходные данные'!$B$10,'Исходные данные'!$B$76)),(C196-IF('Исходные данные'!$B$76="",'Исходные данные'!$B$10,'Исходные данные'!$B$76)+1)/DAY(C196),1))</f>
        <v>0</v>
      </c>
      <c r="Y196">
        <f t="shared" ref="Y196:Y259" si="148">L196+(Q196-R196)+(U196-V196)+(O196+P196)+(S196+T196)+W196+X196</f>
        <v>0</v>
      </c>
      <c r="Z196">
        <f>IF(OR(B196="",N('Исходные данные'!$B$19)=0),0,-SUMIFS('Исходные данные'!$I$6:$I$186,'Исходные данные'!$F$6:$F$186,B196)*N('Исходные данные'!$B$17)/N('Исходные данные'!$B$19))</f>
        <v>0</v>
      </c>
      <c r="AA196">
        <f>IF(OR(B196="",N('Исходные данные'!$B$19)=0),0,-SUMIFS('Исходные данные'!$I$6:$I$186,'Исходные данные'!$F$6:$F$186,B196)*N('Исходные данные'!$B$18)/N('Исходные данные'!$B$19))</f>
        <v>0</v>
      </c>
      <c r="AB196">
        <f>IF(OR(B196="",'Исходные данные'!$B$13=""),0,IF(AND(YEAR(B196)=YEAR('Исходные данные'!$B$13),MONTH(B196)=MONTH('Исходные данные'!$B$13)),-N('Исходные данные'!$B$11),0))</f>
        <v>0</v>
      </c>
      <c r="AC196">
        <f>IF(A196=1,-N('Исходные данные'!$B$19)*N('Исходные данные'!$B$72),0)</f>
        <v>0</v>
      </c>
      <c r="AD196">
        <f>IF(OR(B196="",'Исходные данные'!$B$22&lt;&gt;"Да",'Исходные данные'!$B$26=""),0,IF(AND(YEAR(B196)=YEAR('Исходные данные'!$B$26),MONTH(B196)=MONTH('Исходные данные'!$B$26)),N('Исходные данные'!$B$23),0))</f>
        <v>0</v>
      </c>
      <c r="AE196">
        <f t="shared" si="131"/>
        <v>0</v>
      </c>
      <c r="AF196">
        <f>IF(OR('Исходные данные'!$B$22&lt;&gt;"Да",'Исходные данные'!$B$26="",C196&lt;'Исходные данные'!$B$26),0,DATEDIF(DATE(YEAR('Исходные данные'!$B$26),MONTH('Исходные данные'!$B$26),1),B196,"m")+1)</f>
        <v>0</v>
      </c>
      <c r="AG196">
        <f>IF(OR(AF196&lt;1,AF196&gt;N('Исходные данные'!$B$25),AE196+AD196&lt;=0),0,-(AE196+AD196)*N('Исходные данные'!$B$24)*IF(AF196=1,C196-'Исходные данные'!$B$26+1,DAY(C196))/365)</f>
        <v>0</v>
      </c>
      <c r="AH196">
        <f>IF(OR(AF196&lt;1,AF196&gt;N('Исходные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данные'!$B$25)-AG196))</f>
        <v>0</v>
      </c>
      <c r="AI196">
        <f>IF(OR('Исходные данные'!$B$22&lt;&gt;"Да",AE196+AD196&lt;=0),0,IF(AND('Исходные данные'!$B$91&lt;&gt;"",B196&lt;&gt;"",YEAR(B196)=YEAR('Исходные данные'!$B$91),MONTH(B196)=MONTH('Исходные данные'!$B$91)),-(AE196+AD196),IF(OR(AF196&lt;1,AF196&gt;N('Исходные данные'!$B$25)),0,IF('Исходные данные'!$B$27="Равными долями",-MIN(AE196+AD196,N('Исходные данные'!$B$23)/N('Исходные данные'!$B$25)),-MIN(AE196+AD196,IF(AF196=N('Исходные данные'!$B$25),AE196+AD196,MAX(0,AH196+AG196)))))))</f>
        <v>0</v>
      </c>
      <c r="AJ196">
        <f t="shared" ref="AJ196:AJ259" si="149">AG196+AI196</f>
        <v>0</v>
      </c>
      <c r="AK196">
        <f t="shared" si="132"/>
        <v>0</v>
      </c>
      <c r="AL196">
        <f>IF(OR(B196="",'Исходные данные'!$B$51&lt;&gt;"Да",'Исходные данные'!$B$61=""),0,IF(AND(YEAR(B196)=YEAR('Исходные данные'!$B$61),MONTH(B196)=MONTH('Исходные данные'!$B$61)),N('Исходные данные'!$B$18)*N('Исходные данные'!$B$62),0))</f>
        <v>0</v>
      </c>
      <c r="AM196">
        <f t="shared" si="133"/>
        <v>0</v>
      </c>
      <c r="AN196">
        <f t="shared" si="134"/>
        <v>0</v>
      </c>
      <c r="AO196">
        <f t="shared" si="135"/>
        <v>0</v>
      </c>
      <c r="AP196">
        <f>IF('Исходные данные'!$B$51="Да",-MAX(0,AN196-AO196-AM196),0)</f>
        <v>0</v>
      </c>
      <c r="AQ196">
        <f>IF('Исходные данные'!$B$51="Да",MAX(0,AM196+AO196-AN196),0)</f>
        <v>0</v>
      </c>
      <c r="AR196">
        <f>IF('Исходные данные'!$B$53="Выручка",MAX(0,L196+(Q196-R196)+(U196-V196)),IF('Исходные данные'!$B$53="Прибыль до налога",MAX(0,L196+(Q196-R196)+(U196-V196)+N('Исходные данные'!$B$54)*((O196+P196)+(S196+T196)+W196+X196)+IF('Исходные данные'!$B$55="Да",AG196,0)-N('Исходные данные'!$B$56)/12),IF('Исходные данные'!$B$53="Пользовательская база",MAX(0,N('Исходные данные'!$B$57)/12),0)))</f>
        <v>0</v>
      </c>
      <c r="AS196">
        <f>IF(E196=1,-AR196*N('Исходные данные'!$B$50),0)</f>
        <v>0</v>
      </c>
      <c r="AT196">
        <f t="shared" si="136"/>
        <v>0</v>
      </c>
      <c r="AU196">
        <f>IF(OR(B196="",N('Исходные данные'!$B$80)&lt;=0,'Исходные данные'!$B$88=""),0,MAX(0,IF('Исходные данные'!$B$88="Последние 12 месяцев",SUMIFS($Y$2:$Y$194,$B$2:$B$194,"&gt;="&amp;EDATE(B196,-11),$B$2:$B$194,"&lt;="&amp;B196),IF('Исходные данные'!$B$88="Пользовательский NOI",N('Исходные данные'!$B$89),AT196))/N('Исходные данные'!$B$80)*(1+N('Исходные данные'!$B$81))))</f>
        <v>0</v>
      </c>
      <c r="AV196">
        <f>IF(OR(E196&lt;&gt;1,B196="",'Исходные данные'!$B$91=""),0,IF(AND(YEAR(B196)=YEAR('Исходные данные'!$B$91),MONTH(B196)=MONTH('Исходные данные'!$B$91)),AU196,0))</f>
        <v>0</v>
      </c>
      <c r="AW196">
        <f>-AV196*N('Исходные данные'!$B$73)</f>
        <v>0</v>
      </c>
      <c r="AX196">
        <f>IF(AV196=0,0,-N('Исходные данные'!$B$87)-IF('Исходные данные'!$B$82="Да",IF('Исходные данные'!$B$84="С выручки",AV196,IF('Исходные данные'!$B$84="С прибыли",MAX(0,AV196+AW196-IF('Исходные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96">
        <f t="shared" ref="AY196:AY259" si="150">AV196+AW196+AX196</f>
        <v>0</v>
      </c>
      <c r="AZ196">
        <f t="shared" si="137"/>
        <v>0</v>
      </c>
      <c r="BA196">
        <f t="shared" ref="BA196:BA259" si="151">IF(E196=1,AZ196+N196+AP196+AS196+AY196,0)</f>
        <v>0</v>
      </c>
      <c r="BB196" t="str">
        <f t="shared" si="138"/>
        <v/>
      </c>
      <c r="BC196">
        <f>IF(OR(E196=0,'Исходные данные'!$B$9="",'Исходные данные'!$B$90=""),0,BA196/(1+'Исходные данные'!$B$90)^((D196-'Исходные данные'!$B$9)/365))</f>
        <v>0</v>
      </c>
      <c r="BD196">
        <f>IF(AND(E196=1,BB196&gt;=0,BB195&lt;0,MIN($BB$2:BB196)&lt;0),1,0)</f>
        <v>0</v>
      </c>
      <c r="BE196">
        <f t="shared" si="139"/>
        <v>0</v>
      </c>
      <c r="BF196">
        <f t="shared" si="140"/>
        <v>0</v>
      </c>
      <c r="BG196">
        <f t="shared" si="141"/>
        <v>0</v>
      </c>
      <c r="BH196">
        <f t="shared" si="142"/>
        <v>1</v>
      </c>
      <c r="BI196">
        <f>AZ196+N196+AP196-AR196*N('Исходные данные'!$B$50)</f>
        <v>0</v>
      </c>
      <c r="BJ196">
        <f t="shared" si="143"/>
        <v>0</v>
      </c>
      <c r="BK196">
        <f>IF(AND(BJ196&gt;=0,BJ195&lt;0,MIN($BJ$2:BJ196)&lt;0),1,0)</f>
        <v>0</v>
      </c>
    </row>
    <row r="197" spans="1:63" x14ac:dyDescent="0.2">
      <c r="A197">
        <v>196</v>
      </c>
      <c r="B197" t="str">
        <f>IF('Исходные данные'!$B$9="","",EDATE(DATE(YEAR('Исходные данные'!$B$9),MONTH('Исходные данные'!$B$9),1),A197-1))</f>
        <v/>
      </c>
      <c r="C197" t="str">
        <f t="shared" si="144"/>
        <v/>
      </c>
      <c r="D197" t="str">
        <f>IF(B197="","",IF('Исходные данные'!$B$91&lt;&gt;"",IF(AND(YEAR(B197)=YEAR('Исходные данные'!$B$91),MONTH(B197)=MONTH('Исходные данные'!$B$91)),'Исходные данные'!$B$91,IF('Исходные данные'!$B$13&lt;&gt;"",IF(AND(YEAR(B197)=YEAR('Исходные данные'!$B$13),MONTH(B197)=MONTH('Исходные данные'!$B$13)),'Исходные данные'!$B$13,IF('Исходные данные'!$B$26&lt;&gt;"",IF(AND(YEAR(B197)=YEAR('Исходные данные'!$B$26),MONTH(B197)=MONTH('Исходные данные'!$B$26)),'Исходные данные'!$B$26,IF(A197=1,'Исходные данные'!$B$9,C197)),IF(A197=1,'Исходные данные'!$B$9,C197))),IF('Исходные данные'!$B$26&lt;&gt;"",IF(AND(YEAR(B197)=YEAR('Исходные данные'!$B$26),MONTH(B197)=MONTH('Исходные данные'!$B$26)),'Исходные данные'!$B$26,IF(A197=1,'Исходные данные'!$B$9,C197)),IF(A197=1,'Исходные данные'!$B$9,C197)))),IF('Исходные данные'!$B$13&lt;&gt;"",IF(AND(YEAR(B197)=YEAR('Исходные данные'!$B$13),MONTH(B197)=MONTH('Исходные данные'!$B$13)),'Исходные данные'!$B$13,IF('Исходные данные'!$B$26&lt;&gt;"",IF(AND(YEAR(B197)=YEAR('Исходные данные'!$B$26),MONTH(B197)=MONTH('Исходные данные'!$B$26)),'Исходные данные'!$B$26,IF(A197=1,'Исходные данные'!$B$9,C197)),IF(A197=1,'Исходные данные'!$B$9,C197))),IF('Исходные данные'!$B$26&lt;&gt;"",IF(AND(YEAR(B197)=YEAR('Исходные данные'!$B$26),MONTH(B197)=MONTH('Исходные данные'!$B$26)),'Исходные данные'!$B$26,IF(A197=1,'Исходные данные'!$B$9,C197)),IF(A197=1,'Исходные данные'!$B$9,C197)))))</f>
        <v/>
      </c>
      <c r="E197">
        <f>IF(OR(B197="",'Исходные данные'!$B$91=""),0,--(B197&lt;=DATE(YEAR('Исходные данные'!$B$91),MONTH('Исходные данные'!$B$91),1)))</f>
        <v>0</v>
      </c>
      <c r="F197">
        <f>IF(OR(B197="",'Исходные данные'!$B$30="",C197&lt;'Исходные данные'!$B$30),0,DATEDIF(DATE(YEAR('Исходные данные'!$B$30),MONTH('Исходные данные'!$B$30),1),B197,"m")+1)</f>
        <v>0</v>
      </c>
      <c r="G197">
        <f t="shared" si="145"/>
        <v>0</v>
      </c>
      <c r="H197">
        <f>IF(F197=0,0,IF(G197=1,N('Исходные данные'!$B$31),IF(G197=2,N('Исходные данные'!$B$32),IF(G197=3,N('Исходные данные'!$B$33),N('Исходные данные'!$B$33)*(1+N('Исходные данные'!$B$34))^(G197-3)))))</f>
        <v>0</v>
      </c>
      <c r="I197">
        <f>IF(OR(F197=0,N('Исходные данные'!$B$5)=0,H197=0),0,'Исходные данные'!$B$5*H197*IF(AND(B197&lt;='Исходные данные'!$B$30,C197&gt;='Исходные данные'!$B$30),(C197-'Исходные данные'!$B$30+1)/DAY(C197),1))</f>
        <v>0</v>
      </c>
      <c r="J197">
        <f>IF(AND(F197&gt;0,F197&lt;=N('Исходные данные'!$B$37)),-I197,0)</f>
        <v>0</v>
      </c>
      <c r="K197">
        <f>IF(OR(F197=0,F197&lt;=N('Исходные данные'!$B$37)),0,-(I197+J197)*N('Исходные данные'!$B$38))</f>
        <v>0</v>
      </c>
      <c r="L197">
        <f t="shared" si="146"/>
        <v>0</v>
      </c>
      <c r="M197">
        <f>IF('Исходные данные'!$B$51="Да",L197*N('Исходные данные'!$B$52),0)</f>
        <v>0</v>
      </c>
      <c r="N197">
        <f t="shared" si="147"/>
        <v>0</v>
      </c>
      <c r="O197">
        <f>IF(OR(B197="",IF('Исходные данные'!$B$45="",'Исходные данные'!$B$10,'Исходные данные'!$B$45)="",C197&lt;IF('Исходные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данные'!$B$45)),1),B197,"m")/12))*IF(AND(B197&lt;=IF('Исходные данные'!$B$45="",'Исходные данные'!$B$10,'Исходные данные'!$B$45),C197&gt;=IF('Исходные данные'!$B$45="",'Исходные данные'!$B$10,'Исходные данные'!$B$45)),(C197-IF('Исходные данные'!$B$45="",'Исходные данные'!$B$10,'Исходные данные'!$B$45)+1)/DAY(C197),1)*IF('Исходные данные'!$B$43="Без НДС",1+N('Исходные данные'!$B$44),1))</f>
        <v>0</v>
      </c>
      <c r="P197">
        <f>IF('Исходные данные'!$B$51="Да",-O197*N('Исходные данные'!$B$44)/(1+N('Исходные данные'!$B$44)),0)</f>
        <v>0</v>
      </c>
      <c r="Q197">
        <f>IF('Исходные данные'!$B$35="Да",-O197,0)</f>
        <v>0</v>
      </c>
      <c r="R197">
        <f>IF(AND('Исходные данные'!$B$51="Да",Q197&gt;0),Q197*N('Исходные данные'!$B$52)/(1+N('Исходные данные'!$B$52)),0)</f>
        <v>0</v>
      </c>
      <c r="S197">
        <f>IF(OR(B197="",IF('Исходные данные'!$B$45="",'Исходные данные'!$B$10,'Исходные данные'!$B$45)="",C197&lt;IF('Исходные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данные'!$B$45)),1),B197,"m")/12))*IF(AND(B197&lt;=IF('Исходные данные'!$B$45="",'Исходные данные'!$B$10,'Исходные данные'!$B$45),C197&gt;=IF('Исходные данные'!$B$45="",'Исходные данные'!$B$10,'Исходные данные'!$B$45)),(C197-IF('Исходные данные'!$B$45="",'Исходные данные'!$B$10,'Исходные данные'!$B$45)+1)/DAY(C197),1)*IF('Исходные данные'!$B$43="Без НДС",1+N('Исходные данные'!$B$44),1))</f>
        <v>0</v>
      </c>
      <c r="T197">
        <f>IF('Исходные данные'!$B$51="Да",-S197*N('Исходные данные'!$B$44)/(1+N('Исходные данные'!$B$44)),0)</f>
        <v>0</v>
      </c>
      <c r="U197">
        <f>IF('Исходные данные'!$B$36="Да",-S197,0)</f>
        <v>0</v>
      </c>
      <c r="V197">
        <f>IF(AND('Исходные данные'!$B$51="Да",U197&gt;0),U197*N('Исходные данные'!$B$52)/(1+N('Исходные данные'!$B$52)),0)</f>
        <v>0</v>
      </c>
      <c r="W197">
        <f>IF(OR(B197="",IF('Исходные данные'!$B$69="",'Исходные данные'!$B$10,'Исходные данные'!$B$69)="",C197&lt;IF('Исходные данные'!$B$69="",'Исходные данные'!$B$10,'Исходные данные'!$B$69)),0,-N('Исходные данные'!$B$16)*N('Исходные данные'!$B$68)*N('Исходные данные'!$B$67)/12*IF(AND(B197&lt;=IF('Исходные данные'!$B$69="",'Исходные данные'!$B$10,'Исходные данные'!$B$69),C197&gt;=IF('Исходные данные'!$B$69="",'Исходные данные'!$B$10,'Исходные данные'!$B$69)),(C197-IF('Исходные данные'!$B$69="",'Исходные данные'!$B$10,'Исходные данные'!$B$69)+1)/DAY(C197),1))</f>
        <v>0</v>
      </c>
      <c r="X197">
        <f>IF(OR(B197="",IF('Исходные данные'!$B$76="",'Исходные данные'!$B$10,'Исходные данные'!$B$76)="",C197&lt;IF('Исходные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данные'!$B$76)),1),B197,"m")/12))*IF(AND(B197&lt;=IF('Исходные данные'!$B$76="",'Исходные данные'!$B$10,'Исходные данные'!$B$76),C197&gt;=IF('Исходные данные'!$B$76="",'Исходные данные'!$B$10,'Исходные данные'!$B$76)),(C197-IF('Исходные данные'!$B$76="",'Исходные данные'!$B$10,'Исходные данные'!$B$76)+1)/DAY(C197),1))</f>
        <v>0</v>
      </c>
      <c r="Y197">
        <f t="shared" si="148"/>
        <v>0</v>
      </c>
      <c r="Z197">
        <f>IF(OR(B197="",N('Исходные данные'!$B$19)=0),0,-SUMIFS('Исходные данные'!$I$6:$I$186,'Исходные данные'!$F$6:$F$186,B197)*N('Исходные данные'!$B$17)/N('Исходные данные'!$B$19))</f>
        <v>0</v>
      </c>
      <c r="AA197">
        <f>IF(OR(B197="",N('Исходные данные'!$B$19)=0),0,-SUMIFS('Исходные данные'!$I$6:$I$186,'Исходные данные'!$F$6:$F$186,B197)*N('Исходные данные'!$B$18)/N('Исходные данные'!$B$19))</f>
        <v>0</v>
      </c>
      <c r="AB197">
        <f>IF(OR(B197="",'Исходные данные'!$B$13=""),0,IF(AND(YEAR(B197)=YEAR('Исходные данные'!$B$13),MONTH(B197)=MONTH('Исходные данные'!$B$13)),-N('Исходные данные'!$B$11),0))</f>
        <v>0</v>
      </c>
      <c r="AC197">
        <f>IF(A197=1,-N('Исходные данные'!$B$19)*N('Исходные данные'!$B$72),0)</f>
        <v>0</v>
      </c>
      <c r="AD197">
        <f>IF(OR(B197="",'Исходные данные'!$B$22&lt;&gt;"Да",'Исходные данные'!$B$26=""),0,IF(AND(YEAR(B197)=YEAR('Исходные данные'!$B$26),MONTH(B197)=MONTH('Исходные данные'!$B$26)),N('Исходные данные'!$B$23),0))</f>
        <v>0</v>
      </c>
      <c r="AE197">
        <f t="shared" si="131"/>
        <v>0</v>
      </c>
      <c r="AF197">
        <f>IF(OR('Исходные данные'!$B$22&lt;&gt;"Да",'Исходные данные'!$B$26="",C197&lt;'Исходные данные'!$B$26),0,DATEDIF(DATE(YEAR('Исходные данные'!$B$26),MONTH('Исходные данные'!$B$26),1),B197,"m")+1)</f>
        <v>0</v>
      </c>
      <c r="AG197">
        <f>IF(OR(AF197&lt;1,AF197&gt;N('Исходные данные'!$B$25),AE197+AD197&lt;=0),0,-(AE197+AD197)*N('Исходные данные'!$B$24)*IF(AF197=1,C197-'Исходные данные'!$B$26+1,DAY(C197))/365)</f>
        <v>0</v>
      </c>
      <c r="AH197">
        <f>IF(OR(AF197&lt;1,AF197&gt;N('Исходные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данные'!$B$25)-AG197))</f>
        <v>0</v>
      </c>
      <c r="AI197">
        <f>IF(OR('Исходные данные'!$B$22&lt;&gt;"Да",AE197+AD197&lt;=0),0,IF(AND('Исходные данные'!$B$91&lt;&gt;"",B197&lt;&gt;"",YEAR(B197)=YEAR('Исходные данные'!$B$91),MONTH(B197)=MONTH('Исходные данные'!$B$91)),-(AE197+AD197),IF(OR(AF197&lt;1,AF197&gt;N('Исходные данные'!$B$25)),0,IF('Исходные данные'!$B$27="Равными долями",-MIN(AE197+AD197,N('Исходные данные'!$B$23)/N('Исходные данные'!$B$25)),-MIN(AE197+AD197,IF(AF197=N('Исходные данные'!$B$25),AE197+AD197,MAX(0,AH197+AG197)))))))</f>
        <v>0</v>
      </c>
      <c r="AJ197">
        <f t="shared" si="149"/>
        <v>0</v>
      </c>
      <c r="AK197">
        <f t="shared" si="132"/>
        <v>0</v>
      </c>
      <c r="AL197">
        <f>IF(OR(B197="",'Исходные данные'!$B$51&lt;&gt;"Да",'Исходные данные'!$B$61=""),0,IF(AND(YEAR(B197)=YEAR('Исходные данные'!$B$61),MONTH(B197)=MONTH('Исходные данные'!$B$61)),N('Исходные данные'!$B$18)*N('Исходные данные'!$B$62),0))</f>
        <v>0</v>
      </c>
      <c r="AM197">
        <f t="shared" si="133"/>
        <v>0</v>
      </c>
      <c r="AN197">
        <f t="shared" si="134"/>
        <v>0</v>
      </c>
      <c r="AO197">
        <f t="shared" si="135"/>
        <v>0</v>
      </c>
      <c r="AP197">
        <f>IF('Исходные данные'!$B$51="Да",-MAX(0,AN197-AO197-AM197),0)</f>
        <v>0</v>
      </c>
      <c r="AQ197">
        <f>IF('Исходные данные'!$B$51="Да",MAX(0,AM197+AO197-AN197),0)</f>
        <v>0</v>
      </c>
      <c r="AR197">
        <f>IF('Исходные данные'!$B$53="Выручка",MAX(0,L197+(Q197-R197)+(U197-V197)),IF('Исходные данные'!$B$53="Прибыль до налога",MAX(0,L197+(Q197-R197)+(U197-V197)+N('Исходные данные'!$B$54)*((O197+P197)+(S197+T197)+W197+X197)+IF('Исходные данные'!$B$55="Да",AG197,0)-N('Исходные данные'!$B$56)/12),IF('Исходные данные'!$B$53="Пользовательская база",MAX(0,N('Исходные данные'!$B$57)/12),0)))</f>
        <v>0</v>
      </c>
      <c r="AS197">
        <f>IF(E197=1,-AR197*N('Исходные данные'!$B$50),0)</f>
        <v>0</v>
      </c>
      <c r="AT197">
        <f t="shared" si="136"/>
        <v>0</v>
      </c>
      <c r="AU197">
        <f>IF(OR(B197="",N('Исходные данные'!$B$80)&lt;=0,'Исходные данные'!$B$88=""),0,MAX(0,IF('Исходные данные'!$B$88="Последние 12 месяцев",SUMIFS($Y$2:$Y$194,$B$2:$B$194,"&gt;="&amp;EDATE(B197,-11),$B$2:$B$194,"&lt;="&amp;B197),IF('Исходные данные'!$B$88="Пользовательский NOI",N('Исходные данные'!$B$89),AT197))/N('Исходные данные'!$B$80)*(1+N('Исходные данные'!$B$81))))</f>
        <v>0</v>
      </c>
      <c r="AV197">
        <f>IF(OR(E197&lt;&gt;1,B197="",'Исходные данные'!$B$91=""),0,IF(AND(YEAR(B197)=YEAR('Исходные данные'!$B$91),MONTH(B197)=MONTH('Исходные данные'!$B$91)),AU197,0))</f>
        <v>0</v>
      </c>
      <c r="AW197">
        <f>-AV197*N('Исходные данные'!$B$73)</f>
        <v>0</v>
      </c>
      <c r="AX197">
        <f>IF(AV197=0,0,-N('Исходные данные'!$B$87)-IF('Исходные данные'!$B$82="Да",IF('Исходные данные'!$B$84="С выручки",AV197,IF('Исходные данные'!$B$84="С прибыли",MAX(0,AV197+AW197-IF('Исходные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97">
        <f t="shared" si="150"/>
        <v>0</v>
      </c>
      <c r="AZ197">
        <f t="shared" si="137"/>
        <v>0</v>
      </c>
      <c r="BA197">
        <f t="shared" si="151"/>
        <v>0</v>
      </c>
      <c r="BB197" t="str">
        <f t="shared" si="138"/>
        <v/>
      </c>
      <c r="BC197">
        <f>IF(OR(E197=0,'Исходные данные'!$B$9="",'Исходные данные'!$B$90=""),0,BA197/(1+'Исходные данные'!$B$90)^((D197-'Исходные данные'!$B$9)/365))</f>
        <v>0</v>
      </c>
      <c r="BD197">
        <f>IF(AND(E197=1,BB197&gt;=0,BB196&lt;0,MIN($BB$2:BB197)&lt;0),1,0)</f>
        <v>0</v>
      </c>
      <c r="BE197">
        <f t="shared" si="139"/>
        <v>0</v>
      </c>
      <c r="BF197">
        <f t="shared" si="140"/>
        <v>0</v>
      </c>
      <c r="BG197">
        <f t="shared" si="141"/>
        <v>0</v>
      </c>
      <c r="BH197">
        <f t="shared" si="142"/>
        <v>1</v>
      </c>
      <c r="BI197">
        <f>AZ197+N197+AP197-AR197*N('Исходные данные'!$B$50)</f>
        <v>0</v>
      </c>
      <c r="BJ197">
        <f t="shared" si="143"/>
        <v>0</v>
      </c>
      <c r="BK197">
        <f>IF(AND(BJ197&gt;=0,BJ196&lt;0,MIN($BJ$2:BJ197)&lt;0),1,0)</f>
        <v>0</v>
      </c>
    </row>
    <row r="198" spans="1:63" x14ac:dyDescent="0.2">
      <c r="A198">
        <v>197</v>
      </c>
      <c r="B198" t="str">
        <f>IF('Исходные данные'!$B$9="","",EDATE(DATE(YEAR('Исходные данные'!$B$9),MONTH('Исходные данные'!$B$9),1),A198-1))</f>
        <v/>
      </c>
      <c r="C198" t="str">
        <f t="shared" si="144"/>
        <v/>
      </c>
      <c r="D198" t="str">
        <f>IF(B198="","",IF('Исходные данные'!$B$91&lt;&gt;"",IF(AND(YEAR(B198)=YEAR('Исходные данные'!$B$91),MONTH(B198)=MONTH('Исходные данные'!$B$91)),'Исходные данные'!$B$91,IF('Исходные данные'!$B$13&lt;&gt;"",IF(AND(YEAR(B198)=YEAR('Исходные данные'!$B$13),MONTH(B198)=MONTH('Исходные данные'!$B$13)),'Исходные данные'!$B$13,IF('Исходные данные'!$B$26&lt;&gt;"",IF(AND(YEAR(B198)=YEAR('Исходные данные'!$B$26),MONTH(B198)=MONTH('Исходные данные'!$B$26)),'Исходные данные'!$B$26,IF(A198=1,'Исходные данные'!$B$9,C198)),IF(A198=1,'Исходные данные'!$B$9,C198))),IF('Исходные данные'!$B$26&lt;&gt;"",IF(AND(YEAR(B198)=YEAR('Исходные данные'!$B$26),MONTH(B198)=MONTH('Исходные данные'!$B$26)),'Исходные данные'!$B$26,IF(A198=1,'Исходные данные'!$B$9,C198)),IF(A198=1,'Исходные данные'!$B$9,C198)))),IF('Исходные данные'!$B$13&lt;&gt;"",IF(AND(YEAR(B198)=YEAR('Исходные данные'!$B$13),MONTH(B198)=MONTH('Исходные данные'!$B$13)),'Исходные данные'!$B$13,IF('Исходные данные'!$B$26&lt;&gt;"",IF(AND(YEAR(B198)=YEAR('Исходные данные'!$B$26),MONTH(B198)=MONTH('Исходные данные'!$B$26)),'Исходные данные'!$B$26,IF(A198=1,'Исходные данные'!$B$9,C198)),IF(A198=1,'Исходные данные'!$B$9,C198))),IF('Исходные данные'!$B$26&lt;&gt;"",IF(AND(YEAR(B198)=YEAR('Исходные данные'!$B$26),MONTH(B198)=MONTH('Исходные данные'!$B$26)),'Исходные данные'!$B$26,IF(A198=1,'Исходные данные'!$B$9,C198)),IF(A198=1,'Исходные данные'!$B$9,C198)))))</f>
        <v/>
      </c>
      <c r="E198">
        <f>IF(OR(B198="",'Исходные данные'!$B$91=""),0,--(B198&lt;=DATE(YEAR('Исходные данные'!$B$91),MONTH('Исходные данные'!$B$91),1)))</f>
        <v>0</v>
      </c>
      <c r="F198">
        <f>IF(OR(B198="",'Исходные данные'!$B$30="",C198&lt;'Исходные данные'!$B$30),0,DATEDIF(DATE(YEAR('Исходные данные'!$B$30),MONTH('Исходные данные'!$B$30),1),B198,"m")+1)</f>
        <v>0</v>
      </c>
      <c r="G198">
        <f t="shared" si="145"/>
        <v>0</v>
      </c>
      <c r="H198">
        <f>IF(F198=0,0,IF(G198=1,N('Исходные данные'!$B$31),IF(G198=2,N('Исходные данные'!$B$32),IF(G198=3,N('Исходные данные'!$B$33),N('Исходные данные'!$B$33)*(1+N('Исходные данные'!$B$34))^(G198-3)))))</f>
        <v>0</v>
      </c>
      <c r="I198">
        <f>IF(OR(F198=0,N('Исходные данные'!$B$5)=0,H198=0),0,'Исходные данные'!$B$5*H198*IF(AND(B198&lt;='Исходные данные'!$B$30,C198&gt;='Исходные данные'!$B$30),(C198-'Исходные данные'!$B$30+1)/DAY(C198),1))</f>
        <v>0</v>
      </c>
      <c r="J198">
        <f>IF(AND(F198&gt;0,F198&lt;=N('Исходные данные'!$B$37)),-I198,0)</f>
        <v>0</v>
      </c>
      <c r="K198">
        <f>IF(OR(F198=0,F198&lt;=N('Исходные данные'!$B$37)),0,-(I198+J198)*N('Исходные данные'!$B$38))</f>
        <v>0</v>
      </c>
      <c r="L198">
        <f t="shared" si="146"/>
        <v>0</v>
      </c>
      <c r="M198">
        <f>IF('Исходные данные'!$B$51="Да",L198*N('Исходные данные'!$B$52),0)</f>
        <v>0</v>
      </c>
      <c r="N198">
        <f t="shared" si="147"/>
        <v>0</v>
      </c>
      <c r="O198">
        <f>IF(OR(B198="",IF('Исходные данные'!$B$45="",'Исходные данные'!$B$10,'Исходные данные'!$B$45)="",C198&lt;IF('Исходные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данные'!$B$45)),1),B198,"m")/12))*IF(AND(B198&lt;=IF('Исходные данные'!$B$45="",'Исходные данные'!$B$10,'Исходные данные'!$B$45),C198&gt;=IF('Исходные данные'!$B$45="",'Исходные данные'!$B$10,'Исходные данные'!$B$45)),(C198-IF('Исходные данные'!$B$45="",'Исходные данные'!$B$10,'Исходные данные'!$B$45)+1)/DAY(C198),1)*IF('Исходные данные'!$B$43="Без НДС",1+N('Исходные данные'!$B$44),1))</f>
        <v>0</v>
      </c>
      <c r="P198">
        <f>IF('Исходные данные'!$B$51="Да",-O198*N('Исходные данные'!$B$44)/(1+N('Исходные данные'!$B$44)),0)</f>
        <v>0</v>
      </c>
      <c r="Q198">
        <f>IF('Исходные данные'!$B$35="Да",-O198,0)</f>
        <v>0</v>
      </c>
      <c r="R198">
        <f>IF(AND('Исходные данные'!$B$51="Да",Q198&gt;0),Q198*N('Исходные данные'!$B$52)/(1+N('Исходные данные'!$B$52)),0)</f>
        <v>0</v>
      </c>
      <c r="S198">
        <f>IF(OR(B198="",IF('Исходные данные'!$B$45="",'Исходные данные'!$B$10,'Исходные данные'!$B$45)="",C198&lt;IF('Исходные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данные'!$B$45)),1),B198,"m")/12))*IF(AND(B198&lt;=IF('Исходные данные'!$B$45="",'Исходные данные'!$B$10,'Исходные данные'!$B$45),C198&gt;=IF('Исходные данные'!$B$45="",'Исходные данные'!$B$10,'Исходные данные'!$B$45)),(C198-IF('Исходные данные'!$B$45="",'Исходные данные'!$B$10,'Исходные данные'!$B$45)+1)/DAY(C198),1)*IF('Исходные данные'!$B$43="Без НДС",1+N('Исходные данные'!$B$44),1))</f>
        <v>0</v>
      </c>
      <c r="T198">
        <f>IF('Исходные данные'!$B$51="Да",-S198*N('Исходные данные'!$B$44)/(1+N('Исходные данные'!$B$44)),0)</f>
        <v>0</v>
      </c>
      <c r="U198">
        <f>IF('Исходные данные'!$B$36="Да",-S198,0)</f>
        <v>0</v>
      </c>
      <c r="V198">
        <f>IF(AND('Исходные данные'!$B$51="Да",U198&gt;0),U198*N('Исходные данные'!$B$52)/(1+N('Исходные данные'!$B$52)),0)</f>
        <v>0</v>
      </c>
      <c r="W198">
        <f>IF(OR(B198="",IF('Исходные данные'!$B$69="",'Исходные данные'!$B$10,'Исходные данные'!$B$69)="",C198&lt;IF('Исходные данные'!$B$69="",'Исходные данные'!$B$10,'Исходные данные'!$B$69)),0,-N('Исходные данные'!$B$16)*N('Исходные данные'!$B$68)*N('Исходные данные'!$B$67)/12*IF(AND(B198&lt;=IF('Исходные данные'!$B$69="",'Исходные данные'!$B$10,'Исходные данные'!$B$69),C198&gt;=IF('Исходные данные'!$B$69="",'Исходные данные'!$B$10,'Исходные данные'!$B$69)),(C198-IF('Исходные данные'!$B$69="",'Исходные данные'!$B$10,'Исходные данные'!$B$69)+1)/DAY(C198),1))</f>
        <v>0</v>
      </c>
      <c r="X198">
        <f>IF(OR(B198="",IF('Исходные данные'!$B$76="",'Исходные данные'!$B$10,'Исходные данные'!$B$76)="",C198&lt;IF('Исходные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данные'!$B$76)),1),B198,"m")/12))*IF(AND(B198&lt;=IF('Исходные данные'!$B$76="",'Исходные данные'!$B$10,'Исходные данные'!$B$76),C198&gt;=IF('Исходные данные'!$B$76="",'Исходные данные'!$B$10,'Исходные данные'!$B$76)),(C198-IF('Исходные данные'!$B$76="",'Исходные данные'!$B$10,'Исходные данные'!$B$76)+1)/DAY(C198),1))</f>
        <v>0</v>
      </c>
      <c r="Y198">
        <f t="shared" si="148"/>
        <v>0</v>
      </c>
      <c r="Z198">
        <f>IF(OR(B198="",N('Исходные данные'!$B$19)=0),0,-SUMIFS('Исходные данные'!$I$6:$I$186,'Исходные данные'!$F$6:$F$186,B198)*N('Исходные данные'!$B$17)/N('Исходные данные'!$B$19))</f>
        <v>0</v>
      </c>
      <c r="AA198">
        <f>IF(OR(B198="",N('Исходные данные'!$B$19)=0),0,-SUMIFS('Исходные данные'!$I$6:$I$186,'Исходные данные'!$F$6:$F$186,B198)*N('Исходные данные'!$B$18)/N('Исходные данные'!$B$19))</f>
        <v>0</v>
      </c>
      <c r="AB198">
        <f>IF(OR(B198="",'Исходные данные'!$B$13=""),0,IF(AND(YEAR(B198)=YEAR('Исходные данные'!$B$13),MONTH(B198)=MONTH('Исходные данные'!$B$13)),-N('Исходные данные'!$B$11),0))</f>
        <v>0</v>
      </c>
      <c r="AC198">
        <f>IF(A198=1,-N('Исходные данные'!$B$19)*N('Исходные данные'!$B$72),0)</f>
        <v>0</v>
      </c>
      <c r="AD198">
        <f>IF(OR(B198="",'Исходные данные'!$B$22&lt;&gt;"Да",'Исходные данные'!$B$26=""),0,IF(AND(YEAR(B198)=YEAR('Исходные данные'!$B$26),MONTH(B198)=MONTH('Исходные данные'!$B$26)),N('Исходные данные'!$B$23),0))</f>
        <v>0</v>
      </c>
      <c r="AE198">
        <f t="shared" si="131"/>
        <v>0</v>
      </c>
      <c r="AF198">
        <f>IF(OR('Исходные данные'!$B$22&lt;&gt;"Да",'Исходные данные'!$B$26="",C198&lt;'Исходные данные'!$B$26),0,DATEDIF(DATE(YEAR('Исходные данные'!$B$26),MONTH('Исходные данные'!$B$26),1),B198,"m")+1)</f>
        <v>0</v>
      </c>
      <c r="AG198">
        <f>IF(OR(AF198&lt;1,AF198&gt;N('Исходные данные'!$B$25),AE198+AD198&lt;=0),0,-(AE198+AD198)*N('Исходные данные'!$B$24)*IF(AF198=1,C198-'Исходные данные'!$B$26+1,DAY(C198))/365)</f>
        <v>0</v>
      </c>
      <c r="AH198">
        <f>IF(OR(AF198&lt;1,AF198&gt;N('Исходные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данные'!$B$25)-AG198))</f>
        <v>0</v>
      </c>
      <c r="AI198">
        <f>IF(OR('Исходные данные'!$B$22&lt;&gt;"Да",AE198+AD198&lt;=0),0,IF(AND('Исходные данные'!$B$91&lt;&gt;"",B198&lt;&gt;"",YEAR(B198)=YEAR('Исходные данные'!$B$91),MONTH(B198)=MONTH('Исходные данные'!$B$91)),-(AE198+AD198),IF(OR(AF198&lt;1,AF198&gt;N('Исходные данные'!$B$25)),0,IF('Исходные данные'!$B$27="Равными долями",-MIN(AE198+AD198,N('Исходные данные'!$B$23)/N('Исходные данные'!$B$25)),-MIN(AE198+AD198,IF(AF198=N('Исходные данные'!$B$25),AE198+AD198,MAX(0,AH198+AG198)))))))</f>
        <v>0</v>
      </c>
      <c r="AJ198">
        <f t="shared" si="149"/>
        <v>0</v>
      </c>
      <c r="AK198">
        <f t="shared" si="132"/>
        <v>0</v>
      </c>
      <c r="AL198">
        <f>IF(OR(B198="",'Исходные данные'!$B$51&lt;&gt;"Да",'Исходные данные'!$B$61=""),0,IF(AND(YEAR(B198)=YEAR('Исходные данные'!$B$61),MONTH(B198)=MONTH('Исходные данные'!$B$61)),N('Исходные данные'!$B$18)*N('Исходные данные'!$B$62),0))</f>
        <v>0</v>
      </c>
      <c r="AM198">
        <f t="shared" si="133"/>
        <v>0</v>
      </c>
      <c r="AN198">
        <f t="shared" si="134"/>
        <v>0</v>
      </c>
      <c r="AO198">
        <f t="shared" si="135"/>
        <v>0</v>
      </c>
      <c r="AP198">
        <f>IF('Исходные данные'!$B$51="Да",-MAX(0,AN198-AO198-AM198),0)</f>
        <v>0</v>
      </c>
      <c r="AQ198">
        <f>IF('Исходные данные'!$B$51="Да",MAX(0,AM198+AO198-AN198),0)</f>
        <v>0</v>
      </c>
      <c r="AR198">
        <f>IF('Исходные данные'!$B$53="Выручка",MAX(0,L198+(Q198-R198)+(U198-V198)),IF('Исходные данные'!$B$53="Прибыль до налога",MAX(0,L198+(Q198-R198)+(U198-V198)+N('Исходные данные'!$B$54)*((O198+P198)+(S198+T198)+W198+X198)+IF('Исходные данные'!$B$55="Да",AG198,0)-N('Исходные данные'!$B$56)/12),IF('Исходные данные'!$B$53="Пользовательская база",MAX(0,N('Исходные данные'!$B$57)/12),0)))</f>
        <v>0</v>
      </c>
      <c r="AS198">
        <f>IF(E198=1,-AR198*N('Исходные данные'!$B$50),0)</f>
        <v>0</v>
      </c>
      <c r="AT198">
        <f t="shared" si="136"/>
        <v>0</v>
      </c>
      <c r="AU198">
        <f>IF(OR(B198="",N('Исходные данные'!$B$80)&lt;=0,'Исходные данные'!$B$88=""),0,MAX(0,IF('Исходные данные'!$B$88="Последние 12 месяцев",SUMIFS($Y$2:$Y$194,$B$2:$B$194,"&gt;="&amp;EDATE(B198,-11),$B$2:$B$194,"&lt;="&amp;B198),IF('Исходные данные'!$B$88="Пользовательский NOI",N('Исходные данные'!$B$89),AT198))/N('Исходные данные'!$B$80)*(1+N('Исходные данные'!$B$81))))</f>
        <v>0</v>
      </c>
      <c r="AV198">
        <f>IF(OR(E198&lt;&gt;1,B198="",'Исходные данные'!$B$91=""),0,IF(AND(YEAR(B198)=YEAR('Исходные данные'!$B$91),MONTH(B198)=MONTH('Исходные данные'!$B$91)),AU198,0))</f>
        <v>0</v>
      </c>
      <c r="AW198">
        <f>-AV198*N('Исходные данные'!$B$73)</f>
        <v>0</v>
      </c>
      <c r="AX198">
        <f>IF(AV198=0,0,-N('Исходные данные'!$B$87)-IF('Исходные данные'!$B$82="Да",IF('Исходные данные'!$B$84="С выручки",AV198,IF('Исходные данные'!$B$84="С прибыли",MAX(0,AV198+AW198-IF('Исходные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98">
        <f t="shared" si="150"/>
        <v>0</v>
      </c>
      <c r="AZ198">
        <f t="shared" si="137"/>
        <v>0</v>
      </c>
      <c r="BA198">
        <f t="shared" si="151"/>
        <v>0</v>
      </c>
      <c r="BB198" t="str">
        <f t="shared" si="138"/>
        <v/>
      </c>
      <c r="BC198">
        <f>IF(OR(E198=0,'Исходные данные'!$B$9="",'Исходные данные'!$B$90=""),0,BA198/(1+'Исходные данные'!$B$90)^((D198-'Исходные данные'!$B$9)/365))</f>
        <v>0</v>
      </c>
      <c r="BD198">
        <f>IF(AND(E198=1,BB198&gt;=0,BB197&lt;0,MIN($BB$2:BB198)&lt;0),1,0)</f>
        <v>0</v>
      </c>
      <c r="BE198">
        <f t="shared" si="139"/>
        <v>0</v>
      </c>
      <c r="BF198">
        <f t="shared" si="140"/>
        <v>0</v>
      </c>
      <c r="BG198">
        <f t="shared" si="141"/>
        <v>0</v>
      </c>
      <c r="BH198">
        <f t="shared" si="142"/>
        <v>1</v>
      </c>
      <c r="BI198">
        <f>AZ198+N198+AP198-AR198*N('Исходные данные'!$B$50)</f>
        <v>0</v>
      </c>
      <c r="BJ198">
        <f t="shared" si="143"/>
        <v>0</v>
      </c>
      <c r="BK198">
        <f>IF(AND(BJ198&gt;=0,BJ197&lt;0,MIN($BJ$2:BJ198)&lt;0),1,0)</f>
        <v>0</v>
      </c>
    </row>
    <row r="199" spans="1:63" x14ac:dyDescent="0.2">
      <c r="A199">
        <v>198</v>
      </c>
      <c r="B199" t="str">
        <f>IF('Исходные данные'!$B$9="","",EDATE(DATE(YEAR('Исходные данные'!$B$9),MONTH('Исходные данные'!$B$9),1),A199-1))</f>
        <v/>
      </c>
      <c r="C199" t="str">
        <f t="shared" si="144"/>
        <v/>
      </c>
      <c r="D199" t="str">
        <f>IF(B199="","",IF('Исходные данные'!$B$91&lt;&gt;"",IF(AND(YEAR(B199)=YEAR('Исходные данные'!$B$91),MONTH(B199)=MONTH('Исходные данные'!$B$91)),'Исходные данные'!$B$91,IF('Исходные данные'!$B$13&lt;&gt;"",IF(AND(YEAR(B199)=YEAR('Исходные данные'!$B$13),MONTH(B199)=MONTH('Исходные данные'!$B$13)),'Исходные данные'!$B$13,IF('Исходные данные'!$B$26&lt;&gt;"",IF(AND(YEAR(B199)=YEAR('Исходные данные'!$B$26),MONTH(B199)=MONTH('Исходные данные'!$B$26)),'Исходные данные'!$B$26,IF(A199=1,'Исходные данные'!$B$9,C199)),IF(A199=1,'Исходные данные'!$B$9,C199))),IF('Исходные данные'!$B$26&lt;&gt;"",IF(AND(YEAR(B199)=YEAR('Исходные данные'!$B$26),MONTH(B199)=MONTH('Исходные данные'!$B$26)),'Исходные данные'!$B$26,IF(A199=1,'Исходные данные'!$B$9,C199)),IF(A199=1,'Исходные данные'!$B$9,C199)))),IF('Исходные данные'!$B$13&lt;&gt;"",IF(AND(YEAR(B199)=YEAR('Исходные данные'!$B$13),MONTH(B199)=MONTH('Исходные данные'!$B$13)),'Исходные данные'!$B$13,IF('Исходные данные'!$B$26&lt;&gt;"",IF(AND(YEAR(B199)=YEAR('Исходные данные'!$B$26),MONTH(B199)=MONTH('Исходные данные'!$B$26)),'Исходные данные'!$B$26,IF(A199=1,'Исходные данные'!$B$9,C199)),IF(A199=1,'Исходные данные'!$B$9,C199))),IF('Исходные данные'!$B$26&lt;&gt;"",IF(AND(YEAR(B199)=YEAR('Исходные данные'!$B$26),MONTH(B199)=MONTH('Исходные данные'!$B$26)),'Исходные данные'!$B$26,IF(A199=1,'Исходные данные'!$B$9,C199)),IF(A199=1,'Исходные данные'!$B$9,C199)))))</f>
        <v/>
      </c>
      <c r="E199">
        <f>IF(OR(B199="",'Исходные данные'!$B$91=""),0,--(B199&lt;=DATE(YEAR('Исходные данные'!$B$91),MONTH('Исходные данные'!$B$91),1)))</f>
        <v>0</v>
      </c>
      <c r="F199">
        <f>IF(OR(B199="",'Исходные данные'!$B$30="",C199&lt;'Исходные данные'!$B$30),0,DATEDIF(DATE(YEAR('Исходные данные'!$B$30),MONTH('Исходные данные'!$B$30),1),B199,"m")+1)</f>
        <v>0</v>
      </c>
      <c r="G199">
        <f t="shared" si="145"/>
        <v>0</v>
      </c>
      <c r="H199">
        <f>IF(F199=0,0,IF(G199=1,N('Исходные данные'!$B$31),IF(G199=2,N('Исходные данные'!$B$32),IF(G199=3,N('Исходные данные'!$B$33),N('Исходные данные'!$B$33)*(1+N('Исходные данные'!$B$34))^(G199-3)))))</f>
        <v>0</v>
      </c>
      <c r="I199">
        <f>IF(OR(F199=0,N('Исходные данные'!$B$5)=0,H199=0),0,'Исходные данные'!$B$5*H199*IF(AND(B199&lt;='Исходные данные'!$B$30,C199&gt;='Исходные данные'!$B$30),(C199-'Исходные данные'!$B$30+1)/DAY(C199),1))</f>
        <v>0</v>
      </c>
      <c r="J199">
        <f>IF(AND(F199&gt;0,F199&lt;=N('Исходные данные'!$B$37)),-I199,0)</f>
        <v>0</v>
      </c>
      <c r="K199">
        <f>IF(OR(F199=0,F199&lt;=N('Исходные данные'!$B$37)),0,-(I199+J199)*N('Исходные данные'!$B$38))</f>
        <v>0</v>
      </c>
      <c r="L199">
        <f t="shared" si="146"/>
        <v>0</v>
      </c>
      <c r="M199">
        <f>IF('Исходные данные'!$B$51="Да",L199*N('Исходные данные'!$B$52),0)</f>
        <v>0</v>
      </c>
      <c r="N199">
        <f t="shared" si="147"/>
        <v>0</v>
      </c>
      <c r="O199">
        <f>IF(OR(B199="",IF('Исходные данные'!$B$45="",'Исходные данные'!$B$10,'Исходные данные'!$B$45)="",C199&lt;IF('Исходные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данные'!$B$45)),1),B199,"m")/12))*IF(AND(B199&lt;=IF('Исходные данные'!$B$45="",'Исходные данные'!$B$10,'Исходные данные'!$B$45),C199&gt;=IF('Исходные данные'!$B$45="",'Исходные данные'!$B$10,'Исходные данные'!$B$45)),(C199-IF('Исходные данные'!$B$45="",'Исходные данные'!$B$10,'Исходные данные'!$B$45)+1)/DAY(C199),1)*IF('Исходные данные'!$B$43="Без НДС",1+N('Исходные данные'!$B$44),1))</f>
        <v>0</v>
      </c>
      <c r="P199">
        <f>IF('Исходные данные'!$B$51="Да",-O199*N('Исходные данные'!$B$44)/(1+N('Исходные данные'!$B$44)),0)</f>
        <v>0</v>
      </c>
      <c r="Q199">
        <f>IF('Исходные данные'!$B$35="Да",-O199,0)</f>
        <v>0</v>
      </c>
      <c r="R199">
        <f>IF(AND('Исходные данные'!$B$51="Да",Q199&gt;0),Q199*N('Исходные данные'!$B$52)/(1+N('Исходные данные'!$B$52)),0)</f>
        <v>0</v>
      </c>
      <c r="S199">
        <f>IF(OR(B199="",IF('Исходные данные'!$B$45="",'Исходные данные'!$B$10,'Исходные данные'!$B$45)="",C199&lt;IF('Исходные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данные'!$B$45)),1),B199,"m")/12))*IF(AND(B199&lt;=IF('Исходные данные'!$B$45="",'Исходные данные'!$B$10,'Исходные данные'!$B$45),C199&gt;=IF('Исходные данные'!$B$45="",'Исходные данные'!$B$10,'Исходные данные'!$B$45)),(C199-IF('Исходные данные'!$B$45="",'Исходные данные'!$B$10,'Исходные данные'!$B$45)+1)/DAY(C199),1)*IF('Исходные данные'!$B$43="Без НДС",1+N('Исходные данные'!$B$44),1))</f>
        <v>0</v>
      </c>
      <c r="T199">
        <f>IF('Исходные данные'!$B$51="Да",-S199*N('Исходные данные'!$B$44)/(1+N('Исходные данные'!$B$44)),0)</f>
        <v>0</v>
      </c>
      <c r="U199">
        <f>IF('Исходные данные'!$B$36="Да",-S199,0)</f>
        <v>0</v>
      </c>
      <c r="V199">
        <f>IF(AND('Исходные данные'!$B$51="Да",U199&gt;0),U199*N('Исходные данные'!$B$52)/(1+N('Исходные данные'!$B$52)),0)</f>
        <v>0</v>
      </c>
      <c r="W199">
        <f>IF(OR(B199="",IF('Исходные данные'!$B$69="",'Исходные данные'!$B$10,'Исходные данные'!$B$69)="",C199&lt;IF('Исходные данные'!$B$69="",'Исходные данные'!$B$10,'Исходные данные'!$B$69)),0,-N('Исходные данные'!$B$16)*N('Исходные данные'!$B$68)*N('Исходные данные'!$B$67)/12*IF(AND(B199&lt;=IF('Исходные данные'!$B$69="",'Исходные данные'!$B$10,'Исходные данные'!$B$69),C199&gt;=IF('Исходные данные'!$B$69="",'Исходные данные'!$B$10,'Исходные данные'!$B$69)),(C199-IF('Исходные данные'!$B$69="",'Исходные данные'!$B$10,'Исходные данные'!$B$69)+1)/DAY(C199),1))</f>
        <v>0</v>
      </c>
      <c r="X199">
        <f>IF(OR(B199="",IF('Исходные данные'!$B$76="",'Исходные данные'!$B$10,'Исходные данные'!$B$76)="",C199&lt;IF('Исходные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данные'!$B$76)),1),B199,"m")/12))*IF(AND(B199&lt;=IF('Исходные данные'!$B$76="",'Исходные данные'!$B$10,'Исходные данные'!$B$76),C199&gt;=IF('Исходные данные'!$B$76="",'Исходные данные'!$B$10,'Исходные данные'!$B$76)),(C199-IF('Исходные данные'!$B$76="",'Исходные данные'!$B$10,'Исходные данные'!$B$76)+1)/DAY(C199),1))</f>
        <v>0</v>
      </c>
      <c r="Y199">
        <f t="shared" si="148"/>
        <v>0</v>
      </c>
      <c r="Z199">
        <f>IF(OR(B199="",N('Исходные данные'!$B$19)=0),0,-SUMIFS('Исходные данные'!$I$6:$I$186,'Исходные данные'!$F$6:$F$186,B199)*N('Исходные данные'!$B$17)/N('Исходные данные'!$B$19))</f>
        <v>0</v>
      </c>
      <c r="AA199">
        <f>IF(OR(B199="",N('Исходные данные'!$B$19)=0),0,-SUMIFS('Исходные данные'!$I$6:$I$186,'Исходные данные'!$F$6:$F$186,B199)*N('Исходные данные'!$B$18)/N('Исходные данные'!$B$19))</f>
        <v>0</v>
      </c>
      <c r="AB199">
        <f>IF(OR(B199="",'Исходные данные'!$B$13=""),0,IF(AND(YEAR(B199)=YEAR('Исходные данные'!$B$13),MONTH(B199)=MONTH('Исходные данные'!$B$13)),-N('Исходные данные'!$B$11),0))</f>
        <v>0</v>
      </c>
      <c r="AC199">
        <f>IF(A199=1,-N('Исходные данные'!$B$19)*N('Исходные данные'!$B$72),0)</f>
        <v>0</v>
      </c>
      <c r="AD199">
        <f>IF(OR(B199="",'Исходные данные'!$B$22&lt;&gt;"Да",'Исходные данные'!$B$26=""),0,IF(AND(YEAR(B199)=YEAR('Исходные данные'!$B$26),MONTH(B199)=MONTH('Исходные данные'!$B$26)),N('Исходные данные'!$B$23),0))</f>
        <v>0</v>
      </c>
      <c r="AE199">
        <f t="shared" si="131"/>
        <v>0</v>
      </c>
      <c r="AF199">
        <f>IF(OR('Исходные данные'!$B$22&lt;&gt;"Да",'Исходные данные'!$B$26="",C199&lt;'Исходные данные'!$B$26),0,DATEDIF(DATE(YEAR('Исходные данные'!$B$26),MONTH('Исходные данные'!$B$26),1),B199,"m")+1)</f>
        <v>0</v>
      </c>
      <c r="AG199">
        <f>IF(OR(AF199&lt;1,AF199&gt;N('Исходные данные'!$B$25),AE199+AD199&lt;=0),0,-(AE199+AD199)*N('Исходные данные'!$B$24)*IF(AF199=1,C199-'Исходные данные'!$B$26+1,DAY(C199))/365)</f>
        <v>0</v>
      </c>
      <c r="AH199">
        <f>IF(OR(AF199&lt;1,AF199&gt;N('Исходные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данные'!$B$25)-AG199))</f>
        <v>0</v>
      </c>
      <c r="AI199">
        <f>IF(OR('Исходные данные'!$B$22&lt;&gt;"Да",AE199+AD199&lt;=0),0,IF(AND('Исходные данные'!$B$91&lt;&gt;"",B199&lt;&gt;"",YEAR(B199)=YEAR('Исходные данные'!$B$91),MONTH(B199)=MONTH('Исходные данные'!$B$91)),-(AE199+AD199),IF(OR(AF199&lt;1,AF199&gt;N('Исходные данные'!$B$25)),0,IF('Исходные данные'!$B$27="Равными долями",-MIN(AE199+AD199,N('Исходные данные'!$B$23)/N('Исходные данные'!$B$25)),-MIN(AE199+AD199,IF(AF199=N('Исходные данные'!$B$25),AE199+AD199,MAX(0,AH199+AG199)))))))</f>
        <v>0</v>
      </c>
      <c r="AJ199">
        <f t="shared" si="149"/>
        <v>0</v>
      </c>
      <c r="AK199">
        <f t="shared" si="132"/>
        <v>0</v>
      </c>
      <c r="AL199">
        <f>IF(OR(B199="",'Исходные данные'!$B$51&lt;&gt;"Да",'Исходные данные'!$B$61=""),0,IF(AND(YEAR(B199)=YEAR('Исходные данные'!$B$61),MONTH(B199)=MONTH('Исходные данные'!$B$61)),N('Исходные данные'!$B$18)*N('Исходные данные'!$B$62),0))</f>
        <v>0</v>
      </c>
      <c r="AM199">
        <f t="shared" si="133"/>
        <v>0</v>
      </c>
      <c r="AN199">
        <f t="shared" si="134"/>
        <v>0</v>
      </c>
      <c r="AO199">
        <f t="shared" si="135"/>
        <v>0</v>
      </c>
      <c r="AP199">
        <f>IF('Исходные данные'!$B$51="Да",-MAX(0,AN199-AO199-AM199),0)</f>
        <v>0</v>
      </c>
      <c r="AQ199">
        <f>IF('Исходные данные'!$B$51="Да",MAX(0,AM199+AO199-AN199),0)</f>
        <v>0</v>
      </c>
      <c r="AR199">
        <f>IF('Исходные данные'!$B$53="Выручка",MAX(0,L199+(Q199-R199)+(U199-V199)),IF('Исходные данные'!$B$53="Прибыль до налога",MAX(0,L199+(Q199-R199)+(U199-V199)+N('Исходные данные'!$B$54)*((O199+P199)+(S199+T199)+W199+X199)+IF('Исходные данные'!$B$55="Да",AG199,0)-N('Исходные данные'!$B$56)/12),IF('Исходные данные'!$B$53="Пользовательская база",MAX(0,N('Исходные данные'!$B$57)/12),0)))</f>
        <v>0</v>
      </c>
      <c r="AS199">
        <f>IF(E199=1,-AR199*N('Исходные данные'!$B$50),0)</f>
        <v>0</v>
      </c>
      <c r="AT199">
        <f t="shared" si="136"/>
        <v>0</v>
      </c>
      <c r="AU199">
        <f>IF(OR(B199="",N('Исходные данные'!$B$80)&lt;=0,'Исходные данные'!$B$88=""),0,MAX(0,IF('Исходные данные'!$B$88="Последние 12 месяцев",SUMIFS($Y$2:$Y$194,$B$2:$B$194,"&gt;="&amp;EDATE(B199,-11),$B$2:$B$194,"&lt;="&amp;B199),IF('Исходные данные'!$B$88="Пользовательский NOI",N('Исходные данные'!$B$89),AT199))/N('Исходные данные'!$B$80)*(1+N('Исходные данные'!$B$81))))</f>
        <v>0</v>
      </c>
      <c r="AV199">
        <f>IF(OR(E199&lt;&gt;1,B199="",'Исходные данные'!$B$91=""),0,IF(AND(YEAR(B199)=YEAR('Исходные данные'!$B$91),MONTH(B199)=MONTH('Исходные данные'!$B$91)),AU199,0))</f>
        <v>0</v>
      </c>
      <c r="AW199">
        <f>-AV199*N('Исходные данные'!$B$73)</f>
        <v>0</v>
      </c>
      <c r="AX199">
        <f>IF(AV199=0,0,-N('Исходные данные'!$B$87)-IF('Исходные данные'!$B$82="Да",IF('Исходные данные'!$B$84="С выручки",AV199,IF('Исходные данные'!$B$84="С прибыли",MAX(0,AV199+AW199-IF('Исходные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99">
        <f t="shared" si="150"/>
        <v>0</v>
      </c>
      <c r="AZ199">
        <f t="shared" si="137"/>
        <v>0</v>
      </c>
      <c r="BA199">
        <f t="shared" si="151"/>
        <v>0</v>
      </c>
      <c r="BB199" t="str">
        <f t="shared" si="138"/>
        <v/>
      </c>
      <c r="BC199">
        <f>IF(OR(E199=0,'Исходные данные'!$B$9="",'Исходные данные'!$B$90=""),0,BA199/(1+'Исходные данные'!$B$90)^((D199-'Исходные данные'!$B$9)/365))</f>
        <v>0</v>
      </c>
      <c r="BD199">
        <f>IF(AND(E199=1,BB199&gt;=0,BB198&lt;0,MIN($BB$2:BB199)&lt;0),1,0)</f>
        <v>0</v>
      </c>
      <c r="BE199">
        <f t="shared" si="139"/>
        <v>0</v>
      </c>
      <c r="BF199">
        <f t="shared" si="140"/>
        <v>0</v>
      </c>
      <c r="BG199">
        <f t="shared" si="141"/>
        <v>0</v>
      </c>
      <c r="BH199">
        <f t="shared" si="142"/>
        <v>1</v>
      </c>
      <c r="BI199">
        <f>AZ199+N199+AP199-AR199*N('Исходные данные'!$B$50)</f>
        <v>0</v>
      </c>
      <c r="BJ199">
        <f t="shared" si="143"/>
        <v>0</v>
      </c>
      <c r="BK199">
        <f>IF(AND(BJ199&gt;=0,BJ198&lt;0,MIN($BJ$2:BJ199)&lt;0),1,0)</f>
        <v>0</v>
      </c>
    </row>
    <row r="200" spans="1:63" x14ac:dyDescent="0.2">
      <c r="A200">
        <v>199</v>
      </c>
      <c r="B200" t="str">
        <f>IF('Исходные данные'!$B$9="","",EDATE(DATE(YEAR('Исходные данные'!$B$9),MONTH('Исходные данные'!$B$9),1),A200-1))</f>
        <v/>
      </c>
      <c r="C200" t="str">
        <f t="shared" si="144"/>
        <v/>
      </c>
      <c r="D200" t="str">
        <f>IF(B200="","",IF('Исходные данные'!$B$91&lt;&gt;"",IF(AND(YEAR(B200)=YEAR('Исходные данные'!$B$91),MONTH(B200)=MONTH('Исходные данные'!$B$91)),'Исходные данные'!$B$91,IF('Исходные данные'!$B$13&lt;&gt;"",IF(AND(YEAR(B200)=YEAR('Исходные данные'!$B$13),MONTH(B200)=MONTH('Исходные данные'!$B$13)),'Исходные данные'!$B$13,IF('Исходные данные'!$B$26&lt;&gt;"",IF(AND(YEAR(B200)=YEAR('Исходные данные'!$B$26),MONTH(B200)=MONTH('Исходные данные'!$B$26)),'Исходные данные'!$B$26,IF(A200=1,'Исходные данные'!$B$9,C200)),IF(A200=1,'Исходные данные'!$B$9,C200))),IF('Исходные данные'!$B$26&lt;&gt;"",IF(AND(YEAR(B200)=YEAR('Исходные данные'!$B$26),MONTH(B200)=MONTH('Исходные данные'!$B$26)),'Исходные данные'!$B$26,IF(A200=1,'Исходные данные'!$B$9,C200)),IF(A200=1,'Исходные данные'!$B$9,C200)))),IF('Исходные данные'!$B$13&lt;&gt;"",IF(AND(YEAR(B200)=YEAR('Исходные данные'!$B$13),MONTH(B200)=MONTH('Исходные данные'!$B$13)),'Исходные данные'!$B$13,IF('Исходные данные'!$B$26&lt;&gt;"",IF(AND(YEAR(B200)=YEAR('Исходные данные'!$B$26),MONTH(B200)=MONTH('Исходные данные'!$B$26)),'Исходные данные'!$B$26,IF(A200=1,'Исходные данные'!$B$9,C200)),IF(A200=1,'Исходные данные'!$B$9,C200))),IF('Исходные данные'!$B$26&lt;&gt;"",IF(AND(YEAR(B200)=YEAR('Исходные данные'!$B$26),MONTH(B200)=MONTH('Исходные данные'!$B$26)),'Исходные данные'!$B$26,IF(A200=1,'Исходные данные'!$B$9,C200)),IF(A200=1,'Исходные данные'!$B$9,C200)))))</f>
        <v/>
      </c>
      <c r="E200">
        <f>IF(OR(B200="",'Исходные данные'!$B$91=""),0,--(B200&lt;=DATE(YEAR('Исходные данные'!$B$91),MONTH('Исходные данные'!$B$91),1)))</f>
        <v>0</v>
      </c>
      <c r="F200">
        <f>IF(OR(B200="",'Исходные данные'!$B$30="",C200&lt;'Исходные данные'!$B$30),0,DATEDIF(DATE(YEAR('Исходные данные'!$B$30),MONTH('Исходные данные'!$B$30),1),B200,"m")+1)</f>
        <v>0</v>
      </c>
      <c r="G200">
        <f t="shared" si="145"/>
        <v>0</v>
      </c>
      <c r="H200">
        <f>IF(F200=0,0,IF(G200=1,N('Исходные данные'!$B$31),IF(G200=2,N('Исходные данные'!$B$32),IF(G200=3,N('Исходные данные'!$B$33),N('Исходные данные'!$B$33)*(1+N('Исходные данные'!$B$34))^(G200-3)))))</f>
        <v>0</v>
      </c>
      <c r="I200">
        <f>IF(OR(F200=0,N('Исходные данные'!$B$5)=0,H200=0),0,'Исходные данные'!$B$5*H200*IF(AND(B200&lt;='Исходные данные'!$B$30,C200&gt;='Исходные данные'!$B$30),(C200-'Исходные данные'!$B$30+1)/DAY(C200),1))</f>
        <v>0</v>
      </c>
      <c r="J200">
        <f>IF(AND(F200&gt;0,F200&lt;=N('Исходные данные'!$B$37)),-I200,0)</f>
        <v>0</v>
      </c>
      <c r="K200">
        <f>IF(OR(F200=0,F200&lt;=N('Исходные данные'!$B$37)),0,-(I200+J200)*N('Исходные данные'!$B$38))</f>
        <v>0</v>
      </c>
      <c r="L200">
        <f t="shared" si="146"/>
        <v>0</v>
      </c>
      <c r="M200">
        <f>IF('Исходные данные'!$B$51="Да",L200*N('Исходные данные'!$B$52),0)</f>
        <v>0</v>
      </c>
      <c r="N200">
        <f t="shared" si="147"/>
        <v>0</v>
      </c>
      <c r="O200">
        <f>IF(OR(B200="",IF('Исходные данные'!$B$45="",'Исходные данные'!$B$10,'Исходные данные'!$B$45)="",C200&lt;IF('Исходные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данные'!$B$45)),1),B200,"m")/12))*IF(AND(B200&lt;=IF('Исходные данные'!$B$45="",'Исходные данные'!$B$10,'Исходные данные'!$B$45),C200&gt;=IF('Исходные данные'!$B$45="",'Исходные данные'!$B$10,'Исходные данные'!$B$45)),(C200-IF('Исходные данные'!$B$45="",'Исходные данные'!$B$10,'Исходные данные'!$B$45)+1)/DAY(C200),1)*IF('Исходные данные'!$B$43="Без НДС",1+N('Исходные данные'!$B$44),1))</f>
        <v>0</v>
      </c>
      <c r="P200">
        <f>IF('Исходные данные'!$B$51="Да",-O200*N('Исходные данные'!$B$44)/(1+N('Исходные данные'!$B$44)),0)</f>
        <v>0</v>
      </c>
      <c r="Q200">
        <f>IF('Исходные данные'!$B$35="Да",-O200,0)</f>
        <v>0</v>
      </c>
      <c r="R200">
        <f>IF(AND('Исходные данные'!$B$51="Да",Q200&gt;0),Q200*N('Исходные данные'!$B$52)/(1+N('Исходные данные'!$B$52)),0)</f>
        <v>0</v>
      </c>
      <c r="S200">
        <f>IF(OR(B200="",IF('Исходные данные'!$B$45="",'Исходные данные'!$B$10,'Исходные данные'!$B$45)="",C200&lt;IF('Исходные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данные'!$B$45)),1),B200,"m")/12))*IF(AND(B200&lt;=IF('Исходные данные'!$B$45="",'Исходные данные'!$B$10,'Исходные данные'!$B$45),C200&gt;=IF('Исходные данные'!$B$45="",'Исходные данные'!$B$10,'Исходные данные'!$B$45)),(C200-IF('Исходные данные'!$B$45="",'Исходные данные'!$B$10,'Исходные данные'!$B$45)+1)/DAY(C200),1)*IF('Исходные данные'!$B$43="Без НДС",1+N('Исходные данные'!$B$44),1))</f>
        <v>0</v>
      </c>
      <c r="T200">
        <f>IF('Исходные данные'!$B$51="Да",-S200*N('Исходные данные'!$B$44)/(1+N('Исходные данные'!$B$44)),0)</f>
        <v>0</v>
      </c>
      <c r="U200">
        <f>IF('Исходные данные'!$B$36="Да",-S200,0)</f>
        <v>0</v>
      </c>
      <c r="V200">
        <f>IF(AND('Исходные данные'!$B$51="Да",U200&gt;0),U200*N('Исходные данные'!$B$52)/(1+N('Исходные данные'!$B$52)),0)</f>
        <v>0</v>
      </c>
      <c r="W200">
        <f>IF(OR(B200="",IF('Исходные данные'!$B$69="",'Исходные данные'!$B$10,'Исходные данные'!$B$69)="",C200&lt;IF('Исходные данные'!$B$69="",'Исходные данные'!$B$10,'Исходные данные'!$B$69)),0,-N('Исходные данные'!$B$16)*N('Исходные данные'!$B$68)*N('Исходные данные'!$B$67)/12*IF(AND(B200&lt;=IF('Исходные данные'!$B$69="",'Исходные данные'!$B$10,'Исходные данные'!$B$69),C200&gt;=IF('Исходные данные'!$B$69="",'Исходные данные'!$B$10,'Исходные данные'!$B$69)),(C200-IF('Исходные данные'!$B$69="",'Исходные данные'!$B$10,'Исходные данные'!$B$69)+1)/DAY(C200),1))</f>
        <v>0</v>
      </c>
      <c r="X200">
        <f>IF(OR(B200="",IF('Исходные данные'!$B$76="",'Исходные данные'!$B$10,'Исходные данные'!$B$76)="",C200&lt;IF('Исходные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данные'!$B$76)),1),B200,"m")/12))*IF(AND(B200&lt;=IF('Исходные данные'!$B$76="",'Исходные данные'!$B$10,'Исходные данные'!$B$76),C200&gt;=IF('Исходные данные'!$B$76="",'Исходные данные'!$B$10,'Исходные данные'!$B$76)),(C200-IF('Исходные данные'!$B$76="",'Исходные данные'!$B$10,'Исходные данные'!$B$76)+1)/DAY(C200),1))</f>
        <v>0</v>
      </c>
      <c r="Y200">
        <f t="shared" si="148"/>
        <v>0</v>
      </c>
      <c r="Z200">
        <f>IF(OR(B200="",N('Исходные данные'!$B$19)=0),0,-SUMIFS('Исходные данные'!$I$6:$I$186,'Исходные данные'!$F$6:$F$186,B200)*N('Исходные данные'!$B$17)/N('Исходные данные'!$B$19))</f>
        <v>0</v>
      </c>
      <c r="AA200">
        <f>IF(OR(B200="",N('Исходные данные'!$B$19)=0),0,-SUMIFS('Исходные данные'!$I$6:$I$186,'Исходные данные'!$F$6:$F$186,B200)*N('Исходные данные'!$B$18)/N('Исходные данные'!$B$19))</f>
        <v>0</v>
      </c>
      <c r="AB200">
        <f>IF(OR(B200="",'Исходные данные'!$B$13=""),0,IF(AND(YEAR(B200)=YEAR('Исходные данные'!$B$13),MONTH(B200)=MONTH('Исходные данные'!$B$13)),-N('Исходные данные'!$B$11),0))</f>
        <v>0</v>
      </c>
      <c r="AC200">
        <f>IF(A200=1,-N('Исходные данные'!$B$19)*N('Исходные данные'!$B$72),0)</f>
        <v>0</v>
      </c>
      <c r="AD200">
        <f>IF(OR(B200="",'Исходные данные'!$B$22&lt;&gt;"Да",'Исходные данные'!$B$26=""),0,IF(AND(YEAR(B200)=YEAR('Исходные данные'!$B$26),MONTH(B200)=MONTH('Исходные данные'!$B$26)),N('Исходные данные'!$B$23),0))</f>
        <v>0</v>
      </c>
      <c r="AE200">
        <f t="shared" si="131"/>
        <v>0</v>
      </c>
      <c r="AF200">
        <f>IF(OR('Исходные данные'!$B$22&lt;&gt;"Да",'Исходные данные'!$B$26="",C200&lt;'Исходные данные'!$B$26),0,DATEDIF(DATE(YEAR('Исходные данные'!$B$26),MONTH('Исходные данные'!$B$26),1),B200,"m")+1)</f>
        <v>0</v>
      </c>
      <c r="AG200">
        <f>IF(OR(AF200&lt;1,AF200&gt;N('Исходные данные'!$B$25),AE200+AD200&lt;=0),0,-(AE200+AD200)*N('Исходные данные'!$B$24)*IF(AF200=1,C200-'Исходные данные'!$B$26+1,DAY(C200))/365)</f>
        <v>0</v>
      </c>
      <c r="AH200">
        <f>IF(OR(AF200&lt;1,AF200&gt;N('Исходные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данные'!$B$25)-AG200))</f>
        <v>0</v>
      </c>
      <c r="AI200">
        <f>IF(OR('Исходные данные'!$B$22&lt;&gt;"Да",AE200+AD200&lt;=0),0,IF(AND('Исходные данные'!$B$91&lt;&gt;"",B200&lt;&gt;"",YEAR(B200)=YEAR('Исходные данные'!$B$91),MONTH(B200)=MONTH('Исходные данные'!$B$91)),-(AE200+AD200),IF(OR(AF200&lt;1,AF200&gt;N('Исходные данные'!$B$25)),0,IF('Исходные данные'!$B$27="Равными долями",-MIN(AE200+AD200,N('Исходные данные'!$B$23)/N('Исходные данные'!$B$25)),-MIN(AE200+AD200,IF(AF200=N('Исходные данные'!$B$25),AE200+AD200,MAX(0,AH200+AG200)))))))</f>
        <v>0</v>
      </c>
      <c r="AJ200">
        <f t="shared" si="149"/>
        <v>0</v>
      </c>
      <c r="AK200">
        <f t="shared" si="132"/>
        <v>0</v>
      </c>
      <c r="AL200">
        <f>IF(OR(B200="",'Исходные данные'!$B$51&lt;&gt;"Да",'Исходные данные'!$B$61=""),0,IF(AND(YEAR(B200)=YEAR('Исходные данные'!$B$61),MONTH(B200)=MONTH('Исходные данные'!$B$61)),N('Исходные данные'!$B$18)*N('Исходные данные'!$B$62),0))</f>
        <v>0</v>
      </c>
      <c r="AM200">
        <f t="shared" si="133"/>
        <v>0</v>
      </c>
      <c r="AN200">
        <f t="shared" si="134"/>
        <v>0</v>
      </c>
      <c r="AO200">
        <f t="shared" si="135"/>
        <v>0</v>
      </c>
      <c r="AP200">
        <f>IF('Исходные данные'!$B$51="Да",-MAX(0,AN200-AO200-AM200),0)</f>
        <v>0</v>
      </c>
      <c r="AQ200">
        <f>IF('Исходные данные'!$B$51="Да",MAX(0,AM200+AO200-AN200),0)</f>
        <v>0</v>
      </c>
      <c r="AR200">
        <f>IF('Исходные данные'!$B$53="Выручка",MAX(0,L200+(Q200-R200)+(U200-V200)),IF('Исходные данные'!$B$53="Прибыль до налога",MAX(0,L200+(Q200-R200)+(U200-V200)+N('Исходные данные'!$B$54)*((O200+P200)+(S200+T200)+W200+X200)+IF('Исходные данные'!$B$55="Да",AG200,0)-N('Исходные данные'!$B$56)/12),IF('Исходные данные'!$B$53="Пользовательская база",MAX(0,N('Исходные данные'!$B$57)/12),0)))</f>
        <v>0</v>
      </c>
      <c r="AS200">
        <f>IF(E200=1,-AR200*N('Исходные данные'!$B$50),0)</f>
        <v>0</v>
      </c>
      <c r="AT200">
        <f t="shared" si="136"/>
        <v>0</v>
      </c>
      <c r="AU200">
        <f>IF(OR(B200="",N('Исходные данные'!$B$80)&lt;=0,'Исходные данные'!$B$88=""),0,MAX(0,IF('Исходные данные'!$B$88="Последние 12 месяцев",SUMIFS($Y$2:$Y$194,$B$2:$B$194,"&gt;="&amp;EDATE(B200,-11),$B$2:$B$194,"&lt;="&amp;B200),IF('Исходные данные'!$B$88="Пользовательский NOI",N('Исходные данные'!$B$89),AT200))/N('Исходные данные'!$B$80)*(1+N('Исходные данные'!$B$81))))</f>
        <v>0</v>
      </c>
      <c r="AV200">
        <f>IF(OR(E200&lt;&gt;1,B200="",'Исходные данные'!$B$91=""),0,IF(AND(YEAR(B200)=YEAR('Исходные данные'!$B$91),MONTH(B200)=MONTH('Исходные данные'!$B$91)),AU200,0))</f>
        <v>0</v>
      </c>
      <c r="AW200">
        <f>-AV200*N('Исходные данные'!$B$73)</f>
        <v>0</v>
      </c>
      <c r="AX200">
        <f>IF(AV200=0,0,-N('Исходные данные'!$B$87)-IF('Исходные данные'!$B$82="Да",IF('Исходные данные'!$B$84="С выручки",AV200,IF('Исходные данные'!$B$84="С прибыли",MAX(0,AV200+AW200-IF('Исходные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00">
        <f t="shared" si="150"/>
        <v>0</v>
      </c>
      <c r="AZ200">
        <f t="shared" si="137"/>
        <v>0</v>
      </c>
      <c r="BA200">
        <f t="shared" si="151"/>
        <v>0</v>
      </c>
      <c r="BB200" t="str">
        <f t="shared" si="138"/>
        <v/>
      </c>
      <c r="BC200">
        <f>IF(OR(E200=0,'Исходные данные'!$B$9="",'Исходные данные'!$B$90=""),0,BA200/(1+'Исходные данные'!$B$90)^((D200-'Исходные данные'!$B$9)/365))</f>
        <v>0</v>
      </c>
      <c r="BD200">
        <f>IF(AND(E200=1,BB200&gt;=0,BB199&lt;0,MIN($BB$2:BB200)&lt;0),1,0)</f>
        <v>0</v>
      </c>
      <c r="BE200">
        <f t="shared" si="139"/>
        <v>0</v>
      </c>
      <c r="BF200">
        <f t="shared" si="140"/>
        <v>0</v>
      </c>
      <c r="BG200">
        <f t="shared" si="141"/>
        <v>0</v>
      </c>
      <c r="BH200">
        <f t="shared" si="142"/>
        <v>1</v>
      </c>
      <c r="BI200">
        <f>AZ200+N200+AP200-AR200*N('Исходные данные'!$B$50)</f>
        <v>0</v>
      </c>
      <c r="BJ200">
        <f t="shared" si="143"/>
        <v>0</v>
      </c>
      <c r="BK200">
        <f>IF(AND(BJ200&gt;=0,BJ199&lt;0,MIN($BJ$2:BJ200)&lt;0),1,0)</f>
        <v>0</v>
      </c>
    </row>
    <row r="201" spans="1:63" x14ac:dyDescent="0.2">
      <c r="A201">
        <v>200</v>
      </c>
      <c r="B201" t="str">
        <f>IF('Исходные данные'!$B$9="","",EDATE(DATE(YEAR('Исходные данные'!$B$9),MONTH('Исходные данные'!$B$9),1),A201-1))</f>
        <v/>
      </c>
      <c r="C201" t="str">
        <f t="shared" si="144"/>
        <v/>
      </c>
      <c r="D201" t="str">
        <f>IF(B201="","",IF('Исходные данные'!$B$91&lt;&gt;"",IF(AND(YEAR(B201)=YEAR('Исходные данные'!$B$91),MONTH(B201)=MONTH('Исходные данные'!$B$91)),'Исходные данные'!$B$91,IF('Исходные данные'!$B$13&lt;&gt;"",IF(AND(YEAR(B201)=YEAR('Исходные данные'!$B$13),MONTH(B201)=MONTH('Исходные данные'!$B$13)),'Исходные данные'!$B$13,IF('Исходные данные'!$B$26&lt;&gt;"",IF(AND(YEAR(B201)=YEAR('Исходные данные'!$B$26),MONTH(B201)=MONTH('Исходные данные'!$B$26)),'Исходные данные'!$B$26,IF(A201=1,'Исходные данные'!$B$9,C201)),IF(A201=1,'Исходные данные'!$B$9,C201))),IF('Исходные данные'!$B$26&lt;&gt;"",IF(AND(YEAR(B201)=YEAR('Исходные данные'!$B$26),MONTH(B201)=MONTH('Исходные данные'!$B$26)),'Исходные данные'!$B$26,IF(A201=1,'Исходные данные'!$B$9,C201)),IF(A201=1,'Исходные данные'!$B$9,C201)))),IF('Исходные данные'!$B$13&lt;&gt;"",IF(AND(YEAR(B201)=YEAR('Исходные данные'!$B$13),MONTH(B201)=MONTH('Исходные данные'!$B$13)),'Исходные данные'!$B$13,IF('Исходные данные'!$B$26&lt;&gt;"",IF(AND(YEAR(B201)=YEAR('Исходные данные'!$B$26),MONTH(B201)=MONTH('Исходные данные'!$B$26)),'Исходные данные'!$B$26,IF(A201=1,'Исходные данные'!$B$9,C201)),IF(A201=1,'Исходные данные'!$B$9,C201))),IF('Исходные данные'!$B$26&lt;&gt;"",IF(AND(YEAR(B201)=YEAR('Исходные данные'!$B$26),MONTH(B201)=MONTH('Исходные данные'!$B$26)),'Исходные данные'!$B$26,IF(A201=1,'Исходные данные'!$B$9,C201)),IF(A201=1,'Исходные данные'!$B$9,C201)))))</f>
        <v/>
      </c>
      <c r="E201">
        <f>IF(OR(B201="",'Исходные данные'!$B$91=""),0,--(B201&lt;=DATE(YEAR('Исходные данные'!$B$91),MONTH('Исходные данные'!$B$91),1)))</f>
        <v>0</v>
      </c>
      <c r="F201">
        <f>IF(OR(B201="",'Исходные данные'!$B$30="",C201&lt;'Исходные данные'!$B$30),0,DATEDIF(DATE(YEAR('Исходные данные'!$B$30),MONTH('Исходные данные'!$B$30),1),B201,"m")+1)</f>
        <v>0</v>
      </c>
      <c r="G201">
        <f t="shared" si="145"/>
        <v>0</v>
      </c>
      <c r="H201">
        <f>IF(F201=0,0,IF(G201=1,N('Исходные данные'!$B$31),IF(G201=2,N('Исходные данные'!$B$32),IF(G201=3,N('Исходные данные'!$B$33),N('Исходные данные'!$B$33)*(1+N('Исходные данные'!$B$34))^(G201-3)))))</f>
        <v>0</v>
      </c>
      <c r="I201">
        <f>IF(OR(F201=0,N('Исходные данные'!$B$5)=0,H201=0),0,'Исходные данные'!$B$5*H201*IF(AND(B201&lt;='Исходные данные'!$B$30,C201&gt;='Исходные данные'!$B$30),(C201-'Исходные данные'!$B$30+1)/DAY(C201),1))</f>
        <v>0</v>
      </c>
      <c r="J201">
        <f>IF(AND(F201&gt;0,F201&lt;=N('Исходные данные'!$B$37)),-I201,0)</f>
        <v>0</v>
      </c>
      <c r="K201">
        <f>IF(OR(F201=0,F201&lt;=N('Исходные данные'!$B$37)),0,-(I201+J201)*N('Исходные данные'!$B$38))</f>
        <v>0</v>
      </c>
      <c r="L201">
        <f t="shared" si="146"/>
        <v>0</v>
      </c>
      <c r="M201">
        <f>IF('Исходные данные'!$B$51="Да",L201*N('Исходные данные'!$B$52),0)</f>
        <v>0</v>
      </c>
      <c r="N201">
        <f t="shared" si="147"/>
        <v>0</v>
      </c>
      <c r="O201">
        <f>IF(OR(B201="",IF('Исходные данные'!$B$45="",'Исходные данные'!$B$10,'Исходные данные'!$B$45)="",C201&lt;IF('Исходные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данные'!$B$45)),1),B201,"m")/12))*IF(AND(B201&lt;=IF('Исходные данные'!$B$45="",'Исходные данные'!$B$10,'Исходные данные'!$B$45),C201&gt;=IF('Исходные данные'!$B$45="",'Исходные данные'!$B$10,'Исходные данные'!$B$45)),(C201-IF('Исходные данные'!$B$45="",'Исходные данные'!$B$10,'Исходные данные'!$B$45)+1)/DAY(C201),1)*IF('Исходные данные'!$B$43="Без НДС",1+N('Исходные данные'!$B$44),1))</f>
        <v>0</v>
      </c>
      <c r="P201">
        <f>IF('Исходные данные'!$B$51="Да",-O201*N('Исходные данные'!$B$44)/(1+N('Исходные данные'!$B$44)),0)</f>
        <v>0</v>
      </c>
      <c r="Q201">
        <f>IF('Исходные данные'!$B$35="Да",-O201,0)</f>
        <v>0</v>
      </c>
      <c r="R201">
        <f>IF(AND('Исходные данные'!$B$51="Да",Q201&gt;0),Q201*N('Исходные данные'!$B$52)/(1+N('Исходные данные'!$B$52)),0)</f>
        <v>0</v>
      </c>
      <c r="S201">
        <f>IF(OR(B201="",IF('Исходные данные'!$B$45="",'Исходные данные'!$B$10,'Исходные данные'!$B$45)="",C201&lt;IF('Исходные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данные'!$B$45)),1),B201,"m")/12))*IF(AND(B201&lt;=IF('Исходные данные'!$B$45="",'Исходные данные'!$B$10,'Исходные данные'!$B$45),C201&gt;=IF('Исходные данные'!$B$45="",'Исходные данные'!$B$10,'Исходные данные'!$B$45)),(C201-IF('Исходные данные'!$B$45="",'Исходные данные'!$B$10,'Исходные данные'!$B$45)+1)/DAY(C201),1)*IF('Исходные данные'!$B$43="Без НДС",1+N('Исходные данные'!$B$44),1))</f>
        <v>0</v>
      </c>
      <c r="T201">
        <f>IF('Исходные данные'!$B$51="Да",-S201*N('Исходные данные'!$B$44)/(1+N('Исходные данные'!$B$44)),0)</f>
        <v>0</v>
      </c>
      <c r="U201">
        <f>IF('Исходные данные'!$B$36="Да",-S201,0)</f>
        <v>0</v>
      </c>
      <c r="V201">
        <f>IF(AND('Исходные данные'!$B$51="Да",U201&gt;0),U201*N('Исходные данные'!$B$52)/(1+N('Исходные данные'!$B$52)),0)</f>
        <v>0</v>
      </c>
      <c r="W201">
        <f>IF(OR(B201="",IF('Исходные данные'!$B$69="",'Исходные данные'!$B$10,'Исходные данные'!$B$69)="",C201&lt;IF('Исходные данные'!$B$69="",'Исходные данные'!$B$10,'Исходные данные'!$B$69)),0,-N('Исходные данные'!$B$16)*N('Исходные данные'!$B$68)*N('Исходные данные'!$B$67)/12*IF(AND(B201&lt;=IF('Исходные данные'!$B$69="",'Исходные данные'!$B$10,'Исходные данные'!$B$69),C201&gt;=IF('Исходные данные'!$B$69="",'Исходные данные'!$B$10,'Исходные данные'!$B$69)),(C201-IF('Исходные данные'!$B$69="",'Исходные данные'!$B$10,'Исходные данные'!$B$69)+1)/DAY(C201),1))</f>
        <v>0</v>
      </c>
      <c r="X201">
        <f>IF(OR(B201="",IF('Исходные данные'!$B$76="",'Исходные данные'!$B$10,'Исходные данные'!$B$76)="",C201&lt;IF('Исходные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данные'!$B$76)),1),B201,"m")/12))*IF(AND(B201&lt;=IF('Исходные данные'!$B$76="",'Исходные данные'!$B$10,'Исходные данные'!$B$76),C201&gt;=IF('Исходные данные'!$B$76="",'Исходные данные'!$B$10,'Исходные данные'!$B$76)),(C201-IF('Исходные данные'!$B$76="",'Исходные данные'!$B$10,'Исходные данные'!$B$76)+1)/DAY(C201),1))</f>
        <v>0</v>
      </c>
      <c r="Y201">
        <f t="shared" si="148"/>
        <v>0</v>
      </c>
      <c r="Z201">
        <f>IF(OR(B201="",N('Исходные данные'!$B$19)=0),0,-SUMIFS('Исходные данные'!$I$6:$I$186,'Исходные данные'!$F$6:$F$186,B201)*N('Исходные данные'!$B$17)/N('Исходные данные'!$B$19))</f>
        <v>0</v>
      </c>
      <c r="AA201">
        <f>IF(OR(B201="",N('Исходные данные'!$B$19)=0),0,-SUMIFS('Исходные данные'!$I$6:$I$186,'Исходные данные'!$F$6:$F$186,B201)*N('Исходные данные'!$B$18)/N('Исходные данные'!$B$19))</f>
        <v>0</v>
      </c>
      <c r="AB201">
        <f>IF(OR(B201="",'Исходные данные'!$B$13=""),0,IF(AND(YEAR(B201)=YEAR('Исходные данные'!$B$13),MONTH(B201)=MONTH('Исходные данные'!$B$13)),-N('Исходные данные'!$B$11),0))</f>
        <v>0</v>
      </c>
      <c r="AC201">
        <f>IF(A201=1,-N('Исходные данные'!$B$19)*N('Исходные данные'!$B$72),0)</f>
        <v>0</v>
      </c>
      <c r="AD201">
        <f>IF(OR(B201="",'Исходные данные'!$B$22&lt;&gt;"Да",'Исходные данные'!$B$26=""),0,IF(AND(YEAR(B201)=YEAR('Исходные данные'!$B$26),MONTH(B201)=MONTH('Исходные данные'!$B$26)),N('Исходные данные'!$B$23),0))</f>
        <v>0</v>
      </c>
      <c r="AE201">
        <f t="shared" si="131"/>
        <v>0</v>
      </c>
      <c r="AF201">
        <f>IF(OR('Исходные данные'!$B$22&lt;&gt;"Да",'Исходные данные'!$B$26="",C201&lt;'Исходные данные'!$B$26),0,DATEDIF(DATE(YEAR('Исходные данные'!$B$26),MONTH('Исходные данные'!$B$26),1),B201,"m")+1)</f>
        <v>0</v>
      </c>
      <c r="AG201">
        <f>IF(OR(AF201&lt;1,AF201&gt;N('Исходные данные'!$B$25),AE201+AD201&lt;=0),0,-(AE201+AD201)*N('Исходные данные'!$B$24)*IF(AF201=1,C201-'Исходные данные'!$B$26+1,DAY(C201))/365)</f>
        <v>0</v>
      </c>
      <c r="AH201">
        <f>IF(OR(AF201&lt;1,AF201&gt;N('Исходные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данные'!$B$25)-AG201))</f>
        <v>0</v>
      </c>
      <c r="AI201">
        <f>IF(OR('Исходные данные'!$B$22&lt;&gt;"Да",AE201+AD201&lt;=0),0,IF(AND('Исходные данные'!$B$91&lt;&gt;"",B201&lt;&gt;"",YEAR(B201)=YEAR('Исходные данные'!$B$91),MONTH(B201)=MONTH('Исходные данные'!$B$91)),-(AE201+AD201),IF(OR(AF201&lt;1,AF201&gt;N('Исходные данные'!$B$25)),0,IF('Исходные данные'!$B$27="Равными долями",-MIN(AE201+AD201,N('Исходные данные'!$B$23)/N('Исходные данные'!$B$25)),-MIN(AE201+AD201,IF(AF201=N('Исходные данные'!$B$25),AE201+AD201,MAX(0,AH201+AG201)))))))</f>
        <v>0</v>
      </c>
      <c r="AJ201">
        <f t="shared" si="149"/>
        <v>0</v>
      </c>
      <c r="AK201">
        <f t="shared" si="132"/>
        <v>0</v>
      </c>
      <c r="AL201">
        <f>IF(OR(B201="",'Исходные данные'!$B$51&lt;&gt;"Да",'Исходные данные'!$B$61=""),0,IF(AND(YEAR(B201)=YEAR('Исходные данные'!$B$61),MONTH(B201)=MONTH('Исходные данные'!$B$61)),N('Исходные данные'!$B$18)*N('Исходные данные'!$B$62),0))</f>
        <v>0</v>
      </c>
      <c r="AM201">
        <f t="shared" si="133"/>
        <v>0</v>
      </c>
      <c r="AN201">
        <f t="shared" si="134"/>
        <v>0</v>
      </c>
      <c r="AO201">
        <f t="shared" si="135"/>
        <v>0</v>
      </c>
      <c r="AP201">
        <f>IF('Исходные данные'!$B$51="Да",-MAX(0,AN201-AO201-AM201),0)</f>
        <v>0</v>
      </c>
      <c r="AQ201">
        <f>IF('Исходные данные'!$B$51="Да",MAX(0,AM201+AO201-AN201),0)</f>
        <v>0</v>
      </c>
      <c r="AR201">
        <f>IF('Исходные данные'!$B$53="Выручка",MAX(0,L201+(Q201-R201)+(U201-V201)),IF('Исходные данные'!$B$53="Прибыль до налога",MAX(0,L201+(Q201-R201)+(U201-V201)+N('Исходные данные'!$B$54)*((O201+P201)+(S201+T201)+W201+X201)+IF('Исходные данные'!$B$55="Да",AG201,0)-N('Исходные данные'!$B$56)/12),IF('Исходные данные'!$B$53="Пользовательская база",MAX(0,N('Исходные данные'!$B$57)/12),0)))</f>
        <v>0</v>
      </c>
      <c r="AS201">
        <f>IF(E201=1,-AR201*N('Исходные данные'!$B$50),0)</f>
        <v>0</v>
      </c>
      <c r="AT201">
        <f t="shared" si="136"/>
        <v>0</v>
      </c>
      <c r="AU201">
        <f>IF(OR(B201="",N('Исходные данные'!$B$80)&lt;=0,'Исходные данные'!$B$88=""),0,MAX(0,IF('Исходные данные'!$B$88="Последние 12 месяцев",SUMIFS($Y$2:$Y$194,$B$2:$B$194,"&gt;="&amp;EDATE(B201,-11),$B$2:$B$194,"&lt;="&amp;B201),IF('Исходные данные'!$B$88="Пользовательский NOI",N('Исходные данные'!$B$89),AT201))/N('Исходные данные'!$B$80)*(1+N('Исходные данные'!$B$81))))</f>
        <v>0</v>
      </c>
      <c r="AV201">
        <f>IF(OR(E201&lt;&gt;1,B201="",'Исходные данные'!$B$91=""),0,IF(AND(YEAR(B201)=YEAR('Исходные данные'!$B$91),MONTH(B201)=MONTH('Исходные данные'!$B$91)),AU201,0))</f>
        <v>0</v>
      </c>
      <c r="AW201">
        <f>-AV201*N('Исходные данные'!$B$73)</f>
        <v>0</v>
      </c>
      <c r="AX201">
        <f>IF(AV201=0,0,-N('Исходные данные'!$B$87)-IF('Исходные данные'!$B$82="Да",IF('Исходные данные'!$B$84="С выручки",AV201,IF('Исходные данные'!$B$84="С прибыли",MAX(0,AV201+AW201-IF('Исходные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01">
        <f t="shared" si="150"/>
        <v>0</v>
      </c>
      <c r="AZ201">
        <f t="shared" si="137"/>
        <v>0</v>
      </c>
      <c r="BA201">
        <f t="shared" si="151"/>
        <v>0</v>
      </c>
      <c r="BB201" t="str">
        <f t="shared" si="138"/>
        <v/>
      </c>
      <c r="BC201">
        <f>IF(OR(E201=0,'Исходные данные'!$B$9="",'Исходные данные'!$B$90=""),0,BA201/(1+'Исходные данные'!$B$90)^((D201-'Исходные данные'!$B$9)/365))</f>
        <v>0</v>
      </c>
      <c r="BD201">
        <f>IF(AND(E201=1,BB201&gt;=0,BB200&lt;0,MIN($BB$2:BB201)&lt;0),1,0)</f>
        <v>0</v>
      </c>
      <c r="BE201">
        <f t="shared" si="139"/>
        <v>0</v>
      </c>
      <c r="BF201">
        <f t="shared" si="140"/>
        <v>0</v>
      </c>
      <c r="BG201">
        <f t="shared" si="141"/>
        <v>0</v>
      </c>
      <c r="BH201">
        <f t="shared" si="142"/>
        <v>1</v>
      </c>
      <c r="BI201">
        <f>AZ201+N201+AP201-AR201*N('Исходные данные'!$B$50)</f>
        <v>0</v>
      </c>
      <c r="BJ201">
        <f t="shared" si="143"/>
        <v>0</v>
      </c>
      <c r="BK201">
        <f>IF(AND(BJ201&gt;=0,BJ200&lt;0,MIN($BJ$2:BJ201)&lt;0),1,0)</f>
        <v>0</v>
      </c>
    </row>
    <row r="202" spans="1:63" x14ac:dyDescent="0.2">
      <c r="A202">
        <v>201</v>
      </c>
      <c r="B202" t="str">
        <f>IF('Исходные данные'!$B$9="","",EDATE(DATE(YEAR('Исходные данные'!$B$9),MONTH('Исходные данные'!$B$9),1),A202-1))</f>
        <v/>
      </c>
      <c r="C202" t="str">
        <f t="shared" si="144"/>
        <v/>
      </c>
      <c r="D202" t="str">
        <f>IF(B202="","",IF('Исходные данные'!$B$91&lt;&gt;"",IF(AND(YEAR(B202)=YEAR('Исходные данные'!$B$91),MONTH(B202)=MONTH('Исходные данные'!$B$91)),'Исходные данные'!$B$91,IF('Исходные данные'!$B$13&lt;&gt;"",IF(AND(YEAR(B202)=YEAR('Исходные данные'!$B$13),MONTH(B202)=MONTH('Исходные данные'!$B$13)),'Исходные данные'!$B$13,IF('Исходные данные'!$B$26&lt;&gt;"",IF(AND(YEAR(B202)=YEAR('Исходные данные'!$B$26),MONTH(B202)=MONTH('Исходные данные'!$B$26)),'Исходные данные'!$B$26,IF(A202=1,'Исходные данные'!$B$9,C202)),IF(A202=1,'Исходные данные'!$B$9,C202))),IF('Исходные данные'!$B$26&lt;&gt;"",IF(AND(YEAR(B202)=YEAR('Исходные данные'!$B$26),MONTH(B202)=MONTH('Исходные данные'!$B$26)),'Исходные данные'!$B$26,IF(A202=1,'Исходные данные'!$B$9,C202)),IF(A202=1,'Исходные данные'!$B$9,C202)))),IF('Исходные данные'!$B$13&lt;&gt;"",IF(AND(YEAR(B202)=YEAR('Исходные данные'!$B$13),MONTH(B202)=MONTH('Исходные данные'!$B$13)),'Исходные данные'!$B$13,IF('Исходные данные'!$B$26&lt;&gt;"",IF(AND(YEAR(B202)=YEAR('Исходные данные'!$B$26),MONTH(B202)=MONTH('Исходные данные'!$B$26)),'Исходные данные'!$B$26,IF(A202=1,'Исходные данные'!$B$9,C202)),IF(A202=1,'Исходные данные'!$B$9,C202))),IF('Исходные данные'!$B$26&lt;&gt;"",IF(AND(YEAR(B202)=YEAR('Исходные данные'!$B$26),MONTH(B202)=MONTH('Исходные данные'!$B$26)),'Исходные данные'!$B$26,IF(A202=1,'Исходные данные'!$B$9,C202)),IF(A202=1,'Исходные данные'!$B$9,C202)))))</f>
        <v/>
      </c>
      <c r="E202">
        <f>IF(OR(B202="",'Исходные данные'!$B$91=""),0,--(B202&lt;=DATE(YEAR('Исходные данные'!$B$91),MONTH('Исходные данные'!$B$91),1)))</f>
        <v>0</v>
      </c>
      <c r="F202">
        <f>IF(OR(B202="",'Исходные данные'!$B$30="",C202&lt;'Исходные данные'!$B$30),0,DATEDIF(DATE(YEAR('Исходные данные'!$B$30),MONTH('Исходные данные'!$B$30),1),B202,"m")+1)</f>
        <v>0</v>
      </c>
      <c r="G202">
        <f t="shared" si="145"/>
        <v>0</v>
      </c>
      <c r="H202">
        <f>IF(F202=0,0,IF(G202=1,N('Исходные данные'!$B$31),IF(G202=2,N('Исходные данные'!$B$32),IF(G202=3,N('Исходные данные'!$B$33),N('Исходные данные'!$B$33)*(1+N('Исходные данные'!$B$34))^(G202-3)))))</f>
        <v>0</v>
      </c>
      <c r="I202">
        <f>IF(OR(F202=0,N('Исходные данные'!$B$5)=0,H202=0),0,'Исходные данные'!$B$5*H202*IF(AND(B202&lt;='Исходные данные'!$B$30,C202&gt;='Исходные данные'!$B$30),(C202-'Исходные данные'!$B$30+1)/DAY(C202),1))</f>
        <v>0</v>
      </c>
      <c r="J202">
        <f>IF(AND(F202&gt;0,F202&lt;=N('Исходные данные'!$B$37)),-I202,0)</f>
        <v>0</v>
      </c>
      <c r="K202">
        <f>IF(OR(F202=0,F202&lt;=N('Исходные данные'!$B$37)),0,-(I202+J202)*N('Исходные данные'!$B$38))</f>
        <v>0</v>
      </c>
      <c r="L202">
        <f t="shared" si="146"/>
        <v>0</v>
      </c>
      <c r="M202">
        <f>IF('Исходные данные'!$B$51="Да",L202*N('Исходные данные'!$B$52),0)</f>
        <v>0</v>
      </c>
      <c r="N202">
        <f t="shared" si="147"/>
        <v>0</v>
      </c>
      <c r="O202">
        <f>IF(OR(B202="",IF('Исходные данные'!$B$45="",'Исходные данные'!$B$10,'Исходные данные'!$B$45)="",C202&lt;IF('Исходные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данные'!$B$45)),1),B202,"m")/12))*IF(AND(B202&lt;=IF('Исходные данные'!$B$45="",'Исходные данные'!$B$10,'Исходные данные'!$B$45),C202&gt;=IF('Исходные данные'!$B$45="",'Исходные данные'!$B$10,'Исходные данные'!$B$45)),(C202-IF('Исходные данные'!$B$45="",'Исходные данные'!$B$10,'Исходные данные'!$B$45)+1)/DAY(C202),1)*IF('Исходные данные'!$B$43="Без НДС",1+N('Исходные данные'!$B$44),1))</f>
        <v>0</v>
      </c>
      <c r="P202">
        <f>IF('Исходные данные'!$B$51="Да",-O202*N('Исходные данные'!$B$44)/(1+N('Исходные данные'!$B$44)),0)</f>
        <v>0</v>
      </c>
      <c r="Q202">
        <f>IF('Исходные данные'!$B$35="Да",-O202,0)</f>
        <v>0</v>
      </c>
      <c r="R202">
        <f>IF(AND('Исходные данные'!$B$51="Да",Q202&gt;0),Q202*N('Исходные данные'!$B$52)/(1+N('Исходные данные'!$B$52)),0)</f>
        <v>0</v>
      </c>
      <c r="S202">
        <f>IF(OR(B202="",IF('Исходные данные'!$B$45="",'Исходные данные'!$B$10,'Исходные данные'!$B$45)="",C202&lt;IF('Исходные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данные'!$B$45)),1),B202,"m")/12))*IF(AND(B202&lt;=IF('Исходные данные'!$B$45="",'Исходные данные'!$B$10,'Исходные данные'!$B$45),C202&gt;=IF('Исходные данные'!$B$45="",'Исходные данные'!$B$10,'Исходные данные'!$B$45)),(C202-IF('Исходные данные'!$B$45="",'Исходные данные'!$B$10,'Исходные данные'!$B$45)+1)/DAY(C202),1)*IF('Исходные данные'!$B$43="Без НДС",1+N('Исходные данные'!$B$44),1))</f>
        <v>0</v>
      </c>
      <c r="T202">
        <f>IF('Исходные данные'!$B$51="Да",-S202*N('Исходные данные'!$B$44)/(1+N('Исходные данные'!$B$44)),0)</f>
        <v>0</v>
      </c>
      <c r="U202">
        <f>IF('Исходные данные'!$B$36="Да",-S202,0)</f>
        <v>0</v>
      </c>
      <c r="V202">
        <f>IF(AND('Исходные данные'!$B$51="Да",U202&gt;0),U202*N('Исходные данные'!$B$52)/(1+N('Исходные данные'!$B$52)),0)</f>
        <v>0</v>
      </c>
      <c r="W202">
        <f>IF(OR(B202="",IF('Исходные данные'!$B$69="",'Исходные данные'!$B$10,'Исходные данные'!$B$69)="",C202&lt;IF('Исходные данные'!$B$69="",'Исходные данные'!$B$10,'Исходные данные'!$B$69)),0,-N('Исходные данные'!$B$16)*N('Исходные данные'!$B$68)*N('Исходные данные'!$B$67)/12*IF(AND(B202&lt;=IF('Исходные данные'!$B$69="",'Исходные данные'!$B$10,'Исходные данные'!$B$69),C202&gt;=IF('Исходные данные'!$B$69="",'Исходные данные'!$B$10,'Исходные данные'!$B$69)),(C202-IF('Исходные данные'!$B$69="",'Исходные данные'!$B$10,'Исходные данные'!$B$69)+1)/DAY(C202),1))</f>
        <v>0</v>
      </c>
      <c r="X202">
        <f>IF(OR(B202="",IF('Исходные данные'!$B$76="",'Исходные данные'!$B$10,'Исходные данные'!$B$76)="",C202&lt;IF('Исходные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данные'!$B$76)),1),B202,"m")/12))*IF(AND(B202&lt;=IF('Исходные данные'!$B$76="",'Исходные данные'!$B$10,'Исходные данные'!$B$76),C202&gt;=IF('Исходные данные'!$B$76="",'Исходные данные'!$B$10,'Исходные данные'!$B$76)),(C202-IF('Исходные данные'!$B$76="",'Исходные данные'!$B$10,'Исходные данные'!$B$76)+1)/DAY(C202),1))</f>
        <v>0</v>
      </c>
      <c r="Y202">
        <f t="shared" si="148"/>
        <v>0</v>
      </c>
      <c r="Z202">
        <f>IF(OR(B202="",N('Исходные данные'!$B$19)=0),0,-SUMIFS('Исходные данные'!$I$6:$I$186,'Исходные данные'!$F$6:$F$186,B202)*N('Исходные данные'!$B$17)/N('Исходные данные'!$B$19))</f>
        <v>0</v>
      </c>
      <c r="AA202">
        <f>IF(OR(B202="",N('Исходные данные'!$B$19)=0),0,-SUMIFS('Исходные данные'!$I$6:$I$186,'Исходные данные'!$F$6:$F$186,B202)*N('Исходные данные'!$B$18)/N('Исходные данные'!$B$19))</f>
        <v>0</v>
      </c>
      <c r="AB202">
        <f>IF(OR(B202="",'Исходные данные'!$B$13=""),0,IF(AND(YEAR(B202)=YEAR('Исходные данные'!$B$13),MONTH(B202)=MONTH('Исходные данные'!$B$13)),-N('Исходные данные'!$B$11),0))</f>
        <v>0</v>
      </c>
      <c r="AC202">
        <f>IF(A202=1,-N('Исходные данные'!$B$19)*N('Исходные данные'!$B$72),0)</f>
        <v>0</v>
      </c>
      <c r="AD202">
        <f>IF(OR(B202="",'Исходные данные'!$B$22&lt;&gt;"Да",'Исходные данные'!$B$26=""),0,IF(AND(YEAR(B202)=YEAR('Исходные данные'!$B$26),MONTH(B202)=MONTH('Исходные данные'!$B$26)),N('Исходные данные'!$B$23),0))</f>
        <v>0</v>
      </c>
      <c r="AE202">
        <f t="shared" si="131"/>
        <v>0</v>
      </c>
      <c r="AF202">
        <f>IF(OR('Исходные данные'!$B$22&lt;&gt;"Да",'Исходные данные'!$B$26="",C202&lt;'Исходные данные'!$B$26),0,DATEDIF(DATE(YEAR('Исходные данные'!$B$26),MONTH('Исходные данные'!$B$26),1),B202,"m")+1)</f>
        <v>0</v>
      </c>
      <c r="AG202">
        <f>IF(OR(AF202&lt;1,AF202&gt;N('Исходные данные'!$B$25),AE202+AD202&lt;=0),0,-(AE202+AD202)*N('Исходные данные'!$B$24)*IF(AF202=1,C202-'Исходные данные'!$B$26+1,DAY(C202))/365)</f>
        <v>0</v>
      </c>
      <c r="AH202">
        <f>IF(OR(AF202&lt;1,AF202&gt;N('Исходные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данные'!$B$25)-AG202))</f>
        <v>0</v>
      </c>
      <c r="AI202">
        <f>IF(OR('Исходные данные'!$B$22&lt;&gt;"Да",AE202+AD202&lt;=0),0,IF(AND('Исходные данные'!$B$91&lt;&gt;"",B202&lt;&gt;"",YEAR(B202)=YEAR('Исходные данные'!$B$91),MONTH(B202)=MONTH('Исходные данные'!$B$91)),-(AE202+AD202),IF(OR(AF202&lt;1,AF202&gt;N('Исходные данные'!$B$25)),0,IF('Исходные данные'!$B$27="Равными долями",-MIN(AE202+AD202,N('Исходные данные'!$B$23)/N('Исходные данные'!$B$25)),-MIN(AE202+AD202,IF(AF202=N('Исходные данные'!$B$25),AE202+AD202,MAX(0,AH202+AG202)))))))</f>
        <v>0</v>
      </c>
      <c r="AJ202">
        <f t="shared" si="149"/>
        <v>0</v>
      </c>
      <c r="AK202">
        <f t="shared" si="132"/>
        <v>0</v>
      </c>
      <c r="AL202">
        <f>IF(OR(B202="",'Исходные данные'!$B$51&lt;&gt;"Да",'Исходные данные'!$B$61=""),0,IF(AND(YEAR(B202)=YEAR('Исходные данные'!$B$61),MONTH(B202)=MONTH('Исходные данные'!$B$61)),N('Исходные данные'!$B$18)*N('Исходные данные'!$B$62),0))</f>
        <v>0</v>
      </c>
      <c r="AM202">
        <f t="shared" si="133"/>
        <v>0</v>
      </c>
      <c r="AN202">
        <f t="shared" si="134"/>
        <v>0</v>
      </c>
      <c r="AO202">
        <f t="shared" si="135"/>
        <v>0</v>
      </c>
      <c r="AP202">
        <f>IF('Исходные данные'!$B$51="Да",-MAX(0,AN202-AO202-AM202),0)</f>
        <v>0</v>
      </c>
      <c r="AQ202">
        <f>IF('Исходные данные'!$B$51="Да",MAX(0,AM202+AO202-AN202),0)</f>
        <v>0</v>
      </c>
      <c r="AR202">
        <f>IF('Исходные данные'!$B$53="Выручка",MAX(0,L202+(Q202-R202)+(U202-V202)),IF('Исходные данные'!$B$53="Прибыль до налога",MAX(0,L202+(Q202-R202)+(U202-V202)+N('Исходные данные'!$B$54)*((O202+P202)+(S202+T202)+W202+X202)+IF('Исходные данные'!$B$55="Да",AG202,0)-N('Исходные данные'!$B$56)/12),IF('Исходные данные'!$B$53="Пользовательская база",MAX(0,N('Исходные данные'!$B$57)/12),0)))</f>
        <v>0</v>
      </c>
      <c r="AS202">
        <f>IF(E202=1,-AR202*N('Исходные данные'!$B$50),0)</f>
        <v>0</v>
      </c>
      <c r="AT202">
        <f t="shared" si="136"/>
        <v>0</v>
      </c>
      <c r="AU202">
        <f>IF(OR(B202="",N('Исходные данные'!$B$80)&lt;=0,'Исходные данные'!$B$88=""),0,MAX(0,IF('Исходные данные'!$B$88="Последние 12 месяцев",SUMIFS($Y$2:$Y$194,$B$2:$B$194,"&gt;="&amp;EDATE(B202,-11),$B$2:$B$194,"&lt;="&amp;B202),IF('Исходные данные'!$B$88="Пользовательский NOI",N('Исходные данные'!$B$89),AT202))/N('Исходные данные'!$B$80)*(1+N('Исходные данные'!$B$81))))</f>
        <v>0</v>
      </c>
      <c r="AV202">
        <f>IF(OR(E202&lt;&gt;1,B202="",'Исходные данные'!$B$91=""),0,IF(AND(YEAR(B202)=YEAR('Исходные данные'!$B$91),MONTH(B202)=MONTH('Исходные данные'!$B$91)),AU202,0))</f>
        <v>0</v>
      </c>
      <c r="AW202">
        <f>-AV202*N('Исходные данные'!$B$73)</f>
        <v>0</v>
      </c>
      <c r="AX202">
        <f>IF(AV202=0,0,-N('Исходные данные'!$B$87)-IF('Исходные данные'!$B$82="Да",IF('Исходные данные'!$B$84="С выручки",AV202,IF('Исходные данные'!$B$84="С прибыли",MAX(0,AV202+AW202-IF('Исходные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02">
        <f t="shared" si="150"/>
        <v>0</v>
      </c>
      <c r="AZ202">
        <f t="shared" si="137"/>
        <v>0</v>
      </c>
      <c r="BA202">
        <f t="shared" si="151"/>
        <v>0</v>
      </c>
      <c r="BB202" t="str">
        <f t="shared" si="138"/>
        <v/>
      </c>
      <c r="BC202">
        <f>IF(OR(E202=0,'Исходные данные'!$B$9="",'Исходные данные'!$B$90=""),0,BA202/(1+'Исходные данные'!$B$90)^((D202-'Исходные данные'!$B$9)/365))</f>
        <v>0</v>
      </c>
      <c r="BD202">
        <f>IF(AND(E202=1,BB202&gt;=0,BB201&lt;0,MIN($BB$2:BB202)&lt;0),1,0)</f>
        <v>0</v>
      </c>
      <c r="BE202">
        <f t="shared" si="139"/>
        <v>0</v>
      </c>
      <c r="BF202">
        <f t="shared" si="140"/>
        <v>0</v>
      </c>
      <c r="BG202">
        <f t="shared" si="141"/>
        <v>0</v>
      </c>
      <c r="BH202">
        <f t="shared" si="142"/>
        <v>1</v>
      </c>
      <c r="BI202">
        <f>AZ202+N202+AP202-AR202*N('Исходные данные'!$B$50)</f>
        <v>0</v>
      </c>
      <c r="BJ202">
        <f t="shared" si="143"/>
        <v>0</v>
      </c>
      <c r="BK202">
        <f>IF(AND(BJ202&gt;=0,BJ201&lt;0,MIN($BJ$2:BJ202)&lt;0),1,0)</f>
        <v>0</v>
      </c>
    </row>
    <row r="203" spans="1:63" x14ac:dyDescent="0.2">
      <c r="A203">
        <v>202</v>
      </c>
      <c r="B203" t="str">
        <f>IF('Исходные данные'!$B$9="","",EDATE(DATE(YEAR('Исходные данные'!$B$9),MONTH('Исходные данные'!$B$9),1),A203-1))</f>
        <v/>
      </c>
      <c r="C203" t="str">
        <f t="shared" si="144"/>
        <v/>
      </c>
      <c r="D203" t="str">
        <f>IF(B203="","",IF('Исходные данные'!$B$91&lt;&gt;"",IF(AND(YEAR(B203)=YEAR('Исходные данные'!$B$91),MONTH(B203)=MONTH('Исходные данные'!$B$91)),'Исходные данные'!$B$91,IF('Исходные данные'!$B$13&lt;&gt;"",IF(AND(YEAR(B203)=YEAR('Исходные данные'!$B$13),MONTH(B203)=MONTH('Исходные данные'!$B$13)),'Исходные данные'!$B$13,IF('Исходные данные'!$B$26&lt;&gt;"",IF(AND(YEAR(B203)=YEAR('Исходные данные'!$B$26),MONTH(B203)=MONTH('Исходные данные'!$B$26)),'Исходные данные'!$B$26,IF(A203=1,'Исходные данные'!$B$9,C203)),IF(A203=1,'Исходные данные'!$B$9,C203))),IF('Исходные данные'!$B$26&lt;&gt;"",IF(AND(YEAR(B203)=YEAR('Исходные данные'!$B$26),MONTH(B203)=MONTH('Исходные данные'!$B$26)),'Исходные данные'!$B$26,IF(A203=1,'Исходные данные'!$B$9,C203)),IF(A203=1,'Исходные данные'!$B$9,C203)))),IF('Исходные данные'!$B$13&lt;&gt;"",IF(AND(YEAR(B203)=YEAR('Исходные данные'!$B$13),MONTH(B203)=MONTH('Исходные данные'!$B$13)),'Исходные данные'!$B$13,IF('Исходные данные'!$B$26&lt;&gt;"",IF(AND(YEAR(B203)=YEAR('Исходные данные'!$B$26),MONTH(B203)=MONTH('Исходные данные'!$B$26)),'Исходные данные'!$B$26,IF(A203=1,'Исходные данные'!$B$9,C203)),IF(A203=1,'Исходные данные'!$B$9,C203))),IF('Исходные данные'!$B$26&lt;&gt;"",IF(AND(YEAR(B203)=YEAR('Исходные данные'!$B$26),MONTH(B203)=MONTH('Исходные данные'!$B$26)),'Исходные данные'!$B$26,IF(A203=1,'Исходные данные'!$B$9,C203)),IF(A203=1,'Исходные данные'!$B$9,C203)))))</f>
        <v/>
      </c>
      <c r="E203">
        <f>IF(OR(B203="",'Исходные данные'!$B$91=""),0,--(B203&lt;=DATE(YEAR('Исходные данные'!$B$91),MONTH('Исходные данные'!$B$91),1)))</f>
        <v>0</v>
      </c>
      <c r="F203">
        <f>IF(OR(B203="",'Исходные данные'!$B$30="",C203&lt;'Исходные данные'!$B$30),0,DATEDIF(DATE(YEAR('Исходные данные'!$B$30),MONTH('Исходные данные'!$B$30),1),B203,"m")+1)</f>
        <v>0</v>
      </c>
      <c r="G203">
        <f t="shared" si="145"/>
        <v>0</v>
      </c>
      <c r="H203">
        <f>IF(F203=0,0,IF(G203=1,N('Исходные данные'!$B$31),IF(G203=2,N('Исходные данные'!$B$32),IF(G203=3,N('Исходные данные'!$B$33),N('Исходные данные'!$B$33)*(1+N('Исходные данные'!$B$34))^(G203-3)))))</f>
        <v>0</v>
      </c>
      <c r="I203">
        <f>IF(OR(F203=0,N('Исходные данные'!$B$5)=0,H203=0),0,'Исходные данные'!$B$5*H203*IF(AND(B203&lt;='Исходные данные'!$B$30,C203&gt;='Исходные данные'!$B$30),(C203-'Исходные данные'!$B$30+1)/DAY(C203),1))</f>
        <v>0</v>
      </c>
      <c r="J203">
        <f>IF(AND(F203&gt;0,F203&lt;=N('Исходные данные'!$B$37)),-I203,0)</f>
        <v>0</v>
      </c>
      <c r="K203">
        <f>IF(OR(F203=0,F203&lt;=N('Исходные данные'!$B$37)),0,-(I203+J203)*N('Исходные данные'!$B$38))</f>
        <v>0</v>
      </c>
      <c r="L203">
        <f t="shared" si="146"/>
        <v>0</v>
      </c>
      <c r="M203">
        <f>IF('Исходные данные'!$B$51="Да",L203*N('Исходные данные'!$B$52),0)</f>
        <v>0</v>
      </c>
      <c r="N203">
        <f t="shared" si="147"/>
        <v>0</v>
      </c>
      <c r="O203">
        <f>IF(OR(B203="",IF('Исходные данные'!$B$45="",'Исходные данные'!$B$10,'Исходные данные'!$B$45)="",C203&lt;IF('Исходные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данные'!$B$45)),1),B203,"m")/12))*IF(AND(B203&lt;=IF('Исходные данные'!$B$45="",'Исходные данные'!$B$10,'Исходные данные'!$B$45),C203&gt;=IF('Исходные данные'!$B$45="",'Исходные данные'!$B$10,'Исходные данные'!$B$45)),(C203-IF('Исходные данные'!$B$45="",'Исходные данные'!$B$10,'Исходные данные'!$B$45)+1)/DAY(C203),1)*IF('Исходные данные'!$B$43="Без НДС",1+N('Исходные данные'!$B$44),1))</f>
        <v>0</v>
      </c>
      <c r="P203">
        <f>IF('Исходные данные'!$B$51="Да",-O203*N('Исходные данные'!$B$44)/(1+N('Исходные данные'!$B$44)),0)</f>
        <v>0</v>
      </c>
      <c r="Q203">
        <f>IF('Исходные данные'!$B$35="Да",-O203,0)</f>
        <v>0</v>
      </c>
      <c r="R203">
        <f>IF(AND('Исходные данные'!$B$51="Да",Q203&gt;0),Q203*N('Исходные данные'!$B$52)/(1+N('Исходные данные'!$B$52)),0)</f>
        <v>0</v>
      </c>
      <c r="S203">
        <f>IF(OR(B203="",IF('Исходные данные'!$B$45="",'Исходные данные'!$B$10,'Исходные данные'!$B$45)="",C203&lt;IF('Исходные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данные'!$B$45)),1),B203,"m")/12))*IF(AND(B203&lt;=IF('Исходные данные'!$B$45="",'Исходные данные'!$B$10,'Исходные данные'!$B$45),C203&gt;=IF('Исходные данные'!$B$45="",'Исходные данные'!$B$10,'Исходные данные'!$B$45)),(C203-IF('Исходные данные'!$B$45="",'Исходные данные'!$B$10,'Исходные данные'!$B$45)+1)/DAY(C203),1)*IF('Исходные данные'!$B$43="Без НДС",1+N('Исходные данные'!$B$44),1))</f>
        <v>0</v>
      </c>
      <c r="T203">
        <f>IF('Исходные данные'!$B$51="Да",-S203*N('Исходные данные'!$B$44)/(1+N('Исходные данные'!$B$44)),0)</f>
        <v>0</v>
      </c>
      <c r="U203">
        <f>IF('Исходные данные'!$B$36="Да",-S203,0)</f>
        <v>0</v>
      </c>
      <c r="V203">
        <f>IF(AND('Исходные данные'!$B$51="Да",U203&gt;0),U203*N('Исходные данные'!$B$52)/(1+N('Исходные данные'!$B$52)),0)</f>
        <v>0</v>
      </c>
      <c r="W203">
        <f>IF(OR(B203="",IF('Исходные данные'!$B$69="",'Исходные данные'!$B$10,'Исходные данные'!$B$69)="",C203&lt;IF('Исходные данные'!$B$69="",'Исходные данные'!$B$10,'Исходные данные'!$B$69)),0,-N('Исходные данные'!$B$16)*N('Исходные данные'!$B$68)*N('Исходные данные'!$B$67)/12*IF(AND(B203&lt;=IF('Исходные данные'!$B$69="",'Исходные данные'!$B$10,'Исходные данные'!$B$69),C203&gt;=IF('Исходные данные'!$B$69="",'Исходные данные'!$B$10,'Исходные данные'!$B$69)),(C203-IF('Исходные данные'!$B$69="",'Исходные данные'!$B$10,'Исходные данные'!$B$69)+1)/DAY(C203),1))</f>
        <v>0</v>
      </c>
      <c r="X203">
        <f>IF(OR(B203="",IF('Исходные данные'!$B$76="",'Исходные данные'!$B$10,'Исходные данные'!$B$76)="",C203&lt;IF('Исходные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данные'!$B$76)),1),B203,"m")/12))*IF(AND(B203&lt;=IF('Исходные данные'!$B$76="",'Исходные данные'!$B$10,'Исходные данные'!$B$76),C203&gt;=IF('Исходные данные'!$B$76="",'Исходные данные'!$B$10,'Исходные данные'!$B$76)),(C203-IF('Исходные данные'!$B$76="",'Исходные данные'!$B$10,'Исходные данные'!$B$76)+1)/DAY(C203),1))</f>
        <v>0</v>
      </c>
      <c r="Y203">
        <f t="shared" si="148"/>
        <v>0</v>
      </c>
      <c r="Z203">
        <f>IF(OR(B203="",N('Исходные данные'!$B$19)=0),0,-SUMIFS('Исходные данные'!$I$6:$I$186,'Исходные данные'!$F$6:$F$186,B203)*N('Исходные данные'!$B$17)/N('Исходные данные'!$B$19))</f>
        <v>0</v>
      </c>
      <c r="AA203">
        <f>IF(OR(B203="",N('Исходные данные'!$B$19)=0),0,-SUMIFS('Исходные данные'!$I$6:$I$186,'Исходные данные'!$F$6:$F$186,B203)*N('Исходные данные'!$B$18)/N('Исходные данные'!$B$19))</f>
        <v>0</v>
      </c>
      <c r="AB203">
        <f>IF(OR(B203="",'Исходные данные'!$B$13=""),0,IF(AND(YEAR(B203)=YEAR('Исходные данные'!$B$13),MONTH(B203)=MONTH('Исходные данные'!$B$13)),-N('Исходные данные'!$B$11),0))</f>
        <v>0</v>
      </c>
      <c r="AC203">
        <f>IF(A203=1,-N('Исходные данные'!$B$19)*N('Исходные данные'!$B$72),0)</f>
        <v>0</v>
      </c>
      <c r="AD203">
        <f>IF(OR(B203="",'Исходные данные'!$B$22&lt;&gt;"Да",'Исходные данные'!$B$26=""),0,IF(AND(YEAR(B203)=YEAR('Исходные данные'!$B$26),MONTH(B203)=MONTH('Исходные данные'!$B$26)),N('Исходные данные'!$B$23),0))</f>
        <v>0</v>
      </c>
      <c r="AE203">
        <f t="shared" si="131"/>
        <v>0</v>
      </c>
      <c r="AF203">
        <f>IF(OR('Исходные данные'!$B$22&lt;&gt;"Да",'Исходные данные'!$B$26="",C203&lt;'Исходные данные'!$B$26),0,DATEDIF(DATE(YEAR('Исходные данные'!$B$26),MONTH('Исходные данные'!$B$26),1),B203,"m")+1)</f>
        <v>0</v>
      </c>
      <c r="AG203">
        <f>IF(OR(AF203&lt;1,AF203&gt;N('Исходные данные'!$B$25),AE203+AD203&lt;=0),0,-(AE203+AD203)*N('Исходные данные'!$B$24)*IF(AF203=1,C203-'Исходные данные'!$B$26+1,DAY(C203))/365)</f>
        <v>0</v>
      </c>
      <c r="AH203">
        <f>IF(OR(AF203&lt;1,AF203&gt;N('Исходные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данные'!$B$25)-AG203))</f>
        <v>0</v>
      </c>
      <c r="AI203">
        <f>IF(OR('Исходные данные'!$B$22&lt;&gt;"Да",AE203+AD203&lt;=0),0,IF(AND('Исходные данные'!$B$91&lt;&gt;"",B203&lt;&gt;"",YEAR(B203)=YEAR('Исходные данные'!$B$91),MONTH(B203)=MONTH('Исходные данные'!$B$91)),-(AE203+AD203),IF(OR(AF203&lt;1,AF203&gt;N('Исходные данные'!$B$25)),0,IF('Исходные данные'!$B$27="Равными долями",-MIN(AE203+AD203,N('Исходные данные'!$B$23)/N('Исходные данные'!$B$25)),-MIN(AE203+AD203,IF(AF203=N('Исходные данные'!$B$25),AE203+AD203,MAX(0,AH203+AG203)))))))</f>
        <v>0</v>
      </c>
      <c r="AJ203">
        <f t="shared" si="149"/>
        <v>0</v>
      </c>
      <c r="AK203">
        <f t="shared" si="132"/>
        <v>0</v>
      </c>
      <c r="AL203">
        <f>IF(OR(B203="",'Исходные данные'!$B$51&lt;&gt;"Да",'Исходные данные'!$B$61=""),0,IF(AND(YEAR(B203)=YEAR('Исходные данные'!$B$61),MONTH(B203)=MONTH('Исходные данные'!$B$61)),N('Исходные данные'!$B$18)*N('Исходные данные'!$B$62),0))</f>
        <v>0</v>
      </c>
      <c r="AM203">
        <f t="shared" si="133"/>
        <v>0</v>
      </c>
      <c r="AN203">
        <f t="shared" si="134"/>
        <v>0</v>
      </c>
      <c r="AO203">
        <f t="shared" si="135"/>
        <v>0</v>
      </c>
      <c r="AP203">
        <f>IF('Исходные данные'!$B$51="Да",-MAX(0,AN203-AO203-AM203),0)</f>
        <v>0</v>
      </c>
      <c r="AQ203">
        <f>IF('Исходные данные'!$B$51="Да",MAX(0,AM203+AO203-AN203),0)</f>
        <v>0</v>
      </c>
      <c r="AR203">
        <f>IF('Исходные данные'!$B$53="Выручка",MAX(0,L203+(Q203-R203)+(U203-V203)),IF('Исходные данные'!$B$53="Прибыль до налога",MAX(0,L203+(Q203-R203)+(U203-V203)+N('Исходные данные'!$B$54)*((O203+P203)+(S203+T203)+W203+X203)+IF('Исходные данные'!$B$55="Да",AG203,0)-N('Исходные данные'!$B$56)/12),IF('Исходные данные'!$B$53="Пользовательская база",MAX(0,N('Исходные данные'!$B$57)/12),0)))</f>
        <v>0</v>
      </c>
      <c r="AS203">
        <f>IF(E203=1,-AR203*N('Исходные данные'!$B$50),0)</f>
        <v>0</v>
      </c>
      <c r="AT203">
        <f t="shared" si="136"/>
        <v>0</v>
      </c>
      <c r="AU203">
        <f>IF(OR(B203="",N('Исходные данные'!$B$80)&lt;=0,'Исходные данные'!$B$88=""),0,MAX(0,IF('Исходные данные'!$B$88="Последние 12 месяцев",SUMIFS($Y$2:$Y$194,$B$2:$B$194,"&gt;="&amp;EDATE(B203,-11),$B$2:$B$194,"&lt;="&amp;B203),IF('Исходные данные'!$B$88="Пользовательский NOI",N('Исходные данные'!$B$89),AT203))/N('Исходные данные'!$B$80)*(1+N('Исходные данные'!$B$81))))</f>
        <v>0</v>
      </c>
      <c r="AV203">
        <f>IF(OR(E203&lt;&gt;1,B203="",'Исходные данные'!$B$91=""),0,IF(AND(YEAR(B203)=YEAR('Исходные данные'!$B$91),MONTH(B203)=MONTH('Исходные данные'!$B$91)),AU203,0))</f>
        <v>0</v>
      </c>
      <c r="AW203">
        <f>-AV203*N('Исходные данные'!$B$73)</f>
        <v>0</v>
      </c>
      <c r="AX203">
        <f>IF(AV203=0,0,-N('Исходные данные'!$B$87)-IF('Исходные данные'!$B$82="Да",IF('Исходные данные'!$B$84="С выручки",AV203,IF('Исходные данные'!$B$84="С прибыли",MAX(0,AV203+AW203-IF('Исходные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03">
        <f t="shared" si="150"/>
        <v>0</v>
      </c>
      <c r="AZ203">
        <f t="shared" si="137"/>
        <v>0</v>
      </c>
      <c r="BA203">
        <f t="shared" si="151"/>
        <v>0</v>
      </c>
      <c r="BB203" t="str">
        <f t="shared" si="138"/>
        <v/>
      </c>
      <c r="BC203">
        <f>IF(OR(E203=0,'Исходные данные'!$B$9="",'Исходные данные'!$B$90=""),0,BA203/(1+'Исходные данные'!$B$90)^((D203-'Исходные данные'!$B$9)/365))</f>
        <v>0</v>
      </c>
      <c r="BD203">
        <f>IF(AND(E203=1,BB203&gt;=0,BB202&lt;0,MIN($BB$2:BB203)&lt;0),1,0)</f>
        <v>0</v>
      </c>
      <c r="BE203">
        <f t="shared" si="139"/>
        <v>0</v>
      </c>
      <c r="BF203">
        <f t="shared" si="140"/>
        <v>0</v>
      </c>
      <c r="BG203">
        <f t="shared" si="141"/>
        <v>0</v>
      </c>
      <c r="BH203">
        <f t="shared" si="142"/>
        <v>1</v>
      </c>
      <c r="BI203">
        <f>AZ203+N203+AP203-AR203*N('Исходные данные'!$B$50)</f>
        <v>0</v>
      </c>
      <c r="BJ203">
        <f t="shared" si="143"/>
        <v>0</v>
      </c>
      <c r="BK203">
        <f>IF(AND(BJ203&gt;=0,BJ202&lt;0,MIN($BJ$2:BJ203)&lt;0),1,0)</f>
        <v>0</v>
      </c>
    </row>
    <row r="204" spans="1:63" x14ac:dyDescent="0.2">
      <c r="A204">
        <v>203</v>
      </c>
      <c r="B204" t="str">
        <f>IF('Исходные данные'!$B$9="","",EDATE(DATE(YEAR('Исходные данные'!$B$9),MONTH('Исходные данные'!$B$9),1),A204-1))</f>
        <v/>
      </c>
      <c r="C204" t="str">
        <f t="shared" si="144"/>
        <v/>
      </c>
      <c r="D204" t="str">
        <f>IF(B204="","",IF('Исходные данные'!$B$91&lt;&gt;"",IF(AND(YEAR(B204)=YEAR('Исходные данные'!$B$91),MONTH(B204)=MONTH('Исходные данные'!$B$91)),'Исходные данные'!$B$91,IF('Исходные данные'!$B$13&lt;&gt;"",IF(AND(YEAR(B204)=YEAR('Исходные данные'!$B$13),MONTH(B204)=MONTH('Исходные данные'!$B$13)),'Исходные данные'!$B$13,IF('Исходные данные'!$B$26&lt;&gt;"",IF(AND(YEAR(B204)=YEAR('Исходные данные'!$B$26),MONTH(B204)=MONTH('Исходные данные'!$B$26)),'Исходные данные'!$B$26,IF(A204=1,'Исходные данные'!$B$9,C204)),IF(A204=1,'Исходные данные'!$B$9,C204))),IF('Исходные данные'!$B$26&lt;&gt;"",IF(AND(YEAR(B204)=YEAR('Исходные данные'!$B$26),MONTH(B204)=MONTH('Исходные данные'!$B$26)),'Исходные данные'!$B$26,IF(A204=1,'Исходные данные'!$B$9,C204)),IF(A204=1,'Исходные данные'!$B$9,C204)))),IF('Исходные данные'!$B$13&lt;&gt;"",IF(AND(YEAR(B204)=YEAR('Исходные данные'!$B$13),MONTH(B204)=MONTH('Исходные данные'!$B$13)),'Исходные данные'!$B$13,IF('Исходные данные'!$B$26&lt;&gt;"",IF(AND(YEAR(B204)=YEAR('Исходные данные'!$B$26),MONTH(B204)=MONTH('Исходные данные'!$B$26)),'Исходные данные'!$B$26,IF(A204=1,'Исходные данные'!$B$9,C204)),IF(A204=1,'Исходные данные'!$B$9,C204))),IF('Исходные данные'!$B$26&lt;&gt;"",IF(AND(YEAR(B204)=YEAR('Исходные данные'!$B$26),MONTH(B204)=MONTH('Исходные данные'!$B$26)),'Исходные данные'!$B$26,IF(A204=1,'Исходные данные'!$B$9,C204)),IF(A204=1,'Исходные данные'!$B$9,C204)))))</f>
        <v/>
      </c>
      <c r="E204">
        <f>IF(OR(B204="",'Исходные данные'!$B$91=""),0,--(B204&lt;=DATE(YEAR('Исходные данные'!$B$91),MONTH('Исходные данные'!$B$91),1)))</f>
        <v>0</v>
      </c>
      <c r="F204">
        <f>IF(OR(B204="",'Исходные данные'!$B$30="",C204&lt;'Исходные данные'!$B$30),0,DATEDIF(DATE(YEAR('Исходные данные'!$B$30),MONTH('Исходные данные'!$B$30),1),B204,"m")+1)</f>
        <v>0</v>
      </c>
      <c r="G204">
        <f t="shared" si="145"/>
        <v>0</v>
      </c>
      <c r="H204">
        <f>IF(F204=0,0,IF(G204=1,N('Исходные данные'!$B$31),IF(G204=2,N('Исходные данные'!$B$32),IF(G204=3,N('Исходные данные'!$B$33),N('Исходные данные'!$B$33)*(1+N('Исходные данные'!$B$34))^(G204-3)))))</f>
        <v>0</v>
      </c>
      <c r="I204">
        <f>IF(OR(F204=0,N('Исходные данные'!$B$5)=0,H204=0),0,'Исходные данные'!$B$5*H204*IF(AND(B204&lt;='Исходные данные'!$B$30,C204&gt;='Исходные данные'!$B$30),(C204-'Исходные данные'!$B$30+1)/DAY(C204),1))</f>
        <v>0</v>
      </c>
      <c r="J204">
        <f>IF(AND(F204&gt;0,F204&lt;=N('Исходные данные'!$B$37)),-I204,0)</f>
        <v>0</v>
      </c>
      <c r="K204">
        <f>IF(OR(F204=0,F204&lt;=N('Исходные данные'!$B$37)),0,-(I204+J204)*N('Исходные данные'!$B$38))</f>
        <v>0</v>
      </c>
      <c r="L204">
        <f t="shared" si="146"/>
        <v>0</v>
      </c>
      <c r="M204">
        <f>IF('Исходные данные'!$B$51="Да",L204*N('Исходные данные'!$B$52),0)</f>
        <v>0</v>
      </c>
      <c r="N204">
        <f t="shared" si="147"/>
        <v>0</v>
      </c>
      <c r="O204">
        <f>IF(OR(B204="",IF('Исходные данные'!$B$45="",'Исходные данные'!$B$10,'Исходные данные'!$B$45)="",C204&lt;IF('Исходные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данные'!$B$45)),1),B204,"m")/12))*IF(AND(B204&lt;=IF('Исходные данные'!$B$45="",'Исходные данные'!$B$10,'Исходные данные'!$B$45),C204&gt;=IF('Исходные данные'!$B$45="",'Исходные данные'!$B$10,'Исходные данные'!$B$45)),(C204-IF('Исходные данные'!$B$45="",'Исходные данные'!$B$10,'Исходные данные'!$B$45)+1)/DAY(C204),1)*IF('Исходные данные'!$B$43="Без НДС",1+N('Исходные данные'!$B$44),1))</f>
        <v>0</v>
      </c>
      <c r="P204">
        <f>IF('Исходные данные'!$B$51="Да",-O204*N('Исходные данные'!$B$44)/(1+N('Исходные данные'!$B$44)),0)</f>
        <v>0</v>
      </c>
      <c r="Q204">
        <f>IF('Исходные данные'!$B$35="Да",-O204,0)</f>
        <v>0</v>
      </c>
      <c r="R204">
        <f>IF(AND('Исходные данные'!$B$51="Да",Q204&gt;0),Q204*N('Исходные данные'!$B$52)/(1+N('Исходные данные'!$B$52)),0)</f>
        <v>0</v>
      </c>
      <c r="S204">
        <f>IF(OR(B204="",IF('Исходные данные'!$B$45="",'Исходные данные'!$B$10,'Исходные данные'!$B$45)="",C204&lt;IF('Исходные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данные'!$B$45)),1),B204,"m")/12))*IF(AND(B204&lt;=IF('Исходные данные'!$B$45="",'Исходные данные'!$B$10,'Исходные данные'!$B$45),C204&gt;=IF('Исходные данные'!$B$45="",'Исходные данные'!$B$10,'Исходные данные'!$B$45)),(C204-IF('Исходные данные'!$B$45="",'Исходные данные'!$B$10,'Исходные данные'!$B$45)+1)/DAY(C204),1)*IF('Исходные данные'!$B$43="Без НДС",1+N('Исходные данные'!$B$44),1))</f>
        <v>0</v>
      </c>
      <c r="T204">
        <f>IF('Исходные данные'!$B$51="Да",-S204*N('Исходные данные'!$B$44)/(1+N('Исходные данные'!$B$44)),0)</f>
        <v>0</v>
      </c>
      <c r="U204">
        <f>IF('Исходные данные'!$B$36="Да",-S204,0)</f>
        <v>0</v>
      </c>
      <c r="V204">
        <f>IF(AND('Исходные данные'!$B$51="Да",U204&gt;0),U204*N('Исходные данные'!$B$52)/(1+N('Исходные данные'!$B$52)),0)</f>
        <v>0</v>
      </c>
      <c r="W204">
        <f>IF(OR(B204="",IF('Исходные данные'!$B$69="",'Исходные данные'!$B$10,'Исходные данные'!$B$69)="",C204&lt;IF('Исходные данные'!$B$69="",'Исходные данные'!$B$10,'Исходные данные'!$B$69)),0,-N('Исходные данные'!$B$16)*N('Исходные данные'!$B$68)*N('Исходные данные'!$B$67)/12*IF(AND(B204&lt;=IF('Исходные данные'!$B$69="",'Исходные данные'!$B$10,'Исходные данные'!$B$69),C204&gt;=IF('Исходные данные'!$B$69="",'Исходные данные'!$B$10,'Исходные данные'!$B$69)),(C204-IF('Исходные данные'!$B$69="",'Исходные данные'!$B$10,'Исходные данные'!$B$69)+1)/DAY(C204),1))</f>
        <v>0</v>
      </c>
      <c r="X204">
        <f>IF(OR(B204="",IF('Исходные данные'!$B$76="",'Исходные данные'!$B$10,'Исходные данные'!$B$76)="",C204&lt;IF('Исходные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данные'!$B$76)),1),B204,"m")/12))*IF(AND(B204&lt;=IF('Исходные данные'!$B$76="",'Исходные данные'!$B$10,'Исходные данные'!$B$76),C204&gt;=IF('Исходные данные'!$B$76="",'Исходные данные'!$B$10,'Исходные данные'!$B$76)),(C204-IF('Исходные данные'!$B$76="",'Исходные данные'!$B$10,'Исходные данные'!$B$76)+1)/DAY(C204),1))</f>
        <v>0</v>
      </c>
      <c r="Y204">
        <f t="shared" si="148"/>
        <v>0</v>
      </c>
      <c r="Z204">
        <f>IF(OR(B204="",N('Исходные данные'!$B$19)=0),0,-SUMIFS('Исходные данные'!$I$6:$I$186,'Исходные данные'!$F$6:$F$186,B204)*N('Исходные данные'!$B$17)/N('Исходные данные'!$B$19))</f>
        <v>0</v>
      </c>
      <c r="AA204">
        <f>IF(OR(B204="",N('Исходные данные'!$B$19)=0),0,-SUMIFS('Исходные данные'!$I$6:$I$186,'Исходные данные'!$F$6:$F$186,B204)*N('Исходные данные'!$B$18)/N('Исходные данные'!$B$19))</f>
        <v>0</v>
      </c>
      <c r="AB204">
        <f>IF(OR(B204="",'Исходные данные'!$B$13=""),0,IF(AND(YEAR(B204)=YEAR('Исходные данные'!$B$13),MONTH(B204)=MONTH('Исходные данные'!$B$13)),-N('Исходные данные'!$B$11),0))</f>
        <v>0</v>
      </c>
      <c r="AC204">
        <f>IF(A204=1,-N('Исходные данные'!$B$19)*N('Исходные данные'!$B$72),0)</f>
        <v>0</v>
      </c>
      <c r="AD204">
        <f>IF(OR(B204="",'Исходные данные'!$B$22&lt;&gt;"Да",'Исходные данные'!$B$26=""),0,IF(AND(YEAR(B204)=YEAR('Исходные данные'!$B$26),MONTH(B204)=MONTH('Исходные данные'!$B$26)),N('Исходные данные'!$B$23),0))</f>
        <v>0</v>
      </c>
      <c r="AE204">
        <f t="shared" si="131"/>
        <v>0</v>
      </c>
      <c r="AF204">
        <f>IF(OR('Исходные данные'!$B$22&lt;&gt;"Да",'Исходные данные'!$B$26="",C204&lt;'Исходные данные'!$B$26),0,DATEDIF(DATE(YEAR('Исходные данные'!$B$26),MONTH('Исходные данные'!$B$26),1),B204,"m")+1)</f>
        <v>0</v>
      </c>
      <c r="AG204">
        <f>IF(OR(AF204&lt;1,AF204&gt;N('Исходные данные'!$B$25),AE204+AD204&lt;=0),0,-(AE204+AD204)*N('Исходные данные'!$B$24)*IF(AF204=1,C204-'Исходные данные'!$B$26+1,DAY(C204))/365)</f>
        <v>0</v>
      </c>
      <c r="AH204">
        <f>IF(OR(AF204&lt;1,AF204&gt;N('Исходные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данные'!$B$25)-AG204))</f>
        <v>0</v>
      </c>
      <c r="AI204">
        <f>IF(OR('Исходные данные'!$B$22&lt;&gt;"Да",AE204+AD204&lt;=0),0,IF(AND('Исходные данные'!$B$91&lt;&gt;"",B204&lt;&gt;"",YEAR(B204)=YEAR('Исходные данные'!$B$91),MONTH(B204)=MONTH('Исходные данные'!$B$91)),-(AE204+AD204),IF(OR(AF204&lt;1,AF204&gt;N('Исходные данные'!$B$25)),0,IF('Исходные данные'!$B$27="Равными долями",-MIN(AE204+AD204,N('Исходные данные'!$B$23)/N('Исходные данные'!$B$25)),-MIN(AE204+AD204,IF(AF204=N('Исходные данные'!$B$25),AE204+AD204,MAX(0,AH204+AG204)))))))</f>
        <v>0</v>
      </c>
      <c r="AJ204">
        <f t="shared" si="149"/>
        <v>0</v>
      </c>
      <c r="AK204">
        <f t="shared" si="132"/>
        <v>0</v>
      </c>
      <c r="AL204">
        <f>IF(OR(B204="",'Исходные данные'!$B$51&lt;&gt;"Да",'Исходные данные'!$B$61=""),0,IF(AND(YEAR(B204)=YEAR('Исходные данные'!$B$61),MONTH(B204)=MONTH('Исходные данные'!$B$61)),N('Исходные данные'!$B$18)*N('Исходные данные'!$B$62),0))</f>
        <v>0</v>
      </c>
      <c r="AM204">
        <f t="shared" si="133"/>
        <v>0</v>
      </c>
      <c r="AN204">
        <f t="shared" si="134"/>
        <v>0</v>
      </c>
      <c r="AO204">
        <f t="shared" si="135"/>
        <v>0</v>
      </c>
      <c r="AP204">
        <f>IF('Исходные данные'!$B$51="Да",-MAX(0,AN204-AO204-AM204),0)</f>
        <v>0</v>
      </c>
      <c r="AQ204">
        <f>IF('Исходные данные'!$B$51="Да",MAX(0,AM204+AO204-AN204),0)</f>
        <v>0</v>
      </c>
      <c r="AR204">
        <f>IF('Исходные данные'!$B$53="Выручка",MAX(0,L204+(Q204-R204)+(U204-V204)),IF('Исходные данные'!$B$53="Прибыль до налога",MAX(0,L204+(Q204-R204)+(U204-V204)+N('Исходные данные'!$B$54)*((O204+P204)+(S204+T204)+W204+X204)+IF('Исходные данные'!$B$55="Да",AG204,0)-N('Исходные данные'!$B$56)/12),IF('Исходные данные'!$B$53="Пользовательская база",MAX(0,N('Исходные данные'!$B$57)/12),0)))</f>
        <v>0</v>
      </c>
      <c r="AS204">
        <f>IF(E204=1,-AR204*N('Исходные данные'!$B$50),0)</f>
        <v>0</v>
      </c>
      <c r="AT204">
        <f t="shared" si="136"/>
        <v>0</v>
      </c>
      <c r="AU204">
        <f>IF(OR(B204="",N('Исходные данные'!$B$80)&lt;=0,'Исходные данные'!$B$88=""),0,MAX(0,IF('Исходные данные'!$B$88="Последние 12 месяцев",SUMIFS($Y$2:$Y$194,$B$2:$B$194,"&gt;="&amp;EDATE(B204,-11),$B$2:$B$194,"&lt;="&amp;B204),IF('Исходные данные'!$B$88="Пользовательский NOI",N('Исходные данные'!$B$89),AT204))/N('Исходные данные'!$B$80)*(1+N('Исходные данные'!$B$81))))</f>
        <v>0</v>
      </c>
      <c r="AV204">
        <f>IF(OR(E204&lt;&gt;1,B204="",'Исходные данные'!$B$91=""),0,IF(AND(YEAR(B204)=YEAR('Исходные данные'!$B$91),MONTH(B204)=MONTH('Исходные данные'!$B$91)),AU204,0))</f>
        <v>0</v>
      </c>
      <c r="AW204">
        <f>-AV204*N('Исходные данные'!$B$73)</f>
        <v>0</v>
      </c>
      <c r="AX204">
        <f>IF(AV204=0,0,-N('Исходные данные'!$B$87)-IF('Исходные данные'!$B$82="Да",IF('Исходные данные'!$B$84="С выручки",AV204,IF('Исходные данные'!$B$84="С прибыли",MAX(0,AV204+AW204-IF('Исходные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04">
        <f t="shared" si="150"/>
        <v>0</v>
      </c>
      <c r="AZ204">
        <f t="shared" si="137"/>
        <v>0</v>
      </c>
      <c r="BA204">
        <f t="shared" si="151"/>
        <v>0</v>
      </c>
      <c r="BB204" t="str">
        <f t="shared" si="138"/>
        <v/>
      </c>
      <c r="BC204">
        <f>IF(OR(E204=0,'Исходные данные'!$B$9="",'Исходные данные'!$B$90=""),0,BA204/(1+'Исходные данные'!$B$90)^((D204-'Исходные данные'!$B$9)/365))</f>
        <v>0</v>
      </c>
      <c r="BD204">
        <f>IF(AND(E204=1,BB204&gt;=0,BB203&lt;0,MIN($BB$2:BB204)&lt;0),1,0)</f>
        <v>0</v>
      </c>
      <c r="BE204">
        <f t="shared" si="139"/>
        <v>0</v>
      </c>
      <c r="BF204">
        <f t="shared" si="140"/>
        <v>0</v>
      </c>
      <c r="BG204">
        <f t="shared" si="141"/>
        <v>0</v>
      </c>
      <c r="BH204">
        <f t="shared" si="142"/>
        <v>1</v>
      </c>
      <c r="BI204">
        <f>AZ204+N204+AP204-AR204*N('Исходные данные'!$B$50)</f>
        <v>0</v>
      </c>
      <c r="BJ204">
        <f t="shared" si="143"/>
        <v>0</v>
      </c>
      <c r="BK204">
        <f>IF(AND(BJ204&gt;=0,BJ203&lt;0,MIN($BJ$2:BJ204)&lt;0),1,0)</f>
        <v>0</v>
      </c>
    </row>
    <row r="205" spans="1:63" x14ac:dyDescent="0.2">
      <c r="A205">
        <v>204</v>
      </c>
      <c r="B205" t="str">
        <f>IF('Исходные данные'!$B$9="","",EDATE(DATE(YEAR('Исходные данные'!$B$9),MONTH('Исходные данные'!$B$9),1),A205-1))</f>
        <v/>
      </c>
      <c r="C205" t="str">
        <f t="shared" si="144"/>
        <v/>
      </c>
      <c r="D205" t="str">
        <f>IF(B205="","",IF('Исходные данные'!$B$91&lt;&gt;"",IF(AND(YEAR(B205)=YEAR('Исходные данные'!$B$91),MONTH(B205)=MONTH('Исходные данные'!$B$91)),'Исходные данные'!$B$91,IF('Исходные данные'!$B$13&lt;&gt;"",IF(AND(YEAR(B205)=YEAR('Исходные данные'!$B$13),MONTH(B205)=MONTH('Исходные данные'!$B$13)),'Исходные данные'!$B$13,IF('Исходные данные'!$B$26&lt;&gt;"",IF(AND(YEAR(B205)=YEAR('Исходные данные'!$B$26),MONTH(B205)=MONTH('Исходные данные'!$B$26)),'Исходные данные'!$B$26,IF(A205=1,'Исходные данные'!$B$9,C205)),IF(A205=1,'Исходные данные'!$B$9,C205))),IF('Исходные данные'!$B$26&lt;&gt;"",IF(AND(YEAR(B205)=YEAR('Исходные данные'!$B$26),MONTH(B205)=MONTH('Исходные данные'!$B$26)),'Исходные данные'!$B$26,IF(A205=1,'Исходные данные'!$B$9,C205)),IF(A205=1,'Исходные данные'!$B$9,C205)))),IF('Исходные данные'!$B$13&lt;&gt;"",IF(AND(YEAR(B205)=YEAR('Исходные данные'!$B$13),MONTH(B205)=MONTH('Исходные данные'!$B$13)),'Исходные данные'!$B$13,IF('Исходные данные'!$B$26&lt;&gt;"",IF(AND(YEAR(B205)=YEAR('Исходные данные'!$B$26),MONTH(B205)=MONTH('Исходные данные'!$B$26)),'Исходные данные'!$B$26,IF(A205=1,'Исходные данные'!$B$9,C205)),IF(A205=1,'Исходные данные'!$B$9,C205))),IF('Исходные данные'!$B$26&lt;&gt;"",IF(AND(YEAR(B205)=YEAR('Исходные данные'!$B$26),MONTH(B205)=MONTH('Исходные данные'!$B$26)),'Исходные данные'!$B$26,IF(A205=1,'Исходные данные'!$B$9,C205)),IF(A205=1,'Исходные данные'!$B$9,C205)))))</f>
        <v/>
      </c>
      <c r="E205">
        <f>IF(OR(B205="",'Исходные данные'!$B$91=""),0,--(B205&lt;=DATE(YEAR('Исходные данные'!$B$91),MONTH('Исходные данные'!$B$91),1)))</f>
        <v>0</v>
      </c>
      <c r="F205">
        <f>IF(OR(B205="",'Исходные данные'!$B$30="",C205&lt;'Исходные данные'!$B$30),0,DATEDIF(DATE(YEAR('Исходные данные'!$B$30),MONTH('Исходные данные'!$B$30),1),B205,"m")+1)</f>
        <v>0</v>
      </c>
      <c r="G205">
        <f t="shared" si="145"/>
        <v>0</v>
      </c>
      <c r="H205">
        <f>IF(F205=0,0,IF(G205=1,N('Исходные данные'!$B$31),IF(G205=2,N('Исходные данные'!$B$32),IF(G205=3,N('Исходные данные'!$B$33),N('Исходные данные'!$B$33)*(1+N('Исходные данные'!$B$34))^(G205-3)))))</f>
        <v>0</v>
      </c>
      <c r="I205">
        <f>IF(OR(F205=0,N('Исходные данные'!$B$5)=0,H205=0),0,'Исходные данные'!$B$5*H205*IF(AND(B205&lt;='Исходные данные'!$B$30,C205&gt;='Исходные данные'!$B$30),(C205-'Исходные данные'!$B$30+1)/DAY(C205),1))</f>
        <v>0</v>
      </c>
      <c r="J205">
        <f>IF(AND(F205&gt;0,F205&lt;=N('Исходные данные'!$B$37)),-I205,0)</f>
        <v>0</v>
      </c>
      <c r="K205">
        <f>IF(OR(F205=0,F205&lt;=N('Исходные данные'!$B$37)),0,-(I205+J205)*N('Исходные данные'!$B$38))</f>
        <v>0</v>
      </c>
      <c r="L205">
        <f t="shared" si="146"/>
        <v>0</v>
      </c>
      <c r="M205">
        <f>IF('Исходные данные'!$B$51="Да",L205*N('Исходные данные'!$B$52),0)</f>
        <v>0</v>
      </c>
      <c r="N205">
        <f t="shared" si="147"/>
        <v>0</v>
      </c>
      <c r="O205">
        <f>IF(OR(B205="",IF('Исходные данные'!$B$45="",'Исходные данные'!$B$10,'Исходные данные'!$B$45)="",C205&lt;IF('Исходные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данные'!$B$45)),1),B205,"m")/12))*IF(AND(B205&lt;=IF('Исходные данные'!$B$45="",'Исходные данные'!$B$10,'Исходные данные'!$B$45),C205&gt;=IF('Исходные данные'!$B$45="",'Исходные данные'!$B$10,'Исходные данные'!$B$45)),(C205-IF('Исходные данные'!$B$45="",'Исходные данные'!$B$10,'Исходные данные'!$B$45)+1)/DAY(C205),1)*IF('Исходные данные'!$B$43="Без НДС",1+N('Исходные данные'!$B$44),1))</f>
        <v>0</v>
      </c>
      <c r="P205">
        <f>IF('Исходные данные'!$B$51="Да",-O205*N('Исходные данные'!$B$44)/(1+N('Исходные данные'!$B$44)),0)</f>
        <v>0</v>
      </c>
      <c r="Q205">
        <f>IF('Исходные данные'!$B$35="Да",-O205,0)</f>
        <v>0</v>
      </c>
      <c r="R205">
        <f>IF(AND('Исходные данные'!$B$51="Да",Q205&gt;0),Q205*N('Исходные данные'!$B$52)/(1+N('Исходные данные'!$B$52)),0)</f>
        <v>0</v>
      </c>
      <c r="S205">
        <f>IF(OR(B205="",IF('Исходные данные'!$B$45="",'Исходные данные'!$B$10,'Исходные данные'!$B$45)="",C205&lt;IF('Исходные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данные'!$B$45)),1),B205,"m")/12))*IF(AND(B205&lt;=IF('Исходные данные'!$B$45="",'Исходные данные'!$B$10,'Исходные данные'!$B$45),C205&gt;=IF('Исходные данные'!$B$45="",'Исходные данные'!$B$10,'Исходные данные'!$B$45)),(C205-IF('Исходные данные'!$B$45="",'Исходные данные'!$B$10,'Исходные данные'!$B$45)+1)/DAY(C205),1)*IF('Исходные данные'!$B$43="Без НДС",1+N('Исходные данные'!$B$44),1))</f>
        <v>0</v>
      </c>
      <c r="T205">
        <f>IF('Исходные данные'!$B$51="Да",-S205*N('Исходные данные'!$B$44)/(1+N('Исходные данные'!$B$44)),0)</f>
        <v>0</v>
      </c>
      <c r="U205">
        <f>IF('Исходные данные'!$B$36="Да",-S205,0)</f>
        <v>0</v>
      </c>
      <c r="V205">
        <f>IF(AND('Исходные данные'!$B$51="Да",U205&gt;0),U205*N('Исходные данные'!$B$52)/(1+N('Исходные данные'!$B$52)),0)</f>
        <v>0</v>
      </c>
      <c r="W205">
        <f>IF(OR(B205="",IF('Исходные данные'!$B$69="",'Исходные данные'!$B$10,'Исходные данные'!$B$69)="",C205&lt;IF('Исходные данные'!$B$69="",'Исходные данные'!$B$10,'Исходные данные'!$B$69)),0,-N('Исходные данные'!$B$16)*N('Исходные данные'!$B$68)*N('Исходные данные'!$B$67)/12*IF(AND(B205&lt;=IF('Исходные данные'!$B$69="",'Исходные данные'!$B$10,'Исходные данные'!$B$69),C205&gt;=IF('Исходные данные'!$B$69="",'Исходные данные'!$B$10,'Исходные данные'!$B$69)),(C205-IF('Исходные данные'!$B$69="",'Исходные данные'!$B$10,'Исходные данные'!$B$69)+1)/DAY(C205),1))</f>
        <v>0</v>
      </c>
      <c r="X205">
        <f>IF(OR(B205="",IF('Исходные данные'!$B$76="",'Исходные данные'!$B$10,'Исходные данные'!$B$76)="",C205&lt;IF('Исходные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данные'!$B$76)),1),B205,"m")/12))*IF(AND(B205&lt;=IF('Исходные данные'!$B$76="",'Исходные данные'!$B$10,'Исходные данные'!$B$76),C205&gt;=IF('Исходные данные'!$B$76="",'Исходные данные'!$B$10,'Исходные данные'!$B$76)),(C205-IF('Исходные данные'!$B$76="",'Исходные данные'!$B$10,'Исходные данные'!$B$76)+1)/DAY(C205),1))</f>
        <v>0</v>
      </c>
      <c r="Y205">
        <f t="shared" si="148"/>
        <v>0</v>
      </c>
      <c r="Z205">
        <f>IF(OR(B205="",N('Исходные данные'!$B$19)=0),0,-SUMIFS('Исходные данные'!$I$6:$I$186,'Исходные данные'!$F$6:$F$186,B205)*N('Исходные данные'!$B$17)/N('Исходные данные'!$B$19))</f>
        <v>0</v>
      </c>
      <c r="AA205">
        <f>IF(OR(B205="",N('Исходные данные'!$B$19)=0),0,-SUMIFS('Исходные данные'!$I$6:$I$186,'Исходные данные'!$F$6:$F$186,B205)*N('Исходные данные'!$B$18)/N('Исходные данные'!$B$19))</f>
        <v>0</v>
      </c>
      <c r="AB205">
        <f>IF(OR(B205="",'Исходные данные'!$B$13=""),0,IF(AND(YEAR(B205)=YEAR('Исходные данные'!$B$13),MONTH(B205)=MONTH('Исходные данные'!$B$13)),-N('Исходные данные'!$B$11),0))</f>
        <v>0</v>
      </c>
      <c r="AC205">
        <f>IF(A205=1,-N('Исходные данные'!$B$19)*N('Исходные данные'!$B$72),0)</f>
        <v>0</v>
      </c>
      <c r="AD205">
        <f>IF(OR(B205="",'Исходные данные'!$B$22&lt;&gt;"Да",'Исходные данные'!$B$26=""),0,IF(AND(YEAR(B205)=YEAR('Исходные данные'!$B$26),MONTH(B205)=MONTH('Исходные данные'!$B$26)),N('Исходные данные'!$B$23),0))</f>
        <v>0</v>
      </c>
      <c r="AE205">
        <f t="shared" si="131"/>
        <v>0</v>
      </c>
      <c r="AF205">
        <f>IF(OR('Исходные данные'!$B$22&lt;&gt;"Да",'Исходные данные'!$B$26="",C205&lt;'Исходные данные'!$B$26),0,DATEDIF(DATE(YEAR('Исходные данные'!$B$26),MONTH('Исходные данные'!$B$26),1),B205,"m")+1)</f>
        <v>0</v>
      </c>
      <c r="AG205">
        <f>IF(OR(AF205&lt;1,AF205&gt;N('Исходные данные'!$B$25),AE205+AD205&lt;=0),0,-(AE205+AD205)*N('Исходные данные'!$B$24)*IF(AF205=1,C205-'Исходные данные'!$B$26+1,DAY(C205))/365)</f>
        <v>0</v>
      </c>
      <c r="AH205">
        <f>IF(OR(AF205&lt;1,AF205&gt;N('Исходные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данные'!$B$25)-AG205))</f>
        <v>0</v>
      </c>
      <c r="AI205">
        <f>IF(OR('Исходные данные'!$B$22&lt;&gt;"Да",AE205+AD205&lt;=0),0,IF(AND('Исходные данные'!$B$91&lt;&gt;"",B205&lt;&gt;"",YEAR(B205)=YEAR('Исходные данные'!$B$91),MONTH(B205)=MONTH('Исходные данные'!$B$91)),-(AE205+AD205),IF(OR(AF205&lt;1,AF205&gt;N('Исходные данные'!$B$25)),0,IF('Исходные данные'!$B$27="Равными долями",-MIN(AE205+AD205,N('Исходные данные'!$B$23)/N('Исходные данные'!$B$25)),-MIN(AE205+AD205,IF(AF205=N('Исходные данные'!$B$25),AE205+AD205,MAX(0,AH205+AG205)))))))</f>
        <v>0</v>
      </c>
      <c r="AJ205">
        <f t="shared" si="149"/>
        <v>0</v>
      </c>
      <c r="AK205">
        <f t="shared" si="132"/>
        <v>0</v>
      </c>
      <c r="AL205">
        <f>IF(OR(B205="",'Исходные данные'!$B$51&lt;&gt;"Да",'Исходные данные'!$B$61=""),0,IF(AND(YEAR(B205)=YEAR('Исходные данные'!$B$61),MONTH(B205)=MONTH('Исходные данные'!$B$61)),N('Исходные данные'!$B$18)*N('Исходные данные'!$B$62),0))</f>
        <v>0</v>
      </c>
      <c r="AM205">
        <f t="shared" si="133"/>
        <v>0</v>
      </c>
      <c r="AN205">
        <f t="shared" si="134"/>
        <v>0</v>
      </c>
      <c r="AO205">
        <f t="shared" si="135"/>
        <v>0</v>
      </c>
      <c r="AP205">
        <f>IF('Исходные данные'!$B$51="Да",-MAX(0,AN205-AO205-AM205),0)</f>
        <v>0</v>
      </c>
      <c r="AQ205">
        <f>IF('Исходные данные'!$B$51="Да",MAX(0,AM205+AO205-AN205),0)</f>
        <v>0</v>
      </c>
      <c r="AR205">
        <f>IF('Исходные данные'!$B$53="Выручка",MAX(0,L205+(Q205-R205)+(U205-V205)),IF('Исходные данные'!$B$53="Прибыль до налога",MAX(0,L205+(Q205-R205)+(U205-V205)+N('Исходные данные'!$B$54)*((O205+P205)+(S205+T205)+W205+X205)+IF('Исходные данные'!$B$55="Да",AG205,0)-N('Исходные данные'!$B$56)/12),IF('Исходные данные'!$B$53="Пользовательская база",MAX(0,N('Исходные данные'!$B$57)/12),0)))</f>
        <v>0</v>
      </c>
      <c r="AS205">
        <f>IF(E205=1,-AR205*N('Исходные данные'!$B$50),0)</f>
        <v>0</v>
      </c>
      <c r="AT205">
        <f t="shared" si="136"/>
        <v>0</v>
      </c>
      <c r="AU205">
        <f>IF(OR(B205="",N('Исходные данные'!$B$80)&lt;=0,'Исходные данные'!$B$88=""),0,MAX(0,IF('Исходные данные'!$B$88="Последние 12 месяцев",SUMIFS($Y$2:$Y$194,$B$2:$B$194,"&gt;="&amp;EDATE(B205,-11),$B$2:$B$194,"&lt;="&amp;B205),IF('Исходные данные'!$B$88="Пользовательский NOI",N('Исходные данные'!$B$89),AT205))/N('Исходные данные'!$B$80)*(1+N('Исходные данные'!$B$81))))</f>
        <v>0</v>
      </c>
      <c r="AV205">
        <f>IF(OR(E205&lt;&gt;1,B205="",'Исходные данные'!$B$91=""),0,IF(AND(YEAR(B205)=YEAR('Исходные данные'!$B$91),MONTH(B205)=MONTH('Исходные данные'!$B$91)),AU205,0))</f>
        <v>0</v>
      </c>
      <c r="AW205">
        <f>-AV205*N('Исходные данные'!$B$73)</f>
        <v>0</v>
      </c>
      <c r="AX205">
        <f>IF(AV205=0,0,-N('Исходные данные'!$B$87)-IF('Исходные данные'!$B$82="Да",IF('Исходные данные'!$B$84="С выручки",AV205,IF('Исходные данные'!$B$84="С прибыли",MAX(0,AV205+AW205-IF('Исходные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05">
        <f t="shared" si="150"/>
        <v>0</v>
      </c>
      <c r="AZ205">
        <f t="shared" si="137"/>
        <v>0</v>
      </c>
      <c r="BA205">
        <f t="shared" si="151"/>
        <v>0</v>
      </c>
      <c r="BB205" t="str">
        <f t="shared" si="138"/>
        <v/>
      </c>
      <c r="BC205">
        <f>IF(OR(E205=0,'Исходные данные'!$B$9="",'Исходные данные'!$B$90=""),0,BA205/(1+'Исходные данные'!$B$90)^((D205-'Исходные данные'!$B$9)/365))</f>
        <v>0</v>
      </c>
      <c r="BD205">
        <f>IF(AND(E205=1,BB205&gt;=0,BB204&lt;0,MIN($BB$2:BB205)&lt;0),1,0)</f>
        <v>0</v>
      </c>
      <c r="BE205">
        <f t="shared" si="139"/>
        <v>0</v>
      </c>
      <c r="BF205">
        <f t="shared" si="140"/>
        <v>0</v>
      </c>
      <c r="BG205">
        <f t="shared" si="141"/>
        <v>0</v>
      </c>
      <c r="BH205">
        <f t="shared" si="142"/>
        <v>1</v>
      </c>
      <c r="BI205">
        <f>AZ205+N205+AP205-AR205*N('Исходные данные'!$B$50)</f>
        <v>0</v>
      </c>
      <c r="BJ205">
        <f t="shared" si="143"/>
        <v>0</v>
      </c>
      <c r="BK205">
        <f>IF(AND(BJ205&gt;=0,BJ204&lt;0,MIN($BJ$2:BJ205)&lt;0),1,0)</f>
        <v>0</v>
      </c>
    </row>
    <row r="206" spans="1:63" x14ac:dyDescent="0.2">
      <c r="A206">
        <v>205</v>
      </c>
      <c r="B206" t="str">
        <f>IF('Исходные данные'!$B$9="","",EDATE(DATE(YEAR('Исходные данные'!$B$9),MONTH('Исходные данные'!$B$9),1),A206-1))</f>
        <v/>
      </c>
      <c r="C206" t="str">
        <f t="shared" si="144"/>
        <v/>
      </c>
      <c r="D206" t="str">
        <f>IF(B206="","",IF('Исходные данные'!$B$91&lt;&gt;"",IF(AND(YEAR(B206)=YEAR('Исходные данные'!$B$91),MONTH(B206)=MONTH('Исходные данные'!$B$91)),'Исходные данные'!$B$91,IF('Исходные данные'!$B$13&lt;&gt;"",IF(AND(YEAR(B206)=YEAR('Исходные данные'!$B$13),MONTH(B206)=MONTH('Исходные данные'!$B$13)),'Исходные данные'!$B$13,IF('Исходные данные'!$B$26&lt;&gt;"",IF(AND(YEAR(B206)=YEAR('Исходные данные'!$B$26),MONTH(B206)=MONTH('Исходные данные'!$B$26)),'Исходные данные'!$B$26,IF(A206=1,'Исходные данные'!$B$9,C206)),IF(A206=1,'Исходные данные'!$B$9,C206))),IF('Исходные данные'!$B$26&lt;&gt;"",IF(AND(YEAR(B206)=YEAR('Исходные данные'!$B$26),MONTH(B206)=MONTH('Исходные данные'!$B$26)),'Исходные данные'!$B$26,IF(A206=1,'Исходные данные'!$B$9,C206)),IF(A206=1,'Исходные данные'!$B$9,C206)))),IF('Исходные данные'!$B$13&lt;&gt;"",IF(AND(YEAR(B206)=YEAR('Исходные данные'!$B$13),MONTH(B206)=MONTH('Исходные данные'!$B$13)),'Исходные данные'!$B$13,IF('Исходные данные'!$B$26&lt;&gt;"",IF(AND(YEAR(B206)=YEAR('Исходные данные'!$B$26),MONTH(B206)=MONTH('Исходные данные'!$B$26)),'Исходные данные'!$B$26,IF(A206=1,'Исходные данные'!$B$9,C206)),IF(A206=1,'Исходные данные'!$B$9,C206))),IF('Исходные данные'!$B$26&lt;&gt;"",IF(AND(YEAR(B206)=YEAR('Исходные данные'!$B$26),MONTH(B206)=MONTH('Исходные данные'!$B$26)),'Исходные данные'!$B$26,IF(A206=1,'Исходные данные'!$B$9,C206)),IF(A206=1,'Исходные данные'!$B$9,C206)))))</f>
        <v/>
      </c>
      <c r="E206">
        <f>IF(OR(B206="",'Исходные данные'!$B$91=""),0,--(B206&lt;=DATE(YEAR('Исходные данные'!$B$91),MONTH('Исходные данные'!$B$91),1)))</f>
        <v>0</v>
      </c>
      <c r="F206">
        <f>IF(OR(B206="",'Исходные данные'!$B$30="",C206&lt;'Исходные данные'!$B$30),0,DATEDIF(DATE(YEAR('Исходные данные'!$B$30),MONTH('Исходные данные'!$B$30),1),B206,"m")+1)</f>
        <v>0</v>
      </c>
      <c r="G206">
        <f t="shared" si="145"/>
        <v>0</v>
      </c>
      <c r="H206">
        <f>IF(F206=0,0,IF(G206=1,N('Исходные данные'!$B$31),IF(G206=2,N('Исходные данные'!$B$32),IF(G206=3,N('Исходные данные'!$B$33),N('Исходные данные'!$B$33)*(1+N('Исходные данные'!$B$34))^(G206-3)))))</f>
        <v>0</v>
      </c>
      <c r="I206">
        <f>IF(OR(F206=0,N('Исходные данные'!$B$5)=0,H206=0),0,'Исходные данные'!$B$5*H206*IF(AND(B206&lt;='Исходные данные'!$B$30,C206&gt;='Исходные данные'!$B$30),(C206-'Исходные данные'!$B$30+1)/DAY(C206),1))</f>
        <v>0</v>
      </c>
      <c r="J206">
        <f>IF(AND(F206&gt;0,F206&lt;=N('Исходные данные'!$B$37)),-I206,0)</f>
        <v>0</v>
      </c>
      <c r="K206">
        <f>IF(OR(F206=0,F206&lt;=N('Исходные данные'!$B$37)),0,-(I206+J206)*N('Исходные данные'!$B$38))</f>
        <v>0</v>
      </c>
      <c r="L206">
        <f t="shared" si="146"/>
        <v>0</v>
      </c>
      <c r="M206">
        <f>IF('Исходные данные'!$B$51="Да",L206*N('Исходные данные'!$B$52),0)</f>
        <v>0</v>
      </c>
      <c r="N206">
        <f t="shared" si="147"/>
        <v>0</v>
      </c>
      <c r="O206">
        <f>IF(OR(B206="",IF('Исходные данные'!$B$45="",'Исходные данные'!$B$10,'Исходные данные'!$B$45)="",C206&lt;IF('Исходные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данные'!$B$45)),1),B206,"m")/12))*IF(AND(B206&lt;=IF('Исходные данные'!$B$45="",'Исходные данные'!$B$10,'Исходные данные'!$B$45),C206&gt;=IF('Исходные данные'!$B$45="",'Исходные данные'!$B$10,'Исходные данные'!$B$45)),(C206-IF('Исходные данные'!$B$45="",'Исходные данные'!$B$10,'Исходные данные'!$B$45)+1)/DAY(C206),1)*IF('Исходные данные'!$B$43="Без НДС",1+N('Исходные данные'!$B$44),1))</f>
        <v>0</v>
      </c>
      <c r="P206">
        <f>IF('Исходные данные'!$B$51="Да",-O206*N('Исходные данные'!$B$44)/(1+N('Исходные данные'!$B$44)),0)</f>
        <v>0</v>
      </c>
      <c r="Q206">
        <f>IF('Исходные данные'!$B$35="Да",-O206,0)</f>
        <v>0</v>
      </c>
      <c r="R206">
        <f>IF(AND('Исходные данные'!$B$51="Да",Q206&gt;0),Q206*N('Исходные данные'!$B$52)/(1+N('Исходные данные'!$B$52)),0)</f>
        <v>0</v>
      </c>
      <c r="S206">
        <f>IF(OR(B206="",IF('Исходные данные'!$B$45="",'Исходные данные'!$B$10,'Исходные данные'!$B$45)="",C206&lt;IF('Исходные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данные'!$B$45)),1),B206,"m")/12))*IF(AND(B206&lt;=IF('Исходные данные'!$B$45="",'Исходные данные'!$B$10,'Исходные данные'!$B$45),C206&gt;=IF('Исходные данные'!$B$45="",'Исходные данные'!$B$10,'Исходные данные'!$B$45)),(C206-IF('Исходные данные'!$B$45="",'Исходные данные'!$B$10,'Исходные данные'!$B$45)+1)/DAY(C206),1)*IF('Исходные данные'!$B$43="Без НДС",1+N('Исходные данные'!$B$44),1))</f>
        <v>0</v>
      </c>
      <c r="T206">
        <f>IF('Исходные данные'!$B$51="Да",-S206*N('Исходные данные'!$B$44)/(1+N('Исходные данные'!$B$44)),0)</f>
        <v>0</v>
      </c>
      <c r="U206">
        <f>IF('Исходные данные'!$B$36="Да",-S206,0)</f>
        <v>0</v>
      </c>
      <c r="V206">
        <f>IF(AND('Исходные данные'!$B$51="Да",U206&gt;0),U206*N('Исходные данные'!$B$52)/(1+N('Исходные данные'!$B$52)),0)</f>
        <v>0</v>
      </c>
      <c r="W206">
        <f>IF(OR(B206="",IF('Исходные данные'!$B$69="",'Исходные данные'!$B$10,'Исходные данные'!$B$69)="",C206&lt;IF('Исходные данные'!$B$69="",'Исходные данные'!$B$10,'Исходные данные'!$B$69)),0,-N('Исходные данные'!$B$16)*N('Исходные данные'!$B$68)*N('Исходные данные'!$B$67)/12*IF(AND(B206&lt;=IF('Исходные данные'!$B$69="",'Исходные данные'!$B$10,'Исходные данные'!$B$69),C206&gt;=IF('Исходные данные'!$B$69="",'Исходные данные'!$B$10,'Исходные данные'!$B$69)),(C206-IF('Исходные данные'!$B$69="",'Исходные данные'!$B$10,'Исходные данные'!$B$69)+1)/DAY(C206),1))</f>
        <v>0</v>
      </c>
      <c r="X206">
        <f>IF(OR(B206="",IF('Исходные данные'!$B$76="",'Исходные данные'!$B$10,'Исходные данные'!$B$76)="",C206&lt;IF('Исходные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данные'!$B$76)),1),B206,"m")/12))*IF(AND(B206&lt;=IF('Исходные данные'!$B$76="",'Исходные данные'!$B$10,'Исходные данные'!$B$76),C206&gt;=IF('Исходные данные'!$B$76="",'Исходные данные'!$B$10,'Исходные данные'!$B$76)),(C206-IF('Исходные данные'!$B$76="",'Исходные данные'!$B$10,'Исходные данные'!$B$76)+1)/DAY(C206),1))</f>
        <v>0</v>
      </c>
      <c r="Y206">
        <f t="shared" si="148"/>
        <v>0</v>
      </c>
      <c r="Z206">
        <f>IF(OR(B206="",N('Исходные данные'!$B$19)=0),0,-SUMIFS('Исходные данные'!$I$6:$I$186,'Исходные данные'!$F$6:$F$186,B206)*N('Исходные данные'!$B$17)/N('Исходные данные'!$B$19))</f>
        <v>0</v>
      </c>
      <c r="AA206">
        <f>IF(OR(B206="",N('Исходные данные'!$B$19)=0),0,-SUMIFS('Исходные данные'!$I$6:$I$186,'Исходные данные'!$F$6:$F$186,B206)*N('Исходные данные'!$B$18)/N('Исходные данные'!$B$19))</f>
        <v>0</v>
      </c>
      <c r="AB206">
        <f>IF(OR(B206="",'Исходные данные'!$B$13=""),0,IF(AND(YEAR(B206)=YEAR('Исходные данные'!$B$13),MONTH(B206)=MONTH('Исходные данные'!$B$13)),-N('Исходные данные'!$B$11),0))</f>
        <v>0</v>
      </c>
      <c r="AC206">
        <f>IF(A206=1,-N('Исходные данные'!$B$19)*N('Исходные данные'!$B$72),0)</f>
        <v>0</v>
      </c>
      <c r="AD206">
        <f>IF(OR(B206="",'Исходные данные'!$B$22&lt;&gt;"Да",'Исходные данные'!$B$26=""),0,IF(AND(YEAR(B206)=YEAR('Исходные данные'!$B$26),MONTH(B206)=MONTH('Исходные данные'!$B$26)),N('Исходные данные'!$B$23),0))</f>
        <v>0</v>
      </c>
      <c r="AE206">
        <f t="shared" si="131"/>
        <v>0</v>
      </c>
      <c r="AF206">
        <f>IF(OR('Исходные данные'!$B$22&lt;&gt;"Да",'Исходные данные'!$B$26="",C206&lt;'Исходные данные'!$B$26),0,DATEDIF(DATE(YEAR('Исходные данные'!$B$26),MONTH('Исходные данные'!$B$26),1),B206,"m")+1)</f>
        <v>0</v>
      </c>
      <c r="AG206">
        <f>IF(OR(AF206&lt;1,AF206&gt;N('Исходные данные'!$B$25),AE206+AD206&lt;=0),0,-(AE206+AD206)*N('Исходные данные'!$B$24)*IF(AF206=1,C206-'Исходные данные'!$B$26+1,DAY(C206))/365)</f>
        <v>0</v>
      </c>
      <c r="AH206">
        <f>IF(OR(AF206&lt;1,AF206&gt;N('Исходные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данные'!$B$25)-AG206))</f>
        <v>0</v>
      </c>
      <c r="AI206">
        <f>IF(OR('Исходные данные'!$B$22&lt;&gt;"Да",AE206+AD206&lt;=0),0,IF(AND('Исходные данные'!$B$91&lt;&gt;"",B206&lt;&gt;"",YEAR(B206)=YEAR('Исходные данные'!$B$91),MONTH(B206)=MONTH('Исходные данные'!$B$91)),-(AE206+AD206),IF(OR(AF206&lt;1,AF206&gt;N('Исходные данные'!$B$25)),0,IF('Исходные данные'!$B$27="Равными долями",-MIN(AE206+AD206,N('Исходные данные'!$B$23)/N('Исходные данные'!$B$25)),-MIN(AE206+AD206,IF(AF206=N('Исходные данные'!$B$25),AE206+AD206,MAX(0,AH206+AG206)))))))</f>
        <v>0</v>
      </c>
      <c r="AJ206">
        <f t="shared" si="149"/>
        <v>0</v>
      </c>
      <c r="AK206">
        <f t="shared" si="132"/>
        <v>0</v>
      </c>
      <c r="AL206">
        <f>IF(OR(B206="",'Исходные данные'!$B$51&lt;&gt;"Да",'Исходные данные'!$B$61=""),0,IF(AND(YEAR(B206)=YEAR('Исходные данные'!$B$61),MONTH(B206)=MONTH('Исходные данные'!$B$61)),N('Исходные данные'!$B$18)*N('Исходные данные'!$B$62),0))</f>
        <v>0</v>
      </c>
      <c r="AM206">
        <f t="shared" si="133"/>
        <v>0</v>
      </c>
      <c r="AN206">
        <f t="shared" si="134"/>
        <v>0</v>
      </c>
      <c r="AO206">
        <f t="shared" si="135"/>
        <v>0</v>
      </c>
      <c r="AP206">
        <f>IF('Исходные данные'!$B$51="Да",-MAX(0,AN206-AO206-AM206),0)</f>
        <v>0</v>
      </c>
      <c r="AQ206">
        <f>IF('Исходные данные'!$B$51="Да",MAX(0,AM206+AO206-AN206),0)</f>
        <v>0</v>
      </c>
      <c r="AR206">
        <f>IF('Исходные данные'!$B$53="Выручка",MAX(0,L206+(Q206-R206)+(U206-V206)),IF('Исходные данные'!$B$53="Прибыль до налога",MAX(0,L206+(Q206-R206)+(U206-V206)+N('Исходные данные'!$B$54)*((O206+P206)+(S206+T206)+W206+X206)+IF('Исходные данные'!$B$55="Да",AG206,0)-N('Исходные данные'!$B$56)/12),IF('Исходные данные'!$B$53="Пользовательская база",MAX(0,N('Исходные данные'!$B$57)/12),0)))</f>
        <v>0</v>
      </c>
      <c r="AS206">
        <f>IF(E206=1,-AR206*N('Исходные данные'!$B$50),0)</f>
        <v>0</v>
      </c>
      <c r="AT206">
        <f t="shared" si="136"/>
        <v>0</v>
      </c>
      <c r="AU206">
        <f>IF(OR(B206="",N('Исходные данные'!$B$80)&lt;=0,'Исходные данные'!$B$88=""),0,MAX(0,IF('Исходные данные'!$B$88="Последние 12 месяцев",SUMIFS($Y$2:$Y$194,$B$2:$B$194,"&gt;="&amp;EDATE(B206,-11),$B$2:$B$194,"&lt;="&amp;B206),IF('Исходные данные'!$B$88="Пользовательский NOI",N('Исходные данные'!$B$89),AT206))/N('Исходные данные'!$B$80)*(1+N('Исходные данные'!$B$81))))</f>
        <v>0</v>
      </c>
      <c r="AV206">
        <f>IF(OR(E206&lt;&gt;1,B206="",'Исходные данные'!$B$91=""),0,IF(AND(YEAR(B206)=YEAR('Исходные данные'!$B$91),MONTH(B206)=MONTH('Исходные данные'!$B$91)),AU206,0))</f>
        <v>0</v>
      </c>
      <c r="AW206">
        <f>-AV206*N('Исходные данные'!$B$73)</f>
        <v>0</v>
      </c>
      <c r="AX206">
        <f>IF(AV206=0,0,-N('Исходные данные'!$B$87)-IF('Исходные данные'!$B$82="Да",IF('Исходные данные'!$B$84="С выручки",AV206,IF('Исходные данные'!$B$84="С прибыли",MAX(0,AV206+AW206-IF('Исходные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06">
        <f t="shared" si="150"/>
        <v>0</v>
      </c>
      <c r="AZ206">
        <f t="shared" si="137"/>
        <v>0</v>
      </c>
      <c r="BA206">
        <f t="shared" si="151"/>
        <v>0</v>
      </c>
      <c r="BB206" t="str">
        <f t="shared" si="138"/>
        <v/>
      </c>
      <c r="BC206">
        <f>IF(OR(E206=0,'Исходные данные'!$B$9="",'Исходные данные'!$B$90=""),0,BA206/(1+'Исходные данные'!$B$90)^((D206-'Исходные данные'!$B$9)/365))</f>
        <v>0</v>
      </c>
      <c r="BD206">
        <f>IF(AND(E206=1,BB206&gt;=0,BB205&lt;0,MIN($BB$2:BB206)&lt;0),1,0)</f>
        <v>0</v>
      </c>
      <c r="BE206">
        <f t="shared" si="139"/>
        <v>0</v>
      </c>
      <c r="BF206">
        <f t="shared" si="140"/>
        <v>0</v>
      </c>
      <c r="BG206">
        <f t="shared" si="141"/>
        <v>0</v>
      </c>
      <c r="BH206">
        <f t="shared" si="142"/>
        <v>1</v>
      </c>
      <c r="BI206">
        <f>AZ206+N206+AP206-AR206*N('Исходные данные'!$B$50)</f>
        <v>0</v>
      </c>
      <c r="BJ206">
        <f t="shared" si="143"/>
        <v>0</v>
      </c>
      <c r="BK206">
        <f>IF(AND(BJ206&gt;=0,BJ205&lt;0,MIN($BJ$2:BJ206)&lt;0),1,0)</f>
        <v>0</v>
      </c>
    </row>
    <row r="207" spans="1:63" x14ac:dyDescent="0.2">
      <c r="A207">
        <v>206</v>
      </c>
      <c r="B207" t="str">
        <f>IF('Исходные данные'!$B$9="","",EDATE(DATE(YEAR('Исходные данные'!$B$9),MONTH('Исходные данные'!$B$9),1),A207-1))</f>
        <v/>
      </c>
      <c r="C207" t="str">
        <f t="shared" si="144"/>
        <v/>
      </c>
      <c r="D207" t="str">
        <f>IF(B207="","",IF('Исходные данные'!$B$91&lt;&gt;"",IF(AND(YEAR(B207)=YEAR('Исходные данные'!$B$91),MONTH(B207)=MONTH('Исходные данные'!$B$91)),'Исходные данные'!$B$91,IF('Исходные данные'!$B$13&lt;&gt;"",IF(AND(YEAR(B207)=YEAR('Исходные данные'!$B$13),MONTH(B207)=MONTH('Исходные данные'!$B$13)),'Исходные данные'!$B$13,IF('Исходные данные'!$B$26&lt;&gt;"",IF(AND(YEAR(B207)=YEAR('Исходные данные'!$B$26),MONTH(B207)=MONTH('Исходные данные'!$B$26)),'Исходные данные'!$B$26,IF(A207=1,'Исходные данные'!$B$9,C207)),IF(A207=1,'Исходные данные'!$B$9,C207))),IF('Исходные данные'!$B$26&lt;&gt;"",IF(AND(YEAR(B207)=YEAR('Исходные данные'!$B$26),MONTH(B207)=MONTH('Исходные данные'!$B$26)),'Исходные данные'!$B$26,IF(A207=1,'Исходные данные'!$B$9,C207)),IF(A207=1,'Исходные данные'!$B$9,C207)))),IF('Исходные данные'!$B$13&lt;&gt;"",IF(AND(YEAR(B207)=YEAR('Исходные данные'!$B$13),MONTH(B207)=MONTH('Исходные данные'!$B$13)),'Исходные данные'!$B$13,IF('Исходные данные'!$B$26&lt;&gt;"",IF(AND(YEAR(B207)=YEAR('Исходные данные'!$B$26),MONTH(B207)=MONTH('Исходные данные'!$B$26)),'Исходные данные'!$B$26,IF(A207=1,'Исходные данные'!$B$9,C207)),IF(A207=1,'Исходные данные'!$B$9,C207))),IF('Исходные данные'!$B$26&lt;&gt;"",IF(AND(YEAR(B207)=YEAR('Исходные данные'!$B$26),MONTH(B207)=MONTH('Исходные данные'!$B$26)),'Исходные данные'!$B$26,IF(A207=1,'Исходные данные'!$B$9,C207)),IF(A207=1,'Исходные данные'!$B$9,C207)))))</f>
        <v/>
      </c>
      <c r="E207">
        <f>IF(OR(B207="",'Исходные данные'!$B$91=""),0,--(B207&lt;=DATE(YEAR('Исходные данные'!$B$91),MONTH('Исходные данные'!$B$91),1)))</f>
        <v>0</v>
      </c>
      <c r="F207">
        <f>IF(OR(B207="",'Исходные данные'!$B$30="",C207&lt;'Исходные данные'!$B$30),0,DATEDIF(DATE(YEAR('Исходные данные'!$B$30),MONTH('Исходные данные'!$B$30),1),B207,"m")+1)</f>
        <v>0</v>
      </c>
      <c r="G207">
        <f t="shared" si="145"/>
        <v>0</v>
      </c>
      <c r="H207">
        <f>IF(F207=0,0,IF(G207=1,N('Исходные данные'!$B$31),IF(G207=2,N('Исходные данные'!$B$32),IF(G207=3,N('Исходные данные'!$B$33),N('Исходные данные'!$B$33)*(1+N('Исходные данные'!$B$34))^(G207-3)))))</f>
        <v>0</v>
      </c>
      <c r="I207">
        <f>IF(OR(F207=0,N('Исходные данные'!$B$5)=0,H207=0),0,'Исходные данные'!$B$5*H207*IF(AND(B207&lt;='Исходные данные'!$B$30,C207&gt;='Исходные данные'!$B$30),(C207-'Исходные данные'!$B$30+1)/DAY(C207),1))</f>
        <v>0</v>
      </c>
      <c r="J207">
        <f>IF(AND(F207&gt;0,F207&lt;=N('Исходные данные'!$B$37)),-I207,0)</f>
        <v>0</v>
      </c>
      <c r="K207">
        <f>IF(OR(F207=0,F207&lt;=N('Исходные данные'!$B$37)),0,-(I207+J207)*N('Исходные данные'!$B$38))</f>
        <v>0</v>
      </c>
      <c r="L207">
        <f t="shared" si="146"/>
        <v>0</v>
      </c>
      <c r="M207">
        <f>IF('Исходные данные'!$B$51="Да",L207*N('Исходные данные'!$B$52),0)</f>
        <v>0</v>
      </c>
      <c r="N207">
        <f t="shared" si="147"/>
        <v>0</v>
      </c>
      <c r="O207">
        <f>IF(OR(B207="",IF('Исходные данные'!$B$45="",'Исходные данные'!$B$10,'Исходные данные'!$B$45)="",C207&lt;IF('Исходные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данные'!$B$45)),1),B207,"m")/12))*IF(AND(B207&lt;=IF('Исходные данные'!$B$45="",'Исходные данные'!$B$10,'Исходные данные'!$B$45),C207&gt;=IF('Исходные данные'!$B$45="",'Исходные данные'!$B$10,'Исходные данные'!$B$45)),(C207-IF('Исходные данные'!$B$45="",'Исходные данные'!$B$10,'Исходные данные'!$B$45)+1)/DAY(C207),1)*IF('Исходные данные'!$B$43="Без НДС",1+N('Исходные данные'!$B$44),1))</f>
        <v>0</v>
      </c>
      <c r="P207">
        <f>IF('Исходные данные'!$B$51="Да",-O207*N('Исходные данные'!$B$44)/(1+N('Исходные данные'!$B$44)),0)</f>
        <v>0</v>
      </c>
      <c r="Q207">
        <f>IF('Исходные данные'!$B$35="Да",-O207,0)</f>
        <v>0</v>
      </c>
      <c r="R207">
        <f>IF(AND('Исходные данные'!$B$51="Да",Q207&gt;0),Q207*N('Исходные данные'!$B$52)/(1+N('Исходные данные'!$B$52)),0)</f>
        <v>0</v>
      </c>
      <c r="S207">
        <f>IF(OR(B207="",IF('Исходные данные'!$B$45="",'Исходные данные'!$B$10,'Исходные данные'!$B$45)="",C207&lt;IF('Исходные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данные'!$B$45)),1),B207,"m")/12))*IF(AND(B207&lt;=IF('Исходные данные'!$B$45="",'Исходные данные'!$B$10,'Исходные данные'!$B$45),C207&gt;=IF('Исходные данные'!$B$45="",'Исходные данные'!$B$10,'Исходные данные'!$B$45)),(C207-IF('Исходные данные'!$B$45="",'Исходные данные'!$B$10,'Исходные данные'!$B$45)+1)/DAY(C207),1)*IF('Исходные данные'!$B$43="Без НДС",1+N('Исходные данные'!$B$44),1))</f>
        <v>0</v>
      </c>
      <c r="T207">
        <f>IF('Исходные данные'!$B$51="Да",-S207*N('Исходные данные'!$B$44)/(1+N('Исходные данные'!$B$44)),0)</f>
        <v>0</v>
      </c>
      <c r="U207">
        <f>IF('Исходные данные'!$B$36="Да",-S207,0)</f>
        <v>0</v>
      </c>
      <c r="V207">
        <f>IF(AND('Исходные данные'!$B$51="Да",U207&gt;0),U207*N('Исходные данные'!$B$52)/(1+N('Исходные данные'!$B$52)),0)</f>
        <v>0</v>
      </c>
      <c r="W207">
        <f>IF(OR(B207="",IF('Исходные данные'!$B$69="",'Исходные данные'!$B$10,'Исходные данные'!$B$69)="",C207&lt;IF('Исходные данные'!$B$69="",'Исходные данные'!$B$10,'Исходные данные'!$B$69)),0,-N('Исходные данные'!$B$16)*N('Исходные данные'!$B$68)*N('Исходные данные'!$B$67)/12*IF(AND(B207&lt;=IF('Исходные данные'!$B$69="",'Исходные данные'!$B$10,'Исходные данные'!$B$69),C207&gt;=IF('Исходные данные'!$B$69="",'Исходные данные'!$B$10,'Исходные данные'!$B$69)),(C207-IF('Исходные данные'!$B$69="",'Исходные данные'!$B$10,'Исходные данные'!$B$69)+1)/DAY(C207),1))</f>
        <v>0</v>
      </c>
      <c r="X207">
        <f>IF(OR(B207="",IF('Исходные данные'!$B$76="",'Исходные данные'!$B$10,'Исходные данные'!$B$76)="",C207&lt;IF('Исходные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данные'!$B$76)),1),B207,"m")/12))*IF(AND(B207&lt;=IF('Исходные данные'!$B$76="",'Исходные данные'!$B$10,'Исходные данные'!$B$76),C207&gt;=IF('Исходные данные'!$B$76="",'Исходные данные'!$B$10,'Исходные данные'!$B$76)),(C207-IF('Исходные данные'!$B$76="",'Исходные данные'!$B$10,'Исходные данные'!$B$76)+1)/DAY(C207),1))</f>
        <v>0</v>
      </c>
      <c r="Y207">
        <f t="shared" si="148"/>
        <v>0</v>
      </c>
      <c r="Z207">
        <f>IF(OR(B207="",N('Исходные данные'!$B$19)=0),0,-SUMIFS('Исходные данные'!$I$6:$I$186,'Исходные данные'!$F$6:$F$186,B207)*N('Исходные данные'!$B$17)/N('Исходные данные'!$B$19))</f>
        <v>0</v>
      </c>
      <c r="AA207">
        <f>IF(OR(B207="",N('Исходные данные'!$B$19)=0),0,-SUMIFS('Исходные данные'!$I$6:$I$186,'Исходные данные'!$F$6:$F$186,B207)*N('Исходные данные'!$B$18)/N('Исходные данные'!$B$19))</f>
        <v>0</v>
      </c>
      <c r="AB207">
        <f>IF(OR(B207="",'Исходные данные'!$B$13=""),0,IF(AND(YEAR(B207)=YEAR('Исходные данные'!$B$13),MONTH(B207)=MONTH('Исходные данные'!$B$13)),-N('Исходные данные'!$B$11),0))</f>
        <v>0</v>
      </c>
      <c r="AC207">
        <f>IF(A207=1,-N('Исходные данные'!$B$19)*N('Исходные данные'!$B$72),0)</f>
        <v>0</v>
      </c>
      <c r="AD207">
        <f>IF(OR(B207="",'Исходные данные'!$B$22&lt;&gt;"Да",'Исходные данные'!$B$26=""),0,IF(AND(YEAR(B207)=YEAR('Исходные данные'!$B$26),MONTH(B207)=MONTH('Исходные данные'!$B$26)),N('Исходные данные'!$B$23),0))</f>
        <v>0</v>
      </c>
      <c r="AE207">
        <f t="shared" si="131"/>
        <v>0</v>
      </c>
      <c r="AF207">
        <f>IF(OR('Исходные данные'!$B$22&lt;&gt;"Да",'Исходные данные'!$B$26="",C207&lt;'Исходные данные'!$B$26),0,DATEDIF(DATE(YEAR('Исходные данные'!$B$26),MONTH('Исходные данные'!$B$26),1),B207,"m")+1)</f>
        <v>0</v>
      </c>
      <c r="AG207">
        <f>IF(OR(AF207&lt;1,AF207&gt;N('Исходные данные'!$B$25),AE207+AD207&lt;=0),0,-(AE207+AD207)*N('Исходные данные'!$B$24)*IF(AF207=1,C207-'Исходные данные'!$B$26+1,DAY(C207))/365)</f>
        <v>0</v>
      </c>
      <c r="AH207">
        <f>IF(OR(AF207&lt;1,AF207&gt;N('Исходные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данные'!$B$25)-AG207))</f>
        <v>0</v>
      </c>
      <c r="AI207">
        <f>IF(OR('Исходные данные'!$B$22&lt;&gt;"Да",AE207+AD207&lt;=0),0,IF(AND('Исходные данные'!$B$91&lt;&gt;"",B207&lt;&gt;"",YEAR(B207)=YEAR('Исходные данные'!$B$91),MONTH(B207)=MONTH('Исходные данные'!$B$91)),-(AE207+AD207),IF(OR(AF207&lt;1,AF207&gt;N('Исходные данные'!$B$25)),0,IF('Исходные данные'!$B$27="Равными долями",-MIN(AE207+AD207,N('Исходные данные'!$B$23)/N('Исходные данные'!$B$25)),-MIN(AE207+AD207,IF(AF207=N('Исходные данные'!$B$25),AE207+AD207,MAX(0,AH207+AG207)))))))</f>
        <v>0</v>
      </c>
      <c r="AJ207">
        <f t="shared" si="149"/>
        <v>0</v>
      </c>
      <c r="AK207">
        <f t="shared" si="132"/>
        <v>0</v>
      </c>
      <c r="AL207">
        <f>IF(OR(B207="",'Исходные данные'!$B$51&lt;&gt;"Да",'Исходные данные'!$B$61=""),0,IF(AND(YEAR(B207)=YEAR('Исходные данные'!$B$61),MONTH(B207)=MONTH('Исходные данные'!$B$61)),N('Исходные данные'!$B$18)*N('Исходные данные'!$B$62),0))</f>
        <v>0</v>
      </c>
      <c r="AM207">
        <f t="shared" si="133"/>
        <v>0</v>
      </c>
      <c r="AN207">
        <f t="shared" si="134"/>
        <v>0</v>
      </c>
      <c r="AO207">
        <f t="shared" si="135"/>
        <v>0</v>
      </c>
      <c r="AP207">
        <f>IF('Исходные данные'!$B$51="Да",-MAX(0,AN207-AO207-AM207),0)</f>
        <v>0</v>
      </c>
      <c r="AQ207">
        <f>IF('Исходные данные'!$B$51="Да",MAX(0,AM207+AO207-AN207),0)</f>
        <v>0</v>
      </c>
      <c r="AR207">
        <f>IF('Исходные данные'!$B$53="Выручка",MAX(0,L207+(Q207-R207)+(U207-V207)),IF('Исходные данные'!$B$53="Прибыль до налога",MAX(0,L207+(Q207-R207)+(U207-V207)+N('Исходные данные'!$B$54)*((O207+P207)+(S207+T207)+W207+X207)+IF('Исходные данные'!$B$55="Да",AG207,0)-N('Исходные данные'!$B$56)/12),IF('Исходные данные'!$B$53="Пользовательская база",MAX(0,N('Исходные данные'!$B$57)/12),0)))</f>
        <v>0</v>
      </c>
      <c r="AS207">
        <f>IF(E207=1,-AR207*N('Исходные данные'!$B$50),0)</f>
        <v>0</v>
      </c>
      <c r="AT207">
        <f t="shared" si="136"/>
        <v>0</v>
      </c>
      <c r="AU207">
        <f>IF(OR(B207="",N('Исходные данные'!$B$80)&lt;=0,'Исходные данные'!$B$88=""),0,MAX(0,IF('Исходные данные'!$B$88="Последние 12 месяцев",SUMIFS($Y$2:$Y$194,$B$2:$B$194,"&gt;="&amp;EDATE(B207,-11),$B$2:$B$194,"&lt;="&amp;B207),IF('Исходные данные'!$B$88="Пользовательский NOI",N('Исходные данные'!$B$89),AT207))/N('Исходные данные'!$B$80)*(1+N('Исходные данные'!$B$81))))</f>
        <v>0</v>
      </c>
      <c r="AV207">
        <f>IF(OR(E207&lt;&gt;1,B207="",'Исходные данные'!$B$91=""),0,IF(AND(YEAR(B207)=YEAR('Исходные данные'!$B$91),MONTH(B207)=MONTH('Исходные данные'!$B$91)),AU207,0))</f>
        <v>0</v>
      </c>
      <c r="AW207">
        <f>-AV207*N('Исходные данные'!$B$73)</f>
        <v>0</v>
      </c>
      <c r="AX207">
        <f>IF(AV207=0,0,-N('Исходные данные'!$B$87)-IF('Исходные данные'!$B$82="Да",IF('Исходные данные'!$B$84="С выручки",AV207,IF('Исходные данные'!$B$84="С прибыли",MAX(0,AV207+AW207-IF('Исходные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07">
        <f t="shared" si="150"/>
        <v>0</v>
      </c>
      <c r="AZ207">
        <f t="shared" si="137"/>
        <v>0</v>
      </c>
      <c r="BA207">
        <f t="shared" si="151"/>
        <v>0</v>
      </c>
      <c r="BB207" t="str">
        <f t="shared" si="138"/>
        <v/>
      </c>
      <c r="BC207">
        <f>IF(OR(E207=0,'Исходные данные'!$B$9="",'Исходные данные'!$B$90=""),0,BA207/(1+'Исходные данные'!$B$90)^((D207-'Исходные данные'!$B$9)/365))</f>
        <v>0</v>
      </c>
      <c r="BD207">
        <f>IF(AND(E207=1,BB207&gt;=0,BB206&lt;0,MIN($BB$2:BB207)&lt;0),1,0)</f>
        <v>0</v>
      </c>
      <c r="BE207">
        <f t="shared" si="139"/>
        <v>0</v>
      </c>
      <c r="BF207">
        <f t="shared" si="140"/>
        <v>0</v>
      </c>
      <c r="BG207">
        <f t="shared" si="141"/>
        <v>0</v>
      </c>
      <c r="BH207">
        <f t="shared" si="142"/>
        <v>1</v>
      </c>
      <c r="BI207">
        <f>AZ207+N207+AP207-AR207*N('Исходные данные'!$B$50)</f>
        <v>0</v>
      </c>
      <c r="BJ207">
        <f t="shared" si="143"/>
        <v>0</v>
      </c>
      <c r="BK207">
        <f>IF(AND(BJ207&gt;=0,BJ206&lt;0,MIN($BJ$2:BJ207)&lt;0),1,0)</f>
        <v>0</v>
      </c>
    </row>
    <row r="208" spans="1:63" x14ac:dyDescent="0.2">
      <c r="A208">
        <v>207</v>
      </c>
      <c r="B208" t="str">
        <f>IF('Исходные данные'!$B$9="","",EDATE(DATE(YEAR('Исходные данные'!$B$9),MONTH('Исходные данные'!$B$9),1),A208-1))</f>
        <v/>
      </c>
      <c r="C208" t="str">
        <f t="shared" si="144"/>
        <v/>
      </c>
      <c r="D208" t="str">
        <f>IF(B208="","",IF('Исходные данные'!$B$91&lt;&gt;"",IF(AND(YEAR(B208)=YEAR('Исходные данные'!$B$91),MONTH(B208)=MONTH('Исходные данные'!$B$91)),'Исходные данные'!$B$91,IF('Исходные данные'!$B$13&lt;&gt;"",IF(AND(YEAR(B208)=YEAR('Исходные данные'!$B$13),MONTH(B208)=MONTH('Исходные данные'!$B$13)),'Исходные данные'!$B$13,IF('Исходные данные'!$B$26&lt;&gt;"",IF(AND(YEAR(B208)=YEAR('Исходные данные'!$B$26),MONTH(B208)=MONTH('Исходные данные'!$B$26)),'Исходные данные'!$B$26,IF(A208=1,'Исходные данные'!$B$9,C208)),IF(A208=1,'Исходные данные'!$B$9,C208))),IF('Исходные данные'!$B$26&lt;&gt;"",IF(AND(YEAR(B208)=YEAR('Исходные данные'!$B$26),MONTH(B208)=MONTH('Исходные данные'!$B$26)),'Исходные данные'!$B$26,IF(A208=1,'Исходные данные'!$B$9,C208)),IF(A208=1,'Исходные данные'!$B$9,C208)))),IF('Исходные данные'!$B$13&lt;&gt;"",IF(AND(YEAR(B208)=YEAR('Исходные данные'!$B$13),MONTH(B208)=MONTH('Исходные данные'!$B$13)),'Исходные данные'!$B$13,IF('Исходные данные'!$B$26&lt;&gt;"",IF(AND(YEAR(B208)=YEAR('Исходные данные'!$B$26),MONTH(B208)=MONTH('Исходные данные'!$B$26)),'Исходные данные'!$B$26,IF(A208=1,'Исходные данные'!$B$9,C208)),IF(A208=1,'Исходные данные'!$B$9,C208))),IF('Исходные данные'!$B$26&lt;&gt;"",IF(AND(YEAR(B208)=YEAR('Исходные данные'!$B$26),MONTH(B208)=MONTH('Исходные данные'!$B$26)),'Исходные данные'!$B$26,IF(A208=1,'Исходные данные'!$B$9,C208)),IF(A208=1,'Исходные данные'!$B$9,C208)))))</f>
        <v/>
      </c>
      <c r="E208">
        <f>IF(OR(B208="",'Исходные данные'!$B$91=""),0,--(B208&lt;=DATE(YEAR('Исходные данные'!$B$91),MONTH('Исходные данные'!$B$91),1)))</f>
        <v>0</v>
      </c>
      <c r="F208">
        <f>IF(OR(B208="",'Исходные данные'!$B$30="",C208&lt;'Исходные данные'!$B$30),0,DATEDIF(DATE(YEAR('Исходные данные'!$B$30),MONTH('Исходные данные'!$B$30),1),B208,"m")+1)</f>
        <v>0</v>
      </c>
      <c r="G208">
        <f t="shared" si="145"/>
        <v>0</v>
      </c>
      <c r="H208">
        <f>IF(F208=0,0,IF(G208=1,N('Исходные данные'!$B$31),IF(G208=2,N('Исходные данные'!$B$32),IF(G208=3,N('Исходные данные'!$B$33),N('Исходные данные'!$B$33)*(1+N('Исходные данные'!$B$34))^(G208-3)))))</f>
        <v>0</v>
      </c>
      <c r="I208">
        <f>IF(OR(F208=0,N('Исходные данные'!$B$5)=0,H208=0),0,'Исходные данные'!$B$5*H208*IF(AND(B208&lt;='Исходные данные'!$B$30,C208&gt;='Исходные данные'!$B$30),(C208-'Исходные данные'!$B$30+1)/DAY(C208),1))</f>
        <v>0</v>
      </c>
      <c r="J208">
        <f>IF(AND(F208&gt;0,F208&lt;=N('Исходные данные'!$B$37)),-I208,0)</f>
        <v>0</v>
      </c>
      <c r="K208">
        <f>IF(OR(F208=0,F208&lt;=N('Исходные данные'!$B$37)),0,-(I208+J208)*N('Исходные данные'!$B$38))</f>
        <v>0</v>
      </c>
      <c r="L208">
        <f t="shared" si="146"/>
        <v>0</v>
      </c>
      <c r="M208">
        <f>IF('Исходные данные'!$B$51="Да",L208*N('Исходные данные'!$B$52),0)</f>
        <v>0</v>
      </c>
      <c r="N208">
        <f t="shared" si="147"/>
        <v>0</v>
      </c>
      <c r="O208">
        <f>IF(OR(B208="",IF('Исходные данные'!$B$45="",'Исходные данные'!$B$10,'Исходные данные'!$B$45)="",C208&lt;IF('Исходные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данные'!$B$45)),1),B208,"m")/12))*IF(AND(B208&lt;=IF('Исходные данные'!$B$45="",'Исходные данные'!$B$10,'Исходные данные'!$B$45),C208&gt;=IF('Исходные данные'!$B$45="",'Исходные данные'!$B$10,'Исходные данные'!$B$45)),(C208-IF('Исходные данные'!$B$45="",'Исходные данные'!$B$10,'Исходные данные'!$B$45)+1)/DAY(C208),1)*IF('Исходные данные'!$B$43="Без НДС",1+N('Исходные данные'!$B$44),1))</f>
        <v>0</v>
      </c>
      <c r="P208">
        <f>IF('Исходные данные'!$B$51="Да",-O208*N('Исходные данные'!$B$44)/(1+N('Исходные данные'!$B$44)),0)</f>
        <v>0</v>
      </c>
      <c r="Q208">
        <f>IF('Исходные данные'!$B$35="Да",-O208,0)</f>
        <v>0</v>
      </c>
      <c r="R208">
        <f>IF(AND('Исходные данные'!$B$51="Да",Q208&gt;0),Q208*N('Исходные данные'!$B$52)/(1+N('Исходные данные'!$B$52)),0)</f>
        <v>0</v>
      </c>
      <c r="S208">
        <f>IF(OR(B208="",IF('Исходные данные'!$B$45="",'Исходные данные'!$B$10,'Исходные данные'!$B$45)="",C208&lt;IF('Исходные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данные'!$B$45)),1),B208,"m")/12))*IF(AND(B208&lt;=IF('Исходные данные'!$B$45="",'Исходные данные'!$B$10,'Исходные данные'!$B$45),C208&gt;=IF('Исходные данные'!$B$45="",'Исходные данные'!$B$10,'Исходные данные'!$B$45)),(C208-IF('Исходные данные'!$B$45="",'Исходные данные'!$B$10,'Исходные данные'!$B$45)+1)/DAY(C208),1)*IF('Исходные данные'!$B$43="Без НДС",1+N('Исходные данные'!$B$44),1))</f>
        <v>0</v>
      </c>
      <c r="T208">
        <f>IF('Исходные данные'!$B$51="Да",-S208*N('Исходные данные'!$B$44)/(1+N('Исходные данные'!$B$44)),0)</f>
        <v>0</v>
      </c>
      <c r="U208">
        <f>IF('Исходные данные'!$B$36="Да",-S208,0)</f>
        <v>0</v>
      </c>
      <c r="V208">
        <f>IF(AND('Исходные данные'!$B$51="Да",U208&gt;0),U208*N('Исходные данные'!$B$52)/(1+N('Исходные данные'!$B$52)),0)</f>
        <v>0</v>
      </c>
      <c r="W208">
        <f>IF(OR(B208="",IF('Исходные данные'!$B$69="",'Исходные данные'!$B$10,'Исходные данные'!$B$69)="",C208&lt;IF('Исходные данные'!$B$69="",'Исходные данные'!$B$10,'Исходные данные'!$B$69)),0,-N('Исходные данные'!$B$16)*N('Исходные данные'!$B$68)*N('Исходные данные'!$B$67)/12*IF(AND(B208&lt;=IF('Исходные данные'!$B$69="",'Исходные данные'!$B$10,'Исходные данные'!$B$69),C208&gt;=IF('Исходные данные'!$B$69="",'Исходные данные'!$B$10,'Исходные данные'!$B$69)),(C208-IF('Исходные данные'!$B$69="",'Исходные данные'!$B$10,'Исходные данные'!$B$69)+1)/DAY(C208),1))</f>
        <v>0</v>
      </c>
      <c r="X208">
        <f>IF(OR(B208="",IF('Исходные данные'!$B$76="",'Исходные данные'!$B$10,'Исходные данные'!$B$76)="",C208&lt;IF('Исходные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данные'!$B$76)),1),B208,"m")/12))*IF(AND(B208&lt;=IF('Исходные данные'!$B$76="",'Исходные данные'!$B$10,'Исходные данные'!$B$76),C208&gt;=IF('Исходные данные'!$B$76="",'Исходные данные'!$B$10,'Исходные данные'!$B$76)),(C208-IF('Исходные данные'!$B$76="",'Исходные данные'!$B$10,'Исходные данные'!$B$76)+1)/DAY(C208),1))</f>
        <v>0</v>
      </c>
      <c r="Y208">
        <f t="shared" si="148"/>
        <v>0</v>
      </c>
      <c r="Z208">
        <f>IF(OR(B208="",N('Исходные данные'!$B$19)=0),0,-SUMIFS('Исходные данные'!$I$6:$I$186,'Исходные данные'!$F$6:$F$186,B208)*N('Исходные данные'!$B$17)/N('Исходные данные'!$B$19))</f>
        <v>0</v>
      </c>
      <c r="AA208">
        <f>IF(OR(B208="",N('Исходные данные'!$B$19)=0),0,-SUMIFS('Исходные данные'!$I$6:$I$186,'Исходные данные'!$F$6:$F$186,B208)*N('Исходные данные'!$B$18)/N('Исходные данные'!$B$19))</f>
        <v>0</v>
      </c>
      <c r="AB208">
        <f>IF(OR(B208="",'Исходные данные'!$B$13=""),0,IF(AND(YEAR(B208)=YEAR('Исходные данные'!$B$13),MONTH(B208)=MONTH('Исходные данные'!$B$13)),-N('Исходные данные'!$B$11),0))</f>
        <v>0</v>
      </c>
      <c r="AC208">
        <f>IF(A208=1,-N('Исходные данные'!$B$19)*N('Исходные данные'!$B$72),0)</f>
        <v>0</v>
      </c>
      <c r="AD208">
        <f>IF(OR(B208="",'Исходные данные'!$B$22&lt;&gt;"Да",'Исходные данные'!$B$26=""),0,IF(AND(YEAR(B208)=YEAR('Исходные данные'!$B$26),MONTH(B208)=MONTH('Исходные данные'!$B$26)),N('Исходные данные'!$B$23),0))</f>
        <v>0</v>
      </c>
      <c r="AE208">
        <f t="shared" si="131"/>
        <v>0</v>
      </c>
      <c r="AF208">
        <f>IF(OR('Исходные данные'!$B$22&lt;&gt;"Да",'Исходные данные'!$B$26="",C208&lt;'Исходные данные'!$B$26),0,DATEDIF(DATE(YEAR('Исходные данные'!$B$26),MONTH('Исходные данные'!$B$26),1),B208,"m")+1)</f>
        <v>0</v>
      </c>
      <c r="AG208">
        <f>IF(OR(AF208&lt;1,AF208&gt;N('Исходные данные'!$B$25),AE208+AD208&lt;=0),0,-(AE208+AD208)*N('Исходные данные'!$B$24)*IF(AF208=1,C208-'Исходные данные'!$B$26+1,DAY(C208))/365)</f>
        <v>0</v>
      </c>
      <c r="AH208">
        <f>IF(OR(AF208&lt;1,AF208&gt;N('Исходные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данные'!$B$25)-AG208))</f>
        <v>0</v>
      </c>
      <c r="AI208">
        <f>IF(OR('Исходные данные'!$B$22&lt;&gt;"Да",AE208+AD208&lt;=0),0,IF(AND('Исходные данные'!$B$91&lt;&gt;"",B208&lt;&gt;"",YEAR(B208)=YEAR('Исходные данные'!$B$91),MONTH(B208)=MONTH('Исходные данные'!$B$91)),-(AE208+AD208),IF(OR(AF208&lt;1,AF208&gt;N('Исходные данные'!$B$25)),0,IF('Исходные данные'!$B$27="Равными долями",-MIN(AE208+AD208,N('Исходные данные'!$B$23)/N('Исходные данные'!$B$25)),-MIN(AE208+AD208,IF(AF208=N('Исходные данные'!$B$25),AE208+AD208,MAX(0,AH208+AG208)))))))</f>
        <v>0</v>
      </c>
      <c r="AJ208">
        <f t="shared" si="149"/>
        <v>0</v>
      </c>
      <c r="AK208">
        <f t="shared" si="132"/>
        <v>0</v>
      </c>
      <c r="AL208">
        <f>IF(OR(B208="",'Исходные данные'!$B$51&lt;&gt;"Да",'Исходные данные'!$B$61=""),0,IF(AND(YEAR(B208)=YEAR('Исходные данные'!$B$61),MONTH(B208)=MONTH('Исходные данные'!$B$61)),N('Исходные данные'!$B$18)*N('Исходные данные'!$B$62),0))</f>
        <v>0</v>
      </c>
      <c r="AM208">
        <f t="shared" si="133"/>
        <v>0</v>
      </c>
      <c r="AN208">
        <f t="shared" si="134"/>
        <v>0</v>
      </c>
      <c r="AO208">
        <f t="shared" si="135"/>
        <v>0</v>
      </c>
      <c r="AP208">
        <f>IF('Исходные данные'!$B$51="Да",-MAX(0,AN208-AO208-AM208),0)</f>
        <v>0</v>
      </c>
      <c r="AQ208">
        <f>IF('Исходные данные'!$B$51="Да",MAX(0,AM208+AO208-AN208),0)</f>
        <v>0</v>
      </c>
      <c r="AR208">
        <f>IF('Исходные данные'!$B$53="Выручка",MAX(0,L208+(Q208-R208)+(U208-V208)),IF('Исходные данные'!$B$53="Прибыль до налога",MAX(0,L208+(Q208-R208)+(U208-V208)+N('Исходные данные'!$B$54)*((O208+P208)+(S208+T208)+W208+X208)+IF('Исходные данные'!$B$55="Да",AG208,0)-N('Исходные данные'!$B$56)/12),IF('Исходные данные'!$B$53="Пользовательская база",MAX(0,N('Исходные данные'!$B$57)/12),0)))</f>
        <v>0</v>
      </c>
      <c r="AS208">
        <f>IF(E208=1,-AR208*N('Исходные данные'!$B$50),0)</f>
        <v>0</v>
      </c>
      <c r="AT208">
        <f t="shared" si="136"/>
        <v>0</v>
      </c>
      <c r="AU208">
        <f>IF(OR(B208="",N('Исходные данные'!$B$80)&lt;=0,'Исходные данные'!$B$88=""),0,MAX(0,IF('Исходные данные'!$B$88="Последние 12 месяцев",SUMIFS($Y$2:$Y$194,$B$2:$B$194,"&gt;="&amp;EDATE(B208,-11),$B$2:$B$194,"&lt;="&amp;B208),IF('Исходные данные'!$B$88="Пользовательский NOI",N('Исходные данные'!$B$89),AT208))/N('Исходные данные'!$B$80)*(1+N('Исходные данные'!$B$81))))</f>
        <v>0</v>
      </c>
      <c r="AV208">
        <f>IF(OR(E208&lt;&gt;1,B208="",'Исходные данные'!$B$91=""),0,IF(AND(YEAR(B208)=YEAR('Исходные данные'!$B$91),MONTH(B208)=MONTH('Исходные данные'!$B$91)),AU208,0))</f>
        <v>0</v>
      </c>
      <c r="AW208">
        <f>-AV208*N('Исходные данные'!$B$73)</f>
        <v>0</v>
      </c>
      <c r="AX208">
        <f>IF(AV208=0,0,-N('Исходные данные'!$B$87)-IF('Исходные данные'!$B$82="Да",IF('Исходные данные'!$B$84="С выручки",AV208,IF('Исходные данные'!$B$84="С прибыли",MAX(0,AV208+AW208-IF('Исходные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08">
        <f t="shared" si="150"/>
        <v>0</v>
      </c>
      <c r="AZ208">
        <f t="shared" si="137"/>
        <v>0</v>
      </c>
      <c r="BA208">
        <f t="shared" si="151"/>
        <v>0</v>
      </c>
      <c r="BB208" t="str">
        <f t="shared" si="138"/>
        <v/>
      </c>
      <c r="BC208">
        <f>IF(OR(E208=0,'Исходные данные'!$B$9="",'Исходные данные'!$B$90=""),0,BA208/(1+'Исходные данные'!$B$90)^((D208-'Исходные данные'!$B$9)/365))</f>
        <v>0</v>
      </c>
      <c r="BD208">
        <f>IF(AND(E208=1,BB208&gt;=0,BB207&lt;0,MIN($BB$2:BB208)&lt;0),1,0)</f>
        <v>0</v>
      </c>
      <c r="BE208">
        <f t="shared" si="139"/>
        <v>0</v>
      </c>
      <c r="BF208">
        <f t="shared" si="140"/>
        <v>0</v>
      </c>
      <c r="BG208">
        <f t="shared" si="141"/>
        <v>0</v>
      </c>
      <c r="BH208">
        <f t="shared" si="142"/>
        <v>1</v>
      </c>
      <c r="BI208">
        <f>AZ208+N208+AP208-AR208*N('Исходные данные'!$B$50)</f>
        <v>0</v>
      </c>
      <c r="BJ208">
        <f t="shared" si="143"/>
        <v>0</v>
      </c>
      <c r="BK208">
        <f>IF(AND(BJ208&gt;=0,BJ207&lt;0,MIN($BJ$2:BJ208)&lt;0),1,0)</f>
        <v>0</v>
      </c>
    </row>
    <row r="209" spans="1:63" x14ac:dyDescent="0.2">
      <c r="A209">
        <v>208</v>
      </c>
      <c r="B209" t="str">
        <f>IF('Исходные данные'!$B$9="","",EDATE(DATE(YEAR('Исходные данные'!$B$9),MONTH('Исходные данные'!$B$9),1),A209-1))</f>
        <v/>
      </c>
      <c r="C209" t="str">
        <f t="shared" si="144"/>
        <v/>
      </c>
      <c r="D209" t="str">
        <f>IF(B209="","",IF('Исходные данные'!$B$91&lt;&gt;"",IF(AND(YEAR(B209)=YEAR('Исходные данные'!$B$91),MONTH(B209)=MONTH('Исходные данные'!$B$91)),'Исходные данные'!$B$91,IF('Исходные данные'!$B$13&lt;&gt;"",IF(AND(YEAR(B209)=YEAR('Исходные данные'!$B$13),MONTH(B209)=MONTH('Исходные данные'!$B$13)),'Исходные данные'!$B$13,IF('Исходные данные'!$B$26&lt;&gt;"",IF(AND(YEAR(B209)=YEAR('Исходные данные'!$B$26),MONTH(B209)=MONTH('Исходные данные'!$B$26)),'Исходные данные'!$B$26,IF(A209=1,'Исходные данные'!$B$9,C209)),IF(A209=1,'Исходные данные'!$B$9,C209))),IF('Исходные данные'!$B$26&lt;&gt;"",IF(AND(YEAR(B209)=YEAR('Исходные данные'!$B$26),MONTH(B209)=MONTH('Исходные данные'!$B$26)),'Исходные данные'!$B$26,IF(A209=1,'Исходные данные'!$B$9,C209)),IF(A209=1,'Исходные данные'!$B$9,C209)))),IF('Исходные данные'!$B$13&lt;&gt;"",IF(AND(YEAR(B209)=YEAR('Исходные данные'!$B$13),MONTH(B209)=MONTH('Исходные данные'!$B$13)),'Исходные данные'!$B$13,IF('Исходные данные'!$B$26&lt;&gt;"",IF(AND(YEAR(B209)=YEAR('Исходные данные'!$B$26),MONTH(B209)=MONTH('Исходные данные'!$B$26)),'Исходные данные'!$B$26,IF(A209=1,'Исходные данные'!$B$9,C209)),IF(A209=1,'Исходные данные'!$B$9,C209))),IF('Исходные данные'!$B$26&lt;&gt;"",IF(AND(YEAR(B209)=YEAR('Исходные данные'!$B$26),MONTH(B209)=MONTH('Исходные данные'!$B$26)),'Исходные данные'!$B$26,IF(A209=1,'Исходные данные'!$B$9,C209)),IF(A209=1,'Исходные данные'!$B$9,C209)))))</f>
        <v/>
      </c>
      <c r="E209">
        <f>IF(OR(B209="",'Исходные данные'!$B$91=""),0,--(B209&lt;=DATE(YEAR('Исходные данные'!$B$91),MONTH('Исходные данные'!$B$91),1)))</f>
        <v>0</v>
      </c>
      <c r="F209">
        <f>IF(OR(B209="",'Исходные данные'!$B$30="",C209&lt;'Исходные данные'!$B$30),0,DATEDIF(DATE(YEAR('Исходные данные'!$B$30),MONTH('Исходные данные'!$B$30),1),B209,"m")+1)</f>
        <v>0</v>
      </c>
      <c r="G209">
        <f t="shared" si="145"/>
        <v>0</v>
      </c>
      <c r="H209">
        <f>IF(F209=0,0,IF(G209=1,N('Исходные данные'!$B$31),IF(G209=2,N('Исходные данные'!$B$32),IF(G209=3,N('Исходные данные'!$B$33),N('Исходные данные'!$B$33)*(1+N('Исходные данные'!$B$34))^(G209-3)))))</f>
        <v>0</v>
      </c>
      <c r="I209">
        <f>IF(OR(F209=0,N('Исходные данные'!$B$5)=0,H209=0),0,'Исходные данные'!$B$5*H209*IF(AND(B209&lt;='Исходные данные'!$B$30,C209&gt;='Исходные данные'!$B$30),(C209-'Исходные данные'!$B$30+1)/DAY(C209),1))</f>
        <v>0</v>
      </c>
      <c r="J209">
        <f>IF(AND(F209&gt;0,F209&lt;=N('Исходные данные'!$B$37)),-I209,0)</f>
        <v>0</v>
      </c>
      <c r="K209">
        <f>IF(OR(F209=0,F209&lt;=N('Исходные данные'!$B$37)),0,-(I209+J209)*N('Исходные данные'!$B$38))</f>
        <v>0</v>
      </c>
      <c r="L209">
        <f t="shared" si="146"/>
        <v>0</v>
      </c>
      <c r="M209">
        <f>IF('Исходные данные'!$B$51="Да",L209*N('Исходные данные'!$B$52),0)</f>
        <v>0</v>
      </c>
      <c r="N209">
        <f t="shared" si="147"/>
        <v>0</v>
      </c>
      <c r="O209">
        <f>IF(OR(B209="",IF('Исходные данные'!$B$45="",'Исходные данные'!$B$10,'Исходные данные'!$B$45)="",C209&lt;IF('Исходные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данные'!$B$45)),1),B209,"m")/12))*IF(AND(B209&lt;=IF('Исходные данные'!$B$45="",'Исходные данные'!$B$10,'Исходные данные'!$B$45),C209&gt;=IF('Исходные данные'!$B$45="",'Исходные данные'!$B$10,'Исходные данные'!$B$45)),(C209-IF('Исходные данные'!$B$45="",'Исходные данные'!$B$10,'Исходные данные'!$B$45)+1)/DAY(C209),1)*IF('Исходные данные'!$B$43="Без НДС",1+N('Исходные данные'!$B$44),1))</f>
        <v>0</v>
      </c>
      <c r="P209">
        <f>IF('Исходные данные'!$B$51="Да",-O209*N('Исходные данные'!$B$44)/(1+N('Исходные данные'!$B$44)),0)</f>
        <v>0</v>
      </c>
      <c r="Q209">
        <f>IF('Исходные данные'!$B$35="Да",-O209,0)</f>
        <v>0</v>
      </c>
      <c r="R209">
        <f>IF(AND('Исходные данные'!$B$51="Да",Q209&gt;0),Q209*N('Исходные данные'!$B$52)/(1+N('Исходные данные'!$B$52)),0)</f>
        <v>0</v>
      </c>
      <c r="S209">
        <f>IF(OR(B209="",IF('Исходные данные'!$B$45="",'Исходные данные'!$B$10,'Исходные данные'!$B$45)="",C209&lt;IF('Исходные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данные'!$B$45)),1),B209,"m")/12))*IF(AND(B209&lt;=IF('Исходные данные'!$B$45="",'Исходные данные'!$B$10,'Исходные данные'!$B$45),C209&gt;=IF('Исходные данные'!$B$45="",'Исходные данные'!$B$10,'Исходные данные'!$B$45)),(C209-IF('Исходные данные'!$B$45="",'Исходные данные'!$B$10,'Исходные данные'!$B$45)+1)/DAY(C209),1)*IF('Исходные данные'!$B$43="Без НДС",1+N('Исходные данные'!$B$44),1))</f>
        <v>0</v>
      </c>
      <c r="T209">
        <f>IF('Исходные данные'!$B$51="Да",-S209*N('Исходные данные'!$B$44)/(1+N('Исходные данные'!$B$44)),0)</f>
        <v>0</v>
      </c>
      <c r="U209">
        <f>IF('Исходные данные'!$B$36="Да",-S209,0)</f>
        <v>0</v>
      </c>
      <c r="V209">
        <f>IF(AND('Исходные данные'!$B$51="Да",U209&gt;0),U209*N('Исходные данные'!$B$52)/(1+N('Исходные данные'!$B$52)),0)</f>
        <v>0</v>
      </c>
      <c r="W209">
        <f>IF(OR(B209="",IF('Исходные данные'!$B$69="",'Исходные данные'!$B$10,'Исходные данные'!$B$69)="",C209&lt;IF('Исходные данные'!$B$69="",'Исходные данные'!$B$10,'Исходные данные'!$B$69)),0,-N('Исходные данные'!$B$16)*N('Исходные данные'!$B$68)*N('Исходные данные'!$B$67)/12*IF(AND(B209&lt;=IF('Исходные данные'!$B$69="",'Исходные данные'!$B$10,'Исходные данные'!$B$69),C209&gt;=IF('Исходные данные'!$B$69="",'Исходные данные'!$B$10,'Исходные данные'!$B$69)),(C209-IF('Исходные данные'!$B$69="",'Исходные данные'!$B$10,'Исходные данные'!$B$69)+1)/DAY(C209),1))</f>
        <v>0</v>
      </c>
      <c r="X209">
        <f>IF(OR(B209="",IF('Исходные данные'!$B$76="",'Исходные данные'!$B$10,'Исходные данные'!$B$76)="",C209&lt;IF('Исходные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данные'!$B$76)),1),B209,"m")/12))*IF(AND(B209&lt;=IF('Исходные данные'!$B$76="",'Исходные данные'!$B$10,'Исходные данные'!$B$76),C209&gt;=IF('Исходные данные'!$B$76="",'Исходные данные'!$B$10,'Исходные данные'!$B$76)),(C209-IF('Исходные данные'!$B$76="",'Исходные данные'!$B$10,'Исходные данные'!$B$76)+1)/DAY(C209),1))</f>
        <v>0</v>
      </c>
      <c r="Y209">
        <f t="shared" si="148"/>
        <v>0</v>
      </c>
      <c r="Z209">
        <f>IF(OR(B209="",N('Исходные данные'!$B$19)=0),0,-SUMIFS('Исходные данные'!$I$6:$I$186,'Исходные данные'!$F$6:$F$186,B209)*N('Исходные данные'!$B$17)/N('Исходные данные'!$B$19))</f>
        <v>0</v>
      </c>
      <c r="AA209">
        <f>IF(OR(B209="",N('Исходные данные'!$B$19)=0),0,-SUMIFS('Исходные данные'!$I$6:$I$186,'Исходные данные'!$F$6:$F$186,B209)*N('Исходные данные'!$B$18)/N('Исходные данные'!$B$19))</f>
        <v>0</v>
      </c>
      <c r="AB209">
        <f>IF(OR(B209="",'Исходные данные'!$B$13=""),0,IF(AND(YEAR(B209)=YEAR('Исходные данные'!$B$13),MONTH(B209)=MONTH('Исходные данные'!$B$13)),-N('Исходные данные'!$B$11),0))</f>
        <v>0</v>
      </c>
      <c r="AC209">
        <f>IF(A209=1,-N('Исходные данные'!$B$19)*N('Исходные данные'!$B$72),0)</f>
        <v>0</v>
      </c>
      <c r="AD209">
        <f>IF(OR(B209="",'Исходные данные'!$B$22&lt;&gt;"Да",'Исходные данные'!$B$26=""),0,IF(AND(YEAR(B209)=YEAR('Исходные данные'!$B$26),MONTH(B209)=MONTH('Исходные данные'!$B$26)),N('Исходные данные'!$B$23),0))</f>
        <v>0</v>
      </c>
      <c r="AE209">
        <f t="shared" si="131"/>
        <v>0</v>
      </c>
      <c r="AF209">
        <f>IF(OR('Исходные данные'!$B$22&lt;&gt;"Да",'Исходные данные'!$B$26="",C209&lt;'Исходные данные'!$B$26),0,DATEDIF(DATE(YEAR('Исходные данные'!$B$26),MONTH('Исходные данные'!$B$26),1),B209,"m")+1)</f>
        <v>0</v>
      </c>
      <c r="AG209">
        <f>IF(OR(AF209&lt;1,AF209&gt;N('Исходные данные'!$B$25),AE209+AD209&lt;=0),0,-(AE209+AD209)*N('Исходные данные'!$B$24)*IF(AF209=1,C209-'Исходные данные'!$B$26+1,DAY(C209))/365)</f>
        <v>0</v>
      </c>
      <c r="AH209">
        <f>IF(OR(AF209&lt;1,AF209&gt;N('Исходные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данные'!$B$25)-AG209))</f>
        <v>0</v>
      </c>
      <c r="AI209">
        <f>IF(OR('Исходные данные'!$B$22&lt;&gt;"Да",AE209+AD209&lt;=0),0,IF(AND('Исходные данные'!$B$91&lt;&gt;"",B209&lt;&gt;"",YEAR(B209)=YEAR('Исходные данные'!$B$91),MONTH(B209)=MONTH('Исходные данные'!$B$91)),-(AE209+AD209),IF(OR(AF209&lt;1,AF209&gt;N('Исходные данные'!$B$25)),0,IF('Исходные данные'!$B$27="Равными долями",-MIN(AE209+AD209,N('Исходные данные'!$B$23)/N('Исходные данные'!$B$25)),-MIN(AE209+AD209,IF(AF209=N('Исходные данные'!$B$25),AE209+AD209,MAX(0,AH209+AG209)))))))</f>
        <v>0</v>
      </c>
      <c r="AJ209">
        <f t="shared" si="149"/>
        <v>0</v>
      </c>
      <c r="AK209">
        <f t="shared" si="132"/>
        <v>0</v>
      </c>
      <c r="AL209">
        <f>IF(OR(B209="",'Исходные данные'!$B$51&lt;&gt;"Да",'Исходные данные'!$B$61=""),0,IF(AND(YEAR(B209)=YEAR('Исходные данные'!$B$61),MONTH(B209)=MONTH('Исходные данные'!$B$61)),N('Исходные данные'!$B$18)*N('Исходные данные'!$B$62),0))</f>
        <v>0</v>
      </c>
      <c r="AM209">
        <f t="shared" si="133"/>
        <v>0</v>
      </c>
      <c r="AN209">
        <f t="shared" si="134"/>
        <v>0</v>
      </c>
      <c r="AO209">
        <f t="shared" si="135"/>
        <v>0</v>
      </c>
      <c r="AP209">
        <f>IF('Исходные данные'!$B$51="Да",-MAX(0,AN209-AO209-AM209),0)</f>
        <v>0</v>
      </c>
      <c r="AQ209">
        <f>IF('Исходные данные'!$B$51="Да",MAX(0,AM209+AO209-AN209),0)</f>
        <v>0</v>
      </c>
      <c r="AR209">
        <f>IF('Исходные данные'!$B$53="Выручка",MAX(0,L209+(Q209-R209)+(U209-V209)),IF('Исходные данные'!$B$53="Прибыль до налога",MAX(0,L209+(Q209-R209)+(U209-V209)+N('Исходные данные'!$B$54)*((O209+P209)+(S209+T209)+W209+X209)+IF('Исходные данные'!$B$55="Да",AG209,0)-N('Исходные данные'!$B$56)/12),IF('Исходные данные'!$B$53="Пользовательская база",MAX(0,N('Исходные данные'!$B$57)/12),0)))</f>
        <v>0</v>
      </c>
      <c r="AS209">
        <f>IF(E209=1,-AR209*N('Исходные данные'!$B$50),0)</f>
        <v>0</v>
      </c>
      <c r="AT209">
        <f t="shared" si="136"/>
        <v>0</v>
      </c>
      <c r="AU209">
        <f>IF(OR(B209="",N('Исходные данные'!$B$80)&lt;=0,'Исходные данные'!$B$88=""),0,MAX(0,IF('Исходные данные'!$B$88="Последние 12 месяцев",SUMIFS($Y$2:$Y$194,$B$2:$B$194,"&gt;="&amp;EDATE(B209,-11),$B$2:$B$194,"&lt;="&amp;B209),IF('Исходные данные'!$B$88="Пользовательский NOI",N('Исходные данные'!$B$89),AT209))/N('Исходные данные'!$B$80)*(1+N('Исходные данные'!$B$81))))</f>
        <v>0</v>
      </c>
      <c r="AV209">
        <f>IF(OR(E209&lt;&gt;1,B209="",'Исходные данные'!$B$91=""),0,IF(AND(YEAR(B209)=YEAR('Исходные данные'!$B$91),MONTH(B209)=MONTH('Исходные данные'!$B$91)),AU209,0))</f>
        <v>0</v>
      </c>
      <c r="AW209">
        <f>-AV209*N('Исходные данные'!$B$73)</f>
        <v>0</v>
      </c>
      <c r="AX209">
        <f>IF(AV209=0,0,-N('Исходные данные'!$B$87)-IF('Исходные данные'!$B$82="Да",IF('Исходные данные'!$B$84="С выручки",AV209,IF('Исходные данные'!$B$84="С прибыли",MAX(0,AV209+AW209-IF('Исходные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09">
        <f t="shared" si="150"/>
        <v>0</v>
      </c>
      <c r="AZ209">
        <f t="shared" si="137"/>
        <v>0</v>
      </c>
      <c r="BA209">
        <f t="shared" si="151"/>
        <v>0</v>
      </c>
      <c r="BB209" t="str">
        <f t="shared" si="138"/>
        <v/>
      </c>
      <c r="BC209">
        <f>IF(OR(E209=0,'Исходные данные'!$B$9="",'Исходные данные'!$B$90=""),0,BA209/(1+'Исходные данные'!$B$90)^((D209-'Исходные данные'!$B$9)/365))</f>
        <v>0</v>
      </c>
      <c r="BD209">
        <f>IF(AND(E209=1,BB209&gt;=0,BB208&lt;0,MIN($BB$2:BB209)&lt;0),1,0)</f>
        <v>0</v>
      </c>
      <c r="BE209">
        <f t="shared" si="139"/>
        <v>0</v>
      </c>
      <c r="BF209">
        <f t="shared" si="140"/>
        <v>0</v>
      </c>
      <c r="BG209">
        <f t="shared" si="141"/>
        <v>0</v>
      </c>
      <c r="BH209">
        <f t="shared" si="142"/>
        <v>1</v>
      </c>
      <c r="BI209">
        <f>AZ209+N209+AP209-AR209*N('Исходные данные'!$B$50)</f>
        <v>0</v>
      </c>
      <c r="BJ209">
        <f t="shared" si="143"/>
        <v>0</v>
      </c>
      <c r="BK209">
        <f>IF(AND(BJ209&gt;=0,BJ208&lt;0,MIN($BJ$2:BJ209)&lt;0),1,0)</f>
        <v>0</v>
      </c>
    </row>
    <row r="210" spans="1:63" x14ac:dyDescent="0.2">
      <c r="A210">
        <v>209</v>
      </c>
      <c r="B210" t="str">
        <f>IF('Исходные данные'!$B$9="","",EDATE(DATE(YEAR('Исходные данные'!$B$9),MONTH('Исходные данные'!$B$9),1),A210-1))</f>
        <v/>
      </c>
      <c r="C210" t="str">
        <f t="shared" si="144"/>
        <v/>
      </c>
      <c r="D210" t="str">
        <f>IF(B210="","",IF('Исходные данные'!$B$91&lt;&gt;"",IF(AND(YEAR(B210)=YEAR('Исходные данные'!$B$91),MONTH(B210)=MONTH('Исходные данные'!$B$91)),'Исходные данные'!$B$91,IF('Исходные данные'!$B$13&lt;&gt;"",IF(AND(YEAR(B210)=YEAR('Исходные данные'!$B$13),MONTH(B210)=MONTH('Исходные данные'!$B$13)),'Исходные данные'!$B$13,IF('Исходные данные'!$B$26&lt;&gt;"",IF(AND(YEAR(B210)=YEAR('Исходные данные'!$B$26),MONTH(B210)=MONTH('Исходные данные'!$B$26)),'Исходные данные'!$B$26,IF(A210=1,'Исходные данные'!$B$9,C210)),IF(A210=1,'Исходные данные'!$B$9,C210))),IF('Исходные данные'!$B$26&lt;&gt;"",IF(AND(YEAR(B210)=YEAR('Исходные данные'!$B$26),MONTH(B210)=MONTH('Исходные данные'!$B$26)),'Исходные данные'!$B$26,IF(A210=1,'Исходные данные'!$B$9,C210)),IF(A210=1,'Исходные данные'!$B$9,C210)))),IF('Исходные данные'!$B$13&lt;&gt;"",IF(AND(YEAR(B210)=YEAR('Исходные данные'!$B$13),MONTH(B210)=MONTH('Исходные данные'!$B$13)),'Исходные данные'!$B$13,IF('Исходные данные'!$B$26&lt;&gt;"",IF(AND(YEAR(B210)=YEAR('Исходные данные'!$B$26),MONTH(B210)=MONTH('Исходные данные'!$B$26)),'Исходные данные'!$B$26,IF(A210=1,'Исходные данные'!$B$9,C210)),IF(A210=1,'Исходные данные'!$B$9,C210))),IF('Исходные данные'!$B$26&lt;&gt;"",IF(AND(YEAR(B210)=YEAR('Исходные данные'!$B$26),MONTH(B210)=MONTH('Исходные данные'!$B$26)),'Исходные данные'!$B$26,IF(A210=1,'Исходные данные'!$B$9,C210)),IF(A210=1,'Исходные данные'!$B$9,C210)))))</f>
        <v/>
      </c>
      <c r="E210">
        <f>IF(OR(B210="",'Исходные данные'!$B$91=""),0,--(B210&lt;=DATE(YEAR('Исходные данные'!$B$91),MONTH('Исходные данные'!$B$91),1)))</f>
        <v>0</v>
      </c>
      <c r="F210">
        <f>IF(OR(B210="",'Исходные данные'!$B$30="",C210&lt;'Исходные данные'!$B$30),0,DATEDIF(DATE(YEAR('Исходные данные'!$B$30),MONTH('Исходные данные'!$B$30),1),B210,"m")+1)</f>
        <v>0</v>
      </c>
      <c r="G210">
        <f t="shared" si="145"/>
        <v>0</v>
      </c>
      <c r="H210">
        <f>IF(F210=0,0,IF(G210=1,N('Исходные данные'!$B$31),IF(G210=2,N('Исходные данные'!$B$32),IF(G210=3,N('Исходные данные'!$B$33),N('Исходные данные'!$B$33)*(1+N('Исходные данные'!$B$34))^(G210-3)))))</f>
        <v>0</v>
      </c>
      <c r="I210">
        <f>IF(OR(F210=0,N('Исходные данные'!$B$5)=0,H210=0),0,'Исходные данные'!$B$5*H210*IF(AND(B210&lt;='Исходные данные'!$B$30,C210&gt;='Исходные данные'!$B$30),(C210-'Исходные данные'!$B$30+1)/DAY(C210),1))</f>
        <v>0</v>
      </c>
      <c r="J210">
        <f>IF(AND(F210&gt;0,F210&lt;=N('Исходные данные'!$B$37)),-I210,0)</f>
        <v>0</v>
      </c>
      <c r="K210">
        <f>IF(OR(F210=0,F210&lt;=N('Исходные данные'!$B$37)),0,-(I210+J210)*N('Исходные данные'!$B$38))</f>
        <v>0</v>
      </c>
      <c r="L210">
        <f t="shared" si="146"/>
        <v>0</v>
      </c>
      <c r="M210">
        <f>IF('Исходные данные'!$B$51="Да",L210*N('Исходные данные'!$B$52),0)</f>
        <v>0</v>
      </c>
      <c r="N210">
        <f t="shared" si="147"/>
        <v>0</v>
      </c>
      <c r="O210">
        <f>IF(OR(B210="",IF('Исходные данные'!$B$45="",'Исходные данные'!$B$10,'Исходные данные'!$B$45)="",C210&lt;IF('Исходные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данные'!$B$45)),1),B210,"m")/12))*IF(AND(B210&lt;=IF('Исходные данные'!$B$45="",'Исходные данные'!$B$10,'Исходные данные'!$B$45),C210&gt;=IF('Исходные данные'!$B$45="",'Исходные данные'!$B$10,'Исходные данные'!$B$45)),(C210-IF('Исходные данные'!$B$45="",'Исходные данные'!$B$10,'Исходные данные'!$B$45)+1)/DAY(C210),1)*IF('Исходные данные'!$B$43="Без НДС",1+N('Исходные данные'!$B$44),1))</f>
        <v>0</v>
      </c>
      <c r="P210">
        <f>IF('Исходные данные'!$B$51="Да",-O210*N('Исходные данные'!$B$44)/(1+N('Исходные данные'!$B$44)),0)</f>
        <v>0</v>
      </c>
      <c r="Q210">
        <f>IF('Исходные данные'!$B$35="Да",-O210,0)</f>
        <v>0</v>
      </c>
      <c r="R210">
        <f>IF(AND('Исходные данные'!$B$51="Да",Q210&gt;0),Q210*N('Исходные данные'!$B$52)/(1+N('Исходные данные'!$B$52)),0)</f>
        <v>0</v>
      </c>
      <c r="S210">
        <f>IF(OR(B210="",IF('Исходные данные'!$B$45="",'Исходные данные'!$B$10,'Исходные данные'!$B$45)="",C210&lt;IF('Исходные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данные'!$B$45)),1),B210,"m")/12))*IF(AND(B210&lt;=IF('Исходные данные'!$B$45="",'Исходные данные'!$B$10,'Исходные данные'!$B$45),C210&gt;=IF('Исходные данные'!$B$45="",'Исходные данные'!$B$10,'Исходные данные'!$B$45)),(C210-IF('Исходные данные'!$B$45="",'Исходные данные'!$B$10,'Исходные данные'!$B$45)+1)/DAY(C210),1)*IF('Исходные данные'!$B$43="Без НДС",1+N('Исходные данные'!$B$44),1))</f>
        <v>0</v>
      </c>
      <c r="T210">
        <f>IF('Исходные данные'!$B$51="Да",-S210*N('Исходные данные'!$B$44)/(1+N('Исходные данные'!$B$44)),0)</f>
        <v>0</v>
      </c>
      <c r="U210">
        <f>IF('Исходные данные'!$B$36="Да",-S210,0)</f>
        <v>0</v>
      </c>
      <c r="V210">
        <f>IF(AND('Исходные данные'!$B$51="Да",U210&gt;0),U210*N('Исходные данные'!$B$52)/(1+N('Исходные данные'!$B$52)),0)</f>
        <v>0</v>
      </c>
      <c r="W210">
        <f>IF(OR(B210="",IF('Исходные данные'!$B$69="",'Исходные данные'!$B$10,'Исходные данные'!$B$69)="",C210&lt;IF('Исходные данные'!$B$69="",'Исходные данные'!$B$10,'Исходные данные'!$B$69)),0,-N('Исходные данные'!$B$16)*N('Исходные данные'!$B$68)*N('Исходные данные'!$B$67)/12*IF(AND(B210&lt;=IF('Исходные данные'!$B$69="",'Исходные данные'!$B$10,'Исходные данные'!$B$69),C210&gt;=IF('Исходные данные'!$B$69="",'Исходные данные'!$B$10,'Исходные данные'!$B$69)),(C210-IF('Исходные данные'!$B$69="",'Исходные данные'!$B$10,'Исходные данные'!$B$69)+1)/DAY(C210),1))</f>
        <v>0</v>
      </c>
      <c r="X210">
        <f>IF(OR(B210="",IF('Исходные данные'!$B$76="",'Исходные данные'!$B$10,'Исходные данные'!$B$76)="",C210&lt;IF('Исходные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данные'!$B$76)),1),B210,"m")/12))*IF(AND(B210&lt;=IF('Исходные данные'!$B$76="",'Исходные данные'!$B$10,'Исходные данные'!$B$76),C210&gt;=IF('Исходные данные'!$B$76="",'Исходные данные'!$B$10,'Исходные данные'!$B$76)),(C210-IF('Исходные данные'!$B$76="",'Исходные данные'!$B$10,'Исходные данные'!$B$76)+1)/DAY(C210),1))</f>
        <v>0</v>
      </c>
      <c r="Y210">
        <f t="shared" si="148"/>
        <v>0</v>
      </c>
      <c r="Z210">
        <f>IF(OR(B210="",N('Исходные данные'!$B$19)=0),0,-SUMIFS('Исходные данные'!$I$6:$I$186,'Исходные данные'!$F$6:$F$186,B210)*N('Исходные данные'!$B$17)/N('Исходные данные'!$B$19))</f>
        <v>0</v>
      </c>
      <c r="AA210">
        <f>IF(OR(B210="",N('Исходные данные'!$B$19)=0),0,-SUMIFS('Исходные данные'!$I$6:$I$186,'Исходные данные'!$F$6:$F$186,B210)*N('Исходные данные'!$B$18)/N('Исходные данные'!$B$19))</f>
        <v>0</v>
      </c>
      <c r="AB210">
        <f>IF(OR(B210="",'Исходные данные'!$B$13=""),0,IF(AND(YEAR(B210)=YEAR('Исходные данные'!$B$13),MONTH(B210)=MONTH('Исходные данные'!$B$13)),-N('Исходные данные'!$B$11),0))</f>
        <v>0</v>
      </c>
      <c r="AC210">
        <f>IF(A210=1,-N('Исходные данные'!$B$19)*N('Исходные данные'!$B$72),0)</f>
        <v>0</v>
      </c>
      <c r="AD210">
        <f>IF(OR(B210="",'Исходные данные'!$B$22&lt;&gt;"Да",'Исходные данные'!$B$26=""),0,IF(AND(YEAR(B210)=YEAR('Исходные данные'!$B$26),MONTH(B210)=MONTH('Исходные данные'!$B$26)),N('Исходные данные'!$B$23),0))</f>
        <v>0</v>
      </c>
      <c r="AE210">
        <f t="shared" si="131"/>
        <v>0</v>
      </c>
      <c r="AF210">
        <f>IF(OR('Исходные данные'!$B$22&lt;&gt;"Да",'Исходные данные'!$B$26="",C210&lt;'Исходные данные'!$B$26),0,DATEDIF(DATE(YEAR('Исходные данные'!$B$26),MONTH('Исходные данные'!$B$26),1),B210,"m")+1)</f>
        <v>0</v>
      </c>
      <c r="AG210">
        <f>IF(OR(AF210&lt;1,AF210&gt;N('Исходные данные'!$B$25),AE210+AD210&lt;=0),0,-(AE210+AD210)*N('Исходные данные'!$B$24)*IF(AF210=1,C210-'Исходные данные'!$B$26+1,DAY(C210))/365)</f>
        <v>0</v>
      </c>
      <c r="AH210">
        <f>IF(OR(AF210&lt;1,AF210&gt;N('Исходные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данные'!$B$25)-AG210))</f>
        <v>0</v>
      </c>
      <c r="AI210">
        <f>IF(OR('Исходные данные'!$B$22&lt;&gt;"Да",AE210+AD210&lt;=0),0,IF(AND('Исходные данные'!$B$91&lt;&gt;"",B210&lt;&gt;"",YEAR(B210)=YEAR('Исходные данные'!$B$91),MONTH(B210)=MONTH('Исходные данные'!$B$91)),-(AE210+AD210),IF(OR(AF210&lt;1,AF210&gt;N('Исходные данные'!$B$25)),0,IF('Исходные данные'!$B$27="Равными долями",-MIN(AE210+AD210,N('Исходные данные'!$B$23)/N('Исходные данные'!$B$25)),-MIN(AE210+AD210,IF(AF210=N('Исходные данные'!$B$25),AE210+AD210,MAX(0,AH210+AG210)))))))</f>
        <v>0</v>
      </c>
      <c r="AJ210">
        <f t="shared" si="149"/>
        <v>0</v>
      </c>
      <c r="AK210">
        <f t="shared" si="132"/>
        <v>0</v>
      </c>
      <c r="AL210">
        <f>IF(OR(B210="",'Исходные данные'!$B$51&lt;&gt;"Да",'Исходные данные'!$B$61=""),0,IF(AND(YEAR(B210)=YEAR('Исходные данные'!$B$61),MONTH(B210)=MONTH('Исходные данные'!$B$61)),N('Исходные данные'!$B$18)*N('Исходные данные'!$B$62),0))</f>
        <v>0</v>
      </c>
      <c r="AM210">
        <f t="shared" si="133"/>
        <v>0</v>
      </c>
      <c r="AN210">
        <f t="shared" si="134"/>
        <v>0</v>
      </c>
      <c r="AO210">
        <f t="shared" si="135"/>
        <v>0</v>
      </c>
      <c r="AP210">
        <f>IF('Исходные данные'!$B$51="Да",-MAX(0,AN210-AO210-AM210),0)</f>
        <v>0</v>
      </c>
      <c r="AQ210">
        <f>IF('Исходные данные'!$B$51="Да",MAX(0,AM210+AO210-AN210),0)</f>
        <v>0</v>
      </c>
      <c r="AR210">
        <f>IF('Исходные данные'!$B$53="Выручка",MAX(0,L210+(Q210-R210)+(U210-V210)),IF('Исходные данные'!$B$53="Прибыль до налога",MAX(0,L210+(Q210-R210)+(U210-V210)+N('Исходные данные'!$B$54)*((O210+P210)+(S210+T210)+W210+X210)+IF('Исходные данные'!$B$55="Да",AG210,0)-N('Исходные данные'!$B$56)/12),IF('Исходные данные'!$B$53="Пользовательская база",MAX(0,N('Исходные данные'!$B$57)/12),0)))</f>
        <v>0</v>
      </c>
      <c r="AS210">
        <f>IF(E210=1,-AR210*N('Исходные данные'!$B$50),0)</f>
        <v>0</v>
      </c>
      <c r="AT210">
        <f t="shared" si="136"/>
        <v>0</v>
      </c>
      <c r="AU210">
        <f>IF(OR(B210="",N('Исходные данные'!$B$80)&lt;=0,'Исходные данные'!$B$88=""),0,MAX(0,IF('Исходные данные'!$B$88="Последние 12 месяцев",SUMIFS($Y$2:$Y$194,$B$2:$B$194,"&gt;="&amp;EDATE(B210,-11),$B$2:$B$194,"&lt;="&amp;B210),IF('Исходные данные'!$B$88="Пользовательский NOI",N('Исходные данные'!$B$89),AT210))/N('Исходные данные'!$B$80)*(1+N('Исходные данные'!$B$81))))</f>
        <v>0</v>
      </c>
      <c r="AV210">
        <f>IF(OR(E210&lt;&gt;1,B210="",'Исходные данные'!$B$91=""),0,IF(AND(YEAR(B210)=YEAR('Исходные данные'!$B$91),MONTH(B210)=MONTH('Исходные данные'!$B$91)),AU210,0))</f>
        <v>0</v>
      </c>
      <c r="AW210">
        <f>-AV210*N('Исходные данные'!$B$73)</f>
        <v>0</v>
      </c>
      <c r="AX210">
        <f>IF(AV210=0,0,-N('Исходные данные'!$B$87)-IF('Исходные данные'!$B$82="Да",IF('Исходные данные'!$B$84="С выручки",AV210,IF('Исходные данные'!$B$84="С прибыли",MAX(0,AV210+AW210-IF('Исходные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10">
        <f t="shared" si="150"/>
        <v>0</v>
      </c>
      <c r="AZ210">
        <f t="shared" si="137"/>
        <v>0</v>
      </c>
      <c r="BA210">
        <f t="shared" si="151"/>
        <v>0</v>
      </c>
      <c r="BB210" t="str">
        <f t="shared" si="138"/>
        <v/>
      </c>
      <c r="BC210">
        <f>IF(OR(E210=0,'Исходные данные'!$B$9="",'Исходные данные'!$B$90=""),0,BA210/(1+'Исходные данные'!$B$90)^((D210-'Исходные данные'!$B$9)/365))</f>
        <v>0</v>
      </c>
      <c r="BD210">
        <f>IF(AND(E210=1,BB210&gt;=0,BB209&lt;0,MIN($BB$2:BB210)&lt;0),1,0)</f>
        <v>0</v>
      </c>
      <c r="BE210">
        <f t="shared" si="139"/>
        <v>0</v>
      </c>
      <c r="BF210">
        <f t="shared" si="140"/>
        <v>0</v>
      </c>
      <c r="BG210">
        <f t="shared" si="141"/>
        <v>0</v>
      </c>
      <c r="BH210">
        <f t="shared" si="142"/>
        <v>1</v>
      </c>
      <c r="BI210">
        <f>AZ210+N210+AP210-AR210*N('Исходные данные'!$B$50)</f>
        <v>0</v>
      </c>
      <c r="BJ210">
        <f t="shared" si="143"/>
        <v>0</v>
      </c>
      <c r="BK210">
        <f>IF(AND(BJ210&gt;=0,BJ209&lt;0,MIN($BJ$2:BJ210)&lt;0),1,0)</f>
        <v>0</v>
      </c>
    </row>
    <row r="211" spans="1:63" x14ac:dyDescent="0.2">
      <c r="A211">
        <v>210</v>
      </c>
      <c r="B211" t="str">
        <f>IF('Исходные данные'!$B$9="","",EDATE(DATE(YEAR('Исходные данные'!$B$9),MONTH('Исходные данные'!$B$9),1),A211-1))</f>
        <v/>
      </c>
      <c r="C211" t="str">
        <f t="shared" si="144"/>
        <v/>
      </c>
      <c r="D211" t="str">
        <f>IF(B211="","",IF('Исходные данные'!$B$91&lt;&gt;"",IF(AND(YEAR(B211)=YEAR('Исходные данные'!$B$91),MONTH(B211)=MONTH('Исходные данные'!$B$91)),'Исходные данные'!$B$91,IF('Исходные данные'!$B$13&lt;&gt;"",IF(AND(YEAR(B211)=YEAR('Исходные данные'!$B$13),MONTH(B211)=MONTH('Исходные данные'!$B$13)),'Исходные данные'!$B$13,IF('Исходные данные'!$B$26&lt;&gt;"",IF(AND(YEAR(B211)=YEAR('Исходные данные'!$B$26),MONTH(B211)=MONTH('Исходные данные'!$B$26)),'Исходные данные'!$B$26,IF(A211=1,'Исходные данные'!$B$9,C211)),IF(A211=1,'Исходные данные'!$B$9,C211))),IF('Исходные данные'!$B$26&lt;&gt;"",IF(AND(YEAR(B211)=YEAR('Исходные данные'!$B$26),MONTH(B211)=MONTH('Исходные данные'!$B$26)),'Исходные данные'!$B$26,IF(A211=1,'Исходные данные'!$B$9,C211)),IF(A211=1,'Исходные данные'!$B$9,C211)))),IF('Исходные данные'!$B$13&lt;&gt;"",IF(AND(YEAR(B211)=YEAR('Исходные данные'!$B$13),MONTH(B211)=MONTH('Исходные данные'!$B$13)),'Исходные данные'!$B$13,IF('Исходные данные'!$B$26&lt;&gt;"",IF(AND(YEAR(B211)=YEAR('Исходные данные'!$B$26),MONTH(B211)=MONTH('Исходные данные'!$B$26)),'Исходные данные'!$B$26,IF(A211=1,'Исходные данные'!$B$9,C211)),IF(A211=1,'Исходные данные'!$B$9,C211))),IF('Исходные данные'!$B$26&lt;&gt;"",IF(AND(YEAR(B211)=YEAR('Исходные данные'!$B$26),MONTH(B211)=MONTH('Исходные данные'!$B$26)),'Исходные данные'!$B$26,IF(A211=1,'Исходные данные'!$B$9,C211)),IF(A211=1,'Исходные данные'!$B$9,C211)))))</f>
        <v/>
      </c>
      <c r="E211">
        <f>IF(OR(B211="",'Исходные данные'!$B$91=""),0,--(B211&lt;=DATE(YEAR('Исходные данные'!$B$91),MONTH('Исходные данные'!$B$91),1)))</f>
        <v>0</v>
      </c>
      <c r="F211">
        <f>IF(OR(B211="",'Исходные данные'!$B$30="",C211&lt;'Исходные данные'!$B$30),0,DATEDIF(DATE(YEAR('Исходные данные'!$B$30),MONTH('Исходные данные'!$B$30),1),B211,"m")+1)</f>
        <v>0</v>
      </c>
      <c r="G211">
        <f t="shared" si="145"/>
        <v>0</v>
      </c>
      <c r="H211">
        <f>IF(F211=0,0,IF(G211=1,N('Исходные данные'!$B$31),IF(G211=2,N('Исходные данные'!$B$32),IF(G211=3,N('Исходные данные'!$B$33),N('Исходные данные'!$B$33)*(1+N('Исходные данные'!$B$34))^(G211-3)))))</f>
        <v>0</v>
      </c>
      <c r="I211">
        <f>IF(OR(F211=0,N('Исходные данные'!$B$5)=0,H211=0),0,'Исходные данные'!$B$5*H211*IF(AND(B211&lt;='Исходные данные'!$B$30,C211&gt;='Исходные данные'!$B$30),(C211-'Исходные данные'!$B$30+1)/DAY(C211),1))</f>
        <v>0</v>
      </c>
      <c r="J211">
        <f>IF(AND(F211&gt;0,F211&lt;=N('Исходные данные'!$B$37)),-I211,0)</f>
        <v>0</v>
      </c>
      <c r="K211">
        <f>IF(OR(F211=0,F211&lt;=N('Исходные данные'!$B$37)),0,-(I211+J211)*N('Исходные данные'!$B$38))</f>
        <v>0</v>
      </c>
      <c r="L211">
        <f t="shared" si="146"/>
        <v>0</v>
      </c>
      <c r="M211">
        <f>IF('Исходные данные'!$B$51="Да",L211*N('Исходные данные'!$B$52),0)</f>
        <v>0</v>
      </c>
      <c r="N211">
        <f t="shared" si="147"/>
        <v>0</v>
      </c>
      <c r="O211">
        <f>IF(OR(B211="",IF('Исходные данные'!$B$45="",'Исходные данные'!$B$10,'Исходные данные'!$B$45)="",C211&lt;IF('Исходные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данные'!$B$45)),1),B211,"m")/12))*IF(AND(B211&lt;=IF('Исходные данные'!$B$45="",'Исходные данные'!$B$10,'Исходные данные'!$B$45),C211&gt;=IF('Исходные данные'!$B$45="",'Исходные данные'!$B$10,'Исходные данные'!$B$45)),(C211-IF('Исходные данные'!$B$45="",'Исходные данные'!$B$10,'Исходные данные'!$B$45)+1)/DAY(C211),1)*IF('Исходные данные'!$B$43="Без НДС",1+N('Исходные данные'!$B$44),1))</f>
        <v>0</v>
      </c>
      <c r="P211">
        <f>IF('Исходные данные'!$B$51="Да",-O211*N('Исходные данные'!$B$44)/(1+N('Исходные данные'!$B$44)),0)</f>
        <v>0</v>
      </c>
      <c r="Q211">
        <f>IF('Исходные данные'!$B$35="Да",-O211,0)</f>
        <v>0</v>
      </c>
      <c r="R211">
        <f>IF(AND('Исходные данные'!$B$51="Да",Q211&gt;0),Q211*N('Исходные данные'!$B$52)/(1+N('Исходные данные'!$B$52)),0)</f>
        <v>0</v>
      </c>
      <c r="S211">
        <f>IF(OR(B211="",IF('Исходные данные'!$B$45="",'Исходные данные'!$B$10,'Исходные данные'!$B$45)="",C211&lt;IF('Исходные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данные'!$B$45)),1),B211,"m")/12))*IF(AND(B211&lt;=IF('Исходные данные'!$B$45="",'Исходные данные'!$B$10,'Исходные данные'!$B$45),C211&gt;=IF('Исходные данные'!$B$45="",'Исходные данные'!$B$10,'Исходные данные'!$B$45)),(C211-IF('Исходные данные'!$B$45="",'Исходные данные'!$B$10,'Исходные данные'!$B$45)+1)/DAY(C211),1)*IF('Исходные данные'!$B$43="Без НДС",1+N('Исходные данные'!$B$44),1))</f>
        <v>0</v>
      </c>
      <c r="T211">
        <f>IF('Исходные данные'!$B$51="Да",-S211*N('Исходные данные'!$B$44)/(1+N('Исходные данные'!$B$44)),0)</f>
        <v>0</v>
      </c>
      <c r="U211">
        <f>IF('Исходные данные'!$B$36="Да",-S211,0)</f>
        <v>0</v>
      </c>
      <c r="V211">
        <f>IF(AND('Исходные данные'!$B$51="Да",U211&gt;0),U211*N('Исходные данные'!$B$52)/(1+N('Исходные данные'!$B$52)),0)</f>
        <v>0</v>
      </c>
      <c r="W211">
        <f>IF(OR(B211="",IF('Исходные данные'!$B$69="",'Исходные данные'!$B$10,'Исходные данные'!$B$69)="",C211&lt;IF('Исходные данные'!$B$69="",'Исходные данные'!$B$10,'Исходные данные'!$B$69)),0,-N('Исходные данные'!$B$16)*N('Исходные данные'!$B$68)*N('Исходные данные'!$B$67)/12*IF(AND(B211&lt;=IF('Исходные данные'!$B$69="",'Исходные данные'!$B$10,'Исходные данные'!$B$69),C211&gt;=IF('Исходные данные'!$B$69="",'Исходные данные'!$B$10,'Исходные данные'!$B$69)),(C211-IF('Исходные данные'!$B$69="",'Исходные данные'!$B$10,'Исходные данные'!$B$69)+1)/DAY(C211),1))</f>
        <v>0</v>
      </c>
      <c r="X211">
        <f>IF(OR(B211="",IF('Исходные данные'!$B$76="",'Исходные данные'!$B$10,'Исходные данные'!$B$76)="",C211&lt;IF('Исходные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данные'!$B$76)),1),B211,"m")/12))*IF(AND(B211&lt;=IF('Исходные данные'!$B$76="",'Исходные данные'!$B$10,'Исходные данные'!$B$76),C211&gt;=IF('Исходные данные'!$B$76="",'Исходные данные'!$B$10,'Исходные данные'!$B$76)),(C211-IF('Исходные данные'!$B$76="",'Исходные данные'!$B$10,'Исходные данные'!$B$76)+1)/DAY(C211),1))</f>
        <v>0</v>
      </c>
      <c r="Y211">
        <f t="shared" si="148"/>
        <v>0</v>
      </c>
      <c r="Z211">
        <f>IF(OR(B211="",N('Исходные данные'!$B$19)=0),0,-SUMIFS('Исходные данные'!$I$6:$I$186,'Исходные данные'!$F$6:$F$186,B211)*N('Исходные данные'!$B$17)/N('Исходные данные'!$B$19))</f>
        <v>0</v>
      </c>
      <c r="AA211">
        <f>IF(OR(B211="",N('Исходные данные'!$B$19)=0),0,-SUMIFS('Исходные данные'!$I$6:$I$186,'Исходные данные'!$F$6:$F$186,B211)*N('Исходные данные'!$B$18)/N('Исходные данные'!$B$19))</f>
        <v>0</v>
      </c>
      <c r="AB211">
        <f>IF(OR(B211="",'Исходные данные'!$B$13=""),0,IF(AND(YEAR(B211)=YEAR('Исходные данные'!$B$13),MONTH(B211)=MONTH('Исходные данные'!$B$13)),-N('Исходные данные'!$B$11),0))</f>
        <v>0</v>
      </c>
      <c r="AC211">
        <f>IF(A211=1,-N('Исходные данные'!$B$19)*N('Исходные данные'!$B$72),0)</f>
        <v>0</v>
      </c>
      <c r="AD211">
        <f>IF(OR(B211="",'Исходные данные'!$B$22&lt;&gt;"Да",'Исходные данные'!$B$26=""),0,IF(AND(YEAR(B211)=YEAR('Исходные данные'!$B$26),MONTH(B211)=MONTH('Исходные данные'!$B$26)),N('Исходные данные'!$B$23),0))</f>
        <v>0</v>
      </c>
      <c r="AE211">
        <f t="shared" si="131"/>
        <v>0</v>
      </c>
      <c r="AF211">
        <f>IF(OR('Исходные данные'!$B$22&lt;&gt;"Да",'Исходные данные'!$B$26="",C211&lt;'Исходные данные'!$B$26),0,DATEDIF(DATE(YEAR('Исходные данные'!$B$26),MONTH('Исходные данные'!$B$26),1),B211,"m")+1)</f>
        <v>0</v>
      </c>
      <c r="AG211">
        <f>IF(OR(AF211&lt;1,AF211&gt;N('Исходные данные'!$B$25),AE211+AD211&lt;=0),0,-(AE211+AD211)*N('Исходные данные'!$B$24)*IF(AF211=1,C211-'Исходные данные'!$B$26+1,DAY(C211))/365)</f>
        <v>0</v>
      </c>
      <c r="AH211">
        <f>IF(OR(AF211&lt;1,AF211&gt;N('Исходные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данные'!$B$25)-AG211))</f>
        <v>0</v>
      </c>
      <c r="AI211">
        <f>IF(OR('Исходные данные'!$B$22&lt;&gt;"Да",AE211+AD211&lt;=0),0,IF(AND('Исходные данные'!$B$91&lt;&gt;"",B211&lt;&gt;"",YEAR(B211)=YEAR('Исходные данные'!$B$91),MONTH(B211)=MONTH('Исходные данные'!$B$91)),-(AE211+AD211),IF(OR(AF211&lt;1,AF211&gt;N('Исходные данные'!$B$25)),0,IF('Исходные данные'!$B$27="Равными долями",-MIN(AE211+AD211,N('Исходные данные'!$B$23)/N('Исходные данные'!$B$25)),-MIN(AE211+AD211,IF(AF211=N('Исходные данные'!$B$25),AE211+AD211,MAX(0,AH211+AG211)))))))</f>
        <v>0</v>
      </c>
      <c r="AJ211">
        <f t="shared" si="149"/>
        <v>0</v>
      </c>
      <c r="AK211">
        <f t="shared" si="132"/>
        <v>0</v>
      </c>
      <c r="AL211">
        <f>IF(OR(B211="",'Исходные данные'!$B$51&lt;&gt;"Да",'Исходные данные'!$B$61=""),0,IF(AND(YEAR(B211)=YEAR('Исходные данные'!$B$61),MONTH(B211)=MONTH('Исходные данные'!$B$61)),N('Исходные данные'!$B$18)*N('Исходные данные'!$B$62),0))</f>
        <v>0</v>
      </c>
      <c r="AM211">
        <f t="shared" si="133"/>
        <v>0</v>
      </c>
      <c r="AN211">
        <f t="shared" si="134"/>
        <v>0</v>
      </c>
      <c r="AO211">
        <f t="shared" si="135"/>
        <v>0</v>
      </c>
      <c r="AP211">
        <f>IF('Исходные данные'!$B$51="Да",-MAX(0,AN211-AO211-AM211),0)</f>
        <v>0</v>
      </c>
      <c r="AQ211">
        <f>IF('Исходные данные'!$B$51="Да",MAX(0,AM211+AO211-AN211),0)</f>
        <v>0</v>
      </c>
      <c r="AR211">
        <f>IF('Исходные данные'!$B$53="Выручка",MAX(0,L211+(Q211-R211)+(U211-V211)),IF('Исходные данные'!$B$53="Прибыль до налога",MAX(0,L211+(Q211-R211)+(U211-V211)+N('Исходные данные'!$B$54)*((O211+P211)+(S211+T211)+W211+X211)+IF('Исходные данные'!$B$55="Да",AG211,0)-N('Исходные данные'!$B$56)/12),IF('Исходные данные'!$B$53="Пользовательская база",MAX(0,N('Исходные данные'!$B$57)/12),0)))</f>
        <v>0</v>
      </c>
      <c r="AS211">
        <f>IF(E211=1,-AR211*N('Исходные данные'!$B$50),0)</f>
        <v>0</v>
      </c>
      <c r="AT211">
        <f t="shared" si="136"/>
        <v>0</v>
      </c>
      <c r="AU211">
        <f>IF(OR(B211="",N('Исходные данные'!$B$80)&lt;=0,'Исходные данные'!$B$88=""),0,MAX(0,IF('Исходные данные'!$B$88="Последние 12 месяцев",SUMIFS($Y$2:$Y$194,$B$2:$B$194,"&gt;="&amp;EDATE(B211,-11),$B$2:$B$194,"&lt;="&amp;B211),IF('Исходные данные'!$B$88="Пользовательский NOI",N('Исходные данные'!$B$89),AT211))/N('Исходные данные'!$B$80)*(1+N('Исходные данные'!$B$81))))</f>
        <v>0</v>
      </c>
      <c r="AV211">
        <f>IF(OR(E211&lt;&gt;1,B211="",'Исходные данные'!$B$91=""),0,IF(AND(YEAR(B211)=YEAR('Исходные данные'!$B$91),MONTH(B211)=MONTH('Исходные данные'!$B$91)),AU211,0))</f>
        <v>0</v>
      </c>
      <c r="AW211">
        <f>-AV211*N('Исходные данные'!$B$73)</f>
        <v>0</v>
      </c>
      <c r="AX211">
        <f>IF(AV211=0,0,-N('Исходные данные'!$B$87)-IF('Исходные данные'!$B$82="Да",IF('Исходные данные'!$B$84="С выручки",AV211,IF('Исходные данные'!$B$84="С прибыли",MAX(0,AV211+AW211-IF('Исходные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11">
        <f t="shared" si="150"/>
        <v>0</v>
      </c>
      <c r="AZ211">
        <f t="shared" si="137"/>
        <v>0</v>
      </c>
      <c r="BA211">
        <f t="shared" si="151"/>
        <v>0</v>
      </c>
      <c r="BB211" t="str">
        <f t="shared" si="138"/>
        <v/>
      </c>
      <c r="BC211">
        <f>IF(OR(E211=0,'Исходные данные'!$B$9="",'Исходные данные'!$B$90=""),0,BA211/(1+'Исходные данные'!$B$90)^((D211-'Исходные данные'!$B$9)/365))</f>
        <v>0</v>
      </c>
      <c r="BD211">
        <f>IF(AND(E211=1,BB211&gt;=0,BB210&lt;0,MIN($BB$2:BB211)&lt;0),1,0)</f>
        <v>0</v>
      </c>
      <c r="BE211">
        <f t="shared" si="139"/>
        <v>0</v>
      </c>
      <c r="BF211">
        <f t="shared" si="140"/>
        <v>0</v>
      </c>
      <c r="BG211">
        <f t="shared" si="141"/>
        <v>0</v>
      </c>
      <c r="BH211">
        <f t="shared" si="142"/>
        <v>1</v>
      </c>
      <c r="BI211">
        <f>AZ211+N211+AP211-AR211*N('Исходные данные'!$B$50)</f>
        <v>0</v>
      </c>
      <c r="BJ211">
        <f t="shared" si="143"/>
        <v>0</v>
      </c>
      <c r="BK211">
        <f>IF(AND(BJ211&gt;=0,BJ210&lt;0,MIN($BJ$2:BJ211)&lt;0),1,0)</f>
        <v>0</v>
      </c>
    </row>
    <row r="212" spans="1:63" x14ac:dyDescent="0.2">
      <c r="A212">
        <v>211</v>
      </c>
      <c r="B212" t="str">
        <f>IF('Исходные данные'!$B$9="","",EDATE(DATE(YEAR('Исходные данные'!$B$9),MONTH('Исходные данные'!$B$9),1),A212-1))</f>
        <v/>
      </c>
      <c r="C212" t="str">
        <f t="shared" si="144"/>
        <v/>
      </c>
      <c r="D212" t="str">
        <f>IF(B212="","",IF('Исходные данные'!$B$91&lt;&gt;"",IF(AND(YEAR(B212)=YEAR('Исходные данные'!$B$91),MONTH(B212)=MONTH('Исходные данные'!$B$91)),'Исходные данные'!$B$91,IF('Исходные данные'!$B$13&lt;&gt;"",IF(AND(YEAR(B212)=YEAR('Исходные данные'!$B$13),MONTH(B212)=MONTH('Исходные данные'!$B$13)),'Исходные данные'!$B$13,IF('Исходные данные'!$B$26&lt;&gt;"",IF(AND(YEAR(B212)=YEAR('Исходные данные'!$B$26),MONTH(B212)=MONTH('Исходные данные'!$B$26)),'Исходные данные'!$B$26,IF(A212=1,'Исходные данные'!$B$9,C212)),IF(A212=1,'Исходные данные'!$B$9,C212))),IF('Исходные данные'!$B$26&lt;&gt;"",IF(AND(YEAR(B212)=YEAR('Исходные данные'!$B$26),MONTH(B212)=MONTH('Исходные данные'!$B$26)),'Исходные данные'!$B$26,IF(A212=1,'Исходные данные'!$B$9,C212)),IF(A212=1,'Исходные данные'!$B$9,C212)))),IF('Исходные данные'!$B$13&lt;&gt;"",IF(AND(YEAR(B212)=YEAR('Исходные данные'!$B$13),MONTH(B212)=MONTH('Исходные данные'!$B$13)),'Исходные данные'!$B$13,IF('Исходные данные'!$B$26&lt;&gt;"",IF(AND(YEAR(B212)=YEAR('Исходные данные'!$B$26),MONTH(B212)=MONTH('Исходные данные'!$B$26)),'Исходные данные'!$B$26,IF(A212=1,'Исходные данные'!$B$9,C212)),IF(A212=1,'Исходные данные'!$B$9,C212))),IF('Исходные данные'!$B$26&lt;&gt;"",IF(AND(YEAR(B212)=YEAR('Исходные данные'!$B$26),MONTH(B212)=MONTH('Исходные данные'!$B$26)),'Исходные данные'!$B$26,IF(A212=1,'Исходные данные'!$B$9,C212)),IF(A212=1,'Исходные данные'!$B$9,C212)))))</f>
        <v/>
      </c>
      <c r="E212">
        <f>IF(OR(B212="",'Исходные данные'!$B$91=""),0,--(B212&lt;=DATE(YEAR('Исходные данные'!$B$91),MONTH('Исходные данные'!$B$91),1)))</f>
        <v>0</v>
      </c>
      <c r="F212">
        <f>IF(OR(B212="",'Исходные данные'!$B$30="",C212&lt;'Исходные данные'!$B$30),0,DATEDIF(DATE(YEAR('Исходные данные'!$B$30),MONTH('Исходные данные'!$B$30),1),B212,"m")+1)</f>
        <v>0</v>
      </c>
      <c r="G212">
        <f t="shared" si="145"/>
        <v>0</v>
      </c>
      <c r="H212">
        <f>IF(F212=0,0,IF(G212=1,N('Исходные данные'!$B$31),IF(G212=2,N('Исходные данные'!$B$32),IF(G212=3,N('Исходные данные'!$B$33),N('Исходные данные'!$B$33)*(1+N('Исходные данные'!$B$34))^(G212-3)))))</f>
        <v>0</v>
      </c>
      <c r="I212">
        <f>IF(OR(F212=0,N('Исходные данные'!$B$5)=0,H212=0),0,'Исходные данные'!$B$5*H212*IF(AND(B212&lt;='Исходные данные'!$B$30,C212&gt;='Исходные данные'!$B$30),(C212-'Исходные данные'!$B$30+1)/DAY(C212),1))</f>
        <v>0</v>
      </c>
      <c r="J212">
        <f>IF(AND(F212&gt;0,F212&lt;=N('Исходные данные'!$B$37)),-I212,0)</f>
        <v>0</v>
      </c>
      <c r="K212">
        <f>IF(OR(F212=0,F212&lt;=N('Исходные данные'!$B$37)),0,-(I212+J212)*N('Исходные данные'!$B$38))</f>
        <v>0</v>
      </c>
      <c r="L212">
        <f t="shared" si="146"/>
        <v>0</v>
      </c>
      <c r="M212">
        <f>IF('Исходные данные'!$B$51="Да",L212*N('Исходные данные'!$B$52),0)</f>
        <v>0</v>
      </c>
      <c r="N212">
        <f t="shared" si="147"/>
        <v>0</v>
      </c>
      <c r="O212">
        <f>IF(OR(B212="",IF('Исходные данные'!$B$45="",'Исходные данные'!$B$10,'Исходные данные'!$B$45)="",C212&lt;IF('Исходные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данные'!$B$45)),1),B212,"m")/12))*IF(AND(B212&lt;=IF('Исходные данные'!$B$45="",'Исходные данные'!$B$10,'Исходные данные'!$B$45),C212&gt;=IF('Исходные данные'!$B$45="",'Исходные данные'!$B$10,'Исходные данные'!$B$45)),(C212-IF('Исходные данные'!$B$45="",'Исходные данные'!$B$10,'Исходные данные'!$B$45)+1)/DAY(C212),1)*IF('Исходные данные'!$B$43="Без НДС",1+N('Исходные данные'!$B$44),1))</f>
        <v>0</v>
      </c>
      <c r="P212">
        <f>IF('Исходные данные'!$B$51="Да",-O212*N('Исходные данные'!$B$44)/(1+N('Исходные данные'!$B$44)),0)</f>
        <v>0</v>
      </c>
      <c r="Q212">
        <f>IF('Исходные данные'!$B$35="Да",-O212,0)</f>
        <v>0</v>
      </c>
      <c r="R212">
        <f>IF(AND('Исходные данные'!$B$51="Да",Q212&gt;0),Q212*N('Исходные данные'!$B$52)/(1+N('Исходные данные'!$B$52)),0)</f>
        <v>0</v>
      </c>
      <c r="S212">
        <f>IF(OR(B212="",IF('Исходные данные'!$B$45="",'Исходные данные'!$B$10,'Исходные данные'!$B$45)="",C212&lt;IF('Исходные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данные'!$B$45)),1),B212,"m")/12))*IF(AND(B212&lt;=IF('Исходные данные'!$B$45="",'Исходные данные'!$B$10,'Исходные данные'!$B$45),C212&gt;=IF('Исходные данные'!$B$45="",'Исходные данные'!$B$10,'Исходные данные'!$B$45)),(C212-IF('Исходные данные'!$B$45="",'Исходные данные'!$B$10,'Исходные данные'!$B$45)+1)/DAY(C212),1)*IF('Исходные данные'!$B$43="Без НДС",1+N('Исходные данные'!$B$44),1))</f>
        <v>0</v>
      </c>
      <c r="T212">
        <f>IF('Исходные данные'!$B$51="Да",-S212*N('Исходные данные'!$B$44)/(1+N('Исходные данные'!$B$44)),0)</f>
        <v>0</v>
      </c>
      <c r="U212">
        <f>IF('Исходные данные'!$B$36="Да",-S212,0)</f>
        <v>0</v>
      </c>
      <c r="V212">
        <f>IF(AND('Исходные данные'!$B$51="Да",U212&gt;0),U212*N('Исходные данные'!$B$52)/(1+N('Исходные данные'!$B$52)),0)</f>
        <v>0</v>
      </c>
      <c r="W212">
        <f>IF(OR(B212="",IF('Исходные данные'!$B$69="",'Исходные данные'!$B$10,'Исходные данные'!$B$69)="",C212&lt;IF('Исходные данные'!$B$69="",'Исходные данные'!$B$10,'Исходные данные'!$B$69)),0,-N('Исходные данные'!$B$16)*N('Исходные данные'!$B$68)*N('Исходные данные'!$B$67)/12*IF(AND(B212&lt;=IF('Исходные данные'!$B$69="",'Исходные данные'!$B$10,'Исходные данные'!$B$69),C212&gt;=IF('Исходные данные'!$B$69="",'Исходные данные'!$B$10,'Исходные данные'!$B$69)),(C212-IF('Исходные данные'!$B$69="",'Исходные данные'!$B$10,'Исходные данные'!$B$69)+1)/DAY(C212),1))</f>
        <v>0</v>
      </c>
      <c r="X212">
        <f>IF(OR(B212="",IF('Исходные данные'!$B$76="",'Исходные данные'!$B$10,'Исходные данные'!$B$76)="",C212&lt;IF('Исходные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данные'!$B$76)),1),B212,"m")/12))*IF(AND(B212&lt;=IF('Исходные данные'!$B$76="",'Исходные данные'!$B$10,'Исходные данные'!$B$76),C212&gt;=IF('Исходные данные'!$B$76="",'Исходные данные'!$B$10,'Исходные данные'!$B$76)),(C212-IF('Исходные данные'!$B$76="",'Исходные данные'!$B$10,'Исходные данные'!$B$76)+1)/DAY(C212),1))</f>
        <v>0</v>
      </c>
      <c r="Y212">
        <f t="shared" si="148"/>
        <v>0</v>
      </c>
      <c r="Z212">
        <f>IF(OR(B212="",N('Исходные данные'!$B$19)=0),0,-SUMIFS('Исходные данные'!$I$6:$I$186,'Исходные данные'!$F$6:$F$186,B212)*N('Исходные данные'!$B$17)/N('Исходные данные'!$B$19))</f>
        <v>0</v>
      </c>
      <c r="AA212">
        <f>IF(OR(B212="",N('Исходные данные'!$B$19)=0),0,-SUMIFS('Исходные данные'!$I$6:$I$186,'Исходные данные'!$F$6:$F$186,B212)*N('Исходные данные'!$B$18)/N('Исходные данные'!$B$19))</f>
        <v>0</v>
      </c>
      <c r="AB212">
        <f>IF(OR(B212="",'Исходные данные'!$B$13=""),0,IF(AND(YEAR(B212)=YEAR('Исходные данные'!$B$13),MONTH(B212)=MONTH('Исходные данные'!$B$13)),-N('Исходные данные'!$B$11),0))</f>
        <v>0</v>
      </c>
      <c r="AC212">
        <f>IF(A212=1,-N('Исходные данные'!$B$19)*N('Исходные данные'!$B$72),0)</f>
        <v>0</v>
      </c>
      <c r="AD212">
        <f>IF(OR(B212="",'Исходные данные'!$B$22&lt;&gt;"Да",'Исходные данные'!$B$26=""),0,IF(AND(YEAR(B212)=YEAR('Исходные данные'!$B$26),MONTH(B212)=MONTH('Исходные данные'!$B$26)),N('Исходные данные'!$B$23),0))</f>
        <v>0</v>
      </c>
      <c r="AE212">
        <f t="shared" si="131"/>
        <v>0</v>
      </c>
      <c r="AF212">
        <f>IF(OR('Исходные данные'!$B$22&lt;&gt;"Да",'Исходные данные'!$B$26="",C212&lt;'Исходные данные'!$B$26),0,DATEDIF(DATE(YEAR('Исходные данные'!$B$26),MONTH('Исходные данные'!$B$26),1),B212,"m")+1)</f>
        <v>0</v>
      </c>
      <c r="AG212">
        <f>IF(OR(AF212&lt;1,AF212&gt;N('Исходные данные'!$B$25),AE212+AD212&lt;=0),0,-(AE212+AD212)*N('Исходные данные'!$B$24)*IF(AF212=1,C212-'Исходные данные'!$B$26+1,DAY(C212))/365)</f>
        <v>0</v>
      </c>
      <c r="AH212">
        <f>IF(OR(AF212&lt;1,AF212&gt;N('Исходные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данные'!$B$25)-AG212))</f>
        <v>0</v>
      </c>
      <c r="AI212">
        <f>IF(OR('Исходные данные'!$B$22&lt;&gt;"Да",AE212+AD212&lt;=0),0,IF(AND('Исходные данные'!$B$91&lt;&gt;"",B212&lt;&gt;"",YEAR(B212)=YEAR('Исходные данные'!$B$91),MONTH(B212)=MONTH('Исходные данные'!$B$91)),-(AE212+AD212),IF(OR(AF212&lt;1,AF212&gt;N('Исходные данные'!$B$25)),0,IF('Исходные данные'!$B$27="Равными долями",-MIN(AE212+AD212,N('Исходные данные'!$B$23)/N('Исходные данные'!$B$25)),-MIN(AE212+AD212,IF(AF212=N('Исходные данные'!$B$25),AE212+AD212,MAX(0,AH212+AG212)))))))</f>
        <v>0</v>
      </c>
      <c r="AJ212">
        <f t="shared" si="149"/>
        <v>0</v>
      </c>
      <c r="AK212">
        <f t="shared" si="132"/>
        <v>0</v>
      </c>
      <c r="AL212">
        <f>IF(OR(B212="",'Исходные данные'!$B$51&lt;&gt;"Да",'Исходные данные'!$B$61=""),0,IF(AND(YEAR(B212)=YEAR('Исходные данные'!$B$61),MONTH(B212)=MONTH('Исходные данные'!$B$61)),N('Исходные данные'!$B$18)*N('Исходные данные'!$B$62),0))</f>
        <v>0</v>
      </c>
      <c r="AM212">
        <f t="shared" si="133"/>
        <v>0</v>
      </c>
      <c r="AN212">
        <f t="shared" si="134"/>
        <v>0</v>
      </c>
      <c r="AO212">
        <f t="shared" si="135"/>
        <v>0</v>
      </c>
      <c r="AP212">
        <f>IF('Исходные данные'!$B$51="Да",-MAX(0,AN212-AO212-AM212),0)</f>
        <v>0</v>
      </c>
      <c r="AQ212">
        <f>IF('Исходные данные'!$B$51="Да",MAX(0,AM212+AO212-AN212),0)</f>
        <v>0</v>
      </c>
      <c r="AR212">
        <f>IF('Исходные данные'!$B$53="Выручка",MAX(0,L212+(Q212-R212)+(U212-V212)),IF('Исходные данные'!$B$53="Прибыль до налога",MAX(0,L212+(Q212-R212)+(U212-V212)+N('Исходные данные'!$B$54)*((O212+P212)+(S212+T212)+W212+X212)+IF('Исходные данные'!$B$55="Да",AG212,0)-N('Исходные данные'!$B$56)/12),IF('Исходные данные'!$B$53="Пользовательская база",MAX(0,N('Исходные данные'!$B$57)/12),0)))</f>
        <v>0</v>
      </c>
      <c r="AS212">
        <f>IF(E212=1,-AR212*N('Исходные данные'!$B$50),0)</f>
        <v>0</v>
      </c>
      <c r="AT212">
        <f t="shared" si="136"/>
        <v>0</v>
      </c>
      <c r="AU212">
        <f>IF(OR(B212="",N('Исходные данные'!$B$80)&lt;=0,'Исходные данные'!$B$88=""),0,MAX(0,IF('Исходные данные'!$B$88="Последние 12 месяцев",SUMIFS($Y$2:$Y$194,$B$2:$B$194,"&gt;="&amp;EDATE(B212,-11),$B$2:$B$194,"&lt;="&amp;B212),IF('Исходные данные'!$B$88="Пользовательский NOI",N('Исходные данные'!$B$89),AT212))/N('Исходные данные'!$B$80)*(1+N('Исходные данные'!$B$81))))</f>
        <v>0</v>
      </c>
      <c r="AV212">
        <f>IF(OR(E212&lt;&gt;1,B212="",'Исходные данные'!$B$91=""),0,IF(AND(YEAR(B212)=YEAR('Исходные данные'!$B$91),MONTH(B212)=MONTH('Исходные данные'!$B$91)),AU212,0))</f>
        <v>0</v>
      </c>
      <c r="AW212">
        <f>-AV212*N('Исходные данные'!$B$73)</f>
        <v>0</v>
      </c>
      <c r="AX212">
        <f>IF(AV212=0,0,-N('Исходные данные'!$B$87)-IF('Исходные данные'!$B$82="Да",IF('Исходные данные'!$B$84="С выручки",AV212,IF('Исходные данные'!$B$84="С прибыли",MAX(0,AV212+AW212-IF('Исходные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12">
        <f t="shared" si="150"/>
        <v>0</v>
      </c>
      <c r="AZ212">
        <f t="shared" si="137"/>
        <v>0</v>
      </c>
      <c r="BA212">
        <f t="shared" si="151"/>
        <v>0</v>
      </c>
      <c r="BB212" t="str">
        <f t="shared" si="138"/>
        <v/>
      </c>
      <c r="BC212">
        <f>IF(OR(E212=0,'Исходные данные'!$B$9="",'Исходные данные'!$B$90=""),0,BA212/(1+'Исходные данные'!$B$90)^((D212-'Исходные данные'!$B$9)/365))</f>
        <v>0</v>
      </c>
      <c r="BD212">
        <f>IF(AND(E212=1,BB212&gt;=0,BB211&lt;0,MIN($BB$2:BB212)&lt;0),1,0)</f>
        <v>0</v>
      </c>
      <c r="BE212">
        <f t="shared" si="139"/>
        <v>0</v>
      </c>
      <c r="BF212">
        <f t="shared" si="140"/>
        <v>0</v>
      </c>
      <c r="BG212">
        <f t="shared" si="141"/>
        <v>0</v>
      </c>
      <c r="BH212">
        <f t="shared" si="142"/>
        <v>1</v>
      </c>
      <c r="BI212">
        <f>AZ212+N212+AP212-AR212*N('Исходные данные'!$B$50)</f>
        <v>0</v>
      </c>
      <c r="BJ212">
        <f t="shared" si="143"/>
        <v>0</v>
      </c>
      <c r="BK212">
        <f>IF(AND(BJ212&gt;=0,BJ211&lt;0,MIN($BJ$2:BJ212)&lt;0),1,0)</f>
        <v>0</v>
      </c>
    </row>
    <row r="213" spans="1:63" x14ac:dyDescent="0.2">
      <c r="A213">
        <v>212</v>
      </c>
      <c r="B213" t="str">
        <f>IF('Исходные данные'!$B$9="","",EDATE(DATE(YEAR('Исходные данные'!$B$9),MONTH('Исходные данные'!$B$9),1),A213-1))</f>
        <v/>
      </c>
      <c r="C213" t="str">
        <f t="shared" si="144"/>
        <v/>
      </c>
      <c r="D213" t="str">
        <f>IF(B213="","",IF('Исходные данные'!$B$91&lt;&gt;"",IF(AND(YEAR(B213)=YEAR('Исходные данные'!$B$91),MONTH(B213)=MONTH('Исходные данные'!$B$91)),'Исходные данные'!$B$91,IF('Исходные данные'!$B$13&lt;&gt;"",IF(AND(YEAR(B213)=YEAR('Исходные данные'!$B$13),MONTH(B213)=MONTH('Исходные данные'!$B$13)),'Исходные данные'!$B$13,IF('Исходные данные'!$B$26&lt;&gt;"",IF(AND(YEAR(B213)=YEAR('Исходные данные'!$B$26),MONTH(B213)=MONTH('Исходные данные'!$B$26)),'Исходные данные'!$B$26,IF(A213=1,'Исходные данные'!$B$9,C213)),IF(A213=1,'Исходные данные'!$B$9,C213))),IF('Исходные данные'!$B$26&lt;&gt;"",IF(AND(YEAR(B213)=YEAR('Исходные данные'!$B$26),MONTH(B213)=MONTH('Исходные данные'!$B$26)),'Исходные данные'!$B$26,IF(A213=1,'Исходные данные'!$B$9,C213)),IF(A213=1,'Исходные данные'!$B$9,C213)))),IF('Исходные данные'!$B$13&lt;&gt;"",IF(AND(YEAR(B213)=YEAR('Исходные данные'!$B$13),MONTH(B213)=MONTH('Исходные данные'!$B$13)),'Исходные данные'!$B$13,IF('Исходные данные'!$B$26&lt;&gt;"",IF(AND(YEAR(B213)=YEAR('Исходные данные'!$B$26),MONTH(B213)=MONTH('Исходные данные'!$B$26)),'Исходные данные'!$B$26,IF(A213=1,'Исходные данные'!$B$9,C213)),IF(A213=1,'Исходные данные'!$B$9,C213))),IF('Исходные данные'!$B$26&lt;&gt;"",IF(AND(YEAR(B213)=YEAR('Исходные данные'!$B$26),MONTH(B213)=MONTH('Исходные данные'!$B$26)),'Исходные данные'!$B$26,IF(A213=1,'Исходные данные'!$B$9,C213)),IF(A213=1,'Исходные данные'!$B$9,C213)))))</f>
        <v/>
      </c>
      <c r="E213">
        <f>IF(OR(B213="",'Исходные данные'!$B$91=""),0,--(B213&lt;=DATE(YEAR('Исходные данные'!$B$91),MONTH('Исходные данные'!$B$91),1)))</f>
        <v>0</v>
      </c>
      <c r="F213">
        <f>IF(OR(B213="",'Исходные данные'!$B$30="",C213&lt;'Исходные данные'!$B$30),0,DATEDIF(DATE(YEAR('Исходные данные'!$B$30),MONTH('Исходные данные'!$B$30),1),B213,"m")+1)</f>
        <v>0</v>
      </c>
      <c r="G213">
        <f t="shared" si="145"/>
        <v>0</v>
      </c>
      <c r="H213">
        <f>IF(F213=0,0,IF(G213=1,N('Исходные данные'!$B$31),IF(G213=2,N('Исходные данные'!$B$32),IF(G213=3,N('Исходные данные'!$B$33),N('Исходные данные'!$B$33)*(1+N('Исходные данные'!$B$34))^(G213-3)))))</f>
        <v>0</v>
      </c>
      <c r="I213">
        <f>IF(OR(F213=0,N('Исходные данные'!$B$5)=0,H213=0),0,'Исходные данные'!$B$5*H213*IF(AND(B213&lt;='Исходные данные'!$B$30,C213&gt;='Исходные данные'!$B$30),(C213-'Исходные данные'!$B$30+1)/DAY(C213),1))</f>
        <v>0</v>
      </c>
      <c r="J213">
        <f>IF(AND(F213&gt;0,F213&lt;=N('Исходные данные'!$B$37)),-I213,0)</f>
        <v>0</v>
      </c>
      <c r="K213">
        <f>IF(OR(F213=0,F213&lt;=N('Исходные данные'!$B$37)),0,-(I213+J213)*N('Исходные данные'!$B$38))</f>
        <v>0</v>
      </c>
      <c r="L213">
        <f t="shared" si="146"/>
        <v>0</v>
      </c>
      <c r="M213">
        <f>IF('Исходные данные'!$B$51="Да",L213*N('Исходные данные'!$B$52),0)</f>
        <v>0</v>
      </c>
      <c r="N213">
        <f t="shared" si="147"/>
        <v>0</v>
      </c>
      <c r="O213">
        <f>IF(OR(B213="",IF('Исходные данные'!$B$45="",'Исходные данные'!$B$10,'Исходные данные'!$B$45)="",C213&lt;IF('Исходные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данные'!$B$45)),1),B213,"m")/12))*IF(AND(B213&lt;=IF('Исходные данные'!$B$45="",'Исходные данные'!$B$10,'Исходные данные'!$B$45),C213&gt;=IF('Исходные данные'!$B$45="",'Исходные данные'!$B$10,'Исходные данные'!$B$45)),(C213-IF('Исходные данные'!$B$45="",'Исходные данные'!$B$10,'Исходные данные'!$B$45)+1)/DAY(C213),1)*IF('Исходные данные'!$B$43="Без НДС",1+N('Исходные данные'!$B$44),1))</f>
        <v>0</v>
      </c>
      <c r="P213">
        <f>IF('Исходные данные'!$B$51="Да",-O213*N('Исходные данные'!$B$44)/(1+N('Исходные данные'!$B$44)),0)</f>
        <v>0</v>
      </c>
      <c r="Q213">
        <f>IF('Исходные данные'!$B$35="Да",-O213,0)</f>
        <v>0</v>
      </c>
      <c r="R213">
        <f>IF(AND('Исходные данные'!$B$51="Да",Q213&gt;0),Q213*N('Исходные данные'!$B$52)/(1+N('Исходные данные'!$B$52)),0)</f>
        <v>0</v>
      </c>
      <c r="S213">
        <f>IF(OR(B213="",IF('Исходные данные'!$B$45="",'Исходные данные'!$B$10,'Исходные данные'!$B$45)="",C213&lt;IF('Исходные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данные'!$B$45)),1),B213,"m")/12))*IF(AND(B213&lt;=IF('Исходные данные'!$B$45="",'Исходные данные'!$B$10,'Исходные данные'!$B$45),C213&gt;=IF('Исходные данные'!$B$45="",'Исходные данные'!$B$10,'Исходные данные'!$B$45)),(C213-IF('Исходные данные'!$B$45="",'Исходные данные'!$B$10,'Исходные данные'!$B$45)+1)/DAY(C213),1)*IF('Исходные данные'!$B$43="Без НДС",1+N('Исходные данные'!$B$44),1))</f>
        <v>0</v>
      </c>
      <c r="T213">
        <f>IF('Исходные данные'!$B$51="Да",-S213*N('Исходные данные'!$B$44)/(1+N('Исходные данные'!$B$44)),0)</f>
        <v>0</v>
      </c>
      <c r="U213">
        <f>IF('Исходные данные'!$B$36="Да",-S213,0)</f>
        <v>0</v>
      </c>
      <c r="V213">
        <f>IF(AND('Исходные данные'!$B$51="Да",U213&gt;0),U213*N('Исходные данные'!$B$52)/(1+N('Исходные данные'!$B$52)),0)</f>
        <v>0</v>
      </c>
      <c r="W213">
        <f>IF(OR(B213="",IF('Исходные данные'!$B$69="",'Исходные данные'!$B$10,'Исходные данные'!$B$69)="",C213&lt;IF('Исходные данные'!$B$69="",'Исходные данные'!$B$10,'Исходные данные'!$B$69)),0,-N('Исходные данные'!$B$16)*N('Исходные данные'!$B$68)*N('Исходные данные'!$B$67)/12*IF(AND(B213&lt;=IF('Исходные данные'!$B$69="",'Исходные данные'!$B$10,'Исходные данные'!$B$69),C213&gt;=IF('Исходные данные'!$B$69="",'Исходные данные'!$B$10,'Исходные данные'!$B$69)),(C213-IF('Исходные данные'!$B$69="",'Исходные данные'!$B$10,'Исходные данные'!$B$69)+1)/DAY(C213),1))</f>
        <v>0</v>
      </c>
      <c r="X213">
        <f>IF(OR(B213="",IF('Исходные данные'!$B$76="",'Исходные данные'!$B$10,'Исходные данные'!$B$76)="",C213&lt;IF('Исходные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данные'!$B$76)),1),B213,"m")/12))*IF(AND(B213&lt;=IF('Исходные данные'!$B$76="",'Исходные данные'!$B$10,'Исходные данные'!$B$76),C213&gt;=IF('Исходные данные'!$B$76="",'Исходные данные'!$B$10,'Исходные данные'!$B$76)),(C213-IF('Исходные данные'!$B$76="",'Исходные данные'!$B$10,'Исходные данные'!$B$76)+1)/DAY(C213),1))</f>
        <v>0</v>
      </c>
      <c r="Y213">
        <f t="shared" si="148"/>
        <v>0</v>
      </c>
      <c r="Z213">
        <f>IF(OR(B213="",N('Исходные данные'!$B$19)=0),0,-SUMIFS('Исходные данные'!$I$6:$I$186,'Исходные данные'!$F$6:$F$186,B213)*N('Исходные данные'!$B$17)/N('Исходные данные'!$B$19))</f>
        <v>0</v>
      </c>
      <c r="AA213">
        <f>IF(OR(B213="",N('Исходные данные'!$B$19)=0),0,-SUMIFS('Исходные данные'!$I$6:$I$186,'Исходные данные'!$F$6:$F$186,B213)*N('Исходные данные'!$B$18)/N('Исходные данные'!$B$19))</f>
        <v>0</v>
      </c>
      <c r="AB213">
        <f>IF(OR(B213="",'Исходные данные'!$B$13=""),0,IF(AND(YEAR(B213)=YEAR('Исходные данные'!$B$13),MONTH(B213)=MONTH('Исходные данные'!$B$13)),-N('Исходные данные'!$B$11),0))</f>
        <v>0</v>
      </c>
      <c r="AC213">
        <f>IF(A213=1,-N('Исходные данные'!$B$19)*N('Исходные данные'!$B$72),0)</f>
        <v>0</v>
      </c>
      <c r="AD213">
        <f>IF(OR(B213="",'Исходные данные'!$B$22&lt;&gt;"Да",'Исходные данные'!$B$26=""),0,IF(AND(YEAR(B213)=YEAR('Исходные данные'!$B$26),MONTH(B213)=MONTH('Исходные данные'!$B$26)),N('Исходные данные'!$B$23),0))</f>
        <v>0</v>
      </c>
      <c r="AE213">
        <f t="shared" si="131"/>
        <v>0</v>
      </c>
      <c r="AF213">
        <f>IF(OR('Исходные данные'!$B$22&lt;&gt;"Да",'Исходные данные'!$B$26="",C213&lt;'Исходные данные'!$B$26),0,DATEDIF(DATE(YEAR('Исходные данные'!$B$26),MONTH('Исходные данные'!$B$26),1),B213,"m")+1)</f>
        <v>0</v>
      </c>
      <c r="AG213">
        <f>IF(OR(AF213&lt;1,AF213&gt;N('Исходные данные'!$B$25),AE213+AD213&lt;=0),0,-(AE213+AD213)*N('Исходные данные'!$B$24)*IF(AF213=1,C213-'Исходные данные'!$B$26+1,DAY(C213))/365)</f>
        <v>0</v>
      </c>
      <c r="AH213">
        <f>IF(OR(AF213&lt;1,AF213&gt;N('Исходные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данные'!$B$25)-AG213))</f>
        <v>0</v>
      </c>
      <c r="AI213">
        <f>IF(OR('Исходные данные'!$B$22&lt;&gt;"Да",AE213+AD213&lt;=0),0,IF(AND('Исходные данные'!$B$91&lt;&gt;"",B213&lt;&gt;"",YEAR(B213)=YEAR('Исходные данные'!$B$91),MONTH(B213)=MONTH('Исходные данные'!$B$91)),-(AE213+AD213),IF(OR(AF213&lt;1,AF213&gt;N('Исходные данные'!$B$25)),0,IF('Исходные данные'!$B$27="Равными долями",-MIN(AE213+AD213,N('Исходные данные'!$B$23)/N('Исходные данные'!$B$25)),-MIN(AE213+AD213,IF(AF213=N('Исходные данные'!$B$25),AE213+AD213,MAX(0,AH213+AG213)))))))</f>
        <v>0</v>
      </c>
      <c r="AJ213">
        <f t="shared" si="149"/>
        <v>0</v>
      </c>
      <c r="AK213">
        <f t="shared" si="132"/>
        <v>0</v>
      </c>
      <c r="AL213">
        <f>IF(OR(B213="",'Исходные данные'!$B$51&lt;&gt;"Да",'Исходные данные'!$B$61=""),0,IF(AND(YEAR(B213)=YEAR('Исходные данные'!$B$61),MONTH(B213)=MONTH('Исходные данные'!$B$61)),N('Исходные данные'!$B$18)*N('Исходные данные'!$B$62),0))</f>
        <v>0</v>
      </c>
      <c r="AM213">
        <f t="shared" si="133"/>
        <v>0</v>
      </c>
      <c r="AN213">
        <f t="shared" si="134"/>
        <v>0</v>
      </c>
      <c r="AO213">
        <f t="shared" si="135"/>
        <v>0</v>
      </c>
      <c r="AP213">
        <f>IF('Исходные данные'!$B$51="Да",-MAX(0,AN213-AO213-AM213),0)</f>
        <v>0</v>
      </c>
      <c r="AQ213">
        <f>IF('Исходные данные'!$B$51="Да",MAX(0,AM213+AO213-AN213),0)</f>
        <v>0</v>
      </c>
      <c r="AR213">
        <f>IF('Исходные данные'!$B$53="Выручка",MAX(0,L213+(Q213-R213)+(U213-V213)),IF('Исходные данные'!$B$53="Прибыль до налога",MAX(0,L213+(Q213-R213)+(U213-V213)+N('Исходные данные'!$B$54)*((O213+P213)+(S213+T213)+W213+X213)+IF('Исходные данные'!$B$55="Да",AG213,0)-N('Исходные данные'!$B$56)/12),IF('Исходные данные'!$B$53="Пользовательская база",MAX(0,N('Исходные данные'!$B$57)/12),0)))</f>
        <v>0</v>
      </c>
      <c r="AS213">
        <f>IF(E213=1,-AR213*N('Исходные данные'!$B$50),0)</f>
        <v>0</v>
      </c>
      <c r="AT213">
        <f t="shared" si="136"/>
        <v>0</v>
      </c>
      <c r="AU213">
        <f>IF(OR(B213="",N('Исходные данные'!$B$80)&lt;=0,'Исходные данные'!$B$88=""),0,MAX(0,IF('Исходные данные'!$B$88="Последние 12 месяцев",SUMIFS($Y$2:$Y$194,$B$2:$B$194,"&gt;="&amp;EDATE(B213,-11),$B$2:$B$194,"&lt;="&amp;B213),IF('Исходные данные'!$B$88="Пользовательский NOI",N('Исходные данные'!$B$89),AT213))/N('Исходные данные'!$B$80)*(1+N('Исходные данные'!$B$81))))</f>
        <v>0</v>
      </c>
      <c r="AV213">
        <f>IF(OR(E213&lt;&gt;1,B213="",'Исходные данные'!$B$91=""),0,IF(AND(YEAR(B213)=YEAR('Исходные данные'!$B$91),MONTH(B213)=MONTH('Исходные данные'!$B$91)),AU213,0))</f>
        <v>0</v>
      </c>
      <c r="AW213">
        <f>-AV213*N('Исходные данные'!$B$73)</f>
        <v>0</v>
      </c>
      <c r="AX213">
        <f>IF(AV213=0,0,-N('Исходные данные'!$B$87)-IF('Исходные данные'!$B$82="Да",IF('Исходные данные'!$B$84="С выручки",AV213,IF('Исходные данные'!$B$84="С прибыли",MAX(0,AV213+AW213-IF('Исходные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13">
        <f t="shared" si="150"/>
        <v>0</v>
      </c>
      <c r="AZ213">
        <f t="shared" si="137"/>
        <v>0</v>
      </c>
      <c r="BA213">
        <f t="shared" si="151"/>
        <v>0</v>
      </c>
      <c r="BB213" t="str">
        <f t="shared" si="138"/>
        <v/>
      </c>
      <c r="BC213">
        <f>IF(OR(E213=0,'Исходные данные'!$B$9="",'Исходные данные'!$B$90=""),0,BA213/(1+'Исходные данные'!$B$90)^((D213-'Исходные данные'!$B$9)/365))</f>
        <v>0</v>
      </c>
      <c r="BD213">
        <f>IF(AND(E213=1,BB213&gt;=0,BB212&lt;0,MIN($BB$2:BB213)&lt;0),1,0)</f>
        <v>0</v>
      </c>
      <c r="BE213">
        <f t="shared" si="139"/>
        <v>0</v>
      </c>
      <c r="BF213">
        <f t="shared" si="140"/>
        <v>0</v>
      </c>
      <c r="BG213">
        <f t="shared" si="141"/>
        <v>0</v>
      </c>
      <c r="BH213">
        <f t="shared" si="142"/>
        <v>1</v>
      </c>
      <c r="BI213">
        <f>AZ213+N213+AP213-AR213*N('Исходные данные'!$B$50)</f>
        <v>0</v>
      </c>
      <c r="BJ213">
        <f t="shared" si="143"/>
        <v>0</v>
      </c>
      <c r="BK213">
        <f>IF(AND(BJ213&gt;=0,BJ212&lt;0,MIN($BJ$2:BJ213)&lt;0),1,0)</f>
        <v>0</v>
      </c>
    </row>
    <row r="214" spans="1:63" x14ac:dyDescent="0.2">
      <c r="A214">
        <v>213</v>
      </c>
      <c r="B214" t="str">
        <f>IF('Исходные данные'!$B$9="","",EDATE(DATE(YEAR('Исходные данные'!$B$9),MONTH('Исходные данные'!$B$9),1),A214-1))</f>
        <v/>
      </c>
      <c r="C214" t="str">
        <f t="shared" si="144"/>
        <v/>
      </c>
      <c r="D214" t="str">
        <f>IF(B214="","",IF('Исходные данные'!$B$91&lt;&gt;"",IF(AND(YEAR(B214)=YEAR('Исходные данные'!$B$91),MONTH(B214)=MONTH('Исходные данные'!$B$91)),'Исходные данные'!$B$91,IF('Исходные данные'!$B$13&lt;&gt;"",IF(AND(YEAR(B214)=YEAR('Исходные данные'!$B$13),MONTH(B214)=MONTH('Исходные данные'!$B$13)),'Исходные данные'!$B$13,IF('Исходные данные'!$B$26&lt;&gt;"",IF(AND(YEAR(B214)=YEAR('Исходные данные'!$B$26),MONTH(B214)=MONTH('Исходные данные'!$B$26)),'Исходные данные'!$B$26,IF(A214=1,'Исходные данные'!$B$9,C214)),IF(A214=1,'Исходные данные'!$B$9,C214))),IF('Исходные данные'!$B$26&lt;&gt;"",IF(AND(YEAR(B214)=YEAR('Исходные данные'!$B$26),MONTH(B214)=MONTH('Исходные данные'!$B$26)),'Исходные данные'!$B$26,IF(A214=1,'Исходные данные'!$B$9,C214)),IF(A214=1,'Исходные данные'!$B$9,C214)))),IF('Исходные данные'!$B$13&lt;&gt;"",IF(AND(YEAR(B214)=YEAR('Исходные данные'!$B$13),MONTH(B214)=MONTH('Исходные данные'!$B$13)),'Исходные данные'!$B$13,IF('Исходные данные'!$B$26&lt;&gt;"",IF(AND(YEAR(B214)=YEAR('Исходные данные'!$B$26),MONTH(B214)=MONTH('Исходные данные'!$B$26)),'Исходные данные'!$B$26,IF(A214=1,'Исходные данные'!$B$9,C214)),IF(A214=1,'Исходные данные'!$B$9,C214))),IF('Исходные данные'!$B$26&lt;&gt;"",IF(AND(YEAR(B214)=YEAR('Исходные данные'!$B$26),MONTH(B214)=MONTH('Исходные данные'!$B$26)),'Исходные данные'!$B$26,IF(A214=1,'Исходные данные'!$B$9,C214)),IF(A214=1,'Исходные данные'!$B$9,C214)))))</f>
        <v/>
      </c>
      <c r="E214">
        <f>IF(OR(B214="",'Исходные данные'!$B$91=""),0,--(B214&lt;=DATE(YEAR('Исходные данные'!$B$91),MONTH('Исходные данные'!$B$91),1)))</f>
        <v>0</v>
      </c>
      <c r="F214">
        <f>IF(OR(B214="",'Исходные данные'!$B$30="",C214&lt;'Исходные данные'!$B$30),0,DATEDIF(DATE(YEAR('Исходные данные'!$B$30),MONTH('Исходные данные'!$B$30),1),B214,"m")+1)</f>
        <v>0</v>
      </c>
      <c r="G214">
        <f t="shared" si="145"/>
        <v>0</v>
      </c>
      <c r="H214">
        <f>IF(F214=0,0,IF(G214=1,N('Исходные данные'!$B$31),IF(G214=2,N('Исходные данные'!$B$32),IF(G214=3,N('Исходные данные'!$B$33),N('Исходные данные'!$B$33)*(1+N('Исходные данные'!$B$34))^(G214-3)))))</f>
        <v>0</v>
      </c>
      <c r="I214">
        <f>IF(OR(F214=0,N('Исходные данные'!$B$5)=0,H214=0),0,'Исходные данные'!$B$5*H214*IF(AND(B214&lt;='Исходные данные'!$B$30,C214&gt;='Исходные данные'!$B$30),(C214-'Исходные данные'!$B$30+1)/DAY(C214),1))</f>
        <v>0</v>
      </c>
      <c r="J214">
        <f>IF(AND(F214&gt;0,F214&lt;=N('Исходные данные'!$B$37)),-I214,0)</f>
        <v>0</v>
      </c>
      <c r="K214">
        <f>IF(OR(F214=0,F214&lt;=N('Исходные данные'!$B$37)),0,-(I214+J214)*N('Исходные данные'!$B$38))</f>
        <v>0</v>
      </c>
      <c r="L214">
        <f t="shared" si="146"/>
        <v>0</v>
      </c>
      <c r="M214">
        <f>IF('Исходные данные'!$B$51="Да",L214*N('Исходные данные'!$B$52),0)</f>
        <v>0</v>
      </c>
      <c r="N214">
        <f t="shared" si="147"/>
        <v>0</v>
      </c>
      <c r="O214">
        <f>IF(OR(B214="",IF('Исходные данные'!$B$45="",'Исходные данные'!$B$10,'Исходные данные'!$B$45)="",C214&lt;IF('Исходные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данные'!$B$45)),1),B214,"m")/12))*IF(AND(B214&lt;=IF('Исходные данные'!$B$45="",'Исходные данные'!$B$10,'Исходные данные'!$B$45),C214&gt;=IF('Исходные данные'!$B$45="",'Исходные данные'!$B$10,'Исходные данные'!$B$45)),(C214-IF('Исходные данные'!$B$45="",'Исходные данные'!$B$10,'Исходные данные'!$B$45)+1)/DAY(C214),1)*IF('Исходные данные'!$B$43="Без НДС",1+N('Исходные данные'!$B$44),1))</f>
        <v>0</v>
      </c>
      <c r="P214">
        <f>IF('Исходные данные'!$B$51="Да",-O214*N('Исходные данные'!$B$44)/(1+N('Исходные данные'!$B$44)),0)</f>
        <v>0</v>
      </c>
      <c r="Q214">
        <f>IF('Исходные данные'!$B$35="Да",-O214,0)</f>
        <v>0</v>
      </c>
      <c r="R214">
        <f>IF(AND('Исходные данные'!$B$51="Да",Q214&gt;0),Q214*N('Исходные данные'!$B$52)/(1+N('Исходные данные'!$B$52)),0)</f>
        <v>0</v>
      </c>
      <c r="S214">
        <f>IF(OR(B214="",IF('Исходные данные'!$B$45="",'Исходные данные'!$B$10,'Исходные данные'!$B$45)="",C214&lt;IF('Исходные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данные'!$B$45)),1),B214,"m")/12))*IF(AND(B214&lt;=IF('Исходные данные'!$B$45="",'Исходные данные'!$B$10,'Исходные данные'!$B$45),C214&gt;=IF('Исходные данные'!$B$45="",'Исходные данные'!$B$10,'Исходные данные'!$B$45)),(C214-IF('Исходные данные'!$B$45="",'Исходные данные'!$B$10,'Исходные данные'!$B$45)+1)/DAY(C214),1)*IF('Исходные данные'!$B$43="Без НДС",1+N('Исходные данные'!$B$44),1))</f>
        <v>0</v>
      </c>
      <c r="T214">
        <f>IF('Исходные данные'!$B$51="Да",-S214*N('Исходные данные'!$B$44)/(1+N('Исходные данные'!$B$44)),0)</f>
        <v>0</v>
      </c>
      <c r="U214">
        <f>IF('Исходные данные'!$B$36="Да",-S214,0)</f>
        <v>0</v>
      </c>
      <c r="V214">
        <f>IF(AND('Исходные данные'!$B$51="Да",U214&gt;0),U214*N('Исходные данные'!$B$52)/(1+N('Исходные данные'!$B$52)),0)</f>
        <v>0</v>
      </c>
      <c r="W214">
        <f>IF(OR(B214="",IF('Исходные данные'!$B$69="",'Исходные данные'!$B$10,'Исходные данные'!$B$69)="",C214&lt;IF('Исходные данные'!$B$69="",'Исходные данные'!$B$10,'Исходные данные'!$B$69)),0,-N('Исходные данные'!$B$16)*N('Исходные данные'!$B$68)*N('Исходные данные'!$B$67)/12*IF(AND(B214&lt;=IF('Исходные данные'!$B$69="",'Исходные данные'!$B$10,'Исходные данные'!$B$69),C214&gt;=IF('Исходные данные'!$B$69="",'Исходные данные'!$B$10,'Исходные данные'!$B$69)),(C214-IF('Исходные данные'!$B$69="",'Исходные данные'!$B$10,'Исходные данные'!$B$69)+1)/DAY(C214),1))</f>
        <v>0</v>
      </c>
      <c r="X214">
        <f>IF(OR(B214="",IF('Исходные данные'!$B$76="",'Исходные данные'!$B$10,'Исходные данные'!$B$76)="",C214&lt;IF('Исходные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данные'!$B$76)),1),B214,"m")/12))*IF(AND(B214&lt;=IF('Исходные данные'!$B$76="",'Исходные данные'!$B$10,'Исходные данные'!$B$76),C214&gt;=IF('Исходные данные'!$B$76="",'Исходные данные'!$B$10,'Исходные данные'!$B$76)),(C214-IF('Исходные данные'!$B$76="",'Исходные данные'!$B$10,'Исходные данные'!$B$76)+1)/DAY(C214),1))</f>
        <v>0</v>
      </c>
      <c r="Y214">
        <f t="shared" si="148"/>
        <v>0</v>
      </c>
      <c r="Z214">
        <f>IF(OR(B214="",N('Исходные данные'!$B$19)=0),0,-SUMIFS('Исходные данные'!$I$6:$I$186,'Исходные данные'!$F$6:$F$186,B214)*N('Исходные данные'!$B$17)/N('Исходные данные'!$B$19))</f>
        <v>0</v>
      </c>
      <c r="AA214">
        <f>IF(OR(B214="",N('Исходные данные'!$B$19)=0),0,-SUMIFS('Исходные данные'!$I$6:$I$186,'Исходные данные'!$F$6:$F$186,B214)*N('Исходные данные'!$B$18)/N('Исходные данные'!$B$19))</f>
        <v>0</v>
      </c>
      <c r="AB214">
        <f>IF(OR(B214="",'Исходные данные'!$B$13=""),0,IF(AND(YEAR(B214)=YEAR('Исходные данные'!$B$13),MONTH(B214)=MONTH('Исходные данные'!$B$13)),-N('Исходные данные'!$B$11),0))</f>
        <v>0</v>
      </c>
      <c r="AC214">
        <f>IF(A214=1,-N('Исходные данные'!$B$19)*N('Исходные данные'!$B$72),0)</f>
        <v>0</v>
      </c>
      <c r="AD214">
        <f>IF(OR(B214="",'Исходные данные'!$B$22&lt;&gt;"Да",'Исходные данные'!$B$26=""),0,IF(AND(YEAR(B214)=YEAR('Исходные данные'!$B$26),MONTH(B214)=MONTH('Исходные данные'!$B$26)),N('Исходные данные'!$B$23),0))</f>
        <v>0</v>
      </c>
      <c r="AE214">
        <f t="shared" si="131"/>
        <v>0</v>
      </c>
      <c r="AF214">
        <f>IF(OR('Исходные данные'!$B$22&lt;&gt;"Да",'Исходные данные'!$B$26="",C214&lt;'Исходные данные'!$B$26),0,DATEDIF(DATE(YEAR('Исходные данные'!$B$26),MONTH('Исходные данные'!$B$26),1),B214,"m")+1)</f>
        <v>0</v>
      </c>
      <c r="AG214">
        <f>IF(OR(AF214&lt;1,AF214&gt;N('Исходные данные'!$B$25),AE214+AD214&lt;=0),0,-(AE214+AD214)*N('Исходные данные'!$B$24)*IF(AF214=1,C214-'Исходные данные'!$B$26+1,DAY(C214))/365)</f>
        <v>0</v>
      </c>
      <c r="AH214">
        <f>IF(OR(AF214&lt;1,AF214&gt;N('Исходные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данные'!$B$25)-AG214))</f>
        <v>0</v>
      </c>
      <c r="AI214">
        <f>IF(OR('Исходные данные'!$B$22&lt;&gt;"Да",AE214+AD214&lt;=0),0,IF(AND('Исходные данные'!$B$91&lt;&gt;"",B214&lt;&gt;"",YEAR(B214)=YEAR('Исходные данные'!$B$91),MONTH(B214)=MONTH('Исходные данные'!$B$91)),-(AE214+AD214),IF(OR(AF214&lt;1,AF214&gt;N('Исходные данные'!$B$25)),0,IF('Исходные данные'!$B$27="Равными долями",-MIN(AE214+AD214,N('Исходные данные'!$B$23)/N('Исходные данные'!$B$25)),-MIN(AE214+AD214,IF(AF214=N('Исходные данные'!$B$25),AE214+AD214,MAX(0,AH214+AG214)))))))</f>
        <v>0</v>
      </c>
      <c r="AJ214">
        <f t="shared" si="149"/>
        <v>0</v>
      </c>
      <c r="AK214">
        <f t="shared" si="132"/>
        <v>0</v>
      </c>
      <c r="AL214">
        <f>IF(OR(B214="",'Исходные данные'!$B$51&lt;&gt;"Да",'Исходные данные'!$B$61=""),0,IF(AND(YEAR(B214)=YEAR('Исходные данные'!$B$61),MONTH(B214)=MONTH('Исходные данные'!$B$61)),N('Исходные данные'!$B$18)*N('Исходные данные'!$B$62),0))</f>
        <v>0</v>
      </c>
      <c r="AM214">
        <f t="shared" si="133"/>
        <v>0</v>
      </c>
      <c r="AN214">
        <f t="shared" si="134"/>
        <v>0</v>
      </c>
      <c r="AO214">
        <f t="shared" si="135"/>
        <v>0</v>
      </c>
      <c r="AP214">
        <f>IF('Исходные данные'!$B$51="Да",-MAX(0,AN214-AO214-AM214),0)</f>
        <v>0</v>
      </c>
      <c r="AQ214">
        <f>IF('Исходные данные'!$B$51="Да",MAX(0,AM214+AO214-AN214),0)</f>
        <v>0</v>
      </c>
      <c r="AR214">
        <f>IF('Исходные данные'!$B$53="Выручка",MAX(0,L214+(Q214-R214)+(U214-V214)),IF('Исходные данные'!$B$53="Прибыль до налога",MAX(0,L214+(Q214-R214)+(U214-V214)+N('Исходные данные'!$B$54)*((O214+P214)+(S214+T214)+W214+X214)+IF('Исходные данные'!$B$55="Да",AG214,0)-N('Исходные данные'!$B$56)/12),IF('Исходные данные'!$B$53="Пользовательская база",MAX(0,N('Исходные данные'!$B$57)/12),0)))</f>
        <v>0</v>
      </c>
      <c r="AS214">
        <f>IF(E214=1,-AR214*N('Исходные данные'!$B$50),0)</f>
        <v>0</v>
      </c>
      <c r="AT214">
        <f t="shared" si="136"/>
        <v>0</v>
      </c>
      <c r="AU214">
        <f>IF(OR(B214="",N('Исходные данные'!$B$80)&lt;=0,'Исходные данные'!$B$88=""),0,MAX(0,IF('Исходные данные'!$B$88="Последние 12 месяцев",SUMIFS($Y$2:$Y$194,$B$2:$B$194,"&gt;="&amp;EDATE(B214,-11),$B$2:$B$194,"&lt;="&amp;B214),IF('Исходные данные'!$B$88="Пользовательский NOI",N('Исходные данные'!$B$89),AT214))/N('Исходные данные'!$B$80)*(1+N('Исходные данные'!$B$81))))</f>
        <v>0</v>
      </c>
      <c r="AV214">
        <f>IF(OR(E214&lt;&gt;1,B214="",'Исходные данные'!$B$91=""),0,IF(AND(YEAR(B214)=YEAR('Исходные данные'!$B$91),MONTH(B214)=MONTH('Исходные данные'!$B$91)),AU214,0))</f>
        <v>0</v>
      </c>
      <c r="AW214">
        <f>-AV214*N('Исходные данные'!$B$73)</f>
        <v>0</v>
      </c>
      <c r="AX214">
        <f>IF(AV214=0,0,-N('Исходные данные'!$B$87)-IF('Исходные данные'!$B$82="Да",IF('Исходные данные'!$B$84="С выручки",AV214,IF('Исходные данные'!$B$84="С прибыли",MAX(0,AV214+AW214-IF('Исходные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14">
        <f t="shared" si="150"/>
        <v>0</v>
      </c>
      <c r="AZ214">
        <f t="shared" si="137"/>
        <v>0</v>
      </c>
      <c r="BA214">
        <f t="shared" si="151"/>
        <v>0</v>
      </c>
      <c r="BB214" t="str">
        <f t="shared" si="138"/>
        <v/>
      </c>
      <c r="BC214">
        <f>IF(OR(E214=0,'Исходные данные'!$B$9="",'Исходные данные'!$B$90=""),0,BA214/(1+'Исходные данные'!$B$90)^((D214-'Исходные данные'!$B$9)/365))</f>
        <v>0</v>
      </c>
      <c r="BD214">
        <f>IF(AND(E214=1,BB214&gt;=0,BB213&lt;0,MIN($BB$2:BB214)&lt;0),1,0)</f>
        <v>0</v>
      </c>
      <c r="BE214">
        <f t="shared" si="139"/>
        <v>0</v>
      </c>
      <c r="BF214">
        <f t="shared" si="140"/>
        <v>0</v>
      </c>
      <c r="BG214">
        <f t="shared" si="141"/>
        <v>0</v>
      </c>
      <c r="BH214">
        <f t="shared" si="142"/>
        <v>1</v>
      </c>
      <c r="BI214">
        <f>AZ214+N214+AP214-AR214*N('Исходные данные'!$B$50)</f>
        <v>0</v>
      </c>
      <c r="BJ214">
        <f t="shared" si="143"/>
        <v>0</v>
      </c>
      <c r="BK214">
        <f>IF(AND(BJ214&gt;=0,BJ213&lt;0,MIN($BJ$2:BJ214)&lt;0),1,0)</f>
        <v>0</v>
      </c>
    </row>
    <row r="215" spans="1:63" x14ac:dyDescent="0.2">
      <c r="A215">
        <v>214</v>
      </c>
      <c r="B215" t="str">
        <f>IF('Исходные данные'!$B$9="","",EDATE(DATE(YEAR('Исходные данные'!$B$9),MONTH('Исходные данные'!$B$9),1),A215-1))</f>
        <v/>
      </c>
      <c r="C215" t="str">
        <f t="shared" si="144"/>
        <v/>
      </c>
      <c r="D215" t="str">
        <f>IF(B215="","",IF('Исходные данные'!$B$91&lt;&gt;"",IF(AND(YEAR(B215)=YEAR('Исходные данные'!$B$91),MONTH(B215)=MONTH('Исходные данные'!$B$91)),'Исходные данные'!$B$91,IF('Исходные данные'!$B$13&lt;&gt;"",IF(AND(YEAR(B215)=YEAR('Исходные данные'!$B$13),MONTH(B215)=MONTH('Исходные данные'!$B$13)),'Исходные данные'!$B$13,IF('Исходные данные'!$B$26&lt;&gt;"",IF(AND(YEAR(B215)=YEAR('Исходные данные'!$B$26),MONTH(B215)=MONTH('Исходные данные'!$B$26)),'Исходные данные'!$B$26,IF(A215=1,'Исходные данные'!$B$9,C215)),IF(A215=1,'Исходные данные'!$B$9,C215))),IF('Исходные данные'!$B$26&lt;&gt;"",IF(AND(YEAR(B215)=YEAR('Исходные данные'!$B$26),MONTH(B215)=MONTH('Исходные данные'!$B$26)),'Исходные данные'!$B$26,IF(A215=1,'Исходные данные'!$B$9,C215)),IF(A215=1,'Исходные данные'!$B$9,C215)))),IF('Исходные данные'!$B$13&lt;&gt;"",IF(AND(YEAR(B215)=YEAR('Исходные данные'!$B$13),MONTH(B215)=MONTH('Исходные данные'!$B$13)),'Исходные данные'!$B$13,IF('Исходные данные'!$B$26&lt;&gt;"",IF(AND(YEAR(B215)=YEAR('Исходные данные'!$B$26),MONTH(B215)=MONTH('Исходные данные'!$B$26)),'Исходные данные'!$B$26,IF(A215=1,'Исходные данные'!$B$9,C215)),IF(A215=1,'Исходные данные'!$B$9,C215))),IF('Исходные данные'!$B$26&lt;&gt;"",IF(AND(YEAR(B215)=YEAR('Исходные данные'!$B$26),MONTH(B215)=MONTH('Исходные данные'!$B$26)),'Исходные данные'!$B$26,IF(A215=1,'Исходные данные'!$B$9,C215)),IF(A215=1,'Исходные данные'!$B$9,C215)))))</f>
        <v/>
      </c>
      <c r="E215">
        <f>IF(OR(B215="",'Исходные данные'!$B$91=""),0,--(B215&lt;=DATE(YEAR('Исходные данные'!$B$91),MONTH('Исходные данные'!$B$91),1)))</f>
        <v>0</v>
      </c>
      <c r="F215">
        <f>IF(OR(B215="",'Исходные данные'!$B$30="",C215&lt;'Исходные данные'!$B$30),0,DATEDIF(DATE(YEAR('Исходные данные'!$B$30),MONTH('Исходные данные'!$B$30),1),B215,"m")+1)</f>
        <v>0</v>
      </c>
      <c r="G215">
        <f t="shared" si="145"/>
        <v>0</v>
      </c>
      <c r="H215">
        <f>IF(F215=0,0,IF(G215=1,N('Исходные данные'!$B$31),IF(G215=2,N('Исходные данные'!$B$32),IF(G215=3,N('Исходные данные'!$B$33),N('Исходные данные'!$B$33)*(1+N('Исходные данные'!$B$34))^(G215-3)))))</f>
        <v>0</v>
      </c>
      <c r="I215">
        <f>IF(OR(F215=0,N('Исходные данные'!$B$5)=0,H215=0),0,'Исходные данные'!$B$5*H215*IF(AND(B215&lt;='Исходные данные'!$B$30,C215&gt;='Исходные данные'!$B$30),(C215-'Исходные данные'!$B$30+1)/DAY(C215),1))</f>
        <v>0</v>
      </c>
      <c r="J215">
        <f>IF(AND(F215&gt;0,F215&lt;=N('Исходные данные'!$B$37)),-I215,0)</f>
        <v>0</v>
      </c>
      <c r="K215">
        <f>IF(OR(F215=0,F215&lt;=N('Исходные данные'!$B$37)),0,-(I215+J215)*N('Исходные данные'!$B$38))</f>
        <v>0</v>
      </c>
      <c r="L215">
        <f t="shared" si="146"/>
        <v>0</v>
      </c>
      <c r="M215">
        <f>IF('Исходные данные'!$B$51="Да",L215*N('Исходные данные'!$B$52),0)</f>
        <v>0</v>
      </c>
      <c r="N215">
        <f t="shared" si="147"/>
        <v>0</v>
      </c>
      <c r="O215">
        <f>IF(OR(B215="",IF('Исходные данные'!$B$45="",'Исходные данные'!$B$10,'Исходные данные'!$B$45)="",C215&lt;IF('Исходные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данные'!$B$45)),1),B215,"m")/12))*IF(AND(B215&lt;=IF('Исходные данные'!$B$45="",'Исходные данные'!$B$10,'Исходные данные'!$B$45),C215&gt;=IF('Исходные данные'!$B$45="",'Исходные данные'!$B$10,'Исходные данные'!$B$45)),(C215-IF('Исходные данные'!$B$45="",'Исходные данные'!$B$10,'Исходные данные'!$B$45)+1)/DAY(C215),1)*IF('Исходные данные'!$B$43="Без НДС",1+N('Исходные данные'!$B$44),1))</f>
        <v>0</v>
      </c>
      <c r="P215">
        <f>IF('Исходные данные'!$B$51="Да",-O215*N('Исходные данные'!$B$44)/(1+N('Исходные данные'!$B$44)),0)</f>
        <v>0</v>
      </c>
      <c r="Q215">
        <f>IF('Исходные данные'!$B$35="Да",-O215,0)</f>
        <v>0</v>
      </c>
      <c r="R215">
        <f>IF(AND('Исходные данные'!$B$51="Да",Q215&gt;0),Q215*N('Исходные данные'!$B$52)/(1+N('Исходные данные'!$B$52)),0)</f>
        <v>0</v>
      </c>
      <c r="S215">
        <f>IF(OR(B215="",IF('Исходные данные'!$B$45="",'Исходные данные'!$B$10,'Исходные данные'!$B$45)="",C215&lt;IF('Исходные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данные'!$B$45)),1),B215,"m")/12))*IF(AND(B215&lt;=IF('Исходные данные'!$B$45="",'Исходные данные'!$B$10,'Исходные данные'!$B$45),C215&gt;=IF('Исходные данные'!$B$45="",'Исходные данные'!$B$10,'Исходные данные'!$B$45)),(C215-IF('Исходные данные'!$B$45="",'Исходные данные'!$B$10,'Исходные данные'!$B$45)+1)/DAY(C215),1)*IF('Исходные данные'!$B$43="Без НДС",1+N('Исходные данные'!$B$44),1))</f>
        <v>0</v>
      </c>
      <c r="T215">
        <f>IF('Исходные данные'!$B$51="Да",-S215*N('Исходные данные'!$B$44)/(1+N('Исходные данные'!$B$44)),0)</f>
        <v>0</v>
      </c>
      <c r="U215">
        <f>IF('Исходные данные'!$B$36="Да",-S215,0)</f>
        <v>0</v>
      </c>
      <c r="V215">
        <f>IF(AND('Исходные данные'!$B$51="Да",U215&gt;0),U215*N('Исходные данные'!$B$52)/(1+N('Исходные данные'!$B$52)),0)</f>
        <v>0</v>
      </c>
      <c r="W215">
        <f>IF(OR(B215="",IF('Исходные данные'!$B$69="",'Исходные данные'!$B$10,'Исходные данные'!$B$69)="",C215&lt;IF('Исходные данные'!$B$69="",'Исходные данные'!$B$10,'Исходные данные'!$B$69)),0,-N('Исходные данные'!$B$16)*N('Исходные данные'!$B$68)*N('Исходные данные'!$B$67)/12*IF(AND(B215&lt;=IF('Исходные данные'!$B$69="",'Исходные данные'!$B$10,'Исходные данные'!$B$69),C215&gt;=IF('Исходные данные'!$B$69="",'Исходные данные'!$B$10,'Исходные данные'!$B$69)),(C215-IF('Исходные данные'!$B$69="",'Исходные данные'!$B$10,'Исходные данные'!$B$69)+1)/DAY(C215),1))</f>
        <v>0</v>
      </c>
      <c r="X215">
        <f>IF(OR(B215="",IF('Исходные данные'!$B$76="",'Исходные данные'!$B$10,'Исходные данные'!$B$76)="",C215&lt;IF('Исходные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данные'!$B$76)),1),B215,"m")/12))*IF(AND(B215&lt;=IF('Исходные данные'!$B$76="",'Исходные данные'!$B$10,'Исходные данные'!$B$76),C215&gt;=IF('Исходные данные'!$B$76="",'Исходные данные'!$B$10,'Исходные данные'!$B$76)),(C215-IF('Исходные данные'!$B$76="",'Исходные данные'!$B$10,'Исходные данные'!$B$76)+1)/DAY(C215),1))</f>
        <v>0</v>
      </c>
      <c r="Y215">
        <f t="shared" si="148"/>
        <v>0</v>
      </c>
      <c r="Z215">
        <f>IF(OR(B215="",N('Исходные данные'!$B$19)=0),0,-SUMIFS('Исходные данные'!$I$6:$I$186,'Исходные данные'!$F$6:$F$186,B215)*N('Исходные данные'!$B$17)/N('Исходные данные'!$B$19))</f>
        <v>0</v>
      </c>
      <c r="AA215">
        <f>IF(OR(B215="",N('Исходные данные'!$B$19)=0),0,-SUMIFS('Исходные данные'!$I$6:$I$186,'Исходные данные'!$F$6:$F$186,B215)*N('Исходные данные'!$B$18)/N('Исходные данные'!$B$19))</f>
        <v>0</v>
      </c>
      <c r="AB215">
        <f>IF(OR(B215="",'Исходные данные'!$B$13=""),0,IF(AND(YEAR(B215)=YEAR('Исходные данные'!$B$13),MONTH(B215)=MONTH('Исходные данные'!$B$13)),-N('Исходные данные'!$B$11),0))</f>
        <v>0</v>
      </c>
      <c r="AC215">
        <f>IF(A215=1,-N('Исходные данные'!$B$19)*N('Исходные данные'!$B$72),0)</f>
        <v>0</v>
      </c>
      <c r="AD215">
        <f>IF(OR(B215="",'Исходные данные'!$B$22&lt;&gt;"Да",'Исходные данные'!$B$26=""),0,IF(AND(YEAR(B215)=YEAR('Исходные данные'!$B$26),MONTH(B215)=MONTH('Исходные данные'!$B$26)),N('Исходные данные'!$B$23),0))</f>
        <v>0</v>
      </c>
      <c r="AE215">
        <f t="shared" si="131"/>
        <v>0</v>
      </c>
      <c r="AF215">
        <f>IF(OR('Исходные данные'!$B$22&lt;&gt;"Да",'Исходные данные'!$B$26="",C215&lt;'Исходные данные'!$B$26),0,DATEDIF(DATE(YEAR('Исходные данные'!$B$26),MONTH('Исходные данные'!$B$26),1),B215,"m")+1)</f>
        <v>0</v>
      </c>
      <c r="AG215">
        <f>IF(OR(AF215&lt;1,AF215&gt;N('Исходные данные'!$B$25),AE215+AD215&lt;=0),0,-(AE215+AD215)*N('Исходные данные'!$B$24)*IF(AF215=1,C215-'Исходные данные'!$B$26+1,DAY(C215))/365)</f>
        <v>0</v>
      </c>
      <c r="AH215">
        <f>IF(OR(AF215&lt;1,AF215&gt;N('Исходные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данные'!$B$25)-AG215))</f>
        <v>0</v>
      </c>
      <c r="AI215">
        <f>IF(OR('Исходные данные'!$B$22&lt;&gt;"Да",AE215+AD215&lt;=0),0,IF(AND('Исходные данные'!$B$91&lt;&gt;"",B215&lt;&gt;"",YEAR(B215)=YEAR('Исходные данные'!$B$91),MONTH(B215)=MONTH('Исходные данные'!$B$91)),-(AE215+AD215),IF(OR(AF215&lt;1,AF215&gt;N('Исходные данные'!$B$25)),0,IF('Исходные данные'!$B$27="Равными долями",-MIN(AE215+AD215,N('Исходные данные'!$B$23)/N('Исходные данные'!$B$25)),-MIN(AE215+AD215,IF(AF215=N('Исходные данные'!$B$25),AE215+AD215,MAX(0,AH215+AG215)))))))</f>
        <v>0</v>
      </c>
      <c r="AJ215">
        <f t="shared" si="149"/>
        <v>0</v>
      </c>
      <c r="AK215">
        <f t="shared" si="132"/>
        <v>0</v>
      </c>
      <c r="AL215">
        <f>IF(OR(B215="",'Исходные данные'!$B$51&lt;&gt;"Да",'Исходные данные'!$B$61=""),0,IF(AND(YEAR(B215)=YEAR('Исходные данные'!$B$61),MONTH(B215)=MONTH('Исходные данные'!$B$61)),N('Исходные данные'!$B$18)*N('Исходные данные'!$B$62),0))</f>
        <v>0</v>
      </c>
      <c r="AM215">
        <f t="shared" si="133"/>
        <v>0</v>
      </c>
      <c r="AN215">
        <f t="shared" si="134"/>
        <v>0</v>
      </c>
      <c r="AO215">
        <f t="shared" si="135"/>
        <v>0</v>
      </c>
      <c r="AP215">
        <f>IF('Исходные данные'!$B$51="Да",-MAX(0,AN215-AO215-AM215),0)</f>
        <v>0</v>
      </c>
      <c r="AQ215">
        <f>IF('Исходные данные'!$B$51="Да",MAX(0,AM215+AO215-AN215),0)</f>
        <v>0</v>
      </c>
      <c r="AR215">
        <f>IF('Исходные данные'!$B$53="Выручка",MAX(0,L215+(Q215-R215)+(U215-V215)),IF('Исходные данные'!$B$53="Прибыль до налога",MAX(0,L215+(Q215-R215)+(U215-V215)+N('Исходные данные'!$B$54)*((O215+P215)+(S215+T215)+W215+X215)+IF('Исходные данные'!$B$55="Да",AG215,0)-N('Исходные данные'!$B$56)/12),IF('Исходные данные'!$B$53="Пользовательская база",MAX(0,N('Исходные данные'!$B$57)/12),0)))</f>
        <v>0</v>
      </c>
      <c r="AS215">
        <f>IF(E215=1,-AR215*N('Исходные данные'!$B$50),0)</f>
        <v>0</v>
      </c>
      <c r="AT215">
        <f t="shared" si="136"/>
        <v>0</v>
      </c>
      <c r="AU215">
        <f>IF(OR(B215="",N('Исходные данные'!$B$80)&lt;=0,'Исходные данные'!$B$88=""),0,MAX(0,IF('Исходные данные'!$B$88="Последние 12 месяцев",SUMIFS($Y$2:$Y$194,$B$2:$B$194,"&gt;="&amp;EDATE(B215,-11),$B$2:$B$194,"&lt;="&amp;B215),IF('Исходные данные'!$B$88="Пользовательский NOI",N('Исходные данные'!$B$89),AT215))/N('Исходные данные'!$B$80)*(1+N('Исходные данные'!$B$81))))</f>
        <v>0</v>
      </c>
      <c r="AV215">
        <f>IF(OR(E215&lt;&gt;1,B215="",'Исходные данные'!$B$91=""),0,IF(AND(YEAR(B215)=YEAR('Исходные данные'!$B$91),MONTH(B215)=MONTH('Исходные данные'!$B$91)),AU215,0))</f>
        <v>0</v>
      </c>
      <c r="AW215">
        <f>-AV215*N('Исходные данные'!$B$73)</f>
        <v>0</v>
      </c>
      <c r="AX215">
        <f>IF(AV215=0,0,-N('Исходные данные'!$B$87)-IF('Исходные данные'!$B$82="Да",IF('Исходные данные'!$B$84="С выручки",AV215,IF('Исходные данные'!$B$84="С прибыли",MAX(0,AV215+AW215-IF('Исходные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15">
        <f t="shared" si="150"/>
        <v>0</v>
      </c>
      <c r="AZ215">
        <f t="shared" si="137"/>
        <v>0</v>
      </c>
      <c r="BA215">
        <f t="shared" si="151"/>
        <v>0</v>
      </c>
      <c r="BB215" t="str">
        <f t="shared" si="138"/>
        <v/>
      </c>
      <c r="BC215">
        <f>IF(OR(E215=0,'Исходные данные'!$B$9="",'Исходные данные'!$B$90=""),0,BA215/(1+'Исходные данные'!$B$90)^((D215-'Исходные данные'!$B$9)/365))</f>
        <v>0</v>
      </c>
      <c r="BD215">
        <f>IF(AND(E215=1,BB215&gt;=0,BB214&lt;0,MIN($BB$2:BB215)&lt;0),1,0)</f>
        <v>0</v>
      </c>
      <c r="BE215">
        <f t="shared" si="139"/>
        <v>0</v>
      </c>
      <c r="BF215">
        <f t="shared" si="140"/>
        <v>0</v>
      </c>
      <c r="BG215">
        <f t="shared" si="141"/>
        <v>0</v>
      </c>
      <c r="BH215">
        <f t="shared" si="142"/>
        <v>1</v>
      </c>
      <c r="BI215">
        <f>AZ215+N215+AP215-AR215*N('Исходные данные'!$B$50)</f>
        <v>0</v>
      </c>
      <c r="BJ215">
        <f t="shared" si="143"/>
        <v>0</v>
      </c>
      <c r="BK215">
        <f>IF(AND(BJ215&gt;=0,BJ214&lt;0,MIN($BJ$2:BJ215)&lt;0),1,0)</f>
        <v>0</v>
      </c>
    </row>
    <row r="216" spans="1:63" x14ac:dyDescent="0.2">
      <c r="A216">
        <v>215</v>
      </c>
      <c r="B216" t="str">
        <f>IF('Исходные данные'!$B$9="","",EDATE(DATE(YEAR('Исходные данные'!$B$9),MONTH('Исходные данные'!$B$9),1),A216-1))</f>
        <v/>
      </c>
      <c r="C216" t="str">
        <f t="shared" si="144"/>
        <v/>
      </c>
      <c r="D216" t="str">
        <f>IF(B216="","",IF('Исходные данные'!$B$91&lt;&gt;"",IF(AND(YEAR(B216)=YEAR('Исходные данные'!$B$91),MONTH(B216)=MONTH('Исходные данные'!$B$91)),'Исходные данные'!$B$91,IF('Исходные данные'!$B$13&lt;&gt;"",IF(AND(YEAR(B216)=YEAR('Исходные данные'!$B$13),MONTH(B216)=MONTH('Исходные данные'!$B$13)),'Исходные данные'!$B$13,IF('Исходные данные'!$B$26&lt;&gt;"",IF(AND(YEAR(B216)=YEAR('Исходные данные'!$B$26),MONTH(B216)=MONTH('Исходные данные'!$B$26)),'Исходные данные'!$B$26,IF(A216=1,'Исходные данные'!$B$9,C216)),IF(A216=1,'Исходные данные'!$B$9,C216))),IF('Исходные данные'!$B$26&lt;&gt;"",IF(AND(YEAR(B216)=YEAR('Исходные данные'!$B$26),MONTH(B216)=MONTH('Исходные данные'!$B$26)),'Исходные данные'!$B$26,IF(A216=1,'Исходные данные'!$B$9,C216)),IF(A216=1,'Исходные данные'!$B$9,C216)))),IF('Исходные данные'!$B$13&lt;&gt;"",IF(AND(YEAR(B216)=YEAR('Исходные данные'!$B$13),MONTH(B216)=MONTH('Исходные данные'!$B$13)),'Исходные данные'!$B$13,IF('Исходные данные'!$B$26&lt;&gt;"",IF(AND(YEAR(B216)=YEAR('Исходные данные'!$B$26),MONTH(B216)=MONTH('Исходные данные'!$B$26)),'Исходные данные'!$B$26,IF(A216=1,'Исходные данные'!$B$9,C216)),IF(A216=1,'Исходные данные'!$B$9,C216))),IF('Исходные данные'!$B$26&lt;&gt;"",IF(AND(YEAR(B216)=YEAR('Исходные данные'!$B$26),MONTH(B216)=MONTH('Исходные данные'!$B$26)),'Исходные данные'!$B$26,IF(A216=1,'Исходные данные'!$B$9,C216)),IF(A216=1,'Исходные данные'!$B$9,C216)))))</f>
        <v/>
      </c>
      <c r="E216">
        <f>IF(OR(B216="",'Исходные данные'!$B$91=""),0,--(B216&lt;=DATE(YEAR('Исходные данные'!$B$91),MONTH('Исходные данные'!$B$91),1)))</f>
        <v>0</v>
      </c>
      <c r="F216">
        <f>IF(OR(B216="",'Исходные данные'!$B$30="",C216&lt;'Исходные данные'!$B$30),0,DATEDIF(DATE(YEAR('Исходные данные'!$B$30),MONTH('Исходные данные'!$B$30),1),B216,"m")+1)</f>
        <v>0</v>
      </c>
      <c r="G216">
        <f t="shared" si="145"/>
        <v>0</v>
      </c>
      <c r="H216">
        <f>IF(F216=0,0,IF(G216=1,N('Исходные данные'!$B$31),IF(G216=2,N('Исходные данные'!$B$32),IF(G216=3,N('Исходные данные'!$B$33),N('Исходные данные'!$B$33)*(1+N('Исходные данные'!$B$34))^(G216-3)))))</f>
        <v>0</v>
      </c>
      <c r="I216">
        <f>IF(OR(F216=0,N('Исходные данные'!$B$5)=0,H216=0),0,'Исходные данные'!$B$5*H216*IF(AND(B216&lt;='Исходные данные'!$B$30,C216&gt;='Исходные данные'!$B$30),(C216-'Исходные данные'!$B$30+1)/DAY(C216),1))</f>
        <v>0</v>
      </c>
      <c r="J216">
        <f>IF(AND(F216&gt;0,F216&lt;=N('Исходные данные'!$B$37)),-I216,0)</f>
        <v>0</v>
      </c>
      <c r="K216">
        <f>IF(OR(F216=0,F216&lt;=N('Исходные данные'!$B$37)),0,-(I216+J216)*N('Исходные данные'!$B$38))</f>
        <v>0</v>
      </c>
      <c r="L216">
        <f t="shared" si="146"/>
        <v>0</v>
      </c>
      <c r="M216">
        <f>IF('Исходные данные'!$B$51="Да",L216*N('Исходные данные'!$B$52),0)</f>
        <v>0</v>
      </c>
      <c r="N216">
        <f t="shared" si="147"/>
        <v>0</v>
      </c>
      <c r="O216">
        <f>IF(OR(B216="",IF('Исходные данные'!$B$45="",'Исходные данные'!$B$10,'Исходные данные'!$B$45)="",C216&lt;IF('Исходные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данные'!$B$45)),1),B216,"m")/12))*IF(AND(B216&lt;=IF('Исходные данные'!$B$45="",'Исходные данные'!$B$10,'Исходные данные'!$B$45),C216&gt;=IF('Исходные данные'!$B$45="",'Исходные данные'!$B$10,'Исходные данные'!$B$45)),(C216-IF('Исходные данные'!$B$45="",'Исходные данные'!$B$10,'Исходные данные'!$B$45)+1)/DAY(C216),1)*IF('Исходные данные'!$B$43="Без НДС",1+N('Исходные данные'!$B$44),1))</f>
        <v>0</v>
      </c>
      <c r="P216">
        <f>IF('Исходные данные'!$B$51="Да",-O216*N('Исходные данные'!$B$44)/(1+N('Исходные данные'!$B$44)),0)</f>
        <v>0</v>
      </c>
      <c r="Q216">
        <f>IF('Исходные данные'!$B$35="Да",-O216,0)</f>
        <v>0</v>
      </c>
      <c r="R216">
        <f>IF(AND('Исходные данные'!$B$51="Да",Q216&gt;0),Q216*N('Исходные данные'!$B$52)/(1+N('Исходные данные'!$B$52)),0)</f>
        <v>0</v>
      </c>
      <c r="S216">
        <f>IF(OR(B216="",IF('Исходные данные'!$B$45="",'Исходные данные'!$B$10,'Исходные данные'!$B$45)="",C216&lt;IF('Исходные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данные'!$B$45)),1),B216,"m")/12))*IF(AND(B216&lt;=IF('Исходные данные'!$B$45="",'Исходные данные'!$B$10,'Исходные данные'!$B$45),C216&gt;=IF('Исходные данные'!$B$45="",'Исходные данные'!$B$10,'Исходные данные'!$B$45)),(C216-IF('Исходные данные'!$B$45="",'Исходные данные'!$B$10,'Исходные данные'!$B$45)+1)/DAY(C216),1)*IF('Исходные данные'!$B$43="Без НДС",1+N('Исходные данные'!$B$44),1))</f>
        <v>0</v>
      </c>
      <c r="T216">
        <f>IF('Исходные данные'!$B$51="Да",-S216*N('Исходные данные'!$B$44)/(1+N('Исходные данные'!$B$44)),0)</f>
        <v>0</v>
      </c>
      <c r="U216">
        <f>IF('Исходные данные'!$B$36="Да",-S216,0)</f>
        <v>0</v>
      </c>
      <c r="V216">
        <f>IF(AND('Исходные данные'!$B$51="Да",U216&gt;0),U216*N('Исходные данные'!$B$52)/(1+N('Исходные данные'!$B$52)),0)</f>
        <v>0</v>
      </c>
      <c r="W216">
        <f>IF(OR(B216="",IF('Исходные данные'!$B$69="",'Исходные данные'!$B$10,'Исходные данные'!$B$69)="",C216&lt;IF('Исходные данные'!$B$69="",'Исходные данные'!$B$10,'Исходные данные'!$B$69)),0,-N('Исходные данные'!$B$16)*N('Исходные данные'!$B$68)*N('Исходные данные'!$B$67)/12*IF(AND(B216&lt;=IF('Исходные данные'!$B$69="",'Исходные данные'!$B$10,'Исходные данные'!$B$69),C216&gt;=IF('Исходные данные'!$B$69="",'Исходные данные'!$B$10,'Исходные данные'!$B$69)),(C216-IF('Исходные данные'!$B$69="",'Исходные данные'!$B$10,'Исходные данные'!$B$69)+1)/DAY(C216),1))</f>
        <v>0</v>
      </c>
      <c r="X216">
        <f>IF(OR(B216="",IF('Исходные данные'!$B$76="",'Исходные данные'!$B$10,'Исходные данные'!$B$76)="",C216&lt;IF('Исходные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данные'!$B$76)),1),B216,"m")/12))*IF(AND(B216&lt;=IF('Исходные данные'!$B$76="",'Исходные данные'!$B$10,'Исходные данные'!$B$76),C216&gt;=IF('Исходные данные'!$B$76="",'Исходные данные'!$B$10,'Исходные данные'!$B$76)),(C216-IF('Исходные данные'!$B$76="",'Исходные данные'!$B$10,'Исходные данные'!$B$76)+1)/DAY(C216),1))</f>
        <v>0</v>
      </c>
      <c r="Y216">
        <f t="shared" si="148"/>
        <v>0</v>
      </c>
      <c r="Z216">
        <f>IF(OR(B216="",N('Исходные данные'!$B$19)=0),0,-SUMIFS('Исходные данные'!$I$6:$I$186,'Исходные данные'!$F$6:$F$186,B216)*N('Исходные данные'!$B$17)/N('Исходные данные'!$B$19))</f>
        <v>0</v>
      </c>
      <c r="AA216">
        <f>IF(OR(B216="",N('Исходные данные'!$B$19)=0),0,-SUMIFS('Исходные данные'!$I$6:$I$186,'Исходные данные'!$F$6:$F$186,B216)*N('Исходные данные'!$B$18)/N('Исходные данные'!$B$19))</f>
        <v>0</v>
      </c>
      <c r="AB216">
        <f>IF(OR(B216="",'Исходные данные'!$B$13=""),0,IF(AND(YEAR(B216)=YEAR('Исходные данные'!$B$13),MONTH(B216)=MONTH('Исходные данные'!$B$13)),-N('Исходные данные'!$B$11),0))</f>
        <v>0</v>
      </c>
      <c r="AC216">
        <f>IF(A216=1,-N('Исходные данные'!$B$19)*N('Исходные данные'!$B$72),0)</f>
        <v>0</v>
      </c>
      <c r="AD216">
        <f>IF(OR(B216="",'Исходные данные'!$B$22&lt;&gt;"Да",'Исходные данные'!$B$26=""),0,IF(AND(YEAR(B216)=YEAR('Исходные данные'!$B$26),MONTH(B216)=MONTH('Исходные данные'!$B$26)),N('Исходные данные'!$B$23),0))</f>
        <v>0</v>
      </c>
      <c r="AE216">
        <f t="shared" si="131"/>
        <v>0</v>
      </c>
      <c r="AF216">
        <f>IF(OR('Исходные данные'!$B$22&lt;&gt;"Да",'Исходные данные'!$B$26="",C216&lt;'Исходные данные'!$B$26),0,DATEDIF(DATE(YEAR('Исходные данные'!$B$26),MONTH('Исходные данные'!$B$26),1),B216,"m")+1)</f>
        <v>0</v>
      </c>
      <c r="AG216">
        <f>IF(OR(AF216&lt;1,AF216&gt;N('Исходные данные'!$B$25),AE216+AD216&lt;=0),0,-(AE216+AD216)*N('Исходные данные'!$B$24)*IF(AF216=1,C216-'Исходные данные'!$B$26+1,DAY(C216))/365)</f>
        <v>0</v>
      </c>
      <c r="AH216">
        <f>IF(OR(AF216&lt;1,AF216&gt;N('Исходные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данные'!$B$25)-AG216))</f>
        <v>0</v>
      </c>
      <c r="AI216">
        <f>IF(OR('Исходные данные'!$B$22&lt;&gt;"Да",AE216+AD216&lt;=0),0,IF(AND('Исходные данные'!$B$91&lt;&gt;"",B216&lt;&gt;"",YEAR(B216)=YEAR('Исходные данные'!$B$91),MONTH(B216)=MONTH('Исходные данные'!$B$91)),-(AE216+AD216),IF(OR(AF216&lt;1,AF216&gt;N('Исходные данные'!$B$25)),0,IF('Исходные данные'!$B$27="Равными долями",-MIN(AE216+AD216,N('Исходные данные'!$B$23)/N('Исходные данные'!$B$25)),-MIN(AE216+AD216,IF(AF216=N('Исходные данные'!$B$25),AE216+AD216,MAX(0,AH216+AG216)))))))</f>
        <v>0</v>
      </c>
      <c r="AJ216">
        <f t="shared" si="149"/>
        <v>0</v>
      </c>
      <c r="AK216">
        <f t="shared" si="132"/>
        <v>0</v>
      </c>
      <c r="AL216">
        <f>IF(OR(B216="",'Исходные данные'!$B$51&lt;&gt;"Да",'Исходные данные'!$B$61=""),0,IF(AND(YEAR(B216)=YEAR('Исходные данные'!$B$61),MONTH(B216)=MONTH('Исходные данные'!$B$61)),N('Исходные данные'!$B$18)*N('Исходные данные'!$B$62),0))</f>
        <v>0</v>
      </c>
      <c r="AM216">
        <f t="shared" si="133"/>
        <v>0</v>
      </c>
      <c r="AN216">
        <f t="shared" si="134"/>
        <v>0</v>
      </c>
      <c r="AO216">
        <f t="shared" si="135"/>
        <v>0</v>
      </c>
      <c r="AP216">
        <f>IF('Исходные данные'!$B$51="Да",-MAX(0,AN216-AO216-AM216),0)</f>
        <v>0</v>
      </c>
      <c r="AQ216">
        <f>IF('Исходные данные'!$B$51="Да",MAX(0,AM216+AO216-AN216),0)</f>
        <v>0</v>
      </c>
      <c r="AR216">
        <f>IF('Исходные данные'!$B$53="Выручка",MAX(0,L216+(Q216-R216)+(U216-V216)),IF('Исходные данные'!$B$53="Прибыль до налога",MAX(0,L216+(Q216-R216)+(U216-V216)+N('Исходные данные'!$B$54)*((O216+P216)+(S216+T216)+W216+X216)+IF('Исходные данные'!$B$55="Да",AG216,0)-N('Исходные данные'!$B$56)/12),IF('Исходные данные'!$B$53="Пользовательская база",MAX(0,N('Исходные данные'!$B$57)/12),0)))</f>
        <v>0</v>
      </c>
      <c r="AS216">
        <f>IF(E216=1,-AR216*N('Исходные данные'!$B$50),0)</f>
        <v>0</v>
      </c>
      <c r="AT216">
        <f t="shared" si="136"/>
        <v>0</v>
      </c>
      <c r="AU216">
        <f>IF(OR(B216="",N('Исходные данные'!$B$80)&lt;=0,'Исходные данные'!$B$88=""),0,MAX(0,IF('Исходные данные'!$B$88="Последние 12 месяцев",SUMIFS($Y$2:$Y$194,$B$2:$B$194,"&gt;="&amp;EDATE(B216,-11),$B$2:$B$194,"&lt;="&amp;B216),IF('Исходные данные'!$B$88="Пользовательский NOI",N('Исходные данные'!$B$89),AT216))/N('Исходные данные'!$B$80)*(1+N('Исходные данные'!$B$81))))</f>
        <v>0</v>
      </c>
      <c r="AV216">
        <f>IF(OR(E216&lt;&gt;1,B216="",'Исходные данные'!$B$91=""),0,IF(AND(YEAR(B216)=YEAR('Исходные данные'!$B$91),MONTH(B216)=MONTH('Исходные данные'!$B$91)),AU216,0))</f>
        <v>0</v>
      </c>
      <c r="AW216">
        <f>-AV216*N('Исходные данные'!$B$73)</f>
        <v>0</v>
      </c>
      <c r="AX216">
        <f>IF(AV216=0,0,-N('Исходные данные'!$B$87)-IF('Исходные данные'!$B$82="Да",IF('Исходные данные'!$B$84="С выручки",AV216,IF('Исходные данные'!$B$84="С прибыли",MAX(0,AV216+AW216-IF('Исходные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16">
        <f t="shared" si="150"/>
        <v>0</v>
      </c>
      <c r="AZ216">
        <f t="shared" si="137"/>
        <v>0</v>
      </c>
      <c r="BA216">
        <f t="shared" si="151"/>
        <v>0</v>
      </c>
      <c r="BB216" t="str">
        <f t="shared" si="138"/>
        <v/>
      </c>
      <c r="BC216">
        <f>IF(OR(E216=0,'Исходные данные'!$B$9="",'Исходные данные'!$B$90=""),0,BA216/(1+'Исходные данные'!$B$90)^((D216-'Исходные данные'!$B$9)/365))</f>
        <v>0</v>
      </c>
      <c r="BD216">
        <f>IF(AND(E216=1,BB216&gt;=0,BB215&lt;0,MIN($BB$2:BB216)&lt;0),1,0)</f>
        <v>0</v>
      </c>
      <c r="BE216">
        <f t="shared" si="139"/>
        <v>0</v>
      </c>
      <c r="BF216">
        <f t="shared" si="140"/>
        <v>0</v>
      </c>
      <c r="BG216">
        <f t="shared" si="141"/>
        <v>0</v>
      </c>
      <c r="BH216">
        <f t="shared" si="142"/>
        <v>1</v>
      </c>
      <c r="BI216">
        <f>AZ216+N216+AP216-AR216*N('Исходные данные'!$B$50)</f>
        <v>0</v>
      </c>
      <c r="BJ216">
        <f t="shared" si="143"/>
        <v>0</v>
      </c>
      <c r="BK216">
        <f>IF(AND(BJ216&gt;=0,BJ215&lt;0,MIN($BJ$2:BJ216)&lt;0),1,0)</f>
        <v>0</v>
      </c>
    </row>
    <row r="217" spans="1:63" x14ac:dyDescent="0.2">
      <c r="A217">
        <v>216</v>
      </c>
      <c r="B217" t="str">
        <f>IF('Исходные данные'!$B$9="","",EDATE(DATE(YEAR('Исходные данные'!$B$9),MONTH('Исходные данные'!$B$9),1),A217-1))</f>
        <v/>
      </c>
      <c r="C217" t="str">
        <f t="shared" si="144"/>
        <v/>
      </c>
      <c r="D217" t="str">
        <f>IF(B217="","",IF('Исходные данные'!$B$91&lt;&gt;"",IF(AND(YEAR(B217)=YEAR('Исходные данные'!$B$91),MONTH(B217)=MONTH('Исходные данные'!$B$91)),'Исходные данные'!$B$91,IF('Исходные данные'!$B$13&lt;&gt;"",IF(AND(YEAR(B217)=YEAR('Исходные данные'!$B$13),MONTH(B217)=MONTH('Исходные данные'!$B$13)),'Исходные данные'!$B$13,IF('Исходные данные'!$B$26&lt;&gt;"",IF(AND(YEAR(B217)=YEAR('Исходные данные'!$B$26),MONTH(B217)=MONTH('Исходные данные'!$B$26)),'Исходные данные'!$B$26,IF(A217=1,'Исходные данные'!$B$9,C217)),IF(A217=1,'Исходные данные'!$B$9,C217))),IF('Исходные данные'!$B$26&lt;&gt;"",IF(AND(YEAR(B217)=YEAR('Исходные данные'!$B$26),MONTH(B217)=MONTH('Исходные данные'!$B$26)),'Исходные данные'!$B$26,IF(A217=1,'Исходные данные'!$B$9,C217)),IF(A217=1,'Исходные данные'!$B$9,C217)))),IF('Исходные данные'!$B$13&lt;&gt;"",IF(AND(YEAR(B217)=YEAR('Исходные данные'!$B$13),MONTH(B217)=MONTH('Исходные данные'!$B$13)),'Исходные данные'!$B$13,IF('Исходные данные'!$B$26&lt;&gt;"",IF(AND(YEAR(B217)=YEAR('Исходные данные'!$B$26),MONTH(B217)=MONTH('Исходные данные'!$B$26)),'Исходные данные'!$B$26,IF(A217=1,'Исходные данные'!$B$9,C217)),IF(A217=1,'Исходные данные'!$B$9,C217))),IF('Исходные данные'!$B$26&lt;&gt;"",IF(AND(YEAR(B217)=YEAR('Исходные данные'!$B$26),MONTH(B217)=MONTH('Исходные данные'!$B$26)),'Исходные данные'!$B$26,IF(A217=1,'Исходные данные'!$B$9,C217)),IF(A217=1,'Исходные данные'!$B$9,C217)))))</f>
        <v/>
      </c>
      <c r="E217">
        <f>IF(OR(B217="",'Исходные данные'!$B$91=""),0,--(B217&lt;=DATE(YEAR('Исходные данные'!$B$91),MONTH('Исходные данные'!$B$91),1)))</f>
        <v>0</v>
      </c>
      <c r="F217">
        <f>IF(OR(B217="",'Исходные данные'!$B$30="",C217&lt;'Исходные данные'!$B$30),0,DATEDIF(DATE(YEAR('Исходные данные'!$B$30),MONTH('Исходные данные'!$B$30),1),B217,"m")+1)</f>
        <v>0</v>
      </c>
      <c r="G217">
        <f t="shared" si="145"/>
        <v>0</v>
      </c>
      <c r="H217">
        <f>IF(F217=0,0,IF(G217=1,N('Исходные данные'!$B$31),IF(G217=2,N('Исходные данные'!$B$32),IF(G217=3,N('Исходные данные'!$B$33),N('Исходные данные'!$B$33)*(1+N('Исходные данные'!$B$34))^(G217-3)))))</f>
        <v>0</v>
      </c>
      <c r="I217">
        <f>IF(OR(F217=0,N('Исходные данные'!$B$5)=0,H217=0),0,'Исходные данные'!$B$5*H217*IF(AND(B217&lt;='Исходные данные'!$B$30,C217&gt;='Исходные данные'!$B$30),(C217-'Исходные данные'!$B$30+1)/DAY(C217),1))</f>
        <v>0</v>
      </c>
      <c r="J217">
        <f>IF(AND(F217&gt;0,F217&lt;=N('Исходные данные'!$B$37)),-I217,0)</f>
        <v>0</v>
      </c>
      <c r="K217">
        <f>IF(OR(F217=0,F217&lt;=N('Исходные данные'!$B$37)),0,-(I217+J217)*N('Исходные данные'!$B$38))</f>
        <v>0</v>
      </c>
      <c r="L217">
        <f t="shared" si="146"/>
        <v>0</v>
      </c>
      <c r="M217">
        <f>IF('Исходные данные'!$B$51="Да",L217*N('Исходные данные'!$B$52),0)</f>
        <v>0</v>
      </c>
      <c r="N217">
        <f t="shared" si="147"/>
        <v>0</v>
      </c>
      <c r="O217">
        <f>IF(OR(B217="",IF('Исходные данные'!$B$45="",'Исходные данные'!$B$10,'Исходные данные'!$B$45)="",C217&lt;IF('Исходные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данные'!$B$45)),1),B217,"m")/12))*IF(AND(B217&lt;=IF('Исходные данные'!$B$45="",'Исходные данные'!$B$10,'Исходные данные'!$B$45),C217&gt;=IF('Исходные данные'!$B$45="",'Исходные данные'!$B$10,'Исходные данные'!$B$45)),(C217-IF('Исходные данные'!$B$45="",'Исходные данные'!$B$10,'Исходные данные'!$B$45)+1)/DAY(C217),1)*IF('Исходные данные'!$B$43="Без НДС",1+N('Исходные данные'!$B$44),1))</f>
        <v>0</v>
      </c>
      <c r="P217">
        <f>IF('Исходные данные'!$B$51="Да",-O217*N('Исходные данные'!$B$44)/(1+N('Исходные данные'!$B$44)),0)</f>
        <v>0</v>
      </c>
      <c r="Q217">
        <f>IF('Исходные данные'!$B$35="Да",-O217,0)</f>
        <v>0</v>
      </c>
      <c r="R217">
        <f>IF(AND('Исходные данные'!$B$51="Да",Q217&gt;0),Q217*N('Исходные данные'!$B$52)/(1+N('Исходные данные'!$B$52)),0)</f>
        <v>0</v>
      </c>
      <c r="S217">
        <f>IF(OR(B217="",IF('Исходные данные'!$B$45="",'Исходные данные'!$B$10,'Исходные данные'!$B$45)="",C217&lt;IF('Исходные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данные'!$B$45)),1),B217,"m")/12))*IF(AND(B217&lt;=IF('Исходные данные'!$B$45="",'Исходные данные'!$B$10,'Исходные данные'!$B$45),C217&gt;=IF('Исходные данные'!$B$45="",'Исходные данные'!$B$10,'Исходные данные'!$B$45)),(C217-IF('Исходные данные'!$B$45="",'Исходные данные'!$B$10,'Исходные данные'!$B$45)+1)/DAY(C217),1)*IF('Исходные данные'!$B$43="Без НДС",1+N('Исходные данные'!$B$44),1))</f>
        <v>0</v>
      </c>
      <c r="T217">
        <f>IF('Исходные данные'!$B$51="Да",-S217*N('Исходные данные'!$B$44)/(1+N('Исходные данные'!$B$44)),0)</f>
        <v>0</v>
      </c>
      <c r="U217">
        <f>IF('Исходные данные'!$B$36="Да",-S217,0)</f>
        <v>0</v>
      </c>
      <c r="V217">
        <f>IF(AND('Исходные данные'!$B$51="Да",U217&gt;0),U217*N('Исходные данные'!$B$52)/(1+N('Исходные данные'!$B$52)),0)</f>
        <v>0</v>
      </c>
      <c r="W217">
        <f>IF(OR(B217="",IF('Исходные данные'!$B$69="",'Исходные данные'!$B$10,'Исходные данные'!$B$69)="",C217&lt;IF('Исходные данные'!$B$69="",'Исходные данные'!$B$10,'Исходные данные'!$B$69)),0,-N('Исходные данные'!$B$16)*N('Исходные данные'!$B$68)*N('Исходные данные'!$B$67)/12*IF(AND(B217&lt;=IF('Исходные данные'!$B$69="",'Исходные данные'!$B$10,'Исходные данные'!$B$69),C217&gt;=IF('Исходные данные'!$B$69="",'Исходные данные'!$B$10,'Исходные данные'!$B$69)),(C217-IF('Исходные данные'!$B$69="",'Исходные данные'!$B$10,'Исходные данные'!$B$69)+1)/DAY(C217),1))</f>
        <v>0</v>
      </c>
      <c r="X217">
        <f>IF(OR(B217="",IF('Исходные данные'!$B$76="",'Исходные данные'!$B$10,'Исходные данные'!$B$76)="",C217&lt;IF('Исходные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данные'!$B$76)),1),B217,"m")/12))*IF(AND(B217&lt;=IF('Исходные данные'!$B$76="",'Исходные данные'!$B$10,'Исходные данные'!$B$76),C217&gt;=IF('Исходные данные'!$B$76="",'Исходные данные'!$B$10,'Исходные данные'!$B$76)),(C217-IF('Исходные данные'!$B$76="",'Исходные данные'!$B$10,'Исходные данные'!$B$76)+1)/DAY(C217),1))</f>
        <v>0</v>
      </c>
      <c r="Y217">
        <f t="shared" si="148"/>
        <v>0</v>
      </c>
      <c r="Z217">
        <f>IF(OR(B217="",N('Исходные данные'!$B$19)=0),0,-SUMIFS('Исходные данные'!$I$6:$I$186,'Исходные данные'!$F$6:$F$186,B217)*N('Исходные данные'!$B$17)/N('Исходные данные'!$B$19))</f>
        <v>0</v>
      </c>
      <c r="AA217">
        <f>IF(OR(B217="",N('Исходные данные'!$B$19)=0),0,-SUMIFS('Исходные данные'!$I$6:$I$186,'Исходные данные'!$F$6:$F$186,B217)*N('Исходные данные'!$B$18)/N('Исходные данные'!$B$19))</f>
        <v>0</v>
      </c>
      <c r="AB217">
        <f>IF(OR(B217="",'Исходные данные'!$B$13=""),0,IF(AND(YEAR(B217)=YEAR('Исходные данные'!$B$13),MONTH(B217)=MONTH('Исходные данные'!$B$13)),-N('Исходные данные'!$B$11),0))</f>
        <v>0</v>
      </c>
      <c r="AC217">
        <f>IF(A217=1,-N('Исходные данные'!$B$19)*N('Исходные данные'!$B$72),0)</f>
        <v>0</v>
      </c>
      <c r="AD217">
        <f>IF(OR(B217="",'Исходные данные'!$B$22&lt;&gt;"Да",'Исходные данные'!$B$26=""),0,IF(AND(YEAR(B217)=YEAR('Исходные данные'!$B$26),MONTH(B217)=MONTH('Исходные данные'!$B$26)),N('Исходные данные'!$B$23),0))</f>
        <v>0</v>
      </c>
      <c r="AE217">
        <f t="shared" si="131"/>
        <v>0</v>
      </c>
      <c r="AF217">
        <f>IF(OR('Исходные данные'!$B$22&lt;&gt;"Да",'Исходные данные'!$B$26="",C217&lt;'Исходные данные'!$B$26),0,DATEDIF(DATE(YEAR('Исходные данные'!$B$26),MONTH('Исходные данные'!$B$26),1),B217,"m")+1)</f>
        <v>0</v>
      </c>
      <c r="AG217">
        <f>IF(OR(AF217&lt;1,AF217&gt;N('Исходные данные'!$B$25),AE217+AD217&lt;=0),0,-(AE217+AD217)*N('Исходные данные'!$B$24)*IF(AF217=1,C217-'Исходные данные'!$B$26+1,DAY(C217))/365)</f>
        <v>0</v>
      </c>
      <c r="AH217">
        <f>IF(OR(AF217&lt;1,AF217&gt;N('Исходные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данные'!$B$25)-AG217))</f>
        <v>0</v>
      </c>
      <c r="AI217">
        <f>IF(OR('Исходные данные'!$B$22&lt;&gt;"Да",AE217+AD217&lt;=0),0,IF(AND('Исходные данные'!$B$91&lt;&gt;"",B217&lt;&gt;"",YEAR(B217)=YEAR('Исходные данные'!$B$91),MONTH(B217)=MONTH('Исходные данные'!$B$91)),-(AE217+AD217),IF(OR(AF217&lt;1,AF217&gt;N('Исходные данные'!$B$25)),0,IF('Исходные данные'!$B$27="Равными долями",-MIN(AE217+AD217,N('Исходные данные'!$B$23)/N('Исходные данные'!$B$25)),-MIN(AE217+AD217,IF(AF217=N('Исходные данные'!$B$25),AE217+AD217,MAX(0,AH217+AG217)))))))</f>
        <v>0</v>
      </c>
      <c r="AJ217">
        <f t="shared" si="149"/>
        <v>0</v>
      </c>
      <c r="AK217">
        <f t="shared" si="132"/>
        <v>0</v>
      </c>
      <c r="AL217">
        <f>IF(OR(B217="",'Исходные данные'!$B$51&lt;&gt;"Да",'Исходные данные'!$B$61=""),0,IF(AND(YEAR(B217)=YEAR('Исходные данные'!$B$61),MONTH(B217)=MONTH('Исходные данные'!$B$61)),N('Исходные данные'!$B$18)*N('Исходные данные'!$B$62),0))</f>
        <v>0</v>
      </c>
      <c r="AM217">
        <f t="shared" si="133"/>
        <v>0</v>
      </c>
      <c r="AN217">
        <f t="shared" si="134"/>
        <v>0</v>
      </c>
      <c r="AO217">
        <f t="shared" si="135"/>
        <v>0</v>
      </c>
      <c r="AP217">
        <f>IF('Исходные данные'!$B$51="Да",-MAX(0,AN217-AO217-AM217),0)</f>
        <v>0</v>
      </c>
      <c r="AQ217">
        <f>IF('Исходные данные'!$B$51="Да",MAX(0,AM217+AO217-AN217),0)</f>
        <v>0</v>
      </c>
      <c r="AR217">
        <f>IF('Исходные данные'!$B$53="Выручка",MAX(0,L217+(Q217-R217)+(U217-V217)),IF('Исходные данные'!$B$53="Прибыль до налога",MAX(0,L217+(Q217-R217)+(U217-V217)+N('Исходные данные'!$B$54)*((O217+P217)+(S217+T217)+W217+X217)+IF('Исходные данные'!$B$55="Да",AG217,0)-N('Исходные данные'!$B$56)/12),IF('Исходные данные'!$B$53="Пользовательская база",MAX(0,N('Исходные данные'!$B$57)/12),0)))</f>
        <v>0</v>
      </c>
      <c r="AS217">
        <f>IF(E217=1,-AR217*N('Исходные данные'!$B$50),0)</f>
        <v>0</v>
      </c>
      <c r="AT217">
        <f t="shared" si="136"/>
        <v>0</v>
      </c>
      <c r="AU217">
        <f>IF(OR(B217="",N('Исходные данные'!$B$80)&lt;=0,'Исходные данные'!$B$88=""),0,MAX(0,IF('Исходные данные'!$B$88="Последние 12 месяцев",SUMIFS($Y$2:$Y$194,$B$2:$B$194,"&gt;="&amp;EDATE(B217,-11),$B$2:$B$194,"&lt;="&amp;B217),IF('Исходные данные'!$B$88="Пользовательский NOI",N('Исходные данные'!$B$89),AT217))/N('Исходные данные'!$B$80)*(1+N('Исходные данные'!$B$81))))</f>
        <v>0</v>
      </c>
      <c r="AV217">
        <f>IF(OR(E217&lt;&gt;1,B217="",'Исходные данные'!$B$91=""),0,IF(AND(YEAR(B217)=YEAR('Исходные данные'!$B$91),MONTH(B217)=MONTH('Исходные данные'!$B$91)),AU217,0))</f>
        <v>0</v>
      </c>
      <c r="AW217">
        <f>-AV217*N('Исходные данные'!$B$73)</f>
        <v>0</v>
      </c>
      <c r="AX217">
        <f>IF(AV217=0,0,-N('Исходные данные'!$B$87)-IF('Исходные данные'!$B$82="Да",IF('Исходные данные'!$B$84="С выручки",AV217,IF('Исходные данные'!$B$84="С прибыли",MAX(0,AV217+AW217-IF('Исходные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17">
        <f t="shared" si="150"/>
        <v>0</v>
      </c>
      <c r="AZ217">
        <f t="shared" si="137"/>
        <v>0</v>
      </c>
      <c r="BA217">
        <f t="shared" si="151"/>
        <v>0</v>
      </c>
      <c r="BB217" t="str">
        <f t="shared" si="138"/>
        <v/>
      </c>
      <c r="BC217">
        <f>IF(OR(E217=0,'Исходные данные'!$B$9="",'Исходные данные'!$B$90=""),0,BA217/(1+'Исходные данные'!$B$90)^((D217-'Исходные данные'!$B$9)/365))</f>
        <v>0</v>
      </c>
      <c r="BD217">
        <f>IF(AND(E217=1,BB217&gt;=0,BB216&lt;0,MIN($BB$2:BB217)&lt;0),1,0)</f>
        <v>0</v>
      </c>
      <c r="BE217">
        <f t="shared" si="139"/>
        <v>0</v>
      </c>
      <c r="BF217">
        <f t="shared" si="140"/>
        <v>0</v>
      </c>
      <c r="BG217">
        <f t="shared" si="141"/>
        <v>0</v>
      </c>
      <c r="BH217">
        <f t="shared" si="142"/>
        <v>1</v>
      </c>
      <c r="BI217">
        <f>AZ217+N217+AP217-AR217*N('Исходные данные'!$B$50)</f>
        <v>0</v>
      </c>
      <c r="BJ217">
        <f t="shared" si="143"/>
        <v>0</v>
      </c>
      <c r="BK217">
        <f>IF(AND(BJ217&gt;=0,BJ216&lt;0,MIN($BJ$2:BJ217)&lt;0),1,0)</f>
        <v>0</v>
      </c>
    </row>
    <row r="218" spans="1:63" x14ac:dyDescent="0.2">
      <c r="A218">
        <v>217</v>
      </c>
      <c r="B218" t="str">
        <f>IF('Исходные данные'!$B$9="","",EDATE(DATE(YEAR('Исходные данные'!$B$9),MONTH('Исходные данные'!$B$9),1),A218-1))</f>
        <v/>
      </c>
      <c r="C218" t="str">
        <f t="shared" si="144"/>
        <v/>
      </c>
      <c r="D218" t="str">
        <f>IF(B218="","",IF('Исходные данные'!$B$91&lt;&gt;"",IF(AND(YEAR(B218)=YEAR('Исходные данные'!$B$91),MONTH(B218)=MONTH('Исходные данные'!$B$91)),'Исходные данные'!$B$91,IF('Исходные данные'!$B$13&lt;&gt;"",IF(AND(YEAR(B218)=YEAR('Исходные данные'!$B$13),MONTH(B218)=MONTH('Исходные данные'!$B$13)),'Исходные данные'!$B$13,IF('Исходные данные'!$B$26&lt;&gt;"",IF(AND(YEAR(B218)=YEAR('Исходные данные'!$B$26),MONTH(B218)=MONTH('Исходные данные'!$B$26)),'Исходные данные'!$B$26,IF(A218=1,'Исходные данные'!$B$9,C218)),IF(A218=1,'Исходные данные'!$B$9,C218))),IF('Исходные данные'!$B$26&lt;&gt;"",IF(AND(YEAR(B218)=YEAR('Исходные данные'!$B$26),MONTH(B218)=MONTH('Исходные данные'!$B$26)),'Исходные данные'!$B$26,IF(A218=1,'Исходные данные'!$B$9,C218)),IF(A218=1,'Исходные данные'!$B$9,C218)))),IF('Исходные данные'!$B$13&lt;&gt;"",IF(AND(YEAR(B218)=YEAR('Исходные данные'!$B$13),MONTH(B218)=MONTH('Исходные данные'!$B$13)),'Исходные данные'!$B$13,IF('Исходные данные'!$B$26&lt;&gt;"",IF(AND(YEAR(B218)=YEAR('Исходные данные'!$B$26),MONTH(B218)=MONTH('Исходные данные'!$B$26)),'Исходные данные'!$B$26,IF(A218=1,'Исходные данные'!$B$9,C218)),IF(A218=1,'Исходные данные'!$B$9,C218))),IF('Исходные данные'!$B$26&lt;&gt;"",IF(AND(YEAR(B218)=YEAR('Исходные данные'!$B$26),MONTH(B218)=MONTH('Исходные данные'!$B$26)),'Исходные данные'!$B$26,IF(A218=1,'Исходные данные'!$B$9,C218)),IF(A218=1,'Исходные данные'!$B$9,C218)))))</f>
        <v/>
      </c>
      <c r="E218">
        <f>IF(OR(B218="",'Исходные данные'!$B$91=""),0,--(B218&lt;=DATE(YEAR('Исходные данные'!$B$91),MONTH('Исходные данные'!$B$91),1)))</f>
        <v>0</v>
      </c>
      <c r="F218">
        <f>IF(OR(B218="",'Исходные данные'!$B$30="",C218&lt;'Исходные данные'!$B$30),0,DATEDIF(DATE(YEAR('Исходные данные'!$B$30),MONTH('Исходные данные'!$B$30),1),B218,"m")+1)</f>
        <v>0</v>
      </c>
      <c r="G218">
        <f t="shared" si="145"/>
        <v>0</v>
      </c>
      <c r="H218">
        <f>IF(F218=0,0,IF(G218=1,N('Исходные данные'!$B$31),IF(G218=2,N('Исходные данные'!$B$32),IF(G218=3,N('Исходные данные'!$B$33),N('Исходные данные'!$B$33)*(1+N('Исходные данные'!$B$34))^(G218-3)))))</f>
        <v>0</v>
      </c>
      <c r="I218">
        <f>IF(OR(F218=0,N('Исходные данные'!$B$5)=0,H218=0),0,'Исходные данные'!$B$5*H218*IF(AND(B218&lt;='Исходные данные'!$B$30,C218&gt;='Исходные данные'!$B$30),(C218-'Исходные данные'!$B$30+1)/DAY(C218),1))</f>
        <v>0</v>
      </c>
      <c r="J218">
        <f>IF(AND(F218&gt;0,F218&lt;=N('Исходные данные'!$B$37)),-I218,0)</f>
        <v>0</v>
      </c>
      <c r="K218">
        <f>IF(OR(F218=0,F218&lt;=N('Исходные данные'!$B$37)),0,-(I218+J218)*N('Исходные данные'!$B$38))</f>
        <v>0</v>
      </c>
      <c r="L218">
        <f t="shared" si="146"/>
        <v>0</v>
      </c>
      <c r="M218">
        <f>IF('Исходные данные'!$B$51="Да",L218*N('Исходные данные'!$B$52),0)</f>
        <v>0</v>
      </c>
      <c r="N218">
        <f t="shared" si="147"/>
        <v>0</v>
      </c>
      <c r="O218">
        <f>IF(OR(B218="",IF('Исходные данные'!$B$45="",'Исходные данные'!$B$10,'Исходные данные'!$B$45)="",C218&lt;IF('Исходные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данные'!$B$45)),1),B218,"m")/12))*IF(AND(B218&lt;=IF('Исходные данные'!$B$45="",'Исходные данные'!$B$10,'Исходные данные'!$B$45),C218&gt;=IF('Исходные данные'!$B$45="",'Исходные данные'!$B$10,'Исходные данные'!$B$45)),(C218-IF('Исходные данные'!$B$45="",'Исходные данные'!$B$10,'Исходные данные'!$B$45)+1)/DAY(C218),1)*IF('Исходные данные'!$B$43="Без НДС",1+N('Исходные данные'!$B$44),1))</f>
        <v>0</v>
      </c>
      <c r="P218">
        <f>IF('Исходные данные'!$B$51="Да",-O218*N('Исходные данные'!$B$44)/(1+N('Исходные данные'!$B$44)),0)</f>
        <v>0</v>
      </c>
      <c r="Q218">
        <f>IF('Исходные данные'!$B$35="Да",-O218,0)</f>
        <v>0</v>
      </c>
      <c r="R218">
        <f>IF(AND('Исходные данные'!$B$51="Да",Q218&gt;0),Q218*N('Исходные данные'!$B$52)/(1+N('Исходные данные'!$B$52)),0)</f>
        <v>0</v>
      </c>
      <c r="S218">
        <f>IF(OR(B218="",IF('Исходные данные'!$B$45="",'Исходные данные'!$B$10,'Исходные данные'!$B$45)="",C218&lt;IF('Исходные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данные'!$B$45)),1),B218,"m")/12))*IF(AND(B218&lt;=IF('Исходные данные'!$B$45="",'Исходные данные'!$B$10,'Исходные данные'!$B$45),C218&gt;=IF('Исходные данные'!$B$45="",'Исходные данные'!$B$10,'Исходные данные'!$B$45)),(C218-IF('Исходные данные'!$B$45="",'Исходные данные'!$B$10,'Исходные данные'!$B$45)+1)/DAY(C218),1)*IF('Исходные данные'!$B$43="Без НДС",1+N('Исходные данные'!$B$44),1))</f>
        <v>0</v>
      </c>
      <c r="T218">
        <f>IF('Исходные данные'!$B$51="Да",-S218*N('Исходные данные'!$B$44)/(1+N('Исходные данные'!$B$44)),0)</f>
        <v>0</v>
      </c>
      <c r="U218">
        <f>IF('Исходные данные'!$B$36="Да",-S218,0)</f>
        <v>0</v>
      </c>
      <c r="V218">
        <f>IF(AND('Исходные данные'!$B$51="Да",U218&gt;0),U218*N('Исходные данные'!$B$52)/(1+N('Исходные данные'!$B$52)),0)</f>
        <v>0</v>
      </c>
      <c r="W218">
        <f>IF(OR(B218="",IF('Исходные данные'!$B$69="",'Исходные данные'!$B$10,'Исходные данные'!$B$69)="",C218&lt;IF('Исходные данные'!$B$69="",'Исходные данные'!$B$10,'Исходные данные'!$B$69)),0,-N('Исходные данные'!$B$16)*N('Исходные данные'!$B$68)*N('Исходные данные'!$B$67)/12*IF(AND(B218&lt;=IF('Исходные данные'!$B$69="",'Исходные данные'!$B$10,'Исходные данные'!$B$69),C218&gt;=IF('Исходные данные'!$B$69="",'Исходные данные'!$B$10,'Исходные данные'!$B$69)),(C218-IF('Исходные данные'!$B$69="",'Исходные данные'!$B$10,'Исходные данные'!$B$69)+1)/DAY(C218),1))</f>
        <v>0</v>
      </c>
      <c r="X218">
        <f>IF(OR(B218="",IF('Исходные данные'!$B$76="",'Исходные данные'!$B$10,'Исходные данные'!$B$76)="",C218&lt;IF('Исходные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данные'!$B$76)),1),B218,"m")/12))*IF(AND(B218&lt;=IF('Исходные данные'!$B$76="",'Исходные данные'!$B$10,'Исходные данные'!$B$76),C218&gt;=IF('Исходные данные'!$B$76="",'Исходные данные'!$B$10,'Исходные данные'!$B$76)),(C218-IF('Исходные данные'!$B$76="",'Исходные данные'!$B$10,'Исходные данные'!$B$76)+1)/DAY(C218),1))</f>
        <v>0</v>
      </c>
      <c r="Y218">
        <f t="shared" si="148"/>
        <v>0</v>
      </c>
      <c r="Z218">
        <f>IF(OR(B218="",N('Исходные данные'!$B$19)=0),0,-SUMIFS('Исходные данные'!$I$6:$I$186,'Исходные данные'!$F$6:$F$186,B218)*N('Исходные данные'!$B$17)/N('Исходные данные'!$B$19))</f>
        <v>0</v>
      </c>
      <c r="AA218">
        <f>IF(OR(B218="",N('Исходные данные'!$B$19)=0),0,-SUMIFS('Исходные данные'!$I$6:$I$186,'Исходные данные'!$F$6:$F$186,B218)*N('Исходные данные'!$B$18)/N('Исходные данные'!$B$19))</f>
        <v>0</v>
      </c>
      <c r="AB218">
        <f>IF(OR(B218="",'Исходные данные'!$B$13=""),0,IF(AND(YEAR(B218)=YEAR('Исходные данные'!$B$13),MONTH(B218)=MONTH('Исходные данные'!$B$13)),-N('Исходные данные'!$B$11),0))</f>
        <v>0</v>
      </c>
      <c r="AC218">
        <f>IF(A218=1,-N('Исходные данные'!$B$19)*N('Исходные данные'!$B$72),0)</f>
        <v>0</v>
      </c>
      <c r="AD218">
        <f>IF(OR(B218="",'Исходные данные'!$B$22&lt;&gt;"Да",'Исходные данные'!$B$26=""),0,IF(AND(YEAR(B218)=YEAR('Исходные данные'!$B$26),MONTH(B218)=MONTH('Исходные данные'!$B$26)),N('Исходные данные'!$B$23),0))</f>
        <v>0</v>
      </c>
      <c r="AE218">
        <f t="shared" si="131"/>
        <v>0</v>
      </c>
      <c r="AF218">
        <f>IF(OR('Исходные данные'!$B$22&lt;&gt;"Да",'Исходные данные'!$B$26="",C218&lt;'Исходные данные'!$B$26),0,DATEDIF(DATE(YEAR('Исходные данные'!$B$26),MONTH('Исходные данные'!$B$26),1),B218,"m")+1)</f>
        <v>0</v>
      </c>
      <c r="AG218">
        <f>IF(OR(AF218&lt;1,AF218&gt;N('Исходные данные'!$B$25),AE218+AD218&lt;=0),0,-(AE218+AD218)*N('Исходные данные'!$B$24)*IF(AF218=1,C218-'Исходные данные'!$B$26+1,DAY(C218))/365)</f>
        <v>0</v>
      </c>
      <c r="AH218">
        <f>IF(OR(AF218&lt;1,AF218&gt;N('Исходные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данные'!$B$25)-AG218))</f>
        <v>0</v>
      </c>
      <c r="AI218">
        <f>IF(OR('Исходные данные'!$B$22&lt;&gt;"Да",AE218+AD218&lt;=0),0,IF(AND('Исходные данные'!$B$91&lt;&gt;"",B218&lt;&gt;"",YEAR(B218)=YEAR('Исходные данные'!$B$91),MONTH(B218)=MONTH('Исходные данные'!$B$91)),-(AE218+AD218),IF(OR(AF218&lt;1,AF218&gt;N('Исходные данные'!$B$25)),0,IF('Исходные данные'!$B$27="Равными долями",-MIN(AE218+AD218,N('Исходные данные'!$B$23)/N('Исходные данные'!$B$25)),-MIN(AE218+AD218,IF(AF218=N('Исходные данные'!$B$25),AE218+AD218,MAX(0,AH218+AG218)))))))</f>
        <v>0</v>
      </c>
      <c r="AJ218">
        <f t="shared" si="149"/>
        <v>0</v>
      </c>
      <c r="AK218">
        <f t="shared" si="132"/>
        <v>0</v>
      </c>
      <c r="AL218">
        <f>IF(OR(B218="",'Исходные данные'!$B$51&lt;&gt;"Да",'Исходные данные'!$B$61=""),0,IF(AND(YEAR(B218)=YEAR('Исходные данные'!$B$61),MONTH(B218)=MONTH('Исходные данные'!$B$61)),N('Исходные данные'!$B$18)*N('Исходные данные'!$B$62),0))</f>
        <v>0</v>
      </c>
      <c r="AM218">
        <f t="shared" si="133"/>
        <v>0</v>
      </c>
      <c r="AN218">
        <f t="shared" si="134"/>
        <v>0</v>
      </c>
      <c r="AO218">
        <f t="shared" si="135"/>
        <v>0</v>
      </c>
      <c r="AP218">
        <f>IF('Исходные данные'!$B$51="Да",-MAX(0,AN218-AO218-AM218),0)</f>
        <v>0</v>
      </c>
      <c r="AQ218">
        <f>IF('Исходные данные'!$B$51="Да",MAX(0,AM218+AO218-AN218),0)</f>
        <v>0</v>
      </c>
      <c r="AR218">
        <f>IF('Исходные данные'!$B$53="Выручка",MAX(0,L218+(Q218-R218)+(U218-V218)),IF('Исходные данные'!$B$53="Прибыль до налога",MAX(0,L218+(Q218-R218)+(U218-V218)+N('Исходные данные'!$B$54)*((O218+P218)+(S218+T218)+W218+X218)+IF('Исходные данные'!$B$55="Да",AG218,0)-N('Исходные данные'!$B$56)/12),IF('Исходные данные'!$B$53="Пользовательская база",MAX(0,N('Исходные данные'!$B$57)/12),0)))</f>
        <v>0</v>
      </c>
      <c r="AS218">
        <f>IF(E218=1,-AR218*N('Исходные данные'!$B$50),0)</f>
        <v>0</v>
      </c>
      <c r="AT218">
        <f t="shared" si="136"/>
        <v>0</v>
      </c>
      <c r="AU218">
        <f>IF(OR(B218="",N('Исходные данные'!$B$80)&lt;=0,'Исходные данные'!$B$88=""),0,MAX(0,IF('Исходные данные'!$B$88="Последние 12 месяцев",SUMIFS($Y$2:$Y$194,$B$2:$B$194,"&gt;="&amp;EDATE(B218,-11),$B$2:$B$194,"&lt;="&amp;B218),IF('Исходные данные'!$B$88="Пользовательский NOI",N('Исходные данные'!$B$89),AT218))/N('Исходные данные'!$B$80)*(1+N('Исходные данные'!$B$81))))</f>
        <v>0</v>
      </c>
      <c r="AV218">
        <f>IF(OR(E218&lt;&gt;1,B218="",'Исходные данные'!$B$91=""),0,IF(AND(YEAR(B218)=YEAR('Исходные данные'!$B$91),MONTH(B218)=MONTH('Исходные данные'!$B$91)),AU218,0))</f>
        <v>0</v>
      </c>
      <c r="AW218">
        <f>-AV218*N('Исходные данные'!$B$73)</f>
        <v>0</v>
      </c>
      <c r="AX218">
        <f>IF(AV218=0,0,-N('Исходные данные'!$B$87)-IF('Исходные данные'!$B$82="Да",IF('Исходные данные'!$B$84="С выручки",AV218,IF('Исходные данные'!$B$84="С прибыли",MAX(0,AV218+AW218-IF('Исходные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18">
        <f t="shared" si="150"/>
        <v>0</v>
      </c>
      <c r="AZ218">
        <f t="shared" si="137"/>
        <v>0</v>
      </c>
      <c r="BA218">
        <f t="shared" si="151"/>
        <v>0</v>
      </c>
      <c r="BB218" t="str">
        <f t="shared" si="138"/>
        <v/>
      </c>
      <c r="BC218">
        <f>IF(OR(E218=0,'Исходные данные'!$B$9="",'Исходные данные'!$B$90=""),0,BA218/(1+'Исходные данные'!$B$90)^((D218-'Исходные данные'!$B$9)/365))</f>
        <v>0</v>
      </c>
      <c r="BD218">
        <f>IF(AND(E218=1,BB218&gt;=0,BB217&lt;0,MIN($BB$2:BB218)&lt;0),1,0)</f>
        <v>0</v>
      </c>
      <c r="BE218">
        <f t="shared" si="139"/>
        <v>0</v>
      </c>
      <c r="BF218">
        <f t="shared" si="140"/>
        <v>0</v>
      </c>
      <c r="BG218">
        <f t="shared" si="141"/>
        <v>0</v>
      </c>
      <c r="BH218">
        <f t="shared" si="142"/>
        <v>1</v>
      </c>
      <c r="BI218">
        <f>AZ218+N218+AP218-AR218*N('Исходные данные'!$B$50)</f>
        <v>0</v>
      </c>
      <c r="BJ218">
        <f t="shared" si="143"/>
        <v>0</v>
      </c>
      <c r="BK218">
        <f>IF(AND(BJ218&gt;=0,BJ217&lt;0,MIN($BJ$2:BJ218)&lt;0),1,0)</f>
        <v>0</v>
      </c>
    </row>
    <row r="219" spans="1:63" x14ac:dyDescent="0.2">
      <c r="A219">
        <v>218</v>
      </c>
      <c r="B219" t="str">
        <f>IF('Исходные данные'!$B$9="","",EDATE(DATE(YEAR('Исходные данные'!$B$9),MONTH('Исходные данные'!$B$9),1),A219-1))</f>
        <v/>
      </c>
      <c r="C219" t="str">
        <f t="shared" si="144"/>
        <v/>
      </c>
      <c r="D219" t="str">
        <f>IF(B219="","",IF('Исходные данные'!$B$91&lt;&gt;"",IF(AND(YEAR(B219)=YEAR('Исходные данные'!$B$91),MONTH(B219)=MONTH('Исходные данные'!$B$91)),'Исходные данные'!$B$91,IF('Исходные данные'!$B$13&lt;&gt;"",IF(AND(YEAR(B219)=YEAR('Исходные данные'!$B$13),MONTH(B219)=MONTH('Исходные данные'!$B$13)),'Исходные данные'!$B$13,IF('Исходные данные'!$B$26&lt;&gt;"",IF(AND(YEAR(B219)=YEAR('Исходные данные'!$B$26),MONTH(B219)=MONTH('Исходные данные'!$B$26)),'Исходные данные'!$B$26,IF(A219=1,'Исходные данные'!$B$9,C219)),IF(A219=1,'Исходные данные'!$B$9,C219))),IF('Исходные данные'!$B$26&lt;&gt;"",IF(AND(YEAR(B219)=YEAR('Исходные данные'!$B$26),MONTH(B219)=MONTH('Исходные данные'!$B$26)),'Исходные данные'!$B$26,IF(A219=1,'Исходные данные'!$B$9,C219)),IF(A219=1,'Исходные данные'!$B$9,C219)))),IF('Исходные данные'!$B$13&lt;&gt;"",IF(AND(YEAR(B219)=YEAR('Исходные данные'!$B$13),MONTH(B219)=MONTH('Исходные данные'!$B$13)),'Исходные данные'!$B$13,IF('Исходные данные'!$B$26&lt;&gt;"",IF(AND(YEAR(B219)=YEAR('Исходные данные'!$B$26),MONTH(B219)=MONTH('Исходные данные'!$B$26)),'Исходные данные'!$B$26,IF(A219=1,'Исходные данные'!$B$9,C219)),IF(A219=1,'Исходные данные'!$B$9,C219))),IF('Исходные данные'!$B$26&lt;&gt;"",IF(AND(YEAR(B219)=YEAR('Исходные данные'!$B$26),MONTH(B219)=MONTH('Исходные данные'!$B$26)),'Исходные данные'!$B$26,IF(A219=1,'Исходные данные'!$B$9,C219)),IF(A219=1,'Исходные данные'!$B$9,C219)))))</f>
        <v/>
      </c>
      <c r="E219">
        <f>IF(OR(B219="",'Исходные данные'!$B$91=""),0,--(B219&lt;=DATE(YEAR('Исходные данные'!$B$91),MONTH('Исходные данные'!$B$91),1)))</f>
        <v>0</v>
      </c>
      <c r="F219">
        <f>IF(OR(B219="",'Исходные данные'!$B$30="",C219&lt;'Исходные данные'!$B$30),0,DATEDIF(DATE(YEAR('Исходные данные'!$B$30),MONTH('Исходные данные'!$B$30),1),B219,"m")+1)</f>
        <v>0</v>
      </c>
      <c r="G219">
        <f t="shared" si="145"/>
        <v>0</v>
      </c>
      <c r="H219">
        <f>IF(F219=0,0,IF(G219=1,N('Исходные данные'!$B$31),IF(G219=2,N('Исходные данные'!$B$32),IF(G219=3,N('Исходные данные'!$B$33),N('Исходные данные'!$B$33)*(1+N('Исходные данные'!$B$34))^(G219-3)))))</f>
        <v>0</v>
      </c>
      <c r="I219">
        <f>IF(OR(F219=0,N('Исходные данные'!$B$5)=0,H219=0),0,'Исходные данные'!$B$5*H219*IF(AND(B219&lt;='Исходные данные'!$B$30,C219&gt;='Исходные данные'!$B$30),(C219-'Исходные данные'!$B$30+1)/DAY(C219),1))</f>
        <v>0</v>
      </c>
      <c r="J219">
        <f>IF(AND(F219&gt;0,F219&lt;=N('Исходные данные'!$B$37)),-I219,0)</f>
        <v>0</v>
      </c>
      <c r="K219">
        <f>IF(OR(F219=0,F219&lt;=N('Исходные данные'!$B$37)),0,-(I219+J219)*N('Исходные данные'!$B$38))</f>
        <v>0</v>
      </c>
      <c r="L219">
        <f t="shared" si="146"/>
        <v>0</v>
      </c>
      <c r="M219">
        <f>IF('Исходные данные'!$B$51="Да",L219*N('Исходные данные'!$B$52),0)</f>
        <v>0</v>
      </c>
      <c r="N219">
        <f t="shared" si="147"/>
        <v>0</v>
      </c>
      <c r="O219">
        <f>IF(OR(B219="",IF('Исходные данные'!$B$45="",'Исходные данные'!$B$10,'Исходные данные'!$B$45)="",C219&lt;IF('Исходные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данные'!$B$45)),1),B219,"m")/12))*IF(AND(B219&lt;=IF('Исходные данные'!$B$45="",'Исходные данные'!$B$10,'Исходные данные'!$B$45),C219&gt;=IF('Исходные данные'!$B$45="",'Исходные данные'!$B$10,'Исходные данные'!$B$45)),(C219-IF('Исходные данные'!$B$45="",'Исходные данные'!$B$10,'Исходные данные'!$B$45)+1)/DAY(C219),1)*IF('Исходные данные'!$B$43="Без НДС",1+N('Исходные данные'!$B$44),1))</f>
        <v>0</v>
      </c>
      <c r="P219">
        <f>IF('Исходные данные'!$B$51="Да",-O219*N('Исходные данные'!$B$44)/(1+N('Исходные данные'!$B$44)),0)</f>
        <v>0</v>
      </c>
      <c r="Q219">
        <f>IF('Исходные данные'!$B$35="Да",-O219,0)</f>
        <v>0</v>
      </c>
      <c r="R219">
        <f>IF(AND('Исходные данные'!$B$51="Да",Q219&gt;0),Q219*N('Исходные данные'!$B$52)/(1+N('Исходные данные'!$B$52)),0)</f>
        <v>0</v>
      </c>
      <c r="S219">
        <f>IF(OR(B219="",IF('Исходные данные'!$B$45="",'Исходные данные'!$B$10,'Исходные данные'!$B$45)="",C219&lt;IF('Исходные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данные'!$B$45)),1),B219,"m")/12))*IF(AND(B219&lt;=IF('Исходные данные'!$B$45="",'Исходные данные'!$B$10,'Исходные данные'!$B$45),C219&gt;=IF('Исходные данные'!$B$45="",'Исходные данные'!$B$10,'Исходные данные'!$B$45)),(C219-IF('Исходные данные'!$B$45="",'Исходные данные'!$B$10,'Исходные данные'!$B$45)+1)/DAY(C219),1)*IF('Исходные данные'!$B$43="Без НДС",1+N('Исходные данные'!$B$44),1))</f>
        <v>0</v>
      </c>
      <c r="T219">
        <f>IF('Исходные данные'!$B$51="Да",-S219*N('Исходные данные'!$B$44)/(1+N('Исходные данные'!$B$44)),0)</f>
        <v>0</v>
      </c>
      <c r="U219">
        <f>IF('Исходные данные'!$B$36="Да",-S219,0)</f>
        <v>0</v>
      </c>
      <c r="V219">
        <f>IF(AND('Исходные данные'!$B$51="Да",U219&gt;0),U219*N('Исходные данные'!$B$52)/(1+N('Исходные данные'!$B$52)),0)</f>
        <v>0</v>
      </c>
      <c r="W219">
        <f>IF(OR(B219="",IF('Исходные данные'!$B$69="",'Исходные данные'!$B$10,'Исходные данные'!$B$69)="",C219&lt;IF('Исходные данные'!$B$69="",'Исходные данные'!$B$10,'Исходные данные'!$B$69)),0,-N('Исходные данные'!$B$16)*N('Исходные данные'!$B$68)*N('Исходные данные'!$B$67)/12*IF(AND(B219&lt;=IF('Исходные данные'!$B$69="",'Исходные данные'!$B$10,'Исходные данные'!$B$69),C219&gt;=IF('Исходные данные'!$B$69="",'Исходные данные'!$B$10,'Исходные данные'!$B$69)),(C219-IF('Исходные данные'!$B$69="",'Исходные данные'!$B$10,'Исходные данные'!$B$69)+1)/DAY(C219),1))</f>
        <v>0</v>
      </c>
      <c r="X219">
        <f>IF(OR(B219="",IF('Исходные данные'!$B$76="",'Исходные данные'!$B$10,'Исходные данные'!$B$76)="",C219&lt;IF('Исходные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данные'!$B$76)),1),B219,"m")/12))*IF(AND(B219&lt;=IF('Исходные данные'!$B$76="",'Исходные данные'!$B$10,'Исходные данные'!$B$76),C219&gt;=IF('Исходные данные'!$B$76="",'Исходные данные'!$B$10,'Исходные данные'!$B$76)),(C219-IF('Исходные данные'!$B$76="",'Исходные данные'!$B$10,'Исходные данные'!$B$76)+1)/DAY(C219),1))</f>
        <v>0</v>
      </c>
      <c r="Y219">
        <f t="shared" si="148"/>
        <v>0</v>
      </c>
      <c r="Z219">
        <f>IF(OR(B219="",N('Исходные данные'!$B$19)=0),0,-SUMIFS('Исходные данные'!$I$6:$I$186,'Исходные данные'!$F$6:$F$186,B219)*N('Исходные данные'!$B$17)/N('Исходные данные'!$B$19))</f>
        <v>0</v>
      </c>
      <c r="AA219">
        <f>IF(OR(B219="",N('Исходные данные'!$B$19)=0),0,-SUMIFS('Исходные данные'!$I$6:$I$186,'Исходные данные'!$F$6:$F$186,B219)*N('Исходные данные'!$B$18)/N('Исходные данные'!$B$19))</f>
        <v>0</v>
      </c>
      <c r="AB219">
        <f>IF(OR(B219="",'Исходные данные'!$B$13=""),0,IF(AND(YEAR(B219)=YEAR('Исходные данные'!$B$13),MONTH(B219)=MONTH('Исходные данные'!$B$13)),-N('Исходные данные'!$B$11),0))</f>
        <v>0</v>
      </c>
      <c r="AC219">
        <f>IF(A219=1,-N('Исходные данные'!$B$19)*N('Исходные данные'!$B$72),0)</f>
        <v>0</v>
      </c>
      <c r="AD219">
        <f>IF(OR(B219="",'Исходные данные'!$B$22&lt;&gt;"Да",'Исходные данные'!$B$26=""),0,IF(AND(YEAR(B219)=YEAR('Исходные данные'!$B$26),MONTH(B219)=MONTH('Исходные данные'!$B$26)),N('Исходные данные'!$B$23),0))</f>
        <v>0</v>
      </c>
      <c r="AE219">
        <f t="shared" si="131"/>
        <v>0</v>
      </c>
      <c r="AF219">
        <f>IF(OR('Исходные данные'!$B$22&lt;&gt;"Да",'Исходные данные'!$B$26="",C219&lt;'Исходные данные'!$B$26),0,DATEDIF(DATE(YEAR('Исходные данные'!$B$26),MONTH('Исходные данные'!$B$26),1),B219,"m")+1)</f>
        <v>0</v>
      </c>
      <c r="AG219">
        <f>IF(OR(AF219&lt;1,AF219&gt;N('Исходные данные'!$B$25),AE219+AD219&lt;=0),0,-(AE219+AD219)*N('Исходные данные'!$B$24)*IF(AF219=1,C219-'Исходные данные'!$B$26+1,DAY(C219))/365)</f>
        <v>0</v>
      </c>
      <c r="AH219">
        <f>IF(OR(AF219&lt;1,AF219&gt;N('Исходные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данные'!$B$25)-AG219))</f>
        <v>0</v>
      </c>
      <c r="AI219">
        <f>IF(OR('Исходные данные'!$B$22&lt;&gt;"Да",AE219+AD219&lt;=0),0,IF(AND('Исходные данные'!$B$91&lt;&gt;"",B219&lt;&gt;"",YEAR(B219)=YEAR('Исходные данные'!$B$91),MONTH(B219)=MONTH('Исходные данные'!$B$91)),-(AE219+AD219),IF(OR(AF219&lt;1,AF219&gt;N('Исходные данные'!$B$25)),0,IF('Исходные данные'!$B$27="Равными долями",-MIN(AE219+AD219,N('Исходные данные'!$B$23)/N('Исходные данные'!$B$25)),-MIN(AE219+AD219,IF(AF219=N('Исходные данные'!$B$25),AE219+AD219,MAX(0,AH219+AG219)))))))</f>
        <v>0</v>
      </c>
      <c r="AJ219">
        <f t="shared" si="149"/>
        <v>0</v>
      </c>
      <c r="AK219">
        <f t="shared" si="132"/>
        <v>0</v>
      </c>
      <c r="AL219">
        <f>IF(OR(B219="",'Исходные данные'!$B$51&lt;&gt;"Да",'Исходные данные'!$B$61=""),0,IF(AND(YEAR(B219)=YEAR('Исходные данные'!$B$61),MONTH(B219)=MONTH('Исходные данные'!$B$61)),N('Исходные данные'!$B$18)*N('Исходные данные'!$B$62),0))</f>
        <v>0</v>
      </c>
      <c r="AM219">
        <f t="shared" si="133"/>
        <v>0</v>
      </c>
      <c r="AN219">
        <f t="shared" si="134"/>
        <v>0</v>
      </c>
      <c r="AO219">
        <f t="shared" si="135"/>
        <v>0</v>
      </c>
      <c r="AP219">
        <f>IF('Исходные данные'!$B$51="Да",-MAX(0,AN219-AO219-AM219),0)</f>
        <v>0</v>
      </c>
      <c r="AQ219">
        <f>IF('Исходные данные'!$B$51="Да",MAX(0,AM219+AO219-AN219),0)</f>
        <v>0</v>
      </c>
      <c r="AR219">
        <f>IF('Исходные данные'!$B$53="Выручка",MAX(0,L219+(Q219-R219)+(U219-V219)),IF('Исходные данные'!$B$53="Прибыль до налога",MAX(0,L219+(Q219-R219)+(U219-V219)+N('Исходные данные'!$B$54)*((O219+P219)+(S219+T219)+W219+X219)+IF('Исходные данные'!$B$55="Да",AG219,0)-N('Исходные данные'!$B$56)/12),IF('Исходные данные'!$B$53="Пользовательская база",MAX(0,N('Исходные данные'!$B$57)/12),0)))</f>
        <v>0</v>
      </c>
      <c r="AS219">
        <f>IF(E219=1,-AR219*N('Исходные данные'!$B$50),0)</f>
        <v>0</v>
      </c>
      <c r="AT219">
        <f t="shared" si="136"/>
        <v>0</v>
      </c>
      <c r="AU219">
        <f>IF(OR(B219="",N('Исходные данные'!$B$80)&lt;=0,'Исходные данные'!$B$88=""),0,MAX(0,IF('Исходные данные'!$B$88="Последние 12 месяцев",SUMIFS($Y$2:$Y$194,$B$2:$B$194,"&gt;="&amp;EDATE(B219,-11),$B$2:$B$194,"&lt;="&amp;B219),IF('Исходные данные'!$B$88="Пользовательский NOI",N('Исходные данные'!$B$89),AT219))/N('Исходные данные'!$B$80)*(1+N('Исходные данные'!$B$81))))</f>
        <v>0</v>
      </c>
      <c r="AV219">
        <f>IF(OR(E219&lt;&gt;1,B219="",'Исходные данные'!$B$91=""),0,IF(AND(YEAR(B219)=YEAR('Исходные данные'!$B$91),MONTH(B219)=MONTH('Исходные данные'!$B$91)),AU219,0))</f>
        <v>0</v>
      </c>
      <c r="AW219">
        <f>-AV219*N('Исходные данные'!$B$73)</f>
        <v>0</v>
      </c>
      <c r="AX219">
        <f>IF(AV219=0,0,-N('Исходные данные'!$B$87)-IF('Исходные данные'!$B$82="Да",IF('Исходные данные'!$B$84="С выручки",AV219,IF('Исходные данные'!$B$84="С прибыли",MAX(0,AV219+AW219-IF('Исходные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19">
        <f t="shared" si="150"/>
        <v>0</v>
      </c>
      <c r="AZ219">
        <f t="shared" si="137"/>
        <v>0</v>
      </c>
      <c r="BA219">
        <f t="shared" si="151"/>
        <v>0</v>
      </c>
      <c r="BB219" t="str">
        <f t="shared" si="138"/>
        <v/>
      </c>
      <c r="BC219">
        <f>IF(OR(E219=0,'Исходные данные'!$B$9="",'Исходные данные'!$B$90=""),0,BA219/(1+'Исходные данные'!$B$90)^((D219-'Исходные данные'!$B$9)/365))</f>
        <v>0</v>
      </c>
      <c r="BD219">
        <f>IF(AND(E219=1,BB219&gt;=0,BB218&lt;0,MIN($BB$2:BB219)&lt;0),1,0)</f>
        <v>0</v>
      </c>
      <c r="BE219">
        <f t="shared" si="139"/>
        <v>0</v>
      </c>
      <c r="BF219">
        <f t="shared" si="140"/>
        <v>0</v>
      </c>
      <c r="BG219">
        <f t="shared" si="141"/>
        <v>0</v>
      </c>
      <c r="BH219">
        <f t="shared" si="142"/>
        <v>1</v>
      </c>
      <c r="BI219">
        <f>AZ219+N219+AP219-AR219*N('Исходные данные'!$B$50)</f>
        <v>0</v>
      </c>
      <c r="BJ219">
        <f t="shared" si="143"/>
        <v>0</v>
      </c>
      <c r="BK219">
        <f>IF(AND(BJ219&gt;=0,BJ218&lt;0,MIN($BJ$2:BJ219)&lt;0),1,0)</f>
        <v>0</v>
      </c>
    </row>
    <row r="220" spans="1:63" x14ac:dyDescent="0.2">
      <c r="A220">
        <v>219</v>
      </c>
      <c r="B220" t="str">
        <f>IF('Исходные данные'!$B$9="","",EDATE(DATE(YEAR('Исходные данные'!$B$9),MONTH('Исходные данные'!$B$9),1),A220-1))</f>
        <v/>
      </c>
      <c r="C220" t="str">
        <f t="shared" si="144"/>
        <v/>
      </c>
      <c r="D220" t="str">
        <f>IF(B220="","",IF('Исходные данные'!$B$91&lt;&gt;"",IF(AND(YEAR(B220)=YEAR('Исходные данные'!$B$91),MONTH(B220)=MONTH('Исходные данные'!$B$91)),'Исходные данные'!$B$91,IF('Исходные данные'!$B$13&lt;&gt;"",IF(AND(YEAR(B220)=YEAR('Исходные данные'!$B$13),MONTH(B220)=MONTH('Исходные данные'!$B$13)),'Исходные данные'!$B$13,IF('Исходные данные'!$B$26&lt;&gt;"",IF(AND(YEAR(B220)=YEAR('Исходные данные'!$B$26),MONTH(B220)=MONTH('Исходные данные'!$B$26)),'Исходные данные'!$B$26,IF(A220=1,'Исходные данные'!$B$9,C220)),IF(A220=1,'Исходные данные'!$B$9,C220))),IF('Исходные данные'!$B$26&lt;&gt;"",IF(AND(YEAR(B220)=YEAR('Исходные данные'!$B$26),MONTH(B220)=MONTH('Исходные данные'!$B$26)),'Исходные данные'!$B$26,IF(A220=1,'Исходные данные'!$B$9,C220)),IF(A220=1,'Исходные данные'!$B$9,C220)))),IF('Исходные данные'!$B$13&lt;&gt;"",IF(AND(YEAR(B220)=YEAR('Исходные данные'!$B$13),MONTH(B220)=MONTH('Исходные данные'!$B$13)),'Исходные данные'!$B$13,IF('Исходные данные'!$B$26&lt;&gt;"",IF(AND(YEAR(B220)=YEAR('Исходные данные'!$B$26),MONTH(B220)=MONTH('Исходные данные'!$B$26)),'Исходные данные'!$B$26,IF(A220=1,'Исходные данные'!$B$9,C220)),IF(A220=1,'Исходные данные'!$B$9,C220))),IF('Исходные данные'!$B$26&lt;&gt;"",IF(AND(YEAR(B220)=YEAR('Исходные данные'!$B$26),MONTH(B220)=MONTH('Исходные данные'!$B$26)),'Исходные данные'!$B$26,IF(A220=1,'Исходные данные'!$B$9,C220)),IF(A220=1,'Исходные данные'!$B$9,C220)))))</f>
        <v/>
      </c>
      <c r="E220">
        <f>IF(OR(B220="",'Исходные данные'!$B$91=""),0,--(B220&lt;=DATE(YEAR('Исходные данные'!$B$91),MONTH('Исходные данные'!$B$91),1)))</f>
        <v>0</v>
      </c>
      <c r="F220">
        <f>IF(OR(B220="",'Исходные данные'!$B$30="",C220&lt;'Исходные данные'!$B$30),0,DATEDIF(DATE(YEAR('Исходные данные'!$B$30),MONTH('Исходные данные'!$B$30),1),B220,"m")+1)</f>
        <v>0</v>
      </c>
      <c r="G220">
        <f t="shared" si="145"/>
        <v>0</v>
      </c>
      <c r="H220">
        <f>IF(F220=0,0,IF(G220=1,N('Исходные данные'!$B$31),IF(G220=2,N('Исходные данные'!$B$32),IF(G220=3,N('Исходные данные'!$B$33),N('Исходные данные'!$B$33)*(1+N('Исходные данные'!$B$34))^(G220-3)))))</f>
        <v>0</v>
      </c>
      <c r="I220">
        <f>IF(OR(F220=0,N('Исходные данные'!$B$5)=0,H220=0),0,'Исходные данные'!$B$5*H220*IF(AND(B220&lt;='Исходные данные'!$B$30,C220&gt;='Исходные данные'!$B$30),(C220-'Исходные данные'!$B$30+1)/DAY(C220),1))</f>
        <v>0</v>
      </c>
      <c r="J220">
        <f>IF(AND(F220&gt;0,F220&lt;=N('Исходные данные'!$B$37)),-I220,0)</f>
        <v>0</v>
      </c>
      <c r="K220">
        <f>IF(OR(F220=0,F220&lt;=N('Исходные данные'!$B$37)),0,-(I220+J220)*N('Исходные данные'!$B$38))</f>
        <v>0</v>
      </c>
      <c r="L220">
        <f t="shared" si="146"/>
        <v>0</v>
      </c>
      <c r="M220">
        <f>IF('Исходные данные'!$B$51="Да",L220*N('Исходные данные'!$B$52),0)</f>
        <v>0</v>
      </c>
      <c r="N220">
        <f t="shared" si="147"/>
        <v>0</v>
      </c>
      <c r="O220">
        <f>IF(OR(B220="",IF('Исходные данные'!$B$45="",'Исходные данные'!$B$10,'Исходные данные'!$B$45)="",C220&lt;IF('Исходные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данные'!$B$45)),1),B220,"m")/12))*IF(AND(B220&lt;=IF('Исходные данные'!$B$45="",'Исходные данные'!$B$10,'Исходные данные'!$B$45),C220&gt;=IF('Исходные данные'!$B$45="",'Исходные данные'!$B$10,'Исходные данные'!$B$45)),(C220-IF('Исходные данные'!$B$45="",'Исходные данные'!$B$10,'Исходные данные'!$B$45)+1)/DAY(C220),1)*IF('Исходные данные'!$B$43="Без НДС",1+N('Исходные данные'!$B$44),1))</f>
        <v>0</v>
      </c>
      <c r="P220">
        <f>IF('Исходные данные'!$B$51="Да",-O220*N('Исходные данные'!$B$44)/(1+N('Исходные данные'!$B$44)),0)</f>
        <v>0</v>
      </c>
      <c r="Q220">
        <f>IF('Исходные данные'!$B$35="Да",-O220,0)</f>
        <v>0</v>
      </c>
      <c r="R220">
        <f>IF(AND('Исходные данные'!$B$51="Да",Q220&gt;0),Q220*N('Исходные данные'!$B$52)/(1+N('Исходные данные'!$B$52)),0)</f>
        <v>0</v>
      </c>
      <c r="S220">
        <f>IF(OR(B220="",IF('Исходные данные'!$B$45="",'Исходные данные'!$B$10,'Исходные данные'!$B$45)="",C220&lt;IF('Исходные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данные'!$B$45)),1),B220,"m")/12))*IF(AND(B220&lt;=IF('Исходные данные'!$B$45="",'Исходные данные'!$B$10,'Исходные данные'!$B$45),C220&gt;=IF('Исходные данные'!$B$45="",'Исходные данные'!$B$10,'Исходные данные'!$B$45)),(C220-IF('Исходные данные'!$B$45="",'Исходные данные'!$B$10,'Исходные данные'!$B$45)+1)/DAY(C220),1)*IF('Исходные данные'!$B$43="Без НДС",1+N('Исходные данные'!$B$44),1))</f>
        <v>0</v>
      </c>
      <c r="T220">
        <f>IF('Исходные данные'!$B$51="Да",-S220*N('Исходные данные'!$B$44)/(1+N('Исходные данные'!$B$44)),0)</f>
        <v>0</v>
      </c>
      <c r="U220">
        <f>IF('Исходные данные'!$B$36="Да",-S220,0)</f>
        <v>0</v>
      </c>
      <c r="V220">
        <f>IF(AND('Исходные данные'!$B$51="Да",U220&gt;0),U220*N('Исходные данные'!$B$52)/(1+N('Исходные данные'!$B$52)),0)</f>
        <v>0</v>
      </c>
      <c r="W220">
        <f>IF(OR(B220="",IF('Исходные данные'!$B$69="",'Исходные данные'!$B$10,'Исходные данные'!$B$69)="",C220&lt;IF('Исходные данные'!$B$69="",'Исходные данные'!$B$10,'Исходные данные'!$B$69)),0,-N('Исходные данные'!$B$16)*N('Исходные данные'!$B$68)*N('Исходные данные'!$B$67)/12*IF(AND(B220&lt;=IF('Исходные данные'!$B$69="",'Исходные данные'!$B$10,'Исходные данные'!$B$69),C220&gt;=IF('Исходные данные'!$B$69="",'Исходные данные'!$B$10,'Исходные данные'!$B$69)),(C220-IF('Исходные данные'!$B$69="",'Исходные данные'!$B$10,'Исходные данные'!$B$69)+1)/DAY(C220),1))</f>
        <v>0</v>
      </c>
      <c r="X220">
        <f>IF(OR(B220="",IF('Исходные данные'!$B$76="",'Исходные данные'!$B$10,'Исходные данные'!$B$76)="",C220&lt;IF('Исходные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данные'!$B$76)),1),B220,"m")/12))*IF(AND(B220&lt;=IF('Исходные данные'!$B$76="",'Исходные данные'!$B$10,'Исходные данные'!$B$76),C220&gt;=IF('Исходные данные'!$B$76="",'Исходные данные'!$B$10,'Исходные данные'!$B$76)),(C220-IF('Исходные данные'!$B$76="",'Исходные данные'!$B$10,'Исходные данные'!$B$76)+1)/DAY(C220),1))</f>
        <v>0</v>
      </c>
      <c r="Y220">
        <f t="shared" si="148"/>
        <v>0</v>
      </c>
      <c r="Z220">
        <f>IF(OR(B220="",N('Исходные данные'!$B$19)=0),0,-SUMIFS('Исходные данные'!$I$6:$I$186,'Исходные данные'!$F$6:$F$186,B220)*N('Исходные данные'!$B$17)/N('Исходные данные'!$B$19))</f>
        <v>0</v>
      </c>
      <c r="AA220">
        <f>IF(OR(B220="",N('Исходные данные'!$B$19)=0),0,-SUMIFS('Исходные данные'!$I$6:$I$186,'Исходные данные'!$F$6:$F$186,B220)*N('Исходные данные'!$B$18)/N('Исходные данные'!$B$19))</f>
        <v>0</v>
      </c>
      <c r="AB220">
        <f>IF(OR(B220="",'Исходные данные'!$B$13=""),0,IF(AND(YEAR(B220)=YEAR('Исходные данные'!$B$13),MONTH(B220)=MONTH('Исходные данные'!$B$13)),-N('Исходные данные'!$B$11),0))</f>
        <v>0</v>
      </c>
      <c r="AC220">
        <f>IF(A220=1,-N('Исходные данные'!$B$19)*N('Исходные данные'!$B$72),0)</f>
        <v>0</v>
      </c>
      <c r="AD220">
        <f>IF(OR(B220="",'Исходные данные'!$B$22&lt;&gt;"Да",'Исходные данные'!$B$26=""),0,IF(AND(YEAR(B220)=YEAR('Исходные данные'!$B$26),MONTH(B220)=MONTH('Исходные данные'!$B$26)),N('Исходные данные'!$B$23),0))</f>
        <v>0</v>
      </c>
      <c r="AE220">
        <f t="shared" si="131"/>
        <v>0</v>
      </c>
      <c r="AF220">
        <f>IF(OR('Исходные данные'!$B$22&lt;&gt;"Да",'Исходные данные'!$B$26="",C220&lt;'Исходные данные'!$B$26),0,DATEDIF(DATE(YEAR('Исходные данные'!$B$26),MONTH('Исходные данные'!$B$26),1),B220,"m")+1)</f>
        <v>0</v>
      </c>
      <c r="AG220">
        <f>IF(OR(AF220&lt;1,AF220&gt;N('Исходные данные'!$B$25),AE220+AD220&lt;=0),0,-(AE220+AD220)*N('Исходные данные'!$B$24)*IF(AF220=1,C220-'Исходные данные'!$B$26+1,DAY(C220))/365)</f>
        <v>0</v>
      </c>
      <c r="AH220">
        <f>IF(OR(AF220&lt;1,AF220&gt;N('Исходные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данные'!$B$25)-AG220))</f>
        <v>0</v>
      </c>
      <c r="AI220">
        <f>IF(OR('Исходные данные'!$B$22&lt;&gt;"Да",AE220+AD220&lt;=0),0,IF(AND('Исходные данные'!$B$91&lt;&gt;"",B220&lt;&gt;"",YEAR(B220)=YEAR('Исходные данные'!$B$91),MONTH(B220)=MONTH('Исходные данные'!$B$91)),-(AE220+AD220),IF(OR(AF220&lt;1,AF220&gt;N('Исходные данные'!$B$25)),0,IF('Исходные данные'!$B$27="Равными долями",-MIN(AE220+AD220,N('Исходные данные'!$B$23)/N('Исходные данные'!$B$25)),-MIN(AE220+AD220,IF(AF220=N('Исходные данные'!$B$25),AE220+AD220,MAX(0,AH220+AG220)))))))</f>
        <v>0</v>
      </c>
      <c r="AJ220">
        <f t="shared" si="149"/>
        <v>0</v>
      </c>
      <c r="AK220">
        <f t="shared" si="132"/>
        <v>0</v>
      </c>
      <c r="AL220">
        <f>IF(OR(B220="",'Исходные данные'!$B$51&lt;&gt;"Да",'Исходные данные'!$B$61=""),0,IF(AND(YEAR(B220)=YEAR('Исходные данные'!$B$61),MONTH(B220)=MONTH('Исходные данные'!$B$61)),N('Исходные данные'!$B$18)*N('Исходные данные'!$B$62),0))</f>
        <v>0</v>
      </c>
      <c r="AM220">
        <f t="shared" si="133"/>
        <v>0</v>
      </c>
      <c r="AN220">
        <f t="shared" si="134"/>
        <v>0</v>
      </c>
      <c r="AO220">
        <f t="shared" si="135"/>
        <v>0</v>
      </c>
      <c r="AP220">
        <f>IF('Исходные данные'!$B$51="Да",-MAX(0,AN220-AO220-AM220),0)</f>
        <v>0</v>
      </c>
      <c r="AQ220">
        <f>IF('Исходные данные'!$B$51="Да",MAX(0,AM220+AO220-AN220),0)</f>
        <v>0</v>
      </c>
      <c r="AR220">
        <f>IF('Исходные данные'!$B$53="Выручка",MAX(0,L220+(Q220-R220)+(U220-V220)),IF('Исходные данные'!$B$53="Прибыль до налога",MAX(0,L220+(Q220-R220)+(U220-V220)+N('Исходные данные'!$B$54)*((O220+P220)+(S220+T220)+W220+X220)+IF('Исходные данные'!$B$55="Да",AG220,0)-N('Исходные данные'!$B$56)/12),IF('Исходные данные'!$B$53="Пользовательская база",MAX(0,N('Исходные данные'!$B$57)/12),0)))</f>
        <v>0</v>
      </c>
      <c r="AS220">
        <f>IF(E220=1,-AR220*N('Исходные данные'!$B$50),0)</f>
        <v>0</v>
      </c>
      <c r="AT220">
        <f t="shared" si="136"/>
        <v>0</v>
      </c>
      <c r="AU220">
        <f>IF(OR(B220="",N('Исходные данные'!$B$80)&lt;=0,'Исходные данные'!$B$88=""),0,MAX(0,IF('Исходные данные'!$B$88="Последние 12 месяцев",SUMIFS($Y$2:$Y$194,$B$2:$B$194,"&gt;="&amp;EDATE(B220,-11),$B$2:$B$194,"&lt;="&amp;B220),IF('Исходные данные'!$B$88="Пользовательский NOI",N('Исходные данные'!$B$89),AT220))/N('Исходные данные'!$B$80)*(1+N('Исходные данные'!$B$81))))</f>
        <v>0</v>
      </c>
      <c r="AV220">
        <f>IF(OR(E220&lt;&gt;1,B220="",'Исходные данные'!$B$91=""),0,IF(AND(YEAR(B220)=YEAR('Исходные данные'!$B$91),MONTH(B220)=MONTH('Исходные данные'!$B$91)),AU220,0))</f>
        <v>0</v>
      </c>
      <c r="AW220">
        <f>-AV220*N('Исходные данные'!$B$73)</f>
        <v>0</v>
      </c>
      <c r="AX220">
        <f>IF(AV220=0,0,-N('Исходные данные'!$B$87)-IF('Исходные данные'!$B$82="Да",IF('Исходные данные'!$B$84="С выручки",AV220,IF('Исходные данные'!$B$84="С прибыли",MAX(0,AV220+AW220-IF('Исходные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20">
        <f t="shared" si="150"/>
        <v>0</v>
      </c>
      <c r="AZ220">
        <f t="shared" si="137"/>
        <v>0</v>
      </c>
      <c r="BA220">
        <f t="shared" si="151"/>
        <v>0</v>
      </c>
      <c r="BB220" t="str">
        <f t="shared" si="138"/>
        <v/>
      </c>
      <c r="BC220">
        <f>IF(OR(E220=0,'Исходные данные'!$B$9="",'Исходные данные'!$B$90=""),0,BA220/(1+'Исходные данные'!$B$90)^((D220-'Исходные данные'!$B$9)/365))</f>
        <v>0</v>
      </c>
      <c r="BD220">
        <f>IF(AND(E220=1,BB220&gt;=0,BB219&lt;0,MIN($BB$2:BB220)&lt;0),1,0)</f>
        <v>0</v>
      </c>
      <c r="BE220">
        <f t="shared" si="139"/>
        <v>0</v>
      </c>
      <c r="BF220">
        <f t="shared" si="140"/>
        <v>0</v>
      </c>
      <c r="BG220">
        <f t="shared" si="141"/>
        <v>0</v>
      </c>
      <c r="BH220">
        <f t="shared" si="142"/>
        <v>1</v>
      </c>
      <c r="BI220">
        <f>AZ220+N220+AP220-AR220*N('Исходные данные'!$B$50)</f>
        <v>0</v>
      </c>
      <c r="BJ220">
        <f t="shared" si="143"/>
        <v>0</v>
      </c>
      <c r="BK220">
        <f>IF(AND(BJ220&gt;=0,BJ219&lt;0,MIN($BJ$2:BJ220)&lt;0),1,0)</f>
        <v>0</v>
      </c>
    </row>
    <row r="221" spans="1:63" x14ac:dyDescent="0.2">
      <c r="A221">
        <v>220</v>
      </c>
      <c r="B221" t="str">
        <f>IF('Исходные данные'!$B$9="","",EDATE(DATE(YEAR('Исходные данные'!$B$9),MONTH('Исходные данные'!$B$9),1),A221-1))</f>
        <v/>
      </c>
      <c r="C221" t="str">
        <f t="shared" si="144"/>
        <v/>
      </c>
      <c r="D221" t="str">
        <f>IF(B221="","",IF('Исходные данные'!$B$91&lt;&gt;"",IF(AND(YEAR(B221)=YEAR('Исходные данные'!$B$91),MONTH(B221)=MONTH('Исходные данные'!$B$91)),'Исходные данные'!$B$91,IF('Исходные данные'!$B$13&lt;&gt;"",IF(AND(YEAR(B221)=YEAR('Исходные данные'!$B$13),MONTH(B221)=MONTH('Исходные данные'!$B$13)),'Исходные данные'!$B$13,IF('Исходные данные'!$B$26&lt;&gt;"",IF(AND(YEAR(B221)=YEAR('Исходные данные'!$B$26),MONTH(B221)=MONTH('Исходные данные'!$B$26)),'Исходные данные'!$B$26,IF(A221=1,'Исходные данные'!$B$9,C221)),IF(A221=1,'Исходные данные'!$B$9,C221))),IF('Исходные данные'!$B$26&lt;&gt;"",IF(AND(YEAR(B221)=YEAR('Исходные данные'!$B$26),MONTH(B221)=MONTH('Исходные данные'!$B$26)),'Исходные данные'!$B$26,IF(A221=1,'Исходные данные'!$B$9,C221)),IF(A221=1,'Исходные данные'!$B$9,C221)))),IF('Исходные данные'!$B$13&lt;&gt;"",IF(AND(YEAR(B221)=YEAR('Исходные данные'!$B$13),MONTH(B221)=MONTH('Исходные данные'!$B$13)),'Исходные данные'!$B$13,IF('Исходные данные'!$B$26&lt;&gt;"",IF(AND(YEAR(B221)=YEAR('Исходные данные'!$B$26),MONTH(B221)=MONTH('Исходные данные'!$B$26)),'Исходные данные'!$B$26,IF(A221=1,'Исходные данные'!$B$9,C221)),IF(A221=1,'Исходные данные'!$B$9,C221))),IF('Исходные данные'!$B$26&lt;&gt;"",IF(AND(YEAR(B221)=YEAR('Исходные данные'!$B$26),MONTH(B221)=MONTH('Исходные данные'!$B$26)),'Исходные данные'!$B$26,IF(A221=1,'Исходные данные'!$B$9,C221)),IF(A221=1,'Исходные данные'!$B$9,C221)))))</f>
        <v/>
      </c>
      <c r="E221">
        <f>IF(OR(B221="",'Исходные данные'!$B$91=""),0,--(B221&lt;=DATE(YEAR('Исходные данные'!$B$91),MONTH('Исходные данные'!$B$91),1)))</f>
        <v>0</v>
      </c>
      <c r="F221">
        <f>IF(OR(B221="",'Исходные данные'!$B$30="",C221&lt;'Исходные данные'!$B$30),0,DATEDIF(DATE(YEAR('Исходные данные'!$B$30),MONTH('Исходные данные'!$B$30),1),B221,"m")+1)</f>
        <v>0</v>
      </c>
      <c r="G221">
        <f t="shared" si="145"/>
        <v>0</v>
      </c>
      <c r="H221">
        <f>IF(F221=0,0,IF(G221=1,N('Исходные данные'!$B$31),IF(G221=2,N('Исходные данные'!$B$32),IF(G221=3,N('Исходные данные'!$B$33),N('Исходные данные'!$B$33)*(1+N('Исходные данные'!$B$34))^(G221-3)))))</f>
        <v>0</v>
      </c>
      <c r="I221">
        <f>IF(OR(F221=0,N('Исходные данные'!$B$5)=0,H221=0),0,'Исходные данные'!$B$5*H221*IF(AND(B221&lt;='Исходные данные'!$B$30,C221&gt;='Исходные данные'!$B$30),(C221-'Исходные данные'!$B$30+1)/DAY(C221),1))</f>
        <v>0</v>
      </c>
      <c r="J221">
        <f>IF(AND(F221&gt;0,F221&lt;=N('Исходные данные'!$B$37)),-I221,0)</f>
        <v>0</v>
      </c>
      <c r="K221">
        <f>IF(OR(F221=0,F221&lt;=N('Исходные данные'!$B$37)),0,-(I221+J221)*N('Исходные данные'!$B$38))</f>
        <v>0</v>
      </c>
      <c r="L221">
        <f t="shared" si="146"/>
        <v>0</v>
      </c>
      <c r="M221">
        <f>IF('Исходные данные'!$B$51="Да",L221*N('Исходные данные'!$B$52),0)</f>
        <v>0</v>
      </c>
      <c r="N221">
        <f t="shared" si="147"/>
        <v>0</v>
      </c>
      <c r="O221">
        <f>IF(OR(B221="",IF('Исходные данные'!$B$45="",'Исходные данные'!$B$10,'Исходные данные'!$B$45)="",C221&lt;IF('Исходные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данные'!$B$45)),1),B221,"m")/12))*IF(AND(B221&lt;=IF('Исходные данные'!$B$45="",'Исходные данные'!$B$10,'Исходные данные'!$B$45),C221&gt;=IF('Исходные данные'!$B$45="",'Исходные данные'!$B$10,'Исходные данные'!$B$45)),(C221-IF('Исходные данные'!$B$45="",'Исходные данные'!$B$10,'Исходные данные'!$B$45)+1)/DAY(C221),1)*IF('Исходные данные'!$B$43="Без НДС",1+N('Исходные данные'!$B$44),1))</f>
        <v>0</v>
      </c>
      <c r="P221">
        <f>IF('Исходные данные'!$B$51="Да",-O221*N('Исходные данные'!$B$44)/(1+N('Исходные данные'!$B$44)),0)</f>
        <v>0</v>
      </c>
      <c r="Q221">
        <f>IF('Исходные данные'!$B$35="Да",-O221,0)</f>
        <v>0</v>
      </c>
      <c r="R221">
        <f>IF(AND('Исходные данные'!$B$51="Да",Q221&gt;0),Q221*N('Исходные данные'!$B$52)/(1+N('Исходные данные'!$B$52)),0)</f>
        <v>0</v>
      </c>
      <c r="S221">
        <f>IF(OR(B221="",IF('Исходные данные'!$B$45="",'Исходные данные'!$B$10,'Исходные данные'!$B$45)="",C221&lt;IF('Исходные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данные'!$B$45)),1),B221,"m")/12))*IF(AND(B221&lt;=IF('Исходные данные'!$B$45="",'Исходные данные'!$B$10,'Исходные данные'!$B$45),C221&gt;=IF('Исходные данные'!$B$45="",'Исходные данные'!$B$10,'Исходные данные'!$B$45)),(C221-IF('Исходные данные'!$B$45="",'Исходные данные'!$B$10,'Исходные данные'!$B$45)+1)/DAY(C221),1)*IF('Исходные данные'!$B$43="Без НДС",1+N('Исходные данные'!$B$44),1))</f>
        <v>0</v>
      </c>
      <c r="T221">
        <f>IF('Исходные данные'!$B$51="Да",-S221*N('Исходные данные'!$B$44)/(1+N('Исходные данные'!$B$44)),0)</f>
        <v>0</v>
      </c>
      <c r="U221">
        <f>IF('Исходные данные'!$B$36="Да",-S221,0)</f>
        <v>0</v>
      </c>
      <c r="V221">
        <f>IF(AND('Исходные данные'!$B$51="Да",U221&gt;0),U221*N('Исходные данные'!$B$52)/(1+N('Исходные данные'!$B$52)),0)</f>
        <v>0</v>
      </c>
      <c r="W221">
        <f>IF(OR(B221="",IF('Исходные данные'!$B$69="",'Исходные данные'!$B$10,'Исходные данные'!$B$69)="",C221&lt;IF('Исходные данные'!$B$69="",'Исходные данные'!$B$10,'Исходные данные'!$B$69)),0,-N('Исходные данные'!$B$16)*N('Исходные данные'!$B$68)*N('Исходные данные'!$B$67)/12*IF(AND(B221&lt;=IF('Исходные данные'!$B$69="",'Исходные данные'!$B$10,'Исходные данные'!$B$69),C221&gt;=IF('Исходные данные'!$B$69="",'Исходные данные'!$B$10,'Исходные данные'!$B$69)),(C221-IF('Исходные данные'!$B$69="",'Исходные данные'!$B$10,'Исходные данные'!$B$69)+1)/DAY(C221),1))</f>
        <v>0</v>
      </c>
      <c r="X221">
        <f>IF(OR(B221="",IF('Исходные данные'!$B$76="",'Исходные данные'!$B$10,'Исходные данные'!$B$76)="",C221&lt;IF('Исходные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данные'!$B$76)),1),B221,"m")/12))*IF(AND(B221&lt;=IF('Исходные данные'!$B$76="",'Исходные данные'!$B$10,'Исходные данные'!$B$76),C221&gt;=IF('Исходные данные'!$B$76="",'Исходные данные'!$B$10,'Исходные данные'!$B$76)),(C221-IF('Исходные данные'!$B$76="",'Исходные данные'!$B$10,'Исходные данные'!$B$76)+1)/DAY(C221),1))</f>
        <v>0</v>
      </c>
      <c r="Y221">
        <f t="shared" si="148"/>
        <v>0</v>
      </c>
      <c r="Z221">
        <f>IF(OR(B221="",N('Исходные данные'!$B$19)=0),0,-SUMIFS('Исходные данные'!$I$6:$I$186,'Исходные данные'!$F$6:$F$186,B221)*N('Исходные данные'!$B$17)/N('Исходные данные'!$B$19))</f>
        <v>0</v>
      </c>
      <c r="AA221">
        <f>IF(OR(B221="",N('Исходные данные'!$B$19)=0),0,-SUMIFS('Исходные данные'!$I$6:$I$186,'Исходные данные'!$F$6:$F$186,B221)*N('Исходные данные'!$B$18)/N('Исходные данные'!$B$19))</f>
        <v>0</v>
      </c>
      <c r="AB221">
        <f>IF(OR(B221="",'Исходные данные'!$B$13=""),0,IF(AND(YEAR(B221)=YEAR('Исходные данные'!$B$13),MONTH(B221)=MONTH('Исходные данные'!$B$13)),-N('Исходные данные'!$B$11),0))</f>
        <v>0</v>
      </c>
      <c r="AC221">
        <f>IF(A221=1,-N('Исходные данные'!$B$19)*N('Исходные данные'!$B$72),0)</f>
        <v>0</v>
      </c>
      <c r="AD221">
        <f>IF(OR(B221="",'Исходные данные'!$B$22&lt;&gt;"Да",'Исходные данные'!$B$26=""),0,IF(AND(YEAR(B221)=YEAR('Исходные данные'!$B$26),MONTH(B221)=MONTH('Исходные данные'!$B$26)),N('Исходные данные'!$B$23),0))</f>
        <v>0</v>
      </c>
      <c r="AE221">
        <f t="shared" si="131"/>
        <v>0</v>
      </c>
      <c r="AF221">
        <f>IF(OR('Исходные данные'!$B$22&lt;&gt;"Да",'Исходные данные'!$B$26="",C221&lt;'Исходные данные'!$B$26),0,DATEDIF(DATE(YEAR('Исходные данные'!$B$26),MONTH('Исходные данные'!$B$26),1),B221,"m")+1)</f>
        <v>0</v>
      </c>
      <c r="AG221">
        <f>IF(OR(AF221&lt;1,AF221&gt;N('Исходные данные'!$B$25),AE221+AD221&lt;=0),0,-(AE221+AD221)*N('Исходные данные'!$B$24)*IF(AF221=1,C221-'Исходные данные'!$B$26+1,DAY(C221))/365)</f>
        <v>0</v>
      </c>
      <c r="AH221">
        <f>IF(OR(AF221&lt;1,AF221&gt;N('Исходные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данные'!$B$25)-AG221))</f>
        <v>0</v>
      </c>
      <c r="AI221">
        <f>IF(OR('Исходные данные'!$B$22&lt;&gt;"Да",AE221+AD221&lt;=0),0,IF(AND('Исходные данные'!$B$91&lt;&gt;"",B221&lt;&gt;"",YEAR(B221)=YEAR('Исходные данные'!$B$91),MONTH(B221)=MONTH('Исходные данные'!$B$91)),-(AE221+AD221),IF(OR(AF221&lt;1,AF221&gt;N('Исходные данные'!$B$25)),0,IF('Исходные данные'!$B$27="Равными долями",-MIN(AE221+AD221,N('Исходные данные'!$B$23)/N('Исходные данные'!$B$25)),-MIN(AE221+AD221,IF(AF221=N('Исходные данные'!$B$25),AE221+AD221,MAX(0,AH221+AG221)))))))</f>
        <v>0</v>
      </c>
      <c r="AJ221">
        <f t="shared" si="149"/>
        <v>0</v>
      </c>
      <c r="AK221">
        <f t="shared" si="132"/>
        <v>0</v>
      </c>
      <c r="AL221">
        <f>IF(OR(B221="",'Исходные данные'!$B$51&lt;&gt;"Да",'Исходные данные'!$B$61=""),0,IF(AND(YEAR(B221)=YEAR('Исходные данные'!$B$61),MONTH(B221)=MONTH('Исходные данные'!$B$61)),N('Исходные данные'!$B$18)*N('Исходные данные'!$B$62),0))</f>
        <v>0</v>
      </c>
      <c r="AM221">
        <f t="shared" si="133"/>
        <v>0</v>
      </c>
      <c r="AN221">
        <f t="shared" si="134"/>
        <v>0</v>
      </c>
      <c r="AO221">
        <f t="shared" si="135"/>
        <v>0</v>
      </c>
      <c r="AP221">
        <f>IF('Исходные данные'!$B$51="Да",-MAX(0,AN221-AO221-AM221),0)</f>
        <v>0</v>
      </c>
      <c r="AQ221">
        <f>IF('Исходные данные'!$B$51="Да",MAX(0,AM221+AO221-AN221),0)</f>
        <v>0</v>
      </c>
      <c r="AR221">
        <f>IF('Исходные данные'!$B$53="Выручка",MAX(0,L221+(Q221-R221)+(U221-V221)),IF('Исходные данные'!$B$53="Прибыль до налога",MAX(0,L221+(Q221-R221)+(U221-V221)+N('Исходные данные'!$B$54)*((O221+P221)+(S221+T221)+W221+X221)+IF('Исходные данные'!$B$55="Да",AG221,0)-N('Исходные данные'!$B$56)/12),IF('Исходные данные'!$B$53="Пользовательская база",MAX(0,N('Исходные данные'!$B$57)/12),0)))</f>
        <v>0</v>
      </c>
      <c r="AS221">
        <f>IF(E221=1,-AR221*N('Исходные данные'!$B$50),0)</f>
        <v>0</v>
      </c>
      <c r="AT221">
        <f t="shared" si="136"/>
        <v>0</v>
      </c>
      <c r="AU221">
        <f>IF(OR(B221="",N('Исходные данные'!$B$80)&lt;=0,'Исходные данные'!$B$88=""),0,MAX(0,IF('Исходные данные'!$B$88="Последние 12 месяцев",SUMIFS($Y$2:$Y$194,$B$2:$B$194,"&gt;="&amp;EDATE(B221,-11),$B$2:$B$194,"&lt;="&amp;B221),IF('Исходные данные'!$B$88="Пользовательский NOI",N('Исходные данные'!$B$89),AT221))/N('Исходные данные'!$B$80)*(1+N('Исходные данные'!$B$81))))</f>
        <v>0</v>
      </c>
      <c r="AV221">
        <f>IF(OR(E221&lt;&gt;1,B221="",'Исходные данные'!$B$91=""),0,IF(AND(YEAR(B221)=YEAR('Исходные данные'!$B$91),MONTH(B221)=MONTH('Исходные данные'!$B$91)),AU221,0))</f>
        <v>0</v>
      </c>
      <c r="AW221">
        <f>-AV221*N('Исходные данные'!$B$73)</f>
        <v>0</v>
      </c>
      <c r="AX221">
        <f>IF(AV221=0,0,-N('Исходные данные'!$B$87)-IF('Исходные данные'!$B$82="Да",IF('Исходные данные'!$B$84="С выручки",AV221,IF('Исходные данные'!$B$84="С прибыли",MAX(0,AV221+AW221-IF('Исходные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21">
        <f t="shared" si="150"/>
        <v>0</v>
      </c>
      <c r="AZ221">
        <f t="shared" si="137"/>
        <v>0</v>
      </c>
      <c r="BA221">
        <f t="shared" si="151"/>
        <v>0</v>
      </c>
      <c r="BB221" t="str">
        <f t="shared" si="138"/>
        <v/>
      </c>
      <c r="BC221">
        <f>IF(OR(E221=0,'Исходные данные'!$B$9="",'Исходные данные'!$B$90=""),0,BA221/(1+'Исходные данные'!$B$90)^((D221-'Исходные данные'!$B$9)/365))</f>
        <v>0</v>
      </c>
      <c r="BD221">
        <f>IF(AND(E221=1,BB221&gt;=0,BB220&lt;0,MIN($BB$2:BB221)&lt;0),1,0)</f>
        <v>0</v>
      </c>
      <c r="BE221">
        <f t="shared" si="139"/>
        <v>0</v>
      </c>
      <c r="BF221">
        <f t="shared" si="140"/>
        <v>0</v>
      </c>
      <c r="BG221">
        <f t="shared" si="141"/>
        <v>0</v>
      </c>
      <c r="BH221">
        <f t="shared" si="142"/>
        <v>1</v>
      </c>
      <c r="BI221">
        <f>AZ221+N221+AP221-AR221*N('Исходные данные'!$B$50)</f>
        <v>0</v>
      </c>
      <c r="BJ221">
        <f t="shared" si="143"/>
        <v>0</v>
      </c>
      <c r="BK221">
        <f>IF(AND(BJ221&gt;=0,BJ220&lt;0,MIN($BJ$2:BJ221)&lt;0),1,0)</f>
        <v>0</v>
      </c>
    </row>
    <row r="222" spans="1:63" x14ac:dyDescent="0.2">
      <c r="A222">
        <v>221</v>
      </c>
      <c r="B222" t="str">
        <f>IF('Исходные данные'!$B$9="","",EDATE(DATE(YEAR('Исходные данные'!$B$9),MONTH('Исходные данные'!$B$9),1),A222-1))</f>
        <v/>
      </c>
      <c r="C222" t="str">
        <f t="shared" si="144"/>
        <v/>
      </c>
      <c r="D222" t="str">
        <f>IF(B222="","",IF('Исходные данные'!$B$91&lt;&gt;"",IF(AND(YEAR(B222)=YEAR('Исходные данные'!$B$91),MONTH(B222)=MONTH('Исходные данные'!$B$91)),'Исходные данные'!$B$91,IF('Исходные данные'!$B$13&lt;&gt;"",IF(AND(YEAR(B222)=YEAR('Исходные данные'!$B$13),MONTH(B222)=MONTH('Исходные данные'!$B$13)),'Исходные данные'!$B$13,IF('Исходные данные'!$B$26&lt;&gt;"",IF(AND(YEAR(B222)=YEAR('Исходные данные'!$B$26),MONTH(B222)=MONTH('Исходные данные'!$B$26)),'Исходные данные'!$B$26,IF(A222=1,'Исходные данные'!$B$9,C222)),IF(A222=1,'Исходные данные'!$B$9,C222))),IF('Исходные данные'!$B$26&lt;&gt;"",IF(AND(YEAR(B222)=YEAR('Исходные данные'!$B$26),MONTH(B222)=MONTH('Исходные данные'!$B$26)),'Исходные данные'!$B$26,IF(A222=1,'Исходные данные'!$B$9,C222)),IF(A222=1,'Исходные данные'!$B$9,C222)))),IF('Исходные данные'!$B$13&lt;&gt;"",IF(AND(YEAR(B222)=YEAR('Исходные данные'!$B$13),MONTH(B222)=MONTH('Исходные данные'!$B$13)),'Исходные данные'!$B$13,IF('Исходные данные'!$B$26&lt;&gt;"",IF(AND(YEAR(B222)=YEAR('Исходные данные'!$B$26),MONTH(B222)=MONTH('Исходные данные'!$B$26)),'Исходные данные'!$B$26,IF(A222=1,'Исходные данные'!$B$9,C222)),IF(A222=1,'Исходные данные'!$B$9,C222))),IF('Исходные данные'!$B$26&lt;&gt;"",IF(AND(YEAR(B222)=YEAR('Исходные данные'!$B$26),MONTH(B222)=MONTH('Исходные данные'!$B$26)),'Исходные данные'!$B$26,IF(A222=1,'Исходные данные'!$B$9,C222)),IF(A222=1,'Исходные данные'!$B$9,C222)))))</f>
        <v/>
      </c>
      <c r="E222">
        <f>IF(OR(B222="",'Исходные данные'!$B$91=""),0,--(B222&lt;=DATE(YEAR('Исходные данные'!$B$91),MONTH('Исходные данные'!$B$91),1)))</f>
        <v>0</v>
      </c>
      <c r="F222">
        <f>IF(OR(B222="",'Исходные данные'!$B$30="",C222&lt;'Исходные данные'!$B$30),0,DATEDIF(DATE(YEAR('Исходные данные'!$B$30),MONTH('Исходные данные'!$B$30),1),B222,"m")+1)</f>
        <v>0</v>
      </c>
      <c r="G222">
        <f t="shared" si="145"/>
        <v>0</v>
      </c>
      <c r="H222">
        <f>IF(F222=0,0,IF(G222=1,N('Исходные данные'!$B$31),IF(G222=2,N('Исходные данные'!$B$32),IF(G222=3,N('Исходные данные'!$B$33),N('Исходные данные'!$B$33)*(1+N('Исходные данные'!$B$34))^(G222-3)))))</f>
        <v>0</v>
      </c>
      <c r="I222">
        <f>IF(OR(F222=0,N('Исходные данные'!$B$5)=0,H222=0),0,'Исходные данные'!$B$5*H222*IF(AND(B222&lt;='Исходные данные'!$B$30,C222&gt;='Исходные данные'!$B$30),(C222-'Исходные данные'!$B$30+1)/DAY(C222),1))</f>
        <v>0</v>
      </c>
      <c r="J222">
        <f>IF(AND(F222&gt;0,F222&lt;=N('Исходные данные'!$B$37)),-I222,0)</f>
        <v>0</v>
      </c>
      <c r="K222">
        <f>IF(OR(F222=0,F222&lt;=N('Исходные данные'!$B$37)),0,-(I222+J222)*N('Исходные данные'!$B$38))</f>
        <v>0</v>
      </c>
      <c r="L222">
        <f t="shared" si="146"/>
        <v>0</v>
      </c>
      <c r="M222">
        <f>IF('Исходные данные'!$B$51="Да",L222*N('Исходные данные'!$B$52),0)</f>
        <v>0</v>
      </c>
      <c r="N222">
        <f t="shared" si="147"/>
        <v>0</v>
      </c>
      <c r="O222">
        <f>IF(OR(B222="",IF('Исходные данные'!$B$45="",'Исходные данные'!$B$10,'Исходные данные'!$B$45)="",C222&lt;IF('Исходные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данные'!$B$45)),1),B222,"m")/12))*IF(AND(B222&lt;=IF('Исходные данные'!$B$45="",'Исходные данные'!$B$10,'Исходные данные'!$B$45),C222&gt;=IF('Исходные данные'!$B$45="",'Исходные данные'!$B$10,'Исходные данные'!$B$45)),(C222-IF('Исходные данные'!$B$45="",'Исходные данные'!$B$10,'Исходные данные'!$B$45)+1)/DAY(C222),1)*IF('Исходные данные'!$B$43="Без НДС",1+N('Исходные данные'!$B$44),1))</f>
        <v>0</v>
      </c>
      <c r="P222">
        <f>IF('Исходные данные'!$B$51="Да",-O222*N('Исходные данные'!$B$44)/(1+N('Исходные данные'!$B$44)),0)</f>
        <v>0</v>
      </c>
      <c r="Q222">
        <f>IF('Исходные данные'!$B$35="Да",-O222,0)</f>
        <v>0</v>
      </c>
      <c r="R222">
        <f>IF(AND('Исходные данные'!$B$51="Да",Q222&gt;0),Q222*N('Исходные данные'!$B$52)/(1+N('Исходные данные'!$B$52)),0)</f>
        <v>0</v>
      </c>
      <c r="S222">
        <f>IF(OR(B222="",IF('Исходные данные'!$B$45="",'Исходные данные'!$B$10,'Исходные данные'!$B$45)="",C222&lt;IF('Исходные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данные'!$B$45)),1),B222,"m")/12))*IF(AND(B222&lt;=IF('Исходные данные'!$B$45="",'Исходные данные'!$B$10,'Исходные данные'!$B$45),C222&gt;=IF('Исходные данные'!$B$45="",'Исходные данные'!$B$10,'Исходные данные'!$B$45)),(C222-IF('Исходные данные'!$B$45="",'Исходные данные'!$B$10,'Исходные данные'!$B$45)+1)/DAY(C222),1)*IF('Исходные данные'!$B$43="Без НДС",1+N('Исходные данные'!$B$44),1))</f>
        <v>0</v>
      </c>
      <c r="T222">
        <f>IF('Исходные данные'!$B$51="Да",-S222*N('Исходные данные'!$B$44)/(1+N('Исходные данные'!$B$44)),0)</f>
        <v>0</v>
      </c>
      <c r="U222">
        <f>IF('Исходные данные'!$B$36="Да",-S222,0)</f>
        <v>0</v>
      </c>
      <c r="V222">
        <f>IF(AND('Исходные данные'!$B$51="Да",U222&gt;0),U222*N('Исходные данные'!$B$52)/(1+N('Исходные данные'!$B$52)),0)</f>
        <v>0</v>
      </c>
      <c r="W222">
        <f>IF(OR(B222="",IF('Исходные данные'!$B$69="",'Исходные данные'!$B$10,'Исходные данные'!$B$69)="",C222&lt;IF('Исходные данные'!$B$69="",'Исходные данные'!$B$10,'Исходные данные'!$B$69)),0,-N('Исходные данные'!$B$16)*N('Исходные данные'!$B$68)*N('Исходные данные'!$B$67)/12*IF(AND(B222&lt;=IF('Исходные данные'!$B$69="",'Исходные данные'!$B$10,'Исходные данные'!$B$69),C222&gt;=IF('Исходные данные'!$B$69="",'Исходные данные'!$B$10,'Исходные данные'!$B$69)),(C222-IF('Исходные данные'!$B$69="",'Исходные данные'!$B$10,'Исходные данные'!$B$69)+1)/DAY(C222),1))</f>
        <v>0</v>
      </c>
      <c r="X222">
        <f>IF(OR(B222="",IF('Исходные данные'!$B$76="",'Исходные данные'!$B$10,'Исходные данные'!$B$76)="",C222&lt;IF('Исходные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данные'!$B$76)),1),B222,"m")/12))*IF(AND(B222&lt;=IF('Исходные данные'!$B$76="",'Исходные данные'!$B$10,'Исходные данные'!$B$76),C222&gt;=IF('Исходные данные'!$B$76="",'Исходные данные'!$B$10,'Исходные данные'!$B$76)),(C222-IF('Исходные данные'!$B$76="",'Исходные данные'!$B$10,'Исходные данные'!$B$76)+1)/DAY(C222),1))</f>
        <v>0</v>
      </c>
      <c r="Y222">
        <f t="shared" si="148"/>
        <v>0</v>
      </c>
      <c r="Z222">
        <f>IF(OR(B222="",N('Исходные данные'!$B$19)=0),0,-SUMIFS('Исходные данные'!$I$6:$I$186,'Исходные данные'!$F$6:$F$186,B222)*N('Исходные данные'!$B$17)/N('Исходные данные'!$B$19))</f>
        <v>0</v>
      </c>
      <c r="AA222">
        <f>IF(OR(B222="",N('Исходные данные'!$B$19)=0),0,-SUMIFS('Исходные данные'!$I$6:$I$186,'Исходные данные'!$F$6:$F$186,B222)*N('Исходные данные'!$B$18)/N('Исходные данные'!$B$19))</f>
        <v>0</v>
      </c>
      <c r="AB222">
        <f>IF(OR(B222="",'Исходные данные'!$B$13=""),0,IF(AND(YEAR(B222)=YEAR('Исходные данные'!$B$13),MONTH(B222)=MONTH('Исходные данные'!$B$13)),-N('Исходные данные'!$B$11),0))</f>
        <v>0</v>
      </c>
      <c r="AC222">
        <f>IF(A222=1,-N('Исходные данные'!$B$19)*N('Исходные данные'!$B$72),0)</f>
        <v>0</v>
      </c>
      <c r="AD222">
        <f>IF(OR(B222="",'Исходные данные'!$B$22&lt;&gt;"Да",'Исходные данные'!$B$26=""),0,IF(AND(YEAR(B222)=YEAR('Исходные данные'!$B$26),MONTH(B222)=MONTH('Исходные данные'!$B$26)),N('Исходные данные'!$B$23),0))</f>
        <v>0</v>
      </c>
      <c r="AE222">
        <f t="shared" si="131"/>
        <v>0</v>
      </c>
      <c r="AF222">
        <f>IF(OR('Исходные данные'!$B$22&lt;&gt;"Да",'Исходные данные'!$B$26="",C222&lt;'Исходные данные'!$B$26),0,DATEDIF(DATE(YEAR('Исходные данные'!$B$26),MONTH('Исходные данные'!$B$26),1),B222,"m")+1)</f>
        <v>0</v>
      </c>
      <c r="AG222">
        <f>IF(OR(AF222&lt;1,AF222&gt;N('Исходные данные'!$B$25),AE222+AD222&lt;=0),0,-(AE222+AD222)*N('Исходные данные'!$B$24)*IF(AF222=1,C222-'Исходные данные'!$B$26+1,DAY(C222))/365)</f>
        <v>0</v>
      </c>
      <c r="AH222">
        <f>IF(OR(AF222&lt;1,AF222&gt;N('Исходные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данные'!$B$25)-AG222))</f>
        <v>0</v>
      </c>
      <c r="AI222">
        <f>IF(OR('Исходные данные'!$B$22&lt;&gt;"Да",AE222+AD222&lt;=0),0,IF(AND('Исходные данные'!$B$91&lt;&gt;"",B222&lt;&gt;"",YEAR(B222)=YEAR('Исходные данные'!$B$91),MONTH(B222)=MONTH('Исходные данные'!$B$91)),-(AE222+AD222),IF(OR(AF222&lt;1,AF222&gt;N('Исходные данные'!$B$25)),0,IF('Исходные данные'!$B$27="Равными долями",-MIN(AE222+AD222,N('Исходные данные'!$B$23)/N('Исходные данные'!$B$25)),-MIN(AE222+AD222,IF(AF222=N('Исходные данные'!$B$25),AE222+AD222,MAX(0,AH222+AG222)))))))</f>
        <v>0</v>
      </c>
      <c r="AJ222">
        <f t="shared" si="149"/>
        <v>0</v>
      </c>
      <c r="AK222">
        <f t="shared" si="132"/>
        <v>0</v>
      </c>
      <c r="AL222">
        <f>IF(OR(B222="",'Исходные данные'!$B$51&lt;&gt;"Да",'Исходные данные'!$B$61=""),0,IF(AND(YEAR(B222)=YEAR('Исходные данные'!$B$61),MONTH(B222)=MONTH('Исходные данные'!$B$61)),N('Исходные данные'!$B$18)*N('Исходные данные'!$B$62),0))</f>
        <v>0</v>
      </c>
      <c r="AM222">
        <f t="shared" si="133"/>
        <v>0</v>
      </c>
      <c r="AN222">
        <f t="shared" si="134"/>
        <v>0</v>
      </c>
      <c r="AO222">
        <f t="shared" si="135"/>
        <v>0</v>
      </c>
      <c r="AP222">
        <f>IF('Исходные данные'!$B$51="Да",-MAX(0,AN222-AO222-AM222),0)</f>
        <v>0</v>
      </c>
      <c r="AQ222">
        <f>IF('Исходные данные'!$B$51="Да",MAX(0,AM222+AO222-AN222),0)</f>
        <v>0</v>
      </c>
      <c r="AR222">
        <f>IF('Исходные данные'!$B$53="Выручка",MAX(0,L222+(Q222-R222)+(U222-V222)),IF('Исходные данные'!$B$53="Прибыль до налога",MAX(0,L222+(Q222-R222)+(U222-V222)+N('Исходные данные'!$B$54)*((O222+P222)+(S222+T222)+W222+X222)+IF('Исходные данные'!$B$55="Да",AG222,0)-N('Исходные данные'!$B$56)/12),IF('Исходные данные'!$B$53="Пользовательская база",MAX(0,N('Исходные данные'!$B$57)/12),0)))</f>
        <v>0</v>
      </c>
      <c r="AS222">
        <f>IF(E222=1,-AR222*N('Исходные данные'!$B$50),0)</f>
        <v>0</v>
      </c>
      <c r="AT222">
        <f t="shared" si="136"/>
        <v>0</v>
      </c>
      <c r="AU222">
        <f>IF(OR(B222="",N('Исходные данные'!$B$80)&lt;=0,'Исходные данные'!$B$88=""),0,MAX(0,IF('Исходные данные'!$B$88="Последние 12 месяцев",SUMIFS($Y$2:$Y$194,$B$2:$B$194,"&gt;="&amp;EDATE(B222,-11),$B$2:$B$194,"&lt;="&amp;B222),IF('Исходные данные'!$B$88="Пользовательский NOI",N('Исходные данные'!$B$89),AT222))/N('Исходные данные'!$B$80)*(1+N('Исходные данные'!$B$81))))</f>
        <v>0</v>
      </c>
      <c r="AV222">
        <f>IF(OR(E222&lt;&gt;1,B222="",'Исходные данные'!$B$91=""),0,IF(AND(YEAR(B222)=YEAR('Исходные данные'!$B$91),MONTH(B222)=MONTH('Исходные данные'!$B$91)),AU222,0))</f>
        <v>0</v>
      </c>
      <c r="AW222">
        <f>-AV222*N('Исходные данные'!$B$73)</f>
        <v>0</v>
      </c>
      <c r="AX222">
        <f>IF(AV222=0,0,-N('Исходные данные'!$B$87)-IF('Исходные данные'!$B$82="Да",IF('Исходные данные'!$B$84="С выручки",AV222,IF('Исходные данные'!$B$84="С прибыли",MAX(0,AV222+AW222-IF('Исходные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22">
        <f t="shared" si="150"/>
        <v>0</v>
      </c>
      <c r="AZ222">
        <f t="shared" si="137"/>
        <v>0</v>
      </c>
      <c r="BA222">
        <f t="shared" si="151"/>
        <v>0</v>
      </c>
      <c r="BB222" t="str">
        <f t="shared" si="138"/>
        <v/>
      </c>
      <c r="BC222">
        <f>IF(OR(E222=0,'Исходные данные'!$B$9="",'Исходные данные'!$B$90=""),0,BA222/(1+'Исходные данные'!$B$90)^((D222-'Исходные данные'!$B$9)/365))</f>
        <v>0</v>
      </c>
      <c r="BD222">
        <f>IF(AND(E222=1,BB222&gt;=0,BB221&lt;0,MIN($BB$2:BB222)&lt;0),1,0)</f>
        <v>0</v>
      </c>
      <c r="BE222">
        <f t="shared" si="139"/>
        <v>0</v>
      </c>
      <c r="BF222">
        <f t="shared" si="140"/>
        <v>0</v>
      </c>
      <c r="BG222">
        <f t="shared" si="141"/>
        <v>0</v>
      </c>
      <c r="BH222">
        <f t="shared" si="142"/>
        <v>1</v>
      </c>
      <c r="BI222">
        <f>AZ222+N222+AP222-AR222*N('Исходные данные'!$B$50)</f>
        <v>0</v>
      </c>
      <c r="BJ222">
        <f t="shared" si="143"/>
        <v>0</v>
      </c>
      <c r="BK222">
        <f>IF(AND(BJ222&gt;=0,BJ221&lt;0,MIN($BJ$2:BJ222)&lt;0),1,0)</f>
        <v>0</v>
      </c>
    </row>
    <row r="223" spans="1:63" x14ac:dyDescent="0.2">
      <c r="A223">
        <v>222</v>
      </c>
      <c r="B223" t="str">
        <f>IF('Исходные данные'!$B$9="","",EDATE(DATE(YEAR('Исходные данные'!$B$9),MONTH('Исходные данные'!$B$9),1),A223-1))</f>
        <v/>
      </c>
      <c r="C223" t="str">
        <f t="shared" si="144"/>
        <v/>
      </c>
      <c r="D223" t="str">
        <f>IF(B223="","",IF('Исходные данные'!$B$91&lt;&gt;"",IF(AND(YEAR(B223)=YEAR('Исходные данные'!$B$91),MONTH(B223)=MONTH('Исходные данные'!$B$91)),'Исходные данные'!$B$91,IF('Исходные данные'!$B$13&lt;&gt;"",IF(AND(YEAR(B223)=YEAR('Исходные данные'!$B$13),MONTH(B223)=MONTH('Исходные данные'!$B$13)),'Исходные данные'!$B$13,IF('Исходные данные'!$B$26&lt;&gt;"",IF(AND(YEAR(B223)=YEAR('Исходные данные'!$B$26),MONTH(B223)=MONTH('Исходные данные'!$B$26)),'Исходные данные'!$B$26,IF(A223=1,'Исходные данные'!$B$9,C223)),IF(A223=1,'Исходные данные'!$B$9,C223))),IF('Исходные данные'!$B$26&lt;&gt;"",IF(AND(YEAR(B223)=YEAR('Исходные данные'!$B$26),MONTH(B223)=MONTH('Исходные данные'!$B$26)),'Исходные данные'!$B$26,IF(A223=1,'Исходные данные'!$B$9,C223)),IF(A223=1,'Исходные данные'!$B$9,C223)))),IF('Исходные данные'!$B$13&lt;&gt;"",IF(AND(YEAR(B223)=YEAR('Исходные данные'!$B$13),MONTH(B223)=MONTH('Исходные данные'!$B$13)),'Исходные данные'!$B$13,IF('Исходные данные'!$B$26&lt;&gt;"",IF(AND(YEAR(B223)=YEAR('Исходные данные'!$B$26),MONTH(B223)=MONTH('Исходные данные'!$B$26)),'Исходные данные'!$B$26,IF(A223=1,'Исходные данные'!$B$9,C223)),IF(A223=1,'Исходные данные'!$B$9,C223))),IF('Исходные данные'!$B$26&lt;&gt;"",IF(AND(YEAR(B223)=YEAR('Исходные данные'!$B$26),MONTH(B223)=MONTH('Исходные данные'!$B$26)),'Исходные данные'!$B$26,IF(A223=1,'Исходные данные'!$B$9,C223)),IF(A223=1,'Исходные данные'!$B$9,C223)))))</f>
        <v/>
      </c>
      <c r="E223">
        <f>IF(OR(B223="",'Исходные данные'!$B$91=""),0,--(B223&lt;=DATE(YEAR('Исходные данные'!$B$91),MONTH('Исходные данные'!$B$91),1)))</f>
        <v>0</v>
      </c>
      <c r="F223">
        <f>IF(OR(B223="",'Исходные данные'!$B$30="",C223&lt;'Исходные данные'!$B$30),0,DATEDIF(DATE(YEAR('Исходные данные'!$B$30),MONTH('Исходные данные'!$B$30),1),B223,"m")+1)</f>
        <v>0</v>
      </c>
      <c r="G223">
        <f t="shared" si="145"/>
        <v>0</v>
      </c>
      <c r="H223">
        <f>IF(F223=0,0,IF(G223=1,N('Исходные данные'!$B$31),IF(G223=2,N('Исходные данные'!$B$32),IF(G223=3,N('Исходные данные'!$B$33),N('Исходные данные'!$B$33)*(1+N('Исходные данные'!$B$34))^(G223-3)))))</f>
        <v>0</v>
      </c>
      <c r="I223">
        <f>IF(OR(F223=0,N('Исходные данные'!$B$5)=0,H223=0),0,'Исходные данные'!$B$5*H223*IF(AND(B223&lt;='Исходные данные'!$B$30,C223&gt;='Исходные данные'!$B$30),(C223-'Исходные данные'!$B$30+1)/DAY(C223),1))</f>
        <v>0</v>
      </c>
      <c r="J223">
        <f>IF(AND(F223&gt;0,F223&lt;=N('Исходные данные'!$B$37)),-I223,0)</f>
        <v>0</v>
      </c>
      <c r="K223">
        <f>IF(OR(F223=0,F223&lt;=N('Исходные данные'!$B$37)),0,-(I223+J223)*N('Исходные данные'!$B$38))</f>
        <v>0</v>
      </c>
      <c r="L223">
        <f t="shared" si="146"/>
        <v>0</v>
      </c>
      <c r="M223">
        <f>IF('Исходные данные'!$B$51="Да",L223*N('Исходные данные'!$B$52),0)</f>
        <v>0</v>
      </c>
      <c r="N223">
        <f t="shared" si="147"/>
        <v>0</v>
      </c>
      <c r="O223">
        <f>IF(OR(B223="",IF('Исходные данные'!$B$45="",'Исходные данные'!$B$10,'Исходные данные'!$B$45)="",C223&lt;IF('Исходные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данные'!$B$45)),1),B223,"m")/12))*IF(AND(B223&lt;=IF('Исходные данные'!$B$45="",'Исходные данные'!$B$10,'Исходные данные'!$B$45),C223&gt;=IF('Исходные данные'!$B$45="",'Исходные данные'!$B$10,'Исходные данные'!$B$45)),(C223-IF('Исходные данные'!$B$45="",'Исходные данные'!$B$10,'Исходные данные'!$B$45)+1)/DAY(C223),1)*IF('Исходные данные'!$B$43="Без НДС",1+N('Исходные данные'!$B$44),1))</f>
        <v>0</v>
      </c>
      <c r="P223">
        <f>IF('Исходные данные'!$B$51="Да",-O223*N('Исходные данные'!$B$44)/(1+N('Исходные данные'!$B$44)),0)</f>
        <v>0</v>
      </c>
      <c r="Q223">
        <f>IF('Исходные данные'!$B$35="Да",-O223,0)</f>
        <v>0</v>
      </c>
      <c r="R223">
        <f>IF(AND('Исходные данные'!$B$51="Да",Q223&gt;0),Q223*N('Исходные данные'!$B$52)/(1+N('Исходные данные'!$B$52)),0)</f>
        <v>0</v>
      </c>
      <c r="S223">
        <f>IF(OR(B223="",IF('Исходные данные'!$B$45="",'Исходные данные'!$B$10,'Исходные данные'!$B$45)="",C223&lt;IF('Исходные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данные'!$B$45)),1),B223,"m")/12))*IF(AND(B223&lt;=IF('Исходные данные'!$B$45="",'Исходные данные'!$B$10,'Исходные данные'!$B$45),C223&gt;=IF('Исходные данные'!$B$45="",'Исходные данные'!$B$10,'Исходные данные'!$B$45)),(C223-IF('Исходные данные'!$B$45="",'Исходные данные'!$B$10,'Исходные данные'!$B$45)+1)/DAY(C223),1)*IF('Исходные данные'!$B$43="Без НДС",1+N('Исходные данные'!$B$44),1))</f>
        <v>0</v>
      </c>
      <c r="T223">
        <f>IF('Исходные данные'!$B$51="Да",-S223*N('Исходные данные'!$B$44)/(1+N('Исходные данные'!$B$44)),0)</f>
        <v>0</v>
      </c>
      <c r="U223">
        <f>IF('Исходные данные'!$B$36="Да",-S223,0)</f>
        <v>0</v>
      </c>
      <c r="V223">
        <f>IF(AND('Исходные данные'!$B$51="Да",U223&gt;0),U223*N('Исходные данные'!$B$52)/(1+N('Исходные данные'!$B$52)),0)</f>
        <v>0</v>
      </c>
      <c r="W223">
        <f>IF(OR(B223="",IF('Исходные данные'!$B$69="",'Исходные данные'!$B$10,'Исходные данные'!$B$69)="",C223&lt;IF('Исходные данные'!$B$69="",'Исходные данные'!$B$10,'Исходные данные'!$B$69)),0,-N('Исходные данные'!$B$16)*N('Исходные данные'!$B$68)*N('Исходные данные'!$B$67)/12*IF(AND(B223&lt;=IF('Исходные данные'!$B$69="",'Исходные данные'!$B$10,'Исходные данные'!$B$69),C223&gt;=IF('Исходные данные'!$B$69="",'Исходные данные'!$B$10,'Исходные данные'!$B$69)),(C223-IF('Исходные данные'!$B$69="",'Исходные данные'!$B$10,'Исходные данные'!$B$69)+1)/DAY(C223),1))</f>
        <v>0</v>
      </c>
      <c r="X223">
        <f>IF(OR(B223="",IF('Исходные данные'!$B$76="",'Исходные данные'!$B$10,'Исходные данные'!$B$76)="",C223&lt;IF('Исходные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данные'!$B$76)),1),B223,"m")/12))*IF(AND(B223&lt;=IF('Исходные данные'!$B$76="",'Исходные данные'!$B$10,'Исходные данные'!$B$76),C223&gt;=IF('Исходные данные'!$B$76="",'Исходные данные'!$B$10,'Исходные данные'!$B$76)),(C223-IF('Исходные данные'!$B$76="",'Исходные данные'!$B$10,'Исходные данные'!$B$76)+1)/DAY(C223),1))</f>
        <v>0</v>
      </c>
      <c r="Y223">
        <f t="shared" si="148"/>
        <v>0</v>
      </c>
      <c r="Z223">
        <f>IF(OR(B223="",N('Исходные данные'!$B$19)=0),0,-SUMIFS('Исходные данные'!$I$6:$I$186,'Исходные данные'!$F$6:$F$186,B223)*N('Исходные данные'!$B$17)/N('Исходные данные'!$B$19))</f>
        <v>0</v>
      </c>
      <c r="AA223">
        <f>IF(OR(B223="",N('Исходные данные'!$B$19)=0),0,-SUMIFS('Исходные данные'!$I$6:$I$186,'Исходные данные'!$F$6:$F$186,B223)*N('Исходные данные'!$B$18)/N('Исходные данные'!$B$19))</f>
        <v>0</v>
      </c>
      <c r="AB223">
        <f>IF(OR(B223="",'Исходные данные'!$B$13=""),0,IF(AND(YEAR(B223)=YEAR('Исходные данные'!$B$13),MONTH(B223)=MONTH('Исходные данные'!$B$13)),-N('Исходные данные'!$B$11),0))</f>
        <v>0</v>
      </c>
      <c r="AC223">
        <f>IF(A223=1,-N('Исходные данные'!$B$19)*N('Исходные данные'!$B$72),0)</f>
        <v>0</v>
      </c>
      <c r="AD223">
        <f>IF(OR(B223="",'Исходные данные'!$B$22&lt;&gt;"Да",'Исходные данные'!$B$26=""),0,IF(AND(YEAR(B223)=YEAR('Исходные данные'!$B$26),MONTH(B223)=MONTH('Исходные данные'!$B$26)),N('Исходные данные'!$B$23),0))</f>
        <v>0</v>
      </c>
      <c r="AE223">
        <f t="shared" si="131"/>
        <v>0</v>
      </c>
      <c r="AF223">
        <f>IF(OR('Исходные данные'!$B$22&lt;&gt;"Да",'Исходные данные'!$B$26="",C223&lt;'Исходные данные'!$B$26),0,DATEDIF(DATE(YEAR('Исходные данные'!$B$26),MONTH('Исходные данные'!$B$26),1),B223,"m")+1)</f>
        <v>0</v>
      </c>
      <c r="AG223">
        <f>IF(OR(AF223&lt;1,AF223&gt;N('Исходные данные'!$B$25),AE223+AD223&lt;=0),0,-(AE223+AD223)*N('Исходные данные'!$B$24)*IF(AF223=1,C223-'Исходные данные'!$B$26+1,DAY(C223))/365)</f>
        <v>0</v>
      </c>
      <c r="AH223">
        <f>IF(OR(AF223&lt;1,AF223&gt;N('Исходные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данные'!$B$25)-AG223))</f>
        <v>0</v>
      </c>
      <c r="AI223">
        <f>IF(OR('Исходные данные'!$B$22&lt;&gt;"Да",AE223+AD223&lt;=0),0,IF(AND('Исходные данные'!$B$91&lt;&gt;"",B223&lt;&gt;"",YEAR(B223)=YEAR('Исходные данные'!$B$91),MONTH(B223)=MONTH('Исходные данные'!$B$91)),-(AE223+AD223),IF(OR(AF223&lt;1,AF223&gt;N('Исходные данные'!$B$25)),0,IF('Исходные данные'!$B$27="Равными долями",-MIN(AE223+AD223,N('Исходные данные'!$B$23)/N('Исходные данные'!$B$25)),-MIN(AE223+AD223,IF(AF223=N('Исходные данные'!$B$25),AE223+AD223,MAX(0,AH223+AG223)))))))</f>
        <v>0</v>
      </c>
      <c r="AJ223">
        <f t="shared" si="149"/>
        <v>0</v>
      </c>
      <c r="AK223">
        <f t="shared" si="132"/>
        <v>0</v>
      </c>
      <c r="AL223">
        <f>IF(OR(B223="",'Исходные данные'!$B$51&lt;&gt;"Да",'Исходные данные'!$B$61=""),0,IF(AND(YEAR(B223)=YEAR('Исходные данные'!$B$61),MONTH(B223)=MONTH('Исходные данные'!$B$61)),N('Исходные данные'!$B$18)*N('Исходные данные'!$B$62),0))</f>
        <v>0</v>
      </c>
      <c r="AM223">
        <f t="shared" si="133"/>
        <v>0</v>
      </c>
      <c r="AN223">
        <f t="shared" si="134"/>
        <v>0</v>
      </c>
      <c r="AO223">
        <f t="shared" si="135"/>
        <v>0</v>
      </c>
      <c r="AP223">
        <f>IF('Исходные данные'!$B$51="Да",-MAX(0,AN223-AO223-AM223),0)</f>
        <v>0</v>
      </c>
      <c r="AQ223">
        <f>IF('Исходные данные'!$B$51="Да",MAX(0,AM223+AO223-AN223),0)</f>
        <v>0</v>
      </c>
      <c r="AR223">
        <f>IF('Исходные данные'!$B$53="Выручка",MAX(0,L223+(Q223-R223)+(U223-V223)),IF('Исходные данные'!$B$53="Прибыль до налога",MAX(0,L223+(Q223-R223)+(U223-V223)+N('Исходные данные'!$B$54)*((O223+P223)+(S223+T223)+W223+X223)+IF('Исходные данные'!$B$55="Да",AG223,0)-N('Исходные данные'!$B$56)/12),IF('Исходные данные'!$B$53="Пользовательская база",MAX(0,N('Исходные данные'!$B$57)/12),0)))</f>
        <v>0</v>
      </c>
      <c r="AS223">
        <f>IF(E223=1,-AR223*N('Исходные данные'!$B$50),0)</f>
        <v>0</v>
      </c>
      <c r="AT223">
        <f t="shared" si="136"/>
        <v>0</v>
      </c>
      <c r="AU223">
        <f>IF(OR(B223="",N('Исходные данные'!$B$80)&lt;=0,'Исходные данные'!$B$88=""),0,MAX(0,IF('Исходные данные'!$B$88="Последние 12 месяцев",SUMIFS($Y$2:$Y$194,$B$2:$B$194,"&gt;="&amp;EDATE(B223,-11),$B$2:$B$194,"&lt;="&amp;B223),IF('Исходные данные'!$B$88="Пользовательский NOI",N('Исходные данные'!$B$89),AT223))/N('Исходные данные'!$B$80)*(1+N('Исходные данные'!$B$81))))</f>
        <v>0</v>
      </c>
      <c r="AV223">
        <f>IF(OR(E223&lt;&gt;1,B223="",'Исходные данные'!$B$91=""),0,IF(AND(YEAR(B223)=YEAR('Исходные данные'!$B$91),MONTH(B223)=MONTH('Исходные данные'!$B$91)),AU223,0))</f>
        <v>0</v>
      </c>
      <c r="AW223">
        <f>-AV223*N('Исходные данные'!$B$73)</f>
        <v>0</v>
      </c>
      <c r="AX223">
        <f>IF(AV223=0,0,-N('Исходные данные'!$B$87)-IF('Исходные данные'!$B$82="Да",IF('Исходные данные'!$B$84="С выручки",AV223,IF('Исходные данные'!$B$84="С прибыли",MAX(0,AV223+AW223-IF('Исходные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23">
        <f t="shared" si="150"/>
        <v>0</v>
      </c>
      <c r="AZ223">
        <f t="shared" si="137"/>
        <v>0</v>
      </c>
      <c r="BA223">
        <f t="shared" si="151"/>
        <v>0</v>
      </c>
      <c r="BB223" t="str">
        <f t="shared" si="138"/>
        <v/>
      </c>
      <c r="BC223">
        <f>IF(OR(E223=0,'Исходные данные'!$B$9="",'Исходные данные'!$B$90=""),0,BA223/(1+'Исходные данные'!$B$90)^((D223-'Исходные данные'!$B$9)/365))</f>
        <v>0</v>
      </c>
      <c r="BD223">
        <f>IF(AND(E223=1,BB223&gt;=0,BB222&lt;0,MIN($BB$2:BB223)&lt;0),1,0)</f>
        <v>0</v>
      </c>
      <c r="BE223">
        <f t="shared" si="139"/>
        <v>0</v>
      </c>
      <c r="BF223">
        <f t="shared" si="140"/>
        <v>0</v>
      </c>
      <c r="BG223">
        <f t="shared" si="141"/>
        <v>0</v>
      </c>
      <c r="BH223">
        <f t="shared" si="142"/>
        <v>1</v>
      </c>
      <c r="BI223">
        <f>AZ223+N223+AP223-AR223*N('Исходные данные'!$B$50)</f>
        <v>0</v>
      </c>
      <c r="BJ223">
        <f t="shared" si="143"/>
        <v>0</v>
      </c>
      <c r="BK223">
        <f>IF(AND(BJ223&gt;=0,BJ222&lt;0,MIN($BJ$2:BJ223)&lt;0),1,0)</f>
        <v>0</v>
      </c>
    </row>
    <row r="224" spans="1:63" x14ac:dyDescent="0.2">
      <c r="A224">
        <v>223</v>
      </c>
      <c r="B224" t="str">
        <f>IF('Исходные данные'!$B$9="","",EDATE(DATE(YEAR('Исходные данные'!$B$9),MONTH('Исходные данные'!$B$9),1),A224-1))</f>
        <v/>
      </c>
      <c r="C224" t="str">
        <f t="shared" si="144"/>
        <v/>
      </c>
      <c r="D224" t="str">
        <f>IF(B224="","",IF('Исходные данные'!$B$91&lt;&gt;"",IF(AND(YEAR(B224)=YEAR('Исходные данные'!$B$91),MONTH(B224)=MONTH('Исходные данные'!$B$91)),'Исходные данные'!$B$91,IF('Исходные данные'!$B$13&lt;&gt;"",IF(AND(YEAR(B224)=YEAR('Исходные данные'!$B$13),MONTH(B224)=MONTH('Исходные данные'!$B$13)),'Исходные данные'!$B$13,IF('Исходные данные'!$B$26&lt;&gt;"",IF(AND(YEAR(B224)=YEAR('Исходные данные'!$B$26),MONTH(B224)=MONTH('Исходные данные'!$B$26)),'Исходные данные'!$B$26,IF(A224=1,'Исходные данные'!$B$9,C224)),IF(A224=1,'Исходные данные'!$B$9,C224))),IF('Исходные данные'!$B$26&lt;&gt;"",IF(AND(YEAR(B224)=YEAR('Исходные данные'!$B$26),MONTH(B224)=MONTH('Исходные данные'!$B$26)),'Исходные данные'!$B$26,IF(A224=1,'Исходные данные'!$B$9,C224)),IF(A224=1,'Исходные данные'!$B$9,C224)))),IF('Исходные данные'!$B$13&lt;&gt;"",IF(AND(YEAR(B224)=YEAR('Исходные данные'!$B$13),MONTH(B224)=MONTH('Исходные данные'!$B$13)),'Исходные данные'!$B$13,IF('Исходные данные'!$B$26&lt;&gt;"",IF(AND(YEAR(B224)=YEAR('Исходные данные'!$B$26),MONTH(B224)=MONTH('Исходные данные'!$B$26)),'Исходные данные'!$B$26,IF(A224=1,'Исходные данные'!$B$9,C224)),IF(A224=1,'Исходные данные'!$B$9,C224))),IF('Исходные данные'!$B$26&lt;&gt;"",IF(AND(YEAR(B224)=YEAR('Исходные данные'!$B$26),MONTH(B224)=MONTH('Исходные данные'!$B$26)),'Исходные данные'!$B$26,IF(A224=1,'Исходные данные'!$B$9,C224)),IF(A224=1,'Исходные данные'!$B$9,C224)))))</f>
        <v/>
      </c>
      <c r="E224">
        <f>IF(OR(B224="",'Исходные данные'!$B$91=""),0,--(B224&lt;=DATE(YEAR('Исходные данные'!$B$91),MONTH('Исходные данные'!$B$91),1)))</f>
        <v>0</v>
      </c>
      <c r="F224">
        <f>IF(OR(B224="",'Исходные данные'!$B$30="",C224&lt;'Исходные данные'!$B$30),0,DATEDIF(DATE(YEAR('Исходные данные'!$B$30),MONTH('Исходные данные'!$B$30),1),B224,"m")+1)</f>
        <v>0</v>
      </c>
      <c r="G224">
        <f t="shared" si="145"/>
        <v>0</v>
      </c>
      <c r="H224">
        <f>IF(F224=0,0,IF(G224=1,N('Исходные данные'!$B$31),IF(G224=2,N('Исходные данные'!$B$32),IF(G224=3,N('Исходные данные'!$B$33),N('Исходные данные'!$B$33)*(1+N('Исходные данные'!$B$34))^(G224-3)))))</f>
        <v>0</v>
      </c>
      <c r="I224">
        <f>IF(OR(F224=0,N('Исходные данные'!$B$5)=0,H224=0),0,'Исходные данные'!$B$5*H224*IF(AND(B224&lt;='Исходные данные'!$B$30,C224&gt;='Исходные данные'!$B$30),(C224-'Исходные данные'!$B$30+1)/DAY(C224),1))</f>
        <v>0</v>
      </c>
      <c r="J224">
        <f>IF(AND(F224&gt;0,F224&lt;=N('Исходные данные'!$B$37)),-I224,0)</f>
        <v>0</v>
      </c>
      <c r="K224">
        <f>IF(OR(F224=0,F224&lt;=N('Исходные данные'!$B$37)),0,-(I224+J224)*N('Исходные данные'!$B$38))</f>
        <v>0</v>
      </c>
      <c r="L224">
        <f t="shared" si="146"/>
        <v>0</v>
      </c>
      <c r="M224">
        <f>IF('Исходные данные'!$B$51="Да",L224*N('Исходные данные'!$B$52),0)</f>
        <v>0</v>
      </c>
      <c r="N224">
        <f t="shared" si="147"/>
        <v>0</v>
      </c>
      <c r="O224">
        <f>IF(OR(B224="",IF('Исходные данные'!$B$45="",'Исходные данные'!$B$10,'Исходные данные'!$B$45)="",C224&lt;IF('Исходные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данные'!$B$45)),1),B224,"m")/12))*IF(AND(B224&lt;=IF('Исходные данные'!$B$45="",'Исходные данные'!$B$10,'Исходные данные'!$B$45),C224&gt;=IF('Исходные данные'!$B$45="",'Исходные данные'!$B$10,'Исходные данные'!$B$45)),(C224-IF('Исходные данные'!$B$45="",'Исходные данные'!$B$10,'Исходные данные'!$B$45)+1)/DAY(C224),1)*IF('Исходные данные'!$B$43="Без НДС",1+N('Исходные данные'!$B$44),1))</f>
        <v>0</v>
      </c>
      <c r="P224">
        <f>IF('Исходные данные'!$B$51="Да",-O224*N('Исходные данные'!$B$44)/(1+N('Исходные данные'!$B$44)),0)</f>
        <v>0</v>
      </c>
      <c r="Q224">
        <f>IF('Исходные данные'!$B$35="Да",-O224,0)</f>
        <v>0</v>
      </c>
      <c r="R224">
        <f>IF(AND('Исходные данные'!$B$51="Да",Q224&gt;0),Q224*N('Исходные данные'!$B$52)/(1+N('Исходные данные'!$B$52)),0)</f>
        <v>0</v>
      </c>
      <c r="S224">
        <f>IF(OR(B224="",IF('Исходные данные'!$B$45="",'Исходные данные'!$B$10,'Исходные данные'!$B$45)="",C224&lt;IF('Исходные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данные'!$B$45)),1),B224,"m")/12))*IF(AND(B224&lt;=IF('Исходные данные'!$B$45="",'Исходные данные'!$B$10,'Исходные данные'!$B$45),C224&gt;=IF('Исходные данные'!$B$45="",'Исходные данные'!$B$10,'Исходные данные'!$B$45)),(C224-IF('Исходные данные'!$B$45="",'Исходные данные'!$B$10,'Исходные данные'!$B$45)+1)/DAY(C224),1)*IF('Исходные данные'!$B$43="Без НДС",1+N('Исходные данные'!$B$44),1))</f>
        <v>0</v>
      </c>
      <c r="T224">
        <f>IF('Исходные данные'!$B$51="Да",-S224*N('Исходные данные'!$B$44)/(1+N('Исходные данные'!$B$44)),0)</f>
        <v>0</v>
      </c>
      <c r="U224">
        <f>IF('Исходные данные'!$B$36="Да",-S224,0)</f>
        <v>0</v>
      </c>
      <c r="V224">
        <f>IF(AND('Исходные данные'!$B$51="Да",U224&gt;0),U224*N('Исходные данные'!$B$52)/(1+N('Исходные данные'!$B$52)),0)</f>
        <v>0</v>
      </c>
      <c r="W224">
        <f>IF(OR(B224="",IF('Исходные данные'!$B$69="",'Исходные данные'!$B$10,'Исходные данные'!$B$69)="",C224&lt;IF('Исходные данные'!$B$69="",'Исходные данные'!$B$10,'Исходные данные'!$B$69)),0,-N('Исходные данные'!$B$16)*N('Исходные данные'!$B$68)*N('Исходные данные'!$B$67)/12*IF(AND(B224&lt;=IF('Исходные данные'!$B$69="",'Исходные данные'!$B$10,'Исходные данные'!$B$69),C224&gt;=IF('Исходные данные'!$B$69="",'Исходные данные'!$B$10,'Исходные данные'!$B$69)),(C224-IF('Исходные данные'!$B$69="",'Исходные данные'!$B$10,'Исходные данные'!$B$69)+1)/DAY(C224),1))</f>
        <v>0</v>
      </c>
      <c r="X224">
        <f>IF(OR(B224="",IF('Исходные данные'!$B$76="",'Исходные данные'!$B$10,'Исходные данные'!$B$76)="",C224&lt;IF('Исходные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данные'!$B$76)),1),B224,"m")/12))*IF(AND(B224&lt;=IF('Исходные данные'!$B$76="",'Исходные данные'!$B$10,'Исходные данные'!$B$76),C224&gt;=IF('Исходные данные'!$B$76="",'Исходные данные'!$B$10,'Исходные данные'!$B$76)),(C224-IF('Исходные данные'!$B$76="",'Исходные данные'!$B$10,'Исходные данные'!$B$76)+1)/DAY(C224),1))</f>
        <v>0</v>
      </c>
      <c r="Y224">
        <f t="shared" si="148"/>
        <v>0</v>
      </c>
      <c r="Z224">
        <f>IF(OR(B224="",N('Исходные данные'!$B$19)=0),0,-SUMIFS('Исходные данные'!$I$6:$I$186,'Исходные данные'!$F$6:$F$186,B224)*N('Исходные данные'!$B$17)/N('Исходные данные'!$B$19))</f>
        <v>0</v>
      </c>
      <c r="AA224">
        <f>IF(OR(B224="",N('Исходные данные'!$B$19)=0),0,-SUMIFS('Исходные данные'!$I$6:$I$186,'Исходные данные'!$F$6:$F$186,B224)*N('Исходные данные'!$B$18)/N('Исходные данные'!$B$19))</f>
        <v>0</v>
      </c>
      <c r="AB224">
        <f>IF(OR(B224="",'Исходные данные'!$B$13=""),0,IF(AND(YEAR(B224)=YEAR('Исходные данные'!$B$13),MONTH(B224)=MONTH('Исходные данные'!$B$13)),-N('Исходные данные'!$B$11),0))</f>
        <v>0</v>
      </c>
      <c r="AC224">
        <f>IF(A224=1,-N('Исходные данные'!$B$19)*N('Исходные данные'!$B$72),0)</f>
        <v>0</v>
      </c>
      <c r="AD224">
        <f>IF(OR(B224="",'Исходные данные'!$B$22&lt;&gt;"Да",'Исходные данные'!$B$26=""),0,IF(AND(YEAR(B224)=YEAR('Исходные данные'!$B$26),MONTH(B224)=MONTH('Исходные данные'!$B$26)),N('Исходные данные'!$B$23),0))</f>
        <v>0</v>
      </c>
      <c r="AE224">
        <f t="shared" si="131"/>
        <v>0</v>
      </c>
      <c r="AF224">
        <f>IF(OR('Исходные данные'!$B$22&lt;&gt;"Да",'Исходные данные'!$B$26="",C224&lt;'Исходные данные'!$B$26),0,DATEDIF(DATE(YEAR('Исходные данные'!$B$26),MONTH('Исходные данные'!$B$26),1),B224,"m")+1)</f>
        <v>0</v>
      </c>
      <c r="AG224">
        <f>IF(OR(AF224&lt;1,AF224&gt;N('Исходные данные'!$B$25),AE224+AD224&lt;=0),0,-(AE224+AD224)*N('Исходные данные'!$B$24)*IF(AF224=1,C224-'Исходные данные'!$B$26+1,DAY(C224))/365)</f>
        <v>0</v>
      </c>
      <c r="AH224">
        <f>IF(OR(AF224&lt;1,AF224&gt;N('Исходные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данные'!$B$25)-AG224))</f>
        <v>0</v>
      </c>
      <c r="AI224">
        <f>IF(OR('Исходные данные'!$B$22&lt;&gt;"Да",AE224+AD224&lt;=0),0,IF(AND('Исходные данные'!$B$91&lt;&gt;"",B224&lt;&gt;"",YEAR(B224)=YEAR('Исходные данные'!$B$91),MONTH(B224)=MONTH('Исходные данные'!$B$91)),-(AE224+AD224),IF(OR(AF224&lt;1,AF224&gt;N('Исходные данные'!$B$25)),0,IF('Исходные данные'!$B$27="Равными долями",-MIN(AE224+AD224,N('Исходные данные'!$B$23)/N('Исходные данные'!$B$25)),-MIN(AE224+AD224,IF(AF224=N('Исходные данные'!$B$25),AE224+AD224,MAX(0,AH224+AG224)))))))</f>
        <v>0</v>
      </c>
      <c r="AJ224">
        <f t="shared" si="149"/>
        <v>0</v>
      </c>
      <c r="AK224">
        <f t="shared" si="132"/>
        <v>0</v>
      </c>
      <c r="AL224">
        <f>IF(OR(B224="",'Исходные данные'!$B$51&lt;&gt;"Да",'Исходные данные'!$B$61=""),0,IF(AND(YEAR(B224)=YEAR('Исходные данные'!$B$61),MONTH(B224)=MONTH('Исходные данные'!$B$61)),N('Исходные данные'!$B$18)*N('Исходные данные'!$B$62),0))</f>
        <v>0</v>
      </c>
      <c r="AM224">
        <f t="shared" si="133"/>
        <v>0</v>
      </c>
      <c r="AN224">
        <f t="shared" si="134"/>
        <v>0</v>
      </c>
      <c r="AO224">
        <f t="shared" si="135"/>
        <v>0</v>
      </c>
      <c r="AP224">
        <f>IF('Исходные данные'!$B$51="Да",-MAX(0,AN224-AO224-AM224),0)</f>
        <v>0</v>
      </c>
      <c r="AQ224">
        <f>IF('Исходные данные'!$B$51="Да",MAX(0,AM224+AO224-AN224),0)</f>
        <v>0</v>
      </c>
      <c r="AR224">
        <f>IF('Исходные данные'!$B$53="Выручка",MAX(0,L224+(Q224-R224)+(U224-V224)),IF('Исходные данные'!$B$53="Прибыль до налога",MAX(0,L224+(Q224-R224)+(U224-V224)+N('Исходные данные'!$B$54)*((O224+P224)+(S224+T224)+W224+X224)+IF('Исходные данные'!$B$55="Да",AG224,0)-N('Исходные данные'!$B$56)/12),IF('Исходные данные'!$B$53="Пользовательская база",MAX(0,N('Исходные данные'!$B$57)/12),0)))</f>
        <v>0</v>
      </c>
      <c r="AS224">
        <f>IF(E224=1,-AR224*N('Исходные данные'!$B$50),0)</f>
        <v>0</v>
      </c>
      <c r="AT224">
        <f t="shared" si="136"/>
        <v>0</v>
      </c>
      <c r="AU224">
        <f>IF(OR(B224="",N('Исходные данные'!$B$80)&lt;=0,'Исходные данные'!$B$88=""),0,MAX(0,IF('Исходные данные'!$B$88="Последние 12 месяцев",SUMIFS($Y$2:$Y$194,$B$2:$B$194,"&gt;="&amp;EDATE(B224,-11),$B$2:$B$194,"&lt;="&amp;B224),IF('Исходные данные'!$B$88="Пользовательский NOI",N('Исходные данные'!$B$89),AT224))/N('Исходные данные'!$B$80)*(1+N('Исходные данные'!$B$81))))</f>
        <v>0</v>
      </c>
      <c r="AV224">
        <f>IF(OR(E224&lt;&gt;1,B224="",'Исходные данные'!$B$91=""),0,IF(AND(YEAR(B224)=YEAR('Исходные данные'!$B$91),MONTH(B224)=MONTH('Исходные данные'!$B$91)),AU224,0))</f>
        <v>0</v>
      </c>
      <c r="AW224">
        <f>-AV224*N('Исходные данные'!$B$73)</f>
        <v>0</v>
      </c>
      <c r="AX224">
        <f>IF(AV224=0,0,-N('Исходные данные'!$B$87)-IF('Исходные данные'!$B$82="Да",IF('Исходные данные'!$B$84="С выручки",AV224,IF('Исходные данные'!$B$84="С прибыли",MAX(0,AV224+AW224-IF('Исходные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24">
        <f t="shared" si="150"/>
        <v>0</v>
      </c>
      <c r="AZ224">
        <f t="shared" si="137"/>
        <v>0</v>
      </c>
      <c r="BA224">
        <f t="shared" si="151"/>
        <v>0</v>
      </c>
      <c r="BB224" t="str">
        <f t="shared" si="138"/>
        <v/>
      </c>
      <c r="BC224">
        <f>IF(OR(E224=0,'Исходные данные'!$B$9="",'Исходные данные'!$B$90=""),0,BA224/(1+'Исходные данные'!$B$90)^((D224-'Исходные данные'!$B$9)/365))</f>
        <v>0</v>
      </c>
      <c r="BD224">
        <f>IF(AND(E224=1,BB224&gt;=0,BB223&lt;0,MIN($BB$2:BB224)&lt;0),1,0)</f>
        <v>0</v>
      </c>
      <c r="BE224">
        <f t="shared" si="139"/>
        <v>0</v>
      </c>
      <c r="BF224">
        <f t="shared" si="140"/>
        <v>0</v>
      </c>
      <c r="BG224">
        <f t="shared" si="141"/>
        <v>0</v>
      </c>
      <c r="BH224">
        <f t="shared" si="142"/>
        <v>1</v>
      </c>
      <c r="BI224">
        <f>AZ224+N224+AP224-AR224*N('Исходные данные'!$B$50)</f>
        <v>0</v>
      </c>
      <c r="BJ224">
        <f t="shared" si="143"/>
        <v>0</v>
      </c>
      <c r="BK224">
        <f>IF(AND(BJ224&gt;=0,BJ223&lt;0,MIN($BJ$2:BJ224)&lt;0),1,0)</f>
        <v>0</v>
      </c>
    </row>
    <row r="225" spans="1:63" x14ac:dyDescent="0.2">
      <c r="A225">
        <v>224</v>
      </c>
      <c r="B225" t="str">
        <f>IF('Исходные данные'!$B$9="","",EDATE(DATE(YEAR('Исходные данные'!$B$9),MONTH('Исходные данные'!$B$9),1),A225-1))</f>
        <v/>
      </c>
      <c r="C225" t="str">
        <f t="shared" si="144"/>
        <v/>
      </c>
      <c r="D225" t="str">
        <f>IF(B225="","",IF('Исходные данные'!$B$91&lt;&gt;"",IF(AND(YEAR(B225)=YEAR('Исходные данные'!$B$91),MONTH(B225)=MONTH('Исходные данные'!$B$91)),'Исходные данные'!$B$91,IF('Исходные данные'!$B$13&lt;&gt;"",IF(AND(YEAR(B225)=YEAR('Исходные данные'!$B$13),MONTH(B225)=MONTH('Исходные данные'!$B$13)),'Исходные данные'!$B$13,IF('Исходные данные'!$B$26&lt;&gt;"",IF(AND(YEAR(B225)=YEAR('Исходные данные'!$B$26),MONTH(B225)=MONTH('Исходные данные'!$B$26)),'Исходные данные'!$B$26,IF(A225=1,'Исходные данные'!$B$9,C225)),IF(A225=1,'Исходные данные'!$B$9,C225))),IF('Исходные данные'!$B$26&lt;&gt;"",IF(AND(YEAR(B225)=YEAR('Исходные данные'!$B$26),MONTH(B225)=MONTH('Исходные данные'!$B$26)),'Исходные данные'!$B$26,IF(A225=1,'Исходные данные'!$B$9,C225)),IF(A225=1,'Исходные данные'!$B$9,C225)))),IF('Исходные данные'!$B$13&lt;&gt;"",IF(AND(YEAR(B225)=YEAR('Исходные данные'!$B$13),MONTH(B225)=MONTH('Исходные данные'!$B$13)),'Исходные данные'!$B$13,IF('Исходные данные'!$B$26&lt;&gt;"",IF(AND(YEAR(B225)=YEAR('Исходные данные'!$B$26),MONTH(B225)=MONTH('Исходные данные'!$B$26)),'Исходные данные'!$B$26,IF(A225=1,'Исходные данные'!$B$9,C225)),IF(A225=1,'Исходные данные'!$B$9,C225))),IF('Исходные данные'!$B$26&lt;&gt;"",IF(AND(YEAR(B225)=YEAR('Исходные данные'!$B$26),MONTH(B225)=MONTH('Исходные данные'!$B$26)),'Исходные данные'!$B$26,IF(A225=1,'Исходные данные'!$B$9,C225)),IF(A225=1,'Исходные данные'!$B$9,C225)))))</f>
        <v/>
      </c>
      <c r="E225">
        <f>IF(OR(B225="",'Исходные данные'!$B$91=""),0,--(B225&lt;=DATE(YEAR('Исходные данные'!$B$91),MONTH('Исходные данные'!$B$91),1)))</f>
        <v>0</v>
      </c>
      <c r="F225">
        <f>IF(OR(B225="",'Исходные данные'!$B$30="",C225&lt;'Исходные данные'!$B$30),0,DATEDIF(DATE(YEAR('Исходные данные'!$B$30),MONTH('Исходные данные'!$B$30),1),B225,"m")+1)</f>
        <v>0</v>
      </c>
      <c r="G225">
        <f t="shared" si="145"/>
        <v>0</v>
      </c>
      <c r="H225">
        <f>IF(F225=0,0,IF(G225=1,N('Исходные данные'!$B$31),IF(G225=2,N('Исходные данные'!$B$32),IF(G225=3,N('Исходные данные'!$B$33),N('Исходные данные'!$B$33)*(1+N('Исходные данные'!$B$34))^(G225-3)))))</f>
        <v>0</v>
      </c>
      <c r="I225">
        <f>IF(OR(F225=0,N('Исходные данные'!$B$5)=0,H225=0),0,'Исходные данные'!$B$5*H225*IF(AND(B225&lt;='Исходные данные'!$B$30,C225&gt;='Исходные данные'!$B$30),(C225-'Исходные данные'!$B$30+1)/DAY(C225),1))</f>
        <v>0</v>
      </c>
      <c r="J225">
        <f>IF(AND(F225&gt;0,F225&lt;=N('Исходные данные'!$B$37)),-I225,0)</f>
        <v>0</v>
      </c>
      <c r="K225">
        <f>IF(OR(F225=0,F225&lt;=N('Исходные данные'!$B$37)),0,-(I225+J225)*N('Исходные данные'!$B$38))</f>
        <v>0</v>
      </c>
      <c r="L225">
        <f t="shared" si="146"/>
        <v>0</v>
      </c>
      <c r="M225">
        <f>IF('Исходные данные'!$B$51="Да",L225*N('Исходные данные'!$B$52),0)</f>
        <v>0</v>
      </c>
      <c r="N225">
        <f t="shared" si="147"/>
        <v>0</v>
      </c>
      <c r="O225">
        <f>IF(OR(B225="",IF('Исходные данные'!$B$45="",'Исходные данные'!$B$10,'Исходные данные'!$B$45)="",C225&lt;IF('Исходные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данные'!$B$45)),1),B225,"m")/12))*IF(AND(B225&lt;=IF('Исходные данные'!$B$45="",'Исходные данные'!$B$10,'Исходные данные'!$B$45),C225&gt;=IF('Исходные данные'!$B$45="",'Исходные данные'!$B$10,'Исходные данные'!$B$45)),(C225-IF('Исходные данные'!$B$45="",'Исходные данные'!$B$10,'Исходные данные'!$B$45)+1)/DAY(C225),1)*IF('Исходные данные'!$B$43="Без НДС",1+N('Исходные данные'!$B$44),1))</f>
        <v>0</v>
      </c>
      <c r="P225">
        <f>IF('Исходные данные'!$B$51="Да",-O225*N('Исходные данные'!$B$44)/(1+N('Исходные данные'!$B$44)),0)</f>
        <v>0</v>
      </c>
      <c r="Q225">
        <f>IF('Исходные данные'!$B$35="Да",-O225,0)</f>
        <v>0</v>
      </c>
      <c r="R225">
        <f>IF(AND('Исходные данные'!$B$51="Да",Q225&gt;0),Q225*N('Исходные данные'!$B$52)/(1+N('Исходные данные'!$B$52)),0)</f>
        <v>0</v>
      </c>
      <c r="S225">
        <f>IF(OR(B225="",IF('Исходные данные'!$B$45="",'Исходные данные'!$B$10,'Исходные данные'!$B$45)="",C225&lt;IF('Исходные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данные'!$B$45)),1),B225,"m")/12))*IF(AND(B225&lt;=IF('Исходные данные'!$B$45="",'Исходные данные'!$B$10,'Исходные данные'!$B$45),C225&gt;=IF('Исходные данные'!$B$45="",'Исходные данные'!$B$10,'Исходные данные'!$B$45)),(C225-IF('Исходные данные'!$B$45="",'Исходные данные'!$B$10,'Исходные данные'!$B$45)+1)/DAY(C225),1)*IF('Исходные данные'!$B$43="Без НДС",1+N('Исходные данные'!$B$44),1))</f>
        <v>0</v>
      </c>
      <c r="T225">
        <f>IF('Исходные данные'!$B$51="Да",-S225*N('Исходные данные'!$B$44)/(1+N('Исходные данные'!$B$44)),0)</f>
        <v>0</v>
      </c>
      <c r="U225">
        <f>IF('Исходные данные'!$B$36="Да",-S225,0)</f>
        <v>0</v>
      </c>
      <c r="V225">
        <f>IF(AND('Исходные данные'!$B$51="Да",U225&gt;0),U225*N('Исходные данные'!$B$52)/(1+N('Исходные данные'!$B$52)),0)</f>
        <v>0</v>
      </c>
      <c r="W225">
        <f>IF(OR(B225="",IF('Исходные данные'!$B$69="",'Исходные данные'!$B$10,'Исходные данные'!$B$69)="",C225&lt;IF('Исходные данные'!$B$69="",'Исходные данные'!$B$10,'Исходные данные'!$B$69)),0,-N('Исходные данные'!$B$16)*N('Исходные данные'!$B$68)*N('Исходные данные'!$B$67)/12*IF(AND(B225&lt;=IF('Исходные данные'!$B$69="",'Исходные данные'!$B$10,'Исходные данные'!$B$69),C225&gt;=IF('Исходные данные'!$B$69="",'Исходные данные'!$B$10,'Исходные данные'!$B$69)),(C225-IF('Исходные данные'!$B$69="",'Исходные данные'!$B$10,'Исходные данные'!$B$69)+1)/DAY(C225),1))</f>
        <v>0</v>
      </c>
      <c r="X225">
        <f>IF(OR(B225="",IF('Исходные данные'!$B$76="",'Исходные данные'!$B$10,'Исходные данные'!$B$76)="",C225&lt;IF('Исходные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данные'!$B$76)),1),B225,"m")/12))*IF(AND(B225&lt;=IF('Исходные данные'!$B$76="",'Исходные данные'!$B$10,'Исходные данные'!$B$76),C225&gt;=IF('Исходные данные'!$B$76="",'Исходные данные'!$B$10,'Исходные данные'!$B$76)),(C225-IF('Исходные данные'!$B$76="",'Исходные данные'!$B$10,'Исходные данные'!$B$76)+1)/DAY(C225),1))</f>
        <v>0</v>
      </c>
      <c r="Y225">
        <f t="shared" si="148"/>
        <v>0</v>
      </c>
      <c r="Z225">
        <f>IF(OR(B225="",N('Исходные данные'!$B$19)=0),0,-SUMIFS('Исходные данные'!$I$6:$I$186,'Исходные данные'!$F$6:$F$186,B225)*N('Исходные данные'!$B$17)/N('Исходные данные'!$B$19))</f>
        <v>0</v>
      </c>
      <c r="AA225">
        <f>IF(OR(B225="",N('Исходные данные'!$B$19)=0),0,-SUMIFS('Исходные данные'!$I$6:$I$186,'Исходные данные'!$F$6:$F$186,B225)*N('Исходные данные'!$B$18)/N('Исходные данные'!$B$19))</f>
        <v>0</v>
      </c>
      <c r="AB225">
        <f>IF(OR(B225="",'Исходные данные'!$B$13=""),0,IF(AND(YEAR(B225)=YEAR('Исходные данные'!$B$13),MONTH(B225)=MONTH('Исходные данные'!$B$13)),-N('Исходные данные'!$B$11),0))</f>
        <v>0</v>
      </c>
      <c r="AC225">
        <f>IF(A225=1,-N('Исходные данные'!$B$19)*N('Исходные данные'!$B$72),0)</f>
        <v>0</v>
      </c>
      <c r="AD225">
        <f>IF(OR(B225="",'Исходные данные'!$B$22&lt;&gt;"Да",'Исходные данные'!$B$26=""),0,IF(AND(YEAR(B225)=YEAR('Исходные данные'!$B$26),MONTH(B225)=MONTH('Исходные данные'!$B$26)),N('Исходные данные'!$B$23),0))</f>
        <v>0</v>
      </c>
      <c r="AE225">
        <f t="shared" si="131"/>
        <v>0</v>
      </c>
      <c r="AF225">
        <f>IF(OR('Исходные данные'!$B$22&lt;&gt;"Да",'Исходные данные'!$B$26="",C225&lt;'Исходные данные'!$B$26),0,DATEDIF(DATE(YEAR('Исходные данные'!$B$26),MONTH('Исходные данные'!$B$26),1),B225,"m")+1)</f>
        <v>0</v>
      </c>
      <c r="AG225">
        <f>IF(OR(AF225&lt;1,AF225&gt;N('Исходные данные'!$B$25),AE225+AD225&lt;=0),0,-(AE225+AD225)*N('Исходные данные'!$B$24)*IF(AF225=1,C225-'Исходные данные'!$B$26+1,DAY(C225))/365)</f>
        <v>0</v>
      </c>
      <c r="AH225">
        <f>IF(OR(AF225&lt;1,AF225&gt;N('Исходные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данные'!$B$25)-AG225))</f>
        <v>0</v>
      </c>
      <c r="AI225">
        <f>IF(OR('Исходные данные'!$B$22&lt;&gt;"Да",AE225+AD225&lt;=0),0,IF(AND('Исходные данные'!$B$91&lt;&gt;"",B225&lt;&gt;"",YEAR(B225)=YEAR('Исходные данные'!$B$91),MONTH(B225)=MONTH('Исходные данные'!$B$91)),-(AE225+AD225),IF(OR(AF225&lt;1,AF225&gt;N('Исходные данные'!$B$25)),0,IF('Исходные данные'!$B$27="Равными долями",-MIN(AE225+AD225,N('Исходные данные'!$B$23)/N('Исходные данные'!$B$25)),-MIN(AE225+AD225,IF(AF225=N('Исходные данные'!$B$25),AE225+AD225,MAX(0,AH225+AG225)))))))</f>
        <v>0</v>
      </c>
      <c r="AJ225">
        <f t="shared" si="149"/>
        <v>0</v>
      </c>
      <c r="AK225">
        <f t="shared" si="132"/>
        <v>0</v>
      </c>
      <c r="AL225">
        <f>IF(OR(B225="",'Исходные данные'!$B$51&lt;&gt;"Да",'Исходные данные'!$B$61=""),0,IF(AND(YEAR(B225)=YEAR('Исходные данные'!$B$61),MONTH(B225)=MONTH('Исходные данные'!$B$61)),N('Исходные данные'!$B$18)*N('Исходные данные'!$B$62),0))</f>
        <v>0</v>
      </c>
      <c r="AM225">
        <f t="shared" si="133"/>
        <v>0</v>
      </c>
      <c r="AN225">
        <f t="shared" si="134"/>
        <v>0</v>
      </c>
      <c r="AO225">
        <f t="shared" si="135"/>
        <v>0</v>
      </c>
      <c r="AP225">
        <f>IF('Исходные данные'!$B$51="Да",-MAX(0,AN225-AO225-AM225),0)</f>
        <v>0</v>
      </c>
      <c r="AQ225">
        <f>IF('Исходные данные'!$B$51="Да",MAX(0,AM225+AO225-AN225),0)</f>
        <v>0</v>
      </c>
      <c r="AR225">
        <f>IF('Исходные данные'!$B$53="Выручка",MAX(0,L225+(Q225-R225)+(U225-V225)),IF('Исходные данные'!$B$53="Прибыль до налога",MAX(0,L225+(Q225-R225)+(U225-V225)+N('Исходные данные'!$B$54)*((O225+P225)+(S225+T225)+W225+X225)+IF('Исходные данные'!$B$55="Да",AG225,0)-N('Исходные данные'!$B$56)/12),IF('Исходные данные'!$B$53="Пользовательская база",MAX(0,N('Исходные данные'!$B$57)/12),0)))</f>
        <v>0</v>
      </c>
      <c r="AS225">
        <f>IF(E225=1,-AR225*N('Исходные данные'!$B$50),0)</f>
        <v>0</v>
      </c>
      <c r="AT225">
        <f t="shared" si="136"/>
        <v>0</v>
      </c>
      <c r="AU225">
        <f>IF(OR(B225="",N('Исходные данные'!$B$80)&lt;=0,'Исходные данные'!$B$88=""),0,MAX(0,IF('Исходные данные'!$B$88="Последние 12 месяцев",SUMIFS($Y$2:$Y$194,$B$2:$B$194,"&gt;="&amp;EDATE(B225,-11),$B$2:$B$194,"&lt;="&amp;B225),IF('Исходные данные'!$B$88="Пользовательский NOI",N('Исходные данные'!$B$89),AT225))/N('Исходные данные'!$B$80)*(1+N('Исходные данные'!$B$81))))</f>
        <v>0</v>
      </c>
      <c r="AV225">
        <f>IF(OR(E225&lt;&gt;1,B225="",'Исходные данные'!$B$91=""),0,IF(AND(YEAR(B225)=YEAR('Исходные данные'!$B$91),MONTH(B225)=MONTH('Исходные данные'!$B$91)),AU225,0))</f>
        <v>0</v>
      </c>
      <c r="AW225">
        <f>-AV225*N('Исходные данные'!$B$73)</f>
        <v>0</v>
      </c>
      <c r="AX225">
        <f>IF(AV225=0,0,-N('Исходные данные'!$B$87)-IF('Исходные данные'!$B$82="Да",IF('Исходные данные'!$B$84="С выручки",AV225,IF('Исходные данные'!$B$84="С прибыли",MAX(0,AV225+AW225-IF('Исходные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25">
        <f t="shared" si="150"/>
        <v>0</v>
      </c>
      <c r="AZ225">
        <f t="shared" si="137"/>
        <v>0</v>
      </c>
      <c r="BA225">
        <f t="shared" si="151"/>
        <v>0</v>
      </c>
      <c r="BB225" t="str">
        <f t="shared" si="138"/>
        <v/>
      </c>
      <c r="BC225">
        <f>IF(OR(E225=0,'Исходные данные'!$B$9="",'Исходные данные'!$B$90=""),0,BA225/(1+'Исходные данные'!$B$90)^((D225-'Исходные данные'!$B$9)/365))</f>
        <v>0</v>
      </c>
      <c r="BD225">
        <f>IF(AND(E225=1,BB225&gt;=0,BB224&lt;0,MIN($BB$2:BB225)&lt;0),1,0)</f>
        <v>0</v>
      </c>
      <c r="BE225">
        <f t="shared" si="139"/>
        <v>0</v>
      </c>
      <c r="BF225">
        <f t="shared" si="140"/>
        <v>0</v>
      </c>
      <c r="BG225">
        <f t="shared" si="141"/>
        <v>0</v>
      </c>
      <c r="BH225">
        <f t="shared" si="142"/>
        <v>1</v>
      </c>
      <c r="BI225">
        <f>AZ225+N225+AP225-AR225*N('Исходные данные'!$B$50)</f>
        <v>0</v>
      </c>
      <c r="BJ225">
        <f t="shared" si="143"/>
        <v>0</v>
      </c>
      <c r="BK225">
        <f>IF(AND(BJ225&gt;=0,BJ224&lt;0,MIN($BJ$2:BJ225)&lt;0),1,0)</f>
        <v>0</v>
      </c>
    </row>
    <row r="226" spans="1:63" x14ac:dyDescent="0.2">
      <c r="A226">
        <v>225</v>
      </c>
      <c r="B226" t="str">
        <f>IF('Исходные данные'!$B$9="","",EDATE(DATE(YEAR('Исходные данные'!$B$9),MONTH('Исходные данные'!$B$9),1),A226-1))</f>
        <v/>
      </c>
      <c r="C226" t="str">
        <f t="shared" si="144"/>
        <v/>
      </c>
      <c r="D226" t="str">
        <f>IF(B226="","",IF('Исходные данные'!$B$91&lt;&gt;"",IF(AND(YEAR(B226)=YEAR('Исходные данные'!$B$91),MONTH(B226)=MONTH('Исходные данные'!$B$91)),'Исходные данные'!$B$91,IF('Исходные данные'!$B$13&lt;&gt;"",IF(AND(YEAR(B226)=YEAR('Исходные данные'!$B$13),MONTH(B226)=MONTH('Исходные данные'!$B$13)),'Исходные данные'!$B$13,IF('Исходные данные'!$B$26&lt;&gt;"",IF(AND(YEAR(B226)=YEAR('Исходные данные'!$B$26),MONTH(B226)=MONTH('Исходные данные'!$B$26)),'Исходные данные'!$B$26,IF(A226=1,'Исходные данные'!$B$9,C226)),IF(A226=1,'Исходные данные'!$B$9,C226))),IF('Исходные данные'!$B$26&lt;&gt;"",IF(AND(YEAR(B226)=YEAR('Исходные данные'!$B$26),MONTH(B226)=MONTH('Исходные данные'!$B$26)),'Исходные данные'!$B$26,IF(A226=1,'Исходные данные'!$B$9,C226)),IF(A226=1,'Исходные данные'!$B$9,C226)))),IF('Исходные данные'!$B$13&lt;&gt;"",IF(AND(YEAR(B226)=YEAR('Исходные данные'!$B$13),MONTH(B226)=MONTH('Исходные данные'!$B$13)),'Исходные данные'!$B$13,IF('Исходные данные'!$B$26&lt;&gt;"",IF(AND(YEAR(B226)=YEAR('Исходные данные'!$B$26),MONTH(B226)=MONTH('Исходные данные'!$B$26)),'Исходные данные'!$B$26,IF(A226=1,'Исходные данные'!$B$9,C226)),IF(A226=1,'Исходные данные'!$B$9,C226))),IF('Исходные данные'!$B$26&lt;&gt;"",IF(AND(YEAR(B226)=YEAR('Исходные данные'!$B$26),MONTH(B226)=MONTH('Исходные данные'!$B$26)),'Исходные данные'!$B$26,IF(A226=1,'Исходные данные'!$B$9,C226)),IF(A226=1,'Исходные данные'!$B$9,C226)))))</f>
        <v/>
      </c>
      <c r="E226">
        <f>IF(OR(B226="",'Исходные данные'!$B$91=""),0,--(B226&lt;=DATE(YEAR('Исходные данные'!$B$91),MONTH('Исходные данные'!$B$91),1)))</f>
        <v>0</v>
      </c>
      <c r="F226">
        <f>IF(OR(B226="",'Исходные данные'!$B$30="",C226&lt;'Исходные данные'!$B$30),0,DATEDIF(DATE(YEAR('Исходные данные'!$B$30),MONTH('Исходные данные'!$B$30),1),B226,"m")+1)</f>
        <v>0</v>
      </c>
      <c r="G226">
        <f t="shared" si="145"/>
        <v>0</v>
      </c>
      <c r="H226">
        <f>IF(F226=0,0,IF(G226=1,N('Исходные данные'!$B$31),IF(G226=2,N('Исходные данные'!$B$32),IF(G226=3,N('Исходные данные'!$B$33),N('Исходные данные'!$B$33)*(1+N('Исходные данные'!$B$34))^(G226-3)))))</f>
        <v>0</v>
      </c>
      <c r="I226">
        <f>IF(OR(F226=0,N('Исходные данные'!$B$5)=0,H226=0),0,'Исходные данные'!$B$5*H226*IF(AND(B226&lt;='Исходные данные'!$B$30,C226&gt;='Исходные данные'!$B$30),(C226-'Исходные данные'!$B$30+1)/DAY(C226),1))</f>
        <v>0</v>
      </c>
      <c r="J226">
        <f>IF(AND(F226&gt;0,F226&lt;=N('Исходные данные'!$B$37)),-I226,0)</f>
        <v>0</v>
      </c>
      <c r="K226">
        <f>IF(OR(F226=0,F226&lt;=N('Исходные данные'!$B$37)),0,-(I226+J226)*N('Исходные данные'!$B$38))</f>
        <v>0</v>
      </c>
      <c r="L226">
        <f t="shared" si="146"/>
        <v>0</v>
      </c>
      <c r="M226">
        <f>IF('Исходные данные'!$B$51="Да",L226*N('Исходные данные'!$B$52),0)</f>
        <v>0</v>
      </c>
      <c r="N226">
        <f t="shared" si="147"/>
        <v>0</v>
      </c>
      <c r="O226">
        <f>IF(OR(B226="",IF('Исходные данные'!$B$45="",'Исходные данные'!$B$10,'Исходные данные'!$B$45)="",C226&lt;IF('Исходные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данные'!$B$45)),1),B226,"m")/12))*IF(AND(B226&lt;=IF('Исходные данные'!$B$45="",'Исходные данные'!$B$10,'Исходные данные'!$B$45),C226&gt;=IF('Исходные данные'!$B$45="",'Исходные данные'!$B$10,'Исходные данные'!$B$45)),(C226-IF('Исходные данные'!$B$45="",'Исходные данные'!$B$10,'Исходные данные'!$B$45)+1)/DAY(C226),1)*IF('Исходные данные'!$B$43="Без НДС",1+N('Исходные данные'!$B$44),1))</f>
        <v>0</v>
      </c>
      <c r="P226">
        <f>IF('Исходные данные'!$B$51="Да",-O226*N('Исходные данные'!$B$44)/(1+N('Исходные данные'!$B$44)),0)</f>
        <v>0</v>
      </c>
      <c r="Q226">
        <f>IF('Исходные данные'!$B$35="Да",-O226,0)</f>
        <v>0</v>
      </c>
      <c r="R226">
        <f>IF(AND('Исходные данные'!$B$51="Да",Q226&gt;0),Q226*N('Исходные данные'!$B$52)/(1+N('Исходные данные'!$B$52)),0)</f>
        <v>0</v>
      </c>
      <c r="S226">
        <f>IF(OR(B226="",IF('Исходные данные'!$B$45="",'Исходные данные'!$B$10,'Исходные данные'!$B$45)="",C226&lt;IF('Исходные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данные'!$B$45)),1),B226,"m")/12))*IF(AND(B226&lt;=IF('Исходные данные'!$B$45="",'Исходные данные'!$B$10,'Исходные данные'!$B$45),C226&gt;=IF('Исходные данные'!$B$45="",'Исходные данные'!$B$10,'Исходные данные'!$B$45)),(C226-IF('Исходные данные'!$B$45="",'Исходные данные'!$B$10,'Исходные данные'!$B$45)+1)/DAY(C226),1)*IF('Исходные данные'!$B$43="Без НДС",1+N('Исходные данные'!$B$44),1))</f>
        <v>0</v>
      </c>
      <c r="T226">
        <f>IF('Исходные данные'!$B$51="Да",-S226*N('Исходные данные'!$B$44)/(1+N('Исходные данные'!$B$44)),0)</f>
        <v>0</v>
      </c>
      <c r="U226">
        <f>IF('Исходные данные'!$B$36="Да",-S226,0)</f>
        <v>0</v>
      </c>
      <c r="V226">
        <f>IF(AND('Исходные данные'!$B$51="Да",U226&gt;0),U226*N('Исходные данные'!$B$52)/(1+N('Исходные данные'!$B$52)),0)</f>
        <v>0</v>
      </c>
      <c r="W226">
        <f>IF(OR(B226="",IF('Исходные данные'!$B$69="",'Исходные данные'!$B$10,'Исходные данные'!$B$69)="",C226&lt;IF('Исходные данные'!$B$69="",'Исходные данные'!$B$10,'Исходные данные'!$B$69)),0,-N('Исходные данные'!$B$16)*N('Исходные данные'!$B$68)*N('Исходные данные'!$B$67)/12*IF(AND(B226&lt;=IF('Исходные данные'!$B$69="",'Исходные данные'!$B$10,'Исходные данные'!$B$69),C226&gt;=IF('Исходные данные'!$B$69="",'Исходные данные'!$B$10,'Исходные данные'!$B$69)),(C226-IF('Исходные данные'!$B$69="",'Исходные данные'!$B$10,'Исходные данные'!$B$69)+1)/DAY(C226),1))</f>
        <v>0</v>
      </c>
      <c r="X226">
        <f>IF(OR(B226="",IF('Исходные данные'!$B$76="",'Исходные данные'!$B$10,'Исходные данные'!$B$76)="",C226&lt;IF('Исходные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данные'!$B$76)),1),B226,"m")/12))*IF(AND(B226&lt;=IF('Исходные данные'!$B$76="",'Исходные данные'!$B$10,'Исходные данные'!$B$76),C226&gt;=IF('Исходные данные'!$B$76="",'Исходные данные'!$B$10,'Исходные данные'!$B$76)),(C226-IF('Исходные данные'!$B$76="",'Исходные данные'!$B$10,'Исходные данные'!$B$76)+1)/DAY(C226),1))</f>
        <v>0</v>
      </c>
      <c r="Y226">
        <f t="shared" si="148"/>
        <v>0</v>
      </c>
      <c r="Z226">
        <f>IF(OR(B226="",N('Исходные данные'!$B$19)=0),0,-SUMIFS('Исходные данные'!$I$6:$I$186,'Исходные данные'!$F$6:$F$186,B226)*N('Исходные данные'!$B$17)/N('Исходные данные'!$B$19))</f>
        <v>0</v>
      </c>
      <c r="AA226">
        <f>IF(OR(B226="",N('Исходные данные'!$B$19)=0),0,-SUMIFS('Исходные данные'!$I$6:$I$186,'Исходные данные'!$F$6:$F$186,B226)*N('Исходные данные'!$B$18)/N('Исходные данные'!$B$19))</f>
        <v>0</v>
      </c>
      <c r="AB226">
        <f>IF(OR(B226="",'Исходные данные'!$B$13=""),0,IF(AND(YEAR(B226)=YEAR('Исходные данные'!$B$13),MONTH(B226)=MONTH('Исходные данные'!$B$13)),-N('Исходные данные'!$B$11),0))</f>
        <v>0</v>
      </c>
      <c r="AC226">
        <f>IF(A226=1,-N('Исходные данные'!$B$19)*N('Исходные данные'!$B$72),0)</f>
        <v>0</v>
      </c>
      <c r="AD226">
        <f>IF(OR(B226="",'Исходные данные'!$B$22&lt;&gt;"Да",'Исходные данные'!$B$26=""),0,IF(AND(YEAR(B226)=YEAR('Исходные данные'!$B$26),MONTH(B226)=MONTH('Исходные данные'!$B$26)),N('Исходные данные'!$B$23),0))</f>
        <v>0</v>
      </c>
      <c r="AE226">
        <f t="shared" si="131"/>
        <v>0</v>
      </c>
      <c r="AF226">
        <f>IF(OR('Исходные данные'!$B$22&lt;&gt;"Да",'Исходные данные'!$B$26="",C226&lt;'Исходные данные'!$B$26),0,DATEDIF(DATE(YEAR('Исходные данные'!$B$26),MONTH('Исходные данные'!$B$26),1),B226,"m")+1)</f>
        <v>0</v>
      </c>
      <c r="AG226">
        <f>IF(OR(AF226&lt;1,AF226&gt;N('Исходные данные'!$B$25),AE226+AD226&lt;=0),0,-(AE226+AD226)*N('Исходные данные'!$B$24)*IF(AF226=1,C226-'Исходные данные'!$B$26+1,DAY(C226))/365)</f>
        <v>0</v>
      </c>
      <c r="AH226">
        <f>IF(OR(AF226&lt;1,AF226&gt;N('Исходные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данные'!$B$25)-AG226))</f>
        <v>0</v>
      </c>
      <c r="AI226">
        <f>IF(OR('Исходные данные'!$B$22&lt;&gt;"Да",AE226+AD226&lt;=0),0,IF(AND('Исходные данные'!$B$91&lt;&gt;"",B226&lt;&gt;"",YEAR(B226)=YEAR('Исходные данные'!$B$91),MONTH(B226)=MONTH('Исходные данные'!$B$91)),-(AE226+AD226),IF(OR(AF226&lt;1,AF226&gt;N('Исходные данные'!$B$25)),0,IF('Исходные данные'!$B$27="Равными долями",-MIN(AE226+AD226,N('Исходные данные'!$B$23)/N('Исходные данные'!$B$25)),-MIN(AE226+AD226,IF(AF226=N('Исходные данные'!$B$25),AE226+AD226,MAX(0,AH226+AG226)))))))</f>
        <v>0</v>
      </c>
      <c r="AJ226">
        <f t="shared" si="149"/>
        <v>0</v>
      </c>
      <c r="AK226">
        <f t="shared" si="132"/>
        <v>0</v>
      </c>
      <c r="AL226">
        <f>IF(OR(B226="",'Исходные данные'!$B$51&lt;&gt;"Да",'Исходные данные'!$B$61=""),0,IF(AND(YEAR(B226)=YEAR('Исходные данные'!$B$61),MONTH(B226)=MONTH('Исходные данные'!$B$61)),N('Исходные данные'!$B$18)*N('Исходные данные'!$B$62),0))</f>
        <v>0</v>
      </c>
      <c r="AM226">
        <f t="shared" si="133"/>
        <v>0</v>
      </c>
      <c r="AN226">
        <f t="shared" si="134"/>
        <v>0</v>
      </c>
      <c r="AO226">
        <f t="shared" si="135"/>
        <v>0</v>
      </c>
      <c r="AP226">
        <f>IF('Исходные данные'!$B$51="Да",-MAX(0,AN226-AO226-AM226),0)</f>
        <v>0</v>
      </c>
      <c r="AQ226">
        <f>IF('Исходные данные'!$B$51="Да",MAX(0,AM226+AO226-AN226),0)</f>
        <v>0</v>
      </c>
      <c r="AR226">
        <f>IF('Исходные данные'!$B$53="Выручка",MAX(0,L226+(Q226-R226)+(U226-V226)),IF('Исходные данные'!$B$53="Прибыль до налога",MAX(0,L226+(Q226-R226)+(U226-V226)+N('Исходные данные'!$B$54)*((O226+P226)+(S226+T226)+W226+X226)+IF('Исходные данные'!$B$55="Да",AG226,0)-N('Исходные данные'!$B$56)/12),IF('Исходные данные'!$B$53="Пользовательская база",MAX(0,N('Исходные данные'!$B$57)/12),0)))</f>
        <v>0</v>
      </c>
      <c r="AS226">
        <f>IF(E226=1,-AR226*N('Исходные данные'!$B$50),0)</f>
        <v>0</v>
      </c>
      <c r="AT226">
        <f t="shared" si="136"/>
        <v>0</v>
      </c>
      <c r="AU226">
        <f>IF(OR(B226="",N('Исходные данные'!$B$80)&lt;=0,'Исходные данные'!$B$88=""),0,MAX(0,IF('Исходные данные'!$B$88="Последние 12 месяцев",SUMIFS($Y$2:$Y$194,$B$2:$B$194,"&gt;="&amp;EDATE(B226,-11),$B$2:$B$194,"&lt;="&amp;B226),IF('Исходные данные'!$B$88="Пользовательский NOI",N('Исходные данные'!$B$89),AT226))/N('Исходные данные'!$B$80)*(1+N('Исходные данные'!$B$81))))</f>
        <v>0</v>
      </c>
      <c r="AV226">
        <f>IF(OR(E226&lt;&gt;1,B226="",'Исходные данные'!$B$91=""),0,IF(AND(YEAR(B226)=YEAR('Исходные данные'!$B$91),MONTH(B226)=MONTH('Исходные данные'!$B$91)),AU226,0))</f>
        <v>0</v>
      </c>
      <c r="AW226">
        <f>-AV226*N('Исходные данные'!$B$73)</f>
        <v>0</v>
      </c>
      <c r="AX226">
        <f>IF(AV226=0,0,-N('Исходные данные'!$B$87)-IF('Исходные данные'!$B$82="Да",IF('Исходные данные'!$B$84="С выручки",AV226,IF('Исходные данные'!$B$84="С прибыли",MAX(0,AV226+AW226-IF('Исходные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26">
        <f t="shared" si="150"/>
        <v>0</v>
      </c>
      <c r="AZ226">
        <f t="shared" si="137"/>
        <v>0</v>
      </c>
      <c r="BA226">
        <f t="shared" si="151"/>
        <v>0</v>
      </c>
      <c r="BB226" t="str">
        <f t="shared" si="138"/>
        <v/>
      </c>
      <c r="BC226">
        <f>IF(OR(E226=0,'Исходные данные'!$B$9="",'Исходные данные'!$B$90=""),0,BA226/(1+'Исходные данные'!$B$90)^((D226-'Исходные данные'!$B$9)/365))</f>
        <v>0</v>
      </c>
      <c r="BD226">
        <f>IF(AND(E226=1,BB226&gt;=0,BB225&lt;0,MIN($BB$2:BB226)&lt;0),1,0)</f>
        <v>0</v>
      </c>
      <c r="BE226">
        <f t="shared" si="139"/>
        <v>0</v>
      </c>
      <c r="BF226">
        <f t="shared" si="140"/>
        <v>0</v>
      </c>
      <c r="BG226">
        <f t="shared" si="141"/>
        <v>0</v>
      </c>
      <c r="BH226">
        <f t="shared" si="142"/>
        <v>1</v>
      </c>
      <c r="BI226">
        <f>AZ226+N226+AP226-AR226*N('Исходные данные'!$B$50)</f>
        <v>0</v>
      </c>
      <c r="BJ226">
        <f t="shared" si="143"/>
        <v>0</v>
      </c>
      <c r="BK226">
        <f>IF(AND(BJ226&gt;=0,BJ225&lt;0,MIN($BJ$2:BJ226)&lt;0),1,0)</f>
        <v>0</v>
      </c>
    </row>
    <row r="227" spans="1:63" x14ac:dyDescent="0.2">
      <c r="A227">
        <v>226</v>
      </c>
      <c r="B227" t="str">
        <f>IF('Исходные данные'!$B$9="","",EDATE(DATE(YEAR('Исходные данные'!$B$9),MONTH('Исходные данные'!$B$9),1),A227-1))</f>
        <v/>
      </c>
      <c r="C227" t="str">
        <f t="shared" si="144"/>
        <v/>
      </c>
      <c r="D227" t="str">
        <f>IF(B227="","",IF('Исходные данные'!$B$91&lt;&gt;"",IF(AND(YEAR(B227)=YEAR('Исходные данные'!$B$91),MONTH(B227)=MONTH('Исходные данные'!$B$91)),'Исходные данные'!$B$91,IF('Исходные данные'!$B$13&lt;&gt;"",IF(AND(YEAR(B227)=YEAR('Исходные данные'!$B$13),MONTH(B227)=MONTH('Исходные данные'!$B$13)),'Исходные данные'!$B$13,IF('Исходные данные'!$B$26&lt;&gt;"",IF(AND(YEAR(B227)=YEAR('Исходные данные'!$B$26),MONTH(B227)=MONTH('Исходные данные'!$B$26)),'Исходные данные'!$B$26,IF(A227=1,'Исходные данные'!$B$9,C227)),IF(A227=1,'Исходные данные'!$B$9,C227))),IF('Исходные данные'!$B$26&lt;&gt;"",IF(AND(YEAR(B227)=YEAR('Исходные данные'!$B$26),MONTH(B227)=MONTH('Исходные данные'!$B$26)),'Исходные данные'!$B$26,IF(A227=1,'Исходные данные'!$B$9,C227)),IF(A227=1,'Исходные данные'!$B$9,C227)))),IF('Исходные данные'!$B$13&lt;&gt;"",IF(AND(YEAR(B227)=YEAR('Исходные данные'!$B$13),MONTH(B227)=MONTH('Исходные данные'!$B$13)),'Исходные данные'!$B$13,IF('Исходные данные'!$B$26&lt;&gt;"",IF(AND(YEAR(B227)=YEAR('Исходные данные'!$B$26),MONTH(B227)=MONTH('Исходные данные'!$B$26)),'Исходные данные'!$B$26,IF(A227=1,'Исходные данные'!$B$9,C227)),IF(A227=1,'Исходные данные'!$B$9,C227))),IF('Исходные данные'!$B$26&lt;&gt;"",IF(AND(YEAR(B227)=YEAR('Исходные данные'!$B$26),MONTH(B227)=MONTH('Исходные данные'!$B$26)),'Исходные данные'!$B$26,IF(A227=1,'Исходные данные'!$B$9,C227)),IF(A227=1,'Исходные данные'!$B$9,C227)))))</f>
        <v/>
      </c>
      <c r="E227">
        <f>IF(OR(B227="",'Исходные данные'!$B$91=""),0,--(B227&lt;=DATE(YEAR('Исходные данные'!$B$91),MONTH('Исходные данные'!$B$91),1)))</f>
        <v>0</v>
      </c>
      <c r="F227">
        <f>IF(OR(B227="",'Исходные данные'!$B$30="",C227&lt;'Исходные данные'!$B$30),0,DATEDIF(DATE(YEAR('Исходные данные'!$B$30),MONTH('Исходные данные'!$B$30),1),B227,"m")+1)</f>
        <v>0</v>
      </c>
      <c r="G227">
        <f t="shared" si="145"/>
        <v>0</v>
      </c>
      <c r="H227">
        <f>IF(F227=0,0,IF(G227=1,N('Исходные данные'!$B$31),IF(G227=2,N('Исходные данные'!$B$32),IF(G227=3,N('Исходные данные'!$B$33),N('Исходные данные'!$B$33)*(1+N('Исходные данные'!$B$34))^(G227-3)))))</f>
        <v>0</v>
      </c>
      <c r="I227">
        <f>IF(OR(F227=0,N('Исходные данные'!$B$5)=0,H227=0),0,'Исходные данные'!$B$5*H227*IF(AND(B227&lt;='Исходные данные'!$B$30,C227&gt;='Исходные данные'!$B$30),(C227-'Исходные данные'!$B$30+1)/DAY(C227),1))</f>
        <v>0</v>
      </c>
      <c r="J227">
        <f>IF(AND(F227&gt;0,F227&lt;=N('Исходные данные'!$B$37)),-I227,0)</f>
        <v>0</v>
      </c>
      <c r="K227">
        <f>IF(OR(F227=0,F227&lt;=N('Исходные данные'!$B$37)),0,-(I227+J227)*N('Исходные данные'!$B$38))</f>
        <v>0</v>
      </c>
      <c r="L227">
        <f t="shared" si="146"/>
        <v>0</v>
      </c>
      <c r="M227">
        <f>IF('Исходные данные'!$B$51="Да",L227*N('Исходные данные'!$B$52),0)</f>
        <v>0</v>
      </c>
      <c r="N227">
        <f t="shared" si="147"/>
        <v>0</v>
      </c>
      <c r="O227">
        <f>IF(OR(B227="",IF('Исходные данные'!$B$45="",'Исходные данные'!$B$10,'Исходные данные'!$B$45)="",C227&lt;IF('Исходные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данные'!$B$45)),1),B227,"m")/12))*IF(AND(B227&lt;=IF('Исходные данные'!$B$45="",'Исходные данные'!$B$10,'Исходные данные'!$B$45),C227&gt;=IF('Исходные данные'!$B$45="",'Исходные данные'!$B$10,'Исходные данные'!$B$45)),(C227-IF('Исходные данные'!$B$45="",'Исходные данные'!$B$10,'Исходные данные'!$B$45)+1)/DAY(C227),1)*IF('Исходные данные'!$B$43="Без НДС",1+N('Исходные данные'!$B$44),1))</f>
        <v>0</v>
      </c>
      <c r="P227">
        <f>IF('Исходные данные'!$B$51="Да",-O227*N('Исходные данные'!$B$44)/(1+N('Исходные данные'!$B$44)),0)</f>
        <v>0</v>
      </c>
      <c r="Q227">
        <f>IF('Исходные данные'!$B$35="Да",-O227,0)</f>
        <v>0</v>
      </c>
      <c r="R227">
        <f>IF(AND('Исходные данные'!$B$51="Да",Q227&gt;0),Q227*N('Исходные данные'!$B$52)/(1+N('Исходные данные'!$B$52)),0)</f>
        <v>0</v>
      </c>
      <c r="S227">
        <f>IF(OR(B227="",IF('Исходные данные'!$B$45="",'Исходные данные'!$B$10,'Исходные данные'!$B$45)="",C227&lt;IF('Исходные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данные'!$B$45)),1),B227,"m")/12))*IF(AND(B227&lt;=IF('Исходные данные'!$B$45="",'Исходные данные'!$B$10,'Исходные данные'!$B$45),C227&gt;=IF('Исходные данные'!$B$45="",'Исходные данные'!$B$10,'Исходные данные'!$B$45)),(C227-IF('Исходные данные'!$B$45="",'Исходные данные'!$B$10,'Исходные данные'!$B$45)+1)/DAY(C227),1)*IF('Исходные данные'!$B$43="Без НДС",1+N('Исходные данные'!$B$44),1))</f>
        <v>0</v>
      </c>
      <c r="T227">
        <f>IF('Исходные данные'!$B$51="Да",-S227*N('Исходные данные'!$B$44)/(1+N('Исходные данные'!$B$44)),0)</f>
        <v>0</v>
      </c>
      <c r="U227">
        <f>IF('Исходные данные'!$B$36="Да",-S227,0)</f>
        <v>0</v>
      </c>
      <c r="V227">
        <f>IF(AND('Исходные данные'!$B$51="Да",U227&gt;0),U227*N('Исходные данные'!$B$52)/(1+N('Исходные данные'!$B$52)),0)</f>
        <v>0</v>
      </c>
      <c r="W227">
        <f>IF(OR(B227="",IF('Исходные данные'!$B$69="",'Исходные данные'!$B$10,'Исходные данные'!$B$69)="",C227&lt;IF('Исходные данные'!$B$69="",'Исходные данные'!$B$10,'Исходные данные'!$B$69)),0,-N('Исходные данные'!$B$16)*N('Исходные данные'!$B$68)*N('Исходные данные'!$B$67)/12*IF(AND(B227&lt;=IF('Исходные данные'!$B$69="",'Исходные данные'!$B$10,'Исходные данные'!$B$69),C227&gt;=IF('Исходные данные'!$B$69="",'Исходные данные'!$B$10,'Исходные данные'!$B$69)),(C227-IF('Исходные данные'!$B$69="",'Исходные данные'!$B$10,'Исходные данные'!$B$69)+1)/DAY(C227),1))</f>
        <v>0</v>
      </c>
      <c r="X227">
        <f>IF(OR(B227="",IF('Исходные данные'!$B$76="",'Исходные данные'!$B$10,'Исходные данные'!$B$76)="",C227&lt;IF('Исходные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данные'!$B$76)),1),B227,"m")/12))*IF(AND(B227&lt;=IF('Исходные данные'!$B$76="",'Исходные данные'!$B$10,'Исходные данные'!$B$76),C227&gt;=IF('Исходные данные'!$B$76="",'Исходные данные'!$B$10,'Исходные данные'!$B$76)),(C227-IF('Исходные данные'!$B$76="",'Исходные данные'!$B$10,'Исходные данные'!$B$76)+1)/DAY(C227),1))</f>
        <v>0</v>
      </c>
      <c r="Y227">
        <f t="shared" si="148"/>
        <v>0</v>
      </c>
      <c r="Z227">
        <f>IF(OR(B227="",N('Исходные данные'!$B$19)=0),0,-SUMIFS('Исходные данные'!$I$6:$I$186,'Исходные данные'!$F$6:$F$186,B227)*N('Исходные данные'!$B$17)/N('Исходные данные'!$B$19))</f>
        <v>0</v>
      </c>
      <c r="AA227">
        <f>IF(OR(B227="",N('Исходные данные'!$B$19)=0),0,-SUMIFS('Исходные данные'!$I$6:$I$186,'Исходные данные'!$F$6:$F$186,B227)*N('Исходные данные'!$B$18)/N('Исходные данные'!$B$19))</f>
        <v>0</v>
      </c>
      <c r="AB227">
        <f>IF(OR(B227="",'Исходные данные'!$B$13=""),0,IF(AND(YEAR(B227)=YEAR('Исходные данные'!$B$13),MONTH(B227)=MONTH('Исходные данные'!$B$13)),-N('Исходные данные'!$B$11),0))</f>
        <v>0</v>
      </c>
      <c r="AC227">
        <f>IF(A227=1,-N('Исходные данные'!$B$19)*N('Исходные данные'!$B$72),0)</f>
        <v>0</v>
      </c>
      <c r="AD227">
        <f>IF(OR(B227="",'Исходные данные'!$B$22&lt;&gt;"Да",'Исходные данные'!$B$26=""),0,IF(AND(YEAR(B227)=YEAR('Исходные данные'!$B$26),MONTH(B227)=MONTH('Исходные данные'!$B$26)),N('Исходные данные'!$B$23),0))</f>
        <v>0</v>
      </c>
      <c r="AE227">
        <f t="shared" si="131"/>
        <v>0</v>
      </c>
      <c r="AF227">
        <f>IF(OR('Исходные данные'!$B$22&lt;&gt;"Да",'Исходные данные'!$B$26="",C227&lt;'Исходные данные'!$B$26),0,DATEDIF(DATE(YEAR('Исходные данные'!$B$26),MONTH('Исходные данные'!$B$26),1),B227,"m")+1)</f>
        <v>0</v>
      </c>
      <c r="AG227">
        <f>IF(OR(AF227&lt;1,AF227&gt;N('Исходные данные'!$B$25),AE227+AD227&lt;=0),0,-(AE227+AD227)*N('Исходные данные'!$B$24)*IF(AF227=1,C227-'Исходные данные'!$B$26+1,DAY(C227))/365)</f>
        <v>0</v>
      </c>
      <c r="AH227">
        <f>IF(OR(AF227&lt;1,AF227&gt;N('Исходные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данные'!$B$25)-AG227))</f>
        <v>0</v>
      </c>
      <c r="AI227">
        <f>IF(OR('Исходные данные'!$B$22&lt;&gt;"Да",AE227+AD227&lt;=0),0,IF(AND('Исходные данные'!$B$91&lt;&gt;"",B227&lt;&gt;"",YEAR(B227)=YEAR('Исходные данные'!$B$91),MONTH(B227)=MONTH('Исходные данные'!$B$91)),-(AE227+AD227),IF(OR(AF227&lt;1,AF227&gt;N('Исходные данные'!$B$25)),0,IF('Исходные данные'!$B$27="Равными долями",-MIN(AE227+AD227,N('Исходные данные'!$B$23)/N('Исходные данные'!$B$25)),-MIN(AE227+AD227,IF(AF227=N('Исходные данные'!$B$25),AE227+AD227,MAX(0,AH227+AG227)))))))</f>
        <v>0</v>
      </c>
      <c r="AJ227">
        <f t="shared" si="149"/>
        <v>0</v>
      </c>
      <c r="AK227">
        <f t="shared" si="132"/>
        <v>0</v>
      </c>
      <c r="AL227">
        <f>IF(OR(B227="",'Исходные данные'!$B$51&lt;&gt;"Да",'Исходные данные'!$B$61=""),0,IF(AND(YEAR(B227)=YEAR('Исходные данные'!$B$61),MONTH(B227)=MONTH('Исходные данные'!$B$61)),N('Исходные данные'!$B$18)*N('Исходные данные'!$B$62),0))</f>
        <v>0</v>
      </c>
      <c r="AM227">
        <f t="shared" si="133"/>
        <v>0</v>
      </c>
      <c r="AN227">
        <f t="shared" si="134"/>
        <v>0</v>
      </c>
      <c r="AO227">
        <f t="shared" si="135"/>
        <v>0</v>
      </c>
      <c r="AP227">
        <f>IF('Исходные данные'!$B$51="Да",-MAX(0,AN227-AO227-AM227),0)</f>
        <v>0</v>
      </c>
      <c r="AQ227">
        <f>IF('Исходные данные'!$B$51="Да",MAX(0,AM227+AO227-AN227),0)</f>
        <v>0</v>
      </c>
      <c r="AR227">
        <f>IF('Исходные данные'!$B$53="Выручка",MAX(0,L227+(Q227-R227)+(U227-V227)),IF('Исходные данные'!$B$53="Прибыль до налога",MAX(0,L227+(Q227-R227)+(U227-V227)+N('Исходные данные'!$B$54)*((O227+P227)+(S227+T227)+W227+X227)+IF('Исходные данные'!$B$55="Да",AG227,0)-N('Исходные данные'!$B$56)/12),IF('Исходные данные'!$B$53="Пользовательская база",MAX(0,N('Исходные данные'!$B$57)/12),0)))</f>
        <v>0</v>
      </c>
      <c r="AS227">
        <f>IF(E227=1,-AR227*N('Исходные данные'!$B$50),0)</f>
        <v>0</v>
      </c>
      <c r="AT227">
        <f t="shared" si="136"/>
        <v>0</v>
      </c>
      <c r="AU227">
        <f>IF(OR(B227="",N('Исходные данные'!$B$80)&lt;=0,'Исходные данные'!$B$88=""),0,MAX(0,IF('Исходные данные'!$B$88="Последние 12 месяцев",SUMIFS($Y$2:$Y$194,$B$2:$B$194,"&gt;="&amp;EDATE(B227,-11),$B$2:$B$194,"&lt;="&amp;B227),IF('Исходные данные'!$B$88="Пользовательский NOI",N('Исходные данные'!$B$89),AT227))/N('Исходные данные'!$B$80)*(1+N('Исходные данные'!$B$81))))</f>
        <v>0</v>
      </c>
      <c r="AV227">
        <f>IF(OR(E227&lt;&gt;1,B227="",'Исходные данные'!$B$91=""),0,IF(AND(YEAR(B227)=YEAR('Исходные данные'!$B$91),MONTH(B227)=MONTH('Исходные данные'!$B$91)),AU227,0))</f>
        <v>0</v>
      </c>
      <c r="AW227">
        <f>-AV227*N('Исходные данные'!$B$73)</f>
        <v>0</v>
      </c>
      <c r="AX227">
        <f>IF(AV227=0,0,-N('Исходные данные'!$B$87)-IF('Исходные данные'!$B$82="Да",IF('Исходные данные'!$B$84="С выручки",AV227,IF('Исходные данные'!$B$84="С прибыли",MAX(0,AV227+AW227-IF('Исходные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27">
        <f t="shared" si="150"/>
        <v>0</v>
      </c>
      <c r="AZ227">
        <f t="shared" si="137"/>
        <v>0</v>
      </c>
      <c r="BA227">
        <f t="shared" si="151"/>
        <v>0</v>
      </c>
      <c r="BB227" t="str">
        <f t="shared" si="138"/>
        <v/>
      </c>
      <c r="BC227">
        <f>IF(OR(E227=0,'Исходные данные'!$B$9="",'Исходные данные'!$B$90=""),0,BA227/(1+'Исходные данные'!$B$90)^((D227-'Исходные данные'!$B$9)/365))</f>
        <v>0</v>
      </c>
      <c r="BD227">
        <f>IF(AND(E227=1,BB227&gt;=0,BB226&lt;0,MIN($BB$2:BB227)&lt;0),1,0)</f>
        <v>0</v>
      </c>
      <c r="BE227">
        <f t="shared" si="139"/>
        <v>0</v>
      </c>
      <c r="BF227">
        <f t="shared" si="140"/>
        <v>0</v>
      </c>
      <c r="BG227">
        <f t="shared" si="141"/>
        <v>0</v>
      </c>
      <c r="BH227">
        <f t="shared" si="142"/>
        <v>1</v>
      </c>
      <c r="BI227">
        <f>AZ227+N227+AP227-AR227*N('Исходные данные'!$B$50)</f>
        <v>0</v>
      </c>
      <c r="BJ227">
        <f t="shared" si="143"/>
        <v>0</v>
      </c>
      <c r="BK227">
        <f>IF(AND(BJ227&gt;=0,BJ226&lt;0,MIN($BJ$2:BJ227)&lt;0),1,0)</f>
        <v>0</v>
      </c>
    </row>
    <row r="228" spans="1:63" x14ac:dyDescent="0.2">
      <c r="A228">
        <v>227</v>
      </c>
      <c r="B228" t="str">
        <f>IF('Исходные данные'!$B$9="","",EDATE(DATE(YEAR('Исходные данные'!$B$9),MONTH('Исходные данные'!$B$9),1),A228-1))</f>
        <v/>
      </c>
      <c r="C228" t="str">
        <f t="shared" si="144"/>
        <v/>
      </c>
      <c r="D228" t="str">
        <f>IF(B228="","",IF('Исходные данные'!$B$91&lt;&gt;"",IF(AND(YEAR(B228)=YEAR('Исходные данные'!$B$91),MONTH(B228)=MONTH('Исходные данные'!$B$91)),'Исходные данные'!$B$91,IF('Исходные данные'!$B$13&lt;&gt;"",IF(AND(YEAR(B228)=YEAR('Исходные данные'!$B$13),MONTH(B228)=MONTH('Исходные данные'!$B$13)),'Исходные данные'!$B$13,IF('Исходные данные'!$B$26&lt;&gt;"",IF(AND(YEAR(B228)=YEAR('Исходные данные'!$B$26),MONTH(B228)=MONTH('Исходные данные'!$B$26)),'Исходные данные'!$B$26,IF(A228=1,'Исходные данные'!$B$9,C228)),IF(A228=1,'Исходные данные'!$B$9,C228))),IF('Исходные данные'!$B$26&lt;&gt;"",IF(AND(YEAR(B228)=YEAR('Исходные данные'!$B$26),MONTH(B228)=MONTH('Исходные данные'!$B$26)),'Исходные данные'!$B$26,IF(A228=1,'Исходные данные'!$B$9,C228)),IF(A228=1,'Исходные данные'!$B$9,C228)))),IF('Исходные данные'!$B$13&lt;&gt;"",IF(AND(YEAR(B228)=YEAR('Исходные данные'!$B$13),MONTH(B228)=MONTH('Исходные данные'!$B$13)),'Исходные данные'!$B$13,IF('Исходные данные'!$B$26&lt;&gt;"",IF(AND(YEAR(B228)=YEAR('Исходные данные'!$B$26),MONTH(B228)=MONTH('Исходные данные'!$B$26)),'Исходные данные'!$B$26,IF(A228=1,'Исходные данные'!$B$9,C228)),IF(A228=1,'Исходные данные'!$B$9,C228))),IF('Исходные данные'!$B$26&lt;&gt;"",IF(AND(YEAR(B228)=YEAR('Исходные данные'!$B$26),MONTH(B228)=MONTH('Исходные данные'!$B$26)),'Исходные данные'!$B$26,IF(A228=1,'Исходные данные'!$B$9,C228)),IF(A228=1,'Исходные данные'!$B$9,C228)))))</f>
        <v/>
      </c>
      <c r="E228">
        <f>IF(OR(B228="",'Исходные данные'!$B$91=""),0,--(B228&lt;=DATE(YEAR('Исходные данные'!$B$91),MONTH('Исходные данные'!$B$91),1)))</f>
        <v>0</v>
      </c>
      <c r="F228">
        <f>IF(OR(B228="",'Исходные данные'!$B$30="",C228&lt;'Исходные данные'!$B$30),0,DATEDIF(DATE(YEAR('Исходные данные'!$B$30),MONTH('Исходные данные'!$B$30),1),B228,"m")+1)</f>
        <v>0</v>
      </c>
      <c r="G228">
        <f t="shared" si="145"/>
        <v>0</v>
      </c>
      <c r="H228">
        <f>IF(F228=0,0,IF(G228=1,N('Исходные данные'!$B$31),IF(G228=2,N('Исходные данные'!$B$32),IF(G228=3,N('Исходные данные'!$B$33),N('Исходные данные'!$B$33)*(1+N('Исходные данные'!$B$34))^(G228-3)))))</f>
        <v>0</v>
      </c>
      <c r="I228">
        <f>IF(OR(F228=0,N('Исходные данные'!$B$5)=0,H228=0),0,'Исходные данные'!$B$5*H228*IF(AND(B228&lt;='Исходные данные'!$B$30,C228&gt;='Исходные данные'!$B$30),(C228-'Исходные данные'!$B$30+1)/DAY(C228),1))</f>
        <v>0</v>
      </c>
      <c r="J228">
        <f>IF(AND(F228&gt;0,F228&lt;=N('Исходные данные'!$B$37)),-I228,0)</f>
        <v>0</v>
      </c>
      <c r="K228">
        <f>IF(OR(F228=0,F228&lt;=N('Исходные данные'!$B$37)),0,-(I228+J228)*N('Исходные данные'!$B$38))</f>
        <v>0</v>
      </c>
      <c r="L228">
        <f t="shared" si="146"/>
        <v>0</v>
      </c>
      <c r="M228">
        <f>IF('Исходные данные'!$B$51="Да",L228*N('Исходные данные'!$B$52),0)</f>
        <v>0</v>
      </c>
      <c r="N228">
        <f t="shared" si="147"/>
        <v>0</v>
      </c>
      <c r="O228">
        <f>IF(OR(B228="",IF('Исходные данные'!$B$45="",'Исходные данные'!$B$10,'Исходные данные'!$B$45)="",C228&lt;IF('Исходные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данные'!$B$45)),1),B228,"m")/12))*IF(AND(B228&lt;=IF('Исходные данные'!$B$45="",'Исходные данные'!$B$10,'Исходные данные'!$B$45),C228&gt;=IF('Исходные данные'!$B$45="",'Исходные данные'!$B$10,'Исходные данные'!$B$45)),(C228-IF('Исходные данные'!$B$45="",'Исходные данные'!$B$10,'Исходные данные'!$B$45)+1)/DAY(C228),1)*IF('Исходные данные'!$B$43="Без НДС",1+N('Исходные данные'!$B$44),1))</f>
        <v>0</v>
      </c>
      <c r="P228">
        <f>IF('Исходные данные'!$B$51="Да",-O228*N('Исходные данные'!$B$44)/(1+N('Исходные данные'!$B$44)),0)</f>
        <v>0</v>
      </c>
      <c r="Q228">
        <f>IF('Исходные данные'!$B$35="Да",-O228,0)</f>
        <v>0</v>
      </c>
      <c r="R228">
        <f>IF(AND('Исходные данные'!$B$51="Да",Q228&gt;0),Q228*N('Исходные данные'!$B$52)/(1+N('Исходные данные'!$B$52)),0)</f>
        <v>0</v>
      </c>
      <c r="S228">
        <f>IF(OR(B228="",IF('Исходные данные'!$B$45="",'Исходные данные'!$B$10,'Исходные данные'!$B$45)="",C228&lt;IF('Исходные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данные'!$B$45)),1),B228,"m")/12))*IF(AND(B228&lt;=IF('Исходные данные'!$B$45="",'Исходные данные'!$B$10,'Исходные данные'!$B$45),C228&gt;=IF('Исходные данные'!$B$45="",'Исходные данные'!$B$10,'Исходные данные'!$B$45)),(C228-IF('Исходные данные'!$B$45="",'Исходные данные'!$B$10,'Исходные данные'!$B$45)+1)/DAY(C228),1)*IF('Исходные данные'!$B$43="Без НДС",1+N('Исходные данные'!$B$44),1))</f>
        <v>0</v>
      </c>
      <c r="T228">
        <f>IF('Исходные данные'!$B$51="Да",-S228*N('Исходные данные'!$B$44)/(1+N('Исходные данные'!$B$44)),0)</f>
        <v>0</v>
      </c>
      <c r="U228">
        <f>IF('Исходные данные'!$B$36="Да",-S228,0)</f>
        <v>0</v>
      </c>
      <c r="V228">
        <f>IF(AND('Исходные данные'!$B$51="Да",U228&gt;0),U228*N('Исходные данные'!$B$52)/(1+N('Исходные данные'!$B$52)),0)</f>
        <v>0</v>
      </c>
      <c r="W228">
        <f>IF(OR(B228="",IF('Исходные данные'!$B$69="",'Исходные данные'!$B$10,'Исходные данные'!$B$69)="",C228&lt;IF('Исходные данные'!$B$69="",'Исходные данные'!$B$10,'Исходные данные'!$B$69)),0,-N('Исходные данные'!$B$16)*N('Исходные данные'!$B$68)*N('Исходные данные'!$B$67)/12*IF(AND(B228&lt;=IF('Исходные данные'!$B$69="",'Исходные данные'!$B$10,'Исходные данные'!$B$69),C228&gt;=IF('Исходные данные'!$B$69="",'Исходные данные'!$B$10,'Исходные данные'!$B$69)),(C228-IF('Исходные данные'!$B$69="",'Исходные данные'!$B$10,'Исходные данные'!$B$69)+1)/DAY(C228),1))</f>
        <v>0</v>
      </c>
      <c r="X228">
        <f>IF(OR(B228="",IF('Исходные данные'!$B$76="",'Исходные данные'!$B$10,'Исходные данные'!$B$76)="",C228&lt;IF('Исходные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данные'!$B$76)),1),B228,"m")/12))*IF(AND(B228&lt;=IF('Исходные данные'!$B$76="",'Исходные данные'!$B$10,'Исходные данные'!$B$76),C228&gt;=IF('Исходные данные'!$B$76="",'Исходные данные'!$B$10,'Исходные данные'!$B$76)),(C228-IF('Исходные данные'!$B$76="",'Исходные данные'!$B$10,'Исходные данные'!$B$76)+1)/DAY(C228),1))</f>
        <v>0</v>
      </c>
      <c r="Y228">
        <f t="shared" si="148"/>
        <v>0</v>
      </c>
      <c r="Z228">
        <f>IF(OR(B228="",N('Исходные данные'!$B$19)=0),0,-SUMIFS('Исходные данные'!$I$6:$I$186,'Исходные данные'!$F$6:$F$186,B228)*N('Исходные данные'!$B$17)/N('Исходные данные'!$B$19))</f>
        <v>0</v>
      </c>
      <c r="AA228">
        <f>IF(OR(B228="",N('Исходные данные'!$B$19)=0),0,-SUMIFS('Исходные данные'!$I$6:$I$186,'Исходные данные'!$F$6:$F$186,B228)*N('Исходные данные'!$B$18)/N('Исходные данные'!$B$19))</f>
        <v>0</v>
      </c>
      <c r="AB228">
        <f>IF(OR(B228="",'Исходные данные'!$B$13=""),0,IF(AND(YEAR(B228)=YEAR('Исходные данные'!$B$13),MONTH(B228)=MONTH('Исходные данные'!$B$13)),-N('Исходные данные'!$B$11),0))</f>
        <v>0</v>
      </c>
      <c r="AC228">
        <f>IF(A228=1,-N('Исходные данные'!$B$19)*N('Исходные данные'!$B$72),0)</f>
        <v>0</v>
      </c>
      <c r="AD228">
        <f>IF(OR(B228="",'Исходные данные'!$B$22&lt;&gt;"Да",'Исходные данные'!$B$26=""),0,IF(AND(YEAR(B228)=YEAR('Исходные данные'!$B$26),MONTH(B228)=MONTH('Исходные данные'!$B$26)),N('Исходные данные'!$B$23),0))</f>
        <v>0</v>
      </c>
      <c r="AE228">
        <f t="shared" si="131"/>
        <v>0</v>
      </c>
      <c r="AF228">
        <f>IF(OR('Исходные данные'!$B$22&lt;&gt;"Да",'Исходные данные'!$B$26="",C228&lt;'Исходные данные'!$B$26),0,DATEDIF(DATE(YEAR('Исходные данные'!$B$26),MONTH('Исходные данные'!$B$26),1),B228,"m")+1)</f>
        <v>0</v>
      </c>
      <c r="AG228">
        <f>IF(OR(AF228&lt;1,AF228&gt;N('Исходные данные'!$B$25),AE228+AD228&lt;=0),0,-(AE228+AD228)*N('Исходные данные'!$B$24)*IF(AF228=1,C228-'Исходные данные'!$B$26+1,DAY(C228))/365)</f>
        <v>0</v>
      </c>
      <c r="AH228">
        <f>IF(OR(AF228&lt;1,AF228&gt;N('Исходные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данные'!$B$25)-AG228))</f>
        <v>0</v>
      </c>
      <c r="AI228">
        <f>IF(OR('Исходные данные'!$B$22&lt;&gt;"Да",AE228+AD228&lt;=0),0,IF(AND('Исходные данные'!$B$91&lt;&gt;"",B228&lt;&gt;"",YEAR(B228)=YEAR('Исходные данные'!$B$91),MONTH(B228)=MONTH('Исходные данные'!$B$91)),-(AE228+AD228),IF(OR(AF228&lt;1,AF228&gt;N('Исходные данные'!$B$25)),0,IF('Исходные данные'!$B$27="Равными долями",-MIN(AE228+AD228,N('Исходные данные'!$B$23)/N('Исходные данные'!$B$25)),-MIN(AE228+AD228,IF(AF228=N('Исходные данные'!$B$25),AE228+AD228,MAX(0,AH228+AG228)))))))</f>
        <v>0</v>
      </c>
      <c r="AJ228">
        <f t="shared" si="149"/>
        <v>0</v>
      </c>
      <c r="AK228">
        <f t="shared" si="132"/>
        <v>0</v>
      </c>
      <c r="AL228">
        <f>IF(OR(B228="",'Исходные данные'!$B$51&lt;&gt;"Да",'Исходные данные'!$B$61=""),0,IF(AND(YEAR(B228)=YEAR('Исходные данные'!$B$61),MONTH(B228)=MONTH('Исходные данные'!$B$61)),N('Исходные данные'!$B$18)*N('Исходные данные'!$B$62),0))</f>
        <v>0</v>
      </c>
      <c r="AM228">
        <f t="shared" si="133"/>
        <v>0</v>
      </c>
      <c r="AN228">
        <f t="shared" si="134"/>
        <v>0</v>
      </c>
      <c r="AO228">
        <f t="shared" si="135"/>
        <v>0</v>
      </c>
      <c r="AP228">
        <f>IF('Исходные данные'!$B$51="Да",-MAX(0,AN228-AO228-AM228),0)</f>
        <v>0</v>
      </c>
      <c r="AQ228">
        <f>IF('Исходные данные'!$B$51="Да",MAX(0,AM228+AO228-AN228),0)</f>
        <v>0</v>
      </c>
      <c r="AR228">
        <f>IF('Исходные данные'!$B$53="Выручка",MAX(0,L228+(Q228-R228)+(U228-V228)),IF('Исходные данные'!$B$53="Прибыль до налога",MAX(0,L228+(Q228-R228)+(U228-V228)+N('Исходные данные'!$B$54)*((O228+P228)+(S228+T228)+W228+X228)+IF('Исходные данные'!$B$55="Да",AG228,0)-N('Исходные данные'!$B$56)/12),IF('Исходные данные'!$B$53="Пользовательская база",MAX(0,N('Исходные данные'!$B$57)/12),0)))</f>
        <v>0</v>
      </c>
      <c r="AS228">
        <f>IF(E228=1,-AR228*N('Исходные данные'!$B$50),0)</f>
        <v>0</v>
      </c>
      <c r="AT228">
        <f t="shared" si="136"/>
        <v>0</v>
      </c>
      <c r="AU228">
        <f>IF(OR(B228="",N('Исходные данные'!$B$80)&lt;=0,'Исходные данные'!$B$88=""),0,MAX(0,IF('Исходные данные'!$B$88="Последние 12 месяцев",SUMIFS($Y$2:$Y$194,$B$2:$B$194,"&gt;="&amp;EDATE(B228,-11),$B$2:$B$194,"&lt;="&amp;B228),IF('Исходные данные'!$B$88="Пользовательский NOI",N('Исходные данные'!$B$89),AT228))/N('Исходные данные'!$B$80)*(1+N('Исходные данные'!$B$81))))</f>
        <v>0</v>
      </c>
      <c r="AV228">
        <f>IF(OR(E228&lt;&gt;1,B228="",'Исходные данные'!$B$91=""),0,IF(AND(YEAR(B228)=YEAR('Исходные данные'!$B$91),MONTH(B228)=MONTH('Исходные данные'!$B$91)),AU228,0))</f>
        <v>0</v>
      </c>
      <c r="AW228">
        <f>-AV228*N('Исходные данные'!$B$73)</f>
        <v>0</v>
      </c>
      <c r="AX228">
        <f>IF(AV228=0,0,-N('Исходные данные'!$B$87)-IF('Исходные данные'!$B$82="Да",IF('Исходные данные'!$B$84="С выручки",AV228,IF('Исходные данные'!$B$84="С прибыли",MAX(0,AV228+AW228-IF('Исходные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28">
        <f t="shared" si="150"/>
        <v>0</v>
      </c>
      <c r="AZ228">
        <f t="shared" si="137"/>
        <v>0</v>
      </c>
      <c r="BA228">
        <f t="shared" si="151"/>
        <v>0</v>
      </c>
      <c r="BB228" t="str">
        <f t="shared" si="138"/>
        <v/>
      </c>
      <c r="BC228">
        <f>IF(OR(E228=0,'Исходные данные'!$B$9="",'Исходные данные'!$B$90=""),0,BA228/(1+'Исходные данные'!$B$90)^((D228-'Исходные данные'!$B$9)/365))</f>
        <v>0</v>
      </c>
      <c r="BD228">
        <f>IF(AND(E228=1,BB228&gt;=0,BB227&lt;0,MIN($BB$2:BB228)&lt;0),1,0)</f>
        <v>0</v>
      </c>
      <c r="BE228">
        <f t="shared" si="139"/>
        <v>0</v>
      </c>
      <c r="BF228">
        <f t="shared" si="140"/>
        <v>0</v>
      </c>
      <c r="BG228">
        <f t="shared" si="141"/>
        <v>0</v>
      </c>
      <c r="BH228">
        <f t="shared" si="142"/>
        <v>1</v>
      </c>
      <c r="BI228">
        <f>AZ228+N228+AP228-AR228*N('Исходные данные'!$B$50)</f>
        <v>0</v>
      </c>
      <c r="BJ228">
        <f t="shared" si="143"/>
        <v>0</v>
      </c>
      <c r="BK228">
        <f>IF(AND(BJ228&gt;=0,BJ227&lt;0,MIN($BJ$2:BJ228)&lt;0),1,0)</f>
        <v>0</v>
      </c>
    </row>
    <row r="229" spans="1:63" x14ac:dyDescent="0.2">
      <c r="A229">
        <v>228</v>
      </c>
      <c r="B229" t="str">
        <f>IF('Исходные данные'!$B$9="","",EDATE(DATE(YEAR('Исходные данные'!$B$9),MONTH('Исходные данные'!$B$9),1),A229-1))</f>
        <v/>
      </c>
      <c r="C229" t="str">
        <f t="shared" si="144"/>
        <v/>
      </c>
      <c r="D229" t="str">
        <f>IF(B229="","",IF('Исходные данные'!$B$91&lt;&gt;"",IF(AND(YEAR(B229)=YEAR('Исходные данные'!$B$91),MONTH(B229)=MONTH('Исходные данные'!$B$91)),'Исходные данные'!$B$91,IF('Исходные данные'!$B$13&lt;&gt;"",IF(AND(YEAR(B229)=YEAR('Исходные данные'!$B$13),MONTH(B229)=MONTH('Исходные данные'!$B$13)),'Исходные данные'!$B$13,IF('Исходные данные'!$B$26&lt;&gt;"",IF(AND(YEAR(B229)=YEAR('Исходные данные'!$B$26),MONTH(B229)=MONTH('Исходные данные'!$B$26)),'Исходные данные'!$B$26,IF(A229=1,'Исходные данные'!$B$9,C229)),IF(A229=1,'Исходные данные'!$B$9,C229))),IF('Исходные данные'!$B$26&lt;&gt;"",IF(AND(YEAR(B229)=YEAR('Исходные данные'!$B$26),MONTH(B229)=MONTH('Исходные данные'!$B$26)),'Исходные данные'!$B$26,IF(A229=1,'Исходные данные'!$B$9,C229)),IF(A229=1,'Исходные данные'!$B$9,C229)))),IF('Исходные данные'!$B$13&lt;&gt;"",IF(AND(YEAR(B229)=YEAR('Исходные данные'!$B$13),MONTH(B229)=MONTH('Исходные данные'!$B$13)),'Исходные данные'!$B$13,IF('Исходные данные'!$B$26&lt;&gt;"",IF(AND(YEAR(B229)=YEAR('Исходные данные'!$B$26),MONTH(B229)=MONTH('Исходные данные'!$B$26)),'Исходные данные'!$B$26,IF(A229=1,'Исходные данные'!$B$9,C229)),IF(A229=1,'Исходные данные'!$B$9,C229))),IF('Исходные данные'!$B$26&lt;&gt;"",IF(AND(YEAR(B229)=YEAR('Исходные данные'!$B$26),MONTH(B229)=MONTH('Исходные данные'!$B$26)),'Исходные данные'!$B$26,IF(A229=1,'Исходные данные'!$B$9,C229)),IF(A229=1,'Исходные данные'!$B$9,C229)))))</f>
        <v/>
      </c>
      <c r="E229">
        <f>IF(OR(B229="",'Исходные данные'!$B$91=""),0,--(B229&lt;=DATE(YEAR('Исходные данные'!$B$91),MONTH('Исходные данные'!$B$91),1)))</f>
        <v>0</v>
      </c>
      <c r="F229">
        <f>IF(OR(B229="",'Исходные данные'!$B$30="",C229&lt;'Исходные данные'!$B$30),0,DATEDIF(DATE(YEAR('Исходные данные'!$B$30),MONTH('Исходные данные'!$B$30),1),B229,"m")+1)</f>
        <v>0</v>
      </c>
      <c r="G229">
        <f t="shared" si="145"/>
        <v>0</v>
      </c>
      <c r="H229">
        <f>IF(F229=0,0,IF(G229=1,N('Исходные данные'!$B$31),IF(G229=2,N('Исходные данные'!$B$32),IF(G229=3,N('Исходные данные'!$B$33),N('Исходные данные'!$B$33)*(1+N('Исходные данные'!$B$34))^(G229-3)))))</f>
        <v>0</v>
      </c>
      <c r="I229">
        <f>IF(OR(F229=0,N('Исходные данные'!$B$5)=0,H229=0),0,'Исходные данные'!$B$5*H229*IF(AND(B229&lt;='Исходные данные'!$B$30,C229&gt;='Исходные данные'!$B$30),(C229-'Исходные данные'!$B$30+1)/DAY(C229),1))</f>
        <v>0</v>
      </c>
      <c r="J229">
        <f>IF(AND(F229&gt;0,F229&lt;=N('Исходные данные'!$B$37)),-I229,0)</f>
        <v>0</v>
      </c>
      <c r="K229">
        <f>IF(OR(F229=0,F229&lt;=N('Исходные данные'!$B$37)),0,-(I229+J229)*N('Исходные данные'!$B$38))</f>
        <v>0</v>
      </c>
      <c r="L229">
        <f t="shared" si="146"/>
        <v>0</v>
      </c>
      <c r="M229">
        <f>IF('Исходные данные'!$B$51="Да",L229*N('Исходные данные'!$B$52),0)</f>
        <v>0</v>
      </c>
      <c r="N229">
        <f t="shared" si="147"/>
        <v>0</v>
      </c>
      <c r="O229">
        <f>IF(OR(B229="",IF('Исходные данные'!$B$45="",'Исходные данные'!$B$10,'Исходные данные'!$B$45)="",C229&lt;IF('Исходные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данные'!$B$45)),1),B229,"m")/12))*IF(AND(B229&lt;=IF('Исходные данные'!$B$45="",'Исходные данные'!$B$10,'Исходные данные'!$B$45),C229&gt;=IF('Исходные данные'!$B$45="",'Исходные данные'!$B$10,'Исходные данные'!$B$45)),(C229-IF('Исходные данные'!$B$45="",'Исходные данные'!$B$10,'Исходные данные'!$B$45)+1)/DAY(C229),1)*IF('Исходные данные'!$B$43="Без НДС",1+N('Исходные данные'!$B$44),1))</f>
        <v>0</v>
      </c>
      <c r="P229">
        <f>IF('Исходные данные'!$B$51="Да",-O229*N('Исходные данные'!$B$44)/(1+N('Исходные данные'!$B$44)),0)</f>
        <v>0</v>
      </c>
      <c r="Q229">
        <f>IF('Исходные данные'!$B$35="Да",-O229,0)</f>
        <v>0</v>
      </c>
      <c r="R229">
        <f>IF(AND('Исходные данные'!$B$51="Да",Q229&gt;0),Q229*N('Исходные данные'!$B$52)/(1+N('Исходные данные'!$B$52)),0)</f>
        <v>0</v>
      </c>
      <c r="S229">
        <f>IF(OR(B229="",IF('Исходные данные'!$B$45="",'Исходные данные'!$B$10,'Исходные данные'!$B$45)="",C229&lt;IF('Исходные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данные'!$B$45)),1),B229,"m")/12))*IF(AND(B229&lt;=IF('Исходные данные'!$B$45="",'Исходные данные'!$B$10,'Исходные данные'!$B$45),C229&gt;=IF('Исходные данные'!$B$45="",'Исходные данные'!$B$10,'Исходные данные'!$B$45)),(C229-IF('Исходные данные'!$B$45="",'Исходные данные'!$B$10,'Исходные данные'!$B$45)+1)/DAY(C229),1)*IF('Исходные данные'!$B$43="Без НДС",1+N('Исходные данные'!$B$44),1))</f>
        <v>0</v>
      </c>
      <c r="T229">
        <f>IF('Исходные данные'!$B$51="Да",-S229*N('Исходные данные'!$B$44)/(1+N('Исходные данные'!$B$44)),0)</f>
        <v>0</v>
      </c>
      <c r="U229">
        <f>IF('Исходные данные'!$B$36="Да",-S229,0)</f>
        <v>0</v>
      </c>
      <c r="V229">
        <f>IF(AND('Исходные данные'!$B$51="Да",U229&gt;0),U229*N('Исходные данные'!$B$52)/(1+N('Исходные данные'!$B$52)),0)</f>
        <v>0</v>
      </c>
      <c r="W229">
        <f>IF(OR(B229="",IF('Исходные данные'!$B$69="",'Исходные данные'!$B$10,'Исходные данные'!$B$69)="",C229&lt;IF('Исходные данные'!$B$69="",'Исходные данные'!$B$10,'Исходные данные'!$B$69)),0,-N('Исходные данные'!$B$16)*N('Исходные данные'!$B$68)*N('Исходные данные'!$B$67)/12*IF(AND(B229&lt;=IF('Исходные данные'!$B$69="",'Исходные данные'!$B$10,'Исходные данные'!$B$69),C229&gt;=IF('Исходные данные'!$B$69="",'Исходные данные'!$B$10,'Исходные данные'!$B$69)),(C229-IF('Исходные данные'!$B$69="",'Исходные данные'!$B$10,'Исходные данные'!$B$69)+1)/DAY(C229),1))</f>
        <v>0</v>
      </c>
      <c r="X229">
        <f>IF(OR(B229="",IF('Исходные данные'!$B$76="",'Исходные данные'!$B$10,'Исходные данные'!$B$76)="",C229&lt;IF('Исходные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данные'!$B$76)),1),B229,"m")/12))*IF(AND(B229&lt;=IF('Исходные данные'!$B$76="",'Исходные данные'!$B$10,'Исходные данные'!$B$76),C229&gt;=IF('Исходные данные'!$B$76="",'Исходные данные'!$B$10,'Исходные данные'!$B$76)),(C229-IF('Исходные данные'!$B$76="",'Исходные данные'!$B$10,'Исходные данные'!$B$76)+1)/DAY(C229),1))</f>
        <v>0</v>
      </c>
      <c r="Y229">
        <f t="shared" si="148"/>
        <v>0</v>
      </c>
      <c r="Z229">
        <f>IF(OR(B229="",N('Исходные данные'!$B$19)=0),0,-SUMIFS('Исходные данные'!$I$6:$I$186,'Исходные данные'!$F$6:$F$186,B229)*N('Исходные данные'!$B$17)/N('Исходные данные'!$B$19))</f>
        <v>0</v>
      </c>
      <c r="AA229">
        <f>IF(OR(B229="",N('Исходные данные'!$B$19)=0),0,-SUMIFS('Исходные данные'!$I$6:$I$186,'Исходные данные'!$F$6:$F$186,B229)*N('Исходные данные'!$B$18)/N('Исходные данные'!$B$19))</f>
        <v>0</v>
      </c>
      <c r="AB229">
        <f>IF(OR(B229="",'Исходные данные'!$B$13=""),0,IF(AND(YEAR(B229)=YEAR('Исходные данные'!$B$13),MONTH(B229)=MONTH('Исходные данные'!$B$13)),-N('Исходные данные'!$B$11),0))</f>
        <v>0</v>
      </c>
      <c r="AC229">
        <f>IF(A229=1,-N('Исходные данные'!$B$19)*N('Исходные данные'!$B$72),0)</f>
        <v>0</v>
      </c>
      <c r="AD229">
        <f>IF(OR(B229="",'Исходные данные'!$B$22&lt;&gt;"Да",'Исходные данные'!$B$26=""),0,IF(AND(YEAR(B229)=YEAR('Исходные данные'!$B$26),MONTH(B229)=MONTH('Исходные данные'!$B$26)),N('Исходные данные'!$B$23),0))</f>
        <v>0</v>
      </c>
      <c r="AE229">
        <f t="shared" si="131"/>
        <v>0</v>
      </c>
      <c r="AF229">
        <f>IF(OR('Исходные данные'!$B$22&lt;&gt;"Да",'Исходные данные'!$B$26="",C229&lt;'Исходные данные'!$B$26),0,DATEDIF(DATE(YEAR('Исходные данные'!$B$26),MONTH('Исходные данные'!$B$26),1),B229,"m")+1)</f>
        <v>0</v>
      </c>
      <c r="AG229">
        <f>IF(OR(AF229&lt;1,AF229&gt;N('Исходные данные'!$B$25),AE229+AD229&lt;=0),0,-(AE229+AD229)*N('Исходные данные'!$B$24)*IF(AF229=1,C229-'Исходные данные'!$B$26+1,DAY(C229))/365)</f>
        <v>0</v>
      </c>
      <c r="AH229">
        <f>IF(OR(AF229&lt;1,AF229&gt;N('Исходные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данные'!$B$25)-AG229))</f>
        <v>0</v>
      </c>
      <c r="AI229">
        <f>IF(OR('Исходные данные'!$B$22&lt;&gt;"Да",AE229+AD229&lt;=0),0,IF(AND('Исходные данные'!$B$91&lt;&gt;"",B229&lt;&gt;"",YEAR(B229)=YEAR('Исходные данные'!$B$91),MONTH(B229)=MONTH('Исходные данные'!$B$91)),-(AE229+AD229),IF(OR(AF229&lt;1,AF229&gt;N('Исходные данные'!$B$25)),0,IF('Исходные данные'!$B$27="Равными долями",-MIN(AE229+AD229,N('Исходные данные'!$B$23)/N('Исходные данные'!$B$25)),-MIN(AE229+AD229,IF(AF229=N('Исходные данные'!$B$25),AE229+AD229,MAX(0,AH229+AG229)))))))</f>
        <v>0</v>
      </c>
      <c r="AJ229">
        <f t="shared" si="149"/>
        <v>0</v>
      </c>
      <c r="AK229">
        <f t="shared" si="132"/>
        <v>0</v>
      </c>
      <c r="AL229">
        <f>IF(OR(B229="",'Исходные данные'!$B$51&lt;&gt;"Да",'Исходные данные'!$B$61=""),0,IF(AND(YEAR(B229)=YEAR('Исходные данные'!$B$61),MONTH(B229)=MONTH('Исходные данные'!$B$61)),N('Исходные данные'!$B$18)*N('Исходные данные'!$B$62),0))</f>
        <v>0</v>
      </c>
      <c r="AM229">
        <f t="shared" si="133"/>
        <v>0</v>
      </c>
      <c r="AN229">
        <f t="shared" si="134"/>
        <v>0</v>
      </c>
      <c r="AO229">
        <f t="shared" si="135"/>
        <v>0</v>
      </c>
      <c r="AP229">
        <f>IF('Исходные данные'!$B$51="Да",-MAX(0,AN229-AO229-AM229),0)</f>
        <v>0</v>
      </c>
      <c r="AQ229">
        <f>IF('Исходные данные'!$B$51="Да",MAX(0,AM229+AO229-AN229),0)</f>
        <v>0</v>
      </c>
      <c r="AR229">
        <f>IF('Исходные данные'!$B$53="Выручка",MAX(0,L229+(Q229-R229)+(U229-V229)),IF('Исходные данные'!$B$53="Прибыль до налога",MAX(0,L229+(Q229-R229)+(U229-V229)+N('Исходные данные'!$B$54)*((O229+P229)+(S229+T229)+W229+X229)+IF('Исходные данные'!$B$55="Да",AG229,0)-N('Исходные данные'!$B$56)/12),IF('Исходные данные'!$B$53="Пользовательская база",MAX(0,N('Исходные данные'!$B$57)/12),0)))</f>
        <v>0</v>
      </c>
      <c r="AS229">
        <f>IF(E229=1,-AR229*N('Исходные данные'!$B$50),0)</f>
        <v>0</v>
      </c>
      <c r="AT229">
        <f t="shared" si="136"/>
        <v>0</v>
      </c>
      <c r="AU229">
        <f>IF(OR(B229="",N('Исходные данные'!$B$80)&lt;=0,'Исходные данные'!$B$88=""),0,MAX(0,IF('Исходные данные'!$B$88="Последние 12 месяцев",SUMIFS($Y$2:$Y$194,$B$2:$B$194,"&gt;="&amp;EDATE(B229,-11),$B$2:$B$194,"&lt;="&amp;B229),IF('Исходные данные'!$B$88="Пользовательский NOI",N('Исходные данные'!$B$89),AT229))/N('Исходные данные'!$B$80)*(1+N('Исходные данные'!$B$81))))</f>
        <v>0</v>
      </c>
      <c r="AV229">
        <f>IF(OR(E229&lt;&gt;1,B229="",'Исходные данные'!$B$91=""),0,IF(AND(YEAR(B229)=YEAR('Исходные данные'!$B$91),MONTH(B229)=MONTH('Исходные данные'!$B$91)),AU229,0))</f>
        <v>0</v>
      </c>
      <c r="AW229">
        <f>-AV229*N('Исходные данные'!$B$73)</f>
        <v>0</v>
      </c>
      <c r="AX229">
        <f>IF(AV229=0,0,-N('Исходные данные'!$B$87)-IF('Исходные данные'!$B$82="Да",IF('Исходные данные'!$B$84="С выручки",AV229,IF('Исходные данные'!$B$84="С прибыли",MAX(0,AV229+AW229-IF('Исходные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29">
        <f t="shared" si="150"/>
        <v>0</v>
      </c>
      <c r="AZ229">
        <f t="shared" si="137"/>
        <v>0</v>
      </c>
      <c r="BA229">
        <f t="shared" si="151"/>
        <v>0</v>
      </c>
      <c r="BB229" t="str">
        <f t="shared" si="138"/>
        <v/>
      </c>
      <c r="BC229">
        <f>IF(OR(E229=0,'Исходные данные'!$B$9="",'Исходные данные'!$B$90=""),0,BA229/(1+'Исходные данные'!$B$90)^((D229-'Исходные данные'!$B$9)/365))</f>
        <v>0</v>
      </c>
      <c r="BD229">
        <f>IF(AND(E229=1,BB229&gt;=0,BB228&lt;0,MIN($BB$2:BB229)&lt;0),1,0)</f>
        <v>0</v>
      </c>
      <c r="BE229">
        <f t="shared" si="139"/>
        <v>0</v>
      </c>
      <c r="BF229">
        <f t="shared" si="140"/>
        <v>0</v>
      </c>
      <c r="BG229">
        <f t="shared" si="141"/>
        <v>0</v>
      </c>
      <c r="BH229">
        <f t="shared" si="142"/>
        <v>1</v>
      </c>
      <c r="BI229">
        <f>AZ229+N229+AP229-AR229*N('Исходные данные'!$B$50)</f>
        <v>0</v>
      </c>
      <c r="BJ229">
        <f t="shared" si="143"/>
        <v>0</v>
      </c>
      <c r="BK229">
        <f>IF(AND(BJ229&gt;=0,BJ228&lt;0,MIN($BJ$2:BJ229)&lt;0),1,0)</f>
        <v>0</v>
      </c>
    </row>
    <row r="230" spans="1:63" x14ac:dyDescent="0.2">
      <c r="A230">
        <v>229</v>
      </c>
      <c r="B230" t="str">
        <f>IF('Исходные данные'!$B$9="","",EDATE(DATE(YEAR('Исходные данные'!$B$9),MONTH('Исходные данные'!$B$9),1),A230-1))</f>
        <v/>
      </c>
      <c r="C230" t="str">
        <f t="shared" si="144"/>
        <v/>
      </c>
      <c r="D230" t="str">
        <f>IF(B230="","",IF('Исходные данные'!$B$91&lt;&gt;"",IF(AND(YEAR(B230)=YEAR('Исходные данные'!$B$91),MONTH(B230)=MONTH('Исходные данные'!$B$91)),'Исходные данные'!$B$91,IF('Исходные данные'!$B$13&lt;&gt;"",IF(AND(YEAR(B230)=YEAR('Исходные данные'!$B$13),MONTH(B230)=MONTH('Исходные данные'!$B$13)),'Исходные данные'!$B$13,IF('Исходные данные'!$B$26&lt;&gt;"",IF(AND(YEAR(B230)=YEAR('Исходные данные'!$B$26),MONTH(B230)=MONTH('Исходные данные'!$B$26)),'Исходные данные'!$B$26,IF(A230=1,'Исходные данные'!$B$9,C230)),IF(A230=1,'Исходные данные'!$B$9,C230))),IF('Исходные данные'!$B$26&lt;&gt;"",IF(AND(YEAR(B230)=YEAR('Исходные данные'!$B$26),MONTH(B230)=MONTH('Исходные данные'!$B$26)),'Исходные данные'!$B$26,IF(A230=1,'Исходные данные'!$B$9,C230)),IF(A230=1,'Исходные данные'!$B$9,C230)))),IF('Исходные данные'!$B$13&lt;&gt;"",IF(AND(YEAR(B230)=YEAR('Исходные данные'!$B$13),MONTH(B230)=MONTH('Исходные данные'!$B$13)),'Исходные данные'!$B$13,IF('Исходные данные'!$B$26&lt;&gt;"",IF(AND(YEAR(B230)=YEAR('Исходные данные'!$B$26),MONTH(B230)=MONTH('Исходные данные'!$B$26)),'Исходные данные'!$B$26,IF(A230=1,'Исходные данные'!$B$9,C230)),IF(A230=1,'Исходные данные'!$B$9,C230))),IF('Исходные данные'!$B$26&lt;&gt;"",IF(AND(YEAR(B230)=YEAR('Исходные данные'!$B$26),MONTH(B230)=MONTH('Исходные данные'!$B$26)),'Исходные данные'!$B$26,IF(A230=1,'Исходные данные'!$B$9,C230)),IF(A230=1,'Исходные данные'!$B$9,C230)))))</f>
        <v/>
      </c>
      <c r="E230">
        <f>IF(OR(B230="",'Исходные данные'!$B$91=""),0,--(B230&lt;=DATE(YEAR('Исходные данные'!$B$91),MONTH('Исходные данные'!$B$91),1)))</f>
        <v>0</v>
      </c>
      <c r="F230">
        <f>IF(OR(B230="",'Исходные данные'!$B$30="",C230&lt;'Исходные данные'!$B$30),0,DATEDIF(DATE(YEAR('Исходные данные'!$B$30),MONTH('Исходные данные'!$B$30),1),B230,"m")+1)</f>
        <v>0</v>
      </c>
      <c r="G230">
        <f t="shared" si="145"/>
        <v>0</v>
      </c>
      <c r="H230">
        <f>IF(F230=0,0,IF(G230=1,N('Исходные данные'!$B$31),IF(G230=2,N('Исходные данные'!$B$32),IF(G230=3,N('Исходные данные'!$B$33),N('Исходные данные'!$B$33)*(1+N('Исходные данные'!$B$34))^(G230-3)))))</f>
        <v>0</v>
      </c>
      <c r="I230">
        <f>IF(OR(F230=0,N('Исходные данные'!$B$5)=0,H230=0),0,'Исходные данные'!$B$5*H230*IF(AND(B230&lt;='Исходные данные'!$B$30,C230&gt;='Исходные данные'!$B$30),(C230-'Исходные данные'!$B$30+1)/DAY(C230),1))</f>
        <v>0</v>
      </c>
      <c r="J230">
        <f>IF(AND(F230&gt;0,F230&lt;=N('Исходные данные'!$B$37)),-I230,0)</f>
        <v>0</v>
      </c>
      <c r="K230">
        <f>IF(OR(F230=0,F230&lt;=N('Исходные данные'!$B$37)),0,-(I230+J230)*N('Исходные данные'!$B$38))</f>
        <v>0</v>
      </c>
      <c r="L230">
        <f t="shared" si="146"/>
        <v>0</v>
      </c>
      <c r="M230">
        <f>IF('Исходные данные'!$B$51="Да",L230*N('Исходные данные'!$B$52),0)</f>
        <v>0</v>
      </c>
      <c r="N230">
        <f t="shared" si="147"/>
        <v>0</v>
      </c>
      <c r="O230">
        <f>IF(OR(B230="",IF('Исходные данные'!$B$45="",'Исходные данные'!$B$10,'Исходные данные'!$B$45)="",C230&lt;IF('Исходные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данные'!$B$45)),1),B230,"m")/12))*IF(AND(B230&lt;=IF('Исходные данные'!$B$45="",'Исходные данные'!$B$10,'Исходные данные'!$B$45),C230&gt;=IF('Исходные данные'!$B$45="",'Исходные данные'!$B$10,'Исходные данные'!$B$45)),(C230-IF('Исходные данные'!$B$45="",'Исходные данные'!$B$10,'Исходные данные'!$B$45)+1)/DAY(C230),1)*IF('Исходные данные'!$B$43="Без НДС",1+N('Исходные данные'!$B$44),1))</f>
        <v>0</v>
      </c>
      <c r="P230">
        <f>IF('Исходные данные'!$B$51="Да",-O230*N('Исходные данные'!$B$44)/(1+N('Исходные данные'!$B$44)),0)</f>
        <v>0</v>
      </c>
      <c r="Q230">
        <f>IF('Исходные данные'!$B$35="Да",-O230,0)</f>
        <v>0</v>
      </c>
      <c r="R230">
        <f>IF(AND('Исходные данные'!$B$51="Да",Q230&gt;0),Q230*N('Исходные данные'!$B$52)/(1+N('Исходные данные'!$B$52)),0)</f>
        <v>0</v>
      </c>
      <c r="S230">
        <f>IF(OR(B230="",IF('Исходные данные'!$B$45="",'Исходные данные'!$B$10,'Исходные данные'!$B$45)="",C230&lt;IF('Исходные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данные'!$B$45)),1),B230,"m")/12))*IF(AND(B230&lt;=IF('Исходные данные'!$B$45="",'Исходные данные'!$B$10,'Исходные данные'!$B$45),C230&gt;=IF('Исходные данные'!$B$45="",'Исходные данные'!$B$10,'Исходные данные'!$B$45)),(C230-IF('Исходные данные'!$B$45="",'Исходные данные'!$B$10,'Исходные данные'!$B$45)+1)/DAY(C230),1)*IF('Исходные данные'!$B$43="Без НДС",1+N('Исходные данные'!$B$44),1))</f>
        <v>0</v>
      </c>
      <c r="T230">
        <f>IF('Исходные данные'!$B$51="Да",-S230*N('Исходные данные'!$B$44)/(1+N('Исходные данные'!$B$44)),0)</f>
        <v>0</v>
      </c>
      <c r="U230">
        <f>IF('Исходные данные'!$B$36="Да",-S230,0)</f>
        <v>0</v>
      </c>
      <c r="V230">
        <f>IF(AND('Исходные данные'!$B$51="Да",U230&gt;0),U230*N('Исходные данные'!$B$52)/(1+N('Исходные данные'!$B$52)),0)</f>
        <v>0</v>
      </c>
      <c r="W230">
        <f>IF(OR(B230="",IF('Исходные данные'!$B$69="",'Исходные данные'!$B$10,'Исходные данные'!$B$69)="",C230&lt;IF('Исходные данные'!$B$69="",'Исходные данные'!$B$10,'Исходные данные'!$B$69)),0,-N('Исходные данные'!$B$16)*N('Исходные данные'!$B$68)*N('Исходные данные'!$B$67)/12*IF(AND(B230&lt;=IF('Исходные данные'!$B$69="",'Исходные данные'!$B$10,'Исходные данные'!$B$69),C230&gt;=IF('Исходные данные'!$B$69="",'Исходные данные'!$B$10,'Исходные данные'!$B$69)),(C230-IF('Исходные данные'!$B$69="",'Исходные данные'!$B$10,'Исходные данные'!$B$69)+1)/DAY(C230),1))</f>
        <v>0</v>
      </c>
      <c r="X230">
        <f>IF(OR(B230="",IF('Исходные данные'!$B$76="",'Исходные данные'!$B$10,'Исходные данные'!$B$76)="",C230&lt;IF('Исходные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данные'!$B$76)),1),B230,"m")/12))*IF(AND(B230&lt;=IF('Исходные данные'!$B$76="",'Исходные данные'!$B$10,'Исходные данные'!$B$76),C230&gt;=IF('Исходные данные'!$B$76="",'Исходные данные'!$B$10,'Исходные данные'!$B$76)),(C230-IF('Исходные данные'!$B$76="",'Исходные данные'!$B$10,'Исходные данные'!$B$76)+1)/DAY(C230),1))</f>
        <v>0</v>
      </c>
      <c r="Y230">
        <f t="shared" si="148"/>
        <v>0</v>
      </c>
      <c r="Z230">
        <f>IF(OR(B230="",N('Исходные данные'!$B$19)=0),0,-SUMIFS('Исходные данные'!$I$6:$I$186,'Исходные данные'!$F$6:$F$186,B230)*N('Исходные данные'!$B$17)/N('Исходные данные'!$B$19))</f>
        <v>0</v>
      </c>
      <c r="AA230">
        <f>IF(OR(B230="",N('Исходные данные'!$B$19)=0),0,-SUMIFS('Исходные данные'!$I$6:$I$186,'Исходные данные'!$F$6:$F$186,B230)*N('Исходные данные'!$B$18)/N('Исходные данные'!$B$19))</f>
        <v>0</v>
      </c>
      <c r="AB230">
        <f>IF(OR(B230="",'Исходные данные'!$B$13=""),0,IF(AND(YEAR(B230)=YEAR('Исходные данные'!$B$13),MONTH(B230)=MONTH('Исходные данные'!$B$13)),-N('Исходные данные'!$B$11),0))</f>
        <v>0</v>
      </c>
      <c r="AC230">
        <f>IF(A230=1,-N('Исходные данные'!$B$19)*N('Исходные данные'!$B$72),0)</f>
        <v>0</v>
      </c>
      <c r="AD230">
        <f>IF(OR(B230="",'Исходные данные'!$B$22&lt;&gt;"Да",'Исходные данные'!$B$26=""),0,IF(AND(YEAR(B230)=YEAR('Исходные данные'!$B$26),MONTH(B230)=MONTH('Исходные данные'!$B$26)),N('Исходные данные'!$B$23),0))</f>
        <v>0</v>
      </c>
      <c r="AE230">
        <f t="shared" si="131"/>
        <v>0</v>
      </c>
      <c r="AF230">
        <f>IF(OR('Исходные данные'!$B$22&lt;&gt;"Да",'Исходные данные'!$B$26="",C230&lt;'Исходные данные'!$B$26),0,DATEDIF(DATE(YEAR('Исходные данные'!$B$26),MONTH('Исходные данные'!$B$26),1),B230,"m")+1)</f>
        <v>0</v>
      </c>
      <c r="AG230">
        <f>IF(OR(AF230&lt;1,AF230&gt;N('Исходные данные'!$B$25),AE230+AD230&lt;=0),0,-(AE230+AD230)*N('Исходные данные'!$B$24)*IF(AF230=1,C230-'Исходные данные'!$B$26+1,DAY(C230))/365)</f>
        <v>0</v>
      </c>
      <c r="AH230">
        <f>IF(OR(AF230&lt;1,AF230&gt;N('Исходные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данные'!$B$25)-AG230))</f>
        <v>0</v>
      </c>
      <c r="AI230">
        <f>IF(OR('Исходные данные'!$B$22&lt;&gt;"Да",AE230+AD230&lt;=0),0,IF(AND('Исходные данные'!$B$91&lt;&gt;"",B230&lt;&gt;"",YEAR(B230)=YEAR('Исходные данные'!$B$91),MONTH(B230)=MONTH('Исходные данные'!$B$91)),-(AE230+AD230),IF(OR(AF230&lt;1,AF230&gt;N('Исходные данные'!$B$25)),0,IF('Исходные данные'!$B$27="Равными долями",-MIN(AE230+AD230,N('Исходные данные'!$B$23)/N('Исходные данные'!$B$25)),-MIN(AE230+AD230,IF(AF230=N('Исходные данные'!$B$25),AE230+AD230,MAX(0,AH230+AG230)))))))</f>
        <v>0</v>
      </c>
      <c r="AJ230">
        <f t="shared" si="149"/>
        <v>0</v>
      </c>
      <c r="AK230">
        <f t="shared" si="132"/>
        <v>0</v>
      </c>
      <c r="AL230">
        <f>IF(OR(B230="",'Исходные данные'!$B$51&lt;&gt;"Да",'Исходные данные'!$B$61=""),0,IF(AND(YEAR(B230)=YEAR('Исходные данные'!$B$61),MONTH(B230)=MONTH('Исходные данные'!$B$61)),N('Исходные данные'!$B$18)*N('Исходные данные'!$B$62),0))</f>
        <v>0</v>
      </c>
      <c r="AM230">
        <f t="shared" si="133"/>
        <v>0</v>
      </c>
      <c r="AN230">
        <f t="shared" si="134"/>
        <v>0</v>
      </c>
      <c r="AO230">
        <f t="shared" si="135"/>
        <v>0</v>
      </c>
      <c r="AP230">
        <f>IF('Исходные данные'!$B$51="Да",-MAX(0,AN230-AO230-AM230),0)</f>
        <v>0</v>
      </c>
      <c r="AQ230">
        <f>IF('Исходные данные'!$B$51="Да",MAX(0,AM230+AO230-AN230),0)</f>
        <v>0</v>
      </c>
      <c r="AR230">
        <f>IF('Исходные данные'!$B$53="Выручка",MAX(0,L230+(Q230-R230)+(U230-V230)),IF('Исходные данные'!$B$53="Прибыль до налога",MAX(0,L230+(Q230-R230)+(U230-V230)+N('Исходные данные'!$B$54)*((O230+P230)+(S230+T230)+W230+X230)+IF('Исходные данные'!$B$55="Да",AG230,0)-N('Исходные данные'!$B$56)/12),IF('Исходные данные'!$B$53="Пользовательская база",MAX(0,N('Исходные данные'!$B$57)/12),0)))</f>
        <v>0</v>
      </c>
      <c r="AS230">
        <f>IF(E230=1,-AR230*N('Исходные данные'!$B$50),0)</f>
        <v>0</v>
      </c>
      <c r="AT230">
        <f t="shared" si="136"/>
        <v>0</v>
      </c>
      <c r="AU230">
        <f>IF(OR(B230="",N('Исходные данные'!$B$80)&lt;=0,'Исходные данные'!$B$88=""),0,MAX(0,IF('Исходные данные'!$B$88="Последние 12 месяцев",SUMIFS($Y$2:$Y$194,$B$2:$B$194,"&gt;="&amp;EDATE(B230,-11),$B$2:$B$194,"&lt;="&amp;B230),IF('Исходные данные'!$B$88="Пользовательский NOI",N('Исходные данные'!$B$89),AT230))/N('Исходные данные'!$B$80)*(1+N('Исходные данные'!$B$81))))</f>
        <v>0</v>
      </c>
      <c r="AV230">
        <f>IF(OR(E230&lt;&gt;1,B230="",'Исходные данные'!$B$91=""),0,IF(AND(YEAR(B230)=YEAR('Исходные данные'!$B$91),MONTH(B230)=MONTH('Исходные данные'!$B$91)),AU230,0))</f>
        <v>0</v>
      </c>
      <c r="AW230">
        <f>-AV230*N('Исходные данные'!$B$73)</f>
        <v>0</v>
      </c>
      <c r="AX230">
        <f>IF(AV230=0,0,-N('Исходные данные'!$B$87)-IF('Исходные данные'!$B$82="Да",IF('Исходные данные'!$B$84="С выручки",AV230,IF('Исходные данные'!$B$84="С прибыли",MAX(0,AV230+AW230-IF('Исходные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30">
        <f t="shared" si="150"/>
        <v>0</v>
      </c>
      <c r="AZ230">
        <f t="shared" si="137"/>
        <v>0</v>
      </c>
      <c r="BA230">
        <f t="shared" si="151"/>
        <v>0</v>
      </c>
      <c r="BB230" t="str">
        <f t="shared" si="138"/>
        <v/>
      </c>
      <c r="BC230">
        <f>IF(OR(E230=0,'Исходные данные'!$B$9="",'Исходные данные'!$B$90=""),0,BA230/(1+'Исходные данные'!$B$90)^((D230-'Исходные данные'!$B$9)/365))</f>
        <v>0</v>
      </c>
      <c r="BD230">
        <f>IF(AND(E230=1,BB230&gt;=0,BB229&lt;0,MIN($BB$2:BB230)&lt;0),1,0)</f>
        <v>0</v>
      </c>
      <c r="BE230">
        <f t="shared" si="139"/>
        <v>0</v>
      </c>
      <c r="BF230">
        <f t="shared" si="140"/>
        <v>0</v>
      </c>
      <c r="BG230">
        <f t="shared" si="141"/>
        <v>0</v>
      </c>
      <c r="BH230">
        <f t="shared" si="142"/>
        <v>1</v>
      </c>
      <c r="BI230">
        <f>AZ230+N230+AP230-AR230*N('Исходные данные'!$B$50)</f>
        <v>0</v>
      </c>
      <c r="BJ230">
        <f t="shared" si="143"/>
        <v>0</v>
      </c>
      <c r="BK230">
        <f>IF(AND(BJ230&gt;=0,BJ229&lt;0,MIN($BJ$2:BJ230)&lt;0),1,0)</f>
        <v>0</v>
      </c>
    </row>
    <row r="231" spans="1:63" x14ac:dyDescent="0.2">
      <c r="A231">
        <v>230</v>
      </c>
      <c r="B231" t="str">
        <f>IF('Исходные данные'!$B$9="","",EDATE(DATE(YEAR('Исходные данные'!$B$9),MONTH('Исходные данные'!$B$9),1),A231-1))</f>
        <v/>
      </c>
      <c r="C231" t="str">
        <f t="shared" si="144"/>
        <v/>
      </c>
      <c r="D231" t="str">
        <f>IF(B231="","",IF('Исходные данные'!$B$91&lt;&gt;"",IF(AND(YEAR(B231)=YEAR('Исходные данные'!$B$91),MONTH(B231)=MONTH('Исходные данные'!$B$91)),'Исходные данные'!$B$91,IF('Исходные данные'!$B$13&lt;&gt;"",IF(AND(YEAR(B231)=YEAR('Исходные данные'!$B$13),MONTH(B231)=MONTH('Исходные данные'!$B$13)),'Исходные данные'!$B$13,IF('Исходные данные'!$B$26&lt;&gt;"",IF(AND(YEAR(B231)=YEAR('Исходные данные'!$B$26),MONTH(B231)=MONTH('Исходные данные'!$B$26)),'Исходные данные'!$B$26,IF(A231=1,'Исходные данные'!$B$9,C231)),IF(A231=1,'Исходные данные'!$B$9,C231))),IF('Исходные данные'!$B$26&lt;&gt;"",IF(AND(YEAR(B231)=YEAR('Исходные данные'!$B$26),MONTH(B231)=MONTH('Исходные данные'!$B$26)),'Исходные данные'!$B$26,IF(A231=1,'Исходные данные'!$B$9,C231)),IF(A231=1,'Исходные данные'!$B$9,C231)))),IF('Исходные данные'!$B$13&lt;&gt;"",IF(AND(YEAR(B231)=YEAR('Исходные данные'!$B$13),MONTH(B231)=MONTH('Исходные данные'!$B$13)),'Исходные данные'!$B$13,IF('Исходные данные'!$B$26&lt;&gt;"",IF(AND(YEAR(B231)=YEAR('Исходные данные'!$B$26),MONTH(B231)=MONTH('Исходные данные'!$B$26)),'Исходные данные'!$B$26,IF(A231=1,'Исходные данные'!$B$9,C231)),IF(A231=1,'Исходные данные'!$B$9,C231))),IF('Исходные данные'!$B$26&lt;&gt;"",IF(AND(YEAR(B231)=YEAR('Исходные данные'!$B$26),MONTH(B231)=MONTH('Исходные данные'!$B$26)),'Исходные данные'!$B$26,IF(A231=1,'Исходные данные'!$B$9,C231)),IF(A231=1,'Исходные данные'!$B$9,C231)))))</f>
        <v/>
      </c>
      <c r="E231">
        <f>IF(OR(B231="",'Исходные данные'!$B$91=""),0,--(B231&lt;=DATE(YEAR('Исходные данные'!$B$91),MONTH('Исходные данные'!$B$91),1)))</f>
        <v>0</v>
      </c>
      <c r="F231">
        <f>IF(OR(B231="",'Исходные данные'!$B$30="",C231&lt;'Исходные данные'!$B$30),0,DATEDIF(DATE(YEAR('Исходные данные'!$B$30),MONTH('Исходные данные'!$B$30),1),B231,"m")+1)</f>
        <v>0</v>
      </c>
      <c r="G231">
        <f t="shared" si="145"/>
        <v>0</v>
      </c>
      <c r="H231">
        <f>IF(F231=0,0,IF(G231=1,N('Исходные данные'!$B$31),IF(G231=2,N('Исходные данные'!$B$32),IF(G231=3,N('Исходные данные'!$B$33),N('Исходные данные'!$B$33)*(1+N('Исходные данные'!$B$34))^(G231-3)))))</f>
        <v>0</v>
      </c>
      <c r="I231">
        <f>IF(OR(F231=0,N('Исходные данные'!$B$5)=0,H231=0),0,'Исходные данные'!$B$5*H231*IF(AND(B231&lt;='Исходные данные'!$B$30,C231&gt;='Исходные данные'!$B$30),(C231-'Исходные данные'!$B$30+1)/DAY(C231),1))</f>
        <v>0</v>
      </c>
      <c r="J231">
        <f>IF(AND(F231&gt;0,F231&lt;=N('Исходные данные'!$B$37)),-I231,0)</f>
        <v>0</v>
      </c>
      <c r="K231">
        <f>IF(OR(F231=0,F231&lt;=N('Исходные данные'!$B$37)),0,-(I231+J231)*N('Исходные данные'!$B$38))</f>
        <v>0</v>
      </c>
      <c r="L231">
        <f t="shared" si="146"/>
        <v>0</v>
      </c>
      <c r="M231">
        <f>IF('Исходные данные'!$B$51="Да",L231*N('Исходные данные'!$B$52),0)</f>
        <v>0</v>
      </c>
      <c r="N231">
        <f t="shared" si="147"/>
        <v>0</v>
      </c>
      <c r="O231">
        <f>IF(OR(B231="",IF('Исходные данные'!$B$45="",'Исходные данные'!$B$10,'Исходные данные'!$B$45)="",C231&lt;IF('Исходные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данные'!$B$45)),1),B231,"m")/12))*IF(AND(B231&lt;=IF('Исходные данные'!$B$45="",'Исходные данные'!$B$10,'Исходные данные'!$B$45),C231&gt;=IF('Исходные данные'!$B$45="",'Исходные данные'!$B$10,'Исходные данные'!$B$45)),(C231-IF('Исходные данные'!$B$45="",'Исходные данные'!$B$10,'Исходные данные'!$B$45)+1)/DAY(C231),1)*IF('Исходные данные'!$B$43="Без НДС",1+N('Исходные данные'!$B$44),1))</f>
        <v>0</v>
      </c>
      <c r="P231">
        <f>IF('Исходные данные'!$B$51="Да",-O231*N('Исходные данные'!$B$44)/(1+N('Исходные данные'!$B$44)),0)</f>
        <v>0</v>
      </c>
      <c r="Q231">
        <f>IF('Исходные данные'!$B$35="Да",-O231,0)</f>
        <v>0</v>
      </c>
      <c r="R231">
        <f>IF(AND('Исходные данные'!$B$51="Да",Q231&gt;0),Q231*N('Исходные данные'!$B$52)/(1+N('Исходные данные'!$B$52)),0)</f>
        <v>0</v>
      </c>
      <c r="S231">
        <f>IF(OR(B231="",IF('Исходные данные'!$B$45="",'Исходные данные'!$B$10,'Исходные данные'!$B$45)="",C231&lt;IF('Исходные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данные'!$B$45)),1),B231,"m")/12))*IF(AND(B231&lt;=IF('Исходные данные'!$B$45="",'Исходные данные'!$B$10,'Исходные данные'!$B$45),C231&gt;=IF('Исходные данные'!$B$45="",'Исходные данные'!$B$10,'Исходные данные'!$B$45)),(C231-IF('Исходные данные'!$B$45="",'Исходные данные'!$B$10,'Исходные данные'!$B$45)+1)/DAY(C231),1)*IF('Исходные данные'!$B$43="Без НДС",1+N('Исходные данные'!$B$44),1))</f>
        <v>0</v>
      </c>
      <c r="T231">
        <f>IF('Исходные данные'!$B$51="Да",-S231*N('Исходные данные'!$B$44)/(1+N('Исходные данные'!$B$44)),0)</f>
        <v>0</v>
      </c>
      <c r="U231">
        <f>IF('Исходные данные'!$B$36="Да",-S231,0)</f>
        <v>0</v>
      </c>
      <c r="V231">
        <f>IF(AND('Исходные данные'!$B$51="Да",U231&gt;0),U231*N('Исходные данные'!$B$52)/(1+N('Исходные данные'!$B$52)),0)</f>
        <v>0</v>
      </c>
      <c r="W231">
        <f>IF(OR(B231="",IF('Исходные данные'!$B$69="",'Исходные данные'!$B$10,'Исходные данные'!$B$69)="",C231&lt;IF('Исходные данные'!$B$69="",'Исходные данные'!$B$10,'Исходные данные'!$B$69)),0,-N('Исходные данные'!$B$16)*N('Исходные данные'!$B$68)*N('Исходные данные'!$B$67)/12*IF(AND(B231&lt;=IF('Исходные данные'!$B$69="",'Исходные данные'!$B$10,'Исходные данные'!$B$69),C231&gt;=IF('Исходные данные'!$B$69="",'Исходные данные'!$B$10,'Исходные данные'!$B$69)),(C231-IF('Исходные данные'!$B$69="",'Исходные данные'!$B$10,'Исходные данные'!$B$69)+1)/DAY(C231),1))</f>
        <v>0</v>
      </c>
      <c r="X231">
        <f>IF(OR(B231="",IF('Исходные данные'!$B$76="",'Исходные данные'!$B$10,'Исходные данные'!$B$76)="",C231&lt;IF('Исходные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данные'!$B$76)),1),B231,"m")/12))*IF(AND(B231&lt;=IF('Исходные данные'!$B$76="",'Исходные данные'!$B$10,'Исходные данные'!$B$76),C231&gt;=IF('Исходные данные'!$B$76="",'Исходные данные'!$B$10,'Исходные данные'!$B$76)),(C231-IF('Исходные данные'!$B$76="",'Исходные данные'!$B$10,'Исходные данные'!$B$76)+1)/DAY(C231),1))</f>
        <v>0</v>
      </c>
      <c r="Y231">
        <f t="shared" si="148"/>
        <v>0</v>
      </c>
      <c r="Z231">
        <f>IF(OR(B231="",N('Исходные данные'!$B$19)=0),0,-SUMIFS('Исходные данные'!$I$6:$I$186,'Исходные данные'!$F$6:$F$186,B231)*N('Исходные данные'!$B$17)/N('Исходные данные'!$B$19))</f>
        <v>0</v>
      </c>
      <c r="AA231">
        <f>IF(OR(B231="",N('Исходные данные'!$B$19)=0),0,-SUMIFS('Исходные данные'!$I$6:$I$186,'Исходные данные'!$F$6:$F$186,B231)*N('Исходные данные'!$B$18)/N('Исходные данные'!$B$19))</f>
        <v>0</v>
      </c>
      <c r="AB231">
        <f>IF(OR(B231="",'Исходные данные'!$B$13=""),0,IF(AND(YEAR(B231)=YEAR('Исходные данные'!$B$13),MONTH(B231)=MONTH('Исходные данные'!$B$13)),-N('Исходные данные'!$B$11),0))</f>
        <v>0</v>
      </c>
      <c r="AC231">
        <f>IF(A231=1,-N('Исходные данные'!$B$19)*N('Исходные данные'!$B$72),0)</f>
        <v>0</v>
      </c>
      <c r="AD231">
        <f>IF(OR(B231="",'Исходные данные'!$B$22&lt;&gt;"Да",'Исходные данные'!$B$26=""),0,IF(AND(YEAR(B231)=YEAR('Исходные данные'!$B$26),MONTH(B231)=MONTH('Исходные данные'!$B$26)),N('Исходные данные'!$B$23),0))</f>
        <v>0</v>
      </c>
      <c r="AE231">
        <f t="shared" si="131"/>
        <v>0</v>
      </c>
      <c r="AF231">
        <f>IF(OR('Исходные данные'!$B$22&lt;&gt;"Да",'Исходные данные'!$B$26="",C231&lt;'Исходные данные'!$B$26),0,DATEDIF(DATE(YEAR('Исходные данные'!$B$26),MONTH('Исходные данные'!$B$26),1),B231,"m")+1)</f>
        <v>0</v>
      </c>
      <c r="AG231">
        <f>IF(OR(AF231&lt;1,AF231&gt;N('Исходные данные'!$B$25),AE231+AD231&lt;=0),0,-(AE231+AD231)*N('Исходные данные'!$B$24)*IF(AF231=1,C231-'Исходные данные'!$B$26+1,DAY(C231))/365)</f>
        <v>0</v>
      </c>
      <c r="AH231">
        <f>IF(OR(AF231&lt;1,AF231&gt;N('Исходные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данные'!$B$25)-AG231))</f>
        <v>0</v>
      </c>
      <c r="AI231">
        <f>IF(OR('Исходные данные'!$B$22&lt;&gt;"Да",AE231+AD231&lt;=0),0,IF(AND('Исходные данные'!$B$91&lt;&gt;"",B231&lt;&gt;"",YEAR(B231)=YEAR('Исходные данные'!$B$91),MONTH(B231)=MONTH('Исходные данные'!$B$91)),-(AE231+AD231),IF(OR(AF231&lt;1,AF231&gt;N('Исходные данные'!$B$25)),0,IF('Исходные данные'!$B$27="Равными долями",-MIN(AE231+AD231,N('Исходные данные'!$B$23)/N('Исходные данные'!$B$25)),-MIN(AE231+AD231,IF(AF231=N('Исходные данные'!$B$25),AE231+AD231,MAX(0,AH231+AG231)))))))</f>
        <v>0</v>
      </c>
      <c r="AJ231">
        <f t="shared" si="149"/>
        <v>0</v>
      </c>
      <c r="AK231">
        <f t="shared" si="132"/>
        <v>0</v>
      </c>
      <c r="AL231">
        <f>IF(OR(B231="",'Исходные данные'!$B$51&lt;&gt;"Да",'Исходные данные'!$B$61=""),0,IF(AND(YEAR(B231)=YEAR('Исходные данные'!$B$61),MONTH(B231)=MONTH('Исходные данные'!$B$61)),N('Исходные данные'!$B$18)*N('Исходные данные'!$B$62),0))</f>
        <v>0</v>
      </c>
      <c r="AM231">
        <f t="shared" si="133"/>
        <v>0</v>
      </c>
      <c r="AN231">
        <f t="shared" si="134"/>
        <v>0</v>
      </c>
      <c r="AO231">
        <f t="shared" si="135"/>
        <v>0</v>
      </c>
      <c r="AP231">
        <f>IF('Исходные данные'!$B$51="Да",-MAX(0,AN231-AO231-AM231),0)</f>
        <v>0</v>
      </c>
      <c r="AQ231">
        <f>IF('Исходные данные'!$B$51="Да",MAX(0,AM231+AO231-AN231),0)</f>
        <v>0</v>
      </c>
      <c r="AR231">
        <f>IF('Исходные данные'!$B$53="Выручка",MAX(0,L231+(Q231-R231)+(U231-V231)),IF('Исходные данные'!$B$53="Прибыль до налога",MAX(0,L231+(Q231-R231)+(U231-V231)+N('Исходные данные'!$B$54)*((O231+P231)+(S231+T231)+W231+X231)+IF('Исходные данные'!$B$55="Да",AG231,0)-N('Исходные данные'!$B$56)/12),IF('Исходные данные'!$B$53="Пользовательская база",MAX(0,N('Исходные данные'!$B$57)/12),0)))</f>
        <v>0</v>
      </c>
      <c r="AS231">
        <f>IF(E231=1,-AR231*N('Исходные данные'!$B$50),0)</f>
        <v>0</v>
      </c>
      <c r="AT231">
        <f t="shared" si="136"/>
        <v>0</v>
      </c>
      <c r="AU231">
        <f>IF(OR(B231="",N('Исходные данные'!$B$80)&lt;=0,'Исходные данные'!$B$88=""),0,MAX(0,IF('Исходные данные'!$B$88="Последние 12 месяцев",SUMIFS($Y$2:$Y$194,$B$2:$B$194,"&gt;="&amp;EDATE(B231,-11),$B$2:$B$194,"&lt;="&amp;B231),IF('Исходные данные'!$B$88="Пользовательский NOI",N('Исходные данные'!$B$89),AT231))/N('Исходные данные'!$B$80)*(1+N('Исходные данные'!$B$81))))</f>
        <v>0</v>
      </c>
      <c r="AV231">
        <f>IF(OR(E231&lt;&gt;1,B231="",'Исходные данные'!$B$91=""),0,IF(AND(YEAR(B231)=YEAR('Исходные данные'!$B$91),MONTH(B231)=MONTH('Исходные данные'!$B$91)),AU231,0))</f>
        <v>0</v>
      </c>
      <c r="AW231">
        <f>-AV231*N('Исходные данные'!$B$73)</f>
        <v>0</v>
      </c>
      <c r="AX231">
        <f>IF(AV231=0,0,-N('Исходные данные'!$B$87)-IF('Исходные данные'!$B$82="Да",IF('Исходные данные'!$B$84="С выручки",AV231,IF('Исходные данные'!$B$84="С прибыли",MAX(0,AV231+AW231-IF('Исходные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31">
        <f t="shared" si="150"/>
        <v>0</v>
      </c>
      <c r="AZ231">
        <f t="shared" si="137"/>
        <v>0</v>
      </c>
      <c r="BA231">
        <f t="shared" si="151"/>
        <v>0</v>
      </c>
      <c r="BB231" t="str">
        <f t="shared" si="138"/>
        <v/>
      </c>
      <c r="BC231">
        <f>IF(OR(E231=0,'Исходные данные'!$B$9="",'Исходные данные'!$B$90=""),0,BA231/(1+'Исходные данные'!$B$90)^((D231-'Исходные данные'!$B$9)/365))</f>
        <v>0</v>
      </c>
      <c r="BD231">
        <f>IF(AND(E231=1,BB231&gt;=0,BB230&lt;0,MIN($BB$2:BB231)&lt;0),1,0)</f>
        <v>0</v>
      </c>
      <c r="BE231">
        <f t="shared" si="139"/>
        <v>0</v>
      </c>
      <c r="BF231">
        <f t="shared" si="140"/>
        <v>0</v>
      </c>
      <c r="BG231">
        <f t="shared" si="141"/>
        <v>0</v>
      </c>
      <c r="BH231">
        <f t="shared" si="142"/>
        <v>1</v>
      </c>
      <c r="BI231">
        <f>AZ231+N231+AP231-AR231*N('Исходные данные'!$B$50)</f>
        <v>0</v>
      </c>
      <c r="BJ231">
        <f t="shared" si="143"/>
        <v>0</v>
      </c>
      <c r="BK231">
        <f>IF(AND(BJ231&gt;=0,BJ230&lt;0,MIN($BJ$2:BJ231)&lt;0),1,0)</f>
        <v>0</v>
      </c>
    </row>
    <row r="232" spans="1:63" x14ac:dyDescent="0.2">
      <c r="A232">
        <v>231</v>
      </c>
      <c r="B232" t="str">
        <f>IF('Исходные данные'!$B$9="","",EDATE(DATE(YEAR('Исходные данные'!$B$9),MONTH('Исходные данные'!$B$9),1),A232-1))</f>
        <v/>
      </c>
      <c r="C232" t="str">
        <f t="shared" si="144"/>
        <v/>
      </c>
      <c r="D232" t="str">
        <f>IF(B232="","",IF('Исходные данные'!$B$91&lt;&gt;"",IF(AND(YEAR(B232)=YEAR('Исходные данные'!$B$91),MONTH(B232)=MONTH('Исходные данные'!$B$91)),'Исходные данные'!$B$91,IF('Исходные данные'!$B$13&lt;&gt;"",IF(AND(YEAR(B232)=YEAR('Исходные данные'!$B$13),MONTH(B232)=MONTH('Исходные данные'!$B$13)),'Исходные данные'!$B$13,IF('Исходные данные'!$B$26&lt;&gt;"",IF(AND(YEAR(B232)=YEAR('Исходные данные'!$B$26),MONTH(B232)=MONTH('Исходные данные'!$B$26)),'Исходные данные'!$B$26,IF(A232=1,'Исходные данные'!$B$9,C232)),IF(A232=1,'Исходные данные'!$B$9,C232))),IF('Исходные данные'!$B$26&lt;&gt;"",IF(AND(YEAR(B232)=YEAR('Исходные данные'!$B$26),MONTH(B232)=MONTH('Исходные данные'!$B$26)),'Исходные данные'!$B$26,IF(A232=1,'Исходные данные'!$B$9,C232)),IF(A232=1,'Исходные данные'!$B$9,C232)))),IF('Исходные данные'!$B$13&lt;&gt;"",IF(AND(YEAR(B232)=YEAR('Исходные данные'!$B$13),MONTH(B232)=MONTH('Исходные данные'!$B$13)),'Исходные данные'!$B$13,IF('Исходные данные'!$B$26&lt;&gt;"",IF(AND(YEAR(B232)=YEAR('Исходные данные'!$B$26),MONTH(B232)=MONTH('Исходные данные'!$B$26)),'Исходные данные'!$B$26,IF(A232=1,'Исходные данные'!$B$9,C232)),IF(A232=1,'Исходные данные'!$B$9,C232))),IF('Исходные данные'!$B$26&lt;&gt;"",IF(AND(YEAR(B232)=YEAR('Исходные данные'!$B$26),MONTH(B232)=MONTH('Исходные данные'!$B$26)),'Исходные данные'!$B$26,IF(A232=1,'Исходные данные'!$B$9,C232)),IF(A232=1,'Исходные данные'!$B$9,C232)))))</f>
        <v/>
      </c>
      <c r="E232">
        <f>IF(OR(B232="",'Исходные данные'!$B$91=""),0,--(B232&lt;=DATE(YEAR('Исходные данные'!$B$91),MONTH('Исходные данные'!$B$91),1)))</f>
        <v>0</v>
      </c>
      <c r="F232">
        <f>IF(OR(B232="",'Исходные данные'!$B$30="",C232&lt;'Исходные данные'!$B$30),0,DATEDIF(DATE(YEAR('Исходные данные'!$B$30),MONTH('Исходные данные'!$B$30),1),B232,"m")+1)</f>
        <v>0</v>
      </c>
      <c r="G232">
        <f t="shared" si="145"/>
        <v>0</v>
      </c>
      <c r="H232">
        <f>IF(F232=0,0,IF(G232=1,N('Исходные данные'!$B$31),IF(G232=2,N('Исходные данные'!$B$32),IF(G232=3,N('Исходные данные'!$B$33),N('Исходные данные'!$B$33)*(1+N('Исходные данные'!$B$34))^(G232-3)))))</f>
        <v>0</v>
      </c>
      <c r="I232">
        <f>IF(OR(F232=0,N('Исходные данные'!$B$5)=0,H232=0),0,'Исходные данные'!$B$5*H232*IF(AND(B232&lt;='Исходные данные'!$B$30,C232&gt;='Исходные данные'!$B$30),(C232-'Исходные данные'!$B$30+1)/DAY(C232),1))</f>
        <v>0</v>
      </c>
      <c r="J232">
        <f>IF(AND(F232&gt;0,F232&lt;=N('Исходные данные'!$B$37)),-I232,0)</f>
        <v>0</v>
      </c>
      <c r="K232">
        <f>IF(OR(F232=0,F232&lt;=N('Исходные данные'!$B$37)),0,-(I232+J232)*N('Исходные данные'!$B$38))</f>
        <v>0</v>
      </c>
      <c r="L232">
        <f t="shared" si="146"/>
        <v>0</v>
      </c>
      <c r="M232">
        <f>IF('Исходные данные'!$B$51="Да",L232*N('Исходные данные'!$B$52),0)</f>
        <v>0</v>
      </c>
      <c r="N232">
        <f t="shared" si="147"/>
        <v>0</v>
      </c>
      <c r="O232">
        <f>IF(OR(B232="",IF('Исходные данные'!$B$45="",'Исходные данные'!$B$10,'Исходные данные'!$B$45)="",C232&lt;IF('Исходные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данные'!$B$45)),1),B232,"m")/12))*IF(AND(B232&lt;=IF('Исходные данные'!$B$45="",'Исходные данные'!$B$10,'Исходные данные'!$B$45),C232&gt;=IF('Исходные данные'!$B$45="",'Исходные данные'!$B$10,'Исходные данные'!$B$45)),(C232-IF('Исходные данные'!$B$45="",'Исходные данные'!$B$10,'Исходные данные'!$B$45)+1)/DAY(C232),1)*IF('Исходные данные'!$B$43="Без НДС",1+N('Исходные данные'!$B$44),1))</f>
        <v>0</v>
      </c>
      <c r="P232">
        <f>IF('Исходные данные'!$B$51="Да",-O232*N('Исходные данные'!$B$44)/(1+N('Исходные данные'!$B$44)),0)</f>
        <v>0</v>
      </c>
      <c r="Q232">
        <f>IF('Исходные данные'!$B$35="Да",-O232,0)</f>
        <v>0</v>
      </c>
      <c r="R232">
        <f>IF(AND('Исходные данные'!$B$51="Да",Q232&gt;0),Q232*N('Исходные данные'!$B$52)/(1+N('Исходные данные'!$B$52)),0)</f>
        <v>0</v>
      </c>
      <c r="S232">
        <f>IF(OR(B232="",IF('Исходные данные'!$B$45="",'Исходные данные'!$B$10,'Исходные данные'!$B$45)="",C232&lt;IF('Исходные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данные'!$B$45)),1),B232,"m")/12))*IF(AND(B232&lt;=IF('Исходные данные'!$B$45="",'Исходные данные'!$B$10,'Исходные данные'!$B$45),C232&gt;=IF('Исходные данные'!$B$45="",'Исходные данные'!$B$10,'Исходные данные'!$B$45)),(C232-IF('Исходные данные'!$B$45="",'Исходные данные'!$B$10,'Исходные данные'!$B$45)+1)/DAY(C232),1)*IF('Исходные данные'!$B$43="Без НДС",1+N('Исходные данные'!$B$44),1))</f>
        <v>0</v>
      </c>
      <c r="T232">
        <f>IF('Исходные данные'!$B$51="Да",-S232*N('Исходные данные'!$B$44)/(1+N('Исходные данные'!$B$44)),0)</f>
        <v>0</v>
      </c>
      <c r="U232">
        <f>IF('Исходные данные'!$B$36="Да",-S232,0)</f>
        <v>0</v>
      </c>
      <c r="V232">
        <f>IF(AND('Исходные данные'!$B$51="Да",U232&gt;0),U232*N('Исходные данные'!$B$52)/(1+N('Исходные данные'!$B$52)),0)</f>
        <v>0</v>
      </c>
      <c r="W232">
        <f>IF(OR(B232="",IF('Исходные данные'!$B$69="",'Исходные данные'!$B$10,'Исходные данные'!$B$69)="",C232&lt;IF('Исходные данные'!$B$69="",'Исходные данные'!$B$10,'Исходные данные'!$B$69)),0,-N('Исходные данные'!$B$16)*N('Исходные данные'!$B$68)*N('Исходные данные'!$B$67)/12*IF(AND(B232&lt;=IF('Исходные данные'!$B$69="",'Исходные данные'!$B$10,'Исходные данные'!$B$69),C232&gt;=IF('Исходные данные'!$B$69="",'Исходные данные'!$B$10,'Исходные данные'!$B$69)),(C232-IF('Исходные данные'!$B$69="",'Исходные данные'!$B$10,'Исходные данные'!$B$69)+1)/DAY(C232),1))</f>
        <v>0</v>
      </c>
      <c r="X232">
        <f>IF(OR(B232="",IF('Исходные данные'!$B$76="",'Исходные данные'!$B$10,'Исходные данные'!$B$76)="",C232&lt;IF('Исходные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данные'!$B$76)),1),B232,"m")/12))*IF(AND(B232&lt;=IF('Исходные данные'!$B$76="",'Исходные данные'!$B$10,'Исходные данные'!$B$76),C232&gt;=IF('Исходные данные'!$B$76="",'Исходные данные'!$B$10,'Исходные данные'!$B$76)),(C232-IF('Исходные данные'!$B$76="",'Исходные данные'!$B$10,'Исходные данные'!$B$76)+1)/DAY(C232),1))</f>
        <v>0</v>
      </c>
      <c r="Y232">
        <f t="shared" si="148"/>
        <v>0</v>
      </c>
      <c r="Z232">
        <f>IF(OR(B232="",N('Исходные данные'!$B$19)=0),0,-SUMIFS('Исходные данные'!$I$6:$I$186,'Исходные данные'!$F$6:$F$186,B232)*N('Исходные данные'!$B$17)/N('Исходные данные'!$B$19))</f>
        <v>0</v>
      </c>
      <c r="AA232">
        <f>IF(OR(B232="",N('Исходные данные'!$B$19)=0),0,-SUMIFS('Исходные данные'!$I$6:$I$186,'Исходные данные'!$F$6:$F$186,B232)*N('Исходные данные'!$B$18)/N('Исходные данные'!$B$19))</f>
        <v>0</v>
      </c>
      <c r="AB232">
        <f>IF(OR(B232="",'Исходные данные'!$B$13=""),0,IF(AND(YEAR(B232)=YEAR('Исходные данные'!$B$13),MONTH(B232)=MONTH('Исходные данные'!$B$13)),-N('Исходные данные'!$B$11),0))</f>
        <v>0</v>
      </c>
      <c r="AC232">
        <f>IF(A232=1,-N('Исходные данные'!$B$19)*N('Исходные данные'!$B$72),0)</f>
        <v>0</v>
      </c>
      <c r="AD232">
        <f>IF(OR(B232="",'Исходные данные'!$B$22&lt;&gt;"Да",'Исходные данные'!$B$26=""),0,IF(AND(YEAR(B232)=YEAR('Исходные данные'!$B$26),MONTH(B232)=MONTH('Исходные данные'!$B$26)),N('Исходные данные'!$B$23),0))</f>
        <v>0</v>
      </c>
      <c r="AE232">
        <f t="shared" si="131"/>
        <v>0</v>
      </c>
      <c r="AF232">
        <f>IF(OR('Исходные данные'!$B$22&lt;&gt;"Да",'Исходные данные'!$B$26="",C232&lt;'Исходные данные'!$B$26),0,DATEDIF(DATE(YEAR('Исходные данные'!$B$26),MONTH('Исходные данные'!$B$26),1),B232,"m")+1)</f>
        <v>0</v>
      </c>
      <c r="AG232">
        <f>IF(OR(AF232&lt;1,AF232&gt;N('Исходные данные'!$B$25),AE232+AD232&lt;=0),0,-(AE232+AD232)*N('Исходные данные'!$B$24)*IF(AF232=1,C232-'Исходные данные'!$B$26+1,DAY(C232))/365)</f>
        <v>0</v>
      </c>
      <c r="AH232">
        <f>IF(OR(AF232&lt;1,AF232&gt;N('Исходные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данные'!$B$25)-AG232))</f>
        <v>0</v>
      </c>
      <c r="AI232">
        <f>IF(OR('Исходные данные'!$B$22&lt;&gt;"Да",AE232+AD232&lt;=0),0,IF(AND('Исходные данные'!$B$91&lt;&gt;"",B232&lt;&gt;"",YEAR(B232)=YEAR('Исходные данные'!$B$91),MONTH(B232)=MONTH('Исходные данные'!$B$91)),-(AE232+AD232),IF(OR(AF232&lt;1,AF232&gt;N('Исходные данные'!$B$25)),0,IF('Исходные данные'!$B$27="Равными долями",-MIN(AE232+AD232,N('Исходные данные'!$B$23)/N('Исходные данные'!$B$25)),-MIN(AE232+AD232,IF(AF232=N('Исходные данные'!$B$25),AE232+AD232,MAX(0,AH232+AG232)))))))</f>
        <v>0</v>
      </c>
      <c r="AJ232">
        <f t="shared" si="149"/>
        <v>0</v>
      </c>
      <c r="AK232">
        <f t="shared" si="132"/>
        <v>0</v>
      </c>
      <c r="AL232">
        <f>IF(OR(B232="",'Исходные данные'!$B$51&lt;&gt;"Да",'Исходные данные'!$B$61=""),0,IF(AND(YEAR(B232)=YEAR('Исходные данные'!$B$61),MONTH(B232)=MONTH('Исходные данные'!$B$61)),N('Исходные данные'!$B$18)*N('Исходные данные'!$B$62),0))</f>
        <v>0</v>
      </c>
      <c r="AM232">
        <f t="shared" si="133"/>
        <v>0</v>
      </c>
      <c r="AN232">
        <f t="shared" si="134"/>
        <v>0</v>
      </c>
      <c r="AO232">
        <f t="shared" si="135"/>
        <v>0</v>
      </c>
      <c r="AP232">
        <f>IF('Исходные данные'!$B$51="Да",-MAX(0,AN232-AO232-AM232),0)</f>
        <v>0</v>
      </c>
      <c r="AQ232">
        <f>IF('Исходные данные'!$B$51="Да",MAX(0,AM232+AO232-AN232),0)</f>
        <v>0</v>
      </c>
      <c r="AR232">
        <f>IF('Исходные данные'!$B$53="Выручка",MAX(0,L232+(Q232-R232)+(U232-V232)),IF('Исходные данные'!$B$53="Прибыль до налога",MAX(0,L232+(Q232-R232)+(U232-V232)+N('Исходные данные'!$B$54)*((O232+P232)+(S232+T232)+W232+X232)+IF('Исходные данные'!$B$55="Да",AG232,0)-N('Исходные данные'!$B$56)/12),IF('Исходные данные'!$B$53="Пользовательская база",MAX(0,N('Исходные данные'!$B$57)/12),0)))</f>
        <v>0</v>
      </c>
      <c r="AS232">
        <f>IF(E232=1,-AR232*N('Исходные данные'!$B$50),0)</f>
        <v>0</v>
      </c>
      <c r="AT232">
        <f t="shared" si="136"/>
        <v>0</v>
      </c>
      <c r="AU232">
        <f>IF(OR(B232="",N('Исходные данные'!$B$80)&lt;=0,'Исходные данные'!$B$88=""),0,MAX(0,IF('Исходные данные'!$B$88="Последние 12 месяцев",SUMIFS($Y$2:$Y$194,$B$2:$B$194,"&gt;="&amp;EDATE(B232,-11),$B$2:$B$194,"&lt;="&amp;B232),IF('Исходные данные'!$B$88="Пользовательский NOI",N('Исходные данные'!$B$89),AT232))/N('Исходные данные'!$B$80)*(1+N('Исходные данные'!$B$81))))</f>
        <v>0</v>
      </c>
      <c r="AV232">
        <f>IF(OR(E232&lt;&gt;1,B232="",'Исходные данные'!$B$91=""),0,IF(AND(YEAR(B232)=YEAR('Исходные данные'!$B$91),MONTH(B232)=MONTH('Исходные данные'!$B$91)),AU232,0))</f>
        <v>0</v>
      </c>
      <c r="AW232">
        <f>-AV232*N('Исходные данные'!$B$73)</f>
        <v>0</v>
      </c>
      <c r="AX232">
        <f>IF(AV232=0,0,-N('Исходные данные'!$B$87)-IF('Исходные данные'!$B$82="Да",IF('Исходные данные'!$B$84="С выручки",AV232,IF('Исходные данные'!$B$84="С прибыли",MAX(0,AV232+AW232-IF('Исходные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32">
        <f t="shared" si="150"/>
        <v>0</v>
      </c>
      <c r="AZ232">
        <f t="shared" si="137"/>
        <v>0</v>
      </c>
      <c r="BA232">
        <f t="shared" si="151"/>
        <v>0</v>
      </c>
      <c r="BB232" t="str">
        <f t="shared" si="138"/>
        <v/>
      </c>
      <c r="BC232">
        <f>IF(OR(E232=0,'Исходные данные'!$B$9="",'Исходные данные'!$B$90=""),0,BA232/(1+'Исходные данные'!$B$90)^((D232-'Исходные данные'!$B$9)/365))</f>
        <v>0</v>
      </c>
      <c r="BD232">
        <f>IF(AND(E232=1,BB232&gt;=0,BB231&lt;0,MIN($BB$2:BB232)&lt;0),1,0)</f>
        <v>0</v>
      </c>
      <c r="BE232">
        <f t="shared" si="139"/>
        <v>0</v>
      </c>
      <c r="BF232">
        <f t="shared" si="140"/>
        <v>0</v>
      </c>
      <c r="BG232">
        <f t="shared" si="141"/>
        <v>0</v>
      </c>
      <c r="BH232">
        <f t="shared" si="142"/>
        <v>1</v>
      </c>
      <c r="BI232">
        <f>AZ232+N232+AP232-AR232*N('Исходные данные'!$B$50)</f>
        <v>0</v>
      </c>
      <c r="BJ232">
        <f t="shared" si="143"/>
        <v>0</v>
      </c>
      <c r="BK232">
        <f>IF(AND(BJ232&gt;=0,BJ231&lt;0,MIN($BJ$2:BJ232)&lt;0),1,0)</f>
        <v>0</v>
      </c>
    </row>
    <row r="233" spans="1:63" x14ac:dyDescent="0.2">
      <c r="A233">
        <v>232</v>
      </c>
      <c r="B233" t="str">
        <f>IF('Исходные данные'!$B$9="","",EDATE(DATE(YEAR('Исходные данные'!$B$9),MONTH('Исходные данные'!$B$9),1),A233-1))</f>
        <v/>
      </c>
      <c r="C233" t="str">
        <f t="shared" si="144"/>
        <v/>
      </c>
      <c r="D233" t="str">
        <f>IF(B233="","",IF('Исходные данные'!$B$91&lt;&gt;"",IF(AND(YEAR(B233)=YEAR('Исходные данные'!$B$91),MONTH(B233)=MONTH('Исходные данные'!$B$91)),'Исходные данные'!$B$91,IF('Исходные данные'!$B$13&lt;&gt;"",IF(AND(YEAR(B233)=YEAR('Исходные данные'!$B$13),MONTH(B233)=MONTH('Исходные данные'!$B$13)),'Исходные данные'!$B$13,IF('Исходные данные'!$B$26&lt;&gt;"",IF(AND(YEAR(B233)=YEAR('Исходные данные'!$B$26),MONTH(B233)=MONTH('Исходные данные'!$B$26)),'Исходные данные'!$B$26,IF(A233=1,'Исходные данные'!$B$9,C233)),IF(A233=1,'Исходные данные'!$B$9,C233))),IF('Исходные данные'!$B$26&lt;&gt;"",IF(AND(YEAR(B233)=YEAR('Исходные данные'!$B$26),MONTH(B233)=MONTH('Исходные данные'!$B$26)),'Исходные данные'!$B$26,IF(A233=1,'Исходные данные'!$B$9,C233)),IF(A233=1,'Исходные данные'!$B$9,C233)))),IF('Исходные данные'!$B$13&lt;&gt;"",IF(AND(YEAR(B233)=YEAR('Исходные данные'!$B$13),MONTH(B233)=MONTH('Исходные данные'!$B$13)),'Исходные данные'!$B$13,IF('Исходные данные'!$B$26&lt;&gt;"",IF(AND(YEAR(B233)=YEAR('Исходные данные'!$B$26),MONTH(B233)=MONTH('Исходные данные'!$B$26)),'Исходные данные'!$B$26,IF(A233=1,'Исходные данные'!$B$9,C233)),IF(A233=1,'Исходные данные'!$B$9,C233))),IF('Исходные данные'!$B$26&lt;&gt;"",IF(AND(YEAR(B233)=YEAR('Исходные данные'!$B$26),MONTH(B233)=MONTH('Исходные данные'!$B$26)),'Исходные данные'!$B$26,IF(A233=1,'Исходные данные'!$B$9,C233)),IF(A233=1,'Исходные данные'!$B$9,C233)))))</f>
        <v/>
      </c>
      <c r="E233">
        <f>IF(OR(B233="",'Исходные данные'!$B$91=""),0,--(B233&lt;=DATE(YEAR('Исходные данные'!$B$91),MONTH('Исходные данные'!$B$91),1)))</f>
        <v>0</v>
      </c>
      <c r="F233">
        <f>IF(OR(B233="",'Исходные данные'!$B$30="",C233&lt;'Исходные данные'!$B$30),0,DATEDIF(DATE(YEAR('Исходные данные'!$B$30),MONTH('Исходные данные'!$B$30),1),B233,"m")+1)</f>
        <v>0</v>
      </c>
      <c r="G233">
        <f t="shared" si="145"/>
        <v>0</v>
      </c>
      <c r="H233">
        <f>IF(F233=0,0,IF(G233=1,N('Исходные данные'!$B$31),IF(G233=2,N('Исходные данные'!$B$32),IF(G233=3,N('Исходные данные'!$B$33),N('Исходные данные'!$B$33)*(1+N('Исходные данные'!$B$34))^(G233-3)))))</f>
        <v>0</v>
      </c>
      <c r="I233">
        <f>IF(OR(F233=0,N('Исходные данные'!$B$5)=0,H233=0),0,'Исходные данные'!$B$5*H233*IF(AND(B233&lt;='Исходные данные'!$B$30,C233&gt;='Исходные данные'!$B$30),(C233-'Исходные данные'!$B$30+1)/DAY(C233),1))</f>
        <v>0</v>
      </c>
      <c r="J233">
        <f>IF(AND(F233&gt;0,F233&lt;=N('Исходные данные'!$B$37)),-I233,0)</f>
        <v>0</v>
      </c>
      <c r="K233">
        <f>IF(OR(F233=0,F233&lt;=N('Исходные данные'!$B$37)),0,-(I233+J233)*N('Исходные данные'!$B$38))</f>
        <v>0</v>
      </c>
      <c r="L233">
        <f t="shared" si="146"/>
        <v>0</v>
      </c>
      <c r="M233">
        <f>IF('Исходные данные'!$B$51="Да",L233*N('Исходные данные'!$B$52),0)</f>
        <v>0</v>
      </c>
      <c r="N233">
        <f t="shared" si="147"/>
        <v>0</v>
      </c>
      <c r="O233">
        <f>IF(OR(B233="",IF('Исходные данные'!$B$45="",'Исходные данные'!$B$10,'Исходные данные'!$B$45)="",C233&lt;IF('Исходные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данные'!$B$45)),1),B233,"m")/12))*IF(AND(B233&lt;=IF('Исходные данные'!$B$45="",'Исходные данные'!$B$10,'Исходные данные'!$B$45),C233&gt;=IF('Исходные данные'!$B$45="",'Исходные данные'!$B$10,'Исходные данные'!$B$45)),(C233-IF('Исходные данные'!$B$45="",'Исходные данные'!$B$10,'Исходные данные'!$B$45)+1)/DAY(C233),1)*IF('Исходные данные'!$B$43="Без НДС",1+N('Исходные данные'!$B$44),1))</f>
        <v>0</v>
      </c>
      <c r="P233">
        <f>IF('Исходные данные'!$B$51="Да",-O233*N('Исходные данные'!$B$44)/(1+N('Исходные данные'!$B$44)),0)</f>
        <v>0</v>
      </c>
      <c r="Q233">
        <f>IF('Исходные данные'!$B$35="Да",-O233,0)</f>
        <v>0</v>
      </c>
      <c r="R233">
        <f>IF(AND('Исходные данные'!$B$51="Да",Q233&gt;0),Q233*N('Исходные данные'!$B$52)/(1+N('Исходные данные'!$B$52)),0)</f>
        <v>0</v>
      </c>
      <c r="S233">
        <f>IF(OR(B233="",IF('Исходные данные'!$B$45="",'Исходные данные'!$B$10,'Исходные данные'!$B$45)="",C233&lt;IF('Исходные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данные'!$B$45)),1),B233,"m")/12))*IF(AND(B233&lt;=IF('Исходные данные'!$B$45="",'Исходные данные'!$B$10,'Исходные данные'!$B$45),C233&gt;=IF('Исходные данные'!$B$45="",'Исходные данные'!$B$10,'Исходные данные'!$B$45)),(C233-IF('Исходные данные'!$B$45="",'Исходные данные'!$B$10,'Исходные данные'!$B$45)+1)/DAY(C233),1)*IF('Исходные данные'!$B$43="Без НДС",1+N('Исходные данные'!$B$44),1))</f>
        <v>0</v>
      </c>
      <c r="T233">
        <f>IF('Исходные данные'!$B$51="Да",-S233*N('Исходные данные'!$B$44)/(1+N('Исходные данные'!$B$44)),0)</f>
        <v>0</v>
      </c>
      <c r="U233">
        <f>IF('Исходные данные'!$B$36="Да",-S233,0)</f>
        <v>0</v>
      </c>
      <c r="V233">
        <f>IF(AND('Исходные данные'!$B$51="Да",U233&gt;0),U233*N('Исходные данные'!$B$52)/(1+N('Исходные данные'!$B$52)),0)</f>
        <v>0</v>
      </c>
      <c r="W233">
        <f>IF(OR(B233="",IF('Исходные данные'!$B$69="",'Исходные данные'!$B$10,'Исходные данные'!$B$69)="",C233&lt;IF('Исходные данные'!$B$69="",'Исходные данные'!$B$10,'Исходные данные'!$B$69)),0,-N('Исходные данные'!$B$16)*N('Исходные данные'!$B$68)*N('Исходные данные'!$B$67)/12*IF(AND(B233&lt;=IF('Исходные данные'!$B$69="",'Исходные данные'!$B$10,'Исходные данные'!$B$69),C233&gt;=IF('Исходные данные'!$B$69="",'Исходные данные'!$B$10,'Исходные данные'!$B$69)),(C233-IF('Исходные данные'!$B$69="",'Исходные данные'!$B$10,'Исходные данные'!$B$69)+1)/DAY(C233),1))</f>
        <v>0</v>
      </c>
      <c r="X233">
        <f>IF(OR(B233="",IF('Исходные данные'!$B$76="",'Исходные данные'!$B$10,'Исходные данные'!$B$76)="",C233&lt;IF('Исходные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данные'!$B$76)),1),B233,"m")/12))*IF(AND(B233&lt;=IF('Исходные данные'!$B$76="",'Исходные данные'!$B$10,'Исходные данные'!$B$76),C233&gt;=IF('Исходные данные'!$B$76="",'Исходные данные'!$B$10,'Исходные данные'!$B$76)),(C233-IF('Исходные данные'!$B$76="",'Исходные данные'!$B$10,'Исходные данные'!$B$76)+1)/DAY(C233),1))</f>
        <v>0</v>
      </c>
      <c r="Y233">
        <f t="shared" si="148"/>
        <v>0</v>
      </c>
      <c r="Z233">
        <f>IF(OR(B233="",N('Исходные данные'!$B$19)=0),0,-SUMIFS('Исходные данные'!$I$6:$I$186,'Исходные данные'!$F$6:$F$186,B233)*N('Исходные данные'!$B$17)/N('Исходные данные'!$B$19))</f>
        <v>0</v>
      </c>
      <c r="AA233">
        <f>IF(OR(B233="",N('Исходные данные'!$B$19)=0),0,-SUMIFS('Исходные данные'!$I$6:$I$186,'Исходные данные'!$F$6:$F$186,B233)*N('Исходные данные'!$B$18)/N('Исходные данные'!$B$19))</f>
        <v>0</v>
      </c>
      <c r="AB233">
        <f>IF(OR(B233="",'Исходные данные'!$B$13=""),0,IF(AND(YEAR(B233)=YEAR('Исходные данные'!$B$13),MONTH(B233)=MONTH('Исходные данные'!$B$13)),-N('Исходные данные'!$B$11),0))</f>
        <v>0</v>
      </c>
      <c r="AC233">
        <f>IF(A233=1,-N('Исходные данные'!$B$19)*N('Исходные данные'!$B$72),0)</f>
        <v>0</v>
      </c>
      <c r="AD233">
        <f>IF(OR(B233="",'Исходные данные'!$B$22&lt;&gt;"Да",'Исходные данные'!$B$26=""),0,IF(AND(YEAR(B233)=YEAR('Исходные данные'!$B$26),MONTH(B233)=MONTH('Исходные данные'!$B$26)),N('Исходные данные'!$B$23),0))</f>
        <v>0</v>
      </c>
      <c r="AE233">
        <f t="shared" si="131"/>
        <v>0</v>
      </c>
      <c r="AF233">
        <f>IF(OR('Исходные данные'!$B$22&lt;&gt;"Да",'Исходные данные'!$B$26="",C233&lt;'Исходные данные'!$B$26),0,DATEDIF(DATE(YEAR('Исходные данные'!$B$26),MONTH('Исходные данные'!$B$26),1),B233,"m")+1)</f>
        <v>0</v>
      </c>
      <c r="AG233">
        <f>IF(OR(AF233&lt;1,AF233&gt;N('Исходные данные'!$B$25),AE233+AD233&lt;=0),0,-(AE233+AD233)*N('Исходные данные'!$B$24)*IF(AF233=1,C233-'Исходные данные'!$B$26+1,DAY(C233))/365)</f>
        <v>0</v>
      </c>
      <c r="AH233">
        <f>IF(OR(AF233&lt;1,AF233&gt;N('Исходные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данные'!$B$25)-AG233))</f>
        <v>0</v>
      </c>
      <c r="AI233">
        <f>IF(OR('Исходные данные'!$B$22&lt;&gt;"Да",AE233+AD233&lt;=0),0,IF(AND('Исходные данные'!$B$91&lt;&gt;"",B233&lt;&gt;"",YEAR(B233)=YEAR('Исходные данные'!$B$91),MONTH(B233)=MONTH('Исходные данные'!$B$91)),-(AE233+AD233),IF(OR(AF233&lt;1,AF233&gt;N('Исходные данные'!$B$25)),0,IF('Исходные данные'!$B$27="Равными долями",-MIN(AE233+AD233,N('Исходные данные'!$B$23)/N('Исходные данные'!$B$25)),-MIN(AE233+AD233,IF(AF233=N('Исходные данные'!$B$25),AE233+AD233,MAX(0,AH233+AG233)))))))</f>
        <v>0</v>
      </c>
      <c r="AJ233">
        <f t="shared" si="149"/>
        <v>0</v>
      </c>
      <c r="AK233">
        <f t="shared" si="132"/>
        <v>0</v>
      </c>
      <c r="AL233">
        <f>IF(OR(B233="",'Исходные данные'!$B$51&lt;&gt;"Да",'Исходные данные'!$B$61=""),0,IF(AND(YEAR(B233)=YEAR('Исходные данные'!$B$61),MONTH(B233)=MONTH('Исходные данные'!$B$61)),N('Исходные данные'!$B$18)*N('Исходные данные'!$B$62),0))</f>
        <v>0</v>
      </c>
      <c r="AM233">
        <f t="shared" si="133"/>
        <v>0</v>
      </c>
      <c r="AN233">
        <f t="shared" si="134"/>
        <v>0</v>
      </c>
      <c r="AO233">
        <f t="shared" si="135"/>
        <v>0</v>
      </c>
      <c r="AP233">
        <f>IF('Исходные данные'!$B$51="Да",-MAX(0,AN233-AO233-AM233),0)</f>
        <v>0</v>
      </c>
      <c r="AQ233">
        <f>IF('Исходные данные'!$B$51="Да",MAX(0,AM233+AO233-AN233),0)</f>
        <v>0</v>
      </c>
      <c r="AR233">
        <f>IF('Исходные данные'!$B$53="Выручка",MAX(0,L233+(Q233-R233)+(U233-V233)),IF('Исходные данные'!$B$53="Прибыль до налога",MAX(0,L233+(Q233-R233)+(U233-V233)+N('Исходные данные'!$B$54)*((O233+P233)+(S233+T233)+W233+X233)+IF('Исходные данные'!$B$55="Да",AG233,0)-N('Исходные данные'!$B$56)/12),IF('Исходные данные'!$B$53="Пользовательская база",MAX(0,N('Исходные данные'!$B$57)/12),0)))</f>
        <v>0</v>
      </c>
      <c r="AS233">
        <f>IF(E233=1,-AR233*N('Исходные данные'!$B$50),0)</f>
        <v>0</v>
      </c>
      <c r="AT233">
        <f t="shared" si="136"/>
        <v>0</v>
      </c>
      <c r="AU233">
        <f>IF(OR(B233="",N('Исходные данные'!$B$80)&lt;=0,'Исходные данные'!$B$88=""),0,MAX(0,IF('Исходные данные'!$B$88="Последние 12 месяцев",SUMIFS($Y$2:$Y$194,$B$2:$B$194,"&gt;="&amp;EDATE(B233,-11),$B$2:$B$194,"&lt;="&amp;B233),IF('Исходные данные'!$B$88="Пользовательский NOI",N('Исходные данные'!$B$89),AT233))/N('Исходные данные'!$B$80)*(1+N('Исходные данные'!$B$81))))</f>
        <v>0</v>
      </c>
      <c r="AV233">
        <f>IF(OR(E233&lt;&gt;1,B233="",'Исходные данные'!$B$91=""),0,IF(AND(YEAR(B233)=YEAR('Исходные данные'!$B$91),MONTH(B233)=MONTH('Исходные данные'!$B$91)),AU233,0))</f>
        <v>0</v>
      </c>
      <c r="AW233">
        <f>-AV233*N('Исходные данные'!$B$73)</f>
        <v>0</v>
      </c>
      <c r="AX233">
        <f>IF(AV233=0,0,-N('Исходные данные'!$B$87)-IF('Исходные данные'!$B$82="Да",IF('Исходные данные'!$B$84="С выручки",AV233,IF('Исходные данные'!$B$84="С прибыли",MAX(0,AV233+AW233-IF('Исходные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33">
        <f t="shared" si="150"/>
        <v>0</v>
      </c>
      <c r="AZ233">
        <f t="shared" si="137"/>
        <v>0</v>
      </c>
      <c r="BA233">
        <f t="shared" si="151"/>
        <v>0</v>
      </c>
      <c r="BB233" t="str">
        <f t="shared" si="138"/>
        <v/>
      </c>
      <c r="BC233">
        <f>IF(OR(E233=0,'Исходные данные'!$B$9="",'Исходные данные'!$B$90=""),0,BA233/(1+'Исходные данные'!$B$90)^((D233-'Исходные данные'!$B$9)/365))</f>
        <v>0</v>
      </c>
      <c r="BD233">
        <f>IF(AND(E233=1,BB233&gt;=0,BB232&lt;0,MIN($BB$2:BB233)&lt;0),1,0)</f>
        <v>0</v>
      </c>
      <c r="BE233">
        <f t="shared" si="139"/>
        <v>0</v>
      </c>
      <c r="BF233">
        <f t="shared" si="140"/>
        <v>0</v>
      </c>
      <c r="BG233">
        <f t="shared" si="141"/>
        <v>0</v>
      </c>
      <c r="BH233">
        <f t="shared" si="142"/>
        <v>1</v>
      </c>
      <c r="BI233">
        <f>AZ233+N233+AP233-AR233*N('Исходные данные'!$B$50)</f>
        <v>0</v>
      </c>
      <c r="BJ233">
        <f t="shared" si="143"/>
        <v>0</v>
      </c>
      <c r="BK233">
        <f>IF(AND(BJ233&gt;=0,BJ232&lt;0,MIN($BJ$2:BJ233)&lt;0),1,0)</f>
        <v>0</v>
      </c>
    </row>
    <row r="234" spans="1:63" x14ac:dyDescent="0.2">
      <c r="A234">
        <v>233</v>
      </c>
      <c r="B234" t="str">
        <f>IF('Исходные данные'!$B$9="","",EDATE(DATE(YEAR('Исходные данные'!$B$9),MONTH('Исходные данные'!$B$9),1),A234-1))</f>
        <v/>
      </c>
      <c r="C234" t="str">
        <f t="shared" si="144"/>
        <v/>
      </c>
      <c r="D234" t="str">
        <f>IF(B234="","",IF('Исходные данные'!$B$91&lt;&gt;"",IF(AND(YEAR(B234)=YEAR('Исходные данные'!$B$91),MONTH(B234)=MONTH('Исходные данные'!$B$91)),'Исходные данные'!$B$91,IF('Исходные данные'!$B$13&lt;&gt;"",IF(AND(YEAR(B234)=YEAR('Исходные данные'!$B$13),MONTH(B234)=MONTH('Исходные данные'!$B$13)),'Исходные данные'!$B$13,IF('Исходные данные'!$B$26&lt;&gt;"",IF(AND(YEAR(B234)=YEAR('Исходные данные'!$B$26),MONTH(B234)=MONTH('Исходные данные'!$B$26)),'Исходные данные'!$B$26,IF(A234=1,'Исходные данные'!$B$9,C234)),IF(A234=1,'Исходные данные'!$B$9,C234))),IF('Исходные данные'!$B$26&lt;&gt;"",IF(AND(YEAR(B234)=YEAR('Исходные данные'!$B$26),MONTH(B234)=MONTH('Исходные данные'!$B$26)),'Исходные данные'!$B$26,IF(A234=1,'Исходные данные'!$B$9,C234)),IF(A234=1,'Исходные данные'!$B$9,C234)))),IF('Исходные данные'!$B$13&lt;&gt;"",IF(AND(YEAR(B234)=YEAR('Исходные данные'!$B$13),MONTH(B234)=MONTH('Исходные данные'!$B$13)),'Исходные данные'!$B$13,IF('Исходные данные'!$B$26&lt;&gt;"",IF(AND(YEAR(B234)=YEAR('Исходные данные'!$B$26),MONTH(B234)=MONTH('Исходные данные'!$B$26)),'Исходные данные'!$B$26,IF(A234=1,'Исходные данные'!$B$9,C234)),IF(A234=1,'Исходные данные'!$B$9,C234))),IF('Исходные данные'!$B$26&lt;&gt;"",IF(AND(YEAR(B234)=YEAR('Исходные данные'!$B$26),MONTH(B234)=MONTH('Исходные данные'!$B$26)),'Исходные данные'!$B$26,IF(A234=1,'Исходные данные'!$B$9,C234)),IF(A234=1,'Исходные данные'!$B$9,C234)))))</f>
        <v/>
      </c>
      <c r="E234">
        <f>IF(OR(B234="",'Исходные данные'!$B$91=""),0,--(B234&lt;=DATE(YEAR('Исходные данные'!$B$91),MONTH('Исходные данные'!$B$91),1)))</f>
        <v>0</v>
      </c>
      <c r="F234">
        <f>IF(OR(B234="",'Исходные данные'!$B$30="",C234&lt;'Исходные данные'!$B$30),0,DATEDIF(DATE(YEAR('Исходные данные'!$B$30),MONTH('Исходные данные'!$B$30),1),B234,"m")+1)</f>
        <v>0</v>
      </c>
      <c r="G234">
        <f t="shared" si="145"/>
        <v>0</v>
      </c>
      <c r="H234">
        <f>IF(F234=0,0,IF(G234=1,N('Исходные данные'!$B$31),IF(G234=2,N('Исходные данные'!$B$32),IF(G234=3,N('Исходные данные'!$B$33),N('Исходные данные'!$B$33)*(1+N('Исходные данные'!$B$34))^(G234-3)))))</f>
        <v>0</v>
      </c>
      <c r="I234">
        <f>IF(OR(F234=0,N('Исходные данные'!$B$5)=0,H234=0),0,'Исходные данные'!$B$5*H234*IF(AND(B234&lt;='Исходные данные'!$B$30,C234&gt;='Исходные данные'!$B$30),(C234-'Исходные данные'!$B$30+1)/DAY(C234),1))</f>
        <v>0</v>
      </c>
      <c r="J234">
        <f>IF(AND(F234&gt;0,F234&lt;=N('Исходные данные'!$B$37)),-I234,0)</f>
        <v>0</v>
      </c>
      <c r="K234">
        <f>IF(OR(F234=0,F234&lt;=N('Исходные данные'!$B$37)),0,-(I234+J234)*N('Исходные данные'!$B$38))</f>
        <v>0</v>
      </c>
      <c r="L234">
        <f t="shared" si="146"/>
        <v>0</v>
      </c>
      <c r="M234">
        <f>IF('Исходные данные'!$B$51="Да",L234*N('Исходные данные'!$B$52),0)</f>
        <v>0</v>
      </c>
      <c r="N234">
        <f t="shared" si="147"/>
        <v>0</v>
      </c>
      <c r="O234">
        <f>IF(OR(B234="",IF('Исходные данные'!$B$45="",'Исходные данные'!$B$10,'Исходные данные'!$B$45)="",C234&lt;IF('Исходные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данные'!$B$45)),1),B234,"m")/12))*IF(AND(B234&lt;=IF('Исходные данные'!$B$45="",'Исходные данные'!$B$10,'Исходные данные'!$B$45),C234&gt;=IF('Исходные данные'!$B$45="",'Исходные данные'!$B$10,'Исходные данные'!$B$45)),(C234-IF('Исходные данные'!$B$45="",'Исходные данные'!$B$10,'Исходные данные'!$B$45)+1)/DAY(C234),1)*IF('Исходные данные'!$B$43="Без НДС",1+N('Исходные данные'!$B$44),1))</f>
        <v>0</v>
      </c>
      <c r="P234">
        <f>IF('Исходные данные'!$B$51="Да",-O234*N('Исходные данные'!$B$44)/(1+N('Исходные данные'!$B$44)),0)</f>
        <v>0</v>
      </c>
      <c r="Q234">
        <f>IF('Исходные данные'!$B$35="Да",-O234,0)</f>
        <v>0</v>
      </c>
      <c r="R234">
        <f>IF(AND('Исходные данные'!$B$51="Да",Q234&gt;0),Q234*N('Исходные данные'!$B$52)/(1+N('Исходные данные'!$B$52)),0)</f>
        <v>0</v>
      </c>
      <c r="S234">
        <f>IF(OR(B234="",IF('Исходные данные'!$B$45="",'Исходные данные'!$B$10,'Исходные данные'!$B$45)="",C234&lt;IF('Исходные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данные'!$B$45)),1),B234,"m")/12))*IF(AND(B234&lt;=IF('Исходные данные'!$B$45="",'Исходные данные'!$B$10,'Исходные данные'!$B$45),C234&gt;=IF('Исходные данные'!$B$45="",'Исходные данные'!$B$10,'Исходные данные'!$B$45)),(C234-IF('Исходные данные'!$B$45="",'Исходные данные'!$B$10,'Исходные данные'!$B$45)+1)/DAY(C234),1)*IF('Исходные данные'!$B$43="Без НДС",1+N('Исходные данные'!$B$44),1))</f>
        <v>0</v>
      </c>
      <c r="T234">
        <f>IF('Исходные данные'!$B$51="Да",-S234*N('Исходные данные'!$B$44)/(1+N('Исходные данные'!$B$44)),0)</f>
        <v>0</v>
      </c>
      <c r="U234">
        <f>IF('Исходные данные'!$B$36="Да",-S234,0)</f>
        <v>0</v>
      </c>
      <c r="V234">
        <f>IF(AND('Исходные данные'!$B$51="Да",U234&gt;0),U234*N('Исходные данные'!$B$52)/(1+N('Исходные данные'!$B$52)),0)</f>
        <v>0</v>
      </c>
      <c r="W234">
        <f>IF(OR(B234="",IF('Исходные данные'!$B$69="",'Исходные данные'!$B$10,'Исходные данные'!$B$69)="",C234&lt;IF('Исходные данные'!$B$69="",'Исходные данные'!$B$10,'Исходные данные'!$B$69)),0,-N('Исходные данные'!$B$16)*N('Исходные данные'!$B$68)*N('Исходные данные'!$B$67)/12*IF(AND(B234&lt;=IF('Исходные данные'!$B$69="",'Исходные данные'!$B$10,'Исходные данные'!$B$69),C234&gt;=IF('Исходные данные'!$B$69="",'Исходные данные'!$B$10,'Исходные данные'!$B$69)),(C234-IF('Исходные данные'!$B$69="",'Исходные данные'!$B$10,'Исходные данные'!$B$69)+1)/DAY(C234),1))</f>
        <v>0</v>
      </c>
      <c r="X234">
        <f>IF(OR(B234="",IF('Исходные данные'!$B$76="",'Исходные данные'!$B$10,'Исходные данные'!$B$76)="",C234&lt;IF('Исходные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данные'!$B$76)),1),B234,"m")/12))*IF(AND(B234&lt;=IF('Исходные данные'!$B$76="",'Исходные данные'!$B$10,'Исходные данные'!$B$76),C234&gt;=IF('Исходные данные'!$B$76="",'Исходные данные'!$B$10,'Исходные данные'!$B$76)),(C234-IF('Исходные данные'!$B$76="",'Исходные данные'!$B$10,'Исходные данные'!$B$76)+1)/DAY(C234),1))</f>
        <v>0</v>
      </c>
      <c r="Y234">
        <f t="shared" si="148"/>
        <v>0</v>
      </c>
      <c r="Z234">
        <f>IF(OR(B234="",N('Исходные данные'!$B$19)=0),0,-SUMIFS('Исходные данные'!$I$6:$I$186,'Исходные данные'!$F$6:$F$186,B234)*N('Исходные данные'!$B$17)/N('Исходные данные'!$B$19))</f>
        <v>0</v>
      </c>
      <c r="AA234">
        <f>IF(OR(B234="",N('Исходные данные'!$B$19)=0),0,-SUMIFS('Исходные данные'!$I$6:$I$186,'Исходные данные'!$F$6:$F$186,B234)*N('Исходные данные'!$B$18)/N('Исходные данные'!$B$19))</f>
        <v>0</v>
      </c>
      <c r="AB234">
        <f>IF(OR(B234="",'Исходные данные'!$B$13=""),0,IF(AND(YEAR(B234)=YEAR('Исходные данные'!$B$13),MONTH(B234)=MONTH('Исходные данные'!$B$13)),-N('Исходные данные'!$B$11),0))</f>
        <v>0</v>
      </c>
      <c r="AC234">
        <f>IF(A234=1,-N('Исходные данные'!$B$19)*N('Исходные данные'!$B$72),0)</f>
        <v>0</v>
      </c>
      <c r="AD234">
        <f>IF(OR(B234="",'Исходные данные'!$B$22&lt;&gt;"Да",'Исходные данные'!$B$26=""),0,IF(AND(YEAR(B234)=YEAR('Исходные данные'!$B$26),MONTH(B234)=MONTH('Исходные данные'!$B$26)),N('Исходные данные'!$B$23),0))</f>
        <v>0</v>
      </c>
      <c r="AE234">
        <f t="shared" si="131"/>
        <v>0</v>
      </c>
      <c r="AF234">
        <f>IF(OR('Исходные данные'!$B$22&lt;&gt;"Да",'Исходные данные'!$B$26="",C234&lt;'Исходные данные'!$B$26),0,DATEDIF(DATE(YEAR('Исходные данные'!$B$26),MONTH('Исходные данные'!$B$26),1),B234,"m")+1)</f>
        <v>0</v>
      </c>
      <c r="AG234">
        <f>IF(OR(AF234&lt;1,AF234&gt;N('Исходные данные'!$B$25),AE234+AD234&lt;=0),0,-(AE234+AD234)*N('Исходные данные'!$B$24)*IF(AF234=1,C234-'Исходные данные'!$B$26+1,DAY(C234))/365)</f>
        <v>0</v>
      </c>
      <c r="AH234">
        <f>IF(OR(AF234&lt;1,AF234&gt;N('Исходные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данные'!$B$25)-AG234))</f>
        <v>0</v>
      </c>
      <c r="AI234">
        <f>IF(OR('Исходные данные'!$B$22&lt;&gt;"Да",AE234+AD234&lt;=0),0,IF(AND('Исходные данные'!$B$91&lt;&gt;"",B234&lt;&gt;"",YEAR(B234)=YEAR('Исходные данные'!$B$91),MONTH(B234)=MONTH('Исходные данные'!$B$91)),-(AE234+AD234),IF(OR(AF234&lt;1,AF234&gt;N('Исходные данные'!$B$25)),0,IF('Исходные данные'!$B$27="Равными долями",-MIN(AE234+AD234,N('Исходные данные'!$B$23)/N('Исходные данные'!$B$25)),-MIN(AE234+AD234,IF(AF234=N('Исходные данные'!$B$25),AE234+AD234,MAX(0,AH234+AG234)))))))</f>
        <v>0</v>
      </c>
      <c r="AJ234">
        <f t="shared" si="149"/>
        <v>0</v>
      </c>
      <c r="AK234">
        <f t="shared" si="132"/>
        <v>0</v>
      </c>
      <c r="AL234">
        <f>IF(OR(B234="",'Исходные данные'!$B$51&lt;&gt;"Да",'Исходные данные'!$B$61=""),0,IF(AND(YEAR(B234)=YEAR('Исходные данные'!$B$61),MONTH(B234)=MONTH('Исходные данные'!$B$61)),N('Исходные данные'!$B$18)*N('Исходные данные'!$B$62),0))</f>
        <v>0</v>
      </c>
      <c r="AM234">
        <f t="shared" si="133"/>
        <v>0</v>
      </c>
      <c r="AN234">
        <f t="shared" si="134"/>
        <v>0</v>
      </c>
      <c r="AO234">
        <f t="shared" si="135"/>
        <v>0</v>
      </c>
      <c r="AP234">
        <f>IF('Исходные данные'!$B$51="Да",-MAX(0,AN234-AO234-AM234),0)</f>
        <v>0</v>
      </c>
      <c r="AQ234">
        <f>IF('Исходные данные'!$B$51="Да",MAX(0,AM234+AO234-AN234),0)</f>
        <v>0</v>
      </c>
      <c r="AR234">
        <f>IF('Исходные данные'!$B$53="Выручка",MAX(0,L234+(Q234-R234)+(U234-V234)),IF('Исходные данные'!$B$53="Прибыль до налога",MAX(0,L234+(Q234-R234)+(U234-V234)+N('Исходные данные'!$B$54)*((O234+P234)+(S234+T234)+W234+X234)+IF('Исходные данные'!$B$55="Да",AG234,0)-N('Исходные данные'!$B$56)/12),IF('Исходные данные'!$B$53="Пользовательская база",MAX(0,N('Исходные данные'!$B$57)/12),0)))</f>
        <v>0</v>
      </c>
      <c r="AS234">
        <f>IF(E234=1,-AR234*N('Исходные данные'!$B$50),0)</f>
        <v>0</v>
      </c>
      <c r="AT234">
        <f t="shared" si="136"/>
        <v>0</v>
      </c>
      <c r="AU234">
        <f>IF(OR(B234="",N('Исходные данные'!$B$80)&lt;=0,'Исходные данные'!$B$88=""),0,MAX(0,IF('Исходные данные'!$B$88="Последние 12 месяцев",SUMIFS($Y$2:$Y$194,$B$2:$B$194,"&gt;="&amp;EDATE(B234,-11),$B$2:$B$194,"&lt;="&amp;B234),IF('Исходные данные'!$B$88="Пользовательский NOI",N('Исходные данные'!$B$89),AT234))/N('Исходные данные'!$B$80)*(1+N('Исходные данные'!$B$81))))</f>
        <v>0</v>
      </c>
      <c r="AV234">
        <f>IF(OR(E234&lt;&gt;1,B234="",'Исходные данные'!$B$91=""),0,IF(AND(YEAR(B234)=YEAR('Исходные данные'!$B$91),MONTH(B234)=MONTH('Исходные данные'!$B$91)),AU234,0))</f>
        <v>0</v>
      </c>
      <c r="AW234">
        <f>-AV234*N('Исходные данные'!$B$73)</f>
        <v>0</v>
      </c>
      <c r="AX234">
        <f>IF(AV234=0,0,-N('Исходные данные'!$B$87)-IF('Исходные данные'!$B$82="Да",IF('Исходные данные'!$B$84="С выручки",AV234,IF('Исходные данные'!$B$84="С прибыли",MAX(0,AV234+AW234-IF('Исходные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34">
        <f t="shared" si="150"/>
        <v>0</v>
      </c>
      <c r="AZ234">
        <f t="shared" si="137"/>
        <v>0</v>
      </c>
      <c r="BA234">
        <f t="shared" si="151"/>
        <v>0</v>
      </c>
      <c r="BB234" t="str">
        <f t="shared" si="138"/>
        <v/>
      </c>
      <c r="BC234">
        <f>IF(OR(E234=0,'Исходные данные'!$B$9="",'Исходные данные'!$B$90=""),0,BA234/(1+'Исходные данные'!$B$90)^((D234-'Исходные данные'!$B$9)/365))</f>
        <v>0</v>
      </c>
      <c r="BD234">
        <f>IF(AND(E234=1,BB234&gt;=0,BB233&lt;0,MIN($BB$2:BB234)&lt;0),1,0)</f>
        <v>0</v>
      </c>
      <c r="BE234">
        <f t="shared" si="139"/>
        <v>0</v>
      </c>
      <c r="BF234">
        <f t="shared" si="140"/>
        <v>0</v>
      </c>
      <c r="BG234">
        <f t="shared" si="141"/>
        <v>0</v>
      </c>
      <c r="BH234">
        <f t="shared" si="142"/>
        <v>1</v>
      </c>
      <c r="BI234">
        <f>AZ234+N234+AP234-AR234*N('Исходные данные'!$B$50)</f>
        <v>0</v>
      </c>
      <c r="BJ234">
        <f t="shared" si="143"/>
        <v>0</v>
      </c>
      <c r="BK234">
        <f>IF(AND(BJ234&gt;=0,BJ233&lt;0,MIN($BJ$2:BJ234)&lt;0),1,0)</f>
        <v>0</v>
      </c>
    </row>
    <row r="235" spans="1:63" x14ac:dyDescent="0.2">
      <c r="A235">
        <v>234</v>
      </c>
      <c r="B235" t="str">
        <f>IF('Исходные данные'!$B$9="","",EDATE(DATE(YEAR('Исходные данные'!$B$9),MONTH('Исходные данные'!$B$9),1),A235-1))</f>
        <v/>
      </c>
      <c r="C235" t="str">
        <f t="shared" si="144"/>
        <v/>
      </c>
      <c r="D235" t="str">
        <f>IF(B235="","",IF('Исходные данные'!$B$91&lt;&gt;"",IF(AND(YEAR(B235)=YEAR('Исходные данные'!$B$91),MONTH(B235)=MONTH('Исходные данные'!$B$91)),'Исходные данные'!$B$91,IF('Исходные данные'!$B$13&lt;&gt;"",IF(AND(YEAR(B235)=YEAR('Исходные данные'!$B$13),MONTH(B235)=MONTH('Исходные данные'!$B$13)),'Исходные данные'!$B$13,IF('Исходные данные'!$B$26&lt;&gt;"",IF(AND(YEAR(B235)=YEAR('Исходные данные'!$B$26),MONTH(B235)=MONTH('Исходные данные'!$B$26)),'Исходные данные'!$B$26,IF(A235=1,'Исходные данные'!$B$9,C235)),IF(A235=1,'Исходные данные'!$B$9,C235))),IF('Исходные данные'!$B$26&lt;&gt;"",IF(AND(YEAR(B235)=YEAR('Исходные данные'!$B$26),MONTH(B235)=MONTH('Исходные данные'!$B$26)),'Исходные данные'!$B$26,IF(A235=1,'Исходные данные'!$B$9,C235)),IF(A235=1,'Исходные данные'!$B$9,C235)))),IF('Исходные данные'!$B$13&lt;&gt;"",IF(AND(YEAR(B235)=YEAR('Исходные данные'!$B$13),MONTH(B235)=MONTH('Исходные данные'!$B$13)),'Исходные данные'!$B$13,IF('Исходные данные'!$B$26&lt;&gt;"",IF(AND(YEAR(B235)=YEAR('Исходные данные'!$B$26),MONTH(B235)=MONTH('Исходные данные'!$B$26)),'Исходные данные'!$B$26,IF(A235=1,'Исходные данные'!$B$9,C235)),IF(A235=1,'Исходные данные'!$B$9,C235))),IF('Исходные данные'!$B$26&lt;&gt;"",IF(AND(YEAR(B235)=YEAR('Исходные данные'!$B$26),MONTH(B235)=MONTH('Исходные данные'!$B$26)),'Исходные данные'!$B$26,IF(A235=1,'Исходные данные'!$B$9,C235)),IF(A235=1,'Исходные данные'!$B$9,C235)))))</f>
        <v/>
      </c>
      <c r="E235">
        <f>IF(OR(B235="",'Исходные данные'!$B$91=""),0,--(B235&lt;=DATE(YEAR('Исходные данные'!$B$91),MONTH('Исходные данные'!$B$91),1)))</f>
        <v>0</v>
      </c>
      <c r="F235">
        <f>IF(OR(B235="",'Исходные данные'!$B$30="",C235&lt;'Исходные данные'!$B$30),0,DATEDIF(DATE(YEAR('Исходные данные'!$B$30),MONTH('Исходные данные'!$B$30),1),B235,"m")+1)</f>
        <v>0</v>
      </c>
      <c r="G235">
        <f t="shared" si="145"/>
        <v>0</v>
      </c>
      <c r="H235">
        <f>IF(F235=0,0,IF(G235=1,N('Исходные данные'!$B$31),IF(G235=2,N('Исходные данные'!$B$32),IF(G235=3,N('Исходные данные'!$B$33),N('Исходные данные'!$B$33)*(1+N('Исходные данные'!$B$34))^(G235-3)))))</f>
        <v>0</v>
      </c>
      <c r="I235">
        <f>IF(OR(F235=0,N('Исходные данные'!$B$5)=0,H235=0),0,'Исходные данные'!$B$5*H235*IF(AND(B235&lt;='Исходные данные'!$B$30,C235&gt;='Исходные данные'!$B$30),(C235-'Исходные данные'!$B$30+1)/DAY(C235),1))</f>
        <v>0</v>
      </c>
      <c r="J235">
        <f>IF(AND(F235&gt;0,F235&lt;=N('Исходные данные'!$B$37)),-I235,0)</f>
        <v>0</v>
      </c>
      <c r="K235">
        <f>IF(OR(F235=0,F235&lt;=N('Исходные данные'!$B$37)),0,-(I235+J235)*N('Исходные данные'!$B$38))</f>
        <v>0</v>
      </c>
      <c r="L235">
        <f t="shared" si="146"/>
        <v>0</v>
      </c>
      <c r="M235">
        <f>IF('Исходные данные'!$B$51="Да",L235*N('Исходные данные'!$B$52),0)</f>
        <v>0</v>
      </c>
      <c r="N235">
        <f t="shared" si="147"/>
        <v>0</v>
      </c>
      <c r="O235">
        <f>IF(OR(B235="",IF('Исходные данные'!$B$45="",'Исходные данные'!$B$10,'Исходные данные'!$B$45)="",C235&lt;IF('Исходные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данные'!$B$45)),1),B235,"m")/12))*IF(AND(B235&lt;=IF('Исходные данные'!$B$45="",'Исходные данные'!$B$10,'Исходные данные'!$B$45),C235&gt;=IF('Исходные данные'!$B$45="",'Исходные данные'!$B$10,'Исходные данные'!$B$45)),(C235-IF('Исходные данные'!$B$45="",'Исходные данные'!$B$10,'Исходные данные'!$B$45)+1)/DAY(C235),1)*IF('Исходные данные'!$B$43="Без НДС",1+N('Исходные данные'!$B$44),1))</f>
        <v>0</v>
      </c>
      <c r="P235">
        <f>IF('Исходные данные'!$B$51="Да",-O235*N('Исходные данные'!$B$44)/(1+N('Исходные данные'!$B$44)),0)</f>
        <v>0</v>
      </c>
      <c r="Q235">
        <f>IF('Исходные данные'!$B$35="Да",-O235,0)</f>
        <v>0</v>
      </c>
      <c r="R235">
        <f>IF(AND('Исходные данные'!$B$51="Да",Q235&gt;0),Q235*N('Исходные данные'!$B$52)/(1+N('Исходные данные'!$B$52)),0)</f>
        <v>0</v>
      </c>
      <c r="S235">
        <f>IF(OR(B235="",IF('Исходные данные'!$B$45="",'Исходные данные'!$B$10,'Исходные данные'!$B$45)="",C235&lt;IF('Исходные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данные'!$B$45)),1),B235,"m")/12))*IF(AND(B235&lt;=IF('Исходные данные'!$B$45="",'Исходные данные'!$B$10,'Исходные данные'!$B$45),C235&gt;=IF('Исходные данные'!$B$45="",'Исходные данные'!$B$10,'Исходные данные'!$B$45)),(C235-IF('Исходные данные'!$B$45="",'Исходные данные'!$B$10,'Исходные данные'!$B$45)+1)/DAY(C235),1)*IF('Исходные данные'!$B$43="Без НДС",1+N('Исходные данные'!$B$44),1))</f>
        <v>0</v>
      </c>
      <c r="T235">
        <f>IF('Исходные данные'!$B$51="Да",-S235*N('Исходные данные'!$B$44)/(1+N('Исходные данные'!$B$44)),0)</f>
        <v>0</v>
      </c>
      <c r="U235">
        <f>IF('Исходные данные'!$B$36="Да",-S235,0)</f>
        <v>0</v>
      </c>
      <c r="V235">
        <f>IF(AND('Исходные данные'!$B$51="Да",U235&gt;0),U235*N('Исходные данные'!$B$52)/(1+N('Исходные данные'!$B$52)),0)</f>
        <v>0</v>
      </c>
      <c r="W235">
        <f>IF(OR(B235="",IF('Исходные данные'!$B$69="",'Исходные данные'!$B$10,'Исходные данные'!$B$69)="",C235&lt;IF('Исходные данные'!$B$69="",'Исходные данные'!$B$10,'Исходные данные'!$B$69)),0,-N('Исходные данные'!$B$16)*N('Исходные данные'!$B$68)*N('Исходные данные'!$B$67)/12*IF(AND(B235&lt;=IF('Исходные данные'!$B$69="",'Исходные данные'!$B$10,'Исходные данные'!$B$69),C235&gt;=IF('Исходные данные'!$B$69="",'Исходные данные'!$B$10,'Исходные данные'!$B$69)),(C235-IF('Исходные данные'!$B$69="",'Исходные данные'!$B$10,'Исходные данные'!$B$69)+1)/DAY(C235),1))</f>
        <v>0</v>
      </c>
      <c r="X235">
        <f>IF(OR(B235="",IF('Исходные данные'!$B$76="",'Исходные данные'!$B$10,'Исходные данные'!$B$76)="",C235&lt;IF('Исходные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данные'!$B$76)),1),B235,"m")/12))*IF(AND(B235&lt;=IF('Исходные данные'!$B$76="",'Исходные данные'!$B$10,'Исходные данные'!$B$76),C235&gt;=IF('Исходные данные'!$B$76="",'Исходные данные'!$B$10,'Исходные данные'!$B$76)),(C235-IF('Исходные данные'!$B$76="",'Исходные данные'!$B$10,'Исходные данные'!$B$76)+1)/DAY(C235),1))</f>
        <v>0</v>
      </c>
      <c r="Y235">
        <f t="shared" si="148"/>
        <v>0</v>
      </c>
      <c r="Z235">
        <f>IF(OR(B235="",N('Исходные данные'!$B$19)=0),0,-SUMIFS('Исходные данные'!$I$6:$I$186,'Исходные данные'!$F$6:$F$186,B235)*N('Исходные данные'!$B$17)/N('Исходные данные'!$B$19))</f>
        <v>0</v>
      </c>
      <c r="AA235">
        <f>IF(OR(B235="",N('Исходные данные'!$B$19)=0),0,-SUMIFS('Исходные данные'!$I$6:$I$186,'Исходные данные'!$F$6:$F$186,B235)*N('Исходные данные'!$B$18)/N('Исходные данные'!$B$19))</f>
        <v>0</v>
      </c>
      <c r="AB235">
        <f>IF(OR(B235="",'Исходные данные'!$B$13=""),0,IF(AND(YEAR(B235)=YEAR('Исходные данные'!$B$13),MONTH(B235)=MONTH('Исходные данные'!$B$13)),-N('Исходные данные'!$B$11),0))</f>
        <v>0</v>
      </c>
      <c r="AC235">
        <f>IF(A235=1,-N('Исходные данные'!$B$19)*N('Исходные данные'!$B$72),0)</f>
        <v>0</v>
      </c>
      <c r="AD235">
        <f>IF(OR(B235="",'Исходные данные'!$B$22&lt;&gt;"Да",'Исходные данные'!$B$26=""),0,IF(AND(YEAR(B235)=YEAR('Исходные данные'!$B$26),MONTH(B235)=MONTH('Исходные данные'!$B$26)),N('Исходные данные'!$B$23),0))</f>
        <v>0</v>
      </c>
      <c r="AE235">
        <f t="shared" si="131"/>
        <v>0</v>
      </c>
      <c r="AF235">
        <f>IF(OR('Исходные данные'!$B$22&lt;&gt;"Да",'Исходные данные'!$B$26="",C235&lt;'Исходные данные'!$B$26),0,DATEDIF(DATE(YEAR('Исходные данные'!$B$26),MONTH('Исходные данные'!$B$26),1),B235,"m")+1)</f>
        <v>0</v>
      </c>
      <c r="AG235">
        <f>IF(OR(AF235&lt;1,AF235&gt;N('Исходные данные'!$B$25),AE235+AD235&lt;=0),0,-(AE235+AD235)*N('Исходные данные'!$B$24)*IF(AF235=1,C235-'Исходные данные'!$B$26+1,DAY(C235))/365)</f>
        <v>0</v>
      </c>
      <c r="AH235">
        <f>IF(OR(AF235&lt;1,AF235&gt;N('Исходные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данные'!$B$25)-AG235))</f>
        <v>0</v>
      </c>
      <c r="AI235">
        <f>IF(OR('Исходные данные'!$B$22&lt;&gt;"Да",AE235+AD235&lt;=0),0,IF(AND('Исходные данные'!$B$91&lt;&gt;"",B235&lt;&gt;"",YEAR(B235)=YEAR('Исходные данные'!$B$91),MONTH(B235)=MONTH('Исходные данные'!$B$91)),-(AE235+AD235),IF(OR(AF235&lt;1,AF235&gt;N('Исходные данные'!$B$25)),0,IF('Исходные данные'!$B$27="Равными долями",-MIN(AE235+AD235,N('Исходные данные'!$B$23)/N('Исходные данные'!$B$25)),-MIN(AE235+AD235,IF(AF235=N('Исходные данные'!$B$25),AE235+AD235,MAX(0,AH235+AG235)))))))</f>
        <v>0</v>
      </c>
      <c r="AJ235">
        <f t="shared" si="149"/>
        <v>0</v>
      </c>
      <c r="AK235">
        <f t="shared" si="132"/>
        <v>0</v>
      </c>
      <c r="AL235">
        <f>IF(OR(B235="",'Исходные данные'!$B$51&lt;&gt;"Да",'Исходные данные'!$B$61=""),0,IF(AND(YEAR(B235)=YEAR('Исходные данные'!$B$61),MONTH(B235)=MONTH('Исходные данные'!$B$61)),N('Исходные данные'!$B$18)*N('Исходные данные'!$B$62),0))</f>
        <v>0</v>
      </c>
      <c r="AM235">
        <f t="shared" si="133"/>
        <v>0</v>
      </c>
      <c r="AN235">
        <f t="shared" si="134"/>
        <v>0</v>
      </c>
      <c r="AO235">
        <f t="shared" si="135"/>
        <v>0</v>
      </c>
      <c r="AP235">
        <f>IF('Исходные данные'!$B$51="Да",-MAX(0,AN235-AO235-AM235),0)</f>
        <v>0</v>
      </c>
      <c r="AQ235">
        <f>IF('Исходные данные'!$B$51="Да",MAX(0,AM235+AO235-AN235),0)</f>
        <v>0</v>
      </c>
      <c r="AR235">
        <f>IF('Исходные данные'!$B$53="Выручка",MAX(0,L235+(Q235-R235)+(U235-V235)),IF('Исходные данные'!$B$53="Прибыль до налога",MAX(0,L235+(Q235-R235)+(U235-V235)+N('Исходные данные'!$B$54)*((O235+P235)+(S235+T235)+W235+X235)+IF('Исходные данные'!$B$55="Да",AG235,0)-N('Исходные данные'!$B$56)/12),IF('Исходные данные'!$B$53="Пользовательская база",MAX(0,N('Исходные данные'!$B$57)/12),0)))</f>
        <v>0</v>
      </c>
      <c r="AS235">
        <f>IF(E235=1,-AR235*N('Исходные данные'!$B$50),0)</f>
        <v>0</v>
      </c>
      <c r="AT235">
        <f t="shared" si="136"/>
        <v>0</v>
      </c>
      <c r="AU235">
        <f>IF(OR(B235="",N('Исходные данные'!$B$80)&lt;=0,'Исходные данные'!$B$88=""),0,MAX(0,IF('Исходные данные'!$B$88="Последние 12 месяцев",SUMIFS($Y$2:$Y$194,$B$2:$B$194,"&gt;="&amp;EDATE(B235,-11),$B$2:$B$194,"&lt;="&amp;B235),IF('Исходные данные'!$B$88="Пользовательский NOI",N('Исходные данные'!$B$89),AT235))/N('Исходные данные'!$B$80)*(1+N('Исходные данные'!$B$81))))</f>
        <v>0</v>
      </c>
      <c r="AV235">
        <f>IF(OR(E235&lt;&gt;1,B235="",'Исходные данные'!$B$91=""),0,IF(AND(YEAR(B235)=YEAR('Исходные данные'!$B$91),MONTH(B235)=MONTH('Исходные данные'!$B$91)),AU235,0))</f>
        <v>0</v>
      </c>
      <c r="AW235">
        <f>-AV235*N('Исходные данные'!$B$73)</f>
        <v>0</v>
      </c>
      <c r="AX235">
        <f>IF(AV235=0,0,-N('Исходные данные'!$B$87)-IF('Исходные данные'!$B$82="Да",IF('Исходные данные'!$B$84="С выручки",AV235,IF('Исходные данные'!$B$84="С прибыли",MAX(0,AV235+AW235-IF('Исходные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35">
        <f t="shared" si="150"/>
        <v>0</v>
      </c>
      <c r="AZ235">
        <f t="shared" si="137"/>
        <v>0</v>
      </c>
      <c r="BA235">
        <f t="shared" si="151"/>
        <v>0</v>
      </c>
      <c r="BB235" t="str">
        <f t="shared" si="138"/>
        <v/>
      </c>
      <c r="BC235">
        <f>IF(OR(E235=0,'Исходные данные'!$B$9="",'Исходные данные'!$B$90=""),0,BA235/(1+'Исходные данные'!$B$90)^((D235-'Исходные данные'!$B$9)/365))</f>
        <v>0</v>
      </c>
      <c r="BD235">
        <f>IF(AND(E235=1,BB235&gt;=0,BB234&lt;0,MIN($BB$2:BB235)&lt;0),1,0)</f>
        <v>0</v>
      </c>
      <c r="BE235">
        <f t="shared" si="139"/>
        <v>0</v>
      </c>
      <c r="BF235">
        <f t="shared" si="140"/>
        <v>0</v>
      </c>
      <c r="BG235">
        <f t="shared" si="141"/>
        <v>0</v>
      </c>
      <c r="BH235">
        <f t="shared" si="142"/>
        <v>1</v>
      </c>
      <c r="BI235">
        <f>AZ235+N235+AP235-AR235*N('Исходные данные'!$B$50)</f>
        <v>0</v>
      </c>
      <c r="BJ235">
        <f t="shared" si="143"/>
        <v>0</v>
      </c>
      <c r="BK235">
        <f>IF(AND(BJ235&gt;=0,BJ234&lt;0,MIN($BJ$2:BJ235)&lt;0),1,0)</f>
        <v>0</v>
      </c>
    </row>
    <row r="236" spans="1:63" x14ac:dyDescent="0.2">
      <c r="A236">
        <v>235</v>
      </c>
      <c r="B236" t="str">
        <f>IF('Исходные данные'!$B$9="","",EDATE(DATE(YEAR('Исходные данные'!$B$9),MONTH('Исходные данные'!$B$9),1),A236-1))</f>
        <v/>
      </c>
      <c r="C236" t="str">
        <f t="shared" si="144"/>
        <v/>
      </c>
      <c r="D236" t="str">
        <f>IF(B236="","",IF('Исходные данные'!$B$91&lt;&gt;"",IF(AND(YEAR(B236)=YEAR('Исходные данные'!$B$91),MONTH(B236)=MONTH('Исходные данные'!$B$91)),'Исходные данные'!$B$91,IF('Исходные данные'!$B$13&lt;&gt;"",IF(AND(YEAR(B236)=YEAR('Исходные данные'!$B$13),MONTH(B236)=MONTH('Исходные данные'!$B$13)),'Исходные данные'!$B$13,IF('Исходные данные'!$B$26&lt;&gt;"",IF(AND(YEAR(B236)=YEAR('Исходные данные'!$B$26),MONTH(B236)=MONTH('Исходные данные'!$B$26)),'Исходные данные'!$B$26,IF(A236=1,'Исходные данные'!$B$9,C236)),IF(A236=1,'Исходные данные'!$B$9,C236))),IF('Исходные данные'!$B$26&lt;&gt;"",IF(AND(YEAR(B236)=YEAR('Исходные данные'!$B$26),MONTH(B236)=MONTH('Исходные данные'!$B$26)),'Исходные данные'!$B$26,IF(A236=1,'Исходные данные'!$B$9,C236)),IF(A236=1,'Исходные данные'!$B$9,C236)))),IF('Исходные данные'!$B$13&lt;&gt;"",IF(AND(YEAR(B236)=YEAR('Исходные данные'!$B$13),MONTH(B236)=MONTH('Исходные данные'!$B$13)),'Исходные данные'!$B$13,IF('Исходные данные'!$B$26&lt;&gt;"",IF(AND(YEAR(B236)=YEAR('Исходные данные'!$B$26),MONTH(B236)=MONTH('Исходные данные'!$B$26)),'Исходные данные'!$B$26,IF(A236=1,'Исходные данные'!$B$9,C236)),IF(A236=1,'Исходные данные'!$B$9,C236))),IF('Исходные данные'!$B$26&lt;&gt;"",IF(AND(YEAR(B236)=YEAR('Исходные данные'!$B$26),MONTH(B236)=MONTH('Исходные данные'!$B$26)),'Исходные данные'!$B$26,IF(A236=1,'Исходные данные'!$B$9,C236)),IF(A236=1,'Исходные данные'!$B$9,C236)))))</f>
        <v/>
      </c>
      <c r="E236">
        <f>IF(OR(B236="",'Исходные данные'!$B$91=""),0,--(B236&lt;=DATE(YEAR('Исходные данные'!$B$91),MONTH('Исходные данные'!$B$91),1)))</f>
        <v>0</v>
      </c>
      <c r="F236">
        <f>IF(OR(B236="",'Исходные данные'!$B$30="",C236&lt;'Исходные данные'!$B$30),0,DATEDIF(DATE(YEAR('Исходные данные'!$B$30),MONTH('Исходные данные'!$B$30),1),B236,"m")+1)</f>
        <v>0</v>
      </c>
      <c r="G236">
        <f t="shared" si="145"/>
        <v>0</v>
      </c>
      <c r="H236">
        <f>IF(F236=0,0,IF(G236=1,N('Исходные данные'!$B$31),IF(G236=2,N('Исходные данные'!$B$32),IF(G236=3,N('Исходные данные'!$B$33),N('Исходные данные'!$B$33)*(1+N('Исходные данные'!$B$34))^(G236-3)))))</f>
        <v>0</v>
      </c>
      <c r="I236">
        <f>IF(OR(F236=0,N('Исходные данные'!$B$5)=0,H236=0),0,'Исходные данные'!$B$5*H236*IF(AND(B236&lt;='Исходные данные'!$B$30,C236&gt;='Исходные данные'!$B$30),(C236-'Исходные данные'!$B$30+1)/DAY(C236),1))</f>
        <v>0</v>
      </c>
      <c r="J236">
        <f>IF(AND(F236&gt;0,F236&lt;=N('Исходные данные'!$B$37)),-I236,0)</f>
        <v>0</v>
      </c>
      <c r="K236">
        <f>IF(OR(F236=0,F236&lt;=N('Исходные данные'!$B$37)),0,-(I236+J236)*N('Исходные данные'!$B$38))</f>
        <v>0</v>
      </c>
      <c r="L236">
        <f t="shared" si="146"/>
        <v>0</v>
      </c>
      <c r="M236">
        <f>IF('Исходные данные'!$B$51="Да",L236*N('Исходные данные'!$B$52),0)</f>
        <v>0</v>
      </c>
      <c r="N236">
        <f t="shared" si="147"/>
        <v>0</v>
      </c>
      <c r="O236">
        <f>IF(OR(B236="",IF('Исходные данные'!$B$45="",'Исходные данные'!$B$10,'Исходные данные'!$B$45)="",C236&lt;IF('Исходные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данные'!$B$45)),1),B236,"m")/12))*IF(AND(B236&lt;=IF('Исходные данные'!$B$45="",'Исходные данные'!$B$10,'Исходные данные'!$B$45),C236&gt;=IF('Исходные данные'!$B$45="",'Исходные данные'!$B$10,'Исходные данные'!$B$45)),(C236-IF('Исходные данные'!$B$45="",'Исходные данные'!$B$10,'Исходные данные'!$B$45)+1)/DAY(C236),1)*IF('Исходные данные'!$B$43="Без НДС",1+N('Исходные данные'!$B$44),1))</f>
        <v>0</v>
      </c>
      <c r="P236">
        <f>IF('Исходные данные'!$B$51="Да",-O236*N('Исходные данные'!$B$44)/(1+N('Исходные данные'!$B$44)),0)</f>
        <v>0</v>
      </c>
      <c r="Q236">
        <f>IF('Исходные данные'!$B$35="Да",-O236,0)</f>
        <v>0</v>
      </c>
      <c r="R236">
        <f>IF(AND('Исходные данные'!$B$51="Да",Q236&gt;0),Q236*N('Исходные данные'!$B$52)/(1+N('Исходные данные'!$B$52)),0)</f>
        <v>0</v>
      </c>
      <c r="S236">
        <f>IF(OR(B236="",IF('Исходные данные'!$B$45="",'Исходные данные'!$B$10,'Исходные данные'!$B$45)="",C236&lt;IF('Исходные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данные'!$B$45)),1),B236,"m")/12))*IF(AND(B236&lt;=IF('Исходные данные'!$B$45="",'Исходные данные'!$B$10,'Исходные данные'!$B$45),C236&gt;=IF('Исходные данные'!$B$45="",'Исходные данные'!$B$10,'Исходные данные'!$B$45)),(C236-IF('Исходные данные'!$B$45="",'Исходные данные'!$B$10,'Исходные данные'!$B$45)+1)/DAY(C236),1)*IF('Исходные данные'!$B$43="Без НДС",1+N('Исходные данные'!$B$44),1))</f>
        <v>0</v>
      </c>
      <c r="T236">
        <f>IF('Исходные данные'!$B$51="Да",-S236*N('Исходные данные'!$B$44)/(1+N('Исходные данные'!$B$44)),0)</f>
        <v>0</v>
      </c>
      <c r="U236">
        <f>IF('Исходные данные'!$B$36="Да",-S236,0)</f>
        <v>0</v>
      </c>
      <c r="V236">
        <f>IF(AND('Исходные данные'!$B$51="Да",U236&gt;0),U236*N('Исходные данные'!$B$52)/(1+N('Исходные данные'!$B$52)),0)</f>
        <v>0</v>
      </c>
      <c r="W236">
        <f>IF(OR(B236="",IF('Исходные данные'!$B$69="",'Исходные данные'!$B$10,'Исходные данные'!$B$69)="",C236&lt;IF('Исходные данные'!$B$69="",'Исходные данные'!$B$10,'Исходные данные'!$B$69)),0,-N('Исходные данные'!$B$16)*N('Исходные данные'!$B$68)*N('Исходные данные'!$B$67)/12*IF(AND(B236&lt;=IF('Исходные данные'!$B$69="",'Исходные данные'!$B$10,'Исходные данные'!$B$69),C236&gt;=IF('Исходные данные'!$B$69="",'Исходные данные'!$B$10,'Исходные данные'!$B$69)),(C236-IF('Исходные данные'!$B$69="",'Исходные данные'!$B$10,'Исходные данные'!$B$69)+1)/DAY(C236),1))</f>
        <v>0</v>
      </c>
      <c r="X236">
        <f>IF(OR(B236="",IF('Исходные данные'!$B$76="",'Исходные данные'!$B$10,'Исходные данные'!$B$76)="",C236&lt;IF('Исходные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данные'!$B$76)),1),B236,"m")/12))*IF(AND(B236&lt;=IF('Исходные данные'!$B$76="",'Исходные данные'!$B$10,'Исходные данные'!$B$76),C236&gt;=IF('Исходные данные'!$B$76="",'Исходные данные'!$B$10,'Исходные данные'!$B$76)),(C236-IF('Исходные данные'!$B$76="",'Исходные данные'!$B$10,'Исходные данные'!$B$76)+1)/DAY(C236),1))</f>
        <v>0</v>
      </c>
      <c r="Y236">
        <f t="shared" si="148"/>
        <v>0</v>
      </c>
      <c r="Z236">
        <f>IF(OR(B236="",N('Исходные данные'!$B$19)=0),0,-SUMIFS('Исходные данные'!$I$6:$I$186,'Исходные данные'!$F$6:$F$186,B236)*N('Исходные данные'!$B$17)/N('Исходные данные'!$B$19))</f>
        <v>0</v>
      </c>
      <c r="AA236">
        <f>IF(OR(B236="",N('Исходные данные'!$B$19)=0),0,-SUMIFS('Исходные данные'!$I$6:$I$186,'Исходные данные'!$F$6:$F$186,B236)*N('Исходные данные'!$B$18)/N('Исходные данные'!$B$19))</f>
        <v>0</v>
      </c>
      <c r="AB236">
        <f>IF(OR(B236="",'Исходные данные'!$B$13=""),0,IF(AND(YEAR(B236)=YEAR('Исходные данные'!$B$13),MONTH(B236)=MONTH('Исходные данные'!$B$13)),-N('Исходные данные'!$B$11),0))</f>
        <v>0</v>
      </c>
      <c r="AC236">
        <f>IF(A236=1,-N('Исходные данные'!$B$19)*N('Исходные данные'!$B$72),0)</f>
        <v>0</v>
      </c>
      <c r="AD236">
        <f>IF(OR(B236="",'Исходные данные'!$B$22&lt;&gt;"Да",'Исходные данные'!$B$26=""),0,IF(AND(YEAR(B236)=YEAR('Исходные данные'!$B$26),MONTH(B236)=MONTH('Исходные данные'!$B$26)),N('Исходные данные'!$B$23),0))</f>
        <v>0</v>
      </c>
      <c r="AE236">
        <f t="shared" si="131"/>
        <v>0</v>
      </c>
      <c r="AF236">
        <f>IF(OR('Исходные данные'!$B$22&lt;&gt;"Да",'Исходные данные'!$B$26="",C236&lt;'Исходные данные'!$B$26),0,DATEDIF(DATE(YEAR('Исходные данные'!$B$26),MONTH('Исходные данные'!$B$26),1),B236,"m")+1)</f>
        <v>0</v>
      </c>
      <c r="AG236">
        <f>IF(OR(AF236&lt;1,AF236&gt;N('Исходные данные'!$B$25),AE236+AD236&lt;=0),0,-(AE236+AD236)*N('Исходные данные'!$B$24)*IF(AF236=1,C236-'Исходные данные'!$B$26+1,DAY(C236))/365)</f>
        <v>0</v>
      </c>
      <c r="AH236">
        <f>IF(OR(AF236&lt;1,AF236&gt;N('Исходные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данные'!$B$25)-AG236))</f>
        <v>0</v>
      </c>
      <c r="AI236">
        <f>IF(OR('Исходные данные'!$B$22&lt;&gt;"Да",AE236+AD236&lt;=0),0,IF(AND('Исходные данные'!$B$91&lt;&gt;"",B236&lt;&gt;"",YEAR(B236)=YEAR('Исходные данные'!$B$91),MONTH(B236)=MONTH('Исходные данные'!$B$91)),-(AE236+AD236),IF(OR(AF236&lt;1,AF236&gt;N('Исходные данные'!$B$25)),0,IF('Исходные данные'!$B$27="Равными долями",-MIN(AE236+AD236,N('Исходные данные'!$B$23)/N('Исходные данные'!$B$25)),-MIN(AE236+AD236,IF(AF236=N('Исходные данные'!$B$25),AE236+AD236,MAX(0,AH236+AG236)))))))</f>
        <v>0</v>
      </c>
      <c r="AJ236">
        <f t="shared" si="149"/>
        <v>0</v>
      </c>
      <c r="AK236">
        <f t="shared" si="132"/>
        <v>0</v>
      </c>
      <c r="AL236">
        <f>IF(OR(B236="",'Исходные данные'!$B$51&lt;&gt;"Да",'Исходные данные'!$B$61=""),0,IF(AND(YEAR(B236)=YEAR('Исходные данные'!$B$61),MONTH(B236)=MONTH('Исходные данные'!$B$61)),N('Исходные данные'!$B$18)*N('Исходные данные'!$B$62),0))</f>
        <v>0</v>
      </c>
      <c r="AM236">
        <f t="shared" si="133"/>
        <v>0</v>
      </c>
      <c r="AN236">
        <f t="shared" si="134"/>
        <v>0</v>
      </c>
      <c r="AO236">
        <f t="shared" si="135"/>
        <v>0</v>
      </c>
      <c r="AP236">
        <f>IF('Исходные данные'!$B$51="Да",-MAX(0,AN236-AO236-AM236),0)</f>
        <v>0</v>
      </c>
      <c r="AQ236">
        <f>IF('Исходные данные'!$B$51="Да",MAX(0,AM236+AO236-AN236),0)</f>
        <v>0</v>
      </c>
      <c r="AR236">
        <f>IF('Исходные данные'!$B$53="Выручка",MAX(0,L236+(Q236-R236)+(U236-V236)),IF('Исходные данные'!$B$53="Прибыль до налога",MAX(0,L236+(Q236-R236)+(U236-V236)+N('Исходные данные'!$B$54)*((O236+P236)+(S236+T236)+W236+X236)+IF('Исходные данные'!$B$55="Да",AG236,0)-N('Исходные данные'!$B$56)/12),IF('Исходные данные'!$B$53="Пользовательская база",MAX(0,N('Исходные данные'!$B$57)/12),0)))</f>
        <v>0</v>
      </c>
      <c r="AS236">
        <f>IF(E236=1,-AR236*N('Исходные данные'!$B$50),0)</f>
        <v>0</v>
      </c>
      <c r="AT236">
        <f t="shared" si="136"/>
        <v>0</v>
      </c>
      <c r="AU236">
        <f>IF(OR(B236="",N('Исходные данные'!$B$80)&lt;=0,'Исходные данные'!$B$88=""),0,MAX(0,IF('Исходные данные'!$B$88="Последние 12 месяцев",SUMIFS($Y$2:$Y$194,$B$2:$B$194,"&gt;="&amp;EDATE(B236,-11),$B$2:$B$194,"&lt;="&amp;B236),IF('Исходные данные'!$B$88="Пользовательский NOI",N('Исходные данные'!$B$89),AT236))/N('Исходные данные'!$B$80)*(1+N('Исходные данные'!$B$81))))</f>
        <v>0</v>
      </c>
      <c r="AV236">
        <f>IF(OR(E236&lt;&gt;1,B236="",'Исходные данные'!$B$91=""),0,IF(AND(YEAR(B236)=YEAR('Исходные данные'!$B$91),MONTH(B236)=MONTH('Исходные данные'!$B$91)),AU236,0))</f>
        <v>0</v>
      </c>
      <c r="AW236">
        <f>-AV236*N('Исходные данные'!$B$73)</f>
        <v>0</v>
      </c>
      <c r="AX236">
        <f>IF(AV236=0,0,-N('Исходные данные'!$B$87)-IF('Исходные данные'!$B$82="Да",IF('Исходные данные'!$B$84="С выручки",AV236,IF('Исходные данные'!$B$84="С прибыли",MAX(0,AV236+AW236-IF('Исходные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36">
        <f t="shared" si="150"/>
        <v>0</v>
      </c>
      <c r="AZ236">
        <f t="shared" si="137"/>
        <v>0</v>
      </c>
      <c r="BA236">
        <f t="shared" si="151"/>
        <v>0</v>
      </c>
      <c r="BB236" t="str">
        <f t="shared" si="138"/>
        <v/>
      </c>
      <c r="BC236">
        <f>IF(OR(E236=0,'Исходные данные'!$B$9="",'Исходные данные'!$B$90=""),0,BA236/(1+'Исходные данные'!$B$90)^((D236-'Исходные данные'!$B$9)/365))</f>
        <v>0</v>
      </c>
      <c r="BD236">
        <f>IF(AND(E236=1,BB236&gt;=0,BB235&lt;0,MIN($BB$2:BB236)&lt;0),1,0)</f>
        <v>0</v>
      </c>
      <c r="BE236">
        <f t="shared" si="139"/>
        <v>0</v>
      </c>
      <c r="BF236">
        <f t="shared" si="140"/>
        <v>0</v>
      </c>
      <c r="BG236">
        <f t="shared" si="141"/>
        <v>0</v>
      </c>
      <c r="BH236">
        <f t="shared" si="142"/>
        <v>1</v>
      </c>
      <c r="BI236">
        <f>AZ236+N236+AP236-AR236*N('Исходные данные'!$B$50)</f>
        <v>0</v>
      </c>
      <c r="BJ236">
        <f t="shared" si="143"/>
        <v>0</v>
      </c>
      <c r="BK236">
        <f>IF(AND(BJ236&gt;=0,BJ235&lt;0,MIN($BJ$2:BJ236)&lt;0),1,0)</f>
        <v>0</v>
      </c>
    </row>
    <row r="237" spans="1:63" x14ac:dyDescent="0.2">
      <c r="A237">
        <v>236</v>
      </c>
      <c r="B237" t="str">
        <f>IF('Исходные данные'!$B$9="","",EDATE(DATE(YEAR('Исходные данные'!$B$9),MONTH('Исходные данные'!$B$9),1),A237-1))</f>
        <v/>
      </c>
      <c r="C237" t="str">
        <f t="shared" si="144"/>
        <v/>
      </c>
      <c r="D237" t="str">
        <f>IF(B237="","",IF('Исходные данные'!$B$91&lt;&gt;"",IF(AND(YEAR(B237)=YEAR('Исходные данные'!$B$91),MONTH(B237)=MONTH('Исходные данные'!$B$91)),'Исходные данные'!$B$91,IF('Исходные данные'!$B$13&lt;&gt;"",IF(AND(YEAR(B237)=YEAR('Исходные данные'!$B$13),MONTH(B237)=MONTH('Исходные данные'!$B$13)),'Исходные данные'!$B$13,IF('Исходные данные'!$B$26&lt;&gt;"",IF(AND(YEAR(B237)=YEAR('Исходные данные'!$B$26),MONTH(B237)=MONTH('Исходные данные'!$B$26)),'Исходные данные'!$B$26,IF(A237=1,'Исходные данные'!$B$9,C237)),IF(A237=1,'Исходные данные'!$B$9,C237))),IF('Исходные данные'!$B$26&lt;&gt;"",IF(AND(YEAR(B237)=YEAR('Исходные данные'!$B$26),MONTH(B237)=MONTH('Исходные данные'!$B$26)),'Исходные данные'!$B$26,IF(A237=1,'Исходные данные'!$B$9,C237)),IF(A237=1,'Исходные данные'!$B$9,C237)))),IF('Исходные данные'!$B$13&lt;&gt;"",IF(AND(YEAR(B237)=YEAR('Исходные данные'!$B$13),MONTH(B237)=MONTH('Исходные данные'!$B$13)),'Исходные данные'!$B$13,IF('Исходные данные'!$B$26&lt;&gt;"",IF(AND(YEAR(B237)=YEAR('Исходные данные'!$B$26),MONTH(B237)=MONTH('Исходные данные'!$B$26)),'Исходные данные'!$B$26,IF(A237=1,'Исходные данные'!$B$9,C237)),IF(A237=1,'Исходные данные'!$B$9,C237))),IF('Исходные данные'!$B$26&lt;&gt;"",IF(AND(YEAR(B237)=YEAR('Исходные данные'!$B$26),MONTH(B237)=MONTH('Исходные данные'!$B$26)),'Исходные данные'!$B$26,IF(A237=1,'Исходные данные'!$B$9,C237)),IF(A237=1,'Исходные данные'!$B$9,C237)))))</f>
        <v/>
      </c>
      <c r="E237">
        <f>IF(OR(B237="",'Исходные данные'!$B$91=""),0,--(B237&lt;=DATE(YEAR('Исходные данные'!$B$91),MONTH('Исходные данные'!$B$91),1)))</f>
        <v>0</v>
      </c>
      <c r="F237">
        <f>IF(OR(B237="",'Исходные данные'!$B$30="",C237&lt;'Исходные данные'!$B$30),0,DATEDIF(DATE(YEAR('Исходные данные'!$B$30),MONTH('Исходные данные'!$B$30),1),B237,"m")+1)</f>
        <v>0</v>
      </c>
      <c r="G237">
        <f t="shared" si="145"/>
        <v>0</v>
      </c>
      <c r="H237">
        <f>IF(F237=0,0,IF(G237=1,N('Исходные данные'!$B$31),IF(G237=2,N('Исходные данные'!$B$32),IF(G237=3,N('Исходные данные'!$B$33),N('Исходные данные'!$B$33)*(1+N('Исходные данные'!$B$34))^(G237-3)))))</f>
        <v>0</v>
      </c>
      <c r="I237">
        <f>IF(OR(F237=0,N('Исходные данные'!$B$5)=0,H237=0),0,'Исходные данные'!$B$5*H237*IF(AND(B237&lt;='Исходные данные'!$B$30,C237&gt;='Исходные данные'!$B$30),(C237-'Исходные данные'!$B$30+1)/DAY(C237),1))</f>
        <v>0</v>
      </c>
      <c r="J237">
        <f>IF(AND(F237&gt;0,F237&lt;=N('Исходные данные'!$B$37)),-I237,0)</f>
        <v>0</v>
      </c>
      <c r="K237">
        <f>IF(OR(F237=0,F237&lt;=N('Исходные данные'!$B$37)),0,-(I237+J237)*N('Исходные данные'!$B$38))</f>
        <v>0</v>
      </c>
      <c r="L237">
        <f t="shared" si="146"/>
        <v>0</v>
      </c>
      <c r="M237">
        <f>IF('Исходные данные'!$B$51="Да",L237*N('Исходные данные'!$B$52),0)</f>
        <v>0</v>
      </c>
      <c r="N237">
        <f t="shared" si="147"/>
        <v>0</v>
      </c>
      <c r="O237">
        <f>IF(OR(B237="",IF('Исходные данные'!$B$45="",'Исходные данные'!$B$10,'Исходные данные'!$B$45)="",C237&lt;IF('Исходные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данные'!$B$45)),1),B237,"m")/12))*IF(AND(B237&lt;=IF('Исходные данные'!$B$45="",'Исходные данные'!$B$10,'Исходные данные'!$B$45),C237&gt;=IF('Исходные данные'!$B$45="",'Исходные данные'!$B$10,'Исходные данные'!$B$45)),(C237-IF('Исходные данные'!$B$45="",'Исходные данные'!$B$10,'Исходные данные'!$B$45)+1)/DAY(C237),1)*IF('Исходные данные'!$B$43="Без НДС",1+N('Исходные данные'!$B$44),1))</f>
        <v>0</v>
      </c>
      <c r="P237">
        <f>IF('Исходные данные'!$B$51="Да",-O237*N('Исходные данные'!$B$44)/(1+N('Исходные данные'!$B$44)),0)</f>
        <v>0</v>
      </c>
      <c r="Q237">
        <f>IF('Исходные данные'!$B$35="Да",-O237,0)</f>
        <v>0</v>
      </c>
      <c r="R237">
        <f>IF(AND('Исходные данные'!$B$51="Да",Q237&gt;0),Q237*N('Исходные данные'!$B$52)/(1+N('Исходные данные'!$B$52)),0)</f>
        <v>0</v>
      </c>
      <c r="S237">
        <f>IF(OR(B237="",IF('Исходные данные'!$B$45="",'Исходные данные'!$B$10,'Исходные данные'!$B$45)="",C237&lt;IF('Исходные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данные'!$B$45)),1),B237,"m")/12))*IF(AND(B237&lt;=IF('Исходные данные'!$B$45="",'Исходные данные'!$B$10,'Исходные данные'!$B$45),C237&gt;=IF('Исходные данные'!$B$45="",'Исходные данные'!$B$10,'Исходные данные'!$B$45)),(C237-IF('Исходные данные'!$B$45="",'Исходные данные'!$B$10,'Исходные данные'!$B$45)+1)/DAY(C237),1)*IF('Исходные данные'!$B$43="Без НДС",1+N('Исходные данные'!$B$44),1))</f>
        <v>0</v>
      </c>
      <c r="T237">
        <f>IF('Исходные данные'!$B$51="Да",-S237*N('Исходные данные'!$B$44)/(1+N('Исходные данные'!$B$44)),0)</f>
        <v>0</v>
      </c>
      <c r="U237">
        <f>IF('Исходные данные'!$B$36="Да",-S237,0)</f>
        <v>0</v>
      </c>
      <c r="V237">
        <f>IF(AND('Исходные данные'!$B$51="Да",U237&gt;0),U237*N('Исходные данные'!$B$52)/(1+N('Исходные данные'!$B$52)),0)</f>
        <v>0</v>
      </c>
      <c r="W237">
        <f>IF(OR(B237="",IF('Исходные данные'!$B$69="",'Исходные данные'!$B$10,'Исходные данные'!$B$69)="",C237&lt;IF('Исходные данные'!$B$69="",'Исходные данные'!$B$10,'Исходные данные'!$B$69)),0,-N('Исходные данные'!$B$16)*N('Исходные данные'!$B$68)*N('Исходные данные'!$B$67)/12*IF(AND(B237&lt;=IF('Исходные данные'!$B$69="",'Исходные данные'!$B$10,'Исходные данные'!$B$69),C237&gt;=IF('Исходные данные'!$B$69="",'Исходные данные'!$B$10,'Исходные данные'!$B$69)),(C237-IF('Исходные данные'!$B$69="",'Исходные данные'!$B$10,'Исходные данные'!$B$69)+1)/DAY(C237),1))</f>
        <v>0</v>
      </c>
      <c r="X237">
        <f>IF(OR(B237="",IF('Исходные данные'!$B$76="",'Исходные данные'!$B$10,'Исходные данные'!$B$76)="",C237&lt;IF('Исходные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данные'!$B$76)),1),B237,"m")/12))*IF(AND(B237&lt;=IF('Исходные данные'!$B$76="",'Исходные данные'!$B$10,'Исходные данные'!$B$76),C237&gt;=IF('Исходные данные'!$B$76="",'Исходные данные'!$B$10,'Исходные данные'!$B$76)),(C237-IF('Исходные данные'!$B$76="",'Исходные данные'!$B$10,'Исходные данные'!$B$76)+1)/DAY(C237),1))</f>
        <v>0</v>
      </c>
      <c r="Y237">
        <f t="shared" si="148"/>
        <v>0</v>
      </c>
      <c r="Z237">
        <f>IF(OR(B237="",N('Исходные данные'!$B$19)=0),0,-SUMIFS('Исходные данные'!$I$6:$I$186,'Исходные данные'!$F$6:$F$186,B237)*N('Исходные данные'!$B$17)/N('Исходные данные'!$B$19))</f>
        <v>0</v>
      </c>
      <c r="AA237">
        <f>IF(OR(B237="",N('Исходные данные'!$B$19)=0),0,-SUMIFS('Исходные данные'!$I$6:$I$186,'Исходные данные'!$F$6:$F$186,B237)*N('Исходные данные'!$B$18)/N('Исходные данные'!$B$19))</f>
        <v>0</v>
      </c>
      <c r="AB237">
        <f>IF(OR(B237="",'Исходные данные'!$B$13=""),0,IF(AND(YEAR(B237)=YEAR('Исходные данные'!$B$13),MONTH(B237)=MONTH('Исходные данные'!$B$13)),-N('Исходные данные'!$B$11),0))</f>
        <v>0</v>
      </c>
      <c r="AC237">
        <f>IF(A237=1,-N('Исходные данные'!$B$19)*N('Исходные данные'!$B$72),0)</f>
        <v>0</v>
      </c>
      <c r="AD237">
        <f>IF(OR(B237="",'Исходные данные'!$B$22&lt;&gt;"Да",'Исходные данные'!$B$26=""),0,IF(AND(YEAR(B237)=YEAR('Исходные данные'!$B$26),MONTH(B237)=MONTH('Исходные данные'!$B$26)),N('Исходные данные'!$B$23),0))</f>
        <v>0</v>
      </c>
      <c r="AE237">
        <f t="shared" si="131"/>
        <v>0</v>
      </c>
      <c r="AF237">
        <f>IF(OR('Исходные данные'!$B$22&lt;&gt;"Да",'Исходные данные'!$B$26="",C237&lt;'Исходные данные'!$B$26),0,DATEDIF(DATE(YEAR('Исходные данные'!$B$26),MONTH('Исходные данные'!$B$26),1),B237,"m")+1)</f>
        <v>0</v>
      </c>
      <c r="AG237">
        <f>IF(OR(AF237&lt;1,AF237&gt;N('Исходные данные'!$B$25),AE237+AD237&lt;=0),0,-(AE237+AD237)*N('Исходные данные'!$B$24)*IF(AF237=1,C237-'Исходные данные'!$B$26+1,DAY(C237))/365)</f>
        <v>0</v>
      </c>
      <c r="AH237">
        <f>IF(OR(AF237&lt;1,AF237&gt;N('Исходные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данные'!$B$25)-AG237))</f>
        <v>0</v>
      </c>
      <c r="AI237">
        <f>IF(OR('Исходные данные'!$B$22&lt;&gt;"Да",AE237+AD237&lt;=0),0,IF(AND('Исходные данные'!$B$91&lt;&gt;"",B237&lt;&gt;"",YEAR(B237)=YEAR('Исходные данные'!$B$91),MONTH(B237)=MONTH('Исходные данные'!$B$91)),-(AE237+AD237),IF(OR(AF237&lt;1,AF237&gt;N('Исходные данные'!$B$25)),0,IF('Исходные данные'!$B$27="Равными долями",-MIN(AE237+AD237,N('Исходные данные'!$B$23)/N('Исходные данные'!$B$25)),-MIN(AE237+AD237,IF(AF237=N('Исходные данные'!$B$25),AE237+AD237,MAX(0,AH237+AG237)))))))</f>
        <v>0</v>
      </c>
      <c r="AJ237">
        <f t="shared" si="149"/>
        <v>0</v>
      </c>
      <c r="AK237">
        <f t="shared" si="132"/>
        <v>0</v>
      </c>
      <c r="AL237">
        <f>IF(OR(B237="",'Исходные данные'!$B$51&lt;&gt;"Да",'Исходные данные'!$B$61=""),0,IF(AND(YEAR(B237)=YEAR('Исходные данные'!$B$61),MONTH(B237)=MONTH('Исходные данные'!$B$61)),N('Исходные данные'!$B$18)*N('Исходные данные'!$B$62),0))</f>
        <v>0</v>
      </c>
      <c r="AM237">
        <f t="shared" si="133"/>
        <v>0</v>
      </c>
      <c r="AN237">
        <f t="shared" si="134"/>
        <v>0</v>
      </c>
      <c r="AO237">
        <f t="shared" si="135"/>
        <v>0</v>
      </c>
      <c r="AP237">
        <f>IF('Исходные данные'!$B$51="Да",-MAX(0,AN237-AO237-AM237),0)</f>
        <v>0</v>
      </c>
      <c r="AQ237">
        <f>IF('Исходные данные'!$B$51="Да",MAX(0,AM237+AO237-AN237),0)</f>
        <v>0</v>
      </c>
      <c r="AR237">
        <f>IF('Исходные данные'!$B$53="Выручка",MAX(0,L237+(Q237-R237)+(U237-V237)),IF('Исходные данные'!$B$53="Прибыль до налога",MAX(0,L237+(Q237-R237)+(U237-V237)+N('Исходные данные'!$B$54)*((O237+P237)+(S237+T237)+W237+X237)+IF('Исходные данные'!$B$55="Да",AG237,0)-N('Исходные данные'!$B$56)/12),IF('Исходные данные'!$B$53="Пользовательская база",MAX(0,N('Исходные данные'!$B$57)/12),0)))</f>
        <v>0</v>
      </c>
      <c r="AS237">
        <f>IF(E237=1,-AR237*N('Исходные данные'!$B$50),0)</f>
        <v>0</v>
      </c>
      <c r="AT237">
        <f t="shared" si="136"/>
        <v>0</v>
      </c>
      <c r="AU237">
        <f>IF(OR(B237="",N('Исходные данные'!$B$80)&lt;=0,'Исходные данные'!$B$88=""),0,MAX(0,IF('Исходные данные'!$B$88="Последние 12 месяцев",SUMIFS($Y$2:$Y$194,$B$2:$B$194,"&gt;="&amp;EDATE(B237,-11),$B$2:$B$194,"&lt;="&amp;B237),IF('Исходные данные'!$B$88="Пользовательский NOI",N('Исходные данные'!$B$89),AT237))/N('Исходные данные'!$B$80)*(1+N('Исходные данные'!$B$81))))</f>
        <v>0</v>
      </c>
      <c r="AV237">
        <f>IF(OR(E237&lt;&gt;1,B237="",'Исходные данные'!$B$91=""),0,IF(AND(YEAR(B237)=YEAR('Исходные данные'!$B$91),MONTH(B237)=MONTH('Исходные данные'!$B$91)),AU237,0))</f>
        <v>0</v>
      </c>
      <c r="AW237">
        <f>-AV237*N('Исходные данные'!$B$73)</f>
        <v>0</v>
      </c>
      <c r="AX237">
        <f>IF(AV237=0,0,-N('Исходные данные'!$B$87)-IF('Исходные данные'!$B$82="Да",IF('Исходные данные'!$B$84="С выручки",AV237,IF('Исходные данные'!$B$84="С прибыли",MAX(0,AV237+AW237-IF('Исходные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37">
        <f t="shared" si="150"/>
        <v>0</v>
      </c>
      <c r="AZ237">
        <f t="shared" si="137"/>
        <v>0</v>
      </c>
      <c r="BA237">
        <f t="shared" si="151"/>
        <v>0</v>
      </c>
      <c r="BB237" t="str">
        <f t="shared" si="138"/>
        <v/>
      </c>
      <c r="BC237">
        <f>IF(OR(E237=0,'Исходные данные'!$B$9="",'Исходные данные'!$B$90=""),0,BA237/(1+'Исходные данные'!$B$90)^((D237-'Исходные данные'!$B$9)/365))</f>
        <v>0</v>
      </c>
      <c r="BD237">
        <f>IF(AND(E237=1,BB237&gt;=0,BB236&lt;0,MIN($BB$2:BB237)&lt;0),1,0)</f>
        <v>0</v>
      </c>
      <c r="BE237">
        <f t="shared" si="139"/>
        <v>0</v>
      </c>
      <c r="BF237">
        <f t="shared" si="140"/>
        <v>0</v>
      </c>
      <c r="BG237">
        <f t="shared" si="141"/>
        <v>0</v>
      </c>
      <c r="BH237">
        <f t="shared" si="142"/>
        <v>1</v>
      </c>
      <c r="BI237">
        <f>AZ237+N237+AP237-AR237*N('Исходные данные'!$B$50)</f>
        <v>0</v>
      </c>
      <c r="BJ237">
        <f t="shared" si="143"/>
        <v>0</v>
      </c>
      <c r="BK237">
        <f>IF(AND(BJ237&gt;=0,BJ236&lt;0,MIN($BJ$2:BJ237)&lt;0),1,0)</f>
        <v>0</v>
      </c>
    </row>
    <row r="238" spans="1:63" x14ac:dyDescent="0.2">
      <c r="A238">
        <v>237</v>
      </c>
      <c r="B238" t="str">
        <f>IF('Исходные данные'!$B$9="","",EDATE(DATE(YEAR('Исходные данные'!$B$9),MONTH('Исходные данные'!$B$9),1),A238-1))</f>
        <v/>
      </c>
      <c r="C238" t="str">
        <f t="shared" si="144"/>
        <v/>
      </c>
      <c r="D238" t="str">
        <f>IF(B238="","",IF('Исходные данные'!$B$91&lt;&gt;"",IF(AND(YEAR(B238)=YEAR('Исходные данные'!$B$91),MONTH(B238)=MONTH('Исходные данные'!$B$91)),'Исходные данные'!$B$91,IF('Исходные данные'!$B$13&lt;&gt;"",IF(AND(YEAR(B238)=YEAR('Исходные данные'!$B$13),MONTH(B238)=MONTH('Исходные данные'!$B$13)),'Исходные данные'!$B$13,IF('Исходные данные'!$B$26&lt;&gt;"",IF(AND(YEAR(B238)=YEAR('Исходные данные'!$B$26),MONTH(B238)=MONTH('Исходные данные'!$B$26)),'Исходные данные'!$B$26,IF(A238=1,'Исходные данные'!$B$9,C238)),IF(A238=1,'Исходные данные'!$B$9,C238))),IF('Исходные данные'!$B$26&lt;&gt;"",IF(AND(YEAR(B238)=YEAR('Исходные данные'!$B$26),MONTH(B238)=MONTH('Исходные данные'!$B$26)),'Исходные данные'!$B$26,IF(A238=1,'Исходные данные'!$B$9,C238)),IF(A238=1,'Исходные данные'!$B$9,C238)))),IF('Исходные данные'!$B$13&lt;&gt;"",IF(AND(YEAR(B238)=YEAR('Исходные данные'!$B$13),MONTH(B238)=MONTH('Исходные данные'!$B$13)),'Исходные данные'!$B$13,IF('Исходные данные'!$B$26&lt;&gt;"",IF(AND(YEAR(B238)=YEAR('Исходные данные'!$B$26),MONTH(B238)=MONTH('Исходные данные'!$B$26)),'Исходные данные'!$B$26,IF(A238=1,'Исходные данные'!$B$9,C238)),IF(A238=1,'Исходные данные'!$B$9,C238))),IF('Исходные данные'!$B$26&lt;&gt;"",IF(AND(YEAR(B238)=YEAR('Исходные данные'!$B$26),MONTH(B238)=MONTH('Исходные данные'!$B$26)),'Исходные данные'!$B$26,IF(A238=1,'Исходные данные'!$B$9,C238)),IF(A238=1,'Исходные данные'!$B$9,C238)))))</f>
        <v/>
      </c>
      <c r="E238">
        <f>IF(OR(B238="",'Исходные данные'!$B$91=""),0,--(B238&lt;=DATE(YEAR('Исходные данные'!$B$91),MONTH('Исходные данные'!$B$91),1)))</f>
        <v>0</v>
      </c>
      <c r="F238">
        <f>IF(OR(B238="",'Исходные данные'!$B$30="",C238&lt;'Исходные данные'!$B$30),0,DATEDIF(DATE(YEAR('Исходные данные'!$B$30),MONTH('Исходные данные'!$B$30),1),B238,"m")+1)</f>
        <v>0</v>
      </c>
      <c r="G238">
        <f t="shared" si="145"/>
        <v>0</v>
      </c>
      <c r="H238">
        <f>IF(F238=0,0,IF(G238=1,N('Исходные данные'!$B$31),IF(G238=2,N('Исходные данные'!$B$32),IF(G238=3,N('Исходные данные'!$B$33),N('Исходные данные'!$B$33)*(1+N('Исходные данные'!$B$34))^(G238-3)))))</f>
        <v>0</v>
      </c>
      <c r="I238">
        <f>IF(OR(F238=0,N('Исходные данные'!$B$5)=0,H238=0),0,'Исходные данные'!$B$5*H238*IF(AND(B238&lt;='Исходные данные'!$B$30,C238&gt;='Исходные данные'!$B$30),(C238-'Исходные данные'!$B$30+1)/DAY(C238),1))</f>
        <v>0</v>
      </c>
      <c r="J238">
        <f>IF(AND(F238&gt;0,F238&lt;=N('Исходные данные'!$B$37)),-I238,0)</f>
        <v>0</v>
      </c>
      <c r="K238">
        <f>IF(OR(F238=0,F238&lt;=N('Исходные данные'!$B$37)),0,-(I238+J238)*N('Исходные данные'!$B$38))</f>
        <v>0</v>
      </c>
      <c r="L238">
        <f t="shared" si="146"/>
        <v>0</v>
      </c>
      <c r="M238">
        <f>IF('Исходные данные'!$B$51="Да",L238*N('Исходные данные'!$B$52),0)</f>
        <v>0</v>
      </c>
      <c r="N238">
        <f t="shared" si="147"/>
        <v>0</v>
      </c>
      <c r="O238">
        <f>IF(OR(B238="",IF('Исходные данные'!$B$45="",'Исходные данные'!$B$10,'Исходные данные'!$B$45)="",C238&lt;IF('Исходные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данные'!$B$45)),1),B238,"m")/12))*IF(AND(B238&lt;=IF('Исходные данные'!$B$45="",'Исходные данные'!$B$10,'Исходные данные'!$B$45),C238&gt;=IF('Исходные данные'!$B$45="",'Исходные данные'!$B$10,'Исходные данные'!$B$45)),(C238-IF('Исходные данные'!$B$45="",'Исходные данные'!$B$10,'Исходные данные'!$B$45)+1)/DAY(C238),1)*IF('Исходные данные'!$B$43="Без НДС",1+N('Исходные данные'!$B$44),1))</f>
        <v>0</v>
      </c>
      <c r="P238">
        <f>IF('Исходные данные'!$B$51="Да",-O238*N('Исходные данные'!$B$44)/(1+N('Исходные данные'!$B$44)),0)</f>
        <v>0</v>
      </c>
      <c r="Q238">
        <f>IF('Исходные данные'!$B$35="Да",-O238,0)</f>
        <v>0</v>
      </c>
      <c r="R238">
        <f>IF(AND('Исходные данные'!$B$51="Да",Q238&gt;0),Q238*N('Исходные данные'!$B$52)/(1+N('Исходные данные'!$B$52)),0)</f>
        <v>0</v>
      </c>
      <c r="S238">
        <f>IF(OR(B238="",IF('Исходные данные'!$B$45="",'Исходные данные'!$B$10,'Исходные данные'!$B$45)="",C238&lt;IF('Исходные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данные'!$B$45)),1),B238,"m")/12))*IF(AND(B238&lt;=IF('Исходные данные'!$B$45="",'Исходные данные'!$B$10,'Исходные данные'!$B$45),C238&gt;=IF('Исходные данные'!$B$45="",'Исходные данные'!$B$10,'Исходные данные'!$B$45)),(C238-IF('Исходные данные'!$B$45="",'Исходные данные'!$B$10,'Исходные данные'!$B$45)+1)/DAY(C238),1)*IF('Исходные данные'!$B$43="Без НДС",1+N('Исходные данные'!$B$44),1))</f>
        <v>0</v>
      </c>
      <c r="T238">
        <f>IF('Исходные данные'!$B$51="Да",-S238*N('Исходные данные'!$B$44)/(1+N('Исходные данные'!$B$44)),0)</f>
        <v>0</v>
      </c>
      <c r="U238">
        <f>IF('Исходные данные'!$B$36="Да",-S238,0)</f>
        <v>0</v>
      </c>
      <c r="V238">
        <f>IF(AND('Исходные данные'!$B$51="Да",U238&gt;0),U238*N('Исходные данные'!$B$52)/(1+N('Исходные данные'!$B$52)),0)</f>
        <v>0</v>
      </c>
      <c r="W238">
        <f>IF(OR(B238="",IF('Исходные данные'!$B$69="",'Исходные данные'!$B$10,'Исходные данные'!$B$69)="",C238&lt;IF('Исходные данные'!$B$69="",'Исходные данные'!$B$10,'Исходные данные'!$B$69)),0,-N('Исходные данные'!$B$16)*N('Исходные данные'!$B$68)*N('Исходные данные'!$B$67)/12*IF(AND(B238&lt;=IF('Исходные данные'!$B$69="",'Исходные данные'!$B$10,'Исходные данные'!$B$69),C238&gt;=IF('Исходные данные'!$B$69="",'Исходные данные'!$B$10,'Исходные данные'!$B$69)),(C238-IF('Исходные данные'!$B$69="",'Исходные данные'!$B$10,'Исходные данные'!$B$69)+1)/DAY(C238),1))</f>
        <v>0</v>
      </c>
      <c r="X238">
        <f>IF(OR(B238="",IF('Исходные данные'!$B$76="",'Исходные данные'!$B$10,'Исходные данные'!$B$76)="",C238&lt;IF('Исходные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данные'!$B$76)),1),B238,"m")/12))*IF(AND(B238&lt;=IF('Исходные данные'!$B$76="",'Исходные данные'!$B$10,'Исходные данные'!$B$76),C238&gt;=IF('Исходные данные'!$B$76="",'Исходные данные'!$B$10,'Исходные данные'!$B$76)),(C238-IF('Исходные данные'!$B$76="",'Исходные данные'!$B$10,'Исходные данные'!$B$76)+1)/DAY(C238),1))</f>
        <v>0</v>
      </c>
      <c r="Y238">
        <f t="shared" si="148"/>
        <v>0</v>
      </c>
      <c r="Z238">
        <f>IF(OR(B238="",N('Исходные данные'!$B$19)=0),0,-SUMIFS('Исходные данные'!$I$6:$I$186,'Исходные данные'!$F$6:$F$186,B238)*N('Исходные данные'!$B$17)/N('Исходные данные'!$B$19))</f>
        <v>0</v>
      </c>
      <c r="AA238">
        <f>IF(OR(B238="",N('Исходные данные'!$B$19)=0),0,-SUMIFS('Исходные данные'!$I$6:$I$186,'Исходные данные'!$F$6:$F$186,B238)*N('Исходные данные'!$B$18)/N('Исходные данные'!$B$19))</f>
        <v>0</v>
      </c>
      <c r="AB238">
        <f>IF(OR(B238="",'Исходные данные'!$B$13=""),0,IF(AND(YEAR(B238)=YEAR('Исходные данные'!$B$13),MONTH(B238)=MONTH('Исходные данные'!$B$13)),-N('Исходные данные'!$B$11),0))</f>
        <v>0</v>
      </c>
      <c r="AC238">
        <f>IF(A238=1,-N('Исходные данные'!$B$19)*N('Исходные данные'!$B$72),0)</f>
        <v>0</v>
      </c>
      <c r="AD238">
        <f>IF(OR(B238="",'Исходные данные'!$B$22&lt;&gt;"Да",'Исходные данные'!$B$26=""),0,IF(AND(YEAR(B238)=YEAR('Исходные данные'!$B$26),MONTH(B238)=MONTH('Исходные данные'!$B$26)),N('Исходные данные'!$B$23),0))</f>
        <v>0</v>
      </c>
      <c r="AE238">
        <f t="shared" si="131"/>
        <v>0</v>
      </c>
      <c r="AF238">
        <f>IF(OR('Исходные данные'!$B$22&lt;&gt;"Да",'Исходные данные'!$B$26="",C238&lt;'Исходные данные'!$B$26),0,DATEDIF(DATE(YEAR('Исходные данные'!$B$26),MONTH('Исходные данные'!$B$26),1),B238,"m")+1)</f>
        <v>0</v>
      </c>
      <c r="AG238">
        <f>IF(OR(AF238&lt;1,AF238&gt;N('Исходные данные'!$B$25),AE238+AD238&lt;=0),0,-(AE238+AD238)*N('Исходные данные'!$B$24)*IF(AF238=1,C238-'Исходные данные'!$B$26+1,DAY(C238))/365)</f>
        <v>0</v>
      </c>
      <c r="AH238">
        <f>IF(OR(AF238&lt;1,AF238&gt;N('Исходные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данные'!$B$25)-AG238))</f>
        <v>0</v>
      </c>
      <c r="AI238">
        <f>IF(OR('Исходные данные'!$B$22&lt;&gt;"Да",AE238+AD238&lt;=0),0,IF(AND('Исходные данные'!$B$91&lt;&gt;"",B238&lt;&gt;"",YEAR(B238)=YEAR('Исходные данные'!$B$91),MONTH(B238)=MONTH('Исходные данные'!$B$91)),-(AE238+AD238),IF(OR(AF238&lt;1,AF238&gt;N('Исходные данные'!$B$25)),0,IF('Исходные данные'!$B$27="Равными долями",-MIN(AE238+AD238,N('Исходные данные'!$B$23)/N('Исходные данные'!$B$25)),-MIN(AE238+AD238,IF(AF238=N('Исходные данные'!$B$25),AE238+AD238,MAX(0,AH238+AG238)))))))</f>
        <v>0</v>
      </c>
      <c r="AJ238">
        <f t="shared" si="149"/>
        <v>0</v>
      </c>
      <c r="AK238">
        <f t="shared" si="132"/>
        <v>0</v>
      </c>
      <c r="AL238">
        <f>IF(OR(B238="",'Исходные данные'!$B$51&lt;&gt;"Да",'Исходные данные'!$B$61=""),0,IF(AND(YEAR(B238)=YEAR('Исходные данные'!$B$61),MONTH(B238)=MONTH('Исходные данные'!$B$61)),N('Исходные данные'!$B$18)*N('Исходные данные'!$B$62),0))</f>
        <v>0</v>
      </c>
      <c r="AM238">
        <f t="shared" si="133"/>
        <v>0</v>
      </c>
      <c r="AN238">
        <f t="shared" si="134"/>
        <v>0</v>
      </c>
      <c r="AO238">
        <f t="shared" si="135"/>
        <v>0</v>
      </c>
      <c r="AP238">
        <f>IF('Исходные данные'!$B$51="Да",-MAX(0,AN238-AO238-AM238),0)</f>
        <v>0</v>
      </c>
      <c r="AQ238">
        <f>IF('Исходные данные'!$B$51="Да",MAX(0,AM238+AO238-AN238),0)</f>
        <v>0</v>
      </c>
      <c r="AR238">
        <f>IF('Исходные данные'!$B$53="Выручка",MAX(0,L238+(Q238-R238)+(U238-V238)),IF('Исходные данные'!$B$53="Прибыль до налога",MAX(0,L238+(Q238-R238)+(U238-V238)+N('Исходные данные'!$B$54)*((O238+P238)+(S238+T238)+W238+X238)+IF('Исходные данные'!$B$55="Да",AG238,0)-N('Исходные данные'!$B$56)/12),IF('Исходные данные'!$B$53="Пользовательская база",MAX(0,N('Исходные данные'!$B$57)/12),0)))</f>
        <v>0</v>
      </c>
      <c r="AS238">
        <f>IF(E238=1,-AR238*N('Исходные данные'!$B$50),0)</f>
        <v>0</v>
      </c>
      <c r="AT238">
        <f t="shared" si="136"/>
        <v>0</v>
      </c>
      <c r="AU238">
        <f>IF(OR(B238="",N('Исходные данные'!$B$80)&lt;=0,'Исходные данные'!$B$88=""),0,MAX(0,IF('Исходные данные'!$B$88="Последние 12 месяцев",SUMIFS($Y$2:$Y$194,$B$2:$B$194,"&gt;="&amp;EDATE(B238,-11),$B$2:$B$194,"&lt;="&amp;B238),IF('Исходные данные'!$B$88="Пользовательский NOI",N('Исходные данные'!$B$89),AT238))/N('Исходные данные'!$B$80)*(1+N('Исходные данные'!$B$81))))</f>
        <v>0</v>
      </c>
      <c r="AV238">
        <f>IF(OR(E238&lt;&gt;1,B238="",'Исходные данные'!$B$91=""),0,IF(AND(YEAR(B238)=YEAR('Исходные данные'!$B$91),MONTH(B238)=MONTH('Исходные данные'!$B$91)),AU238,0))</f>
        <v>0</v>
      </c>
      <c r="AW238">
        <f>-AV238*N('Исходные данные'!$B$73)</f>
        <v>0</v>
      </c>
      <c r="AX238">
        <f>IF(AV238=0,0,-N('Исходные данные'!$B$87)-IF('Исходные данные'!$B$82="Да",IF('Исходные данные'!$B$84="С выручки",AV238,IF('Исходные данные'!$B$84="С прибыли",MAX(0,AV238+AW238-IF('Исходные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38">
        <f t="shared" si="150"/>
        <v>0</v>
      </c>
      <c r="AZ238">
        <f t="shared" si="137"/>
        <v>0</v>
      </c>
      <c r="BA238">
        <f t="shared" si="151"/>
        <v>0</v>
      </c>
      <c r="BB238" t="str">
        <f t="shared" si="138"/>
        <v/>
      </c>
      <c r="BC238">
        <f>IF(OR(E238=0,'Исходные данные'!$B$9="",'Исходные данные'!$B$90=""),0,BA238/(1+'Исходные данные'!$B$90)^((D238-'Исходные данные'!$B$9)/365))</f>
        <v>0</v>
      </c>
      <c r="BD238">
        <f>IF(AND(E238=1,BB238&gt;=0,BB237&lt;0,MIN($BB$2:BB238)&lt;0),1,0)</f>
        <v>0</v>
      </c>
      <c r="BE238">
        <f t="shared" si="139"/>
        <v>0</v>
      </c>
      <c r="BF238">
        <f t="shared" si="140"/>
        <v>0</v>
      </c>
      <c r="BG238">
        <f t="shared" si="141"/>
        <v>0</v>
      </c>
      <c r="BH238">
        <f t="shared" si="142"/>
        <v>1</v>
      </c>
      <c r="BI238">
        <f>AZ238+N238+AP238-AR238*N('Исходные данные'!$B$50)</f>
        <v>0</v>
      </c>
      <c r="BJ238">
        <f t="shared" si="143"/>
        <v>0</v>
      </c>
      <c r="BK238">
        <f>IF(AND(BJ238&gt;=0,BJ237&lt;0,MIN($BJ$2:BJ238)&lt;0),1,0)</f>
        <v>0</v>
      </c>
    </row>
    <row r="239" spans="1:63" x14ac:dyDescent="0.2">
      <c r="A239">
        <v>238</v>
      </c>
      <c r="B239" t="str">
        <f>IF('Исходные данные'!$B$9="","",EDATE(DATE(YEAR('Исходные данные'!$B$9),MONTH('Исходные данные'!$B$9),1),A239-1))</f>
        <v/>
      </c>
      <c r="C239" t="str">
        <f t="shared" si="144"/>
        <v/>
      </c>
      <c r="D239" t="str">
        <f>IF(B239="","",IF('Исходные данные'!$B$91&lt;&gt;"",IF(AND(YEAR(B239)=YEAR('Исходные данные'!$B$91),MONTH(B239)=MONTH('Исходные данные'!$B$91)),'Исходные данные'!$B$91,IF('Исходные данные'!$B$13&lt;&gt;"",IF(AND(YEAR(B239)=YEAR('Исходные данные'!$B$13),MONTH(B239)=MONTH('Исходные данные'!$B$13)),'Исходные данные'!$B$13,IF('Исходные данные'!$B$26&lt;&gt;"",IF(AND(YEAR(B239)=YEAR('Исходные данные'!$B$26),MONTH(B239)=MONTH('Исходные данные'!$B$26)),'Исходные данные'!$B$26,IF(A239=1,'Исходные данные'!$B$9,C239)),IF(A239=1,'Исходные данные'!$B$9,C239))),IF('Исходные данные'!$B$26&lt;&gt;"",IF(AND(YEAR(B239)=YEAR('Исходные данные'!$B$26),MONTH(B239)=MONTH('Исходные данные'!$B$26)),'Исходные данные'!$B$26,IF(A239=1,'Исходные данные'!$B$9,C239)),IF(A239=1,'Исходные данные'!$B$9,C239)))),IF('Исходные данные'!$B$13&lt;&gt;"",IF(AND(YEAR(B239)=YEAR('Исходные данные'!$B$13),MONTH(B239)=MONTH('Исходные данные'!$B$13)),'Исходные данные'!$B$13,IF('Исходные данные'!$B$26&lt;&gt;"",IF(AND(YEAR(B239)=YEAR('Исходные данные'!$B$26),MONTH(B239)=MONTH('Исходные данные'!$B$26)),'Исходные данные'!$B$26,IF(A239=1,'Исходные данные'!$B$9,C239)),IF(A239=1,'Исходные данные'!$B$9,C239))),IF('Исходные данные'!$B$26&lt;&gt;"",IF(AND(YEAR(B239)=YEAR('Исходные данные'!$B$26),MONTH(B239)=MONTH('Исходные данные'!$B$26)),'Исходные данные'!$B$26,IF(A239=1,'Исходные данные'!$B$9,C239)),IF(A239=1,'Исходные данные'!$B$9,C239)))))</f>
        <v/>
      </c>
      <c r="E239">
        <f>IF(OR(B239="",'Исходные данные'!$B$91=""),0,--(B239&lt;=DATE(YEAR('Исходные данные'!$B$91),MONTH('Исходные данные'!$B$91),1)))</f>
        <v>0</v>
      </c>
      <c r="F239">
        <f>IF(OR(B239="",'Исходные данные'!$B$30="",C239&lt;'Исходные данные'!$B$30),0,DATEDIF(DATE(YEAR('Исходные данные'!$B$30),MONTH('Исходные данные'!$B$30),1),B239,"m")+1)</f>
        <v>0</v>
      </c>
      <c r="G239">
        <f t="shared" si="145"/>
        <v>0</v>
      </c>
      <c r="H239">
        <f>IF(F239=0,0,IF(G239=1,N('Исходные данные'!$B$31),IF(G239=2,N('Исходные данные'!$B$32),IF(G239=3,N('Исходные данные'!$B$33),N('Исходные данные'!$B$33)*(1+N('Исходные данные'!$B$34))^(G239-3)))))</f>
        <v>0</v>
      </c>
      <c r="I239">
        <f>IF(OR(F239=0,N('Исходные данные'!$B$5)=0,H239=0),0,'Исходные данные'!$B$5*H239*IF(AND(B239&lt;='Исходные данные'!$B$30,C239&gt;='Исходные данные'!$B$30),(C239-'Исходные данные'!$B$30+1)/DAY(C239),1))</f>
        <v>0</v>
      </c>
      <c r="J239">
        <f>IF(AND(F239&gt;0,F239&lt;=N('Исходные данные'!$B$37)),-I239,0)</f>
        <v>0</v>
      </c>
      <c r="K239">
        <f>IF(OR(F239=0,F239&lt;=N('Исходные данные'!$B$37)),0,-(I239+J239)*N('Исходные данные'!$B$38))</f>
        <v>0</v>
      </c>
      <c r="L239">
        <f t="shared" si="146"/>
        <v>0</v>
      </c>
      <c r="M239">
        <f>IF('Исходные данные'!$B$51="Да",L239*N('Исходные данные'!$B$52),0)</f>
        <v>0</v>
      </c>
      <c r="N239">
        <f t="shared" si="147"/>
        <v>0</v>
      </c>
      <c r="O239">
        <f>IF(OR(B239="",IF('Исходные данные'!$B$45="",'Исходные данные'!$B$10,'Исходные данные'!$B$45)="",C239&lt;IF('Исходные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данные'!$B$45)),1),B239,"m")/12))*IF(AND(B239&lt;=IF('Исходные данные'!$B$45="",'Исходные данные'!$B$10,'Исходные данные'!$B$45),C239&gt;=IF('Исходные данные'!$B$45="",'Исходные данные'!$B$10,'Исходные данные'!$B$45)),(C239-IF('Исходные данные'!$B$45="",'Исходные данные'!$B$10,'Исходные данные'!$B$45)+1)/DAY(C239),1)*IF('Исходные данные'!$B$43="Без НДС",1+N('Исходные данные'!$B$44),1))</f>
        <v>0</v>
      </c>
      <c r="P239">
        <f>IF('Исходные данные'!$B$51="Да",-O239*N('Исходные данные'!$B$44)/(1+N('Исходные данные'!$B$44)),0)</f>
        <v>0</v>
      </c>
      <c r="Q239">
        <f>IF('Исходные данные'!$B$35="Да",-O239,0)</f>
        <v>0</v>
      </c>
      <c r="R239">
        <f>IF(AND('Исходные данные'!$B$51="Да",Q239&gt;0),Q239*N('Исходные данные'!$B$52)/(1+N('Исходные данные'!$B$52)),0)</f>
        <v>0</v>
      </c>
      <c r="S239">
        <f>IF(OR(B239="",IF('Исходные данные'!$B$45="",'Исходные данные'!$B$10,'Исходные данные'!$B$45)="",C239&lt;IF('Исходные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данные'!$B$45)),1),B239,"m")/12))*IF(AND(B239&lt;=IF('Исходные данные'!$B$45="",'Исходные данные'!$B$10,'Исходные данные'!$B$45),C239&gt;=IF('Исходные данные'!$B$45="",'Исходные данные'!$B$10,'Исходные данные'!$B$45)),(C239-IF('Исходные данные'!$B$45="",'Исходные данные'!$B$10,'Исходные данные'!$B$45)+1)/DAY(C239),1)*IF('Исходные данные'!$B$43="Без НДС",1+N('Исходные данные'!$B$44),1))</f>
        <v>0</v>
      </c>
      <c r="T239">
        <f>IF('Исходные данные'!$B$51="Да",-S239*N('Исходные данные'!$B$44)/(1+N('Исходные данные'!$B$44)),0)</f>
        <v>0</v>
      </c>
      <c r="U239">
        <f>IF('Исходные данные'!$B$36="Да",-S239,0)</f>
        <v>0</v>
      </c>
      <c r="V239">
        <f>IF(AND('Исходные данные'!$B$51="Да",U239&gt;0),U239*N('Исходные данные'!$B$52)/(1+N('Исходные данные'!$B$52)),0)</f>
        <v>0</v>
      </c>
      <c r="W239">
        <f>IF(OR(B239="",IF('Исходные данные'!$B$69="",'Исходные данные'!$B$10,'Исходные данные'!$B$69)="",C239&lt;IF('Исходные данные'!$B$69="",'Исходные данные'!$B$10,'Исходные данные'!$B$69)),0,-N('Исходные данные'!$B$16)*N('Исходные данные'!$B$68)*N('Исходные данные'!$B$67)/12*IF(AND(B239&lt;=IF('Исходные данные'!$B$69="",'Исходные данные'!$B$10,'Исходные данные'!$B$69),C239&gt;=IF('Исходные данные'!$B$69="",'Исходные данные'!$B$10,'Исходные данные'!$B$69)),(C239-IF('Исходные данные'!$B$69="",'Исходные данные'!$B$10,'Исходные данные'!$B$69)+1)/DAY(C239),1))</f>
        <v>0</v>
      </c>
      <c r="X239">
        <f>IF(OR(B239="",IF('Исходные данные'!$B$76="",'Исходные данные'!$B$10,'Исходные данные'!$B$76)="",C239&lt;IF('Исходные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данные'!$B$76)),1),B239,"m")/12))*IF(AND(B239&lt;=IF('Исходные данные'!$B$76="",'Исходные данные'!$B$10,'Исходные данные'!$B$76),C239&gt;=IF('Исходные данные'!$B$76="",'Исходные данные'!$B$10,'Исходные данные'!$B$76)),(C239-IF('Исходные данные'!$B$76="",'Исходные данные'!$B$10,'Исходные данные'!$B$76)+1)/DAY(C239),1))</f>
        <v>0</v>
      </c>
      <c r="Y239">
        <f t="shared" si="148"/>
        <v>0</v>
      </c>
      <c r="Z239">
        <f>IF(OR(B239="",N('Исходные данные'!$B$19)=0),0,-SUMIFS('Исходные данные'!$I$6:$I$186,'Исходные данные'!$F$6:$F$186,B239)*N('Исходные данные'!$B$17)/N('Исходные данные'!$B$19))</f>
        <v>0</v>
      </c>
      <c r="AA239">
        <f>IF(OR(B239="",N('Исходные данные'!$B$19)=0),0,-SUMIFS('Исходные данные'!$I$6:$I$186,'Исходные данные'!$F$6:$F$186,B239)*N('Исходные данные'!$B$18)/N('Исходные данные'!$B$19))</f>
        <v>0</v>
      </c>
      <c r="AB239">
        <f>IF(OR(B239="",'Исходные данные'!$B$13=""),0,IF(AND(YEAR(B239)=YEAR('Исходные данные'!$B$13),MONTH(B239)=MONTH('Исходные данные'!$B$13)),-N('Исходные данные'!$B$11),0))</f>
        <v>0</v>
      </c>
      <c r="AC239">
        <f>IF(A239=1,-N('Исходные данные'!$B$19)*N('Исходные данные'!$B$72),0)</f>
        <v>0</v>
      </c>
      <c r="AD239">
        <f>IF(OR(B239="",'Исходные данные'!$B$22&lt;&gt;"Да",'Исходные данные'!$B$26=""),0,IF(AND(YEAR(B239)=YEAR('Исходные данные'!$B$26),MONTH(B239)=MONTH('Исходные данные'!$B$26)),N('Исходные данные'!$B$23),0))</f>
        <v>0</v>
      </c>
      <c r="AE239">
        <f t="shared" si="131"/>
        <v>0</v>
      </c>
      <c r="AF239">
        <f>IF(OR('Исходные данные'!$B$22&lt;&gt;"Да",'Исходные данные'!$B$26="",C239&lt;'Исходные данные'!$B$26),0,DATEDIF(DATE(YEAR('Исходные данные'!$B$26),MONTH('Исходные данные'!$B$26),1),B239,"m")+1)</f>
        <v>0</v>
      </c>
      <c r="AG239">
        <f>IF(OR(AF239&lt;1,AF239&gt;N('Исходные данные'!$B$25),AE239+AD239&lt;=0),0,-(AE239+AD239)*N('Исходные данные'!$B$24)*IF(AF239=1,C239-'Исходные данные'!$B$26+1,DAY(C239))/365)</f>
        <v>0</v>
      </c>
      <c r="AH239">
        <f>IF(OR(AF239&lt;1,AF239&gt;N('Исходные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данные'!$B$25)-AG239))</f>
        <v>0</v>
      </c>
      <c r="AI239">
        <f>IF(OR('Исходные данные'!$B$22&lt;&gt;"Да",AE239+AD239&lt;=0),0,IF(AND('Исходные данные'!$B$91&lt;&gt;"",B239&lt;&gt;"",YEAR(B239)=YEAR('Исходные данные'!$B$91),MONTH(B239)=MONTH('Исходные данные'!$B$91)),-(AE239+AD239),IF(OR(AF239&lt;1,AF239&gt;N('Исходные данные'!$B$25)),0,IF('Исходные данные'!$B$27="Равными долями",-MIN(AE239+AD239,N('Исходные данные'!$B$23)/N('Исходные данные'!$B$25)),-MIN(AE239+AD239,IF(AF239=N('Исходные данные'!$B$25),AE239+AD239,MAX(0,AH239+AG239)))))))</f>
        <v>0</v>
      </c>
      <c r="AJ239">
        <f t="shared" si="149"/>
        <v>0</v>
      </c>
      <c r="AK239">
        <f t="shared" si="132"/>
        <v>0</v>
      </c>
      <c r="AL239">
        <f>IF(OR(B239="",'Исходные данные'!$B$51&lt;&gt;"Да",'Исходные данные'!$B$61=""),0,IF(AND(YEAR(B239)=YEAR('Исходные данные'!$B$61),MONTH(B239)=MONTH('Исходные данные'!$B$61)),N('Исходные данные'!$B$18)*N('Исходные данные'!$B$62),0))</f>
        <v>0</v>
      </c>
      <c r="AM239">
        <f t="shared" si="133"/>
        <v>0</v>
      </c>
      <c r="AN239">
        <f t="shared" si="134"/>
        <v>0</v>
      </c>
      <c r="AO239">
        <f t="shared" si="135"/>
        <v>0</v>
      </c>
      <c r="AP239">
        <f>IF('Исходные данные'!$B$51="Да",-MAX(0,AN239-AO239-AM239),0)</f>
        <v>0</v>
      </c>
      <c r="AQ239">
        <f>IF('Исходные данные'!$B$51="Да",MAX(0,AM239+AO239-AN239),0)</f>
        <v>0</v>
      </c>
      <c r="AR239">
        <f>IF('Исходные данные'!$B$53="Выручка",MAX(0,L239+(Q239-R239)+(U239-V239)),IF('Исходные данные'!$B$53="Прибыль до налога",MAX(0,L239+(Q239-R239)+(U239-V239)+N('Исходные данные'!$B$54)*((O239+P239)+(S239+T239)+W239+X239)+IF('Исходные данные'!$B$55="Да",AG239,0)-N('Исходные данные'!$B$56)/12),IF('Исходные данные'!$B$53="Пользовательская база",MAX(0,N('Исходные данные'!$B$57)/12),0)))</f>
        <v>0</v>
      </c>
      <c r="AS239">
        <f>IF(E239=1,-AR239*N('Исходные данные'!$B$50),0)</f>
        <v>0</v>
      </c>
      <c r="AT239">
        <f t="shared" si="136"/>
        <v>0</v>
      </c>
      <c r="AU239">
        <f>IF(OR(B239="",N('Исходные данные'!$B$80)&lt;=0,'Исходные данные'!$B$88=""),0,MAX(0,IF('Исходные данные'!$B$88="Последние 12 месяцев",SUMIFS($Y$2:$Y$194,$B$2:$B$194,"&gt;="&amp;EDATE(B239,-11),$B$2:$B$194,"&lt;="&amp;B239),IF('Исходные данные'!$B$88="Пользовательский NOI",N('Исходные данные'!$B$89),AT239))/N('Исходные данные'!$B$80)*(1+N('Исходные данные'!$B$81))))</f>
        <v>0</v>
      </c>
      <c r="AV239">
        <f>IF(OR(E239&lt;&gt;1,B239="",'Исходные данные'!$B$91=""),0,IF(AND(YEAR(B239)=YEAR('Исходные данные'!$B$91),MONTH(B239)=MONTH('Исходные данные'!$B$91)),AU239,0))</f>
        <v>0</v>
      </c>
      <c r="AW239">
        <f>-AV239*N('Исходные данные'!$B$73)</f>
        <v>0</v>
      </c>
      <c r="AX239">
        <f>IF(AV239=0,0,-N('Исходные данные'!$B$87)-IF('Исходные данные'!$B$82="Да",IF('Исходные данные'!$B$84="С выручки",AV239,IF('Исходные данные'!$B$84="С прибыли",MAX(0,AV239+AW239-IF('Исходные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39">
        <f t="shared" si="150"/>
        <v>0</v>
      </c>
      <c r="AZ239">
        <f t="shared" si="137"/>
        <v>0</v>
      </c>
      <c r="BA239">
        <f t="shared" si="151"/>
        <v>0</v>
      </c>
      <c r="BB239" t="str">
        <f t="shared" si="138"/>
        <v/>
      </c>
      <c r="BC239">
        <f>IF(OR(E239=0,'Исходные данные'!$B$9="",'Исходные данные'!$B$90=""),0,BA239/(1+'Исходные данные'!$B$90)^((D239-'Исходные данные'!$B$9)/365))</f>
        <v>0</v>
      </c>
      <c r="BD239">
        <f>IF(AND(E239=1,BB239&gt;=0,BB238&lt;0,MIN($BB$2:BB239)&lt;0),1,0)</f>
        <v>0</v>
      </c>
      <c r="BE239">
        <f t="shared" si="139"/>
        <v>0</v>
      </c>
      <c r="BF239">
        <f t="shared" si="140"/>
        <v>0</v>
      </c>
      <c r="BG239">
        <f t="shared" si="141"/>
        <v>0</v>
      </c>
      <c r="BH239">
        <f t="shared" si="142"/>
        <v>1</v>
      </c>
      <c r="BI239">
        <f>AZ239+N239+AP239-AR239*N('Исходные данные'!$B$50)</f>
        <v>0</v>
      </c>
      <c r="BJ239">
        <f t="shared" si="143"/>
        <v>0</v>
      </c>
      <c r="BK239">
        <f>IF(AND(BJ239&gt;=0,BJ238&lt;0,MIN($BJ$2:BJ239)&lt;0),1,0)</f>
        <v>0</v>
      </c>
    </row>
    <row r="240" spans="1:63" x14ac:dyDescent="0.2">
      <c r="A240">
        <v>239</v>
      </c>
      <c r="B240" t="str">
        <f>IF('Исходные данные'!$B$9="","",EDATE(DATE(YEAR('Исходные данные'!$B$9),MONTH('Исходные данные'!$B$9),1),A240-1))</f>
        <v/>
      </c>
      <c r="C240" t="str">
        <f t="shared" si="144"/>
        <v/>
      </c>
      <c r="D240" t="str">
        <f>IF(B240="","",IF('Исходные данные'!$B$91&lt;&gt;"",IF(AND(YEAR(B240)=YEAR('Исходные данные'!$B$91),MONTH(B240)=MONTH('Исходные данные'!$B$91)),'Исходные данные'!$B$91,IF('Исходные данные'!$B$13&lt;&gt;"",IF(AND(YEAR(B240)=YEAR('Исходные данные'!$B$13),MONTH(B240)=MONTH('Исходные данные'!$B$13)),'Исходные данные'!$B$13,IF('Исходные данные'!$B$26&lt;&gt;"",IF(AND(YEAR(B240)=YEAR('Исходные данные'!$B$26),MONTH(B240)=MONTH('Исходные данные'!$B$26)),'Исходные данные'!$B$26,IF(A240=1,'Исходные данные'!$B$9,C240)),IF(A240=1,'Исходные данные'!$B$9,C240))),IF('Исходные данные'!$B$26&lt;&gt;"",IF(AND(YEAR(B240)=YEAR('Исходные данные'!$B$26),MONTH(B240)=MONTH('Исходные данные'!$B$26)),'Исходные данные'!$B$26,IF(A240=1,'Исходные данные'!$B$9,C240)),IF(A240=1,'Исходные данные'!$B$9,C240)))),IF('Исходные данные'!$B$13&lt;&gt;"",IF(AND(YEAR(B240)=YEAR('Исходные данные'!$B$13),MONTH(B240)=MONTH('Исходные данные'!$B$13)),'Исходные данные'!$B$13,IF('Исходные данные'!$B$26&lt;&gt;"",IF(AND(YEAR(B240)=YEAR('Исходные данные'!$B$26),MONTH(B240)=MONTH('Исходные данные'!$B$26)),'Исходные данные'!$B$26,IF(A240=1,'Исходные данные'!$B$9,C240)),IF(A240=1,'Исходные данные'!$B$9,C240))),IF('Исходные данные'!$B$26&lt;&gt;"",IF(AND(YEAR(B240)=YEAR('Исходные данные'!$B$26),MONTH(B240)=MONTH('Исходные данные'!$B$26)),'Исходные данные'!$B$26,IF(A240=1,'Исходные данные'!$B$9,C240)),IF(A240=1,'Исходные данные'!$B$9,C240)))))</f>
        <v/>
      </c>
      <c r="E240">
        <f>IF(OR(B240="",'Исходные данные'!$B$91=""),0,--(B240&lt;=DATE(YEAR('Исходные данные'!$B$91),MONTH('Исходные данные'!$B$91),1)))</f>
        <v>0</v>
      </c>
      <c r="F240">
        <f>IF(OR(B240="",'Исходные данные'!$B$30="",C240&lt;'Исходные данные'!$B$30),0,DATEDIF(DATE(YEAR('Исходные данные'!$B$30),MONTH('Исходные данные'!$B$30),1),B240,"m")+1)</f>
        <v>0</v>
      </c>
      <c r="G240">
        <f t="shared" si="145"/>
        <v>0</v>
      </c>
      <c r="H240">
        <f>IF(F240=0,0,IF(G240=1,N('Исходные данные'!$B$31),IF(G240=2,N('Исходные данные'!$B$32),IF(G240=3,N('Исходные данные'!$B$33),N('Исходные данные'!$B$33)*(1+N('Исходные данные'!$B$34))^(G240-3)))))</f>
        <v>0</v>
      </c>
      <c r="I240">
        <f>IF(OR(F240=0,N('Исходные данные'!$B$5)=0,H240=0),0,'Исходные данные'!$B$5*H240*IF(AND(B240&lt;='Исходные данные'!$B$30,C240&gt;='Исходные данные'!$B$30),(C240-'Исходные данные'!$B$30+1)/DAY(C240),1))</f>
        <v>0</v>
      </c>
      <c r="J240">
        <f>IF(AND(F240&gt;0,F240&lt;=N('Исходные данные'!$B$37)),-I240,0)</f>
        <v>0</v>
      </c>
      <c r="K240">
        <f>IF(OR(F240=0,F240&lt;=N('Исходные данные'!$B$37)),0,-(I240+J240)*N('Исходные данные'!$B$38))</f>
        <v>0</v>
      </c>
      <c r="L240">
        <f t="shared" si="146"/>
        <v>0</v>
      </c>
      <c r="M240">
        <f>IF('Исходные данные'!$B$51="Да",L240*N('Исходные данные'!$B$52),0)</f>
        <v>0</v>
      </c>
      <c r="N240">
        <f t="shared" si="147"/>
        <v>0</v>
      </c>
      <c r="O240">
        <f>IF(OR(B240="",IF('Исходные данные'!$B$45="",'Исходные данные'!$B$10,'Исходные данные'!$B$45)="",C240&lt;IF('Исходные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данные'!$B$45)),1),B240,"m")/12))*IF(AND(B240&lt;=IF('Исходные данные'!$B$45="",'Исходные данные'!$B$10,'Исходные данные'!$B$45),C240&gt;=IF('Исходные данные'!$B$45="",'Исходные данные'!$B$10,'Исходные данные'!$B$45)),(C240-IF('Исходные данные'!$B$45="",'Исходные данные'!$B$10,'Исходные данные'!$B$45)+1)/DAY(C240),1)*IF('Исходные данные'!$B$43="Без НДС",1+N('Исходные данные'!$B$44),1))</f>
        <v>0</v>
      </c>
      <c r="P240">
        <f>IF('Исходные данные'!$B$51="Да",-O240*N('Исходные данные'!$B$44)/(1+N('Исходные данные'!$B$44)),0)</f>
        <v>0</v>
      </c>
      <c r="Q240">
        <f>IF('Исходные данные'!$B$35="Да",-O240,0)</f>
        <v>0</v>
      </c>
      <c r="R240">
        <f>IF(AND('Исходные данные'!$B$51="Да",Q240&gt;0),Q240*N('Исходные данные'!$B$52)/(1+N('Исходные данные'!$B$52)),0)</f>
        <v>0</v>
      </c>
      <c r="S240">
        <f>IF(OR(B240="",IF('Исходные данные'!$B$45="",'Исходные данные'!$B$10,'Исходные данные'!$B$45)="",C240&lt;IF('Исходные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данные'!$B$45)),1),B240,"m")/12))*IF(AND(B240&lt;=IF('Исходные данные'!$B$45="",'Исходные данные'!$B$10,'Исходные данные'!$B$45),C240&gt;=IF('Исходные данные'!$B$45="",'Исходные данные'!$B$10,'Исходные данные'!$B$45)),(C240-IF('Исходные данные'!$B$45="",'Исходные данные'!$B$10,'Исходные данные'!$B$45)+1)/DAY(C240),1)*IF('Исходные данные'!$B$43="Без НДС",1+N('Исходные данные'!$B$44),1))</f>
        <v>0</v>
      </c>
      <c r="T240">
        <f>IF('Исходные данные'!$B$51="Да",-S240*N('Исходные данные'!$B$44)/(1+N('Исходные данные'!$B$44)),0)</f>
        <v>0</v>
      </c>
      <c r="U240">
        <f>IF('Исходные данные'!$B$36="Да",-S240,0)</f>
        <v>0</v>
      </c>
      <c r="V240">
        <f>IF(AND('Исходные данные'!$B$51="Да",U240&gt;0),U240*N('Исходные данные'!$B$52)/(1+N('Исходные данные'!$B$52)),0)</f>
        <v>0</v>
      </c>
      <c r="W240">
        <f>IF(OR(B240="",IF('Исходные данные'!$B$69="",'Исходные данные'!$B$10,'Исходные данные'!$B$69)="",C240&lt;IF('Исходные данные'!$B$69="",'Исходные данные'!$B$10,'Исходные данные'!$B$69)),0,-N('Исходные данные'!$B$16)*N('Исходные данные'!$B$68)*N('Исходные данные'!$B$67)/12*IF(AND(B240&lt;=IF('Исходные данные'!$B$69="",'Исходные данные'!$B$10,'Исходные данные'!$B$69),C240&gt;=IF('Исходные данные'!$B$69="",'Исходные данные'!$B$10,'Исходные данные'!$B$69)),(C240-IF('Исходные данные'!$B$69="",'Исходные данные'!$B$10,'Исходные данные'!$B$69)+1)/DAY(C240),1))</f>
        <v>0</v>
      </c>
      <c r="X240">
        <f>IF(OR(B240="",IF('Исходные данные'!$B$76="",'Исходные данные'!$B$10,'Исходные данные'!$B$76)="",C240&lt;IF('Исходные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данные'!$B$76)),1),B240,"m")/12))*IF(AND(B240&lt;=IF('Исходные данные'!$B$76="",'Исходные данные'!$B$10,'Исходные данные'!$B$76),C240&gt;=IF('Исходные данные'!$B$76="",'Исходные данные'!$B$10,'Исходные данные'!$B$76)),(C240-IF('Исходные данные'!$B$76="",'Исходные данные'!$B$10,'Исходные данные'!$B$76)+1)/DAY(C240),1))</f>
        <v>0</v>
      </c>
      <c r="Y240">
        <f t="shared" si="148"/>
        <v>0</v>
      </c>
      <c r="Z240">
        <f>IF(OR(B240="",N('Исходные данные'!$B$19)=0),0,-SUMIFS('Исходные данные'!$I$6:$I$186,'Исходные данные'!$F$6:$F$186,B240)*N('Исходные данные'!$B$17)/N('Исходные данные'!$B$19))</f>
        <v>0</v>
      </c>
      <c r="AA240">
        <f>IF(OR(B240="",N('Исходные данные'!$B$19)=0),0,-SUMIFS('Исходные данные'!$I$6:$I$186,'Исходные данные'!$F$6:$F$186,B240)*N('Исходные данные'!$B$18)/N('Исходные данные'!$B$19))</f>
        <v>0</v>
      </c>
      <c r="AB240">
        <f>IF(OR(B240="",'Исходные данные'!$B$13=""),0,IF(AND(YEAR(B240)=YEAR('Исходные данные'!$B$13),MONTH(B240)=MONTH('Исходные данные'!$B$13)),-N('Исходные данные'!$B$11),0))</f>
        <v>0</v>
      </c>
      <c r="AC240">
        <f>IF(A240=1,-N('Исходные данные'!$B$19)*N('Исходные данные'!$B$72),0)</f>
        <v>0</v>
      </c>
      <c r="AD240">
        <f>IF(OR(B240="",'Исходные данные'!$B$22&lt;&gt;"Да",'Исходные данные'!$B$26=""),0,IF(AND(YEAR(B240)=YEAR('Исходные данные'!$B$26),MONTH(B240)=MONTH('Исходные данные'!$B$26)),N('Исходные данные'!$B$23),0))</f>
        <v>0</v>
      </c>
      <c r="AE240">
        <f t="shared" si="131"/>
        <v>0</v>
      </c>
      <c r="AF240">
        <f>IF(OR('Исходные данные'!$B$22&lt;&gt;"Да",'Исходные данные'!$B$26="",C240&lt;'Исходные данные'!$B$26),0,DATEDIF(DATE(YEAR('Исходные данные'!$B$26),MONTH('Исходные данные'!$B$26),1),B240,"m")+1)</f>
        <v>0</v>
      </c>
      <c r="AG240">
        <f>IF(OR(AF240&lt;1,AF240&gt;N('Исходные данные'!$B$25),AE240+AD240&lt;=0),0,-(AE240+AD240)*N('Исходные данные'!$B$24)*IF(AF240=1,C240-'Исходные данные'!$B$26+1,DAY(C240))/365)</f>
        <v>0</v>
      </c>
      <c r="AH240">
        <f>IF(OR(AF240&lt;1,AF240&gt;N('Исходные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данные'!$B$25)-AG240))</f>
        <v>0</v>
      </c>
      <c r="AI240">
        <f>IF(OR('Исходные данные'!$B$22&lt;&gt;"Да",AE240+AD240&lt;=0),0,IF(AND('Исходные данные'!$B$91&lt;&gt;"",B240&lt;&gt;"",YEAR(B240)=YEAR('Исходные данные'!$B$91),MONTH(B240)=MONTH('Исходные данные'!$B$91)),-(AE240+AD240),IF(OR(AF240&lt;1,AF240&gt;N('Исходные данные'!$B$25)),0,IF('Исходные данные'!$B$27="Равными долями",-MIN(AE240+AD240,N('Исходные данные'!$B$23)/N('Исходные данные'!$B$25)),-MIN(AE240+AD240,IF(AF240=N('Исходные данные'!$B$25),AE240+AD240,MAX(0,AH240+AG240)))))))</f>
        <v>0</v>
      </c>
      <c r="AJ240">
        <f t="shared" si="149"/>
        <v>0</v>
      </c>
      <c r="AK240">
        <f t="shared" si="132"/>
        <v>0</v>
      </c>
      <c r="AL240">
        <f>IF(OR(B240="",'Исходные данные'!$B$51&lt;&gt;"Да",'Исходные данные'!$B$61=""),0,IF(AND(YEAR(B240)=YEAR('Исходные данные'!$B$61),MONTH(B240)=MONTH('Исходные данные'!$B$61)),N('Исходные данные'!$B$18)*N('Исходные данные'!$B$62),0))</f>
        <v>0</v>
      </c>
      <c r="AM240">
        <f t="shared" si="133"/>
        <v>0</v>
      </c>
      <c r="AN240">
        <f t="shared" si="134"/>
        <v>0</v>
      </c>
      <c r="AO240">
        <f t="shared" si="135"/>
        <v>0</v>
      </c>
      <c r="AP240">
        <f>IF('Исходные данные'!$B$51="Да",-MAX(0,AN240-AO240-AM240),0)</f>
        <v>0</v>
      </c>
      <c r="AQ240">
        <f>IF('Исходные данные'!$B$51="Да",MAX(0,AM240+AO240-AN240),0)</f>
        <v>0</v>
      </c>
      <c r="AR240">
        <f>IF('Исходные данные'!$B$53="Выручка",MAX(0,L240+(Q240-R240)+(U240-V240)),IF('Исходные данные'!$B$53="Прибыль до налога",MAX(0,L240+(Q240-R240)+(U240-V240)+N('Исходные данные'!$B$54)*((O240+P240)+(S240+T240)+W240+X240)+IF('Исходные данные'!$B$55="Да",AG240,0)-N('Исходные данные'!$B$56)/12),IF('Исходные данные'!$B$53="Пользовательская база",MAX(0,N('Исходные данные'!$B$57)/12),0)))</f>
        <v>0</v>
      </c>
      <c r="AS240">
        <f>IF(E240=1,-AR240*N('Исходные данные'!$B$50),0)</f>
        <v>0</v>
      </c>
      <c r="AT240">
        <f t="shared" si="136"/>
        <v>0</v>
      </c>
      <c r="AU240">
        <f>IF(OR(B240="",N('Исходные данные'!$B$80)&lt;=0,'Исходные данные'!$B$88=""),0,MAX(0,IF('Исходные данные'!$B$88="Последние 12 месяцев",SUMIFS($Y$2:$Y$194,$B$2:$B$194,"&gt;="&amp;EDATE(B240,-11),$B$2:$B$194,"&lt;="&amp;B240),IF('Исходные данные'!$B$88="Пользовательский NOI",N('Исходные данные'!$B$89),AT240))/N('Исходные данные'!$B$80)*(1+N('Исходные данные'!$B$81))))</f>
        <v>0</v>
      </c>
      <c r="AV240">
        <f>IF(OR(E240&lt;&gt;1,B240="",'Исходные данные'!$B$91=""),0,IF(AND(YEAR(B240)=YEAR('Исходные данные'!$B$91),MONTH(B240)=MONTH('Исходные данные'!$B$91)),AU240,0))</f>
        <v>0</v>
      </c>
      <c r="AW240">
        <f>-AV240*N('Исходные данные'!$B$73)</f>
        <v>0</v>
      </c>
      <c r="AX240">
        <f>IF(AV240=0,0,-N('Исходные данные'!$B$87)-IF('Исходные данные'!$B$82="Да",IF('Исходные данные'!$B$84="С выручки",AV240,IF('Исходные данные'!$B$84="С прибыли",MAX(0,AV240+AW240-IF('Исходные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40">
        <f t="shared" si="150"/>
        <v>0</v>
      </c>
      <c r="AZ240">
        <f t="shared" si="137"/>
        <v>0</v>
      </c>
      <c r="BA240">
        <f t="shared" si="151"/>
        <v>0</v>
      </c>
      <c r="BB240" t="str">
        <f t="shared" si="138"/>
        <v/>
      </c>
      <c r="BC240">
        <f>IF(OR(E240=0,'Исходные данные'!$B$9="",'Исходные данные'!$B$90=""),0,BA240/(1+'Исходные данные'!$B$90)^((D240-'Исходные данные'!$B$9)/365))</f>
        <v>0</v>
      </c>
      <c r="BD240">
        <f>IF(AND(E240=1,BB240&gt;=0,BB239&lt;0,MIN($BB$2:BB240)&lt;0),1,0)</f>
        <v>0</v>
      </c>
      <c r="BE240">
        <f t="shared" si="139"/>
        <v>0</v>
      </c>
      <c r="BF240">
        <f t="shared" si="140"/>
        <v>0</v>
      </c>
      <c r="BG240">
        <f t="shared" si="141"/>
        <v>0</v>
      </c>
      <c r="BH240">
        <f t="shared" si="142"/>
        <v>1</v>
      </c>
      <c r="BI240">
        <f>AZ240+N240+AP240-AR240*N('Исходные данные'!$B$50)</f>
        <v>0</v>
      </c>
      <c r="BJ240">
        <f t="shared" si="143"/>
        <v>0</v>
      </c>
      <c r="BK240">
        <f>IF(AND(BJ240&gt;=0,BJ239&lt;0,MIN($BJ$2:BJ240)&lt;0),1,0)</f>
        <v>0</v>
      </c>
    </row>
    <row r="241" spans="1:63" x14ac:dyDescent="0.2">
      <c r="A241">
        <v>240</v>
      </c>
      <c r="B241" t="str">
        <f>IF('Исходные данные'!$B$9="","",EDATE(DATE(YEAR('Исходные данные'!$B$9),MONTH('Исходные данные'!$B$9),1),A241-1))</f>
        <v/>
      </c>
      <c r="C241" t="str">
        <f t="shared" si="144"/>
        <v/>
      </c>
      <c r="D241" t="str">
        <f>IF(B241="","",IF('Исходные данные'!$B$91&lt;&gt;"",IF(AND(YEAR(B241)=YEAR('Исходные данные'!$B$91),MONTH(B241)=MONTH('Исходные данные'!$B$91)),'Исходные данные'!$B$91,IF('Исходные данные'!$B$13&lt;&gt;"",IF(AND(YEAR(B241)=YEAR('Исходные данные'!$B$13),MONTH(B241)=MONTH('Исходные данные'!$B$13)),'Исходные данные'!$B$13,IF('Исходные данные'!$B$26&lt;&gt;"",IF(AND(YEAR(B241)=YEAR('Исходные данные'!$B$26),MONTH(B241)=MONTH('Исходные данные'!$B$26)),'Исходные данные'!$B$26,IF(A241=1,'Исходные данные'!$B$9,C241)),IF(A241=1,'Исходные данные'!$B$9,C241))),IF('Исходные данные'!$B$26&lt;&gt;"",IF(AND(YEAR(B241)=YEAR('Исходные данные'!$B$26),MONTH(B241)=MONTH('Исходные данные'!$B$26)),'Исходные данные'!$B$26,IF(A241=1,'Исходные данные'!$B$9,C241)),IF(A241=1,'Исходные данные'!$B$9,C241)))),IF('Исходные данные'!$B$13&lt;&gt;"",IF(AND(YEAR(B241)=YEAR('Исходные данные'!$B$13),MONTH(B241)=MONTH('Исходные данные'!$B$13)),'Исходные данные'!$B$13,IF('Исходные данные'!$B$26&lt;&gt;"",IF(AND(YEAR(B241)=YEAR('Исходные данные'!$B$26),MONTH(B241)=MONTH('Исходные данные'!$B$26)),'Исходные данные'!$B$26,IF(A241=1,'Исходные данные'!$B$9,C241)),IF(A241=1,'Исходные данные'!$B$9,C241))),IF('Исходные данные'!$B$26&lt;&gt;"",IF(AND(YEAR(B241)=YEAR('Исходные данные'!$B$26),MONTH(B241)=MONTH('Исходные данные'!$B$26)),'Исходные данные'!$B$26,IF(A241=1,'Исходные данные'!$B$9,C241)),IF(A241=1,'Исходные данные'!$B$9,C241)))))</f>
        <v/>
      </c>
      <c r="E241">
        <f>IF(OR(B241="",'Исходные данные'!$B$91=""),0,--(B241&lt;=DATE(YEAR('Исходные данные'!$B$91),MONTH('Исходные данные'!$B$91),1)))</f>
        <v>0</v>
      </c>
      <c r="F241">
        <f>IF(OR(B241="",'Исходные данные'!$B$30="",C241&lt;'Исходные данные'!$B$30),0,DATEDIF(DATE(YEAR('Исходные данные'!$B$30),MONTH('Исходные данные'!$B$30),1),B241,"m")+1)</f>
        <v>0</v>
      </c>
      <c r="G241">
        <f t="shared" si="145"/>
        <v>0</v>
      </c>
      <c r="H241">
        <f>IF(F241=0,0,IF(G241=1,N('Исходные данные'!$B$31),IF(G241=2,N('Исходные данные'!$B$32),IF(G241=3,N('Исходные данные'!$B$33),N('Исходные данные'!$B$33)*(1+N('Исходные данные'!$B$34))^(G241-3)))))</f>
        <v>0</v>
      </c>
      <c r="I241">
        <f>IF(OR(F241=0,N('Исходные данные'!$B$5)=0,H241=0),0,'Исходные данные'!$B$5*H241*IF(AND(B241&lt;='Исходные данные'!$B$30,C241&gt;='Исходные данные'!$B$30),(C241-'Исходные данные'!$B$30+1)/DAY(C241),1))</f>
        <v>0</v>
      </c>
      <c r="J241">
        <f>IF(AND(F241&gt;0,F241&lt;=N('Исходные данные'!$B$37)),-I241,0)</f>
        <v>0</v>
      </c>
      <c r="K241">
        <f>IF(OR(F241=0,F241&lt;=N('Исходные данные'!$B$37)),0,-(I241+J241)*N('Исходные данные'!$B$38))</f>
        <v>0</v>
      </c>
      <c r="L241">
        <f t="shared" si="146"/>
        <v>0</v>
      </c>
      <c r="M241">
        <f>IF('Исходные данные'!$B$51="Да",L241*N('Исходные данные'!$B$52),0)</f>
        <v>0</v>
      </c>
      <c r="N241">
        <f t="shared" si="147"/>
        <v>0</v>
      </c>
      <c r="O241">
        <f>IF(OR(B241="",IF('Исходные данные'!$B$45="",'Исходные данные'!$B$10,'Исходные данные'!$B$45)="",C241&lt;IF('Исходные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данные'!$B$45)),1),B241,"m")/12))*IF(AND(B241&lt;=IF('Исходные данные'!$B$45="",'Исходные данные'!$B$10,'Исходные данные'!$B$45),C241&gt;=IF('Исходные данные'!$B$45="",'Исходные данные'!$B$10,'Исходные данные'!$B$45)),(C241-IF('Исходные данные'!$B$45="",'Исходные данные'!$B$10,'Исходные данные'!$B$45)+1)/DAY(C241),1)*IF('Исходные данные'!$B$43="Без НДС",1+N('Исходные данные'!$B$44),1))</f>
        <v>0</v>
      </c>
      <c r="P241">
        <f>IF('Исходные данные'!$B$51="Да",-O241*N('Исходные данные'!$B$44)/(1+N('Исходные данные'!$B$44)),0)</f>
        <v>0</v>
      </c>
      <c r="Q241">
        <f>IF('Исходные данные'!$B$35="Да",-O241,0)</f>
        <v>0</v>
      </c>
      <c r="R241">
        <f>IF(AND('Исходные данные'!$B$51="Да",Q241&gt;0),Q241*N('Исходные данные'!$B$52)/(1+N('Исходные данные'!$B$52)),0)</f>
        <v>0</v>
      </c>
      <c r="S241">
        <f>IF(OR(B241="",IF('Исходные данные'!$B$45="",'Исходные данные'!$B$10,'Исходные данные'!$B$45)="",C241&lt;IF('Исходные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данные'!$B$45)),1),B241,"m")/12))*IF(AND(B241&lt;=IF('Исходные данные'!$B$45="",'Исходные данные'!$B$10,'Исходные данные'!$B$45),C241&gt;=IF('Исходные данные'!$B$45="",'Исходные данные'!$B$10,'Исходные данные'!$B$45)),(C241-IF('Исходные данные'!$B$45="",'Исходные данные'!$B$10,'Исходные данные'!$B$45)+1)/DAY(C241),1)*IF('Исходные данные'!$B$43="Без НДС",1+N('Исходные данные'!$B$44),1))</f>
        <v>0</v>
      </c>
      <c r="T241">
        <f>IF('Исходные данные'!$B$51="Да",-S241*N('Исходные данные'!$B$44)/(1+N('Исходные данные'!$B$44)),0)</f>
        <v>0</v>
      </c>
      <c r="U241">
        <f>IF('Исходные данные'!$B$36="Да",-S241,0)</f>
        <v>0</v>
      </c>
      <c r="V241">
        <f>IF(AND('Исходные данные'!$B$51="Да",U241&gt;0),U241*N('Исходные данные'!$B$52)/(1+N('Исходные данные'!$B$52)),0)</f>
        <v>0</v>
      </c>
      <c r="W241">
        <f>IF(OR(B241="",IF('Исходные данные'!$B$69="",'Исходные данные'!$B$10,'Исходные данные'!$B$69)="",C241&lt;IF('Исходные данные'!$B$69="",'Исходные данные'!$B$10,'Исходные данные'!$B$69)),0,-N('Исходные данные'!$B$16)*N('Исходные данные'!$B$68)*N('Исходные данные'!$B$67)/12*IF(AND(B241&lt;=IF('Исходные данные'!$B$69="",'Исходные данные'!$B$10,'Исходные данные'!$B$69),C241&gt;=IF('Исходные данные'!$B$69="",'Исходные данные'!$B$10,'Исходные данные'!$B$69)),(C241-IF('Исходные данные'!$B$69="",'Исходные данные'!$B$10,'Исходные данные'!$B$69)+1)/DAY(C241),1))</f>
        <v>0</v>
      </c>
      <c r="X241">
        <f>IF(OR(B241="",IF('Исходные данные'!$B$76="",'Исходные данные'!$B$10,'Исходные данные'!$B$76)="",C241&lt;IF('Исходные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данные'!$B$76)),1),B241,"m")/12))*IF(AND(B241&lt;=IF('Исходные данные'!$B$76="",'Исходные данные'!$B$10,'Исходные данные'!$B$76),C241&gt;=IF('Исходные данные'!$B$76="",'Исходные данные'!$B$10,'Исходные данные'!$B$76)),(C241-IF('Исходные данные'!$B$76="",'Исходные данные'!$B$10,'Исходные данные'!$B$76)+1)/DAY(C241),1))</f>
        <v>0</v>
      </c>
      <c r="Y241">
        <f t="shared" si="148"/>
        <v>0</v>
      </c>
      <c r="Z241">
        <f>IF(OR(B241="",N('Исходные данные'!$B$19)=0),0,-SUMIFS('Исходные данные'!$I$6:$I$186,'Исходные данные'!$F$6:$F$186,B241)*N('Исходные данные'!$B$17)/N('Исходные данные'!$B$19))</f>
        <v>0</v>
      </c>
      <c r="AA241">
        <f>IF(OR(B241="",N('Исходные данные'!$B$19)=0),0,-SUMIFS('Исходные данные'!$I$6:$I$186,'Исходные данные'!$F$6:$F$186,B241)*N('Исходные данные'!$B$18)/N('Исходные данные'!$B$19))</f>
        <v>0</v>
      </c>
      <c r="AB241">
        <f>IF(OR(B241="",'Исходные данные'!$B$13=""),0,IF(AND(YEAR(B241)=YEAR('Исходные данные'!$B$13),MONTH(B241)=MONTH('Исходные данные'!$B$13)),-N('Исходные данные'!$B$11),0))</f>
        <v>0</v>
      </c>
      <c r="AC241">
        <f>IF(A241=1,-N('Исходные данные'!$B$19)*N('Исходные данные'!$B$72),0)</f>
        <v>0</v>
      </c>
      <c r="AD241">
        <f>IF(OR(B241="",'Исходные данные'!$B$22&lt;&gt;"Да",'Исходные данные'!$B$26=""),0,IF(AND(YEAR(B241)=YEAR('Исходные данные'!$B$26),MONTH(B241)=MONTH('Исходные данные'!$B$26)),N('Исходные данные'!$B$23),0))</f>
        <v>0</v>
      </c>
      <c r="AE241">
        <f t="shared" si="131"/>
        <v>0</v>
      </c>
      <c r="AF241">
        <f>IF(OR('Исходные данные'!$B$22&lt;&gt;"Да",'Исходные данные'!$B$26="",C241&lt;'Исходные данные'!$B$26),0,DATEDIF(DATE(YEAR('Исходные данные'!$B$26),MONTH('Исходные данные'!$B$26),1),B241,"m")+1)</f>
        <v>0</v>
      </c>
      <c r="AG241">
        <f>IF(OR(AF241&lt;1,AF241&gt;N('Исходные данные'!$B$25),AE241+AD241&lt;=0),0,-(AE241+AD241)*N('Исходные данные'!$B$24)*IF(AF241=1,C241-'Исходные данные'!$B$26+1,DAY(C241))/365)</f>
        <v>0</v>
      </c>
      <c r="AH241">
        <f>IF(OR(AF241&lt;1,AF241&gt;N('Исходные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данные'!$B$25)-AG241))</f>
        <v>0</v>
      </c>
      <c r="AI241">
        <f>IF(OR('Исходные данные'!$B$22&lt;&gt;"Да",AE241+AD241&lt;=0),0,IF(AND('Исходные данные'!$B$91&lt;&gt;"",B241&lt;&gt;"",YEAR(B241)=YEAR('Исходные данные'!$B$91),MONTH(B241)=MONTH('Исходные данные'!$B$91)),-(AE241+AD241),IF(OR(AF241&lt;1,AF241&gt;N('Исходные данные'!$B$25)),0,IF('Исходные данные'!$B$27="Равными долями",-MIN(AE241+AD241,N('Исходные данные'!$B$23)/N('Исходные данные'!$B$25)),-MIN(AE241+AD241,IF(AF241=N('Исходные данные'!$B$25),AE241+AD241,MAX(0,AH241+AG241)))))))</f>
        <v>0</v>
      </c>
      <c r="AJ241">
        <f t="shared" si="149"/>
        <v>0</v>
      </c>
      <c r="AK241">
        <f t="shared" si="132"/>
        <v>0</v>
      </c>
      <c r="AL241">
        <f>IF(OR(B241="",'Исходные данные'!$B$51&lt;&gt;"Да",'Исходные данные'!$B$61=""),0,IF(AND(YEAR(B241)=YEAR('Исходные данные'!$B$61),MONTH(B241)=MONTH('Исходные данные'!$B$61)),N('Исходные данные'!$B$18)*N('Исходные данные'!$B$62),0))</f>
        <v>0</v>
      </c>
      <c r="AM241">
        <f t="shared" si="133"/>
        <v>0</v>
      </c>
      <c r="AN241">
        <f t="shared" si="134"/>
        <v>0</v>
      </c>
      <c r="AO241">
        <f t="shared" si="135"/>
        <v>0</v>
      </c>
      <c r="AP241">
        <f>IF('Исходные данные'!$B$51="Да",-MAX(0,AN241-AO241-AM241),0)</f>
        <v>0</v>
      </c>
      <c r="AQ241">
        <f>IF('Исходные данные'!$B$51="Да",MAX(0,AM241+AO241-AN241),0)</f>
        <v>0</v>
      </c>
      <c r="AR241">
        <f>IF('Исходные данные'!$B$53="Выручка",MAX(0,L241+(Q241-R241)+(U241-V241)),IF('Исходные данные'!$B$53="Прибыль до налога",MAX(0,L241+(Q241-R241)+(U241-V241)+N('Исходные данные'!$B$54)*((O241+P241)+(S241+T241)+W241+X241)+IF('Исходные данные'!$B$55="Да",AG241,0)-N('Исходные данные'!$B$56)/12),IF('Исходные данные'!$B$53="Пользовательская база",MAX(0,N('Исходные данные'!$B$57)/12),0)))</f>
        <v>0</v>
      </c>
      <c r="AS241">
        <f>IF(E241=1,-AR241*N('Исходные данные'!$B$50),0)</f>
        <v>0</v>
      </c>
      <c r="AT241">
        <f t="shared" si="136"/>
        <v>0</v>
      </c>
      <c r="AU241">
        <f>IF(OR(B241="",N('Исходные данные'!$B$80)&lt;=0,'Исходные данные'!$B$88=""),0,MAX(0,IF('Исходные данные'!$B$88="Последние 12 месяцев",SUMIFS($Y$2:$Y$194,$B$2:$B$194,"&gt;="&amp;EDATE(B241,-11),$B$2:$B$194,"&lt;="&amp;B241),IF('Исходные данные'!$B$88="Пользовательский NOI",N('Исходные данные'!$B$89),AT241))/N('Исходные данные'!$B$80)*(1+N('Исходные данные'!$B$81))))</f>
        <v>0</v>
      </c>
      <c r="AV241">
        <f>IF(OR(E241&lt;&gt;1,B241="",'Исходные данные'!$B$91=""),0,IF(AND(YEAR(B241)=YEAR('Исходные данные'!$B$91),MONTH(B241)=MONTH('Исходные данные'!$B$91)),AU241,0))</f>
        <v>0</v>
      </c>
      <c r="AW241">
        <f>-AV241*N('Исходные данные'!$B$73)</f>
        <v>0</v>
      </c>
      <c r="AX241">
        <f>IF(AV241=0,0,-N('Исходные данные'!$B$87)-IF('Исходные данные'!$B$82="Да",IF('Исходные данные'!$B$84="С выручки",AV241,IF('Исходные данные'!$B$84="С прибыли",MAX(0,AV241+AW241-IF('Исходные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41">
        <f t="shared" si="150"/>
        <v>0</v>
      </c>
      <c r="AZ241">
        <f t="shared" si="137"/>
        <v>0</v>
      </c>
      <c r="BA241">
        <f t="shared" si="151"/>
        <v>0</v>
      </c>
      <c r="BB241" t="str">
        <f t="shared" si="138"/>
        <v/>
      </c>
      <c r="BC241">
        <f>IF(OR(E241=0,'Исходные данные'!$B$9="",'Исходные данные'!$B$90=""),0,BA241/(1+'Исходные данные'!$B$90)^((D241-'Исходные данные'!$B$9)/365))</f>
        <v>0</v>
      </c>
      <c r="BD241">
        <f>IF(AND(E241=1,BB241&gt;=0,BB240&lt;0,MIN($BB$2:BB241)&lt;0),1,0)</f>
        <v>0</v>
      </c>
      <c r="BE241">
        <f t="shared" si="139"/>
        <v>0</v>
      </c>
      <c r="BF241">
        <f t="shared" si="140"/>
        <v>0</v>
      </c>
      <c r="BG241">
        <f t="shared" si="141"/>
        <v>0</v>
      </c>
      <c r="BH241">
        <f t="shared" si="142"/>
        <v>1</v>
      </c>
      <c r="BI241">
        <f>AZ241+N241+AP241-AR241*N('Исходные данные'!$B$50)</f>
        <v>0</v>
      </c>
      <c r="BJ241">
        <f t="shared" si="143"/>
        <v>0</v>
      </c>
      <c r="BK241">
        <f>IF(AND(BJ241&gt;=0,BJ240&lt;0,MIN($BJ$2:BJ241)&lt;0),1,0)</f>
        <v>0</v>
      </c>
    </row>
    <row r="242" spans="1:63" x14ac:dyDescent="0.2">
      <c r="A242">
        <v>241</v>
      </c>
      <c r="B242" t="str">
        <f>IF('Исходные данные'!$B$9="","",EDATE(DATE(YEAR('Исходные данные'!$B$9),MONTH('Исходные данные'!$B$9),1),A242-1))</f>
        <v/>
      </c>
      <c r="C242" t="str">
        <f t="shared" si="144"/>
        <v/>
      </c>
      <c r="D242" t="str">
        <f>IF(B242="","",IF('Исходные данные'!$B$91&lt;&gt;"",IF(AND(YEAR(B242)=YEAR('Исходные данные'!$B$91),MONTH(B242)=MONTH('Исходные данные'!$B$91)),'Исходные данные'!$B$91,IF('Исходные данные'!$B$13&lt;&gt;"",IF(AND(YEAR(B242)=YEAR('Исходные данные'!$B$13),MONTH(B242)=MONTH('Исходные данные'!$B$13)),'Исходные данные'!$B$13,IF('Исходные данные'!$B$26&lt;&gt;"",IF(AND(YEAR(B242)=YEAR('Исходные данные'!$B$26),MONTH(B242)=MONTH('Исходные данные'!$B$26)),'Исходные данные'!$B$26,IF(A242=1,'Исходные данные'!$B$9,C242)),IF(A242=1,'Исходные данные'!$B$9,C242))),IF('Исходные данные'!$B$26&lt;&gt;"",IF(AND(YEAR(B242)=YEAR('Исходные данные'!$B$26),MONTH(B242)=MONTH('Исходные данные'!$B$26)),'Исходные данные'!$B$26,IF(A242=1,'Исходные данные'!$B$9,C242)),IF(A242=1,'Исходные данные'!$B$9,C242)))),IF('Исходные данные'!$B$13&lt;&gt;"",IF(AND(YEAR(B242)=YEAR('Исходные данные'!$B$13),MONTH(B242)=MONTH('Исходные данные'!$B$13)),'Исходные данные'!$B$13,IF('Исходные данные'!$B$26&lt;&gt;"",IF(AND(YEAR(B242)=YEAR('Исходные данные'!$B$26),MONTH(B242)=MONTH('Исходные данные'!$B$26)),'Исходные данные'!$B$26,IF(A242=1,'Исходные данные'!$B$9,C242)),IF(A242=1,'Исходные данные'!$B$9,C242))),IF('Исходные данные'!$B$26&lt;&gt;"",IF(AND(YEAR(B242)=YEAR('Исходные данные'!$B$26),MONTH(B242)=MONTH('Исходные данные'!$B$26)),'Исходные данные'!$B$26,IF(A242=1,'Исходные данные'!$B$9,C242)),IF(A242=1,'Исходные данные'!$B$9,C242)))))</f>
        <v/>
      </c>
      <c r="E242">
        <f>IF(OR(B242="",'Исходные данные'!$B$91=""),0,--(B242&lt;=DATE(YEAR('Исходные данные'!$B$91),MONTH('Исходные данные'!$B$91),1)))</f>
        <v>0</v>
      </c>
      <c r="F242">
        <f>IF(OR(B242="",'Исходные данные'!$B$30="",C242&lt;'Исходные данные'!$B$30),0,DATEDIF(DATE(YEAR('Исходные данные'!$B$30),MONTH('Исходные данные'!$B$30),1),B242,"m")+1)</f>
        <v>0</v>
      </c>
      <c r="G242">
        <f t="shared" si="145"/>
        <v>0</v>
      </c>
      <c r="H242">
        <f>IF(F242=0,0,IF(G242=1,N('Исходные данные'!$B$31),IF(G242=2,N('Исходные данные'!$B$32),IF(G242=3,N('Исходные данные'!$B$33),N('Исходные данные'!$B$33)*(1+N('Исходные данные'!$B$34))^(G242-3)))))</f>
        <v>0</v>
      </c>
      <c r="I242">
        <f>IF(OR(F242=0,N('Исходные данные'!$B$5)=0,H242=0),0,'Исходные данные'!$B$5*H242*IF(AND(B242&lt;='Исходные данные'!$B$30,C242&gt;='Исходные данные'!$B$30),(C242-'Исходные данные'!$B$30+1)/DAY(C242),1))</f>
        <v>0</v>
      </c>
      <c r="J242">
        <f>IF(AND(F242&gt;0,F242&lt;=N('Исходные данные'!$B$37)),-I242,0)</f>
        <v>0</v>
      </c>
      <c r="K242">
        <f>IF(OR(F242=0,F242&lt;=N('Исходные данные'!$B$37)),0,-(I242+J242)*N('Исходные данные'!$B$38))</f>
        <v>0</v>
      </c>
      <c r="L242">
        <f t="shared" si="146"/>
        <v>0</v>
      </c>
      <c r="M242">
        <f>IF('Исходные данные'!$B$51="Да",L242*N('Исходные данные'!$B$52),0)</f>
        <v>0</v>
      </c>
      <c r="N242">
        <f t="shared" si="147"/>
        <v>0</v>
      </c>
      <c r="O242">
        <f>IF(OR(B242="",IF('Исходные данные'!$B$45="",'Исходные данные'!$B$10,'Исходные данные'!$B$45)="",C242&lt;IF('Исходные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данные'!$B$45)),1),B242,"m")/12))*IF(AND(B242&lt;=IF('Исходные данные'!$B$45="",'Исходные данные'!$B$10,'Исходные данные'!$B$45),C242&gt;=IF('Исходные данные'!$B$45="",'Исходные данные'!$B$10,'Исходные данные'!$B$45)),(C242-IF('Исходные данные'!$B$45="",'Исходные данные'!$B$10,'Исходные данные'!$B$45)+1)/DAY(C242),1)*IF('Исходные данные'!$B$43="Без НДС",1+N('Исходные данные'!$B$44),1))</f>
        <v>0</v>
      </c>
      <c r="P242">
        <f>IF('Исходные данные'!$B$51="Да",-O242*N('Исходные данные'!$B$44)/(1+N('Исходные данные'!$B$44)),0)</f>
        <v>0</v>
      </c>
      <c r="Q242">
        <f>IF('Исходные данные'!$B$35="Да",-O242,0)</f>
        <v>0</v>
      </c>
      <c r="R242">
        <f>IF(AND('Исходные данные'!$B$51="Да",Q242&gt;0),Q242*N('Исходные данные'!$B$52)/(1+N('Исходные данные'!$B$52)),0)</f>
        <v>0</v>
      </c>
      <c r="S242">
        <f>IF(OR(B242="",IF('Исходные данные'!$B$45="",'Исходные данные'!$B$10,'Исходные данные'!$B$45)="",C242&lt;IF('Исходные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данные'!$B$45)),1),B242,"m")/12))*IF(AND(B242&lt;=IF('Исходные данные'!$B$45="",'Исходные данные'!$B$10,'Исходные данные'!$B$45),C242&gt;=IF('Исходные данные'!$B$45="",'Исходные данные'!$B$10,'Исходные данные'!$B$45)),(C242-IF('Исходные данные'!$B$45="",'Исходные данные'!$B$10,'Исходные данные'!$B$45)+1)/DAY(C242),1)*IF('Исходные данные'!$B$43="Без НДС",1+N('Исходные данные'!$B$44),1))</f>
        <v>0</v>
      </c>
      <c r="T242">
        <f>IF('Исходные данные'!$B$51="Да",-S242*N('Исходные данные'!$B$44)/(1+N('Исходные данные'!$B$44)),0)</f>
        <v>0</v>
      </c>
      <c r="U242">
        <f>IF('Исходные данные'!$B$36="Да",-S242,0)</f>
        <v>0</v>
      </c>
      <c r="V242">
        <f>IF(AND('Исходные данные'!$B$51="Да",U242&gt;0),U242*N('Исходные данные'!$B$52)/(1+N('Исходные данные'!$B$52)),0)</f>
        <v>0</v>
      </c>
      <c r="W242">
        <f>IF(OR(B242="",IF('Исходные данные'!$B$69="",'Исходные данные'!$B$10,'Исходные данные'!$B$69)="",C242&lt;IF('Исходные данные'!$B$69="",'Исходные данные'!$B$10,'Исходные данные'!$B$69)),0,-N('Исходные данные'!$B$16)*N('Исходные данные'!$B$68)*N('Исходные данные'!$B$67)/12*IF(AND(B242&lt;=IF('Исходные данные'!$B$69="",'Исходные данные'!$B$10,'Исходные данные'!$B$69),C242&gt;=IF('Исходные данные'!$B$69="",'Исходные данные'!$B$10,'Исходные данные'!$B$69)),(C242-IF('Исходные данные'!$B$69="",'Исходные данные'!$B$10,'Исходные данные'!$B$69)+1)/DAY(C242),1))</f>
        <v>0</v>
      </c>
      <c r="X242">
        <f>IF(OR(B242="",IF('Исходные данные'!$B$76="",'Исходные данные'!$B$10,'Исходные данные'!$B$76)="",C242&lt;IF('Исходные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данные'!$B$76)),1),B242,"m")/12))*IF(AND(B242&lt;=IF('Исходные данные'!$B$76="",'Исходные данные'!$B$10,'Исходные данные'!$B$76),C242&gt;=IF('Исходные данные'!$B$76="",'Исходные данные'!$B$10,'Исходные данные'!$B$76)),(C242-IF('Исходные данные'!$B$76="",'Исходные данные'!$B$10,'Исходные данные'!$B$76)+1)/DAY(C242),1))</f>
        <v>0</v>
      </c>
      <c r="Y242">
        <f t="shared" si="148"/>
        <v>0</v>
      </c>
      <c r="Z242">
        <f>IF(OR(B242="",N('Исходные данные'!$B$19)=0),0,-SUMIFS('Исходные данные'!$I$6:$I$186,'Исходные данные'!$F$6:$F$186,B242)*N('Исходные данные'!$B$17)/N('Исходные данные'!$B$19))</f>
        <v>0</v>
      </c>
      <c r="AA242">
        <f>IF(OR(B242="",N('Исходные данные'!$B$19)=0),0,-SUMIFS('Исходные данные'!$I$6:$I$186,'Исходные данные'!$F$6:$F$186,B242)*N('Исходные данные'!$B$18)/N('Исходные данные'!$B$19))</f>
        <v>0</v>
      </c>
      <c r="AB242">
        <f>IF(OR(B242="",'Исходные данные'!$B$13=""),0,IF(AND(YEAR(B242)=YEAR('Исходные данные'!$B$13),MONTH(B242)=MONTH('Исходные данные'!$B$13)),-N('Исходные данные'!$B$11),0))</f>
        <v>0</v>
      </c>
      <c r="AC242">
        <f>IF(A242=1,-N('Исходные данные'!$B$19)*N('Исходные данные'!$B$72),0)</f>
        <v>0</v>
      </c>
      <c r="AD242">
        <f>IF(OR(B242="",'Исходные данные'!$B$22&lt;&gt;"Да",'Исходные данные'!$B$26=""),0,IF(AND(YEAR(B242)=YEAR('Исходные данные'!$B$26),MONTH(B242)=MONTH('Исходные данные'!$B$26)),N('Исходные данные'!$B$23),0))</f>
        <v>0</v>
      </c>
      <c r="AE242">
        <f t="shared" si="131"/>
        <v>0</v>
      </c>
      <c r="AF242">
        <f>IF(OR('Исходные данные'!$B$22&lt;&gt;"Да",'Исходные данные'!$B$26="",C242&lt;'Исходные данные'!$B$26),0,DATEDIF(DATE(YEAR('Исходные данные'!$B$26),MONTH('Исходные данные'!$B$26),1),B242,"m")+1)</f>
        <v>0</v>
      </c>
      <c r="AG242">
        <f>IF(OR(AF242&lt;1,AF242&gt;N('Исходные данные'!$B$25),AE242+AD242&lt;=0),0,-(AE242+AD242)*N('Исходные данные'!$B$24)*IF(AF242=1,C242-'Исходные данные'!$B$26+1,DAY(C242))/365)</f>
        <v>0</v>
      </c>
      <c r="AH242">
        <f>IF(OR(AF242&lt;1,AF242&gt;N('Исходные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данные'!$B$25)-AG242))</f>
        <v>0</v>
      </c>
      <c r="AI242">
        <f>IF(OR('Исходные данные'!$B$22&lt;&gt;"Да",AE242+AD242&lt;=0),0,IF(AND('Исходные данные'!$B$91&lt;&gt;"",B242&lt;&gt;"",YEAR(B242)=YEAR('Исходные данные'!$B$91),MONTH(B242)=MONTH('Исходные данные'!$B$91)),-(AE242+AD242),IF(OR(AF242&lt;1,AF242&gt;N('Исходные данные'!$B$25)),0,IF('Исходные данные'!$B$27="Равными долями",-MIN(AE242+AD242,N('Исходные данные'!$B$23)/N('Исходные данные'!$B$25)),-MIN(AE242+AD242,IF(AF242=N('Исходные данные'!$B$25),AE242+AD242,MAX(0,AH242+AG242)))))))</f>
        <v>0</v>
      </c>
      <c r="AJ242">
        <f t="shared" si="149"/>
        <v>0</v>
      </c>
      <c r="AK242">
        <f t="shared" si="132"/>
        <v>0</v>
      </c>
      <c r="AL242">
        <f>IF(OR(B242="",'Исходные данные'!$B$51&lt;&gt;"Да",'Исходные данные'!$B$61=""),0,IF(AND(YEAR(B242)=YEAR('Исходные данные'!$B$61),MONTH(B242)=MONTH('Исходные данные'!$B$61)),N('Исходные данные'!$B$18)*N('Исходные данные'!$B$62),0))</f>
        <v>0</v>
      </c>
      <c r="AM242">
        <f t="shared" si="133"/>
        <v>0</v>
      </c>
      <c r="AN242">
        <f t="shared" si="134"/>
        <v>0</v>
      </c>
      <c r="AO242">
        <f t="shared" si="135"/>
        <v>0</v>
      </c>
      <c r="AP242">
        <f>IF('Исходные данные'!$B$51="Да",-MAX(0,AN242-AO242-AM242),0)</f>
        <v>0</v>
      </c>
      <c r="AQ242">
        <f>IF('Исходные данные'!$B$51="Да",MAX(0,AM242+AO242-AN242),0)</f>
        <v>0</v>
      </c>
      <c r="AR242">
        <f>IF('Исходные данные'!$B$53="Выручка",MAX(0,L242+(Q242-R242)+(U242-V242)),IF('Исходные данные'!$B$53="Прибыль до налога",MAX(0,L242+(Q242-R242)+(U242-V242)+N('Исходные данные'!$B$54)*((O242+P242)+(S242+T242)+W242+X242)+IF('Исходные данные'!$B$55="Да",AG242,0)-N('Исходные данные'!$B$56)/12),IF('Исходные данные'!$B$53="Пользовательская база",MAX(0,N('Исходные данные'!$B$57)/12),0)))</f>
        <v>0</v>
      </c>
      <c r="AS242">
        <f>IF(E242=1,-AR242*N('Исходные данные'!$B$50),0)</f>
        <v>0</v>
      </c>
      <c r="AT242">
        <f t="shared" si="136"/>
        <v>0</v>
      </c>
      <c r="AU242">
        <f>IF(OR(B242="",N('Исходные данные'!$B$80)&lt;=0,'Исходные данные'!$B$88=""),0,MAX(0,IF('Исходные данные'!$B$88="Последние 12 месяцев",SUMIFS($Y$2:$Y$194,$B$2:$B$194,"&gt;="&amp;EDATE(B242,-11),$B$2:$B$194,"&lt;="&amp;B242),IF('Исходные данные'!$B$88="Пользовательский NOI",N('Исходные данные'!$B$89),AT242))/N('Исходные данные'!$B$80)*(1+N('Исходные данные'!$B$81))))</f>
        <v>0</v>
      </c>
      <c r="AV242">
        <f>IF(OR(E242&lt;&gt;1,B242="",'Исходные данные'!$B$91=""),0,IF(AND(YEAR(B242)=YEAR('Исходные данные'!$B$91),MONTH(B242)=MONTH('Исходные данные'!$B$91)),AU242,0))</f>
        <v>0</v>
      </c>
      <c r="AW242">
        <f>-AV242*N('Исходные данные'!$B$73)</f>
        <v>0</v>
      </c>
      <c r="AX242">
        <f>IF(AV242=0,0,-N('Исходные данные'!$B$87)-IF('Исходные данные'!$B$82="Да",IF('Исходные данные'!$B$84="С выручки",AV242,IF('Исходные данные'!$B$84="С прибыли",MAX(0,AV242+AW242-IF('Исходные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42">
        <f t="shared" si="150"/>
        <v>0</v>
      </c>
      <c r="AZ242">
        <f t="shared" si="137"/>
        <v>0</v>
      </c>
      <c r="BA242">
        <f t="shared" si="151"/>
        <v>0</v>
      </c>
      <c r="BB242" t="str">
        <f t="shared" si="138"/>
        <v/>
      </c>
      <c r="BC242">
        <f>IF(OR(E242=0,'Исходные данные'!$B$9="",'Исходные данные'!$B$90=""),0,BA242/(1+'Исходные данные'!$B$90)^((D242-'Исходные данные'!$B$9)/365))</f>
        <v>0</v>
      </c>
      <c r="BD242">
        <f>IF(AND(E242=1,BB242&gt;=0,BB241&lt;0,MIN($BB$2:BB242)&lt;0),1,0)</f>
        <v>0</v>
      </c>
      <c r="BE242">
        <f t="shared" si="139"/>
        <v>0</v>
      </c>
      <c r="BF242">
        <f t="shared" si="140"/>
        <v>0</v>
      </c>
      <c r="BG242">
        <f t="shared" si="141"/>
        <v>0</v>
      </c>
      <c r="BH242">
        <f t="shared" si="142"/>
        <v>1</v>
      </c>
      <c r="BI242">
        <f>AZ242+N242+AP242-AR242*N('Исходные данные'!$B$50)</f>
        <v>0</v>
      </c>
      <c r="BJ242">
        <f t="shared" si="143"/>
        <v>0</v>
      </c>
      <c r="BK242">
        <f>IF(AND(BJ242&gt;=0,BJ241&lt;0,MIN($BJ$2:BJ242)&lt;0),1,0)</f>
        <v>0</v>
      </c>
    </row>
    <row r="243" spans="1:63" x14ac:dyDescent="0.2">
      <c r="A243">
        <v>242</v>
      </c>
      <c r="B243" t="str">
        <f>IF('Исходные данные'!$B$9="","",EDATE(DATE(YEAR('Исходные данные'!$B$9),MONTH('Исходные данные'!$B$9),1),A243-1))</f>
        <v/>
      </c>
      <c r="C243" t="str">
        <f t="shared" si="144"/>
        <v/>
      </c>
      <c r="D243" t="str">
        <f>IF(B243="","",IF('Исходные данные'!$B$91&lt;&gt;"",IF(AND(YEAR(B243)=YEAR('Исходные данные'!$B$91),MONTH(B243)=MONTH('Исходные данные'!$B$91)),'Исходные данные'!$B$91,IF('Исходные данные'!$B$13&lt;&gt;"",IF(AND(YEAR(B243)=YEAR('Исходные данные'!$B$13),MONTH(B243)=MONTH('Исходные данные'!$B$13)),'Исходные данные'!$B$13,IF('Исходные данные'!$B$26&lt;&gt;"",IF(AND(YEAR(B243)=YEAR('Исходные данные'!$B$26),MONTH(B243)=MONTH('Исходные данные'!$B$26)),'Исходные данные'!$B$26,IF(A243=1,'Исходные данные'!$B$9,C243)),IF(A243=1,'Исходные данные'!$B$9,C243))),IF('Исходные данные'!$B$26&lt;&gt;"",IF(AND(YEAR(B243)=YEAR('Исходные данные'!$B$26),MONTH(B243)=MONTH('Исходные данные'!$B$26)),'Исходные данные'!$B$26,IF(A243=1,'Исходные данные'!$B$9,C243)),IF(A243=1,'Исходные данные'!$B$9,C243)))),IF('Исходные данные'!$B$13&lt;&gt;"",IF(AND(YEAR(B243)=YEAR('Исходные данные'!$B$13),MONTH(B243)=MONTH('Исходные данные'!$B$13)),'Исходные данные'!$B$13,IF('Исходные данные'!$B$26&lt;&gt;"",IF(AND(YEAR(B243)=YEAR('Исходные данные'!$B$26),MONTH(B243)=MONTH('Исходные данные'!$B$26)),'Исходные данные'!$B$26,IF(A243=1,'Исходные данные'!$B$9,C243)),IF(A243=1,'Исходные данные'!$B$9,C243))),IF('Исходные данные'!$B$26&lt;&gt;"",IF(AND(YEAR(B243)=YEAR('Исходные данные'!$B$26),MONTH(B243)=MONTH('Исходные данные'!$B$26)),'Исходные данные'!$B$26,IF(A243=1,'Исходные данные'!$B$9,C243)),IF(A243=1,'Исходные данные'!$B$9,C243)))))</f>
        <v/>
      </c>
      <c r="E243">
        <f>IF(OR(B243="",'Исходные данные'!$B$91=""),0,--(B243&lt;=DATE(YEAR('Исходные данные'!$B$91),MONTH('Исходные данные'!$B$91),1)))</f>
        <v>0</v>
      </c>
      <c r="F243">
        <f>IF(OR(B243="",'Исходные данные'!$B$30="",C243&lt;'Исходные данные'!$B$30),0,DATEDIF(DATE(YEAR('Исходные данные'!$B$30),MONTH('Исходные данные'!$B$30),1),B243,"m")+1)</f>
        <v>0</v>
      </c>
      <c r="G243">
        <f t="shared" si="145"/>
        <v>0</v>
      </c>
      <c r="H243">
        <f>IF(F243=0,0,IF(G243=1,N('Исходные данные'!$B$31),IF(G243=2,N('Исходные данные'!$B$32),IF(G243=3,N('Исходные данные'!$B$33),N('Исходные данные'!$B$33)*(1+N('Исходные данные'!$B$34))^(G243-3)))))</f>
        <v>0</v>
      </c>
      <c r="I243">
        <f>IF(OR(F243=0,N('Исходные данные'!$B$5)=0,H243=0),0,'Исходные данные'!$B$5*H243*IF(AND(B243&lt;='Исходные данные'!$B$30,C243&gt;='Исходные данные'!$B$30),(C243-'Исходные данные'!$B$30+1)/DAY(C243),1))</f>
        <v>0</v>
      </c>
      <c r="J243">
        <f>IF(AND(F243&gt;0,F243&lt;=N('Исходные данные'!$B$37)),-I243,0)</f>
        <v>0</v>
      </c>
      <c r="K243">
        <f>IF(OR(F243=0,F243&lt;=N('Исходные данные'!$B$37)),0,-(I243+J243)*N('Исходные данные'!$B$38))</f>
        <v>0</v>
      </c>
      <c r="L243">
        <f t="shared" si="146"/>
        <v>0</v>
      </c>
      <c r="M243">
        <f>IF('Исходные данные'!$B$51="Да",L243*N('Исходные данные'!$B$52),0)</f>
        <v>0</v>
      </c>
      <c r="N243">
        <f t="shared" si="147"/>
        <v>0</v>
      </c>
      <c r="O243">
        <f>IF(OR(B243="",IF('Исходные данные'!$B$45="",'Исходные данные'!$B$10,'Исходные данные'!$B$45)="",C243&lt;IF('Исходные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данные'!$B$45)),1),B243,"m")/12))*IF(AND(B243&lt;=IF('Исходные данные'!$B$45="",'Исходные данные'!$B$10,'Исходные данные'!$B$45),C243&gt;=IF('Исходные данные'!$B$45="",'Исходные данные'!$B$10,'Исходные данные'!$B$45)),(C243-IF('Исходные данные'!$B$45="",'Исходные данные'!$B$10,'Исходные данные'!$B$45)+1)/DAY(C243),1)*IF('Исходные данные'!$B$43="Без НДС",1+N('Исходные данные'!$B$44),1))</f>
        <v>0</v>
      </c>
      <c r="P243">
        <f>IF('Исходные данные'!$B$51="Да",-O243*N('Исходные данные'!$B$44)/(1+N('Исходные данные'!$B$44)),0)</f>
        <v>0</v>
      </c>
      <c r="Q243">
        <f>IF('Исходные данные'!$B$35="Да",-O243,0)</f>
        <v>0</v>
      </c>
      <c r="R243">
        <f>IF(AND('Исходные данные'!$B$51="Да",Q243&gt;0),Q243*N('Исходные данные'!$B$52)/(1+N('Исходные данные'!$B$52)),0)</f>
        <v>0</v>
      </c>
      <c r="S243">
        <f>IF(OR(B243="",IF('Исходные данные'!$B$45="",'Исходные данные'!$B$10,'Исходные данные'!$B$45)="",C243&lt;IF('Исходные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данные'!$B$45)),1),B243,"m")/12))*IF(AND(B243&lt;=IF('Исходные данные'!$B$45="",'Исходные данные'!$B$10,'Исходные данные'!$B$45),C243&gt;=IF('Исходные данные'!$B$45="",'Исходные данные'!$B$10,'Исходные данные'!$B$45)),(C243-IF('Исходные данные'!$B$45="",'Исходные данные'!$B$10,'Исходные данные'!$B$45)+1)/DAY(C243),1)*IF('Исходные данные'!$B$43="Без НДС",1+N('Исходные данные'!$B$44),1))</f>
        <v>0</v>
      </c>
      <c r="T243">
        <f>IF('Исходные данные'!$B$51="Да",-S243*N('Исходные данные'!$B$44)/(1+N('Исходные данные'!$B$44)),0)</f>
        <v>0</v>
      </c>
      <c r="U243">
        <f>IF('Исходные данные'!$B$36="Да",-S243,0)</f>
        <v>0</v>
      </c>
      <c r="V243">
        <f>IF(AND('Исходные данные'!$B$51="Да",U243&gt;0),U243*N('Исходные данные'!$B$52)/(1+N('Исходные данные'!$B$52)),0)</f>
        <v>0</v>
      </c>
      <c r="W243">
        <f>IF(OR(B243="",IF('Исходные данные'!$B$69="",'Исходные данные'!$B$10,'Исходные данные'!$B$69)="",C243&lt;IF('Исходные данные'!$B$69="",'Исходные данные'!$B$10,'Исходные данные'!$B$69)),0,-N('Исходные данные'!$B$16)*N('Исходные данные'!$B$68)*N('Исходные данные'!$B$67)/12*IF(AND(B243&lt;=IF('Исходные данные'!$B$69="",'Исходные данные'!$B$10,'Исходные данные'!$B$69),C243&gt;=IF('Исходные данные'!$B$69="",'Исходные данные'!$B$10,'Исходные данные'!$B$69)),(C243-IF('Исходные данные'!$B$69="",'Исходные данные'!$B$10,'Исходные данные'!$B$69)+1)/DAY(C243),1))</f>
        <v>0</v>
      </c>
      <c r="X243">
        <f>IF(OR(B243="",IF('Исходные данные'!$B$76="",'Исходные данные'!$B$10,'Исходные данные'!$B$76)="",C243&lt;IF('Исходные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данные'!$B$76)),1),B243,"m")/12))*IF(AND(B243&lt;=IF('Исходные данные'!$B$76="",'Исходные данные'!$B$10,'Исходные данные'!$B$76),C243&gt;=IF('Исходные данные'!$B$76="",'Исходные данные'!$B$10,'Исходные данные'!$B$76)),(C243-IF('Исходные данные'!$B$76="",'Исходные данные'!$B$10,'Исходные данные'!$B$76)+1)/DAY(C243),1))</f>
        <v>0</v>
      </c>
      <c r="Y243">
        <f t="shared" si="148"/>
        <v>0</v>
      </c>
      <c r="Z243">
        <f>IF(OR(B243="",N('Исходные данные'!$B$19)=0),0,-SUMIFS('Исходные данные'!$I$6:$I$186,'Исходные данные'!$F$6:$F$186,B243)*N('Исходные данные'!$B$17)/N('Исходные данные'!$B$19))</f>
        <v>0</v>
      </c>
      <c r="AA243">
        <f>IF(OR(B243="",N('Исходные данные'!$B$19)=0),0,-SUMIFS('Исходные данные'!$I$6:$I$186,'Исходные данные'!$F$6:$F$186,B243)*N('Исходные данные'!$B$18)/N('Исходные данные'!$B$19))</f>
        <v>0</v>
      </c>
      <c r="AB243">
        <f>IF(OR(B243="",'Исходные данные'!$B$13=""),0,IF(AND(YEAR(B243)=YEAR('Исходные данные'!$B$13),MONTH(B243)=MONTH('Исходные данные'!$B$13)),-N('Исходные данные'!$B$11),0))</f>
        <v>0</v>
      </c>
      <c r="AC243">
        <f>IF(A243=1,-N('Исходные данные'!$B$19)*N('Исходные данные'!$B$72),0)</f>
        <v>0</v>
      </c>
      <c r="AD243">
        <f>IF(OR(B243="",'Исходные данные'!$B$22&lt;&gt;"Да",'Исходные данные'!$B$26=""),0,IF(AND(YEAR(B243)=YEAR('Исходные данные'!$B$26),MONTH(B243)=MONTH('Исходные данные'!$B$26)),N('Исходные данные'!$B$23),0))</f>
        <v>0</v>
      </c>
      <c r="AE243">
        <f t="shared" si="131"/>
        <v>0</v>
      </c>
      <c r="AF243">
        <f>IF(OR('Исходные данные'!$B$22&lt;&gt;"Да",'Исходные данные'!$B$26="",C243&lt;'Исходные данные'!$B$26),0,DATEDIF(DATE(YEAR('Исходные данные'!$B$26),MONTH('Исходные данные'!$B$26),1),B243,"m")+1)</f>
        <v>0</v>
      </c>
      <c r="AG243">
        <f>IF(OR(AF243&lt;1,AF243&gt;N('Исходные данные'!$B$25),AE243+AD243&lt;=0),0,-(AE243+AD243)*N('Исходные данные'!$B$24)*IF(AF243=1,C243-'Исходные данные'!$B$26+1,DAY(C243))/365)</f>
        <v>0</v>
      </c>
      <c r="AH243">
        <f>IF(OR(AF243&lt;1,AF243&gt;N('Исходные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данные'!$B$25)-AG243))</f>
        <v>0</v>
      </c>
      <c r="AI243">
        <f>IF(OR('Исходные данные'!$B$22&lt;&gt;"Да",AE243+AD243&lt;=0),0,IF(AND('Исходные данные'!$B$91&lt;&gt;"",B243&lt;&gt;"",YEAR(B243)=YEAR('Исходные данные'!$B$91),MONTH(B243)=MONTH('Исходные данные'!$B$91)),-(AE243+AD243),IF(OR(AF243&lt;1,AF243&gt;N('Исходные данные'!$B$25)),0,IF('Исходные данные'!$B$27="Равными долями",-MIN(AE243+AD243,N('Исходные данные'!$B$23)/N('Исходные данные'!$B$25)),-MIN(AE243+AD243,IF(AF243=N('Исходные данные'!$B$25),AE243+AD243,MAX(0,AH243+AG243)))))))</f>
        <v>0</v>
      </c>
      <c r="AJ243">
        <f t="shared" si="149"/>
        <v>0</v>
      </c>
      <c r="AK243">
        <f t="shared" si="132"/>
        <v>0</v>
      </c>
      <c r="AL243">
        <f>IF(OR(B243="",'Исходные данные'!$B$51&lt;&gt;"Да",'Исходные данные'!$B$61=""),0,IF(AND(YEAR(B243)=YEAR('Исходные данные'!$B$61),MONTH(B243)=MONTH('Исходные данные'!$B$61)),N('Исходные данные'!$B$18)*N('Исходные данные'!$B$62),0))</f>
        <v>0</v>
      </c>
      <c r="AM243">
        <f t="shared" si="133"/>
        <v>0</v>
      </c>
      <c r="AN243">
        <f t="shared" si="134"/>
        <v>0</v>
      </c>
      <c r="AO243">
        <f t="shared" si="135"/>
        <v>0</v>
      </c>
      <c r="AP243">
        <f>IF('Исходные данные'!$B$51="Да",-MAX(0,AN243-AO243-AM243),0)</f>
        <v>0</v>
      </c>
      <c r="AQ243">
        <f>IF('Исходные данные'!$B$51="Да",MAX(0,AM243+AO243-AN243),0)</f>
        <v>0</v>
      </c>
      <c r="AR243">
        <f>IF('Исходные данные'!$B$53="Выручка",MAX(0,L243+(Q243-R243)+(U243-V243)),IF('Исходные данные'!$B$53="Прибыль до налога",MAX(0,L243+(Q243-R243)+(U243-V243)+N('Исходные данные'!$B$54)*((O243+P243)+(S243+T243)+W243+X243)+IF('Исходные данные'!$B$55="Да",AG243,0)-N('Исходные данные'!$B$56)/12),IF('Исходные данные'!$B$53="Пользовательская база",MAX(0,N('Исходные данные'!$B$57)/12),0)))</f>
        <v>0</v>
      </c>
      <c r="AS243">
        <f>IF(E243=1,-AR243*N('Исходные данные'!$B$50),0)</f>
        <v>0</v>
      </c>
      <c r="AT243">
        <f t="shared" si="136"/>
        <v>0</v>
      </c>
      <c r="AU243">
        <f>IF(OR(B243="",N('Исходные данные'!$B$80)&lt;=0,'Исходные данные'!$B$88=""),0,MAX(0,IF('Исходные данные'!$B$88="Последние 12 месяцев",SUMIFS($Y$2:$Y$194,$B$2:$B$194,"&gt;="&amp;EDATE(B243,-11),$B$2:$B$194,"&lt;="&amp;B243),IF('Исходные данные'!$B$88="Пользовательский NOI",N('Исходные данные'!$B$89),AT243))/N('Исходные данные'!$B$80)*(1+N('Исходные данные'!$B$81))))</f>
        <v>0</v>
      </c>
      <c r="AV243">
        <f>IF(OR(E243&lt;&gt;1,B243="",'Исходные данные'!$B$91=""),0,IF(AND(YEAR(B243)=YEAR('Исходные данные'!$B$91),MONTH(B243)=MONTH('Исходные данные'!$B$91)),AU243,0))</f>
        <v>0</v>
      </c>
      <c r="AW243">
        <f>-AV243*N('Исходные данные'!$B$73)</f>
        <v>0</v>
      </c>
      <c r="AX243">
        <f>IF(AV243=0,0,-N('Исходные данные'!$B$87)-IF('Исходные данные'!$B$82="Да",IF('Исходные данные'!$B$84="С выручки",AV243,IF('Исходные данные'!$B$84="С прибыли",MAX(0,AV243+AW243-IF('Исходные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43">
        <f t="shared" si="150"/>
        <v>0</v>
      </c>
      <c r="AZ243">
        <f t="shared" si="137"/>
        <v>0</v>
      </c>
      <c r="BA243">
        <f t="shared" si="151"/>
        <v>0</v>
      </c>
      <c r="BB243" t="str">
        <f t="shared" si="138"/>
        <v/>
      </c>
      <c r="BC243">
        <f>IF(OR(E243=0,'Исходные данные'!$B$9="",'Исходные данные'!$B$90=""),0,BA243/(1+'Исходные данные'!$B$90)^((D243-'Исходные данные'!$B$9)/365))</f>
        <v>0</v>
      </c>
      <c r="BD243">
        <f>IF(AND(E243=1,BB243&gt;=0,BB242&lt;0,MIN($BB$2:BB243)&lt;0),1,0)</f>
        <v>0</v>
      </c>
      <c r="BE243">
        <f t="shared" si="139"/>
        <v>0</v>
      </c>
      <c r="BF243">
        <f t="shared" si="140"/>
        <v>0</v>
      </c>
      <c r="BG243">
        <f t="shared" si="141"/>
        <v>0</v>
      </c>
      <c r="BH243">
        <f t="shared" si="142"/>
        <v>1</v>
      </c>
      <c r="BI243">
        <f>AZ243+N243+AP243-AR243*N('Исходные данные'!$B$50)</f>
        <v>0</v>
      </c>
      <c r="BJ243">
        <f t="shared" si="143"/>
        <v>0</v>
      </c>
      <c r="BK243">
        <f>IF(AND(BJ243&gt;=0,BJ242&lt;0,MIN($BJ$2:BJ243)&lt;0),1,0)</f>
        <v>0</v>
      </c>
    </row>
    <row r="244" spans="1:63" x14ac:dyDescent="0.2">
      <c r="A244">
        <v>243</v>
      </c>
      <c r="B244" t="str">
        <f>IF('Исходные данные'!$B$9="","",EDATE(DATE(YEAR('Исходные данные'!$B$9),MONTH('Исходные данные'!$B$9),1),A244-1))</f>
        <v/>
      </c>
      <c r="C244" t="str">
        <f t="shared" si="144"/>
        <v/>
      </c>
      <c r="D244" t="str">
        <f>IF(B244="","",IF('Исходные данные'!$B$91&lt;&gt;"",IF(AND(YEAR(B244)=YEAR('Исходные данные'!$B$91),MONTH(B244)=MONTH('Исходные данные'!$B$91)),'Исходные данные'!$B$91,IF('Исходные данные'!$B$13&lt;&gt;"",IF(AND(YEAR(B244)=YEAR('Исходные данные'!$B$13),MONTH(B244)=MONTH('Исходные данные'!$B$13)),'Исходные данные'!$B$13,IF('Исходные данные'!$B$26&lt;&gt;"",IF(AND(YEAR(B244)=YEAR('Исходные данные'!$B$26),MONTH(B244)=MONTH('Исходные данные'!$B$26)),'Исходные данные'!$B$26,IF(A244=1,'Исходные данные'!$B$9,C244)),IF(A244=1,'Исходные данные'!$B$9,C244))),IF('Исходные данные'!$B$26&lt;&gt;"",IF(AND(YEAR(B244)=YEAR('Исходные данные'!$B$26),MONTH(B244)=MONTH('Исходные данные'!$B$26)),'Исходные данные'!$B$26,IF(A244=1,'Исходные данные'!$B$9,C244)),IF(A244=1,'Исходные данные'!$B$9,C244)))),IF('Исходные данные'!$B$13&lt;&gt;"",IF(AND(YEAR(B244)=YEAR('Исходные данные'!$B$13),MONTH(B244)=MONTH('Исходные данные'!$B$13)),'Исходные данные'!$B$13,IF('Исходные данные'!$B$26&lt;&gt;"",IF(AND(YEAR(B244)=YEAR('Исходные данные'!$B$26),MONTH(B244)=MONTH('Исходные данные'!$B$26)),'Исходные данные'!$B$26,IF(A244=1,'Исходные данные'!$B$9,C244)),IF(A244=1,'Исходные данные'!$B$9,C244))),IF('Исходные данные'!$B$26&lt;&gt;"",IF(AND(YEAR(B244)=YEAR('Исходные данные'!$B$26),MONTH(B244)=MONTH('Исходные данные'!$B$26)),'Исходные данные'!$B$26,IF(A244=1,'Исходные данные'!$B$9,C244)),IF(A244=1,'Исходные данные'!$B$9,C244)))))</f>
        <v/>
      </c>
      <c r="E244">
        <f>IF(OR(B244="",'Исходные данные'!$B$91=""),0,--(B244&lt;=DATE(YEAR('Исходные данные'!$B$91),MONTH('Исходные данные'!$B$91),1)))</f>
        <v>0</v>
      </c>
      <c r="F244">
        <f>IF(OR(B244="",'Исходные данные'!$B$30="",C244&lt;'Исходные данные'!$B$30),0,DATEDIF(DATE(YEAR('Исходные данные'!$B$30),MONTH('Исходные данные'!$B$30),1),B244,"m")+1)</f>
        <v>0</v>
      </c>
      <c r="G244">
        <f t="shared" si="145"/>
        <v>0</v>
      </c>
      <c r="H244">
        <f>IF(F244=0,0,IF(G244=1,N('Исходные данные'!$B$31),IF(G244=2,N('Исходные данные'!$B$32),IF(G244=3,N('Исходные данные'!$B$33),N('Исходные данные'!$B$33)*(1+N('Исходные данные'!$B$34))^(G244-3)))))</f>
        <v>0</v>
      </c>
      <c r="I244">
        <f>IF(OR(F244=0,N('Исходные данные'!$B$5)=0,H244=0),0,'Исходные данные'!$B$5*H244*IF(AND(B244&lt;='Исходные данные'!$B$30,C244&gt;='Исходные данные'!$B$30),(C244-'Исходные данные'!$B$30+1)/DAY(C244),1))</f>
        <v>0</v>
      </c>
      <c r="J244">
        <f>IF(AND(F244&gt;0,F244&lt;=N('Исходные данные'!$B$37)),-I244,0)</f>
        <v>0</v>
      </c>
      <c r="K244">
        <f>IF(OR(F244=0,F244&lt;=N('Исходные данные'!$B$37)),0,-(I244+J244)*N('Исходные данные'!$B$38))</f>
        <v>0</v>
      </c>
      <c r="L244">
        <f t="shared" si="146"/>
        <v>0</v>
      </c>
      <c r="M244">
        <f>IF('Исходные данные'!$B$51="Да",L244*N('Исходные данные'!$B$52),0)</f>
        <v>0</v>
      </c>
      <c r="N244">
        <f t="shared" si="147"/>
        <v>0</v>
      </c>
      <c r="O244">
        <f>IF(OR(B244="",IF('Исходные данные'!$B$45="",'Исходные данные'!$B$10,'Исходные данные'!$B$45)="",C244&lt;IF('Исходные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данные'!$B$45)),1),B244,"m")/12))*IF(AND(B244&lt;=IF('Исходные данные'!$B$45="",'Исходные данные'!$B$10,'Исходные данные'!$B$45),C244&gt;=IF('Исходные данные'!$B$45="",'Исходные данные'!$B$10,'Исходные данные'!$B$45)),(C244-IF('Исходные данные'!$B$45="",'Исходные данные'!$B$10,'Исходные данные'!$B$45)+1)/DAY(C244),1)*IF('Исходные данные'!$B$43="Без НДС",1+N('Исходные данные'!$B$44),1))</f>
        <v>0</v>
      </c>
      <c r="P244">
        <f>IF('Исходные данные'!$B$51="Да",-O244*N('Исходные данные'!$B$44)/(1+N('Исходные данные'!$B$44)),0)</f>
        <v>0</v>
      </c>
      <c r="Q244">
        <f>IF('Исходные данные'!$B$35="Да",-O244,0)</f>
        <v>0</v>
      </c>
      <c r="R244">
        <f>IF(AND('Исходные данные'!$B$51="Да",Q244&gt;0),Q244*N('Исходные данные'!$B$52)/(1+N('Исходные данные'!$B$52)),0)</f>
        <v>0</v>
      </c>
      <c r="S244">
        <f>IF(OR(B244="",IF('Исходные данные'!$B$45="",'Исходные данные'!$B$10,'Исходные данные'!$B$45)="",C244&lt;IF('Исходные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данные'!$B$45)),1),B244,"m")/12))*IF(AND(B244&lt;=IF('Исходные данные'!$B$45="",'Исходные данные'!$B$10,'Исходные данные'!$B$45),C244&gt;=IF('Исходные данные'!$B$45="",'Исходные данные'!$B$10,'Исходные данные'!$B$45)),(C244-IF('Исходные данные'!$B$45="",'Исходные данные'!$B$10,'Исходные данные'!$B$45)+1)/DAY(C244),1)*IF('Исходные данные'!$B$43="Без НДС",1+N('Исходные данные'!$B$44),1))</f>
        <v>0</v>
      </c>
      <c r="T244">
        <f>IF('Исходные данные'!$B$51="Да",-S244*N('Исходные данные'!$B$44)/(1+N('Исходные данные'!$B$44)),0)</f>
        <v>0</v>
      </c>
      <c r="U244">
        <f>IF('Исходные данные'!$B$36="Да",-S244,0)</f>
        <v>0</v>
      </c>
      <c r="V244">
        <f>IF(AND('Исходные данные'!$B$51="Да",U244&gt;0),U244*N('Исходные данные'!$B$52)/(1+N('Исходные данные'!$B$52)),0)</f>
        <v>0</v>
      </c>
      <c r="W244">
        <f>IF(OR(B244="",IF('Исходные данные'!$B$69="",'Исходные данные'!$B$10,'Исходные данные'!$B$69)="",C244&lt;IF('Исходные данные'!$B$69="",'Исходные данные'!$B$10,'Исходные данные'!$B$69)),0,-N('Исходные данные'!$B$16)*N('Исходные данные'!$B$68)*N('Исходные данные'!$B$67)/12*IF(AND(B244&lt;=IF('Исходные данные'!$B$69="",'Исходные данные'!$B$10,'Исходные данные'!$B$69),C244&gt;=IF('Исходные данные'!$B$69="",'Исходные данные'!$B$10,'Исходные данные'!$B$69)),(C244-IF('Исходные данные'!$B$69="",'Исходные данные'!$B$10,'Исходные данные'!$B$69)+1)/DAY(C244),1))</f>
        <v>0</v>
      </c>
      <c r="X244">
        <f>IF(OR(B244="",IF('Исходные данные'!$B$76="",'Исходные данные'!$B$10,'Исходные данные'!$B$76)="",C244&lt;IF('Исходные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данные'!$B$76)),1),B244,"m")/12))*IF(AND(B244&lt;=IF('Исходные данные'!$B$76="",'Исходные данные'!$B$10,'Исходные данные'!$B$76),C244&gt;=IF('Исходные данные'!$B$76="",'Исходные данные'!$B$10,'Исходные данные'!$B$76)),(C244-IF('Исходные данные'!$B$76="",'Исходные данные'!$B$10,'Исходные данные'!$B$76)+1)/DAY(C244),1))</f>
        <v>0</v>
      </c>
      <c r="Y244">
        <f t="shared" si="148"/>
        <v>0</v>
      </c>
      <c r="Z244">
        <f>IF(OR(B244="",N('Исходные данные'!$B$19)=0),0,-SUMIFS('Исходные данные'!$I$6:$I$186,'Исходные данные'!$F$6:$F$186,B244)*N('Исходные данные'!$B$17)/N('Исходные данные'!$B$19))</f>
        <v>0</v>
      </c>
      <c r="AA244">
        <f>IF(OR(B244="",N('Исходные данные'!$B$19)=0),0,-SUMIFS('Исходные данные'!$I$6:$I$186,'Исходные данные'!$F$6:$F$186,B244)*N('Исходные данные'!$B$18)/N('Исходные данные'!$B$19))</f>
        <v>0</v>
      </c>
      <c r="AB244">
        <f>IF(OR(B244="",'Исходные данные'!$B$13=""),0,IF(AND(YEAR(B244)=YEAR('Исходные данные'!$B$13),MONTH(B244)=MONTH('Исходные данные'!$B$13)),-N('Исходные данные'!$B$11),0))</f>
        <v>0</v>
      </c>
      <c r="AC244">
        <f>IF(A244=1,-N('Исходные данные'!$B$19)*N('Исходные данные'!$B$72),0)</f>
        <v>0</v>
      </c>
      <c r="AD244">
        <f>IF(OR(B244="",'Исходные данные'!$B$22&lt;&gt;"Да",'Исходные данные'!$B$26=""),0,IF(AND(YEAR(B244)=YEAR('Исходные данные'!$B$26),MONTH(B244)=MONTH('Исходные данные'!$B$26)),N('Исходные данные'!$B$23),0))</f>
        <v>0</v>
      </c>
      <c r="AE244">
        <f t="shared" si="131"/>
        <v>0</v>
      </c>
      <c r="AF244">
        <f>IF(OR('Исходные данные'!$B$22&lt;&gt;"Да",'Исходные данные'!$B$26="",C244&lt;'Исходные данные'!$B$26),0,DATEDIF(DATE(YEAR('Исходные данные'!$B$26),MONTH('Исходные данные'!$B$26),1),B244,"m")+1)</f>
        <v>0</v>
      </c>
      <c r="AG244">
        <f>IF(OR(AF244&lt;1,AF244&gt;N('Исходные данные'!$B$25),AE244+AD244&lt;=0),0,-(AE244+AD244)*N('Исходные данные'!$B$24)*IF(AF244=1,C244-'Исходные данные'!$B$26+1,DAY(C244))/365)</f>
        <v>0</v>
      </c>
      <c r="AH244">
        <f>IF(OR(AF244&lt;1,AF244&gt;N('Исходные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данные'!$B$25)-AG244))</f>
        <v>0</v>
      </c>
      <c r="AI244">
        <f>IF(OR('Исходные данные'!$B$22&lt;&gt;"Да",AE244+AD244&lt;=0),0,IF(AND('Исходные данные'!$B$91&lt;&gt;"",B244&lt;&gt;"",YEAR(B244)=YEAR('Исходные данные'!$B$91),MONTH(B244)=MONTH('Исходные данные'!$B$91)),-(AE244+AD244),IF(OR(AF244&lt;1,AF244&gt;N('Исходные данные'!$B$25)),0,IF('Исходные данные'!$B$27="Равными долями",-MIN(AE244+AD244,N('Исходные данные'!$B$23)/N('Исходные данные'!$B$25)),-MIN(AE244+AD244,IF(AF244=N('Исходные данные'!$B$25),AE244+AD244,MAX(0,AH244+AG244)))))))</f>
        <v>0</v>
      </c>
      <c r="AJ244">
        <f t="shared" si="149"/>
        <v>0</v>
      </c>
      <c r="AK244">
        <f t="shared" si="132"/>
        <v>0</v>
      </c>
      <c r="AL244">
        <f>IF(OR(B244="",'Исходные данные'!$B$51&lt;&gt;"Да",'Исходные данные'!$B$61=""),0,IF(AND(YEAR(B244)=YEAR('Исходные данные'!$B$61),MONTH(B244)=MONTH('Исходные данные'!$B$61)),N('Исходные данные'!$B$18)*N('Исходные данные'!$B$62),0))</f>
        <v>0</v>
      </c>
      <c r="AM244">
        <f t="shared" si="133"/>
        <v>0</v>
      </c>
      <c r="AN244">
        <f t="shared" si="134"/>
        <v>0</v>
      </c>
      <c r="AO244">
        <f t="shared" si="135"/>
        <v>0</v>
      </c>
      <c r="AP244">
        <f>IF('Исходные данные'!$B$51="Да",-MAX(0,AN244-AO244-AM244),0)</f>
        <v>0</v>
      </c>
      <c r="AQ244">
        <f>IF('Исходные данные'!$B$51="Да",MAX(0,AM244+AO244-AN244),0)</f>
        <v>0</v>
      </c>
      <c r="AR244">
        <f>IF('Исходные данные'!$B$53="Выручка",MAX(0,L244+(Q244-R244)+(U244-V244)),IF('Исходные данные'!$B$53="Прибыль до налога",MAX(0,L244+(Q244-R244)+(U244-V244)+N('Исходные данные'!$B$54)*((O244+P244)+(S244+T244)+W244+X244)+IF('Исходные данные'!$B$55="Да",AG244,0)-N('Исходные данные'!$B$56)/12),IF('Исходные данные'!$B$53="Пользовательская база",MAX(0,N('Исходные данные'!$B$57)/12),0)))</f>
        <v>0</v>
      </c>
      <c r="AS244">
        <f>IF(E244=1,-AR244*N('Исходные данные'!$B$50),0)</f>
        <v>0</v>
      </c>
      <c r="AT244">
        <f t="shared" si="136"/>
        <v>0</v>
      </c>
      <c r="AU244">
        <f>IF(OR(B244="",N('Исходные данные'!$B$80)&lt;=0,'Исходные данные'!$B$88=""),0,MAX(0,IF('Исходные данные'!$B$88="Последние 12 месяцев",SUMIFS($Y$2:$Y$194,$B$2:$B$194,"&gt;="&amp;EDATE(B244,-11),$B$2:$B$194,"&lt;="&amp;B244),IF('Исходные данные'!$B$88="Пользовательский NOI",N('Исходные данные'!$B$89),AT244))/N('Исходные данные'!$B$80)*(1+N('Исходные данные'!$B$81))))</f>
        <v>0</v>
      </c>
      <c r="AV244">
        <f>IF(OR(E244&lt;&gt;1,B244="",'Исходные данные'!$B$91=""),0,IF(AND(YEAR(B244)=YEAR('Исходные данные'!$B$91),MONTH(B244)=MONTH('Исходные данные'!$B$91)),AU244,0))</f>
        <v>0</v>
      </c>
      <c r="AW244">
        <f>-AV244*N('Исходные данные'!$B$73)</f>
        <v>0</v>
      </c>
      <c r="AX244">
        <f>IF(AV244=0,0,-N('Исходные данные'!$B$87)-IF('Исходные данные'!$B$82="Да",IF('Исходные данные'!$B$84="С выручки",AV244,IF('Исходные данные'!$B$84="С прибыли",MAX(0,AV244+AW244-IF('Исходные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44">
        <f t="shared" si="150"/>
        <v>0</v>
      </c>
      <c r="AZ244">
        <f t="shared" si="137"/>
        <v>0</v>
      </c>
      <c r="BA244">
        <f t="shared" si="151"/>
        <v>0</v>
      </c>
      <c r="BB244" t="str">
        <f t="shared" si="138"/>
        <v/>
      </c>
      <c r="BC244">
        <f>IF(OR(E244=0,'Исходные данные'!$B$9="",'Исходные данные'!$B$90=""),0,BA244/(1+'Исходные данные'!$B$90)^((D244-'Исходные данные'!$B$9)/365))</f>
        <v>0</v>
      </c>
      <c r="BD244">
        <f>IF(AND(E244=1,BB244&gt;=0,BB243&lt;0,MIN($BB$2:BB244)&lt;0),1,0)</f>
        <v>0</v>
      </c>
      <c r="BE244">
        <f t="shared" si="139"/>
        <v>0</v>
      </c>
      <c r="BF244">
        <f t="shared" si="140"/>
        <v>0</v>
      </c>
      <c r="BG244">
        <f t="shared" si="141"/>
        <v>0</v>
      </c>
      <c r="BH244">
        <f t="shared" si="142"/>
        <v>1</v>
      </c>
      <c r="BI244">
        <f>AZ244+N244+AP244-AR244*N('Исходные данные'!$B$50)</f>
        <v>0</v>
      </c>
      <c r="BJ244">
        <f t="shared" si="143"/>
        <v>0</v>
      </c>
      <c r="BK244">
        <f>IF(AND(BJ244&gt;=0,BJ243&lt;0,MIN($BJ$2:BJ244)&lt;0),1,0)</f>
        <v>0</v>
      </c>
    </row>
    <row r="245" spans="1:63" x14ac:dyDescent="0.2">
      <c r="A245">
        <v>244</v>
      </c>
      <c r="B245" t="str">
        <f>IF('Исходные данные'!$B$9="","",EDATE(DATE(YEAR('Исходные данные'!$B$9),MONTH('Исходные данные'!$B$9),1),A245-1))</f>
        <v/>
      </c>
      <c r="C245" t="str">
        <f t="shared" si="144"/>
        <v/>
      </c>
      <c r="D245" t="str">
        <f>IF(B245="","",IF('Исходные данные'!$B$91&lt;&gt;"",IF(AND(YEAR(B245)=YEAR('Исходные данные'!$B$91),MONTH(B245)=MONTH('Исходные данные'!$B$91)),'Исходные данные'!$B$91,IF('Исходные данные'!$B$13&lt;&gt;"",IF(AND(YEAR(B245)=YEAR('Исходные данные'!$B$13),MONTH(B245)=MONTH('Исходные данные'!$B$13)),'Исходные данные'!$B$13,IF('Исходные данные'!$B$26&lt;&gt;"",IF(AND(YEAR(B245)=YEAR('Исходные данные'!$B$26),MONTH(B245)=MONTH('Исходные данные'!$B$26)),'Исходные данные'!$B$26,IF(A245=1,'Исходные данные'!$B$9,C245)),IF(A245=1,'Исходные данные'!$B$9,C245))),IF('Исходные данные'!$B$26&lt;&gt;"",IF(AND(YEAR(B245)=YEAR('Исходные данные'!$B$26),MONTH(B245)=MONTH('Исходные данные'!$B$26)),'Исходные данные'!$B$26,IF(A245=1,'Исходные данные'!$B$9,C245)),IF(A245=1,'Исходные данные'!$B$9,C245)))),IF('Исходные данные'!$B$13&lt;&gt;"",IF(AND(YEAR(B245)=YEAR('Исходные данные'!$B$13),MONTH(B245)=MONTH('Исходные данные'!$B$13)),'Исходные данные'!$B$13,IF('Исходные данные'!$B$26&lt;&gt;"",IF(AND(YEAR(B245)=YEAR('Исходные данные'!$B$26),MONTH(B245)=MONTH('Исходные данные'!$B$26)),'Исходные данные'!$B$26,IF(A245=1,'Исходные данные'!$B$9,C245)),IF(A245=1,'Исходные данные'!$B$9,C245))),IF('Исходные данные'!$B$26&lt;&gt;"",IF(AND(YEAR(B245)=YEAR('Исходные данные'!$B$26),MONTH(B245)=MONTH('Исходные данные'!$B$26)),'Исходные данные'!$B$26,IF(A245=1,'Исходные данные'!$B$9,C245)),IF(A245=1,'Исходные данные'!$B$9,C245)))))</f>
        <v/>
      </c>
      <c r="E245">
        <f>IF(OR(B245="",'Исходные данные'!$B$91=""),0,--(B245&lt;=DATE(YEAR('Исходные данные'!$B$91),MONTH('Исходные данные'!$B$91),1)))</f>
        <v>0</v>
      </c>
      <c r="F245">
        <f>IF(OR(B245="",'Исходные данные'!$B$30="",C245&lt;'Исходные данные'!$B$30),0,DATEDIF(DATE(YEAR('Исходные данные'!$B$30),MONTH('Исходные данные'!$B$30),1),B245,"m")+1)</f>
        <v>0</v>
      </c>
      <c r="G245">
        <f t="shared" si="145"/>
        <v>0</v>
      </c>
      <c r="H245">
        <f>IF(F245=0,0,IF(G245=1,N('Исходные данные'!$B$31),IF(G245=2,N('Исходные данные'!$B$32),IF(G245=3,N('Исходные данные'!$B$33),N('Исходные данные'!$B$33)*(1+N('Исходные данные'!$B$34))^(G245-3)))))</f>
        <v>0</v>
      </c>
      <c r="I245">
        <f>IF(OR(F245=0,N('Исходные данные'!$B$5)=0,H245=0),0,'Исходные данные'!$B$5*H245*IF(AND(B245&lt;='Исходные данные'!$B$30,C245&gt;='Исходные данные'!$B$30),(C245-'Исходные данные'!$B$30+1)/DAY(C245),1))</f>
        <v>0</v>
      </c>
      <c r="J245">
        <f>IF(AND(F245&gt;0,F245&lt;=N('Исходные данные'!$B$37)),-I245,0)</f>
        <v>0</v>
      </c>
      <c r="K245">
        <f>IF(OR(F245=0,F245&lt;=N('Исходные данные'!$B$37)),0,-(I245+J245)*N('Исходные данные'!$B$38))</f>
        <v>0</v>
      </c>
      <c r="L245">
        <f t="shared" si="146"/>
        <v>0</v>
      </c>
      <c r="M245">
        <f>IF('Исходные данные'!$B$51="Да",L245*N('Исходные данные'!$B$52),0)</f>
        <v>0</v>
      </c>
      <c r="N245">
        <f t="shared" si="147"/>
        <v>0</v>
      </c>
      <c r="O245">
        <f>IF(OR(B245="",IF('Исходные данные'!$B$45="",'Исходные данные'!$B$10,'Исходные данные'!$B$45)="",C245&lt;IF('Исходные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данные'!$B$45)),1),B245,"m")/12))*IF(AND(B245&lt;=IF('Исходные данные'!$B$45="",'Исходные данные'!$B$10,'Исходные данные'!$B$45),C245&gt;=IF('Исходные данные'!$B$45="",'Исходные данные'!$B$10,'Исходные данные'!$B$45)),(C245-IF('Исходные данные'!$B$45="",'Исходные данные'!$B$10,'Исходные данные'!$B$45)+1)/DAY(C245),1)*IF('Исходные данные'!$B$43="Без НДС",1+N('Исходные данные'!$B$44),1))</f>
        <v>0</v>
      </c>
      <c r="P245">
        <f>IF('Исходные данные'!$B$51="Да",-O245*N('Исходные данные'!$B$44)/(1+N('Исходные данные'!$B$44)),0)</f>
        <v>0</v>
      </c>
      <c r="Q245">
        <f>IF('Исходные данные'!$B$35="Да",-O245,0)</f>
        <v>0</v>
      </c>
      <c r="R245">
        <f>IF(AND('Исходные данные'!$B$51="Да",Q245&gt;0),Q245*N('Исходные данные'!$B$52)/(1+N('Исходные данные'!$B$52)),0)</f>
        <v>0</v>
      </c>
      <c r="S245">
        <f>IF(OR(B245="",IF('Исходные данные'!$B$45="",'Исходные данные'!$B$10,'Исходные данные'!$B$45)="",C245&lt;IF('Исходные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данные'!$B$45)),1),B245,"m")/12))*IF(AND(B245&lt;=IF('Исходные данные'!$B$45="",'Исходные данные'!$B$10,'Исходные данные'!$B$45),C245&gt;=IF('Исходные данные'!$B$45="",'Исходные данные'!$B$10,'Исходные данные'!$B$45)),(C245-IF('Исходные данные'!$B$45="",'Исходные данные'!$B$10,'Исходные данные'!$B$45)+1)/DAY(C245),1)*IF('Исходные данные'!$B$43="Без НДС",1+N('Исходные данные'!$B$44),1))</f>
        <v>0</v>
      </c>
      <c r="T245">
        <f>IF('Исходные данные'!$B$51="Да",-S245*N('Исходные данные'!$B$44)/(1+N('Исходные данные'!$B$44)),0)</f>
        <v>0</v>
      </c>
      <c r="U245">
        <f>IF('Исходные данные'!$B$36="Да",-S245,0)</f>
        <v>0</v>
      </c>
      <c r="V245">
        <f>IF(AND('Исходные данные'!$B$51="Да",U245&gt;0),U245*N('Исходные данные'!$B$52)/(1+N('Исходные данные'!$B$52)),0)</f>
        <v>0</v>
      </c>
      <c r="W245">
        <f>IF(OR(B245="",IF('Исходные данные'!$B$69="",'Исходные данные'!$B$10,'Исходные данные'!$B$69)="",C245&lt;IF('Исходные данные'!$B$69="",'Исходные данные'!$B$10,'Исходные данные'!$B$69)),0,-N('Исходные данные'!$B$16)*N('Исходные данные'!$B$68)*N('Исходные данные'!$B$67)/12*IF(AND(B245&lt;=IF('Исходные данные'!$B$69="",'Исходные данные'!$B$10,'Исходные данные'!$B$69),C245&gt;=IF('Исходные данные'!$B$69="",'Исходные данные'!$B$10,'Исходные данные'!$B$69)),(C245-IF('Исходные данные'!$B$69="",'Исходные данные'!$B$10,'Исходные данные'!$B$69)+1)/DAY(C245),1))</f>
        <v>0</v>
      </c>
      <c r="X245">
        <f>IF(OR(B245="",IF('Исходные данные'!$B$76="",'Исходные данные'!$B$10,'Исходные данные'!$B$76)="",C245&lt;IF('Исходные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данные'!$B$76)),1),B245,"m")/12))*IF(AND(B245&lt;=IF('Исходные данные'!$B$76="",'Исходные данные'!$B$10,'Исходные данные'!$B$76),C245&gt;=IF('Исходные данные'!$B$76="",'Исходные данные'!$B$10,'Исходные данные'!$B$76)),(C245-IF('Исходные данные'!$B$76="",'Исходные данные'!$B$10,'Исходные данные'!$B$76)+1)/DAY(C245),1))</f>
        <v>0</v>
      </c>
      <c r="Y245">
        <f t="shared" si="148"/>
        <v>0</v>
      </c>
      <c r="Z245">
        <f>IF(OR(B245="",N('Исходные данные'!$B$19)=0),0,-SUMIFS('Исходные данные'!$I$6:$I$186,'Исходные данные'!$F$6:$F$186,B245)*N('Исходные данные'!$B$17)/N('Исходные данные'!$B$19))</f>
        <v>0</v>
      </c>
      <c r="AA245">
        <f>IF(OR(B245="",N('Исходные данные'!$B$19)=0),0,-SUMIFS('Исходные данные'!$I$6:$I$186,'Исходные данные'!$F$6:$F$186,B245)*N('Исходные данные'!$B$18)/N('Исходные данные'!$B$19))</f>
        <v>0</v>
      </c>
      <c r="AB245">
        <f>IF(OR(B245="",'Исходные данные'!$B$13=""),0,IF(AND(YEAR(B245)=YEAR('Исходные данные'!$B$13),MONTH(B245)=MONTH('Исходные данные'!$B$13)),-N('Исходные данные'!$B$11),0))</f>
        <v>0</v>
      </c>
      <c r="AC245">
        <f>IF(A245=1,-N('Исходные данные'!$B$19)*N('Исходные данные'!$B$72),0)</f>
        <v>0</v>
      </c>
      <c r="AD245">
        <f>IF(OR(B245="",'Исходные данные'!$B$22&lt;&gt;"Да",'Исходные данные'!$B$26=""),0,IF(AND(YEAR(B245)=YEAR('Исходные данные'!$B$26),MONTH(B245)=MONTH('Исходные данные'!$B$26)),N('Исходные данные'!$B$23),0))</f>
        <v>0</v>
      </c>
      <c r="AE245">
        <f t="shared" si="131"/>
        <v>0</v>
      </c>
      <c r="AF245">
        <f>IF(OR('Исходные данные'!$B$22&lt;&gt;"Да",'Исходные данные'!$B$26="",C245&lt;'Исходные данные'!$B$26),0,DATEDIF(DATE(YEAR('Исходные данные'!$B$26),MONTH('Исходные данные'!$B$26),1),B245,"m")+1)</f>
        <v>0</v>
      </c>
      <c r="AG245">
        <f>IF(OR(AF245&lt;1,AF245&gt;N('Исходные данные'!$B$25),AE245+AD245&lt;=0),0,-(AE245+AD245)*N('Исходные данные'!$B$24)*IF(AF245=1,C245-'Исходные данные'!$B$26+1,DAY(C245))/365)</f>
        <v>0</v>
      </c>
      <c r="AH245">
        <f>IF(OR(AF245&lt;1,AF245&gt;N('Исходные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данные'!$B$25)-AG245))</f>
        <v>0</v>
      </c>
      <c r="AI245">
        <f>IF(OR('Исходные данные'!$B$22&lt;&gt;"Да",AE245+AD245&lt;=0),0,IF(AND('Исходные данные'!$B$91&lt;&gt;"",B245&lt;&gt;"",YEAR(B245)=YEAR('Исходные данные'!$B$91),MONTH(B245)=MONTH('Исходные данные'!$B$91)),-(AE245+AD245),IF(OR(AF245&lt;1,AF245&gt;N('Исходные данные'!$B$25)),0,IF('Исходные данные'!$B$27="Равными долями",-MIN(AE245+AD245,N('Исходные данные'!$B$23)/N('Исходные данные'!$B$25)),-MIN(AE245+AD245,IF(AF245=N('Исходные данные'!$B$25),AE245+AD245,MAX(0,AH245+AG245)))))))</f>
        <v>0</v>
      </c>
      <c r="AJ245">
        <f t="shared" si="149"/>
        <v>0</v>
      </c>
      <c r="AK245">
        <f t="shared" si="132"/>
        <v>0</v>
      </c>
      <c r="AL245">
        <f>IF(OR(B245="",'Исходные данные'!$B$51&lt;&gt;"Да",'Исходные данные'!$B$61=""),0,IF(AND(YEAR(B245)=YEAR('Исходные данные'!$B$61),MONTH(B245)=MONTH('Исходные данные'!$B$61)),N('Исходные данные'!$B$18)*N('Исходные данные'!$B$62),0))</f>
        <v>0</v>
      </c>
      <c r="AM245">
        <f t="shared" si="133"/>
        <v>0</v>
      </c>
      <c r="AN245">
        <f t="shared" si="134"/>
        <v>0</v>
      </c>
      <c r="AO245">
        <f t="shared" si="135"/>
        <v>0</v>
      </c>
      <c r="AP245">
        <f>IF('Исходные данные'!$B$51="Да",-MAX(0,AN245-AO245-AM245),0)</f>
        <v>0</v>
      </c>
      <c r="AQ245">
        <f>IF('Исходные данные'!$B$51="Да",MAX(0,AM245+AO245-AN245),0)</f>
        <v>0</v>
      </c>
      <c r="AR245">
        <f>IF('Исходные данные'!$B$53="Выручка",MAX(0,L245+(Q245-R245)+(U245-V245)),IF('Исходные данные'!$B$53="Прибыль до налога",MAX(0,L245+(Q245-R245)+(U245-V245)+N('Исходные данные'!$B$54)*((O245+P245)+(S245+T245)+W245+X245)+IF('Исходные данные'!$B$55="Да",AG245,0)-N('Исходные данные'!$B$56)/12),IF('Исходные данные'!$B$53="Пользовательская база",MAX(0,N('Исходные данные'!$B$57)/12),0)))</f>
        <v>0</v>
      </c>
      <c r="AS245">
        <f>IF(E245=1,-AR245*N('Исходные данные'!$B$50),0)</f>
        <v>0</v>
      </c>
      <c r="AT245">
        <f t="shared" si="136"/>
        <v>0</v>
      </c>
      <c r="AU245">
        <f>IF(OR(B245="",N('Исходные данные'!$B$80)&lt;=0,'Исходные данные'!$B$88=""),0,MAX(0,IF('Исходные данные'!$B$88="Последние 12 месяцев",SUMIFS($Y$2:$Y$194,$B$2:$B$194,"&gt;="&amp;EDATE(B245,-11),$B$2:$B$194,"&lt;="&amp;B245),IF('Исходные данные'!$B$88="Пользовательский NOI",N('Исходные данные'!$B$89),AT245))/N('Исходные данные'!$B$80)*(1+N('Исходные данные'!$B$81))))</f>
        <v>0</v>
      </c>
      <c r="AV245">
        <f>IF(OR(E245&lt;&gt;1,B245="",'Исходные данные'!$B$91=""),0,IF(AND(YEAR(B245)=YEAR('Исходные данные'!$B$91),MONTH(B245)=MONTH('Исходные данные'!$B$91)),AU245,0))</f>
        <v>0</v>
      </c>
      <c r="AW245">
        <f>-AV245*N('Исходные данные'!$B$73)</f>
        <v>0</v>
      </c>
      <c r="AX245">
        <f>IF(AV245=0,0,-N('Исходные данные'!$B$87)-IF('Исходные данные'!$B$82="Да",IF('Исходные данные'!$B$84="С выручки",AV245,IF('Исходные данные'!$B$84="С прибыли",MAX(0,AV245+AW245-IF('Исходные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45">
        <f t="shared" si="150"/>
        <v>0</v>
      </c>
      <c r="AZ245">
        <f t="shared" si="137"/>
        <v>0</v>
      </c>
      <c r="BA245">
        <f t="shared" si="151"/>
        <v>0</v>
      </c>
      <c r="BB245" t="str">
        <f t="shared" si="138"/>
        <v/>
      </c>
      <c r="BC245">
        <f>IF(OR(E245=0,'Исходные данные'!$B$9="",'Исходные данные'!$B$90=""),0,BA245/(1+'Исходные данные'!$B$90)^((D245-'Исходные данные'!$B$9)/365))</f>
        <v>0</v>
      </c>
      <c r="BD245">
        <f>IF(AND(E245=1,BB245&gt;=0,BB244&lt;0,MIN($BB$2:BB245)&lt;0),1,0)</f>
        <v>0</v>
      </c>
      <c r="BE245">
        <f t="shared" si="139"/>
        <v>0</v>
      </c>
      <c r="BF245">
        <f t="shared" si="140"/>
        <v>0</v>
      </c>
      <c r="BG245">
        <f t="shared" si="141"/>
        <v>0</v>
      </c>
      <c r="BH245">
        <f t="shared" si="142"/>
        <v>1</v>
      </c>
      <c r="BI245">
        <f>AZ245+N245+AP245-AR245*N('Исходные данные'!$B$50)</f>
        <v>0</v>
      </c>
      <c r="BJ245">
        <f t="shared" si="143"/>
        <v>0</v>
      </c>
      <c r="BK245">
        <f>IF(AND(BJ245&gt;=0,BJ244&lt;0,MIN($BJ$2:BJ245)&lt;0),1,0)</f>
        <v>0</v>
      </c>
    </row>
    <row r="246" spans="1:63" x14ac:dyDescent="0.2">
      <c r="A246">
        <v>245</v>
      </c>
      <c r="B246" t="str">
        <f>IF('Исходные данные'!$B$9="","",EDATE(DATE(YEAR('Исходные данные'!$B$9),MONTH('Исходные данные'!$B$9),1),A246-1))</f>
        <v/>
      </c>
      <c r="C246" t="str">
        <f t="shared" si="144"/>
        <v/>
      </c>
      <c r="D246" t="str">
        <f>IF(B246="","",IF('Исходные данные'!$B$91&lt;&gt;"",IF(AND(YEAR(B246)=YEAR('Исходные данные'!$B$91),MONTH(B246)=MONTH('Исходные данные'!$B$91)),'Исходные данные'!$B$91,IF('Исходные данные'!$B$13&lt;&gt;"",IF(AND(YEAR(B246)=YEAR('Исходные данные'!$B$13),MONTH(B246)=MONTH('Исходные данные'!$B$13)),'Исходные данные'!$B$13,IF('Исходные данные'!$B$26&lt;&gt;"",IF(AND(YEAR(B246)=YEAR('Исходные данные'!$B$26),MONTH(B246)=MONTH('Исходные данные'!$B$26)),'Исходные данные'!$B$26,IF(A246=1,'Исходные данные'!$B$9,C246)),IF(A246=1,'Исходные данные'!$B$9,C246))),IF('Исходные данные'!$B$26&lt;&gt;"",IF(AND(YEAR(B246)=YEAR('Исходные данные'!$B$26),MONTH(B246)=MONTH('Исходные данные'!$B$26)),'Исходные данные'!$B$26,IF(A246=1,'Исходные данные'!$B$9,C246)),IF(A246=1,'Исходные данные'!$B$9,C246)))),IF('Исходные данные'!$B$13&lt;&gt;"",IF(AND(YEAR(B246)=YEAR('Исходные данные'!$B$13),MONTH(B246)=MONTH('Исходные данные'!$B$13)),'Исходные данные'!$B$13,IF('Исходные данные'!$B$26&lt;&gt;"",IF(AND(YEAR(B246)=YEAR('Исходные данные'!$B$26),MONTH(B246)=MONTH('Исходные данные'!$B$26)),'Исходные данные'!$B$26,IF(A246=1,'Исходные данные'!$B$9,C246)),IF(A246=1,'Исходные данные'!$B$9,C246))),IF('Исходные данные'!$B$26&lt;&gt;"",IF(AND(YEAR(B246)=YEAR('Исходные данные'!$B$26),MONTH(B246)=MONTH('Исходные данные'!$B$26)),'Исходные данные'!$B$26,IF(A246=1,'Исходные данные'!$B$9,C246)),IF(A246=1,'Исходные данные'!$B$9,C246)))))</f>
        <v/>
      </c>
      <c r="E246">
        <f>IF(OR(B246="",'Исходные данные'!$B$91=""),0,--(B246&lt;=DATE(YEAR('Исходные данные'!$B$91),MONTH('Исходные данные'!$B$91),1)))</f>
        <v>0</v>
      </c>
      <c r="F246">
        <f>IF(OR(B246="",'Исходные данные'!$B$30="",C246&lt;'Исходные данные'!$B$30),0,DATEDIF(DATE(YEAR('Исходные данные'!$B$30),MONTH('Исходные данные'!$B$30),1),B246,"m")+1)</f>
        <v>0</v>
      </c>
      <c r="G246">
        <f t="shared" si="145"/>
        <v>0</v>
      </c>
      <c r="H246">
        <f>IF(F246=0,0,IF(G246=1,N('Исходные данные'!$B$31),IF(G246=2,N('Исходные данные'!$B$32),IF(G246=3,N('Исходные данные'!$B$33),N('Исходные данные'!$B$33)*(1+N('Исходные данные'!$B$34))^(G246-3)))))</f>
        <v>0</v>
      </c>
      <c r="I246">
        <f>IF(OR(F246=0,N('Исходные данные'!$B$5)=0,H246=0),0,'Исходные данные'!$B$5*H246*IF(AND(B246&lt;='Исходные данные'!$B$30,C246&gt;='Исходные данные'!$B$30),(C246-'Исходные данные'!$B$30+1)/DAY(C246),1))</f>
        <v>0</v>
      </c>
      <c r="J246">
        <f>IF(AND(F246&gt;0,F246&lt;=N('Исходные данные'!$B$37)),-I246,0)</f>
        <v>0</v>
      </c>
      <c r="K246">
        <f>IF(OR(F246=0,F246&lt;=N('Исходные данные'!$B$37)),0,-(I246+J246)*N('Исходные данные'!$B$38))</f>
        <v>0</v>
      </c>
      <c r="L246">
        <f t="shared" si="146"/>
        <v>0</v>
      </c>
      <c r="M246">
        <f>IF('Исходные данные'!$B$51="Да",L246*N('Исходные данные'!$B$52),0)</f>
        <v>0</v>
      </c>
      <c r="N246">
        <f t="shared" si="147"/>
        <v>0</v>
      </c>
      <c r="O246">
        <f>IF(OR(B246="",IF('Исходные данные'!$B$45="",'Исходные данные'!$B$10,'Исходные данные'!$B$45)="",C246&lt;IF('Исходные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данные'!$B$45)),1),B246,"m")/12))*IF(AND(B246&lt;=IF('Исходные данные'!$B$45="",'Исходные данные'!$B$10,'Исходные данные'!$B$45),C246&gt;=IF('Исходные данные'!$B$45="",'Исходные данные'!$B$10,'Исходные данные'!$B$45)),(C246-IF('Исходные данные'!$B$45="",'Исходные данные'!$B$10,'Исходные данные'!$B$45)+1)/DAY(C246),1)*IF('Исходные данные'!$B$43="Без НДС",1+N('Исходные данные'!$B$44),1))</f>
        <v>0</v>
      </c>
      <c r="P246">
        <f>IF('Исходные данные'!$B$51="Да",-O246*N('Исходные данные'!$B$44)/(1+N('Исходные данные'!$B$44)),0)</f>
        <v>0</v>
      </c>
      <c r="Q246">
        <f>IF('Исходные данные'!$B$35="Да",-O246,0)</f>
        <v>0</v>
      </c>
      <c r="R246">
        <f>IF(AND('Исходные данные'!$B$51="Да",Q246&gt;0),Q246*N('Исходные данные'!$B$52)/(1+N('Исходные данные'!$B$52)),0)</f>
        <v>0</v>
      </c>
      <c r="S246">
        <f>IF(OR(B246="",IF('Исходные данные'!$B$45="",'Исходные данные'!$B$10,'Исходные данные'!$B$45)="",C246&lt;IF('Исходные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данные'!$B$45)),1),B246,"m")/12))*IF(AND(B246&lt;=IF('Исходные данные'!$B$45="",'Исходные данные'!$B$10,'Исходные данные'!$B$45),C246&gt;=IF('Исходные данные'!$B$45="",'Исходные данные'!$B$10,'Исходные данные'!$B$45)),(C246-IF('Исходные данные'!$B$45="",'Исходные данные'!$B$10,'Исходные данные'!$B$45)+1)/DAY(C246),1)*IF('Исходные данные'!$B$43="Без НДС",1+N('Исходные данные'!$B$44),1))</f>
        <v>0</v>
      </c>
      <c r="T246">
        <f>IF('Исходные данные'!$B$51="Да",-S246*N('Исходные данные'!$B$44)/(1+N('Исходные данные'!$B$44)),0)</f>
        <v>0</v>
      </c>
      <c r="U246">
        <f>IF('Исходные данные'!$B$36="Да",-S246,0)</f>
        <v>0</v>
      </c>
      <c r="V246">
        <f>IF(AND('Исходные данные'!$B$51="Да",U246&gt;0),U246*N('Исходные данные'!$B$52)/(1+N('Исходные данные'!$B$52)),0)</f>
        <v>0</v>
      </c>
      <c r="W246">
        <f>IF(OR(B246="",IF('Исходные данные'!$B$69="",'Исходные данные'!$B$10,'Исходные данные'!$B$69)="",C246&lt;IF('Исходные данные'!$B$69="",'Исходные данные'!$B$10,'Исходные данные'!$B$69)),0,-N('Исходные данные'!$B$16)*N('Исходные данные'!$B$68)*N('Исходные данные'!$B$67)/12*IF(AND(B246&lt;=IF('Исходные данные'!$B$69="",'Исходные данные'!$B$10,'Исходные данные'!$B$69),C246&gt;=IF('Исходные данные'!$B$69="",'Исходные данные'!$B$10,'Исходные данные'!$B$69)),(C246-IF('Исходные данные'!$B$69="",'Исходные данные'!$B$10,'Исходные данные'!$B$69)+1)/DAY(C246),1))</f>
        <v>0</v>
      </c>
      <c r="X246">
        <f>IF(OR(B246="",IF('Исходные данные'!$B$76="",'Исходные данные'!$B$10,'Исходные данные'!$B$76)="",C246&lt;IF('Исходные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данные'!$B$76)),1),B246,"m")/12))*IF(AND(B246&lt;=IF('Исходные данные'!$B$76="",'Исходные данные'!$B$10,'Исходные данные'!$B$76),C246&gt;=IF('Исходные данные'!$B$76="",'Исходные данные'!$B$10,'Исходные данные'!$B$76)),(C246-IF('Исходные данные'!$B$76="",'Исходные данные'!$B$10,'Исходные данные'!$B$76)+1)/DAY(C246),1))</f>
        <v>0</v>
      </c>
      <c r="Y246">
        <f t="shared" si="148"/>
        <v>0</v>
      </c>
      <c r="Z246">
        <f>IF(OR(B246="",N('Исходные данные'!$B$19)=0),0,-SUMIFS('Исходные данные'!$I$6:$I$186,'Исходные данные'!$F$6:$F$186,B246)*N('Исходные данные'!$B$17)/N('Исходные данные'!$B$19))</f>
        <v>0</v>
      </c>
      <c r="AA246">
        <f>IF(OR(B246="",N('Исходные данные'!$B$19)=0),0,-SUMIFS('Исходные данные'!$I$6:$I$186,'Исходные данные'!$F$6:$F$186,B246)*N('Исходные данные'!$B$18)/N('Исходные данные'!$B$19))</f>
        <v>0</v>
      </c>
      <c r="AB246">
        <f>IF(OR(B246="",'Исходные данные'!$B$13=""),0,IF(AND(YEAR(B246)=YEAR('Исходные данные'!$B$13),MONTH(B246)=MONTH('Исходные данные'!$B$13)),-N('Исходные данные'!$B$11),0))</f>
        <v>0</v>
      </c>
      <c r="AC246">
        <f>IF(A246=1,-N('Исходные данные'!$B$19)*N('Исходные данные'!$B$72),0)</f>
        <v>0</v>
      </c>
      <c r="AD246">
        <f>IF(OR(B246="",'Исходные данные'!$B$22&lt;&gt;"Да",'Исходные данные'!$B$26=""),0,IF(AND(YEAR(B246)=YEAR('Исходные данные'!$B$26),MONTH(B246)=MONTH('Исходные данные'!$B$26)),N('Исходные данные'!$B$23),0))</f>
        <v>0</v>
      </c>
      <c r="AE246">
        <f t="shared" si="131"/>
        <v>0</v>
      </c>
      <c r="AF246">
        <f>IF(OR('Исходные данные'!$B$22&lt;&gt;"Да",'Исходные данные'!$B$26="",C246&lt;'Исходные данные'!$B$26),0,DATEDIF(DATE(YEAR('Исходные данные'!$B$26),MONTH('Исходные данные'!$B$26),1),B246,"m")+1)</f>
        <v>0</v>
      </c>
      <c r="AG246">
        <f>IF(OR(AF246&lt;1,AF246&gt;N('Исходные данные'!$B$25),AE246+AD246&lt;=0),0,-(AE246+AD246)*N('Исходные данные'!$B$24)*IF(AF246=1,C246-'Исходные данные'!$B$26+1,DAY(C246))/365)</f>
        <v>0</v>
      </c>
      <c r="AH246">
        <f>IF(OR(AF246&lt;1,AF246&gt;N('Исходные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данные'!$B$25)-AG246))</f>
        <v>0</v>
      </c>
      <c r="AI246">
        <f>IF(OR('Исходные данные'!$B$22&lt;&gt;"Да",AE246+AD246&lt;=0),0,IF(AND('Исходные данные'!$B$91&lt;&gt;"",B246&lt;&gt;"",YEAR(B246)=YEAR('Исходные данные'!$B$91),MONTH(B246)=MONTH('Исходные данные'!$B$91)),-(AE246+AD246),IF(OR(AF246&lt;1,AF246&gt;N('Исходные данные'!$B$25)),0,IF('Исходные данные'!$B$27="Равными долями",-MIN(AE246+AD246,N('Исходные данные'!$B$23)/N('Исходные данные'!$B$25)),-MIN(AE246+AD246,IF(AF246=N('Исходные данные'!$B$25),AE246+AD246,MAX(0,AH246+AG246)))))))</f>
        <v>0</v>
      </c>
      <c r="AJ246">
        <f t="shared" si="149"/>
        <v>0</v>
      </c>
      <c r="AK246">
        <f t="shared" si="132"/>
        <v>0</v>
      </c>
      <c r="AL246">
        <f>IF(OR(B246="",'Исходные данные'!$B$51&lt;&gt;"Да",'Исходные данные'!$B$61=""),0,IF(AND(YEAR(B246)=YEAR('Исходные данные'!$B$61),MONTH(B246)=MONTH('Исходные данные'!$B$61)),N('Исходные данные'!$B$18)*N('Исходные данные'!$B$62),0))</f>
        <v>0</v>
      </c>
      <c r="AM246">
        <f t="shared" si="133"/>
        <v>0</v>
      </c>
      <c r="AN246">
        <f t="shared" si="134"/>
        <v>0</v>
      </c>
      <c r="AO246">
        <f t="shared" si="135"/>
        <v>0</v>
      </c>
      <c r="AP246">
        <f>IF('Исходные данные'!$B$51="Да",-MAX(0,AN246-AO246-AM246),0)</f>
        <v>0</v>
      </c>
      <c r="AQ246">
        <f>IF('Исходные данные'!$B$51="Да",MAX(0,AM246+AO246-AN246),0)</f>
        <v>0</v>
      </c>
      <c r="AR246">
        <f>IF('Исходные данные'!$B$53="Выручка",MAX(0,L246+(Q246-R246)+(U246-V246)),IF('Исходные данные'!$B$53="Прибыль до налога",MAX(0,L246+(Q246-R246)+(U246-V246)+N('Исходные данные'!$B$54)*((O246+P246)+(S246+T246)+W246+X246)+IF('Исходные данные'!$B$55="Да",AG246,0)-N('Исходные данные'!$B$56)/12),IF('Исходные данные'!$B$53="Пользовательская база",MAX(0,N('Исходные данные'!$B$57)/12),0)))</f>
        <v>0</v>
      </c>
      <c r="AS246">
        <f>IF(E246=1,-AR246*N('Исходные данные'!$B$50),0)</f>
        <v>0</v>
      </c>
      <c r="AT246">
        <f t="shared" si="136"/>
        <v>0</v>
      </c>
      <c r="AU246">
        <f>IF(OR(B246="",N('Исходные данные'!$B$80)&lt;=0,'Исходные данные'!$B$88=""),0,MAX(0,IF('Исходные данные'!$B$88="Последние 12 месяцев",SUMIFS($Y$2:$Y$194,$B$2:$B$194,"&gt;="&amp;EDATE(B246,-11),$B$2:$B$194,"&lt;="&amp;B246),IF('Исходные данные'!$B$88="Пользовательский NOI",N('Исходные данные'!$B$89),AT246))/N('Исходные данные'!$B$80)*(1+N('Исходные данные'!$B$81))))</f>
        <v>0</v>
      </c>
      <c r="AV246">
        <f>IF(OR(E246&lt;&gt;1,B246="",'Исходные данные'!$B$91=""),0,IF(AND(YEAR(B246)=YEAR('Исходные данные'!$B$91),MONTH(B246)=MONTH('Исходные данные'!$B$91)),AU246,0))</f>
        <v>0</v>
      </c>
      <c r="AW246">
        <f>-AV246*N('Исходные данные'!$B$73)</f>
        <v>0</v>
      </c>
      <c r="AX246">
        <f>IF(AV246=0,0,-N('Исходные данные'!$B$87)-IF('Исходные данные'!$B$82="Да",IF('Исходные данные'!$B$84="С выручки",AV246,IF('Исходные данные'!$B$84="С прибыли",MAX(0,AV246+AW246-IF('Исходные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46">
        <f t="shared" si="150"/>
        <v>0</v>
      </c>
      <c r="AZ246">
        <f t="shared" si="137"/>
        <v>0</v>
      </c>
      <c r="BA246">
        <f t="shared" si="151"/>
        <v>0</v>
      </c>
      <c r="BB246" t="str">
        <f t="shared" si="138"/>
        <v/>
      </c>
      <c r="BC246">
        <f>IF(OR(E246=0,'Исходные данные'!$B$9="",'Исходные данные'!$B$90=""),0,BA246/(1+'Исходные данные'!$B$90)^((D246-'Исходные данные'!$B$9)/365))</f>
        <v>0</v>
      </c>
      <c r="BD246">
        <f>IF(AND(E246=1,BB246&gt;=0,BB245&lt;0,MIN($BB$2:BB246)&lt;0),1,0)</f>
        <v>0</v>
      </c>
      <c r="BE246">
        <f t="shared" si="139"/>
        <v>0</v>
      </c>
      <c r="BF246">
        <f t="shared" si="140"/>
        <v>0</v>
      </c>
      <c r="BG246">
        <f t="shared" si="141"/>
        <v>0</v>
      </c>
      <c r="BH246">
        <f t="shared" si="142"/>
        <v>1</v>
      </c>
      <c r="BI246">
        <f>AZ246+N246+AP246-AR246*N('Исходные данные'!$B$50)</f>
        <v>0</v>
      </c>
      <c r="BJ246">
        <f t="shared" si="143"/>
        <v>0</v>
      </c>
      <c r="BK246">
        <f>IF(AND(BJ246&gt;=0,BJ245&lt;0,MIN($BJ$2:BJ246)&lt;0),1,0)</f>
        <v>0</v>
      </c>
    </row>
    <row r="247" spans="1:63" x14ac:dyDescent="0.2">
      <c r="A247">
        <v>246</v>
      </c>
      <c r="B247" t="str">
        <f>IF('Исходные данные'!$B$9="","",EDATE(DATE(YEAR('Исходные данные'!$B$9),MONTH('Исходные данные'!$B$9),1),A247-1))</f>
        <v/>
      </c>
      <c r="C247" t="str">
        <f t="shared" si="144"/>
        <v/>
      </c>
      <c r="D247" t="str">
        <f>IF(B247="","",IF('Исходные данные'!$B$91&lt;&gt;"",IF(AND(YEAR(B247)=YEAR('Исходные данные'!$B$91),MONTH(B247)=MONTH('Исходные данные'!$B$91)),'Исходные данные'!$B$91,IF('Исходные данные'!$B$13&lt;&gt;"",IF(AND(YEAR(B247)=YEAR('Исходные данные'!$B$13),MONTH(B247)=MONTH('Исходные данные'!$B$13)),'Исходные данные'!$B$13,IF('Исходные данные'!$B$26&lt;&gt;"",IF(AND(YEAR(B247)=YEAR('Исходные данные'!$B$26),MONTH(B247)=MONTH('Исходные данные'!$B$26)),'Исходные данные'!$B$26,IF(A247=1,'Исходные данные'!$B$9,C247)),IF(A247=1,'Исходные данные'!$B$9,C247))),IF('Исходные данные'!$B$26&lt;&gt;"",IF(AND(YEAR(B247)=YEAR('Исходные данные'!$B$26),MONTH(B247)=MONTH('Исходные данные'!$B$26)),'Исходные данные'!$B$26,IF(A247=1,'Исходные данные'!$B$9,C247)),IF(A247=1,'Исходные данные'!$B$9,C247)))),IF('Исходные данные'!$B$13&lt;&gt;"",IF(AND(YEAR(B247)=YEAR('Исходные данные'!$B$13),MONTH(B247)=MONTH('Исходные данные'!$B$13)),'Исходные данные'!$B$13,IF('Исходные данные'!$B$26&lt;&gt;"",IF(AND(YEAR(B247)=YEAR('Исходные данные'!$B$26),MONTH(B247)=MONTH('Исходные данные'!$B$26)),'Исходные данные'!$B$26,IF(A247=1,'Исходные данные'!$B$9,C247)),IF(A247=1,'Исходные данные'!$B$9,C247))),IF('Исходные данные'!$B$26&lt;&gt;"",IF(AND(YEAR(B247)=YEAR('Исходные данные'!$B$26),MONTH(B247)=MONTH('Исходные данные'!$B$26)),'Исходные данные'!$B$26,IF(A247=1,'Исходные данные'!$B$9,C247)),IF(A247=1,'Исходные данные'!$B$9,C247)))))</f>
        <v/>
      </c>
      <c r="E247">
        <f>IF(OR(B247="",'Исходные данные'!$B$91=""),0,--(B247&lt;=DATE(YEAR('Исходные данные'!$B$91),MONTH('Исходные данные'!$B$91),1)))</f>
        <v>0</v>
      </c>
      <c r="F247">
        <f>IF(OR(B247="",'Исходные данные'!$B$30="",C247&lt;'Исходные данные'!$B$30),0,DATEDIF(DATE(YEAR('Исходные данные'!$B$30),MONTH('Исходные данные'!$B$30),1),B247,"m")+1)</f>
        <v>0</v>
      </c>
      <c r="G247">
        <f t="shared" si="145"/>
        <v>0</v>
      </c>
      <c r="H247">
        <f>IF(F247=0,0,IF(G247=1,N('Исходные данные'!$B$31),IF(G247=2,N('Исходные данные'!$B$32),IF(G247=3,N('Исходные данные'!$B$33),N('Исходные данные'!$B$33)*(1+N('Исходные данные'!$B$34))^(G247-3)))))</f>
        <v>0</v>
      </c>
      <c r="I247">
        <f>IF(OR(F247=0,N('Исходные данные'!$B$5)=0,H247=0),0,'Исходные данные'!$B$5*H247*IF(AND(B247&lt;='Исходные данные'!$B$30,C247&gt;='Исходные данные'!$B$30),(C247-'Исходные данные'!$B$30+1)/DAY(C247),1))</f>
        <v>0</v>
      </c>
      <c r="J247">
        <f>IF(AND(F247&gt;0,F247&lt;=N('Исходные данные'!$B$37)),-I247,0)</f>
        <v>0</v>
      </c>
      <c r="K247">
        <f>IF(OR(F247=0,F247&lt;=N('Исходные данные'!$B$37)),0,-(I247+J247)*N('Исходные данные'!$B$38))</f>
        <v>0</v>
      </c>
      <c r="L247">
        <f t="shared" si="146"/>
        <v>0</v>
      </c>
      <c r="M247">
        <f>IF('Исходные данные'!$B$51="Да",L247*N('Исходные данные'!$B$52),0)</f>
        <v>0</v>
      </c>
      <c r="N247">
        <f t="shared" si="147"/>
        <v>0</v>
      </c>
      <c r="O247">
        <f>IF(OR(B247="",IF('Исходные данные'!$B$45="",'Исходные данные'!$B$10,'Исходные данные'!$B$45)="",C247&lt;IF('Исходные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данные'!$B$45)),1),B247,"m")/12))*IF(AND(B247&lt;=IF('Исходные данные'!$B$45="",'Исходные данные'!$B$10,'Исходные данные'!$B$45),C247&gt;=IF('Исходные данные'!$B$45="",'Исходные данные'!$B$10,'Исходные данные'!$B$45)),(C247-IF('Исходные данные'!$B$45="",'Исходные данные'!$B$10,'Исходные данные'!$B$45)+1)/DAY(C247),1)*IF('Исходные данные'!$B$43="Без НДС",1+N('Исходные данные'!$B$44),1))</f>
        <v>0</v>
      </c>
      <c r="P247">
        <f>IF('Исходные данные'!$B$51="Да",-O247*N('Исходные данные'!$B$44)/(1+N('Исходные данные'!$B$44)),0)</f>
        <v>0</v>
      </c>
      <c r="Q247">
        <f>IF('Исходные данные'!$B$35="Да",-O247,0)</f>
        <v>0</v>
      </c>
      <c r="R247">
        <f>IF(AND('Исходные данные'!$B$51="Да",Q247&gt;0),Q247*N('Исходные данные'!$B$52)/(1+N('Исходные данные'!$B$52)),0)</f>
        <v>0</v>
      </c>
      <c r="S247">
        <f>IF(OR(B247="",IF('Исходные данные'!$B$45="",'Исходные данные'!$B$10,'Исходные данные'!$B$45)="",C247&lt;IF('Исходные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данные'!$B$45)),1),B247,"m")/12))*IF(AND(B247&lt;=IF('Исходные данные'!$B$45="",'Исходные данные'!$B$10,'Исходные данные'!$B$45),C247&gt;=IF('Исходные данные'!$B$45="",'Исходные данные'!$B$10,'Исходные данные'!$B$45)),(C247-IF('Исходные данные'!$B$45="",'Исходные данные'!$B$10,'Исходные данные'!$B$45)+1)/DAY(C247),1)*IF('Исходные данные'!$B$43="Без НДС",1+N('Исходные данные'!$B$44),1))</f>
        <v>0</v>
      </c>
      <c r="T247">
        <f>IF('Исходные данные'!$B$51="Да",-S247*N('Исходные данные'!$B$44)/(1+N('Исходные данные'!$B$44)),0)</f>
        <v>0</v>
      </c>
      <c r="U247">
        <f>IF('Исходные данные'!$B$36="Да",-S247,0)</f>
        <v>0</v>
      </c>
      <c r="V247">
        <f>IF(AND('Исходные данные'!$B$51="Да",U247&gt;0),U247*N('Исходные данные'!$B$52)/(1+N('Исходные данные'!$B$52)),0)</f>
        <v>0</v>
      </c>
      <c r="W247">
        <f>IF(OR(B247="",IF('Исходные данные'!$B$69="",'Исходные данные'!$B$10,'Исходные данные'!$B$69)="",C247&lt;IF('Исходные данные'!$B$69="",'Исходные данные'!$B$10,'Исходные данные'!$B$69)),0,-N('Исходные данные'!$B$16)*N('Исходные данные'!$B$68)*N('Исходные данные'!$B$67)/12*IF(AND(B247&lt;=IF('Исходные данные'!$B$69="",'Исходные данные'!$B$10,'Исходные данные'!$B$69),C247&gt;=IF('Исходные данные'!$B$69="",'Исходные данные'!$B$10,'Исходные данные'!$B$69)),(C247-IF('Исходные данные'!$B$69="",'Исходные данные'!$B$10,'Исходные данные'!$B$69)+1)/DAY(C247),1))</f>
        <v>0</v>
      </c>
      <c r="X247">
        <f>IF(OR(B247="",IF('Исходные данные'!$B$76="",'Исходные данные'!$B$10,'Исходные данные'!$B$76)="",C247&lt;IF('Исходные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данные'!$B$76)),1),B247,"m")/12))*IF(AND(B247&lt;=IF('Исходные данные'!$B$76="",'Исходные данные'!$B$10,'Исходные данные'!$B$76),C247&gt;=IF('Исходные данные'!$B$76="",'Исходные данные'!$B$10,'Исходные данные'!$B$76)),(C247-IF('Исходные данные'!$B$76="",'Исходные данные'!$B$10,'Исходные данные'!$B$76)+1)/DAY(C247),1))</f>
        <v>0</v>
      </c>
      <c r="Y247">
        <f t="shared" si="148"/>
        <v>0</v>
      </c>
      <c r="Z247">
        <f>IF(OR(B247="",N('Исходные данные'!$B$19)=0),0,-SUMIFS('Исходные данные'!$I$6:$I$186,'Исходные данные'!$F$6:$F$186,B247)*N('Исходные данные'!$B$17)/N('Исходные данные'!$B$19))</f>
        <v>0</v>
      </c>
      <c r="AA247">
        <f>IF(OR(B247="",N('Исходные данные'!$B$19)=0),0,-SUMIFS('Исходные данные'!$I$6:$I$186,'Исходные данные'!$F$6:$F$186,B247)*N('Исходные данные'!$B$18)/N('Исходные данные'!$B$19))</f>
        <v>0</v>
      </c>
      <c r="AB247">
        <f>IF(OR(B247="",'Исходные данные'!$B$13=""),0,IF(AND(YEAR(B247)=YEAR('Исходные данные'!$B$13),MONTH(B247)=MONTH('Исходные данные'!$B$13)),-N('Исходные данные'!$B$11),0))</f>
        <v>0</v>
      </c>
      <c r="AC247">
        <f>IF(A247=1,-N('Исходные данные'!$B$19)*N('Исходные данные'!$B$72),0)</f>
        <v>0</v>
      </c>
      <c r="AD247">
        <f>IF(OR(B247="",'Исходные данные'!$B$22&lt;&gt;"Да",'Исходные данные'!$B$26=""),0,IF(AND(YEAR(B247)=YEAR('Исходные данные'!$B$26),MONTH(B247)=MONTH('Исходные данные'!$B$26)),N('Исходные данные'!$B$23),0))</f>
        <v>0</v>
      </c>
      <c r="AE247">
        <f t="shared" si="131"/>
        <v>0</v>
      </c>
      <c r="AF247">
        <f>IF(OR('Исходные данные'!$B$22&lt;&gt;"Да",'Исходные данные'!$B$26="",C247&lt;'Исходные данные'!$B$26),0,DATEDIF(DATE(YEAR('Исходные данные'!$B$26),MONTH('Исходные данные'!$B$26),1),B247,"m")+1)</f>
        <v>0</v>
      </c>
      <c r="AG247">
        <f>IF(OR(AF247&lt;1,AF247&gt;N('Исходные данные'!$B$25),AE247+AD247&lt;=0),0,-(AE247+AD247)*N('Исходные данные'!$B$24)*IF(AF247=1,C247-'Исходные данные'!$B$26+1,DAY(C247))/365)</f>
        <v>0</v>
      </c>
      <c r="AH247">
        <f>IF(OR(AF247&lt;1,AF247&gt;N('Исходные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данные'!$B$25)-AG247))</f>
        <v>0</v>
      </c>
      <c r="AI247">
        <f>IF(OR('Исходные данные'!$B$22&lt;&gt;"Да",AE247+AD247&lt;=0),0,IF(AND('Исходные данные'!$B$91&lt;&gt;"",B247&lt;&gt;"",YEAR(B247)=YEAR('Исходные данные'!$B$91),MONTH(B247)=MONTH('Исходные данные'!$B$91)),-(AE247+AD247),IF(OR(AF247&lt;1,AF247&gt;N('Исходные данные'!$B$25)),0,IF('Исходные данные'!$B$27="Равными долями",-MIN(AE247+AD247,N('Исходные данные'!$B$23)/N('Исходные данные'!$B$25)),-MIN(AE247+AD247,IF(AF247=N('Исходные данные'!$B$25),AE247+AD247,MAX(0,AH247+AG247)))))))</f>
        <v>0</v>
      </c>
      <c r="AJ247">
        <f t="shared" si="149"/>
        <v>0</v>
      </c>
      <c r="AK247">
        <f t="shared" si="132"/>
        <v>0</v>
      </c>
      <c r="AL247">
        <f>IF(OR(B247="",'Исходные данные'!$B$51&lt;&gt;"Да",'Исходные данные'!$B$61=""),0,IF(AND(YEAR(B247)=YEAR('Исходные данные'!$B$61),MONTH(B247)=MONTH('Исходные данные'!$B$61)),N('Исходные данные'!$B$18)*N('Исходные данные'!$B$62),0))</f>
        <v>0</v>
      </c>
      <c r="AM247">
        <f t="shared" si="133"/>
        <v>0</v>
      </c>
      <c r="AN247">
        <f t="shared" si="134"/>
        <v>0</v>
      </c>
      <c r="AO247">
        <f t="shared" si="135"/>
        <v>0</v>
      </c>
      <c r="AP247">
        <f>IF('Исходные данные'!$B$51="Да",-MAX(0,AN247-AO247-AM247),0)</f>
        <v>0</v>
      </c>
      <c r="AQ247">
        <f>IF('Исходные данные'!$B$51="Да",MAX(0,AM247+AO247-AN247),0)</f>
        <v>0</v>
      </c>
      <c r="AR247">
        <f>IF('Исходные данные'!$B$53="Выручка",MAX(0,L247+(Q247-R247)+(U247-V247)),IF('Исходные данные'!$B$53="Прибыль до налога",MAX(0,L247+(Q247-R247)+(U247-V247)+N('Исходные данные'!$B$54)*((O247+P247)+(S247+T247)+W247+X247)+IF('Исходные данные'!$B$55="Да",AG247,0)-N('Исходные данные'!$B$56)/12),IF('Исходные данные'!$B$53="Пользовательская база",MAX(0,N('Исходные данные'!$B$57)/12),0)))</f>
        <v>0</v>
      </c>
      <c r="AS247">
        <f>IF(E247=1,-AR247*N('Исходные данные'!$B$50),0)</f>
        <v>0</v>
      </c>
      <c r="AT247">
        <f t="shared" si="136"/>
        <v>0</v>
      </c>
      <c r="AU247">
        <f>IF(OR(B247="",N('Исходные данные'!$B$80)&lt;=0,'Исходные данные'!$B$88=""),0,MAX(0,IF('Исходные данные'!$B$88="Последние 12 месяцев",SUMIFS($Y$2:$Y$194,$B$2:$B$194,"&gt;="&amp;EDATE(B247,-11),$B$2:$B$194,"&lt;="&amp;B247),IF('Исходные данные'!$B$88="Пользовательский NOI",N('Исходные данные'!$B$89),AT247))/N('Исходные данные'!$B$80)*(1+N('Исходные данные'!$B$81))))</f>
        <v>0</v>
      </c>
      <c r="AV247">
        <f>IF(OR(E247&lt;&gt;1,B247="",'Исходные данные'!$B$91=""),0,IF(AND(YEAR(B247)=YEAR('Исходные данные'!$B$91),MONTH(B247)=MONTH('Исходные данные'!$B$91)),AU247,0))</f>
        <v>0</v>
      </c>
      <c r="AW247">
        <f>-AV247*N('Исходные данные'!$B$73)</f>
        <v>0</v>
      </c>
      <c r="AX247">
        <f>IF(AV247=0,0,-N('Исходные данные'!$B$87)-IF('Исходные данные'!$B$82="Да",IF('Исходные данные'!$B$84="С выручки",AV247,IF('Исходные данные'!$B$84="С прибыли",MAX(0,AV247+AW247-IF('Исходные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47">
        <f t="shared" si="150"/>
        <v>0</v>
      </c>
      <c r="AZ247">
        <f t="shared" si="137"/>
        <v>0</v>
      </c>
      <c r="BA247">
        <f t="shared" si="151"/>
        <v>0</v>
      </c>
      <c r="BB247" t="str">
        <f t="shared" si="138"/>
        <v/>
      </c>
      <c r="BC247">
        <f>IF(OR(E247=0,'Исходные данные'!$B$9="",'Исходные данные'!$B$90=""),0,BA247/(1+'Исходные данные'!$B$90)^((D247-'Исходные данные'!$B$9)/365))</f>
        <v>0</v>
      </c>
      <c r="BD247">
        <f>IF(AND(E247=1,BB247&gt;=0,BB246&lt;0,MIN($BB$2:BB247)&lt;0),1,0)</f>
        <v>0</v>
      </c>
      <c r="BE247">
        <f t="shared" si="139"/>
        <v>0</v>
      </c>
      <c r="BF247">
        <f t="shared" si="140"/>
        <v>0</v>
      </c>
      <c r="BG247">
        <f t="shared" si="141"/>
        <v>0</v>
      </c>
      <c r="BH247">
        <f t="shared" si="142"/>
        <v>1</v>
      </c>
      <c r="BI247">
        <f>AZ247+N247+AP247-AR247*N('Исходные данные'!$B$50)</f>
        <v>0</v>
      </c>
      <c r="BJ247">
        <f t="shared" si="143"/>
        <v>0</v>
      </c>
      <c r="BK247">
        <f>IF(AND(BJ247&gt;=0,BJ246&lt;0,MIN($BJ$2:BJ247)&lt;0),1,0)</f>
        <v>0</v>
      </c>
    </row>
    <row r="248" spans="1:63" x14ac:dyDescent="0.2">
      <c r="A248">
        <v>247</v>
      </c>
      <c r="B248" t="str">
        <f>IF('Исходные данные'!$B$9="","",EDATE(DATE(YEAR('Исходные данные'!$B$9),MONTH('Исходные данные'!$B$9),1),A248-1))</f>
        <v/>
      </c>
      <c r="C248" t="str">
        <f t="shared" si="144"/>
        <v/>
      </c>
      <c r="D248" t="str">
        <f>IF(B248="","",IF('Исходные данные'!$B$91&lt;&gt;"",IF(AND(YEAR(B248)=YEAR('Исходные данные'!$B$91),MONTH(B248)=MONTH('Исходные данные'!$B$91)),'Исходные данные'!$B$91,IF('Исходные данные'!$B$13&lt;&gt;"",IF(AND(YEAR(B248)=YEAR('Исходные данные'!$B$13),MONTH(B248)=MONTH('Исходные данные'!$B$13)),'Исходные данные'!$B$13,IF('Исходные данные'!$B$26&lt;&gt;"",IF(AND(YEAR(B248)=YEAR('Исходные данные'!$B$26),MONTH(B248)=MONTH('Исходные данные'!$B$26)),'Исходные данные'!$B$26,IF(A248=1,'Исходные данные'!$B$9,C248)),IF(A248=1,'Исходные данные'!$B$9,C248))),IF('Исходные данные'!$B$26&lt;&gt;"",IF(AND(YEAR(B248)=YEAR('Исходные данные'!$B$26),MONTH(B248)=MONTH('Исходные данные'!$B$26)),'Исходные данные'!$B$26,IF(A248=1,'Исходные данные'!$B$9,C248)),IF(A248=1,'Исходные данные'!$B$9,C248)))),IF('Исходные данные'!$B$13&lt;&gt;"",IF(AND(YEAR(B248)=YEAR('Исходные данные'!$B$13),MONTH(B248)=MONTH('Исходные данные'!$B$13)),'Исходные данные'!$B$13,IF('Исходные данные'!$B$26&lt;&gt;"",IF(AND(YEAR(B248)=YEAR('Исходные данные'!$B$26),MONTH(B248)=MONTH('Исходные данные'!$B$26)),'Исходные данные'!$B$26,IF(A248=1,'Исходные данные'!$B$9,C248)),IF(A248=1,'Исходные данные'!$B$9,C248))),IF('Исходные данные'!$B$26&lt;&gt;"",IF(AND(YEAR(B248)=YEAR('Исходные данные'!$B$26),MONTH(B248)=MONTH('Исходные данные'!$B$26)),'Исходные данные'!$B$26,IF(A248=1,'Исходные данные'!$B$9,C248)),IF(A248=1,'Исходные данные'!$B$9,C248)))))</f>
        <v/>
      </c>
      <c r="E248">
        <f>IF(OR(B248="",'Исходные данные'!$B$91=""),0,--(B248&lt;=DATE(YEAR('Исходные данные'!$B$91),MONTH('Исходные данные'!$B$91),1)))</f>
        <v>0</v>
      </c>
      <c r="F248">
        <f>IF(OR(B248="",'Исходные данные'!$B$30="",C248&lt;'Исходные данные'!$B$30),0,DATEDIF(DATE(YEAR('Исходные данные'!$B$30),MONTH('Исходные данные'!$B$30),1),B248,"m")+1)</f>
        <v>0</v>
      </c>
      <c r="G248">
        <f t="shared" si="145"/>
        <v>0</v>
      </c>
      <c r="H248">
        <f>IF(F248=0,0,IF(G248=1,N('Исходные данные'!$B$31),IF(G248=2,N('Исходные данные'!$B$32),IF(G248=3,N('Исходные данные'!$B$33),N('Исходные данные'!$B$33)*(1+N('Исходные данные'!$B$34))^(G248-3)))))</f>
        <v>0</v>
      </c>
      <c r="I248">
        <f>IF(OR(F248=0,N('Исходные данные'!$B$5)=0,H248=0),0,'Исходные данные'!$B$5*H248*IF(AND(B248&lt;='Исходные данные'!$B$30,C248&gt;='Исходные данные'!$B$30),(C248-'Исходные данные'!$B$30+1)/DAY(C248),1))</f>
        <v>0</v>
      </c>
      <c r="J248">
        <f>IF(AND(F248&gt;0,F248&lt;=N('Исходные данные'!$B$37)),-I248,0)</f>
        <v>0</v>
      </c>
      <c r="K248">
        <f>IF(OR(F248=0,F248&lt;=N('Исходные данные'!$B$37)),0,-(I248+J248)*N('Исходные данные'!$B$38))</f>
        <v>0</v>
      </c>
      <c r="L248">
        <f t="shared" si="146"/>
        <v>0</v>
      </c>
      <c r="M248">
        <f>IF('Исходные данные'!$B$51="Да",L248*N('Исходные данные'!$B$52),0)</f>
        <v>0</v>
      </c>
      <c r="N248">
        <f t="shared" si="147"/>
        <v>0</v>
      </c>
      <c r="O248">
        <f>IF(OR(B248="",IF('Исходные данные'!$B$45="",'Исходные данные'!$B$10,'Исходные данные'!$B$45)="",C248&lt;IF('Исходные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данные'!$B$45)),1),B248,"m")/12))*IF(AND(B248&lt;=IF('Исходные данные'!$B$45="",'Исходные данные'!$B$10,'Исходные данные'!$B$45),C248&gt;=IF('Исходные данные'!$B$45="",'Исходные данные'!$B$10,'Исходные данные'!$B$45)),(C248-IF('Исходные данные'!$B$45="",'Исходные данные'!$B$10,'Исходные данные'!$B$45)+1)/DAY(C248),1)*IF('Исходные данные'!$B$43="Без НДС",1+N('Исходные данные'!$B$44),1))</f>
        <v>0</v>
      </c>
      <c r="P248">
        <f>IF('Исходные данные'!$B$51="Да",-O248*N('Исходные данные'!$B$44)/(1+N('Исходные данные'!$B$44)),0)</f>
        <v>0</v>
      </c>
      <c r="Q248">
        <f>IF('Исходные данные'!$B$35="Да",-O248,0)</f>
        <v>0</v>
      </c>
      <c r="R248">
        <f>IF(AND('Исходные данные'!$B$51="Да",Q248&gt;0),Q248*N('Исходные данные'!$B$52)/(1+N('Исходные данные'!$B$52)),0)</f>
        <v>0</v>
      </c>
      <c r="S248">
        <f>IF(OR(B248="",IF('Исходные данные'!$B$45="",'Исходные данные'!$B$10,'Исходные данные'!$B$45)="",C248&lt;IF('Исходные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данные'!$B$45)),1),B248,"m")/12))*IF(AND(B248&lt;=IF('Исходные данные'!$B$45="",'Исходные данные'!$B$10,'Исходные данные'!$B$45),C248&gt;=IF('Исходные данные'!$B$45="",'Исходные данные'!$B$10,'Исходные данные'!$B$45)),(C248-IF('Исходные данные'!$B$45="",'Исходные данные'!$B$10,'Исходные данные'!$B$45)+1)/DAY(C248),1)*IF('Исходные данные'!$B$43="Без НДС",1+N('Исходные данные'!$B$44),1))</f>
        <v>0</v>
      </c>
      <c r="T248">
        <f>IF('Исходные данные'!$B$51="Да",-S248*N('Исходные данные'!$B$44)/(1+N('Исходные данные'!$B$44)),0)</f>
        <v>0</v>
      </c>
      <c r="U248">
        <f>IF('Исходные данные'!$B$36="Да",-S248,0)</f>
        <v>0</v>
      </c>
      <c r="V248">
        <f>IF(AND('Исходные данные'!$B$51="Да",U248&gt;0),U248*N('Исходные данные'!$B$52)/(1+N('Исходные данные'!$B$52)),0)</f>
        <v>0</v>
      </c>
      <c r="W248">
        <f>IF(OR(B248="",IF('Исходные данные'!$B$69="",'Исходные данные'!$B$10,'Исходные данные'!$B$69)="",C248&lt;IF('Исходные данные'!$B$69="",'Исходные данные'!$B$10,'Исходные данные'!$B$69)),0,-N('Исходные данные'!$B$16)*N('Исходные данные'!$B$68)*N('Исходные данные'!$B$67)/12*IF(AND(B248&lt;=IF('Исходные данные'!$B$69="",'Исходные данные'!$B$10,'Исходные данные'!$B$69),C248&gt;=IF('Исходные данные'!$B$69="",'Исходные данные'!$B$10,'Исходные данные'!$B$69)),(C248-IF('Исходные данные'!$B$69="",'Исходные данные'!$B$10,'Исходные данные'!$B$69)+1)/DAY(C248),1))</f>
        <v>0</v>
      </c>
      <c r="X248">
        <f>IF(OR(B248="",IF('Исходные данные'!$B$76="",'Исходные данные'!$B$10,'Исходные данные'!$B$76)="",C248&lt;IF('Исходные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данные'!$B$76)),1),B248,"m")/12))*IF(AND(B248&lt;=IF('Исходные данные'!$B$76="",'Исходные данные'!$B$10,'Исходные данные'!$B$76),C248&gt;=IF('Исходные данные'!$B$76="",'Исходные данные'!$B$10,'Исходные данные'!$B$76)),(C248-IF('Исходные данные'!$B$76="",'Исходные данные'!$B$10,'Исходные данные'!$B$76)+1)/DAY(C248),1))</f>
        <v>0</v>
      </c>
      <c r="Y248">
        <f t="shared" si="148"/>
        <v>0</v>
      </c>
      <c r="Z248">
        <f>IF(OR(B248="",N('Исходные данные'!$B$19)=0),0,-SUMIFS('Исходные данные'!$I$6:$I$186,'Исходные данные'!$F$6:$F$186,B248)*N('Исходные данные'!$B$17)/N('Исходные данные'!$B$19))</f>
        <v>0</v>
      </c>
      <c r="AA248">
        <f>IF(OR(B248="",N('Исходные данные'!$B$19)=0),0,-SUMIFS('Исходные данные'!$I$6:$I$186,'Исходные данные'!$F$6:$F$186,B248)*N('Исходные данные'!$B$18)/N('Исходные данные'!$B$19))</f>
        <v>0</v>
      </c>
      <c r="AB248">
        <f>IF(OR(B248="",'Исходные данные'!$B$13=""),0,IF(AND(YEAR(B248)=YEAR('Исходные данные'!$B$13),MONTH(B248)=MONTH('Исходные данные'!$B$13)),-N('Исходные данные'!$B$11),0))</f>
        <v>0</v>
      </c>
      <c r="AC248">
        <f>IF(A248=1,-N('Исходные данные'!$B$19)*N('Исходные данные'!$B$72),0)</f>
        <v>0</v>
      </c>
      <c r="AD248">
        <f>IF(OR(B248="",'Исходные данные'!$B$22&lt;&gt;"Да",'Исходные данные'!$B$26=""),0,IF(AND(YEAR(B248)=YEAR('Исходные данные'!$B$26),MONTH(B248)=MONTH('Исходные данные'!$B$26)),N('Исходные данные'!$B$23),0))</f>
        <v>0</v>
      </c>
      <c r="AE248">
        <f t="shared" si="131"/>
        <v>0</v>
      </c>
      <c r="AF248">
        <f>IF(OR('Исходные данные'!$B$22&lt;&gt;"Да",'Исходные данные'!$B$26="",C248&lt;'Исходные данные'!$B$26),0,DATEDIF(DATE(YEAR('Исходные данные'!$B$26),MONTH('Исходные данные'!$B$26),1),B248,"m")+1)</f>
        <v>0</v>
      </c>
      <c r="AG248">
        <f>IF(OR(AF248&lt;1,AF248&gt;N('Исходные данные'!$B$25),AE248+AD248&lt;=0),0,-(AE248+AD248)*N('Исходные данные'!$B$24)*IF(AF248=1,C248-'Исходные данные'!$B$26+1,DAY(C248))/365)</f>
        <v>0</v>
      </c>
      <c r="AH248">
        <f>IF(OR(AF248&lt;1,AF248&gt;N('Исходные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данные'!$B$25)-AG248))</f>
        <v>0</v>
      </c>
      <c r="AI248">
        <f>IF(OR('Исходные данные'!$B$22&lt;&gt;"Да",AE248+AD248&lt;=0),0,IF(AND('Исходные данные'!$B$91&lt;&gt;"",B248&lt;&gt;"",YEAR(B248)=YEAR('Исходные данные'!$B$91),MONTH(B248)=MONTH('Исходные данные'!$B$91)),-(AE248+AD248),IF(OR(AF248&lt;1,AF248&gt;N('Исходные данные'!$B$25)),0,IF('Исходные данные'!$B$27="Равными долями",-MIN(AE248+AD248,N('Исходные данные'!$B$23)/N('Исходные данные'!$B$25)),-MIN(AE248+AD248,IF(AF248=N('Исходные данные'!$B$25),AE248+AD248,MAX(0,AH248+AG248)))))))</f>
        <v>0</v>
      </c>
      <c r="AJ248">
        <f t="shared" si="149"/>
        <v>0</v>
      </c>
      <c r="AK248">
        <f t="shared" si="132"/>
        <v>0</v>
      </c>
      <c r="AL248">
        <f>IF(OR(B248="",'Исходные данные'!$B$51&lt;&gt;"Да",'Исходные данные'!$B$61=""),0,IF(AND(YEAR(B248)=YEAR('Исходные данные'!$B$61),MONTH(B248)=MONTH('Исходные данные'!$B$61)),N('Исходные данные'!$B$18)*N('Исходные данные'!$B$62),0))</f>
        <v>0</v>
      </c>
      <c r="AM248">
        <f t="shared" si="133"/>
        <v>0</v>
      </c>
      <c r="AN248">
        <f t="shared" si="134"/>
        <v>0</v>
      </c>
      <c r="AO248">
        <f t="shared" si="135"/>
        <v>0</v>
      </c>
      <c r="AP248">
        <f>IF('Исходные данные'!$B$51="Да",-MAX(0,AN248-AO248-AM248),0)</f>
        <v>0</v>
      </c>
      <c r="AQ248">
        <f>IF('Исходные данные'!$B$51="Да",MAX(0,AM248+AO248-AN248),0)</f>
        <v>0</v>
      </c>
      <c r="AR248">
        <f>IF('Исходные данные'!$B$53="Выручка",MAX(0,L248+(Q248-R248)+(U248-V248)),IF('Исходные данные'!$B$53="Прибыль до налога",MAX(0,L248+(Q248-R248)+(U248-V248)+N('Исходные данные'!$B$54)*((O248+P248)+(S248+T248)+W248+X248)+IF('Исходные данные'!$B$55="Да",AG248,0)-N('Исходные данные'!$B$56)/12),IF('Исходные данные'!$B$53="Пользовательская база",MAX(0,N('Исходные данные'!$B$57)/12),0)))</f>
        <v>0</v>
      </c>
      <c r="AS248">
        <f>IF(E248=1,-AR248*N('Исходные данные'!$B$50),0)</f>
        <v>0</v>
      </c>
      <c r="AT248">
        <f t="shared" si="136"/>
        <v>0</v>
      </c>
      <c r="AU248">
        <f>IF(OR(B248="",N('Исходные данные'!$B$80)&lt;=0,'Исходные данные'!$B$88=""),0,MAX(0,IF('Исходные данные'!$B$88="Последние 12 месяцев",SUMIFS($Y$2:$Y$194,$B$2:$B$194,"&gt;="&amp;EDATE(B248,-11),$B$2:$B$194,"&lt;="&amp;B248),IF('Исходные данные'!$B$88="Пользовательский NOI",N('Исходные данные'!$B$89),AT248))/N('Исходные данные'!$B$80)*(1+N('Исходные данные'!$B$81))))</f>
        <v>0</v>
      </c>
      <c r="AV248">
        <f>IF(OR(E248&lt;&gt;1,B248="",'Исходные данные'!$B$91=""),0,IF(AND(YEAR(B248)=YEAR('Исходные данные'!$B$91),MONTH(B248)=MONTH('Исходные данные'!$B$91)),AU248,0))</f>
        <v>0</v>
      </c>
      <c r="AW248">
        <f>-AV248*N('Исходные данные'!$B$73)</f>
        <v>0</v>
      </c>
      <c r="AX248">
        <f>IF(AV248=0,0,-N('Исходные данные'!$B$87)-IF('Исходные данные'!$B$82="Да",IF('Исходные данные'!$B$84="С выручки",AV248,IF('Исходные данные'!$B$84="С прибыли",MAX(0,AV248+AW248-IF('Исходные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48">
        <f t="shared" si="150"/>
        <v>0</v>
      </c>
      <c r="AZ248">
        <f t="shared" si="137"/>
        <v>0</v>
      </c>
      <c r="BA248">
        <f t="shared" si="151"/>
        <v>0</v>
      </c>
      <c r="BB248" t="str">
        <f t="shared" si="138"/>
        <v/>
      </c>
      <c r="BC248">
        <f>IF(OR(E248=0,'Исходные данные'!$B$9="",'Исходные данные'!$B$90=""),0,BA248/(1+'Исходные данные'!$B$90)^((D248-'Исходные данные'!$B$9)/365))</f>
        <v>0</v>
      </c>
      <c r="BD248">
        <f>IF(AND(E248=1,BB248&gt;=0,BB247&lt;0,MIN($BB$2:BB248)&lt;0),1,0)</f>
        <v>0</v>
      </c>
      <c r="BE248">
        <f t="shared" si="139"/>
        <v>0</v>
      </c>
      <c r="BF248">
        <f t="shared" si="140"/>
        <v>0</v>
      </c>
      <c r="BG248">
        <f t="shared" si="141"/>
        <v>0</v>
      </c>
      <c r="BH248">
        <f t="shared" si="142"/>
        <v>1</v>
      </c>
      <c r="BI248">
        <f>AZ248+N248+AP248-AR248*N('Исходные данные'!$B$50)</f>
        <v>0</v>
      </c>
      <c r="BJ248">
        <f t="shared" si="143"/>
        <v>0</v>
      </c>
      <c r="BK248">
        <f>IF(AND(BJ248&gt;=0,BJ247&lt;0,MIN($BJ$2:BJ248)&lt;0),1,0)</f>
        <v>0</v>
      </c>
    </row>
    <row r="249" spans="1:63" x14ac:dyDescent="0.2">
      <c r="A249">
        <v>248</v>
      </c>
      <c r="B249" t="str">
        <f>IF('Исходные данные'!$B$9="","",EDATE(DATE(YEAR('Исходные данные'!$B$9),MONTH('Исходные данные'!$B$9),1),A249-1))</f>
        <v/>
      </c>
      <c r="C249" t="str">
        <f t="shared" si="144"/>
        <v/>
      </c>
      <c r="D249" t="str">
        <f>IF(B249="","",IF('Исходные данные'!$B$91&lt;&gt;"",IF(AND(YEAR(B249)=YEAR('Исходные данные'!$B$91),MONTH(B249)=MONTH('Исходные данные'!$B$91)),'Исходные данные'!$B$91,IF('Исходные данные'!$B$13&lt;&gt;"",IF(AND(YEAR(B249)=YEAR('Исходные данные'!$B$13),MONTH(B249)=MONTH('Исходные данные'!$B$13)),'Исходные данные'!$B$13,IF('Исходные данные'!$B$26&lt;&gt;"",IF(AND(YEAR(B249)=YEAR('Исходные данные'!$B$26),MONTH(B249)=MONTH('Исходные данные'!$B$26)),'Исходные данные'!$B$26,IF(A249=1,'Исходные данные'!$B$9,C249)),IF(A249=1,'Исходные данные'!$B$9,C249))),IF('Исходные данные'!$B$26&lt;&gt;"",IF(AND(YEAR(B249)=YEAR('Исходные данные'!$B$26),MONTH(B249)=MONTH('Исходные данные'!$B$26)),'Исходные данные'!$B$26,IF(A249=1,'Исходные данные'!$B$9,C249)),IF(A249=1,'Исходные данные'!$B$9,C249)))),IF('Исходные данные'!$B$13&lt;&gt;"",IF(AND(YEAR(B249)=YEAR('Исходные данные'!$B$13),MONTH(B249)=MONTH('Исходные данные'!$B$13)),'Исходные данные'!$B$13,IF('Исходные данные'!$B$26&lt;&gt;"",IF(AND(YEAR(B249)=YEAR('Исходные данные'!$B$26),MONTH(B249)=MONTH('Исходные данные'!$B$26)),'Исходные данные'!$B$26,IF(A249=1,'Исходные данные'!$B$9,C249)),IF(A249=1,'Исходные данные'!$B$9,C249))),IF('Исходные данные'!$B$26&lt;&gt;"",IF(AND(YEAR(B249)=YEAR('Исходные данные'!$B$26),MONTH(B249)=MONTH('Исходные данные'!$B$26)),'Исходные данные'!$B$26,IF(A249=1,'Исходные данные'!$B$9,C249)),IF(A249=1,'Исходные данные'!$B$9,C249)))))</f>
        <v/>
      </c>
      <c r="E249">
        <f>IF(OR(B249="",'Исходные данные'!$B$91=""),0,--(B249&lt;=DATE(YEAR('Исходные данные'!$B$91),MONTH('Исходные данные'!$B$91),1)))</f>
        <v>0</v>
      </c>
      <c r="F249">
        <f>IF(OR(B249="",'Исходные данные'!$B$30="",C249&lt;'Исходные данные'!$B$30),0,DATEDIF(DATE(YEAR('Исходные данные'!$B$30),MONTH('Исходные данные'!$B$30),1),B249,"m")+1)</f>
        <v>0</v>
      </c>
      <c r="G249">
        <f t="shared" si="145"/>
        <v>0</v>
      </c>
      <c r="H249">
        <f>IF(F249=0,0,IF(G249=1,N('Исходные данные'!$B$31),IF(G249=2,N('Исходные данные'!$B$32),IF(G249=3,N('Исходные данные'!$B$33),N('Исходные данные'!$B$33)*(1+N('Исходные данные'!$B$34))^(G249-3)))))</f>
        <v>0</v>
      </c>
      <c r="I249">
        <f>IF(OR(F249=0,N('Исходные данные'!$B$5)=0,H249=0),0,'Исходные данные'!$B$5*H249*IF(AND(B249&lt;='Исходные данные'!$B$30,C249&gt;='Исходные данные'!$B$30),(C249-'Исходные данные'!$B$30+1)/DAY(C249),1))</f>
        <v>0</v>
      </c>
      <c r="J249">
        <f>IF(AND(F249&gt;0,F249&lt;=N('Исходные данные'!$B$37)),-I249,0)</f>
        <v>0</v>
      </c>
      <c r="K249">
        <f>IF(OR(F249=0,F249&lt;=N('Исходные данные'!$B$37)),0,-(I249+J249)*N('Исходные данные'!$B$38))</f>
        <v>0</v>
      </c>
      <c r="L249">
        <f t="shared" si="146"/>
        <v>0</v>
      </c>
      <c r="M249">
        <f>IF('Исходные данные'!$B$51="Да",L249*N('Исходные данные'!$B$52),0)</f>
        <v>0</v>
      </c>
      <c r="N249">
        <f t="shared" si="147"/>
        <v>0</v>
      </c>
      <c r="O249">
        <f>IF(OR(B249="",IF('Исходные данные'!$B$45="",'Исходные данные'!$B$10,'Исходные данные'!$B$45)="",C249&lt;IF('Исходные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данные'!$B$45)),1),B249,"m")/12))*IF(AND(B249&lt;=IF('Исходные данные'!$B$45="",'Исходные данные'!$B$10,'Исходные данные'!$B$45),C249&gt;=IF('Исходные данные'!$B$45="",'Исходные данные'!$B$10,'Исходные данные'!$B$45)),(C249-IF('Исходные данные'!$B$45="",'Исходные данные'!$B$10,'Исходные данные'!$B$45)+1)/DAY(C249),1)*IF('Исходные данные'!$B$43="Без НДС",1+N('Исходные данные'!$B$44),1))</f>
        <v>0</v>
      </c>
      <c r="P249">
        <f>IF('Исходные данные'!$B$51="Да",-O249*N('Исходные данные'!$B$44)/(1+N('Исходные данные'!$B$44)),0)</f>
        <v>0</v>
      </c>
      <c r="Q249">
        <f>IF('Исходные данные'!$B$35="Да",-O249,0)</f>
        <v>0</v>
      </c>
      <c r="R249">
        <f>IF(AND('Исходные данные'!$B$51="Да",Q249&gt;0),Q249*N('Исходные данные'!$B$52)/(1+N('Исходные данные'!$B$52)),0)</f>
        <v>0</v>
      </c>
      <c r="S249">
        <f>IF(OR(B249="",IF('Исходные данные'!$B$45="",'Исходные данные'!$B$10,'Исходные данные'!$B$45)="",C249&lt;IF('Исходные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данные'!$B$45)),1),B249,"m")/12))*IF(AND(B249&lt;=IF('Исходные данные'!$B$45="",'Исходные данные'!$B$10,'Исходные данные'!$B$45),C249&gt;=IF('Исходные данные'!$B$45="",'Исходные данные'!$B$10,'Исходные данные'!$B$45)),(C249-IF('Исходные данные'!$B$45="",'Исходные данные'!$B$10,'Исходные данные'!$B$45)+1)/DAY(C249),1)*IF('Исходные данные'!$B$43="Без НДС",1+N('Исходные данные'!$B$44),1))</f>
        <v>0</v>
      </c>
      <c r="T249">
        <f>IF('Исходные данные'!$B$51="Да",-S249*N('Исходные данные'!$B$44)/(1+N('Исходные данные'!$B$44)),0)</f>
        <v>0</v>
      </c>
      <c r="U249">
        <f>IF('Исходные данные'!$B$36="Да",-S249,0)</f>
        <v>0</v>
      </c>
      <c r="V249">
        <f>IF(AND('Исходные данные'!$B$51="Да",U249&gt;0),U249*N('Исходные данные'!$B$52)/(1+N('Исходные данные'!$B$52)),0)</f>
        <v>0</v>
      </c>
      <c r="W249">
        <f>IF(OR(B249="",IF('Исходные данные'!$B$69="",'Исходные данные'!$B$10,'Исходные данные'!$B$69)="",C249&lt;IF('Исходные данные'!$B$69="",'Исходные данные'!$B$10,'Исходные данные'!$B$69)),0,-N('Исходные данные'!$B$16)*N('Исходные данные'!$B$68)*N('Исходные данные'!$B$67)/12*IF(AND(B249&lt;=IF('Исходные данные'!$B$69="",'Исходные данные'!$B$10,'Исходные данные'!$B$69),C249&gt;=IF('Исходные данные'!$B$69="",'Исходные данные'!$B$10,'Исходные данные'!$B$69)),(C249-IF('Исходные данные'!$B$69="",'Исходные данные'!$B$10,'Исходные данные'!$B$69)+1)/DAY(C249),1))</f>
        <v>0</v>
      </c>
      <c r="X249">
        <f>IF(OR(B249="",IF('Исходные данные'!$B$76="",'Исходные данные'!$B$10,'Исходные данные'!$B$76)="",C249&lt;IF('Исходные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данные'!$B$76)),1),B249,"m")/12))*IF(AND(B249&lt;=IF('Исходные данные'!$B$76="",'Исходные данные'!$B$10,'Исходные данные'!$B$76),C249&gt;=IF('Исходные данные'!$B$76="",'Исходные данные'!$B$10,'Исходные данные'!$B$76)),(C249-IF('Исходные данные'!$B$76="",'Исходные данные'!$B$10,'Исходные данные'!$B$76)+1)/DAY(C249),1))</f>
        <v>0</v>
      </c>
      <c r="Y249">
        <f t="shared" si="148"/>
        <v>0</v>
      </c>
      <c r="Z249">
        <f>IF(OR(B249="",N('Исходные данные'!$B$19)=0),0,-SUMIFS('Исходные данные'!$I$6:$I$186,'Исходные данные'!$F$6:$F$186,B249)*N('Исходные данные'!$B$17)/N('Исходные данные'!$B$19))</f>
        <v>0</v>
      </c>
      <c r="AA249">
        <f>IF(OR(B249="",N('Исходные данные'!$B$19)=0),0,-SUMIFS('Исходные данные'!$I$6:$I$186,'Исходные данные'!$F$6:$F$186,B249)*N('Исходные данные'!$B$18)/N('Исходные данные'!$B$19))</f>
        <v>0</v>
      </c>
      <c r="AB249">
        <f>IF(OR(B249="",'Исходные данные'!$B$13=""),0,IF(AND(YEAR(B249)=YEAR('Исходные данные'!$B$13),MONTH(B249)=MONTH('Исходные данные'!$B$13)),-N('Исходные данные'!$B$11),0))</f>
        <v>0</v>
      </c>
      <c r="AC249">
        <f>IF(A249=1,-N('Исходные данные'!$B$19)*N('Исходные данные'!$B$72),0)</f>
        <v>0</v>
      </c>
      <c r="AD249">
        <f>IF(OR(B249="",'Исходные данные'!$B$22&lt;&gt;"Да",'Исходные данные'!$B$26=""),0,IF(AND(YEAR(B249)=YEAR('Исходные данные'!$B$26),MONTH(B249)=MONTH('Исходные данные'!$B$26)),N('Исходные данные'!$B$23),0))</f>
        <v>0</v>
      </c>
      <c r="AE249">
        <f t="shared" si="131"/>
        <v>0</v>
      </c>
      <c r="AF249">
        <f>IF(OR('Исходные данные'!$B$22&lt;&gt;"Да",'Исходные данные'!$B$26="",C249&lt;'Исходные данные'!$B$26),0,DATEDIF(DATE(YEAR('Исходные данные'!$B$26),MONTH('Исходные данные'!$B$26),1),B249,"m")+1)</f>
        <v>0</v>
      </c>
      <c r="AG249">
        <f>IF(OR(AF249&lt;1,AF249&gt;N('Исходные данные'!$B$25),AE249+AD249&lt;=0),0,-(AE249+AD249)*N('Исходные данные'!$B$24)*IF(AF249=1,C249-'Исходные данные'!$B$26+1,DAY(C249))/365)</f>
        <v>0</v>
      </c>
      <c r="AH249">
        <f>IF(OR(AF249&lt;1,AF249&gt;N('Исходные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данные'!$B$25)-AG249))</f>
        <v>0</v>
      </c>
      <c r="AI249">
        <f>IF(OR('Исходные данные'!$B$22&lt;&gt;"Да",AE249+AD249&lt;=0),0,IF(AND('Исходные данные'!$B$91&lt;&gt;"",B249&lt;&gt;"",YEAR(B249)=YEAR('Исходные данные'!$B$91),MONTH(B249)=MONTH('Исходные данные'!$B$91)),-(AE249+AD249),IF(OR(AF249&lt;1,AF249&gt;N('Исходные данные'!$B$25)),0,IF('Исходные данные'!$B$27="Равными долями",-MIN(AE249+AD249,N('Исходные данные'!$B$23)/N('Исходные данные'!$B$25)),-MIN(AE249+AD249,IF(AF249=N('Исходные данные'!$B$25),AE249+AD249,MAX(0,AH249+AG249)))))))</f>
        <v>0</v>
      </c>
      <c r="AJ249">
        <f t="shared" si="149"/>
        <v>0</v>
      </c>
      <c r="AK249">
        <f t="shared" si="132"/>
        <v>0</v>
      </c>
      <c r="AL249">
        <f>IF(OR(B249="",'Исходные данные'!$B$51&lt;&gt;"Да",'Исходные данные'!$B$61=""),0,IF(AND(YEAR(B249)=YEAR('Исходные данные'!$B$61),MONTH(B249)=MONTH('Исходные данные'!$B$61)),N('Исходные данные'!$B$18)*N('Исходные данные'!$B$62),0))</f>
        <v>0</v>
      </c>
      <c r="AM249">
        <f t="shared" si="133"/>
        <v>0</v>
      </c>
      <c r="AN249">
        <f t="shared" si="134"/>
        <v>0</v>
      </c>
      <c r="AO249">
        <f t="shared" si="135"/>
        <v>0</v>
      </c>
      <c r="AP249">
        <f>IF('Исходные данные'!$B$51="Да",-MAX(0,AN249-AO249-AM249),0)</f>
        <v>0</v>
      </c>
      <c r="AQ249">
        <f>IF('Исходные данные'!$B$51="Да",MAX(0,AM249+AO249-AN249),0)</f>
        <v>0</v>
      </c>
      <c r="AR249">
        <f>IF('Исходные данные'!$B$53="Выручка",MAX(0,L249+(Q249-R249)+(U249-V249)),IF('Исходные данные'!$B$53="Прибыль до налога",MAX(0,L249+(Q249-R249)+(U249-V249)+N('Исходные данные'!$B$54)*((O249+P249)+(S249+T249)+W249+X249)+IF('Исходные данные'!$B$55="Да",AG249,0)-N('Исходные данные'!$B$56)/12),IF('Исходные данные'!$B$53="Пользовательская база",MAX(0,N('Исходные данные'!$B$57)/12),0)))</f>
        <v>0</v>
      </c>
      <c r="AS249">
        <f>IF(E249=1,-AR249*N('Исходные данные'!$B$50),0)</f>
        <v>0</v>
      </c>
      <c r="AT249">
        <f t="shared" si="136"/>
        <v>0</v>
      </c>
      <c r="AU249">
        <f>IF(OR(B249="",N('Исходные данные'!$B$80)&lt;=0,'Исходные данные'!$B$88=""),0,MAX(0,IF('Исходные данные'!$B$88="Последние 12 месяцев",SUMIFS($Y$2:$Y$194,$B$2:$B$194,"&gt;="&amp;EDATE(B249,-11),$B$2:$B$194,"&lt;="&amp;B249),IF('Исходные данные'!$B$88="Пользовательский NOI",N('Исходные данные'!$B$89),AT249))/N('Исходные данные'!$B$80)*(1+N('Исходные данные'!$B$81))))</f>
        <v>0</v>
      </c>
      <c r="AV249">
        <f>IF(OR(E249&lt;&gt;1,B249="",'Исходные данные'!$B$91=""),0,IF(AND(YEAR(B249)=YEAR('Исходные данные'!$B$91),MONTH(B249)=MONTH('Исходные данные'!$B$91)),AU249,0))</f>
        <v>0</v>
      </c>
      <c r="AW249">
        <f>-AV249*N('Исходные данные'!$B$73)</f>
        <v>0</v>
      </c>
      <c r="AX249">
        <f>IF(AV249=0,0,-N('Исходные данные'!$B$87)-IF('Исходные данные'!$B$82="Да",IF('Исходные данные'!$B$84="С выручки",AV249,IF('Исходные данные'!$B$84="С прибыли",MAX(0,AV249+AW249-IF('Исходные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49">
        <f t="shared" si="150"/>
        <v>0</v>
      </c>
      <c r="AZ249">
        <f t="shared" si="137"/>
        <v>0</v>
      </c>
      <c r="BA249">
        <f t="shared" si="151"/>
        <v>0</v>
      </c>
      <c r="BB249" t="str">
        <f t="shared" si="138"/>
        <v/>
      </c>
      <c r="BC249">
        <f>IF(OR(E249=0,'Исходные данные'!$B$9="",'Исходные данные'!$B$90=""),0,BA249/(1+'Исходные данные'!$B$90)^((D249-'Исходные данные'!$B$9)/365))</f>
        <v>0</v>
      </c>
      <c r="BD249">
        <f>IF(AND(E249=1,BB249&gt;=0,BB248&lt;0,MIN($BB$2:BB249)&lt;0),1,0)</f>
        <v>0</v>
      </c>
      <c r="BE249">
        <f t="shared" si="139"/>
        <v>0</v>
      </c>
      <c r="BF249">
        <f t="shared" si="140"/>
        <v>0</v>
      </c>
      <c r="BG249">
        <f t="shared" si="141"/>
        <v>0</v>
      </c>
      <c r="BH249">
        <f t="shared" si="142"/>
        <v>1</v>
      </c>
      <c r="BI249">
        <f>AZ249+N249+AP249-AR249*N('Исходные данные'!$B$50)</f>
        <v>0</v>
      </c>
      <c r="BJ249">
        <f t="shared" si="143"/>
        <v>0</v>
      </c>
      <c r="BK249">
        <f>IF(AND(BJ249&gt;=0,BJ248&lt;0,MIN($BJ$2:BJ249)&lt;0),1,0)</f>
        <v>0</v>
      </c>
    </row>
    <row r="250" spans="1:63" x14ac:dyDescent="0.2">
      <c r="A250">
        <v>249</v>
      </c>
      <c r="B250" t="str">
        <f>IF('Исходные данные'!$B$9="","",EDATE(DATE(YEAR('Исходные данные'!$B$9),MONTH('Исходные данные'!$B$9),1),A250-1))</f>
        <v/>
      </c>
      <c r="C250" t="str">
        <f t="shared" si="144"/>
        <v/>
      </c>
      <c r="D250" t="str">
        <f>IF(B250="","",IF('Исходные данные'!$B$91&lt;&gt;"",IF(AND(YEAR(B250)=YEAR('Исходные данные'!$B$91),MONTH(B250)=MONTH('Исходные данные'!$B$91)),'Исходные данные'!$B$91,IF('Исходные данные'!$B$13&lt;&gt;"",IF(AND(YEAR(B250)=YEAR('Исходные данные'!$B$13),MONTH(B250)=MONTH('Исходные данные'!$B$13)),'Исходные данные'!$B$13,IF('Исходные данные'!$B$26&lt;&gt;"",IF(AND(YEAR(B250)=YEAR('Исходные данные'!$B$26),MONTH(B250)=MONTH('Исходные данные'!$B$26)),'Исходные данные'!$B$26,IF(A250=1,'Исходные данные'!$B$9,C250)),IF(A250=1,'Исходные данные'!$B$9,C250))),IF('Исходные данные'!$B$26&lt;&gt;"",IF(AND(YEAR(B250)=YEAR('Исходные данные'!$B$26),MONTH(B250)=MONTH('Исходные данные'!$B$26)),'Исходные данные'!$B$26,IF(A250=1,'Исходные данные'!$B$9,C250)),IF(A250=1,'Исходные данные'!$B$9,C250)))),IF('Исходные данные'!$B$13&lt;&gt;"",IF(AND(YEAR(B250)=YEAR('Исходные данные'!$B$13),MONTH(B250)=MONTH('Исходные данные'!$B$13)),'Исходные данные'!$B$13,IF('Исходные данные'!$B$26&lt;&gt;"",IF(AND(YEAR(B250)=YEAR('Исходные данные'!$B$26),MONTH(B250)=MONTH('Исходные данные'!$B$26)),'Исходные данные'!$B$26,IF(A250=1,'Исходные данные'!$B$9,C250)),IF(A250=1,'Исходные данные'!$B$9,C250))),IF('Исходные данные'!$B$26&lt;&gt;"",IF(AND(YEAR(B250)=YEAR('Исходные данные'!$B$26),MONTH(B250)=MONTH('Исходные данные'!$B$26)),'Исходные данные'!$B$26,IF(A250=1,'Исходные данные'!$B$9,C250)),IF(A250=1,'Исходные данные'!$B$9,C250)))))</f>
        <v/>
      </c>
      <c r="E250">
        <f>IF(OR(B250="",'Исходные данные'!$B$91=""),0,--(B250&lt;=DATE(YEAR('Исходные данные'!$B$91),MONTH('Исходные данные'!$B$91),1)))</f>
        <v>0</v>
      </c>
      <c r="F250">
        <f>IF(OR(B250="",'Исходные данные'!$B$30="",C250&lt;'Исходные данные'!$B$30),0,DATEDIF(DATE(YEAR('Исходные данные'!$B$30),MONTH('Исходные данные'!$B$30),1),B250,"m")+1)</f>
        <v>0</v>
      </c>
      <c r="G250">
        <f t="shared" si="145"/>
        <v>0</v>
      </c>
      <c r="H250">
        <f>IF(F250=0,0,IF(G250=1,N('Исходные данные'!$B$31),IF(G250=2,N('Исходные данные'!$B$32),IF(G250=3,N('Исходные данные'!$B$33),N('Исходные данные'!$B$33)*(1+N('Исходные данные'!$B$34))^(G250-3)))))</f>
        <v>0</v>
      </c>
      <c r="I250">
        <f>IF(OR(F250=0,N('Исходные данные'!$B$5)=0,H250=0),0,'Исходные данные'!$B$5*H250*IF(AND(B250&lt;='Исходные данные'!$B$30,C250&gt;='Исходные данные'!$B$30),(C250-'Исходные данные'!$B$30+1)/DAY(C250),1))</f>
        <v>0</v>
      </c>
      <c r="J250">
        <f>IF(AND(F250&gt;0,F250&lt;=N('Исходные данные'!$B$37)),-I250,0)</f>
        <v>0</v>
      </c>
      <c r="K250">
        <f>IF(OR(F250=0,F250&lt;=N('Исходные данные'!$B$37)),0,-(I250+J250)*N('Исходные данные'!$B$38))</f>
        <v>0</v>
      </c>
      <c r="L250">
        <f t="shared" si="146"/>
        <v>0</v>
      </c>
      <c r="M250">
        <f>IF('Исходные данные'!$B$51="Да",L250*N('Исходные данные'!$B$52),0)</f>
        <v>0</v>
      </c>
      <c r="N250">
        <f t="shared" si="147"/>
        <v>0</v>
      </c>
      <c r="O250">
        <f>IF(OR(B250="",IF('Исходные данные'!$B$45="",'Исходные данные'!$B$10,'Исходные данные'!$B$45)="",C250&lt;IF('Исходные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данные'!$B$45)),1),B250,"m")/12))*IF(AND(B250&lt;=IF('Исходные данные'!$B$45="",'Исходные данные'!$B$10,'Исходные данные'!$B$45),C250&gt;=IF('Исходные данные'!$B$45="",'Исходные данные'!$B$10,'Исходные данные'!$B$45)),(C250-IF('Исходные данные'!$B$45="",'Исходные данные'!$B$10,'Исходные данные'!$B$45)+1)/DAY(C250),1)*IF('Исходные данные'!$B$43="Без НДС",1+N('Исходные данные'!$B$44),1))</f>
        <v>0</v>
      </c>
      <c r="P250">
        <f>IF('Исходные данные'!$B$51="Да",-O250*N('Исходные данные'!$B$44)/(1+N('Исходные данные'!$B$44)),0)</f>
        <v>0</v>
      </c>
      <c r="Q250">
        <f>IF('Исходные данные'!$B$35="Да",-O250,0)</f>
        <v>0</v>
      </c>
      <c r="R250">
        <f>IF(AND('Исходные данные'!$B$51="Да",Q250&gt;0),Q250*N('Исходные данные'!$B$52)/(1+N('Исходные данные'!$B$52)),0)</f>
        <v>0</v>
      </c>
      <c r="S250">
        <f>IF(OR(B250="",IF('Исходные данные'!$B$45="",'Исходные данные'!$B$10,'Исходные данные'!$B$45)="",C250&lt;IF('Исходные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данные'!$B$45)),1),B250,"m")/12))*IF(AND(B250&lt;=IF('Исходные данные'!$B$45="",'Исходные данные'!$B$10,'Исходные данные'!$B$45),C250&gt;=IF('Исходные данные'!$B$45="",'Исходные данные'!$B$10,'Исходные данные'!$B$45)),(C250-IF('Исходные данные'!$B$45="",'Исходные данные'!$B$10,'Исходные данные'!$B$45)+1)/DAY(C250),1)*IF('Исходные данные'!$B$43="Без НДС",1+N('Исходные данные'!$B$44),1))</f>
        <v>0</v>
      </c>
      <c r="T250">
        <f>IF('Исходные данные'!$B$51="Да",-S250*N('Исходные данные'!$B$44)/(1+N('Исходные данные'!$B$44)),0)</f>
        <v>0</v>
      </c>
      <c r="U250">
        <f>IF('Исходные данные'!$B$36="Да",-S250,0)</f>
        <v>0</v>
      </c>
      <c r="V250">
        <f>IF(AND('Исходные данные'!$B$51="Да",U250&gt;0),U250*N('Исходные данные'!$B$52)/(1+N('Исходные данные'!$B$52)),0)</f>
        <v>0</v>
      </c>
      <c r="W250">
        <f>IF(OR(B250="",IF('Исходные данные'!$B$69="",'Исходные данные'!$B$10,'Исходные данные'!$B$69)="",C250&lt;IF('Исходные данные'!$B$69="",'Исходные данные'!$B$10,'Исходные данные'!$B$69)),0,-N('Исходные данные'!$B$16)*N('Исходные данные'!$B$68)*N('Исходные данные'!$B$67)/12*IF(AND(B250&lt;=IF('Исходные данные'!$B$69="",'Исходные данные'!$B$10,'Исходные данные'!$B$69),C250&gt;=IF('Исходные данные'!$B$69="",'Исходные данные'!$B$10,'Исходные данные'!$B$69)),(C250-IF('Исходные данные'!$B$69="",'Исходные данные'!$B$10,'Исходные данные'!$B$69)+1)/DAY(C250),1))</f>
        <v>0</v>
      </c>
      <c r="X250">
        <f>IF(OR(B250="",IF('Исходные данные'!$B$76="",'Исходные данные'!$B$10,'Исходные данные'!$B$76)="",C250&lt;IF('Исходные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данные'!$B$76)),1),B250,"m")/12))*IF(AND(B250&lt;=IF('Исходные данные'!$B$76="",'Исходные данные'!$B$10,'Исходные данные'!$B$76),C250&gt;=IF('Исходные данные'!$B$76="",'Исходные данные'!$B$10,'Исходные данные'!$B$76)),(C250-IF('Исходные данные'!$B$76="",'Исходные данные'!$B$10,'Исходные данные'!$B$76)+1)/DAY(C250),1))</f>
        <v>0</v>
      </c>
      <c r="Y250">
        <f t="shared" si="148"/>
        <v>0</v>
      </c>
      <c r="Z250">
        <f>IF(OR(B250="",N('Исходные данные'!$B$19)=0),0,-SUMIFS('Исходные данные'!$I$6:$I$186,'Исходные данные'!$F$6:$F$186,B250)*N('Исходные данные'!$B$17)/N('Исходные данные'!$B$19))</f>
        <v>0</v>
      </c>
      <c r="AA250">
        <f>IF(OR(B250="",N('Исходные данные'!$B$19)=0),0,-SUMIFS('Исходные данные'!$I$6:$I$186,'Исходные данные'!$F$6:$F$186,B250)*N('Исходные данные'!$B$18)/N('Исходные данные'!$B$19))</f>
        <v>0</v>
      </c>
      <c r="AB250">
        <f>IF(OR(B250="",'Исходные данные'!$B$13=""),0,IF(AND(YEAR(B250)=YEAR('Исходные данные'!$B$13),MONTH(B250)=MONTH('Исходные данные'!$B$13)),-N('Исходные данные'!$B$11),0))</f>
        <v>0</v>
      </c>
      <c r="AC250">
        <f>IF(A250=1,-N('Исходные данные'!$B$19)*N('Исходные данные'!$B$72),0)</f>
        <v>0</v>
      </c>
      <c r="AD250">
        <f>IF(OR(B250="",'Исходные данные'!$B$22&lt;&gt;"Да",'Исходные данные'!$B$26=""),0,IF(AND(YEAR(B250)=YEAR('Исходные данные'!$B$26),MONTH(B250)=MONTH('Исходные данные'!$B$26)),N('Исходные данные'!$B$23),0))</f>
        <v>0</v>
      </c>
      <c r="AE250">
        <f t="shared" si="131"/>
        <v>0</v>
      </c>
      <c r="AF250">
        <f>IF(OR('Исходные данные'!$B$22&lt;&gt;"Да",'Исходные данные'!$B$26="",C250&lt;'Исходные данные'!$B$26),0,DATEDIF(DATE(YEAR('Исходные данные'!$B$26),MONTH('Исходные данные'!$B$26),1),B250,"m")+1)</f>
        <v>0</v>
      </c>
      <c r="AG250">
        <f>IF(OR(AF250&lt;1,AF250&gt;N('Исходные данные'!$B$25),AE250+AD250&lt;=0),0,-(AE250+AD250)*N('Исходные данные'!$B$24)*IF(AF250=1,C250-'Исходные данные'!$B$26+1,DAY(C250))/365)</f>
        <v>0</v>
      </c>
      <c r="AH250">
        <f>IF(OR(AF250&lt;1,AF250&gt;N('Исходные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данные'!$B$25)-AG250))</f>
        <v>0</v>
      </c>
      <c r="AI250">
        <f>IF(OR('Исходные данные'!$B$22&lt;&gt;"Да",AE250+AD250&lt;=0),0,IF(AND('Исходные данные'!$B$91&lt;&gt;"",B250&lt;&gt;"",YEAR(B250)=YEAR('Исходные данные'!$B$91),MONTH(B250)=MONTH('Исходные данные'!$B$91)),-(AE250+AD250),IF(OR(AF250&lt;1,AF250&gt;N('Исходные данные'!$B$25)),0,IF('Исходные данные'!$B$27="Равными долями",-MIN(AE250+AD250,N('Исходные данные'!$B$23)/N('Исходные данные'!$B$25)),-MIN(AE250+AD250,IF(AF250=N('Исходные данные'!$B$25),AE250+AD250,MAX(0,AH250+AG250)))))))</f>
        <v>0</v>
      </c>
      <c r="AJ250">
        <f t="shared" si="149"/>
        <v>0</v>
      </c>
      <c r="AK250">
        <f t="shared" si="132"/>
        <v>0</v>
      </c>
      <c r="AL250">
        <f>IF(OR(B250="",'Исходные данные'!$B$51&lt;&gt;"Да",'Исходные данные'!$B$61=""),0,IF(AND(YEAR(B250)=YEAR('Исходные данные'!$B$61),MONTH(B250)=MONTH('Исходные данные'!$B$61)),N('Исходные данные'!$B$18)*N('Исходные данные'!$B$62),0))</f>
        <v>0</v>
      </c>
      <c r="AM250">
        <f t="shared" si="133"/>
        <v>0</v>
      </c>
      <c r="AN250">
        <f t="shared" si="134"/>
        <v>0</v>
      </c>
      <c r="AO250">
        <f t="shared" si="135"/>
        <v>0</v>
      </c>
      <c r="AP250">
        <f>IF('Исходные данные'!$B$51="Да",-MAX(0,AN250-AO250-AM250),0)</f>
        <v>0</v>
      </c>
      <c r="AQ250">
        <f>IF('Исходные данные'!$B$51="Да",MAX(0,AM250+AO250-AN250),0)</f>
        <v>0</v>
      </c>
      <c r="AR250">
        <f>IF('Исходные данные'!$B$53="Выручка",MAX(0,L250+(Q250-R250)+(U250-V250)),IF('Исходные данные'!$B$53="Прибыль до налога",MAX(0,L250+(Q250-R250)+(U250-V250)+N('Исходные данные'!$B$54)*((O250+P250)+(S250+T250)+W250+X250)+IF('Исходные данные'!$B$55="Да",AG250,0)-N('Исходные данные'!$B$56)/12),IF('Исходные данные'!$B$53="Пользовательская база",MAX(0,N('Исходные данные'!$B$57)/12),0)))</f>
        <v>0</v>
      </c>
      <c r="AS250">
        <f>IF(E250=1,-AR250*N('Исходные данные'!$B$50),0)</f>
        <v>0</v>
      </c>
      <c r="AT250">
        <f t="shared" si="136"/>
        <v>0</v>
      </c>
      <c r="AU250">
        <f>IF(OR(B250="",N('Исходные данные'!$B$80)&lt;=0,'Исходные данные'!$B$88=""),0,MAX(0,IF('Исходные данные'!$B$88="Последние 12 месяцев",SUMIFS($Y$2:$Y$194,$B$2:$B$194,"&gt;="&amp;EDATE(B250,-11),$B$2:$B$194,"&lt;="&amp;B250),IF('Исходные данные'!$B$88="Пользовательский NOI",N('Исходные данные'!$B$89),AT250))/N('Исходные данные'!$B$80)*(1+N('Исходные данные'!$B$81))))</f>
        <v>0</v>
      </c>
      <c r="AV250">
        <f>IF(OR(E250&lt;&gt;1,B250="",'Исходные данные'!$B$91=""),0,IF(AND(YEAR(B250)=YEAR('Исходные данные'!$B$91),MONTH(B250)=MONTH('Исходные данные'!$B$91)),AU250,0))</f>
        <v>0</v>
      </c>
      <c r="AW250">
        <f>-AV250*N('Исходные данные'!$B$73)</f>
        <v>0</v>
      </c>
      <c r="AX250">
        <f>IF(AV250=0,0,-N('Исходные данные'!$B$87)-IF('Исходные данные'!$B$82="Да",IF('Исходные данные'!$B$84="С выручки",AV250,IF('Исходные данные'!$B$84="С прибыли",MAX(0,AV250+AW250-IF('Исходные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50">
        <f t="shared" si="150"/>
        <v>0</v>
      </c>
      <c r="AZ250">
        <f t="shared" si="137"/>
        <v>0</v>
      </c>
      <c r="BA250">
        <f t="shared" si="151"/>
        <v>0</v>
      </c>
      <c r="BB250" t="str">
        <f t="shared" si="138"/>
        <v/>
      </c>
      <c r="BC250">
        <f>IF(OR(E250=0,'Исходные данные'!$B$9="",'Исходные данные'!$B$90=""),0,BA250/(1+'Исходные данные'!$B$90)^((D250-'Исходные данные'!$B$9)/365))</f>
        <v>0</v>
      </c>
      <c r="BD250">
        <f>IF(AND(E250=1,BB250&gt;=0,BB249&lt;0,MIN($BB$2:BB250)&lt;0),1,0)</f>
        <v>0</v>
      </c>
      <c r="BE250">
        <f t="shared" si="139"/>
        <v>0</v>
      </c>
      <c r="BF250">
        <f t="shared" si="140"/>
        <v>0</v>
      </c>
      <c r="BG250">
        <f t="shared" si="141"/>
        <v>0</v>
      </c>
      <c r="BH250">
        <f t="shared" si="142"/>
        <v>1</v>
      </c>
      <c r="BI250">
        <f>AZ250+N250+AP250-AR250*N('Исходные данные'!$B$50)</f>
        <v>0</v>
      </c>
      <c r="BJ250">
        <f t="shared" si="143"/>
        <v>0</v>
      </c>
      <c r="BK250">
        <f>IF(AND(BJ250&gt;=0,BJ249&lt;0,MIN($BJ$2:BJ250)&lt;0),1,0)</f>
        <v>0</v>
      </c>
    </row>
    <row r="251" spans="1:63" x14ac:dyDescent="0.2">
      <c r="A251">
        <v>250</v>
      </c>
      <c r="B251" t="str">
        <f>IF('Исходные данные'!$B$9="","",EDATE(DATE(YEAR('Исходные данные'!$B$9),MONTH('Исходные данные'!$B$9),1),A251-1))</f>
        <v/>
      </c>
      <c r="C251" t="str">
        <f t="shared" si="144"/>
        <v/>
      </c>
      <c r="D251" t="str">
        <f>IF(B251="","",IF('Исходные данные'!$B$91&lt;&gt;"",IF(AND(YEAR(B251)=YEAR('Исходные данные'!$B$91),MONTH(B251)=MONTH('Исходные данные'!$B$91)),'Исходные данные'!$B$91,IF('Исходные данные'!$B$13&lt;&gt;"",IF(AND(YEAR(B251)=YEAR('Исходные данные'!$B$13),MONTH(B251)=MONTH('Исходные данные'!$B$13)),'Исходные данные'!$B$13,IF('Исходные данные'!$B$26&lt;&gt;"",IF(AND(YEAR(B251)=YEAR('Исходные данные'!$B$26),MONTH(B251)=MONTH('Исходные данные'!$B$26)),'Исходные данные'!$B$26,IF(A251=1,'Исходные данные'!$B$9,C251)),IF(A251=1,'Исходные данные'!$B$9,C251))),IF('Исходные данные'!$B$26&lt;&gt;"",IF(AND(YEAR(B251)=YEAR('Исходные данные'!$B$26),MONTH(B251)=MONTH('Исходные данные'!$B$26)),'Исходные данные'!$B$26,IF(A251=1,'Исходные данные'!$B$9,C251)),IF(A251=1,'Исходные данные'!$B$9,C251)))),IF('Исходные данные'!$B$13&lt;&gt;"",IF(AND(YEAR(B251)=YEAR('Исходные данные'!$B$13),MONTH(B251)=MONTH('Исходные данные'!$B$13)),'Исходные данные'!$B$13,IF('Исходные данные'!$B$26&lt;&gt;"",IF(AND(YEAR(B251)=YEAR('Исходные данные'!$B$26),MONTH(B251)=MONTH('Исходные данные'!$B$26)),'Исходные данные'!$B$26,IF(A251=1,'Исходные данные'!$B$9,C251)),IF(A251=1,'Исходные данные'!$B$9,C251))),IF('Исходные данные'!$B$26&lt;&gt;"",IF(AND(YEAR(B251)=YEAR('Исходные данные'!$B$26),MONTH(B251)=MONTH('Исходные данные'!$B$26)),'Исходные данные'!$B$26,IF(A251=1,'Исходные данные'!$B$9,C251)),IF(A251=1,'Исходные данные'!$B$9,C251)))))</f>
        <v/>
      </c>
      <c r="E251">
        <f>IF(OR(B251="",'Исходные данные'!$B$91=""),0,--(B251&lt;=DATE(YEAR('Исходные данные'!$B$91),MONTH('Исходные данные'!$B$91),1)))</f>
        <v>0</v>
      </c>
      <c r="F251">
        <f>IF(OR(B251="",'Исходные данные'!$B$30="",C251&lt;'Исходные данные'!$B$30),0,DATEDIF(DATE(YEAR('Исходные данные'!$B$30),MONTH('Исходные данные'!$B$30),1),B251,"m")+1)</f>
        <v>0</v>
      </c>
      <c r="G251">
        <f t="shared" si="145"/>
        <v>0</v>
      </c>
      <c r="H251">
        <f>IF(F251=0,0,IF(G251=1,N('Исходные данные'!$B$31),IF(G251=2,N('Исходные данные'!$B$32),IF(G251=3,N('Исходные данные'!$B$33),N('Исходные данные'!$B$33)*(1+N('Исходные данные'!$B$34))^(G251-3)))))</f>
        <v>0</v>
      </c>
      <c r="I251">
        <f>IF(OR(F251=0,N('Исходные данные'!$B$5)=0,H251=0),0,'Исходные данные'!$B$5*H251*IF(AND(B251&lt;='Исходные данные'!$B$30,C251&gt;='Исходные данные'!$B$30),(C251-'Исходные данные'!$B$30+1)/DAY(C251),1))</f>
        <v>0</v>
      </c>
      <c r="J251">
        <f>IF(AND(F251&gt;0,F251&lt;=N('Исходные данные'!$B$37)),-I251,0)</f>
        <v>0</v>
      </c>
      <c r="K251">
        <f>IF(OR(F251=0,F251&lt;=N('Исходные данные'!$B$37)),0,-(I251+J251)*N('Исходные данные'!$B$38))</f>
        <v>0</v>
      </c>
      <c r="L251">
        <f t="shared" si="146"/>
        <v>0</v>
      </c>
      <c r="M251">
        <f>IF('Исходные данные'!$B$51="Да",L251*N('Исходные данные'!$B$52),0)</f>
        <v>0</v>
      </c>
      <c r="N251">
        <f t="shared" si="147"/>
        <v>0</v>
      </c>
      <c r="O251">
        <f>IF(OR(B251="",IF('Исходные данные'!$B$45="",'Исходные данные'!$B$10,'Исходные данные'!$B$45)="",C251&lt;IF('Исходные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данные'!$B$45)),1),B251,"m")/12))*IF(AND(B251&lt;=IF('Исходные данные'!$B$45="",'Исходные данные'!$B$10,'Исходные данные'!$B$45),C251&gt;=IF('Исходные данные'!$B$45="",'Исходные данные'!$B$10,'Исходные данные'!$B$45)),(C251-IF('Исходные данные'!$B$45="",'Исходные данные'!$B$10,'Исходные данные'!$B$45)+1)/DAY(C251),1)*IF('Исходные данные'!$B$43="Без НДС",1+N('Исходные данные'!$B$44),1))</f>
        <v>0</v>
      </c>
      <c r="P251">
        <f>IF('Исходные данные'!$B$51="Да",-O251*N('Исходные данные'!$B$44)/(1+N('Исходные данные'!$B$44)),0)</f>
        <v>0</v>
      </c>
      <c r="Q251">
        <f>IF('Исходные данные'!$B$35="Да",-O251,0)</f>
        <v>0</v>
      </c>
      <c r="R251">
        <f>IF(AND('Исходные данные'!$B$51="Да",Q251&gt;0),Q251*N('Исходные данные'!$B$52)/(1+N('Исходные данные'!$B$52)),0)</f>
        <v>0</v>
      </c>
      <c r="S251">
        <f>IF(OR(B251="",IF('Исходные данные'!$B$45="",'Исходные данные'!$B$10,'Исходные данные'!$B$45)="",C251&lt;IF('Исходные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данные'!$B$45)),1),B251,"m")/12))*IF(AND(B251&lt;=IF('Исходные данные'!$B$45="",'Исходные данные'!$B$10,'Исходные данные'!$B$45),C251&gt;=IF('Исходные данные'!$B$45="",'Исходные данные'!$B$10,'Исходные данные'!$B$45)),(C251-IF('Исходные данные'!$B$45="",'Исходные данные'!$B$10,'Исходные данные'!$B$45)+1)/DAY(C251),1)*IF('Исходные данные'!$B$43="Без НДС",1+N('Исходные данные'!$B$44),1))</f>
        <v>0</v>
      </c>
      <c r="T251">
        <f>IF('Исходные данные'!$B$51="Да",-S251*N('Исходные данные'!$B$44)/(1+N('Исходные данные'!$B$44)),0)</f>
        <v>0</v>
      </c>
      <c r="U251">
        <f>IF('Исходные данные'!$B$36="Да",-S251,0)</f>
        <v>0</v>
      </c>
      <c r="V251">
        <f>IF(AND('Исходные данные'!$B$51="Да",U251&gt;0),U251*N('Исходные данные'!$B$52)/(1+N('Исходные данные'!$B$52)),0)</f>
        <v>0</v>
      </c>
      <c r="W251">
        <f>IF(OR(B251="",IF('Исходные данные'!$B$69="",'Исходные данные'!$B$10,'Исходные данные'!$B$69)="",C251&lt;IF('Исходные данные'!$B$69="",'Исходные данные'!$B$10,'Исходные данные'!$B$69)),0,-N('Исходные данные'!$B$16)*N('Исходные данные'!$B$68)*N('Исходные данные'!$B$67)/12*IF(AND(B251&lt;=IF('Исходные данные'!$B$69="",'Исходные данные'!$B$10,'Исходные данные'!$B$69),C251&gt;=IF('Исходные данные'!$B$69="",'Исходные данные'!$B$10,'Исходные данные'!$B$69)),(C251-IF('Исходные данные'!$B$69="",'Исходные данные'!$B$10,'Исходные данные'!$B$69)+1)/DAY(C251),1))</f>
        <v>0</v>
      </c>
      <c r="X251">
        <f>IF(OR(B251="",IF('Исходные данные'!$B$76="",'Исходные данные'!$B$10,'Исходные данные'!$B$76)="",C251&lt;IF('Исходные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данные'!$B$76)),1),B251,"m")/12))*IF(AND(B251&lt;=IF('Исходные данные'!$B$76="",'Исходные данные'!$B$10,'Исходные данные'!$B$76),C251&gt;=IF('Исходные данные'!$B$76="",'Исходные данные'!$B$10,'Исходные данные'!$B$76)),(C251-IF('Исходные данные'!$B$76="",'Исходные данные'!$B$10,'Исходные данные'!$B$76)+1)/DAY(C251),1))</f>
        <v>0</v>
      </c>
      <c r="Y251">
        <f t="shared" si="148"/>
        <v>0</v>
      </c>
      <c r="Z251">
        <f>IF(OR(B251="",N('Исходные данные'!$B$19)=0),0,-SUMIFS('Исходные данные'!$I$6:$I$186,'Исходные данные'!$F$6:$F$186,B251)*N('Исходные данные'!$B$17)/N('Исходные данные'!$B$19))</f>
        <v>0</v>
      </c>
      <c r="AA251">
        <f>IF(OR(B251="",N('Исходные данные'!$B$19)=0),0,-SUMIFS('Исходные данные'!$I$6:$I$186,'Исходные данные'!$F$6:$F$186,B251)*N('Исходные данные'!$B$18)/N('Исходные данные'!$B$19))</f>
        <v>0</v>
      </c>
      <c r="AB251">
        <f>IF(OR(B251="",'Исходные данные'!$B$13=""),0,IF(AND(YEAR(B251)=YEAR('Исходные данные'!$B$13),MONTH(B251)=MONTH('Исходные данные'!$B$13)),-N('Исходные данные'!$B$11),0))</f>
        <v>0</v>
      </c>
      <c r="AC251">
        <f>IF(A251=1,-N('Исходные данные'!$B$19)*N('Исходные данные'!$B$72),0)</f>
        <v>0</v>
      </c>
      <c r="AD251">
        <f>IF(OR(B251="",'Исходные данные'!$B$22&lt;&gt;"Да",'Исходные данные'!$B$26=""),0,IF(AND(YEAR(B251)=YEAR('Исходные данные'!$B$26),MONTH(B251)=MONTH('Исходные данные'!$B$26)),N('Исходные данные'!$B$23),0))</f>
        <v>0</v>
      </c>
      <c r="AE251">
        <f t="shared" si="131"/>
        <v>0</v>
      </c>
      <c r="AF251">
        <f>IF(OR('Исходные данные'!$B$22&lt;&gt;"Да",'Исходные данные'!$B$26="",C251&lt;'Исходные данные'!$B$26),0,DATEDIF(DATE(YEAR('Исходные данные'!$B$26),MONTH('Исходные данные'!$B$26),1),B251,"m")+1)</f>
        <v>0</v>
      </c>
      <c r="AG251">
        <f>IF(OR(AF251&lt;1,AF251&gt;N('Исходные данные'!$B$25),AE251+AD251&lt;=0),0,-(AE251+AD251)*N('Исходные данные'!$B$24)*IF(AF251=1,C251-'Исходные данные'!$B$26+1,DAY(C251))/365)</f>
        <v>0</v>
      </c>
      <c r="AH251">
        <f>IF(OR(AF251&lt;1,AF251&gt;N('Исходные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данные'!$B$25)-AG251))</f>
        <v>0</v>
      </c>
      <c r="AI251">
        <f>IF(OR('Исходные данные'!$B$22&lt;&gt;"Да",AE251+AD251&lt;=0),0,IF(AND('Исходные данные'!$B$91&lt;&gt;"",B251&lt;&gt;"",YEAR(B251)=YEAR('Исходные данные'!$B$91),MONTH(B251)=MONTH('Исходные данные'!$B$91)),-(AE251+AD251),IF(OR(AF251&lt;1,AF251&gt;N('Исходные данные'!$B$25)),0,IF('Исходные данные'!$B$27="Равными долями",-MIN(AE251+AD251,N('Исходные данные'!$B$23)/N('Исходные данные'!$B$25)),-MIN(AE251+AD251,IF(AF251=N('Исходные данные'!$B$25),AE251+AD251,MAX(0,AH251+AG251)))))))</f>
        <v>0</v>
      </c>
      <c r="AJ251">
        <f t="shared" si="149"/>
        <v>0</v>
      </c>
      <c r="AK251">
        <f t="shared" si="132"/>
        <v>0</v>
      </c>
      <c r="AL251">
        <f>IF(OR(B251="",'Исходные данные'!$B$51&lt;&gt;"Да",'Исходные данные'!$B$61=""),0,IF(AND(YEAR(B251)=YEAR('Исходные данные'!$B$61),MONTH(B251)=MONTH('Исходные данные'!$B$61)),N('Исходные данные'!$B$18)*N('Исходные данные'!$B$62),0))</f>
        <v>0</v>
      </c>
      <c r="AM251">
        <f t="shared" si="133"/>
        <v>0</v>
      </c>
      <c r="AN251">
        <f t="shared" si="134"/>
        <v>0</v>
      </c>
      <c r="AO251">
        <f t="shared" si="135"/>
        <v>0</v>
      </c>
      <c r="AP251">
        <f>IF('Исходные данные'!$B$51="Да",-MAX(0,AN251-AO251-AM251),0)</f>
        <v>0</v>
      </c>
      <c r="AQ251">
        <f>IF('Исходные данные'!$B$51="Да",MAX(0,AM251+AO251-AN251),0)</f>
        <v>0</v>
      </c>
      <c r="AR251">
        <f>IF('Исходные данные'!$B$53="Выручка",MAX(0,L251+(Q251-R251)+(U251-V251)),IF('Исходные данные'!$B$53="Прибыль до налога",MAX(0,L251+(Q251-R251)+(U251-V251)+N('Исходные данные'!$B$54)*((O251+P251)+(S251+T251)+W251+X251)+IF('Исходные данные'!$B$55="Да",AG251,0)-N('Исходные данные'!$B$56)/12),IF('Исходные данные'!$B$53="Пользовательская база",MAX(0,N('Исходные данные'!$B$57)/12),0)))</f>
        <v>0</v>
      </c>
      <c r="AS251">
        <f>IF(E251=1,-AR251*N('Исходные данные'!$B$50),0)</f>
        <v>0</v>
      </c>
      <c r="AT251">
        <f t="shared" si="136"/>
        <v>0</v>
      </c>
      <c r="AU251">
        <f>IF(OR(B251="",N('Исходные данные'!$B$80)&lt;=0,'Исходные данные'!$B$88=""),0,MAX(0,IF('Исходные данные'!$B$88="Последние 12 месяцев",SUMIFS($Y$2:$Y$194,$B$2:$B$194,"&gt;="&amp;EDATE(B251,-11),$B$2:$B$194,"&lt;="&amp;B251),IF('Исходные данные'!$B$88="Пользовательский NOI",N('Исходные данные'!$B$89),AT251))/N('Исходные данные'!$B$80)*(1+N('Исходные данные'!$B$81))))</f>
        <v>0</v>
      </c>
      <c r="AV251">
        <f>IF(OR(E251&lt;&gt;1,B251="",'Исходные данные'!$B$91=""),0,IF(AND(YEAR(B251)=YEAR('Исходные данные'!$B$91),MONTH(B251)=MONTH('Исходные данные'!$B$91)),AU251,0))</f>
        <v>0</v>
      </c>
      <c r="AW251">
        <f>-AV251*N('Исходные данные'!$B$73)</f>
        <v>0</v>
      </c>
      <c r="AX251">
        <f>IF(AV251=0,0,-N('Исходные данные'!$B$87)-IF('Исходные данные'!$B$82="Да",IF('Исходные данные'!$B$84="С выручки",AV251,IF('Исходные данные'!$B$84="С прибыли",MAX(0,AV251+AW251-IF('Исходные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51">
        <f t="shared" si="150"/>
        <v>0</v>
      </c>
      <c r="AZ251">
        <f t="shared" si="137"/>
        <v>0</v>
      </c>
      <c r="BA251">
        <f t="shared" si="151"/>
        <v>0</v>
      </c>
      <c r="BB251" t="str">
        <f t="shared" si="138"/>
        <v/>
      </c>
      <c r="BC251">
        <f>IF(OR(E251=0,'Исходные данные'!$B$9="",'Исходные данные'!$B$90=""),0,BA251/(1+'Исходные данные'!$B$90)^((D251-'Исходные данные'!$B$9)/365))</f>
        <v>0</v>
      </c>
      <c r="BD251">
        <f>IF(AND(E251=1,BB251&gt;=0,BB250&lt;0,MIN($BB$2:BB251)&lt;0),1,0)</f>
        <v>0</v>
      </c>
      <c r="BE251">
        <f t="shared" si="139"/>
        <v>0</v>
      </c>
      <c r="BF251">
        <f t="shared" si="140"/>
        <v>0</v>
      </c>
      <c r="BG251">
        <f t="shared" si="141"/>
        <v>0</v>
      </c>
      <c r="BH251">
        <f t="shared" si="142"/>
        <v>1</v>
      </c>
      <c r="BI251">
        <f>AZ251+N251+AP251-AR251*N('Исходные данные'!$B$50)</f>
        <v>0</v>
      </c>
      <c r="BJ251">
        <f t="shared" si="143"/>
        <v>0</v>
      </c>
      <c r="BK251">
        <f>IF(AND(BJ251&gt;=0,BJ250&lt;0,MIN($BJ$2:BJ251)&lt;0),1,0)</f>
        <v>0</v>
      </c>
    </row>
    <row r="252" spans="1:63" x14ac:dyDescent="0.2">
      <c r="A252">
        <v>251</v>
      </c>
      <c r="B252" t="str">
        <f>IF('Исходные данные'!$B$9="","",EDATE(DATE(YEAR('Исходные данные'!$B$9),MONTH('Исходные данные'!$B$9),1),A252-1))</f>
        <v/>
      </c>
      <c r="C252" t="str">
        <f t="shared" si="144"/>
        <v/>
      </c>
      <c r="D252" t="str">
        <f>IF(B252="","",IF('Исходные данные'!$B$91&lt;&gt;"",IF(AND(YEAR(B252)=YEAR('Исходные данные'!$B$91),MONTH(B252)=MONTH('Исходные данные'!$B$91)),'Исходные данные'!$B$91,IF('Исходные данные'!$B$13&lt;&gt;"",IF(AND(YEAR(B252)=YEAR('Исходные данные'!$B$13),MONTH(B252)=MONTH('Исходные данные'!$B$13)),'Исходные данные'!$B$13,IF('Исходные данные'!$B$26&lt;&gt;"",IF(AND(YEAR(B252)=YEAR('Исходные данные'!$B$26),MONTH(B252)=MONTH('Исходные данные'!$B$26)),'Исходные данные'!$B$26,IF(A252=1,'Исходные данные'!$B$9,C252)),IF(A252=1,'Исходные данные'!$B$9,C252))),IF('Исходные данные'!$B$26&lt;&gt;"",IF(AND(YEAR(B252)=YEAR('Исходные данные'!$B$26),MONTH(B252)=MONTH('Исходные данные'!$B$26)),'Исходные данные'!$B$26,IF(A252=1,'Исходные данные'!$B$9,C252)),IF(A252=1,'Исходные данные'!$B$9,C252)))),IF('Исходные данные'!$B$13&lt;&gt;"",IF(AND(YEAR(B252)=YEAR('Исходные данные'!$B$13),MONTH(B252)=MONTH('Исходные данные'!$B$13)),'Исходные данные'!$B$13,IF('Исходные данные'!$B$26&lt;&gt;"",IF(AND(YEAR(B252)=YEAR('Исходные данные'!$B$26),MONTH(B252)=MONTH('Исходные данные'!$B$26)),'Исходные данные'!$B$26,IF(A252=1,'Исходные данные'!$B$9,C252)),IF(A252=1,'Исходные данные'!$B$9,C252))),IF('Исходные данные'!$B$26&lt;&gt;"",IF(AND(YEAR(B252)=YEAR('Исходные данные'!$B$26),MONTH(B252)=MONTH('Исходные данные'!$B$26)),'Исходные данные'!$B$26,IF(A252=1,'Исходные данные'!$B$9,C252)),IF(A252=1,'Исходные данные'!$B$9,C252)))))</f>
        <v/>
      </c>
      <c r="E252">
        <f>IF(OR(B252="",'Исходные данные'!$B$91=""),0,--(B252&lt;=DATE(YEAR('Исходные данные'!$B$91),MONTH('Исходные данные'!$B$91),1)))</f>
        <v>0</v>
      </c>
      <c r="F252">
        <f>IF(OR(B252="",'Исходные данные'!$B$30="",C252&lt;'Исходные данные'!$B$30),0,DATEDIF(DATE(YEAR('Исходные данные'!$B$30),MONTH('Исходные данные'!$B$30),1),B252,"m")+1)</f>
        <v>0</v>
      </c>
      <c r="G252">
        <f t="shared" si="145"/>
        <v>0</v>
      </c>
      <c r="H252">
        <f>IF(F252=0,0,IF(G252=1,N('Исходные данные'!$B$31),IF(G252=2,N('Исходные данные'!$B$32),IF(G252=3,N('Исходные данные'!$B$33),N('Исходные данные'!$B$33)*(1+N('Исходные данные'!$B$34))^(G252-3)))))</f>
        <v>0</v>
      </c>
      <c r="I252">
        <f>IF(OR(F252=0,N('Исходные данные'!$B$5)=0,H252=0),0,'Исходные данные'!$B$5*H252*IF(AND(B252&lt;='Исходные данные'!$B$30,C252&gt;='Исходные данные'!$B$30),(C252-'Исходные данные'!$B$30+1)/DAY(C252),1))</f>
        <v>0</v>
      </c>
      <c r="J252">
        <f>IF(AND(F252&gt;0,F252&lt;=N('Исходные данные'!$B$37)),-I252,0)</f>
        <v>0</v>
      </c>
      <c r="K252">
        <f>IF(OR(F252=0,F252&lt;=N('Исходные данные'!$B$37)),0,-(I252+J252)*N('Исходные данные'!$B$38))</f>
        <v>0</v>
      </c>
      <c r="L252">
        <f t="shared" si="146"/>
        <v>0</v>
      </c>
      <c r="M252">
        <f>IF('Исходные данные'!$B$51="Да",L252*N('Исходные данные'!$B$52),0)</f>
        <v>0</v>
      </c>
      <c r="N252">
        <f t="shared" si="147"/>
        <v>0</v>
      </c>
      <c r="O252">
        <f>IF(OR(B252="",IF('Исходные данные'!$B$45="",'Исходные данные'!$B$10,'Исходные данные'!$B$45)="",C252&lt;IF('Исходные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данные'!$B$45)),1),B252,"m")/12))*IF(AND(B252&lt;=IF('Исходные данные'!$B$45="",'Исходные данные'!$B$10,'Исходные данные'!$B$45),C252&gt;=IF('Исходные данные'!$B$45="",'Исходные данные'!$B$10,'Исходные данные'!$B$45)),(C252-IF('Исходные данные'!$B$45="",'Исходные данные'!$B$10,'Исходные данные'!$B$45)+1)/DAY(C252),1)*IF('Исходные данные'!$B$43="Без НДС",1+N('Исходные данные'!$B$44),1))</f>
        <v>0</v>
      </c>
      <c r="P252">
        <f>IF('Исходные данные'!$B$51="Да",-O252*N('Исходные данные'!$B$44)/(1+N('Исходные данные'!$B$44)),0)</f>
        <v>0</v>
      </c>
      <c r="Q252">
        <f>IF('Исходные данные'!$B$35="Да",-O252,0)</f>
        <v>0</v>
      </c>
      <c r="R252">
        <f>IF(AND('Исходные данные'!$B$51="Да",Q252&gt;0),Q252*N('Исходные данные'!$B$52)/(1+N('Исходные данные'!$B$52)),0)</f>
        <v>0</v>
      </c>
      <c r="S252">
        <f>IF(OR(B252="",IF('Исходные данные'!$B$45="",'Исходные данные'!$B$10,'Исходные данные'!$B$45)="",C252&lt;IF('Исходные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данные'!$B$45)),1),B252,"m")/12))*IF(AND(B252&lt;=IF('Исходные данные'!$B$45="",'Исходные данные'!$B$10,'Исходные данные'!$B$45),C252&gt;=IF('Исходные данные'!$B$45="",'Исходные данные'!$B$10,'Исходные данные'!$B$45)),(C252-IF('Исходные данные'!$B$45="",'Исходные данные'!$B$10,'Исходные данные'!$B$45)+1)/DAY(C252),1)*IF('Исходные данные'!$B$43="Без НДС",1+N('Исходные данные'!$B$44),1))</f>
        <v>0</v>
      </c>
      <c r="T252">
        <f>IF('Исходные данные'!$B$51="Да",-S252*N('Исходные данные'!$B$44)/(1+N('Исходные данные'!$B$44)),0)</f>
        <v>0</v>
      </c>
      <c r="U252">
        <f>IF('Исходные данные'!$B$36="Да",-S252,0)</f>
        <v>0</v>
      </c>
      <c r="V252">
        <f>IF(AND('Исходные данные'!$B$51="Да",U252&gt;0),U252*N('Исходные данные'!$B$52)/(1+N('Исходные данные'!$B$52)),0)</f>
        <v>0</v>
      </c>
      <c r="W252">
        <f>IF(OR(B252="",IF('Исходные данные'!$B$69="",'Исходные данные'!$B$10,'Исходные данные'!$B$69)="",C252&lt;IF('Исходные данные'!$B$69="",'Исходные данные'!$B$10,'Исходные данные'!$B$69)),0,-N('Исходные данные'!$B$16)*N('Исходные данные'!$B$68)*N('Исходные данные'!$B$67)/12*IF(AND(B252&lt;=IF('Исходные данные'!$B$69="",'Исходные данные'!$B$10,'Исходные данные'!$B$69),C252&gt;=IF('Исходные данные'!$B$69="",'Исходные данные'!$B$10,'Исходные данные'!$B$69)),(C252-IF('Исходные данные'!$B$69="",'Исходные данные'!$B$10,'Исходные данные'!$B$69)+1)/DAY(C252),1))</f>
        <v>0</v>
      </c>
      <c r="X252">
        <f>IF(OR(B252="",IF('Исходные данные'!$B$76="",'Исходные данные'!$B$10,'Исходные данные'!$B$76)="",C252&lt;IF('Исходные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данные'!$B$76)),1),B252,"m")/12))*IF(AND(B252&lt;=IF('Исходные данные'!$B$76="",'Исходные данные'!$B$10,'Исходные данные'!$B$76),C252&gt;=IF('Исходные данные'!$B$76="",'Исходные данные'!$B$10,'Исходные данные'!$B$76)),(C252-IF('Исходные данные'!$B$76="",'Исходные данные'!$B$10,'Исходные данные'!$B$76)+1)/DAY(C252),1))</f>
        <v>0</v>
      </c>
      <c r="Y252">
        <f t="shared" si="148"/>
        <v>0</v>
      </c>
      <c r="Z252">
        <f>IF(OR(B252="",N('Исходные данные'!$B$19)=0),0,-SUMIFS('Исходные данные'!$I$6:$I$186,'Исходные данные'!$F$6:$F$186,B252)*N('Исходные данные'!$B$17)/N('Исходные данные'!$B$19))</f>
        <v>0</v>
      </c>
      <c r="AA252">
        <f>IF(OR(B252="",N('Исходные данные'!$B$19)=0),0,-SUMIFS('Исходные данные'!$I$6:$I$186,'Исходные данные'!$F$6:$F$186,B252)*N('Исходные данные'!$B$18)/N('Исходные данные'!$B$19))</f>
        <v>0</v>
      </c>
      <c r="AB252">
        <f>IF(OR(B252="",'Исходные данные'!$B$13=""),0,IF(AND(YEAR(B252)=YEAR('Исходные данные'!$B$13),MONTH(B252)=MONTH('Исходные данные'!$B$13)),-N('Исходные данные'!$B$11),0))</f>
        <v>0</v>
      </c>
      <c r="AC252">
        <f>IF(A252=1,-N('Исходные данные'!$B$19)*N('Исходные данные'!$B$72),0)</f>
        <v>0</v>
      </c>
      <c r="AD252">
        <f>IF(OR(B252="",'Исходные данные'!$B$22&lt;&gt;"Да",'Исходные данные'!$B$26=""),0,IF(AND(YEAR(B252)=YEAR('Исходные данные'!$B$26),MONTH(B252)=MONTH('Исходные данные'!$B$26)),N('Исходные данные'!$B$23),0))</f>
        <v>0</v>
      </c>
      <c r="AE252">
        <f t="shared" si="131"/>
        <v>0</v>
      </c>
      <c r="AF252">
        <f>IF(OR('Исходные данные'!$B$22&lt;&gt;"Да",'Исходные данные'!$B$26="",C252&lt;'Исходные данные'!$B$26),0,DATEDIF(DATE(YEAR('Исходные данные'!$B$26),MONTH('Исходные данные'!$B$26),1),B252,"m")+1)</f>
        <v>0</v>
      </c>
      <c r="AG252">
        <f>IF(OR(AF252&lt;1,AF252&gt;N('Исходные данные'!$B$25),AE252+AD252&lt;=0),0,-(AE252+AD252)*N('Исходные данные'!$B$24)*IF(AF252=1,C252-'Исходные данные'!$B$26+1,DAY(C252))/365)</f>
        <v>0</v>
      </c>
      <c r="AH252">
        <f>IF(OR(AF252&lt;1,AF252&gt;N('Исходные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данные'!$B$25)-AG252))</f>
        <v>0</v>
      </c>
      <c r="AI252">
        <f>IF(OR('Исходные данные'!$B$22&lt;&gt;"Да",AE252+AD252&lt;=0),0,IF(AND('Исходные данные'!$B$91&lt;&gt;"",B252&lt;&gt;"",YEAR(B252)=YEAR('Исходные данные'!$B$91),MONTH(B252)=MONTH('Исходные данные'!$B$91)),-(AE252+AD252),IF(OR(AF252&lt;1,AF252&gt;N('Исходные данные'!$B$25)),0,IF('Исходные данные'!$B$27="Равными долями",-MIN(AE252+AD252,N('Исходные данные'!$B$23)/N('Исходные данные'!$B$25)),-MIN(AE252+AD252,IF(AF252=N('Исходные данные'!$B$25),AE252+AD252,MAX(0,AH252+AG252)))))))</f>
        <v>0</v>
      </c>
      <c r="AJ252">
        <f t="shared" si="149"/>
        <v>0</v>
      </c>
      <c r="AK252">
        <f t="shared" si="132"/>
        <v>0</v>
      </c>
      <c r="AL252">
        <f>IF(OR(B252="",'Исходные данные'!$B$51&lt;&gt;"Да",'Исходные данные'!$B$61=""),0,IF(AND(YEAR(B252)=YEAR('Исходные данные'!$B$61),MONTH(B252)=MONTH('Исходные данные'!$B$61)),N('Исходные данные'!$B$18)*N('Исходные данные'!$B$62),0))</f>
        <v>0</v>
      </c>
      <c r="AM252">
        <f t="shared" si="133"/>
        <v>0</v>
      </c>
      <c r="AN252">
        <f t="shared" si="134"/>
        <v>0</v>
      </c>
      <c r="AO252">
        <f t="shared" si="135"/>
        <v>0</v>
      </c>
      <c r="AP252">
        <f>IF('Исходные данные'!$B$51="Да",-MAX(0,AN252-AO252-AM252),0)</f>
        <v>0</v>
      </c>
      <c r="AQ252">
        <f>IF('Исходные данные'!$B$51="Да",MAX(0,AM252+AO252-AN252),0)</f>
        <v>0</v>
      </c>
      <c r="AR252">
        <f>IF('Исходные данные'!$B$53="Выручка",MAX(0,L252+(Q252-R252)+(U252-V252)),IF('Исходные данные'!$B$53="Прибыль до налога",MAX(0,L252+(Q252-R252)+(U252-V252)+N('Исходные данные'!$B$54)*((O252+P252)+(S252+T252)+W252+X252)+IF('Исходные данные'!$B$55="Да",AG252,0)-N('Исходные данные'!$B$56)/12),IF('Исходные данные'!$B$53="Пользовательская база",MAX(0,N('Исходные данные'!$B$57)/12),0)))</f>
        <v>0</v>
      </c>
      <c r="AS252">
        <f>IF(E252=1,-AR252*N('Исходные данные'!$B$50),0)</f>
        <v>0</v>
      </c>
      <c r="AT252">
        <f t="shared" si="136"/>
        <v>0</v>
      </c>
      <c r="AU252">
        <f>IF(OR(B252="",N('Исходные данные'!$B$80)&lt;=0,'Исходные данные'!$B$88=""),0,MAX(0,IF('Исходные данные'!$B$88="Последние 12 месяцев",SUMIFS($Y$2:$Y$194,$B$2:$B$194,"&gt;="&amp;EDATE(B252,-11),$B$2:$B$194,"&lt;="&amp;B252),IF('Исходные данные'!$B$88="Пользовательский NOI",N('Исходные данные'!$B$89),AT252))/N('Исходные данные'!$B$80)*(1+N('Исходные данные'!$B$81))))</f>
        <v>0</v>
      </c>
      <c r="AV252">
        <f>IF(OR(E252&lt;&gt;1,B252="",'Исходные данные'!$B$91=""),0,IF(AND(YEAR(B252)=YEAR('Исходные данные'!$B$91),MONTH(B252)=MONTH('Исходные данные'!$B$91)),AU252,0))</f>
        <v>0</v>
      </c>
      <c r="AW252">
        <f>-AV252*N('Исходные данные'!$B$73)</f>
        <v>0</v>
      </c>
      <c r="AX252">
        <f>IF(AV252=0,0,-N('Исходные данные'!$B$87)-IF('Исходные данные'!$B$82="Да",IF('Исходные данные'!$B$84="С выручки",AV252,IF('Исходные данные'!$B$84="С прибыли",MAX(0,AV252+AW252-IF('Исходные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52">
        <f t="shared" si="150"/>
        <v>0</v>
      </c>
      <c r="AZ252">
        <f t="shared" si="137"/>
        <v>0</v>
      </c>
      <c r="BA252">
        <f t="shared" si="151"/>
        <v>0</v>
      </c>
      <c r="BB252" t="str">
        <f t="shared" si="138"/>
        <v/>
      </c>
      <c r="BC252">
        <f>IF(OR(E252=0,'Исходные данные'!$B$9="",'Исходные данные'!$B$90=""),0,BA252/(1+'Исходные данные'!$B$90)^((D252-'Исходные данные'!$B$9)/365))</f>
        <v>0</v>
      </c>
      <c r="BD252">
        <f>IF(AND(E252=1,BB252&gt;=0,BB251&lt;0,MIN($BB$2:BB252)&lt;0),1,0)</f>
        <v>0</v>
      </c>
      <c r="BE252">
        <f t="shared" si="139"/>
        <v>0</v>
      </c>
      <c r="BF252">
        <f t="shared" si="140"/>
        <v>0</v>
      </c>
      <c r="BG252">
        <f t="shared" si="141"/>
        <v>0</v>
      </c>
      <c r="BH252">
        <f t="shared" si="142"/>
        <v>1</v>
      </c>
      <c r="BI252">
        <f>AZ252+N252+AP252-AR252*N('Исходные данные'!$B$50)</f>
        <v>0</v>
      </c>
      <c r="BJ252">
        <f t="shared" si="143"/>
        <v>0</v>
      </c>
      <c r="BK252">
        <f>IF(AND(BJ252&gt;=0,BJ251&lt;0,MIN($BJ$2:BJ252)&lt;0),1,0)</f>
        <v>0</v>
      </c>
    </row>
    <row r="253" spans="1:63" x14ac:dyDescent="0.2">
      <c r="A253">
        <v>252</v>
      </c>
      <c r="B253" t="str">
        <f>IF('Исходные данные'!$B$9="","",EDATE(DATE(YEAR('Исходные данные'!$B$9),MONTH('Исходные данные'!$B$9),1),A253-1))</f>
        <v/>
      </c>
      <c r="C253" t="str">
        <f t="shared" si="144"/>
        <v/>
      </c>
      <c r="D253" t="str">
        <f>IF(B253="","",IF('Исходные данные'!$B$91&lt;&gt;"",IF(AND(YEAR(B253)=YEAR('Исходные данные'!$B$91),MONTH(B253)=MONTH('Исходные данные'!$B$91)),'Исходные данные'!$B$91,IF('Исходные данные'!$B$13&lt;&gt;"",IF(AND(YEAR(B253)=YEAR('Исходные данные'!$B$13),MONTH(B253)=MONTH('Исходные данные'!$B$13)),'Исходные данные'!$B$13,IF('Исходные данные'!$B$26&lt;&gt;"",IF(AND(YEAR(B253)=YEAR('Исходные данные'!$B$26),MONTH(B253)=MONTH('Исходные данные'!$B$26)),'Исходные данные'!$B$26,IF(A253=1,'Исходные данные'!$B$9,C253)),IF(A253=1,'Исходные данные'!$B$9,C253))),IF('Исходные данные'!$B$26&lt;&gt;"",IF(AND(YEAR(B253)=YEAR('Исходные данные'!$B$26),MONTH(B253)=MONTH('Исходные данные'!$B$26)),'Исходные данные'!$B$26,IF(A253=1,'Исходные данные'!$B$9,C253)),IF(A253=1,'Исходные данные'!$B$9,C253)))),IF('Исходные данные'!$B$13&lt;&gt;"",IF(AND(YEAR(B253)=YEAR('Исходные данные'!$B$13),MONTH(B253)=MONTH('Исходные данные'!$B$13)),'Исходные данные'!$B$13,IF('Исходные данные'!$B$26&lt;&gt;"",IF(AND(YEAR(B253)=YEAR('Исходные данные'!$B$26),MONTH(B253)=MONTH('Исходные данные'!$B$26)),'Исходные данные'!$B$26,IF(A253=1,'Исходные данные'!$B$9,C253)),IF(A253=1,'Исходные данные'!$B$9,C253))),IF('Исходные данные'!$B$26&lt;&gt;"",IF(AND(YEAR(B253)=YEAR('Исходные данные'!$B$26),MONTH(B253)=MONTH('Исходные данные'!$B$26)),'Исходные данные'!$B$26,IF(A253=1,'Исходные данные'!$B$9,C253)),IF(A253=1,'Исходные данные'!$B$9,C253)))))</f>
        <v/>
      </c>
      <c r="E253">
        <f>IF(OR(B253="",'Исходные данные'!$B$91=""),0,--(B253&lt;=DATE(YEAR('Исходные данные'!$B$91),MONTH('Исходные данные'!$B$91),1)))</f>
        <v>0</v>
      </c>
      <c r="F253">
        <f>IF(OR(B253="",'Исходные данные'!$B$30="",C253&lt;'Исходные данные'!$B$30),0,DATEDIF(DATE(YEAR('Исходные данные'!$B$30),MONTH('Исходные данные'!$B$30),1),B253,"m")+1)</f>
        <v>0</v>
      </c>
      <c r="G253">
        <f t="shared" si="145"/>
        <v>0</v>
      </c>
      <c r="H253">
        <f>IF(F253=0,0,IF(G253=1,N('Исходные данные'!$B$31),IF(G253=2,N('Исходные данные'!$B$32),IF(G253=3,N('Исходные данные'!$B$33),N('Исходные данные'!$B$33)*(1+N('Исходные данные'!$B$34))^(G253-3)))))</f>
        <v>0</v>
      </c>
      <c r="I253">
        <f>IF(OR(F253=0,N('Исходные данные'!$B$5)=0,H253=0),0,'Исходные данные'!$B$5*H253*IF(AND(B253&lt;='Исходные данные'!$B$30,C253&gt;='Исходные данные'!$B$30),(C253-'Исходные данные'!$B$30+1)/DAY(C253),1))</f>
        <v>0</v>
      </c>
      <c r="J253">
        <f>IF(AND(F253&gt;0,F253&lt;=N('Исходные данные'!$B$37)),-I253,0)</f>
        <v>0</v>
      </c>
      <c r="K253">
        <f>IF(OR(F253=0,F253&lt;=N('Исходные данные'!$B$37)),0,-(I253+J253)*N('Исходные данные'!$B$38))</f>
        <v>0</v>
      </c>
      <c r="L253">
        <f t="shared" si="146"/>
        <v>0</v>
      </c>
      <c r="M253">
        <f>IF('Исходные данные'!$B$51="Да",L253*N('Исходные данные'!$B$52),0)</f>
        <v>0</v>
      </c>
      <c r="N253">
        <f t="shared" si="147"/>
        <v>0</v>
      </c>
      <c r="O253">
        <f>IF(OR(B253="",IF('Исходные данные'!$B$45="",'Исходные данные'!$B$10,'Исходные данные'!$B$45)="",C253&lt;IF('Исходные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данные'!$B$45)),1),B253,"m")/12))*IF(AND(B253&lt;=IF('Исходные данные'!$B$45="",'Исходные данные'!$B$10,'Исходные данные'!$B$45),C253&gt;=IF('Исходные данные'!$B$45="",'Исходные данные'!$B$10,'Исходные данные'!$B$45)),(C253-IF('Исходные данные'!$B$45="",'Исходные данные'!$B$10,'Исходные данные'!$B$45)+1)/DAY(C253),1)*IF('Исходные данные'!$B$43="Без НДС",1+N('Исходные данные'!$B$44),1))</f>
        <v>0</v>
      </c>
      <c r="P253">
        <f>IF('Исходные данные'!$B$51="Да",-O253*N('Исходные данные'!$B$44)/(1+N('Исходные данные'!$B$44)),0)</f>
        <v>0</v>
      </c>
      <c r="Q253">
        <f>IF('Исходные данные'!$B$35="Да",-O253,0)</f>
        <v>0</v>
      </c>
      <c r="R253">
        <f>IF(AND('Исходные данные'!$B$51="Да",Q253&gt;0),Q253*N('Исходные данные'!$B$52)/(1+N('Исходные данные'!$B$52)),0)</f>
        <v>0</v>
      </c>
      <c r="S253">
        <f>IF(OR(B253="",IF('Исходные данные'!$B$45="",'Исходные данные'!$B$10,'Исходные данные'!$B$45)="",C253&lt;IF('Исходные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данные'!$B$45)),1),B253,"m")/12))*IF(AND(B253&lt;=IF('Исходные данные'!$B$45="",'Исходные данные'!$B$10,'Исходные данные'!$B$45),C253&gt;=IF('Исходные данные'!$B$45="",'Исходные данные'!$B$10,'Исходные данные'!$B$45)),(C253-IF('Исходные данные'!$B$45="",'Исходные данные'!$B$10,'Исходные данные'!$B$45)+1)/DAY(C253),1)*IF('Исходные данные'!$B$43="Без НДС",1+N('Исходные данные'!$B$44),1))</f>
        <v>0</v>
      </c>
      <c r="T253">
        <f>IF('Исходные данные'!$B$51="Да",-S253*N('Исходные данные'!$B$44)/(1+N('Исходные данные'!$B$44)),0)</f>
        <v>0</v>
      </c>
      <c r="U253">
        <f>IF('Исходные данные'!$B$36="Да",-S253,0)</f>
        <v>0</v>
      </c>
      <c r="V253">
        <f>IF(AND('Исходные данные'!$B$51="Да",U253&gt;0),U253*N('Исходные данные'!$B$52)/(1+N('Исходные данные'!$B$52)),0)</f>
        <v>0</v>
      </c>
      <c r="W253">
        <f>IF(OR(B253="",IF('Исходные данные'!$B$69="",'Исходные данные'!$B$10,'Исходные данные'!$B$69)="",C253&lt;IF('Исходные данные'!$B$69="",'Исходные данные'!$B$10,'Исходные данные'!$B$69)),0,-N('Исходные данные'!$B$16)*N('Исходные данные'!$B$68)*N('Исходные данные'!$B$67)/12*IF(AND(B253&lt;=IF('Исходные данные'!$B$69="",'Исходные данные'!$B$10,'Исходные данные'!$B$69),C253&gt;=IF('Исходные данные'!$B$69="",'Исходные данные'!$B$10,'Исходные данные'!$B$69)),(C253-IF('Исходные данные'!$B$69="",'Исходные данные'!$B$10,'Исходные данные'!$B$69)+1)/DAY(C253),1))</f>
        <v>0</v>
      </c>
      <c r="X253">
        <f>IF(OR(B253="",IF('Исходные данные'!$B$76="",'Исходные данные'!$B$10,'Исходные данные'!$B$76)="",C253&lt;IF('Исходные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данные'!$B$76)),1),B253,"m")/12))*IF(AND(B253&lt;=IF('Исходные данные'!$B$76="",'Исходные данные'!$B$10,'Исходные данные'!$B$76),C253&gt;=IF('Исходные данные'!$B$76="",'Исходные данные'!$B$10,'Исходные данные'!$B$76)),(C253-IF('Исходные данные'!$B$76="",'Исходные данные'!$B$10,'Исходные данные'!$B$76)+1)/DAY(C253),1))</f>
        <v>0</v>
      </c>
      <c r="Y253">
        <f t="shared" si="148"/>
        <v>0</v>
      </c>
      <c r="Z253">
        <f>IF(OR(B253="",N('Исходные данные'!$B$19)=0),0,-SUMIFS('Исходные данные'!$I$6:$I$186,'Исходные данные'!$F$6:$F$186,B253)*N('Исходные данные'!$B$17)/N('Исходные данные'!$B$19))</f>
        <v>0</v>
      </c>
      <c r="AA253">
        <f>IF(OR(B253="",N('Исходные данные'!$B$19)=0),0,-SUMIFS('Исходные данные'!$I$6:$I$186,'Исходные данные'!$F$6:$F$186,B253)*N('Исходные данные'!$B$18)/N('Исходные данные'!$B$19))</f>
        <v>0</v>
      </c>
      <c r="AB253">
        <f>IF(OR(B253="",'Исходные данные'!$B$13=""),0,IF(AND(YEAR(B253)=YEAR('Исходные данные'!$B$13),MONTH(B253)=MONTH('Исходные данные'!$B$13)),-N('Исходные данные'!$B$11),0))</f>
        <v>0</v>
      </c>
      <c r="AC253">
        <f>IF(A253=1,-N('Исходные данные'!$B$19)*N('Исходные данные'!$B$72),0)</f>
        <v>0</v>
      </c>
      <c r="AD253">
        <f>IF(OR(B253="",'Исходные данные'!$B$22&lt;&gt;"Да",'Исходные данные'!$B$26=""),0,IF(AND(YEAR(B253)=YEAR('Исходные данные'!$B$26),MONTH(B253)=MONTH('Исходные данные'!$B$26)),N('Исходные данные'!$B$23),0))</f>
        <v>0</v>
      </c>
      <c r="AE253">
        <f t="shared" si="131"/>
        <v>0</v>
      </c>
      <c r="AF253">
        <f>IF(OR('Исходные данные'!$B$22&lt;&gt;"Да",'Исходные данные'!$B$26="",C253&lt;'Исходные данные'!$B$26),0,DATEDIF(DATE(YEAR('Исходные данные'!$B$26),MONTH('Исходные данные'!$B$26),1),B253,"m")+1)</f>
        <v>0</v>
      </c>
      <c r="AG253">
        <f>IF(OR(AF253&lt;1,AF253&gt;N('Исходные данные'!$B$25),AE253+AD253&lt;=0),0,-(AE253+AD253)*N('Исходные данные'!$B$24)*IF(AF253=1,C253-'Исходные данные'!$B$26+1,DAY(C253))/365)</f>
        <v>0</v>
      </c>
      <c r="AH253">
        <f>IF(OR(AF253&lt;1,AF253&gt;N('Исходные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данные'!$B$25)-AG253))</f>
        <v>0</v>
      </c>
      <c r="AI253">
        <f>IF(OR('Исходные данные'!$B$22&lt;&gt;"Да",AE253+AD253&lt;=0),0,IF(AND('Исходные данные'!$B$91&lt;&gt;"",B253&lt;&gt;"",YEAR(B253)=YEAR('Исходные данные'!$B$91),MONTH(B253)=MONTH('Исходные данные'!$B$91)),-(AE253+AD253),IF(OR(AF253&lt;1,AF253&gt;N('Исходные данные'!$B$25)),0,IF('Исходные данные'!$B$27="Равными долями",-MIN(AE253+AD253,N('Исходные данные'!$B$23)/N('Исходные данные'!$B$25)),-MIN(AE253+AD253,IF(AF253=N('Исходные данные'!$B$25),AE253+AD253,MAX(0,AH253+AG253)))))))</f>
        <v>0</v>
      </c>
      <c r="AJ253">
        <f t="shared" si="149"/>
        <v>0</v>
      </c>
      <c r="AK253">
        <f t="shared" si="132"/>
        <v>0</v>
      </c>
      <c r="AL253">
        <f>IF(OR(B253="",'Исходные данные'!$B$51&lt;&gt;"Да",'Исходные данные'!$B$61=""),0,IF(AND(YEAR(B253)=YEAR('Исходные данные'!$B$61),MONTH(B253)=MONTH('Исходные данные'!$B$61)),N('Исходные данные'!$B$18)*N('Исходные данные'!$B$62),0))</f>
        <v>0</v>
      </c>
      <c r="AM253">
        <f t="shared" si="133"/>
        <v>0</v>
      </c>
      <c r="AN253">
        <f t="shared" si="134"/>
        <v>0</v>
      </c>
      <c r="AO253">
        <f t="shared" si="135"/>
        <v>0</v>
      </c>
      <c r="AP253">
        <f>IF('Исходные данные'!$B$51="Да",-MAX(0,AN253-AO253-AM253),0)</f>
        <v>0</v>
      </c>
      <c r="AQ253">
        <f>IF('Исходные данные'!$B$51="Да",MAX(0,AM253+AO253-AN253),0)</f>
        <v>0</v>
      </c>
      <c r="AR253">
        <f>IF('Исходные данные'!$B$53="Выручка",MAX(0,L253+(Q253-R253)+(U253-V253)),IF('Исходные данные'!$B$53="Прибыль до налога",MAX(0,L253+(Q253-R253)+(U253-V253)+N('Исходные данные'!$B$54)*((O253+P253)+(S253+T253)+W253+X253)+IF('Исходные данные'!$B$55="Да",AG253,0)-N('Исходные данные'!$B$56)/12),IF('Исходные данные'!$B$53="Пользовательская база",MAX(0,N('Исходные данные'!$B$57)/12),0)))</f>
        <v>0</v>
      </c>
      <c r="AS253">
        <f>IF(E253=1,-AR253*N('Исходные данные'!$B$50),0)</f>
        <v>0</v>
      </c>
      <c r="AT253">
        <f t="shared" si="136"/>
        <v>0</v>
      </c>
      <c r="AU253">
        <f>IF(OR(B253="",N('Исходные данные'!$B$80)&lt;=0,'Исходные данные'!$B$88=""),0,MAX(0,IF('Исходные данные'!$B$88="Последние 12 месяцев",SUMIFS($Y$2:$Y$194,$B$2:$B$194,"&gt;="&amp;EDATE(B253,-11),$B$2:$B$194,"&lt;="&amp;B253),IF('Исходные данные'!$B$88="Пользовательский NOI",N('Исходные данные'!$B$89),AT253))/N('Исходные данные'!$B$80)*(1+N('Исходные данные'!$B$81))))</f>
        <v>0</v>
      </c>
      <c r="AV253">
        <f>IF(OR(E253&lt;&gt;1,B253="",'Исходные данные'!$B$91=""),0,IF(AND(YEAR(B253)=YEAR('Исходные данные'!$B$91),MONTH(B253)=MONTH('Исходные данные'!$B$91)),AU253,0))</f>
        <v>0</v>
      </c>
      <c r="AW253">
        <f>-AV253*N('Исходные данные'!$B$73)</f>
        <v>0</v>
      </c>
      <c r="AX253">
        <f>IF(AV253=0,0,-N('Исходные данные'!$B$87)-IF('Исходные данные'!$B$82="Да",IF('Исходные данные'!$B$84="С выручки",AV253,IF('Исходные данные'!$B$84="С прибыли",MAX(0,AV253+AW253-IF('Исходные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53">
        <f t="shared" si="150"/>
        <v>0</v>
      </c>
      <c r="AZ253">
        <f t="shared" si="137"/>
        <v>0</v>
      </c>
      <c r="BA253">
        <f t="shared" si="151"/>
        <v>0</v>
      </c>
      <c r="BB253" t="str">
        <f t="shared" si="138"/>
        <v/>
      </c>
      <c r="BC253">
        <f>IF(OR(E253=0,'Исходные данные'!$B$9="",'Исходные данные'!$B$90=""),0,BA253/(1+'Исходные данные'!$B$90)^((D253-'Исходные данные'!$B$9)/365))</f>
        <v>0</v>
      </c>
      <c r="BD253">
        <f>IF(AND(E253=1,BB253&gt;=0,BB252&lt;0,MIN($BB$2:BB253)&lt;0),1,0)</f>
        <v>0</v>
      </c>
      <c r="BE253">
        <f t="shared" si="139"/>
        <v>0</v>
      </c>
      <c r="BF253">
        <f t="shared" si="140"/>
        <v>0</v>
      </c>
      <c r="BG253">
        <f t="shared" si="141"/>
        <v>0</v>
      </c>
      <c r="BH253">
        <f t="shared" si="142"/>
        <v>1</v>
      </c>
      <c r="BI253">
        <f>AZ253+N253+AP253-AR253*N('Исходные данные'!$B$50)</f>
        <v>0</v>
      </c>
      <c r="BJ253">
        <f t="shared" si="143"/>
        <v>0</v>
      </c>
      <c r="BK253">
        <f>IF(AND(BJ253&gt;=0,BJ252&lt;0,MIN($BJ$2:BJ253)&lt;0),1,0)</f>
        <v>0</v>
      </c>
    </row>
    <row r="254" spans="1:63" x14ac:dyDescent="0.2">
      <c r="A254">
        <v>253</v>
      </c>
      <c r="B254" t="str">
        <f>IF('Исходные данные'!$B$9="","",EDATE(DATE(YEAR('Исходные данные'!$B$9),MONTH('Исходные данные'!$B$9),1),A254-1))</f>
        <v/>
      </c>
      <c r="C254" t="str">
        <f t="shared" si="144"/>
        <v/>
      </c>
      <c r="D254" t="str">
        <f>IF(B254="","",IF('Исходные данные'!$B$91&lt;&gt;"",IF(AND(YEAR(B254)=YEAR('Исходные данные'!$B$91),MONTH(B254)=MONTH('Исходные данные'!$B$91)),'Исходные данные'!$B$91,IF('Исходные данные'!$B$13&lt;&gt;"",IF(AND(YEAR(B254)=YEAR('Исходные данные'!$B$13),MONTH(B254)=MONTH('Исходные данные'!$B$13)),'Исходные данные'!$B$13,IF('Исходные данные'!$B$26&lt;&gt;"",IF(AND(YEAR(B254)=YEAR('Исходные данные'!$B$26),MONTH(B254)=MONTH('Исходные данные'!$B$26)),'Исходные данные'!$B$26,IF(A254=1,'Исходные данные'!$B$9,C254)),IF(A254=1,'Исходные данные'!$B$9,C254))),IF('Исходные данные'!$B$26&lt;&gt;"",IF(AND(YEAR(B254)=YEAR('Исходные данные'!$B$26),MONTH(B254)=MONTH('Исходные данные'!$B$26)),'Исходные данные'!$B$26,IF(A254=1,'Исходные данные'!$B$9,C254)),IF(A254=1,'Исходные данные'!$B$9,C254)))),IF('Исходные данные'!$B$13&lt;&gt;"",IF(AND(YEAR(B254)=YEAR('Исходные данные'!$B$13),MONTH(B254)=MONTH('Исходные данные'!$B$13)),'Исходные данные'!$B$13,IF('Исходные данные'!$B$26&lt;&gt;"",IF(AND(YEAR(B254)=YEAR('Исходные данные'!$B$26),MONTH(B254)=MONTH('Исходные данные'!$B$26)),'Исходные данные'!$B$26,IF(A254=1,'Исходные данные'!$B$9,C254)),IF(A254=1,'Исходные данные'!$B$9,C254))),IF('Исходные данные'!$B$26&lt;&gt;"",IF(AND(YEAR(B254)=YEAR('Исходные данные'!$B$26),MONTH(B254)=MONTH('Исходные данные'!$B$26)),'Исходные данные'!$B$26,IF(A254=1,'Исходные данные'!$B$9,C254)),IF(A254=1,'Исходные данные'!$B$9,C254)))))</f>
        <v/>
      </c>
      <c r="E254">
        <f>IF(OR(B254="",'Исходные данные'!$B$91=""),0,--(B254&lt;=DATE(YEAR('Исходные данные'!$B$91),MONTH('Исходные данные'!$B$91),1)))</f>
        <v>0</v>
      </c>
      <c r="F254">
        <f>IF(OR(B254="",'Исходные данные'!$B$30="",C254&lt;'Исходные данные'!$B$30),0,DATEDIF(DATE(YEAR('Исходные данные'!$B$30),MONTH('Исходные данные'!$B$30),1),B254,"m")+1)</f>
        <v>0</v>
      </c>
      <c r="G254">
        <f t="shared" si="145"/>
        <v>0</v>
      </c>
      <c r="H254">
        <f>IF(F254=0,0,IF(G254=1,N('Исходные данные'!$B$31),IF(G254=2,N('Исходные данные'!$B$32),IF(G254=3,N('Исходные данные'!$B$33),N('Исходные данные'!$B$33)*(1+N('Исходные данные'!$B$34))^(G254-3)))))</f>
        <v>0</v>
      </c>
      <c r="I254">
        <f>IF(OR(F254=0,N('Исходные данные'!$B$5)=0,H254=0),0,'Исходные данные'!$B$5*H254*IF(AND(B254&lt;='Исходные данные'!$B$30,C254&gt;='Исходные данные'!$B$30),(C254-'Исходные данные'!$B$30+1)/DAY(C254),1))</f>
        <v>0</v>
      </c>
      <c r="J254">
        <f>IF(AND(F254&gt;0,F254&lt;=N('Исходные данные'!$B$37)),-I254,0)</f>
        <v>0</v>
      </c>
      <c r="K254">
        <f>IF(OR(F254=0,F254&lt;=N('Исходные данные'!$B$37)),0,-(I254+J254)*N('Исходные данные'!$B$38))</f>
        <v>0</v>
      </c>
      <c r="L254">
        <f t="shared" si="146"/>
        <v>0</v>
      </c>
      <c r="M254">
        <f>IF('Исходные данные'!$B$51="Да",L254*N('Исходные данные'!$B$52),0)</f>
        <v>0</v>
      </c>
      <c r="N254">
        <f t="shared" si="147"/>
        <v>0</v>
      </c>
      <c r="O254">
        <f>IF(OR(B254="",IF('Исходные данные'!$B$45="",'Исходные данные'!$B$10,'Исходные данные'!$B$45)="",C254&lt;IF('Исходные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данные'!$B$45)),1),B254,"m")/12))*IF(AND(B254&lt;=IF('Исходные данные'!$B$45="",'Исходные данные'!$B$10,'Исходные данные'!$B$45),C254&gt;=IF('Исходные данные'!$B$45="",'Исходные данные'!$B$10,'Исходные данные'!$B$45)),(C254-IF('Исходные данные'!$B$45="",'Исходные данные'!$B$10,'Исходные данные'!$B$45)+1)/DAY(C254),1)*IF('Исходные данные'!$B$43="Без НДС",1+N('Исходные данные'!$B$44),1))</f>
        <v>0</v>
      </c>
      <c r="P254">
        <f>IF('Исходные данные'!$B$51="Да",-O254*N('Исходные данные'!$B$44)/(1+N('Исходные данные'!$B$44)),0)</f>
        <v>0</v>
      </c>
      <c r="Q254">
        <f>IF('Исходные данные'!$B$35="Да",-O254,0)</f>
        <v>0</v>
      </c>
      <c r="R254">
        <f>IF(AND('Исходные данные'!$B$51="Да",Q254&gt;0),Q254*N('Исходные данные'!$B$52)/(1+N('Исходные данные'!$B$52)),0)</f>
        <v>0</v>
      </c>
      <c r="S254">
        <f>IF(OR(B254="",IF('Исходные данные'!$B$45="",'Исходные данные'!$B$10,'Исходные данные'!$B$45)="",C254&lt;IF('Исходные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данные'!$B$45)),1),B254,"m")/12))*IF(AND(B254&lt;=IF('Исходные данные'!$B$45="",'Исходные данные'!$B$10,'Исходные данные'!$B$45),C254&gt;=IF('Исходные данные'!$B$45="",'Исходные данные'!$B$10,'Исходные данные'!$B$45)),(C254-IF('Исходные данные'!$B$45="",'Исходные данные'!$B$10,'Исходные данные'!$B$45)+1)/DAY(C254),1)*IF('Исходные данные'!$B$43="Без НДС",1+N('Исходные данные'!$B$44),1))</f>
        <v>0</v>
      </c>
      <c r="T254">
        <f>IF('Исходные данные'!$B$51="Да",-S254*N('Исходные данные'!$B$44)/(1+N('Исходные данные'!$B$44)),0)</f>
        <v>0</v>
      </c>
      <c r="U254">
        <f>IF('Исходные данные'!$B$36="Да",-S254,0)</f>
        <v>0</v>
      </c>
      <c r="V254">
        <f>IF(AND('Исходные данные'!$B$51="Да",U254&gt;0),U254*N('Исходные данные'!$B$52)/(1+N('Исходные данные'!$B$52)),0)</f>
        <v>0</v>
      </c>
      <c r="W254">
        <f>IF(OR(B254="",IF('Исходные данные'!$B$69="",'Исходные данные'!$B$10,'Исходные данные'!$B$69)="",C254&lt;IF('Исходные данные'!$B$69="",'Исходные данные'!$B$10,'Исходные данные'!$B$69)),0,-N('Исходные данные'!$B$16)*N('Исходные данные'!$B$68)*N('Исходные данные'!$B$67)/12*IF(AND(B254&lt;=IF('Исходные данные'!$B$69="",'Исходные данные'!$B$10,'Исходные данные'!$B$69),C254&gt;=IF('Исходные данные'!$B$69="",'Исходные данные'!$B$10,'Исходные данные'!$B$69)),(C254-IF('Исходные данные'!$B$69="",'Исходные данные'!$B$10,'Исходные данные'!$B$69)+1)/DAY(C254),1))</f>
        <v>0</v>
      </c>
      <c r="X254">
        <f>IF(OR(B254="",IF('Исходные данные'!$B$76="",'Исходные данные'!$B$10,'Исходные данные'!$B$76)="",C254&lt;IF('Исходные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данные'!$B$76)),1),B254,"m")/12))*IF(AND(B254&lt;=IF('Исходные данные'!$B$76="",'Исходные данные'!$B$10,'Исходные данные'!$B$76),C254&gt;=IF('Исходные данные'!$B$76="",'Исходные данные'!$B$10,'Исходные данные'!$B$76)),(C254-IF('Исходные данные'!$B$76="",'Исходные данные'!$B$10,'Исходные данные'!$B$76)+1)/DAY(C254),1))</f>
        <v>0</v>
      </c>
      <c r="Y254">
        <f t="shared" si="148"/>
        <v>0</v>
      </c>
      <c r="Z254">
        <f>IF(OR(B254="",N('Исходные данные'!$B$19)=0),0,-SUMIFS('Исходные данные'!$I$6:$I$186,'Исходные данные'!$F$6:$F$186,B254)*N('Исходные данные'!$B$17)/N('Исходные данные'!$B$19))</f>
        <v>0</v>
      </c>
      <c r="AA254">
        <f>IF(OR(B254="",N('Исходные данные'!$B$19)=0),0,-SUMIFS('Исходные данные'!$I$6:$I$186,'Исходные данные'!$F$6:$F$186,B254)*N('Исходные данные'!$B$18)/N('Исходные данные'!$B$19))</f>
        <v>0</v>
      </c>
      <c r="AB254">
        <f>IF(OR(B254="",'Исходные данные'!$B$13=""),0,IF(AND(YEAR(B254)=YEAR('Исходные данные'!$B$13),MONTH(B254)=MONTH('Исходные данные'!$B$13)),-N('Исходные данные'!$B$11),0))</f>
        <v>0</v>
      </c>
      <c r="AC254">
        <f>IF(A254=1,-N('Исходные данные'!$B$19)*N('Исходные данные'!$B$72),0)</f>
        <v>0</v>
      </c>
      <c r="AD254">
        <f>IF(OR(B254="",'Исходные данные'!$B$22&lt;&gt;"Да",'Исходные данные'!$B$26=""),0,IF(AND(YEAR(B254)=YEAR('Исходные данные'!$B$26),MONTH(B254)=MONTH('Исходные данные'!$B$26)),N('Исходные данные'!$B$23),0))</f>
        <v>0</v>
      </c>
      <c r="AE254">
        <f t="shared" si="131"/>
        <v>0</v>
      </c>
      <c r="AF254">
        <f>IF(OR('Исходные данные'!$B$22&lt;&gt;"Да",'Исходные данные'!$B$26="",C254&lt;'Исходные данные'!$B$26),0,DATEDIF(DATE(YEAR('Исходные данные'!$B$26),MONTH('Исходные данные'!$B$26),1),B254,"m")+1)</f>
        <v>0</v>
      </c>
      <c r="AG254">
        <f>IF(OR(AF254&lt;1,AF254&gt;N('Исходные данные'!$B$25),AE254+AD254&lt;=0),0,-(AE254+AD254)*N('Исходные данные'!$B$24)*IF(AF254=1,C254-'Исходные данные'!$B$26+1,DAY(C254))/365)</f>
        <v>0</v>
      </c>
      <c r="AH254">
        <f>IF(OR(AF254&lt;1,AF254&gt;N('Исходные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данные'!$B$25)-AG254))</f>
        <v>0</v>
      </c>
      <c r="AI254">
        <f>IF(OR('Исходные данные'!$B$22&lt;&gt;"Да",AE254+AD254&lt;=0),0,IF(AND('Исходные данные'!$B$91&lt;&gt;"",B254&lt;&gt;"",YEAR(B254)=YEAR('Исходные данные'!$B$91),MONTH(B254)=MONTH('Исходные данные'!$B$91)),-(AE254+AD254),IF(OR(AF254&lt;1,AF254&gt;N('Исходные данные'!$B$25)),0,IF('Исходные данные'!$B$27="Равными долями",-MIN(AE254+AD254,N('Исходные данные'!$B$23)/N('Исходные данные'!$B$25)),-MIN(AE254+AD254,IF(AF254=N('Исходные данные'!$B$25),AE254+AD254,MAX(0,AH254+AG254)))))))</f>
        <v>0</v>
      </c>
      <c r="AJ254">
        <f t="shared" si="149"/>
        <v>0</v>
      </c>
      <c r="AK254">
        <f t="shared" si="132"/>
        <v>0</v>
      </c>
      <c r="AL254">
        <f>IF(OR(B254="",'Исходные данные'!$B$51&lt;&gt;"Да",'Исходные данные'!$B$61=""),0,IF(AND(YEAR(B254)=YEAR('Исходные данные'!$B$61),MONTH(B254)=MONTH('Исходные данные'!$B$61)),N('Исходные данные'!$B$18)*N('Исходные данные'!$B$62),0))</f>
        <v>0</v>
      </c>
      <c r="AM254">
        <f t="shared" si="133"/>
        <v>0</v>
      </c>
      <c r="AN254">
        <f t="shared" si="134"/>
        <v>0</v>
      </c>
      <c r="AO254">
        <f t="shared" si="135"/>
        <v>0</v>
      </c>
      <c r="AP254">
        <f>IF('Исходные данные'!$B$51="Да",-MAX(0,AN254-AO254-AM254),0)</f>
        <v>0</v>
      </c>
      <c r="AQ254">
        <f>IF('Исходные данные'!$B$51="Да",MAX(0,AM254+AO254-AN254),0)</f>
        <v>0</v>
      </c>
      <c r="AR254">
        <f>IF('Исходные данные'!$B$53="Выручка",MAX(0,L254+(Q254-R254)+(U254-V254)),IF('Исходные данные'!$B$53="Прибыль до налога",MAX(0,L254+(Q254-R254)+(U254-V254)+N('Исходные данные'!$B$54)*((O254+P254)+(S254+T254)+W254+X254)+IF('Исходные данные'!$B$55="Да",AG254,0)-N('Исходные данные'!$B$56)/12),IF('Исходные данные'!$B$53="Пользовательская база",MAX(0,N('Исходные данные'!$B$57)/12),0)))</f>
        <v>0</v>
      </c>
      <c r="AS254">
        <f>IF(E254=1,-AR254*N('Исходные данные'!$B$50),0)</f>
        <v>0</v>
      </c>
      <c r="AT254">
        <f t="shared" si="136"/>
        <v>0</v>
      </c>
      <c r="AU254">
        <f>IF(OR(B254="",N('Исходные данные'!$B$80)&lt;=0,'Исходные данные'!$B$88=""),0,MAX(0,IF('Исходные данные'!$B$88="Последние 12 месяцев",SUMIFS($Y$2:$Y$194,$B$2:$B$194,"&gt;="&amp;EDATE(B254,-11),$B$2:$B$194,"&lt;="&amp;B254),IF('Исходные данные'!$B$88="Пользовательский NOI",N('Исходные данные'!$B$89),AT254))/N('Исходные данные'!$B$80)*(1+N('Исходные данные'!$B$81))))</f>
        <v>0</v>
      </c>
      <c r="AV254">
        <f>IF(OR(E254&lt;&gt;1,B254="",'Исходные данные'!$B$91=""),0,IF(AND(YEAR(B254)=YEAR('Исходные данные'!$B$91),MONTH(B254)=MONTH('Исходные данные'!$B$91)),AU254,0))</f>
        <v>0</v>
      </c>
      <c r="AW254">
        <f>-AV254*N('Исходные данные'!$B$73)</f>
        <v>0</v>
      </c>
      <c r="AX254">
        <f>IF(AV254=0,0,-N('Исходные данные'!$B$87)-IF('Исходные данные'!$B$82="Да",IF('Исходные данные'!$B$84="С выручки",AV254,IF('Исходные данные'!$B$84="С прибыли",MAX(0,AV254+AW254-IF('Исходные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54">
        <f t="shared" si="150"/>
        <v>0</v>
      </c>
      <c r="AZ254">
        <f t="shared" si="137"/>
        <v>0</v>
      </c>
      <c r="BA254">
        <f t="shared" si="151"/>
        <v>0</v>
      </c>
      <c r="BB254" t="str">
        <f t="shared" si="138"/>
        <v/>
      </c>
      <c r="BC254">
        <f>IF(OR(E254=0,'Исходные данные'!$B$9="",'Исходные данные'!$B$90=""),0,BA254/(1+'Исходные данные'!$B$90)^((D254-'Исходные данные'!$B$9)/365))</f>
        <v>0</v>
      </c>
      <c r="BD254">
        <f>IF(AND(E254=1,BB254&gt;=0,BB253&lt;0,MIN($BB$2:BB254)&lt;0),1,0)</f>
        <v>0</v>
      </c>
      <c r="BE254">
        <f t="shared" si="139"/>
        <v>0</v>
      </c>
      <c r="BF254">
        <f t="shared" si="140"/>
        <v>0</v>
      </c>
      <c r="BG254">
        <f t="shared" si="141"/>
        <v>0</v>
      </c>
      <c r="BH254">
        <f t="shared" si="142"/>
        <v>1</v>
      </c>
      <c r="BI254">
        <f>AZ254+N254+AP254-AR254*N('Исходные данные'!$B$50)</f>
        <v>0</v>
      </c>
      <c r="BJ254">
        <f t="shared" si="143"/>
        <v>0</v>
      </c>
      <c r="BK254">
        <f>IF(AND(BJ254&gt;=0,BJ253&lt;0,MIN($BJ$2:BJ254)&lt;0),1,0)</f>
        <v>0</v>
      </c>
    </row>
    <row r="255" spans="1:63" x14ac:dyDescent="0.2">
      <c r="A255">
        <v>254</v>
      </c>
      <c r="B255" t="str">
        <f>IF('Исходные данные'!$B$9="","",EDATE(DATE(YEAR('Исходные данные'!$B$9),MONTH('Исходные данные'!$B$9),1),A255-1))</f>
        <v/>
      </c>
      <c r="C255" t="str">
        <f t="shared" si="144"/>
        <v/>
      </c>
      <c r="D255" t="str">
        <f>IF(B255="","",IF('Исходные данные'!$B$91&lt;&gt;"",IF(AND(YEAR(B255)=YEAR('Исходные данные'!$B$91),MONTH(B255)=MONTH('Исходные данные'!$B$91)),'Исходные данные'!$B$91,IF('Исходные данные'!$B$13&lt;&gt;"",IF(AND(YEAR(B255)=YEAR('Исходные данные'!$B$13),MONTH(B255)=MONTH('Исходные данные'!$B$13)),'Исходные данные'!$B$13,IF('Исходные данные'!$B$26&lt;&gt;"",IF(AND(YEAR(B255)=YEAR('Исходные данные'!$B$26),MONTH(B255)=MONTH('Исходные данные'!$B$26)),'Исходные данные'!$B$26,IF(A255=1,'Исходные данные'!$B$9,C255)),IF(A255=1,'Исходные данные'!$B$9,C255))),IF('Исходные данные'!$B$26&lt;&gt;"",IF(AND(YEAR(B255)=YEAR('Исходные данные'!$B$26),MONTH(B255)=MONTH('Исходные данные'!$B$26)),'Исходные данные'!$B$26,IF(A255=1,'Исходные данные'!$B$9,C255)),IF(A255=1,'Исходные данные'!$B$9,C255)))),IF('Исходные данные'!$B$13&lt;&gt;"",IF(AND(YEAR(B255)=YEAR('Исходные данные'!$B$13),MONTH(B255)=MONTH('Исходные данные'!$B$13)),'Исходные данные'!$B$13,IF('Исходные данные'!$B$26&lt;&gt;"",IF(AND(YEAR(B255)=YEAR('Исходные данные'!$B$26),MONTH(B255)=MONTH('Исходные данные'!$B$26)),'Исходные данные'!$B$26,IF(A255=1,'Исходные данные'!$B$9,C255)),IF(A255=1,'Исходные данные'!$B$9,C255))),IF('Исходные данные'!$B$26&lt;&gt;"",IF(AND(YEAR(B255)=YEAR('Исходные данные'!$B$26),MONTH(B255)=MONTH('Исходные данные'!$B$26)),'Исходные данные'!$B$26,IF(A255=1,'Исходные данные'!$B$9,C255)),IF(A255=1,'Исходные данные'!$B$9,C255)))))</f>
        <v/>
      </c>
      <c r="E255">
        <f>IF(OR(B255="",'Исходные данные'!$B$91=""),0,--(B255&lt;=DATE(YEAR('Исходные данные'!$B$91),MONTH('Исходные данные'!$B$91),1)))</f>
        <v>0</v>
      </c>
      <c r="F255">
        <f>IF(OR(B255="",'Исходные данные'!$B$30="",C255&lt;'Исходные данные'!$B$30),0,DATEDIF(DATE(YEAR('Исходные данные'!$B$30),MONTH('Исходные данные'!$B$30),1),B255,"m")+1)</f>
        <v>0</v>
      </c>
      <c r="G255">
        <f t="shared" si="145"/>
        <v>0</v>
      </c>
      <c r="H255">
        <f>IF(F255=0,0,IF(G255=1,N('Исходные данные'!$B$31),IF(G255=2,N('Исходные данные'!$B$32),IF(G255=3,N('Исходные данные'!$B$33),N('Исходные данные'!$B$33)*(1+N('Исходные данные'!$B$34))^(G255-3)))))</f>
        <v>0</v>
      </c>
      <c r="I255">
        <f>IF(OR(F255=0,N('Исходные данные'!$B$5)=0,H255=0),0,'Исходные данные'!$B$5*H255*IF(AND(B255&lt;='Исходные данные'!$B$30,C255&gt;='Исходные данные'!$B$30),(C255-'Исходные данные'!$B$30+1)/DAY(C255),1))</f>
        <v>0</v>
      </c>
      <c r="J255">
        <f>IF(AND(F255&gt;0,F255&lt;=N('Исходные данные'!$B$37)),-I255,0)</f>
        <v>0</v>
      </c>
      <c r="K255">
        <f>IF(OR(F255=0,F255&lt;=N('Исходные данные'!$B$37)),0,-(I255+J255)*N('Исходные данные'!$B$38))</f>
        <v>0</v>
      </c>
      <c r="L255">
        <f t="shared" si="146"/>
        <v>0</v>
      </c>
      <c r="M255">
        <f>IF('Исходные данные'!$B$51="Да",L255*N('Исходные данные'!$B$52),0)</f>
        <v>0</v>
      </c>
      <c r="N255">
        <f t="shared" si="147"/>
        <v>0</v>
      </c>
      <c r="O255">
        <f>IF(OR(B255="",IF('Исходные данные'!$B$45="",'Исходные данные'!$B$10,'Исходные данные'!$B$45)="",C255&lt;IF('Исходные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данные'!$B$45)),1),B255,"m")/12))*IF(AND(B255&lt;=IF('Исходные данные'!$B$45="",'Исходные данные'!$B$10,'Исходные данные'!$B$45),C255&gt;=IF('Исходные данные'!$B$45="",'Исходные данные'!$B$10,'Исходные данные'!$B$45)),(C255-IF('Исходные данные'!$B$45="",'Исходные данные'!$B$10,'Исходные данные'!$B$45)+1)/DAY(C255),1)*IF('Исходные данные'!$B$43="Без НДС",1+N('Исходные данные'!$B$44),1))</f>
        <v>0</v>
      </c>
      <c r="P255">
        <f>IF('Исходные данные'!$B$51="Да",-O255*N('Исходные данные'!$B$44)/(1+N('Исходные данные'!$B$44)),0)</f>
        <v>0</v>
      </c>
      <c r="Q255">
        <f>IF('Исходные данные'!$B$35="Да",-O255,0)</f>
        <v>0</v>
      </c>
      <c r="R255">
        <f>IF(AND('Исходные данные'!$B$51="Да",Q255&gt;0),Q255*N('Исходные данные'!$B$52)/(1+N('Исходные данные'!$B$52)),0)</f>
        <v>0</v>
      </c>
      <c r="S255">
        <f>IF(OR(B255="",IF('Исходные данные'!$B$45="",'Исходные данные'!$B$10,'Исходные данные'!$B$45)="",C255&lt;IF('Исходные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данные'!$B$45)),1),B255,"m")/12))*IF(AND(B255&lt;=IF('Исходные данные'!$B$45="",'Исходные данные'!$B$10,'Исходные данные'!$B$45),C255&gt;=IF('Исходные данные'!$B$45="",'Исходные данные'!$B$10,'Исходные данные'!$B$45)),(C255-IF('Исходные данные'!$B$45="",'Исходные данные'!$B$10,'Исходные данные'!$B$45)+1)/DAY(C255),1)*IF('Исходные данные'!$B$43="Без НДС",1+N('Исходные данные'!$B$44),1))</f>
        <v>0</v>
      </c>
      <c r="T255">
        <f>IF('Исходные данные'!$B$51="Да",-S255*N('Исходные данные'!$B$44)/(1+N('Исходные данные'!$B$44)),0)</f>
        <v>0</v>
      </c>
      <c r="U255">
        <f>IF('Исходные данные'!$B$36="Да",-S255,0)</f>
        <v>0</v>
      </c>
      <c r="V255">
        <f>IF(AND('Исходные данные'!$B$51="Да",U255&gt;0),U255*N('Исходные данные'!$B$52)/(1+N('Исходные данные'!$B$52)),0)</f>
        <v>0</v>
      </c>
      <c r="W255">
        <f>IF(OR(B255="",IF('Исходные данные'!$B$69="",'Исходные данные'!$B$10,'Исходные данные'!$B$69)="",C255&lt;IF('Исходные данные'!$B$69="",'Исходные данные'!$B$10,'Исходные данные'!$B$69)),0,-N('Исходные данные'!$B$16)*N('Исходные данные'!$B$68)*N('Исходные данные'!$B$67)/12*IF(AND(B255&lt;=IF('Исходные данные'!$B$69="",'Исходные данные'!$B$10,'Исходные данные'!$B$69),C255&gt;=IF('Исходные данные'!$B$69="",'Исходные данные'!$B$10,'Исходные данные'!$B$69)),(C255-IF('Исходные данные'!$B$69="",'Исходные данные'!$B$10,'Исходные данные'!$B$69)+1)/DAY(C255),1))</f>
        <v>0</v>
      </c>
      <c r="X255">
        <f>IF(OR(B255="",IF('Исходные данные'!$B$76="",'Исходные данные'!$B$10,'Исходные данные'!$B$76)="",C255&lt;IF('Исходные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данные'!$B$76)),1),B255,"m")/12))*IF(AND(B255&lt;=IF('Исходные данные'!$B$76="",'Исходные данные'!$B$10,'Исходные данные'!$B$76),C255&gt;=IF('Исходные данные'!$B$76="",'Исходные данные'!$B$10,'Исходные данные'!$B$76)),(C255-IF('Исходные данные'!$B$76="",'Исходные данные'!$B$10,'Исходные данные'!$B$76)+1)/DAY(C255),1))</f>
        <v>0</v>
      </c>
      <c r="Y255">
        <f t="shared" si="148"/>
        <v>0</v>
      </c>
      <c r="Z255">
        <f>IF(OR(B255="",N('Исходные данные'!$B$19)=0),0,-SUMIFS('Исходные данные'!$I$6:$I$186,'Исходные данные'!$F$6:$F$186,B255)*N('Исходные данные'!$B$17)/N('Исходные данные'!$B$19))</f>
        <v>0</v>
      </c>
      <c r="AA255">
        <f>IF(OR(B255="",N('Исходные данные'!$B$19)=0),0,-SUMIFS('Исходные данные'!$I$6:$I$186,'Исходные данные'!$F$6:$F$186,B255)*N('Исходные данные'!$B$18)/N('Исходные данные'!$B$19))</f>
        <v>0</v>
      </c>
      <c r="AB255">
        <f>IF(OR(B255="",'Исходные данные'!$B$13=""),0,IF(AND(YEAR(B255)=YEAR('Исходные данные'!$B$13),MONTH(B255)=MONTH('Исходные данные'!$B$13)),-N('Исходные данные'!$B$11),0))</f>
        <v>0</v>
      </c>
      <c r="AC255">
        <f>IF(A255=1,-N('Исходные данные'!$B$19)*N('Исходные данные'!$B$72),0)</f>
        <v>0</v>
      </c>
      <c r="AD255">
        <f>IF(OR(B255="",'Исходные данные'!$B$22&lt;&gt;"Да",'Исходные данные'!$B$26=""),0,IF(AND(YEAR(B255)=YEAR('Исходные данные'!$B$26),MONTH(B255)=MONTH('Исходные данные'!$B$26)),N('Исходные данные'!$B$23),0))</f>
        <v>0</v>
      </c>
      <c r="AE255">
        <f t="shared" si="131"/>
        <v>0</v>
      </c>
      <c r="AF255">
        <f>IF(OR('Исходные данные'!$B$22&lt;&gt;"Да",'Исходные данные'!$B$26="",C255&lt;'Исходные данные'!$B$26),0,DATEDIF(DATE(YEAR('Исходные данные'!$B$26),MONTH('Исходные данные'!$B$26),1),B255,"m")+1)</f>
        <v>0</v>
      </c>
      <c r="AG255">
        <f>IF(OR(AF255&lt;1,AF255&gt;N('Исходные данные'!$B$25),AE255+AD255&lt;=0),0,-(AE255+AD255)*N('Исходные данные'!$B$24)*IF(AF255=1,C255-'Исходные данные'!$B$26+1,DAY(C255))/365)</f>
        <v>0</v>
      </c>
      <c r="AH255">
        <f>IF(OR(AF255&lt;1,AF255&gt;N('Исходные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данные'!$B$25)-AG255))</f>
        <v>0</v>
      </c>
      <c r="AI255">
        <f>IF(OR('Исходные данные'!$B$22&lt;&gt;"Да",AE255+AD255&lt;=0),0,IF(AND('Исходные данные'!$B$91&lt;&gt;"",B255&lt;&gt;"",YEAR(B255)=YEAR('Исходные данные'!$B$91),MONTH(B255)=MONTH('Исходные данные'!$B$91)),-(AE255+AD255),IF(OR(AF255&lt;1,AF255&gt;N('Исходные данные'!$B$25)),0,IF('Исходные данные'!$B$27="Равными долями",-MIN(AE255+AD255,N('Исходные данные'!$B$23)/N('Исходные данные'!$B$25)),-MIN(AE255+AD255,IF(AF255=N('Исходные данные'!$B$25),AE255+AD255,MAX(0,AH255+AG255)))))))</f>
        <v>0</v>
      </c>
      <c r="AJ255">
        <f t="shared" si="149"/>
        <v>0</v>
      </c>
      <c r="AK255">
        <f t="shared" si="132"/>
        <v>0</v>
      </c>
      <c r="AL255">
        <f>IF(OR(B255="",'Исходные данные'!$B$51&lt;&gt;"Да",'Исходные данные'!$B$61=""),0,IF(AND(YEAR(B255)=YEAR('Исходные данные'!$B$61),MONTH(B255)=MONTH('Исходные данные'!$B$61)),N('Исходные данные'!$B$18)*N('Исходные данные'!$B$62),0))</f>
        <v>0</v>
      </c>
      <c r="AM255">
        <f t="shared" si="133"/>
        <v>0</v>
      </c>
      <c r="AN255">
        <f t="shared" si="134"/>
        <v>0</v>
      </c>
      <c r="AO255">
        <f t="shared" si="135"/>
        <v>0</v>
      </c>
      <c r="AP255">
        <f>IF('Исходные данные'!$B$51="Да",-MAX(0,AN255-AO255-AM255),0)</f>
        <v>0</v>
      </c>
      <c r="AQ255">
        <f>IF('Исходные данные'!$B$51="Да",MAX(0,AM255+AO255-AN255),0)</f>
        <v>0</v>
      </c>
      <c r="AR255">
        <f>IF('Исходные данные'!$B$53="Выручка",MAX(0,L255+(Q255-R255)+(U255-V255)),IF('Исходные данные'!$B$53="Прибыль до налога",MAX(0,L255+(Q255-R255)+(U255-V255)+N('Исходные данные'!$B$54)*((O255+P255)+(S255+T255)+W255+X255)+IF('Исходные данные'!$B$55="Да",AG255,0)-N('Исходные данные'!$B$56)/12),IF('Исходные данные'!$B$53="Пользовательская база",MAX(0,N('Исходные данные'!$B$57)/12),0)))</f>
        <v>0</v>
      </c>
      <c r="AS255">
        <f>IF(E255=1,-AR255*N('Исходные данные'!$B$50),0)</f>
        <v>0</v>
      </c>
      <c r="AT255">
        <f t="shared" si="136"/>
        <v>0</v>
      </c>
      <c r="AU255">
        <f>IF(OR(B255="",N('Исходные данные'!$B$80)&lt;=0,'Исходные данные'!$B$88=""),0,MAX(0,IF('Исходные данные'!$B$88="Последние 12 месяцев",SUMIFS($Y$2:$Y$194,$B$2:$B$194,"&gt;="&amp;EDATE(B255,-11),$B$2:$B$194,"&lt;="&amp;B255),IF('Исходные данные'!$B$88="Пользовательский NOI",N('Исходные данные'!$B$89),AT255))/N('Исходные данные'!$B$80)*(1+N('Исходные данные'!$B$81))))</f>
        <v>0</v>
      </c>
      <c r="AV255">
        <f>IF(OR(E255&lt;&gt;1,B255="",'Исходные данные'!$B$91=""),0,IF(AND(YEAR(B255)=YEAR('Исходные данные'!$B$91),MONTH(B255)=MONTH('Исходные данные'!$B$91)),AU255,0))</f>
        <v>0</v>
      </c>
      <c r="AW255">
        <f>-AV255*N('Исходные данные'!$B$73)</f>
        <v>0</v>
      </c>
      <c r="AX255">
        <f>IF(AV255=0,0,-N('Исходные данные'!$B$87)-IF('Исходные данные'!$B$82="Да",IF('Исходные данные'!$B$84="С выручки",AV255,IF('Исходные данные'!$B$84="С прибыли",MAX(0,AV255+AW255-IF('Исходные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55">
        <f t="shared" si="150"/>
        <v>0</v>
      </c>
      <c r="AZ255">
        <f t="shared" si="137"/>
        <v>0</v>
      </c>
      <c r="BA255">
        <f t="shared" si="151"/>
        <v>0</v>
      </c>
      <c r="BB255" t="str">
        <f t="shared" si="138"/>
        <v/>
      </c>
      <c r="BC255">
        <f>IF(OR(E255=0,'Исходные данные'!$B$9="",'Исходные данные'!$B$90=""),0,BA255/(1+'Исходные данные'!$B$90)^((D255-'Исходные данные'!$B$9)/365))</f>
        <v>0</v>
      </c>
      <c r="BD255">
        <f>IF(AND(E255=1,BB255&gt;=0,BB254&lt;0,MIN($BB$2:BB255)&lt;0),1,0)</f>
        <v>0</v>
      </c>
      <c r="BE255">
        <f t="shared" si="139"/>
        <v>0</v>
      </c>
      <c r="BF255">
        <f t="shared" si="140"/>
        <v>0</v>
      </c>
      <c r="BG255">
        <f t="shared" si="141"/>
        <v>0</v>
      </c>
      <c r="BH255">
        <f t="shared" si="142"/>
        <v>1</v>
      </c>
      <c r="BI255">
        <f>AZ255+N255+AP255-AR255*N('Исходные данные'!$B$50)</f>
        <v>0</v>
      </c>
      <c r="BJ255">
        <f t="shared" si="143"/>
        <v>0</v>
      </c>
      <c r="BK255">
        <f>IF(AND(BJ255&gt;=0,BJ254&lt;0,MIN($BJ$2:BJ255)&lt;0),1,0)</f>
        <v>0</v>
      </c>
    </row>
    <row r="256" spans="1:63" x14ac:dyDescent="0.2">
      <c r="A256">
        <v>255</v>
      </c>
      <c r="B256" t="str">
        <f>IF('Исходные данные'!$B$9="","",EDATE(DATE(YEAR('Исходные данные'!$B$9),MONTH('Исходные данные'!$B$9),1),A256-1))</f>
        <v/>
      </c>
      <c r="C256" t="str">
        <f t="shared" si="144"/>
        <v/>
      </c>
      <c r="D256" t="str">
        <f>IF(B256="","",IF('Исходные данные'!$B$91&lt;&gt;"",IF(AND(YEAR(B256)=YEAR('Исходные данные'!$B$91),MONTH(B256)=MONTH('Исходные данные'!$B$91)),'Исходные данные'!$B$91,IF('Исходные данные'!$B$13&lt;&gt;"",IF(AND(YEAR(B256)=YEAR('Исходные данные'!$B$13),MONTH(B256)=MONTH('Исходные данные'!$B$13)),'Исходные данные'!$B$13,IF('Исходные данные'!$B$26&lt;&gt;"",IF(AND(YEAR(B256)=YEAR('Исходные данные'!$B$26),MONTH(B256)=MONTH('Исходные данные'!$B$26)),'Исходные данные'!$B$26,IF(A256=1,'Исходные данные'!$B$9,C256)),IF(A256=1,'Исходные данные'!$B$9,C256))),IF('Исходные данные'!$B$26&lt;&gt;"",IF(AND(YEAR(B256)=YEAR('Исходные данные'!$B$26),MONTH(B256)=MONTH('Исходные данные'!$B$26)),'Исходные данные'!$B$26,IF(A256=1,'Исходные данные'!$B$9,C256)),IF(A256=1,'Исходные данные'!$B$9,C256)))),IF('Исходные данные'!$B$13&lt;&gt;"",IF(AND(YEAR(B256)=YEAR('Исходные данные'!$B$13),MONTH(B256)=MONTH('Исходные данные'!$B$13)),'Исходные данные'!$B$13,IF('Исходные данные'!$B$26&lt;&gt;"",IF(AND(YEAR(B256)=YEAR('Исходные данные'!$B$26),MONTH(B256)=MONTH('Исходные данные'!$B$26)),'Исходные данные'!$B$26,IF(A256=1,'Исходные данные'!$B$9,C256)),IF(A256=1,'Исходные данные'!$B$9,C256))),IF('Исходные данные'!$B$26&lt;&gt;"",IF(AND(YEAR(B256)=YEAR('Исходные данные'!$B$26),MONTH(B256)=MONTH('Исходные данные'!$B$26)),'Исходные данные'!$B$26,IF(A256=1,'Исходные данные'!$B$9,C256)),IF(A256=1,'Исходные данные'!$B$9,C256)))))</f>
        <v/>
      </c>
      <c r="E256">
        <f>IF(OR(B256="",'Исходные данные'!$B$91=""),0,--(B256&lt;=DATE(YEAR('Исходные данные'!$B$91),MONTH('Исходные данные'!$B$91),1)))</f>
        <v>0</v>
      </c>
      <c r="F256">
        <f>IF(OR(B256="",'Исходные данные'!$B$30="",C256&lt;'Исходные данные'!$B$30),0,DATEDIF(DATE(YEAR('Исходные данные'!$B$30),MONTH('Исходные данные'!$B$30),1),B256,"m")+1)</f>
        <v>0</v>
      </c>
      <c r="G256">
        <f t="shared" si="145"/>
        <v>0</v>
      </c>
      <c r="H256">
        <f>IF(F256=0,0,IF(G256=1,N('Исходные данные'!$B$31),IF(G256=2,N('Исходные данные'!$B$32),IF(G256=3,N('Исходные данные'!$B$33),N('Исходные данные'!$B$33)*(1+N('Исходные данные'!$B$34))^(G256-3)))))</f>
        <v>0</v>
      </c>
      <c r="I256">
        <f>IF(OR(F256=0,N('Исходные данные'!$B$5)=0,H256=0),0,'Исходные данные'!$B$5*H256*IF(AND(B256&lt;='Исходные данные'!$B$30,C256&gt;='Исходные данные'!$B$30),(C256-'Исходные данные'!$B$30+1)/DAY(C256),1))</f>
        <v>0</v>
      </c>
      <c r="J256">
        <f>IF(AND(F256&gt;0,F256&lt;=N('Исходные данные'!$B$37)),-I256,0)</f>
        <v>0</v>
      </c>
      <c r="K256">
        <f>IF(OR(F256=0,F256&lt;=N('Исходные данные'!$B$37)),0,-(I256+J256)*N('Исходные данные'!$B$38))</f>
        <v>0</v>
      </c>
      <c r="L256">
        <f t="shared" si="146"/>
        <v>0</v>
      </c>
      <c r="M256">
        <f>IF('Исходные данные'!$B$51="Да",L256*N('Исходные данные'!$B$52),0)</f>
        <v>0</v>
      </c>
      <c r="N256">
        <f t="shared" si="147"/>
        <v>0</v>
      </c>
      <c r="O256">
        <f>IF(OR(B256="",IF('Исходные данные'!$B$45="",'Исходные данные'!$B$10,'Исходные данные'!$B$45)="",C256&lt;IF('Исходные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данные'!$B$45)),1),B256,"m")/12))*IF(AND(B256&lt;=IF('Исходные данные'!$B$45="",'Исходные данные'!$B$10,'Исходные данные'!$B$45),C256&gt;=IF('Исходные данные'!$B$45="",'Исходные данные'!$B$10,'Исходные данные'!$B$45)),(C256-IF('Исходные данные'!$B$45="",'Исходные данные'!$B$10,'Исходные данные'!$B$45)+1)/DAY(C256),1)*IF('Исходные данные'!$B$43="Без НДС",1+N('Исходные данные'!$B$44),1))</f>
        <v>0</v>
      </c>
      <c r="P256">
        <f>IF('Исходные данные'!$B$51="Да",-O256*N('Исходные данные'!$B$44)/(1+N('Исходные данные'!$B$44)),0)</f>
        <v>0</v>
      </c>
      <c r="Q256">
        <f>IF('Исходные данные'!$B$35="Да",-O256,0)</f>
        <v>0</v>
      </c>
      <c r="R256">
        <f>IF(AND('Исходные данные'!$B$51="Да",Q256&gt;0),Q256*N('Исходные данные'!$B$52)/(1+N('Исходные данные'!$B$52)),0)</f>
        <v>0</v>
      </c>
      <c r="S256">
        <f>IF(OR(B256="",IF('Исходные данные'!$B$45="",'Исходные данные'!$B$10,'Исходные данные'!$B$45)="",C256&lt;IF('Исходные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данные'!$B$45)),1),B256,"m")/12))*IF(AND(B256&lt;=IF('Исходные данные'!$B$45="",'Исходные данные'!$B$10,'Исходные данные'!$B$45),C256&gt;=IF('Исходные данные'!$B$45="",'Исходные данные'!$B$10,'Исходные данные'!$B$45)),(C256-IF('Исходные данные'!$B$45="",'Исходные данные'!$B$10,'Исходные данные'!$B$45)+1)/DAY(C256),1)*IF('Исходные данные'!$B$43="Без НДС",1+N('Исходные данные'!$B$44),1))</f>
        <v>0</v>
      </c>
      <c r="T256">
        <f>IF('Исходные данные'!$B$51="Да",-S256*N('Исходные данные'!$B$44)/(1+N('Исходные данные'!$B$44)),0)</f>
        <v>0</v>
      </c>
      <c r="U256">
        <f>IF('Исходные данные'!$B$36="Да",-S256,0)</f>
        <v>0</v>
      </c>
      <c r="V256">
        <f>IF(AND('Исходные данные'!$B$51="Да",U256&gt;0),U256*N('Исходные данные'!$B$52)/(1+N('Исходные данные'!$B$52)),0)</f>
        <v>0</v>
      </c>
      <c r="W256">
        <f>IF(OR(B256="",IF('Исходные данные'!$B$69="",'Исходные данные'!$B$10,'Исходные данные'!$B$69)="",C256&lt;IF('Исходные данные'!$B$69="",'Исходные данные'!$B$10,'Исходные данные'!$B$69)),0,-N('Исходные данные'!$B$16)*N('Исходные данные'!$B$68)*N('Исходные данные'!$B$67)/12*IF(AND(B256&lt;=IF('Исходные данные'!$B$69="",'Исходные данные'!$B$10,'Исходные данные'!$B$69),C256&gt;=IF('Исходные данные'!$B$69="",'Исходные данные'!$B$10,'Исходные данные'!$B$69)),(C256-IF('Исходные данные'!$B$69="",'Исходные данные'!$B$10,'Исходные данные'!$B$69)+1)/DAY(C256),1))</f>
        <v>0</v>
      </c>
      <c r="X256">
        <f>IF(OR(B256="",IF('Исходные данные'!$B$76="",'Исходные данные'!$B$10,'Исходные данные'!$B$76)="",C256&lt;IF('Исходные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данные'!$B$76)),1),B256,"m")/12))*IF(AND(B256&lt;=IF('Исходные данные'!$B$76="",'Исходные данные'!$B$10,'Исходные данные'!$B$76),C256&gt;=IF('Исходные данные'!$B$76="",'Исходные данные'!$B$10,'Исходные данные'!$B$76)),(C256-IF('Исходные данные'!$B$76="",'Исходные данные'!$B$10,'Исходные данные'!$B$76)+1)/DAY(C256),1))</f>
        <v>0</v>
      </c>
      <c r="Y256">
        <f t="shared" si="148"/>
        <v>0</v>
      </c>
      <c r="Z256">
        <f>IF(OR(B256="",N('Исходные данные'!$B$19)=0),0,-SUMIFS('Исходные данные'!$I$6:$I$186,'Исходные данные'!$F$6:$F$186,B256)*N('Исходные данные'!$B$17)/N('Исходные данные'!$B$19))</f>
        <v>0</v>
      </c>
      <c r="AA256">
        <f>IF(OR(B256="",N('Исходные данные'!$B$19)=0),0,-SUMIFS('Исходные данные'!$I$6:$I$186,'Исходные данные'!$F$6:$F$186,B256)*N('Исходные данные'!$B$18)/N('Исходные данные'!$B$19))</f>
        <v>0</v>
      </c>
      <c r="AB256">
        <f>IF(OR(B256="",'Исходные данные'!$B$13=""),0,IF(AND(YEAR(B256)=YEAR('Исходные данные'!$B$13),MONTH(B256)=MONTH('Исходные данные'!$B$13)),-N('Исходные данные'!$B$11),0))</f>
        <v>0</v>
      </c>
      <c r="AC256">
        <f>IF(A256=1,-N('Исходные данные'!$B$19)*N('Исходные данные'!$B$72),0)</f>
        <v>0</v>
      </c>
      <c r="AD256">
        <f>IF(OR(B256="",'Исходные данные'!$B$22&lt;&gt;"Да",'Исходные данные'!$B$26=""),0,IF(AND(YEAR(B256)=YEAR('Исходные данные'!$B$26),MONTH(B256)=MONTH('Исходные данные'!$B$26)),N('Исходные данные'!$B$23),0))</f>
        <v>0</v>
      </c>
      <c r="AE256">
        <f t="shared" si="131"/>
        <v>0</v>
      </c>
      <c r="AF256">
        <f>IF(OR('Исходные данные'!$B$22&lt;&gt;"Да",'Исходные данные'!$B$26="",C256&lt;'Исходные данные'!$B$26),0,DATEDIF(DATE(YEAR('Исходные данные'!$B$26),MONTH('Исходные данные'!$B$26),1),B256,"m")+1)</f>
        <v>0</v>
      </c>
      <c r="AG256">
        <f>IF(OR(AF256&lt;1,AF256&gt;N('Исходные данные'!$B$25),AE256+AD256&lt;=0),0,-(AE256+AD256)*N('Исходные данные'!$B$24)*IF(AF256=1,C256-'Исходные данные'!$B$26+1,DAY(C256))/365)</f>
        <v>0</v>
      </c>
      <c r="AH256">
        <f>IF(OR(AF256&lt;1,AF256&gt;N('Исходные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данные'!$B$25)-AG256))</f>
        <v>0</v>
      </c>
      <c r="AI256">
        <f>IF(OR('Исходные данные'!$B$22&lt;&gt;"Да",AE256+AD256&lt;=0),0,IF(AND('Исходные данные'!$B$91&lt;&gt;"",B256&lt;&gt;"",YEAR(B256)=YEAR('Исходные данные'!$B$91),MONTH(B256)=MONTH('Исходные данные'!$B$91)),-(AE256+AD256),IF(OR(AF256&lt;1,AF256&gt;N('Исходные данные'!$B$25)),0,IF('Исходные данные'!$B$27="Равными долями",-MIN(AE256+AD256,N('Исходные данные'!$B$23)/N('Исходные данные'!$B$25)),-MIN(AE256+AD256,IF(AF256=N('Исходные данные'!$B$25),AE256+AD256,MAX(0,AH256+AG256)))))))</f>
        <v>0</v>
      </c>
      <c r="AJ256">
        <f t="shared" si="149"/>
        <v>0</v>
      </c>
      <c r="AK256">
        <f t="shared" si="132"/>
        <v>0</v>
      </c>
      <c r="AL256">
        <f>IF(OR(B256="",'Исходные данные'!$B$51&lt;&gt;"Да",'Исходные данные'!$B$61=""),0,IF(AND(YEAR(B256)=YEAR('Исходные данные'!$B$61),MONTH(B256)=MONTH('Исходные данные'!$B$61)),N('Исходные данные'!$B$18)*N('Исходные данные'!$B$62),0))</f>
        <v>0</v>
      </c>
      <c r="AM256">
        <f t="shared" si="133"/>
        <v>0</v>
      </c>
      <c r="AN256">
        <f t="shared" si="134"/>
        <v>0</v>
      </c>
      <c r="AO256">
        <f t="shared" si="135"/>
        <v>0</v>
      </c>
      <c r="AP256">
        <f>IF('Исходные данные'!$B$51="Да",-MAX(0,AN256-AO256-AM256),0)</f>
        <v>0</v>
      </c>
      <c r="AQ256">
        <f>IF('Исходные данные'!$B$51="Да",MAX(0,AM256+AO256-AN256),0)</f>
        <v>0</v>
      </c>
      <c r="AR256">
        <f>IF('Исходные данные'!$B$53="Выручка",MAX(0,L256+(Q256-R256)+(U256-V256)),IF('Исходные данные'!$B$53="Прибыль до налога",MAX(0,L256+(Q256-R256)+(U256-V256)+N('Исходные данные'!$B$54)*((O256+P256)+(S256+T256)+W256+X256)+IF('Исходные данные'!$B$55="Да",AG256,0)-N('Исходные данные'!$B$56)/12),IF('Исходные данные'!$B$53="Пользовательская база",MAX(0,N('Исходные данные'!$B$57)/12),0)))</f>
        <v>0</v>
      </c>
      <c r="AS256">
        <f>IF(E256=1,-AR256*N('Исходные данные'!$B$50),0)</f>
        <v>0</v>
      </c>
      <c r="AT256">
        <f t="shared" si="136"/>
        <v>0</v>
      </c>
      <c r="AU256">
        <f>IF(OR(B256="",N('Исходные данные'!$B$80)&lt;=0,'Исходные данные'!$B$88=""),0,MAX(0,IF('Исходные данные'!$B$88="Последние 12 месяцев",SUMIFS($Y$2:$Y$194,$B$2:$B$194,"&gt;="&amp;EDATE(B256,-11),$B$2:$B$194,"&lt;="&amp;B256),IF('Исходные данные'!$B$88="Пользовательский NOI",N('Исходные данные'!$B$89),AT256))/N('Исходные данные'!$B$80)*(1+N('Исходные данные'!$B$81))))</f>
        <v>0</v>
      </c>
      <c r="AV256">
        <f>IF(OR(E256&lt;&gt;1,B256="",'Исходные данные'!$B$91=""),0,IF(AND(YEAR(B256)=YEAR('Исходные данные'!$B$91),MONTH(B256)=MONTH('Исходные данные'!$B$91)),AU256,0))</f>
        <v>0</v>
      </c>
      <c r="AW256">
        <f>-AV256*N('Исходные данные'!$B$73)</f>
        <v>0</v>
      </c>
      <c r="AX256">
        <f>IF(AV256=0,0,-N('Исходные данные'!$B$87)-IF('Исходные данные'!$B$82="Да",IF('Исходные данные'!$B$84="С выручки",AV256,IF('Исходные данные'!$B$84="С прибыли",MAX(0,AV256+AW256-IF('Исходные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56">
        <f t="shared" si="150"/>
        <v>0</v>
      </c>
      <c r="AZ256">
        <f t="shared" si="137"/>
        <v>0</v>
      </c>
      <c r="BA256">
        <f t="shared" si="151"/>
        <v>0</v>
      </c>
      <c r="BB256" t="str">
        <f t="shared" si="138"/>
        <v/>
      </c>
      <c r="BC256">
        <f>IF(OR(E256=0,'Исходные данные'!$B$9="",'Исходные данные'!$B$90=""),0,BA256/(1+'Исходные данные'!$B$90)^((D256-'Исходные данные'!$B$9)/365))</f>
        <v>0</v>
      </c>
      <c r="BD256">
        <f>IF(AND(E256=1,BB256&gt;=0,BB255&lt;0,MIN($BB$2:BB256)&lt;0),1,0)</f>
        <v>0</v>
      </c>
      <c r="BE256">
        <f t="shared" si="139"/>
        <v>0</v>
      </c>
      <c r="BF256">
        <f t="shared" si="140"/>
        <v>0</v>
      </c>
      <c r="BG256">
        <f t="shared" si="141"/>
        <v>0</v>
      </c>
      <c r="BH256">
        <f t="shared" si="142"/>
        <v>1</v>
      </c>
      <c r="BI256">
        <f>AZ256+N256+AP256-AR256*N('Исходные данные'!$B$50)</f>
        <v>0</v>
      </c>
      <c r="BJ256">
        <f t="shared" si="143"/>
        <v>0</v>
      </c>
      <c r="BK256">
        <f>IF(AND(BJ256&gt;=0,BJ255&lt;0,MIN($BJ$2:BJ256)&lt;0),1,0)</f>
        <v>0</v>
      </c>
    </row>
    <row r="257" spans="1:63" x14ac:dyDescent="0.2">
      <c r="A257">
        <v>256</v>
      </c>
      <c r="B257" t="str">
        <f>IF('Исходные данные'!$B$9="","",EDATE(DATE(YEAR('Исходные данные'!$B$9),MONTH('Исходные данные'!$B$9),1),A257-1))</f>
        <v/>
      </c>
      <c r="C257" t="str">
        <f t="shared" si="144"/>
        <v/>
      </c>
      <c r="D257" t="str">
        <f>IF(B257="","",IF('Исходные данные'!$B$91&lt;&gt;"",IF(AND(YEAR(B257)=YEAR('Исходные данные'!$B$91),MONTH(B257)=MONTH('Исходные данные'!$B$91)),'Исходные данные'!$B$91,IF('Исходные данные'!$B$13&lt;&gt;"",IF(AND(YEAR(B257)=YEAR('Исходные данные'!$B$13),MONTH(B257)=MONTH('Исходные данные'!$B$13)),'Исходные данные'!$B$13,IF('Исходные данные'!$B$26&lt;&gt;"",IF(AND(YEAR(B257)=YEAR('Исходные данные'!$B$26),MONTH(B257)=MONTH('Исходные данные'!$B$26)),'Исходные данные'!$B$26,IF(A257=1,'Исходные данные'!$B$9,C257)),IF(A257=1,'Исходные данные'!$B$9,C257))),IF('Исходные данные'!$B$26&lt;&gt;"",IF(AND(YEAR(B257)=YEAR('Исходные данные'!$B$26),MONTH(B257)=MONTH('Исходные данные'!$B$26)),'Исходные данные'!$B$26,IF(A257=1,'Исходные данные'!$B$9,C257)),IF(A257=1,'Исходные данные'!$B$9,C257)))),IF('Исходные данные'!$B$13&lt;&gt;"",IF(AND(YEAR(B257)=YEAR('Исходные данные'!$B$13),MONTH(B257)=MONTH('Исходные данные'!$B$13)),'Исходные данные'!$B$13,IF('Исходные данные'!$B$26&lt;&gt;"",IF(AND(YEAR(B257)=YEAR('Исходные данные'!$B$26),MONTH(B257)=MONTH('Исходные данные'!$B$26)),'Исходные данные'!$B$26,IF(A257=1,'Исходные данные'!$B$9,C257)),IF(A257=1,'Исходные данные'!$B$9,C257))),IF('Исходные данные'!$B$26&lt;&gt;"",IF(AND(YEAR(B257)=YEAR('Исходные данные'!$B$26),MONTH(B257)=MONTH('Исходные данные'!$B$26)),'Исходные данные'!$B$26,IF(A257=1,'Исходные данные'!$B$9,C257)),IF(A257=1,'Исходные данные'!$B$9,C257)))))</f>
        <v/>
      </c>
      <c r="E257">
        <f>IF(OR(B257="",'Исходные данные'!$B$91=""),0,--(B257&lt;=DATE(YEAR('Исходные данные'!$B$91),MONTH('Исходные данные'!$B$91),1)))</f>
        <v>0</v>
      </c>
      <c r="F257">
        <f>IF(OR(B257="",'Исходные данные'!$B$30="",C257&lt;'Исходные данные'!$B$30),0,DATEDIF(DATE(YEAR('Исходные данные'!$B$30),MONTH('Исходные данные'!$B$30),1),B257,"m")+1)</f>
        <v>0</v>
      </c>
      <c r="G257">
        <f t="shared" si="145"/>
        <v>0</v>
      </c>
      <c r="H257">
        <f>IF(F257=0,0,IF(G257=1,N('Исходные данные'!$B$31),IF(G257=2,N('Исходные данные'!$B$32),IF(G257=3,N('Исходные данные'!$B$33),N('Исходные данные'!$B$33)*(1+N('Исходные данные'!$B$34))^(G257-3)))))</f>
        <v>0</v>
      </c>
      <c r="I257">
        <f>IF(OR(F257=0,N('Исходные данные'!$B$5)=0,H257=0),0,'Исходные данные'!$B$5*H257*IF(AND(B257&lt;='Исходные данные'!$B$30,C257&gt;='Исходные данные'!$B$30),(C257-'Исходные данные'!$B$30+1)/DAY(C257),1))</f>
        <v>0</v>
      </c>
      <c r="J257">
        <f>IF(AND(F257&gt;0,F257&lt;=N('Исходные данные'!$B$37)),-I257,0)</f>
        <v>0</v>
      </c>
      <c r="K257">
        <f>IF(OR(F257=0,F257&lt;=N('Исходные данные'!$B$37)),0,-(I257+J257)*N('Исходные данные'!$B$38))</f>
        <v>0</v>
      </c>
      <c r="L257">
        <f t="shared" si="146"/>
        <v>0</v>
      </c>
      <c r="M257">
        <f>IF('Исходные данные'!$B$51="Да",L257*N('Исходные данные'!$B$52),0)</f>
        <v>0</v>
      </c>
      <c r="N257">
        <f t="shared" si="147"/>
        <v>0</v>
      </c>
      <c r="O257">
        <f>IF(OR(B257="",IF('Исходные данные'!$B$45="",'Исходные данные'!$B$10,'Исходные данные'!$B$45)="",C257&lt;IF('Исходные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данные'!$B$45)),1),B257,"m")/12))*IF(AND(B257&lt;=IF('Исходные данные'!$B$45="",'Исходные данные'!$B$10,'Исходные данные'!$B$45),C257&gt;=IF('Исходные данные'!$B$45="",'Исходные данные'!$B$10,'Исходные данные'!$B$45)),(C257-IF('Исходные данные'!$B$45="",'Исходные данные'!$B$10,'Исходные данные'!$B$45)+1)/DAY(C257),1)*IF('Исходные данные'!$B$43="Без НДС",1+N('Исходные данные'!$B$44),1))</f>
        <v>0</v>
      </c>
      <c r="P257">
        <f>IF('Исходные данные'!$B$51="Да",-O257*N('Исходные данные'!$B$44)/(1+N('Исходные данные'!$B$44)),0)</f>
        <v>0</v>
      </c>
      <c r="Q257">
        <f>IF('Исходные данные'!$B$35="Да",-O257,0)</f>
        <v>0</v>
      </c>
      <c r="R257">
        <f>IF(AND('Исходные данные'!$B$51="Да",Q257&gt;0),Q257*N('Исходные данные'!$B$52)/(1+N('Исходные данные'!$B$52)),0)</f>
        <v>0</v>
      </c>
      <c r="S257">
        <f>IF(OR(B257="",IF('Исходные данные'!$B$45="",'Исходные данные'!$B$10,'Исходные данные'!$B$45)="",C257&lt;IF('Исходные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данные'!$B$45)),1),B257,"m")/12))*IF(AND(B257&lt;=IF('Исходные данные'!$B$45="",'Исходные данные'!$B$10,'Исходные данные'!$B$45),C257&gt;=IF('Исходные данные'!$B$45="",'Исходные данные'!$B$10,'Исходные данные'!$B$45)),(C257-IF('Исходные данные'!$B$45="",'Исходные данные'!$B$10,'Исходные данные'!$B$45)+1)/DAY(C257),1)*IF('Исходные данные'!$B$43="Без НДС",1+N('Исходные данные'!$B$44),1))</f>
        <v>0</v>
      </c>
      <c r="T257">
        <f>IF('Исходные данные'!$B$51="Да",-S257*N('Исходные данные'!$B$44)/(1+N('Исходные данные'!$B$44)),0)</f>
        <v>0</v>
      </c>
      <c r="U257">
        <f>IF('Исходные данные'!$B$36="Да",-S257,0)</f>
        <v>0</v>
      </c>
      <c r="V257">
        <f>IF(AND('Исходные данные'!$B$51="Да",U257&gt;0),U257*N('Исходные данные'!$B$52)/(1+N('Исходные данные'!$B$52)),0)</f>
        <v>0</v>
      </c>
      <c r="W257">
        <f>IF(OR(B257="",IF('Исходные данные'!$B$69="",'Исходные данные'!$B$10,'Исходные данные'!$B$69)="",C257&lt;IF('Исходные данные'!$B$69="",'Исходные данные'!$B$10,'Исходные данные'!$B$69)),0,-N('Исходные данные'!$B$16)*N('Исходные данные'!$B$68)*N('Исходные данные'!$B$67)/12*IF(AND(B257&lt;=IF('Исходные данные'!$B$69="",'Исходные данные'!$B$10,'Исходные данные'!$B$69),C257&gt;=IF('Исходные данные'!$B$69="",'Исходные данные'!$B$10,'Исходные данные'!$B$69)),(C257-IF('Исходные данные'!$B$69="",'Исходные данные'!$B$10,'Исходные данные'!$B$69)+1)/DAY(C257),1))</f>
        <v>0</v>
      </c>
      <c r="X257">
        <f>IF(OR(B257="",IF('Исходные данные'!$B$76="",'Исходные данные'!$B$10,'Исходные данные'!$B$76)="",C257&lt;IF('Исходные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данные'!$B$76)),1),B257,"m")/12))*IF(AND(B257&lt;=IF('Исходные данные'!$B$76="",'Исходные данные'!$B$10,'Исходные данные'!$B$76),C257&gt;=IF('Исходные данные'!$B$76="",'Исходные данные'!$B$10,'Исходные данные'!$B$76)),(C257-IF('Исходные данные'!$B$76="",'Исходные данные'!$B$10,'Исходные данные'!$B$76)+1)/DAY(C257),1))</f>
        <v>0</v>
      </c>
      <c r="Y257">
        <f t="shared" si="148"/>
        <v>0</v>
      </c>
      <c r="Z257">
        <f>IF(OR(B257="",N('Исходные данные'!$B$19)=0),0,-SUMIFS('Исходные данные'!$I$6:$I$186,'Исходные данные'!$F$6:$F$186,B257)*N('Исходные данные'!$B$17)/N('Исходные данные'!$B$19))</f>
        <v>0</v>
      </c>
      <c r="AA257">
        <f>IF(OR(B257="",N('Исходные данные'!$B$19)=0),0,-SUMIFS('Исходные данные'!$I$6:$I$186,'Исходные данные'!$F$6:$F$186,B257)*N('Исходные данные'!$B$18)/N('Исходные данные'!$B$19))</f>
        <v>0</v>
      </c>
      <c r="AB257">
        <f>IF(OR(B257="",'Исходные данные'!$B$13=""),0,IF(AND(YEAR(B257)=YEAR('Исходные данные'!$B$13),MONTH(B257)=MONTH('Исходные данные'!$B$13)),-N('Исходные данные'!$B$11),0))</f>
        <v>0</v>
      </c>
      <c r="AC257">
        <f>IF(A257=1,-N('Исходные данные'!$B$19)*N('Исходные данные'!$B$72),0)</f>
        <v>0</v>
      </c>
      <c r="AD257">
        <f>IF(OR(B257="",'Исходные данные'!$B$22&lt;&gt;"Да",'Исходные данные'!$B$26=""),0,IF(AND(YEAR(B257)=YEAR('Исходные данные'!$B$26),MONTH(B257)=MONTH('Исходные данные'!$B$26)),N('Исходные данные'!$B$23),0))</f>
        <v>0</v>
      </c>
      <c r="AE257">
        <f t="shared" si="131"/>
        <v>0</v>
      </c>
      <c r="AF257">
        <f>IF(OR('Исходные данные'!$B$22&lt;&gt;"Да",'Исходные данные'!$B$26="",C257&lt;'Исходные данные'!$B$26),0,DATEDIF(DATE(YEAR('Исходные данные'!$B$26),MONTH('Исходные данные'!$B$26),1),B257,"m")+1)</f>
        <v>0</v>
      </c>
      <c r="AG257">
        <f>IF(OR(AF257&lt;1,AF257&gt;N('Исходные данные'!$B$25),AE257+AD257&lt;=0),0,-(AE257+AD257)*N('Исходные данные'!$B$24)*IF(AF257=1,C257-'Исходные данные'!$B$26+1,DAY(C257))/365)</f>
        <v>0</v>
      </c>
      <c r="AH257">
        <f>IF(OR(AF257&lt;1,AF257&gt;N('Исходные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данные'!$B$25)-AG257))</f>
        <v>0</v>
      </c>
      <c r="AI257">
        <f>IF(OR('Исходные данные'!$B$22&lt;&gt;"Да",AE257+AD257&lt;=0),0,IF(AND('Исходные данные'!$B$91&lt;&gt;"",B257&lt;&gt;"",YEAR(B257)=YEAR('Исходные данные'!$B$91),MONTH(B257)=MONTH('Исходные данные'!$B$91)),-(AE257+AD257),IF(OR(AF257&lt;1,AF257&gt;N('Исходные данные'!$B$25)),0,IF('Исходные данные'!$B$27="Равными долями",-MIN(AE257+AD257,N('Исходные данные'!$B$23)/N('Исходные данные'!$B$25)),-MIN(AE257+AD257,IF(AF257=N('Исходные данные'!$B$25),AE257+AD257,MAX(0,AH257+AG257)))))))</f>
        <v>0</v>
      </c>
      <c r="AJ257">
        <f t="shared" si="149"/>
        <v>0</v>
      </c>
      <c r="AK257">
        <f t="shared" si="132"/>
        <v>0</v>
      </c>
      <c r="AL257">
        <f>IF(OR(B257="",'Исходные данные'!$B$51&lt;&gt;"Да",'Исходные данные'!$B$61=""),0,IF(AND(YEAR(B257)=YEAR('Исходные данные'!$B$61),MONTH(B257)=MONTH('Исходные данные'!$B$61)),N('Исходные данные'!$B$18)*N('Исходные данные'!$B$62),0))</f>
        <v>0</v>
      </c>
      <c r="AM257">
        <f t="shared" si="133"/>
        <v>0</v>
      </c>
      <c r="AN257">
        <f t="shared" si="134"/>
        <v>0</v>
      </c>
      <c r="AO257">
        <f t="shared" si="135"/>
        <v>0</v>
      </c>
      <c r="AP257">
        <f>IF('Исходные данные'!$B$51="Да",-MAX(0,AN257-AO257-AM257),0)</f>
        <v>0</v>
      </c>
      <c r="AQ257">
        <f>IF('Исходные данные'!$B$51="Да",MAX(0,AM257+AO257-AN257),0)</f>
        <v>0</v>
      </c>
      <c r="AR257">
        <f>IF('Исходные данные'!$B$53="Выручка",MAX(0,L257+(Q257-R257)+(U257-V257)),IF('Исходные данные'!$B$53="Прибыль до налога",MAX(0,L257+(Q257-R257)+(U257-V257)+N('Исходные данные'!$B$54)*((O257+P257)+(S257+T257)+W257+X257)+IF('Исходные данные'!$B$55="Да",AG257,0)-N('Исходные данные'!$B$56)/12),IF('Исходные данные'!$B$53="Пользовательская база",MAX(0,N('Исходные данные'!$B$57)/12),0)))</f>
        <v>0</v>
      </c>
      <c r="AS257">
        <f>IF(E257=1,-AR257*N('Исходные данные'!$B$50),0)</f>
        <v>0</v>
      </c>
      <c r="AT257">
        <f t="shared" si="136"/>
        <v>0</v>
      </c>
      <c r="AU257">
        <f>IF(OR(B257="",N('Исходные данные'!$B$80)&lt;=0,'Исходные данные'!$B$88=""),0,MAX(0,IF('Исходные данные'!$B$88="Последние 12 месяцев",SUMIFS($Y$2:$Y$194,$B$2:$B$194,"&gt;="&amp;EDATE(B257,-11),$B$2:$B$194,"&lt;="&amp;B257),IF('Исходные данные'!$B$88="Пользовательский NOI",N('Исходные данные'!$B$89),AT257))/N('Исходные данные'!$B$80)*(1+N('Исходные данные'!$B$81))))</f>
        <v>0</v>
      </c>
      <c r="AV257">
        <f>IF(OR(E257&lt;&gt;1,B257="",'Исходные данные'!$B$91=""),0,IF(AND(YEAR(B257)=YEAR('Исходные данные'!$B$91),MONTH(B257)=MONTH('Исходные данные'!$B$91)),AU257,0))</f>
        <v>0</v>
      </c>
      <c r="AW257">
        <f>-AV257*N('Исходные данные'!$B$73)</f>
        <v>0</v>
      </c>
      <c r="AX257">
        <f>IF(AV257=0,0,-N('Исходные данные'!$B$87)-IF('Исходные данные'!$B$82="Да",IF('Исходные данные'!$B$84="С выручки",AV257,IF('Исходные данные'!$B$84="С прибыли",MAX(0,AV257+AW257-IF('Исходные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57">
        <f t="shared" si="150"/>
        <v>0</v>
      </c>
      <c r="AZ257">
        <f t="shared" si="137"/>
        <v>0</v>
      </c>
      <c r="BA257">
        <f t="shared" si="151"/>
        <v>0</v>
      </c>
      <c r="BB257" t="str">
        <f t="shared" si="138"/>
        <v/>
      </c>
      <c r="BC257">
        <f>IF(OR(E257=0,'Исходные данные'!$B$9="",'Исходные данные'!$B$90=""),0,BA257/(1+'Исходные данные'!$B$90)^((D257-'Исходные данные'!$B$9)/365))</f>
        <v>0</v>
      </c>
      <c r="BD257">
        <f>IF(AND(E257=1,BB257&gt;=0,BB256&lt;0,MIN($BB$2:BB257)&lt;0),1,0)</f>
        <v>0</v>
      </c>
      <c r="BE257">
        <f t="shared" si="139"/>
        <v>0</v>
      </c>
      <c r="BF257">
        <f t="shared" si="140"/>
        <v>0</v>
      </c>
      <c r="BG257">
        <f t="shared" si="141"/>
        <v>0</v>
      </c>
      <c r="BH257">
        <f t="shared" si="142"/>
        <v>1</v>
      </c>
      <c r="BI257">
        <f>AZ257+N257+AP257-AR257*N('Исходные данные'!$B$50)</f>
        <v>0</v>
      </c>
      <c r="BJ257">
        <f t="shared" si="143"/>
        <v>0</v>
      </c>
      <c r="BK257">
        <f>IF(AND(BJ257&gt;=0,BJ256&lt;0,MIN($BJ$2:BJ257)&lt;0),1,0)</f>
        <v>0</v>
      </c>
    </row>
    <row r="258" spans="1:63" x14ac:dyDescent="0.2">
      <c r="A258">
        <v>257</v>
      </c>
      <c r="B258" t="str">
        <f>IF('Исходные данные'!$B$9="","",EDATE(DATE(YEAR('Исходные данные'!$B$9),MONTH('Исходные данные'!$B$9),1),A258-1))</f>
        <v/>
      </c>
      <c r="C258" t="str">
        <f t="shared" si="144"/>
        <v/>
      </c>
      <c r="D258" t="str">
        <f>IF(B258="","",IF('Исходные данные'!$B$91&lt;&gt;"",IF(AND(YEAR(B258)=YEAR('Исходные данные'!$B$91),MONTH(B258)=MONTH('Исходные данные'!$B$91)),'Исходные данные'!$B$91,IF('Исходные данные'!$B$13&lt;&gt;"",IF(AND(YEAR(B258)=YEAR('Исходные данные'!$B$13),MONTH(B258)=MONTH('Исходные данные'!$B$13)),'Исходные данные'!$B$13,IF('Исходные данные'!$B$26&lt;&gt;"",IF(AND(YEAR(B258)=YEAR('Исходные данные'!$B$26),MONTH(B258)=MONTH('Исходные данные'!$B$26)),'Исходные данные'!$B$26,IF(A258=1,'Исходные данные'!$B$9,C258)),IF(A258=1,'Исходные данные'!$B$9,C258))),IF('Исходные данные'!$B$26&lt;&gt;"",IF(AND(YEAR(B258)=YEAR('Исходные данные'!$B$26),MONTH(B258)=MONTH('Исходные данные'!$B$26)),'Исходные данные'!$B$26,IF(A258=1,'Исходные данные'!$B$9,C258)),IF(A258=1,'Исходные данные'!$B$9,C258)))),IF('Исходные данные'!$B$13&lt;&gt;"",IF(AND(YEAR(B258)=YEAR('Исходные данные'!$B$13),MONTH(B258)=MONTH('Исходные данные'!$B$13)),'Исходные данные'!$B$13,IF('Исходные данные'!$B$26&lt;&gt;"",IF(AND(YEAR(B258)=YEAR('Исходные данные'!$B$26),MONTH(B258)=MONTH('Исходные данные'!$B$26)),'Исходные данные'!$B$26,IF(A258=1,'Исходные данные'!$B$9,C258)),IF(A258=1,'Исходные данные'!$B$9,C258))),IF('Исходные данные'!$B$26&lt;&gt;"",IF(AND(YEAR(B258)=YEAR('Исходные данные'!$B$26),MONTH(B258)=MONTH('Исходные данные'!$B$26)),'Исходные данные'!$B$26,IF(A258=1,'Исходные данные'!$B$9,C258)),IF(A258=1,'Исходные данные'!$B$9,C258)))))</f>
        <v/>
      </c>
      <c r="E258">
        <f>IF(OR(B258="",'Исходные данные'!$B$91=""),0,--(B258&lt;=DATE(YEAR('Исходные данные'!$B$91),MONTH('Исходные данные'!$B$91),1)))</f>
        <v>0</v>
      </c>
      <c r="F258">
        <f>IF(OR(B258="",'Исходные данные'!$B$30="",C258&lt;'Исходные данные'!$B$30),0,DATEDIF(DATE(YEAR('Исходные данные'!$B$30),MONTH('Исходные данные'!$B$30),1),B258,"m")+1)</f>
        <v>0</v>
      </c>
      <c r="G258">
        <f t="shared" si="145"/>
        <v>0</v>
      </c>
      <c r="H258">
        <f>IF(F258=0,0,IF(G258=1,N('Исходные данные'!$B$31),IF(G258=2,N('Исходные данные'!$B$32),IF(G258=3,N('Исходные данные'!$B$33),N('Исходные данные'!$B$33)*(1+N('Исходные данные'!$B$34))^(G258-3)))))</f>
        <v>0</v>
      </c>
      <c r="I258">
        <f>IF(OR(F258=0,N('Исходные данные'!$B$5)=0,H258=0),0,'Исходные данные'!$B$5*H258*IF(AND(B258&lt;='Исходные данные'!$B$30,C258&gt;='Исходные данные'!$B$30),(C258-'Исходные данные'!$B$30+1)/DAY(C258),1))</f>
        <v>0</v>
      </c>
      <c r="J258">
        <f>IF(AND(F258&gt;0,F258&lt;=N('Исходные данные'!$B$37)),-I258,0)</f>
        <v>0</v>
      </c>
      <c r="K258">
        <f>IF(OR(F258=0,F258&lt;=N('Исходные данные'!$B$37)),0,-(I258+J258)*N('Исходные данные'!$B$38))</f>
        <v>0</v>
      </c>
      <c r="L258">
        <f t="shared" si="146"/>
        <v>0</v>
      </c>
      <c r="M258">
        <f>IF('Исходные данные'!$B$51="Да",L258*N('Исходные данные'!$B$52),0)</f>
        <v>0</v>
      </c>
      <c r="N258">
        <f t="shared" si="147"/>
        <v>0</v>
      </c>
      <c r="O258">
        <f>IF(OR(B258="",IF('Исходные данные'!$B$45="",'Исходные данные'!$B$10,'Исходные данные'!$B$45)="",C258&lt;IF('Исходные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данные'!$B$45)),1),B258,"m")/12))*IF(AND(B258&lt;=IF('Исходные данные'!$B$45="",'Исходные данные'!$B$10,'Исходные данные'!$B$45),C258&gt;=IF('Исходные данные'!$B$45="",'Исходные данные'!$B$10,'Исходные данные'!$B$45)),(C258-IF('Исходные данные'!$B$45="",'Исходные данные'!$B$10,'Исходные данные'!$B$45)+1)/DAY(C258),1)*IF('Исходные данные'!$B$43="Без НДС",1+N('Исходные данные'!$B$44),1))</f>
        <v>0</v>
      </c>
      <c r="P258">
        <f>IF('Исходные данные'!$B$51="Да",-O258*N('Исходные данные'!$B$44)/(1+N('Исходные данные'!$B$44)),0)</f>
        <v>0</v>
      </c>
      <c r="Q258">
        <f>IF('Исходные данные'!$B$35="Да",-O258,0)</f>
        <v>0</v>
      </c>
      <c r="R258">
        <f>IF(AND('Исходные данные'!$B$51="Да",Q258&gt;0),Q258*N('Исходные данные'!$B$52)/(1+N('Исходные данные'!$B$52)),0)</f>
        <v>0</v>
      </c>
      <c r="S258">
        <f>IF(OR(B258="",IF('Исходные данные'!$B$45="",'Исходные данные'!$B$10,'Исходные данные'!$B$45)="",C258&lt;IF('Исходные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данные'!$B$45)),1),B258,"m")/12))*IF(AND(B258&lt;=IF('Исходные данные'!$B$45="",'Исходные данные'!$B$10,'Исходные данные'!$B$45),C258&gt;=IF('Исходные данные'!$B$45="",'Исходные данные'!$B$10,'Исходные данные'!$B$45)),(C258-IF('Исходные данные'!$B$45="",'Исходные данные'!$B$10,'Исходные данные'!$B$45)+1)/DAY(C258),1)*IF('Исходные данные'!$B$43="Без НДС",1+N('Исходные данные'!$B$44),1))</f>
        <v>0</v>
      </c>
      <c r="T258">
        <f>IF('Исходные данные'!$B$51="Да",-S258*N('Исходные данные'!$B$44)/(1+N('Исходные данные'!$B$44)),0)</f>
        <v>0</v>
      </c>
      <c r="U258">
        <f>IF('Исходные данные'!$B$36="Да",-S258,0)</f>
        <v>0</v>
      </c>
      <c r="V258">
        <f>IF(AND('Исходные данные'!$B$51="Да",U258&gt;0),U258*N('Исходные данные'!$B$52)/(1+N('Исходные данные'!$B$52)),0)</f>
        <v>0</v>
      </c>
      <c r="W258">
        <f>IF(OR(B258="",IF('Исходные данные'!$B$69="",'Исходные данные'!$B$10,'Исходные данные'!$B$69)="",C258&lt;IF('Исходные данные'!$B$69="",'Исходные данные'!$B$10,'Исходные данные'!$B$69)),0,-N('Исходные данные'!$B$16)*N('Исходные данные'!$B$68)*N('Исходные данные'!$B$67)/12*IF(AND(B258&lt;=IF('Исходные данные'!$B$69="",'Исходные данные'!$B$10,'Исходные данные'!$B$69),C258&gt;=IF('Исходные данные'!$B$69="",'Исходные данные'!$B$10,'Исходные данные'!$B$69)),(C258-IF('Исходные данные'!$B$69="",'Исходные данные'!$B$10,'Исходные данные'!$B$69)+1)/DAY(C258),1))</f>
        <v>0</v>
      </c>
      <c r="X258">
        <f>IF(OR(B258="",IF('Исходные данные'!$B$76="",'Исходные данные'!$B$10,'Исходные данные'!$B$76)="",C258&lt;IF('Исходные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данные'!$B$76)),1),B258,"m")/12))*IF(AND(B258&lt;=IF('Исходные данные'!$B$76="",'Исходные данные'!$B$10,'Исходные данные'!$B$76),C258&gt;=IF('Исходные данные'!$B$76="",'Исходные данные'!$B$10,'Исходные данные'!$B$76)),(C258-IF('Исходные данные'!$B$76="",'Исходные данные'!$B$10,'Исходные данные'!$B$76)+1)/DAY(C258),1))</f>
        <v>0</v>
      </c>
      <c r="Y258">
        <f t="shared" si="148"/>
        <v>0</v>
      </c>
      <c r="Z258">
        <f>IF(OR(B258="",N('Исходные данные'!$B$19)=0),0,-SUMIFS('Исходные данные'!$I$6:$I$186,'Исходные данные'!$F$6:$F$186,B258)*N('Исходные данные'!$B$17)/N('Исходные данные'!$B$19))</f>
        <v>0</v>
      </c>
      <c r="AA258">
        <f>IF(OR(B258="",N('Исходные данные'!$B$19)=0),0,-SUMIFS('Исходные данные'!$I$6:$I$186,'Исходные данные'!$F$6:$F$186,B258)*N('Исходные данные'!$B$18)/N('Исходные данные'!$B$19))</f>
        <v>0</v>
      </c>
      <c r="AB258">
        <f>IF(OR(B258="",'Исходные данные'!$B$13=""),0,IF(AND(YEAR(B258)=YEAR('Исходные данные'!$B$13),MONTH(B258)=MONTH('Исходные данные'!$B$13)),-N('Исходные данные'!$B$11),0))</f>
        <v>0</v>
      </c>
      <c r="AC258">
        <f>IF(A258=1,-N('Исходные данные'!$B$19)*N('Исходные данные'!$B$72),0)</f>
        <v>0</v>
      </c>
      <c r="AD258">
        <f>IF(OR(B258="",'Исходные данные'!$B$22&lt;&gt;"Да",'Исходные данные'!$B$26=""),0,IF(AND(YEAR(B258)=YEAR('Исходные данные'!$B$26),MONTH(B258)=MONTH('Исходные данные'!$B$26)),N('Исходные данные'!$B$23),0))</f>
        <v>0</v>
      </c>
      <c r="AE258">
        <f t="shared" si="131"/>
        <v>0</v>
      </c>
      <c r="AF258">
        <f>IF(OR('Исходные данные'!$B$22&lt;&gt;"Да",'Исходные данные'!$B$26="",C258&lt;'Исходные данные'!$B$26),0,DATEDIF(DATE(YEAR('Исходные данные'!$B$26),MONTH('Исходные данные'!$B$26),1),B258,"m")+1)</f>
        <v>0</v>
      </c>
      <c r="AG258">
        <f>IF(OR(AF258&lt;1,AF258&gt;N('Исходные данные'!$B$25),AE258+AD258&lt;=0),0,-(AE258+AD258)*N('Исходные данные'!$B$24)*IF(AF258=1,C258-'Исходные данные'!$B$26+1,DAY(C258))/365)</f>
        <v>0</v>
      </c>
      <c r="AH258">
        <f>IF(OR(AF258&lt;1,AF258&gt;N('Исходные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данные'!$B$25)-AG258))</f>
        <v>0</v>
      </c>
      <c r="AI258">
        <f>IF(OR('Исходные данные'!$B$22&lt;&gt;"Да",AE258+AD258&lt;=0),0,IF(AND('Исходные данные'!$B$91&lt;&gt;"",B258&lt;&gt;"",YEAR(B258)=YEAR('Исходные данные'!$B$91),MONTH(B258)=MONTH('Исходные данные'!$B$91)),-(AE258+AD258),IF(OR(AF258&lt;1,AF258&gt;N('Исходные данные'!$B$25)),0,IF('Исходные данные'!$B$27="Равными долями",-MIN(AE258+AD258,N('Исходные данные'!$B$23)/N('Исходные данные'!$B$25)),-MIN(AE258+AD258,IF(AF258=N('Исходные данные'!$B$25),AE258+AD258,MAX(0,AH258+AG258)))))))</f>
        <v>0</v>
      </c>
      <c r="AJ258">
        <f t="shared" si="149"/>
        <v>0</v>
      </c>
      <c r="AK258">
        <f t="shared" si="132"/>
        <v>0</v>
      </c>
      <c r="AL258">
        <f>IF(OR(B258="",'Исходные данные'!$B$51&lt;&gt;"Да",'Исходные данные'!$B$61=""),0,IF(AND(YEAR(B258)=YEAR('Исходные данные'!$B$61),MONTH(B258)=MONTH('Исходные данные'!$B$61)),N('Исходные данные'!$B$18)*N('Исходные данные'!$B$62),0))</f>
        <v>0</v>
      </c>
      <c r="AM258">
        <f t="shared" si="133"/>
        <v>0</v>
      </c>
      <c r="AN258">
        <f t="shared" si="134"/>
        <v>0</v>
      </c>
      <c r="AO258">
        <f t="shared" si="135"/>
        <v>0</v>
      </c>
      <c r="AP258">
        <f>IF('Исходные данные'!$B$51="Да",-MAX(0,AN258-AO258-AM258),0)</f>
        <v>0</v>
      </c>
      <c r="AQ258">
        <f>IF('Исходные данные'!$B$51="Да",MAX(0,AM258+AO258-AN258),0)</f>
        <v>0</v>
      </c>
      <c r="AR258">
        <f>IF('Исходные данные'!$B$53="Выручка",MAX(0,L258+(Q258-R258)+(U258-V258)),IF('Исходные данные'!$B$53="Прибыль до налога",MAX(0,L258+(Q258-R258)+(U258-V258)+N('Исходные данные'!$B$54)*((O258+P258)+(S258+T258)+W258+X258)+IF('Исходные данные'!$B$55="Да",AG258,0)-N('Исходные данные'!$B$56)/12),IF('Исходные данные'!$B$53="Пользовательская база",MAX(0,N('Исходные данные'!$B$57)/12),0)))</f>
        <v>0</v>
      </c>
      <c r="AS258">
        <f>IF(E258=1,-AR258*N('Исходные данные'!$B$50),0)</f>
        <v>0</v>
      </c>
      <c r="AT258">
        <f t="shared" si="136"/>
        <v>0</v>
      </c>
      <c r="AU258">
        <f>IF(OR(B258="",N('Исходные данные'!$B$80)&lt;=0,'Исходные данные'!$B$88=""),0,MAX(0,IF('Исходные данные'!$B$88="Последние 12 месяцев",SUMIFS($Y$2:$Y$194,$B$2:$B$194,"&gt;="&amp;EDATE(B258,-11),$B$2:$B$194,"&lt;="&amp;B258),IF('Исходные данные'!$B$88="Пользовательский NOI",N('Исходные данные'!$B$89),AT258))/N('Исходные данные'!$B$80)*(1+N('Исходные данные'!$B$81))))</f>
        <v>0</v>
      </c>
      <c r="AV258">
        <f>IF(OR(E258&lt;&gt;1,B258="",'Исходные данные'!$B$91=""),0,IF(AND(YEAR(B258)=YEAR('Исходные данные'!$B$91),MONTH(B258)=MONTH('Исходные данные'!$B$91)),AU258,0))</f>
        <v>0</v>
      </c>
      <c r="AW258">
        <f>-AV258*N('Исходные данные'!$B$73)</f>
        <v>0</v>
      </c>
      <c r="AX258">
        <f>IF(AV258=0,0,-N('Исходные данные'!$B$87)-IF('Исходные данные'!$B$82="Да",IF('Исходные данные'!$B$84="С выручки",AV258,IF('Исходные данные'!$B$84="С прибыли",MAX(0,AV258+AW258-IF('Исходные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58">
        <f t="shared" si="150"/>
        <v>0</v>
      </c>
      <c r="AZ258">
        <f t="shared" si="137"/>
        <v>0</v>
      </c>
      <c r="BA258">
        <f t="shared" si="151"/>
        <v>0</v>
      </c>
      <c r="BB258" t="str">
        <f t="shared" si="138"/>
        <v/>
      </c>
      <c r="BC258">
        <f>IF(OR(E258=0,'Исходные данные'!$B$9="",'Исходные данные'!$B$90=""),0,BA258/(1+'Исходные данные'!$B$90)^((D258-'Исходные данные'!$B$9)/365))</f>
        <v>0</v>
      </c>
      <c r="BD258">
        <f>IF(AND(E258=1,BB258&gt;=0,BB257&lt;0,MIN($BB$2:BB258)&lt;0),1,0)</f>
        <v>0</v>
      </c>
      <c r="BE258">
        <f t="shared" si="139"/>
        <v>0</v>
      </c>
      <c r="BF258">
        <f t="shared" si="140"/>
        <v>0</v>
      </c>
      <c r="BG258">
        <f t="shared" si="141"/>
        <v>0</v>
      </c>
      <c r="BH258">
        <f t="shared" si="142"/>
        <v>1</v>
      </c>
      <c r="BI258">
        <f>AZ258+N258+AP258-AR258*N('Исходные данные'!$B$50)</f>
        <v>0</v>
      </c>
      <c r="BJ258">
        <f t="shared" si="143"/>
        <v>0</v>
      </c>
      <c r="BK258">
        <f>IF(AND(BJ258&gt;=0,BJ257&lt;0,MIN($BJ$2:BJ258)&lt;0),1,0)</f>
        <v>0</v>
      </c>
    </row>
    <row r="259" spans="1:63" x14ac:dyDescent="0.2">
      <c r="A259">
        <v>258</v>
      </c>
      <c r="B259" t="str">
        <f>IF('Исходные данные'!$B$9="","",EDATE(DATE(YEAR('Исходные данные'!$B$9),MONTH('Исходные данные'!$B$9),1),A259-1))</f>
        <v/>
      </c>
      <c r="C259" t="str">
        <f t="shared" si="144"/>
        <v/>
      </c>
      <c r="D259" t="str">
        <f>IF(B259="","",IF('Исходные данные'!$B$91&lt;&gt;"",IF(AND(YEAR(B259)=YEAR('Исходные данные'!$B$91),MONTH(B259)=MONTH('Исходные данные'!$B$91)),'Исходные данные'!$B$91,IF('Исходные данные'!$B$13&lt;&gt;"",IF(AND(YEAR(B259)=YEAR('Исходные данные'!$B$13),MONTH(B259)=MONTH('Исходные данные'!$B$13)),'Исходные данные'!$B$13,IF('Исходные данные'!$B$26&lt;&gt;"",IF(AND(YEAR(B259)=YEAR('Исходные данные'!$B$26),MONTH(B259)=MONTH('Исходные данные'!$B$26)),'Исходные данные'!$B$26,IF(A259=1,'Исходные данные'!$B$9,C259)),IF(A259=1,'Исходные данные'!$B$9,C259))),IF('Исходные данные'!$B$26&lt;&gt;"",IF(AND(YEAR(B259)=YEAR('Исходные данные'!$B$26),MONTH(B259)=MONTH('Исходные данные'!$B$26)),'Исходные данные'!$B$26,IF(A259=1,'Исходные данные'!$B$9,C259)),IF(A259=1,'Исходные данные'!$B$9,C259)))),IF('Исходные данные'!$B$13&lt;&gt;"",IF(AND(YEAR(B259)=YEAR('Исходные данные'!$B$13),MONTH(B259)=MONTH('Исходные данные'!$B$13)),'Исходные данные'!$B$13,IF('Исходные данные'!$B$26&lt;&gt;"",IF(AND(YEAR(B259)=YEAR('Исходные данные'!$B$26),MONTH(B259)=MONTH('Исходные данные'!$B$26)),'Исходные данные'!$B$26,IF(A259=1,'Исходные данные'!$B$9,C259)),IF(A259=1,'Исходные данные'!$B$9,C259))),IF('Исходные данные'!$B$26&lt;&gt;"",IF(AND(YEAR(B259)=YEAR('Исходные данные'!$B$26),MONTH(B259)=MONTH('Исходные данные'!$B$26)),'Исходные данные'!$B$26,IF(A259=1,'Исходные данные'!$B$9,C259)),IF(A259=1,'Исходные данные'!$B$9,C259)))))</f>
        <v/>
      </c>
      <c r="E259">
        <f>IF(OR(B259="",'Исходные данные'!$B$91=""),0,--(B259&lt;=DATE(YEAR('Исходные данные'!$B$91),MONTH('Исходные данные'!$B$91),1)))</f>
        <v>0</v>
      </c>
      <c r="F259">
        <f>IF(OR(B259="",'Исходные данные'!$B$30="",C259&lt;'Исходные данные'!$B$30),0,DATEDIF(DATE(YEAR('Исходные данные'!$B$30),MONTH('Исходные данные'!$B$30),1),B259,"m")+1)</f>
        <v>0</v>
      </c>
      <c r="G259">
        <f t="shared" si="145"/>
        <v>0</v>
      </c>
      <c r="H259">
        <f>IF(F259=0,0,IF(G259=1,N('Исходные данные'!$B$31),IF(G259=2,N('Исходные данные'!$B$32),IF(G259=3,N('Исходные данные'!$B$33),N('Исходные данные'!$B$33)*(1+N('Исходные данные'!$B$34))^(G259-3)))))</f>
        <v>0</v>
      </c>
      <c r="I259">
        <f>IF(OR(F259=0,N('Исходные данные'!$B$5)=0,H259=0),0,'Исходные данные'!$B$5*H259*IF(AND(B259&lt;='Исходные данные'!$B$30,C259&gt;='Исходные данные'!$B$30),(C259-'Исходные данные'!$B$30+1)/DAY(C259),1))</f>
        <v>0</v>
      </c>
      <c r="J259">
        <f>IF(AND(F259&gt;0,F259&lt;=N('Исходные данные'!$B$37)),-I259,0)</f>
        <v>0</v>
      </c>
      <c r="K259">
        <f>IF(OR(F259=0,F259&lt;=N('Исходные данные'!$B$37)),0,-(I259+J259)*N('Исходные данные'!$B$38))</f>
        <v>0</v>
      </c>
      <c r="L259">
        <f t="shared" si="146"/>
        <v>0</v>
      </c>
      <c r="M259">
        <f>IF('Исходные данные'!$B$51="Да",L259*N('Исходные данные'!$B$52),0)</f>
        <v>0</v>
      </c>
      <c r="N259">
        <f t="shared" si="147"/>
        <v>0</v>
      </c>
      <c r="O259">
        <f>IF(OR(B259="",IF('Исходные данные'!$B$45="",'Исходные данные'!$B$10,'Исходные данные'!$B$45)="",C259&lt;IF('Исходные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данные'!$B$45)),1),B259,"m")/12))*IF(AND(B259&lt;=IF('Исходные данные'!$B$45="",'Исходные данные'!$B$10,'Исходные данные'!$B$45),C259&gt;=IF('Исходные данные'!$B$45="",'Исходные данные'!$B$10,'Исходные данные'!$B$45)),(C259-IF('Исходные данные'!$B$45="",'Исходные данные'!$B$10,'Исходные данные'!$B$45)+1)/DAY(C259),1)*IF('Исходные данные'!$B$43="Без НДС",1+N('Исходные данные'!$B$44),1))</f>
        <v>0</v>
      </c>
      <c r="P259">
        <f>IF('Исходные данные'!$B$51="Да",-O259*N('Исходные данные'!$B$44)/(1+N('Исходные данные'!$B$44)),0)</f>
        <v>0</v>
      </c>
      <c r="Q259">
        <f>IF('Исходные данные'!$B$35="Да",-O259,0)</f>
        <v>0</v>
      </c>
      <c r="R259">
        <f>IF(AND('Исходные данные'!$B$51="Да",Q259&gt;0),Q259*N('Исходные данные'!$B$52)/(1+N('Исходные данные'!$B$52)),0)</f>
        <v>0</v>
      </c>
      <c r="S259">
        <f>IF(OR(B259="",IF('Исходные данные'!$B$45="",'Исходные данные'!$B$10,'Исходные данные'!$B$45)="",C259&lt;IF('Исходные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данные'!$B$45)),1),B259,"m")/12))*IF(AND(B259&lt;=IF('Исходные данные'!$B$45="",'Исходные данные'!$B$10,'Исходные данные'!$B$45),C259&gt;=IF('Исходные данные'!$B$45="",'Исходные данные'!$B$10,'Исходные данные'!$B$45)),(C259-IF('Исходные данные'!$B$45="",'Исходные данные'!$B$10,'Исходные данные'!$B$45)+1)/DAY(C259),1)*IF('Исходные данные'!$B$43="Без НДС",1+N('Исходные данные'!$B$44),1))</f>
        <v>0</v>
      </c>
      <c r="T259">
        <f>IF('Исходные данные'!$B$51="Да",-S259*N('Исходные данные'!$B$44)/(1+N('Исходные данные'!$B$44)),0)</f>
        <v>0</v>
      </c>
      <c r="U259">
        <f>IF('Исходные данные'!$B$36="Да",-S259,0)</f>
        <v>0</v>
      </c>
      <c r="V259">
        <f>IF(AND('Исходные данные'!$B$51="Да",U259&gt;0),U259*N('Исходные данные'!$B$52)/(1+N('Исходные данные'!$B$52)),0)</f>
        <v>0</v>
      </c>
      <c r="W259">
        <f>IF(OR(B259="",IF('Исходные данные'!$B$69="",'Исходные данные'!$B$10,'Исходные данные'!$B$69)="",C259&lt;IF('Исходные данные'!$B$69="",'Исходные данные'!$B$10,'Исходные данные'!$B$69)),0,-N('Исходные данные'!$B$16)*N('Исходные данные'!$B$68)*N('Исходные данные'!$B$67)/12*IF(AND(B259&lt;=IF('Исходные данные'!$B$69="",'Исходные данные'!$B$10,'Исходные данные'!$B$69),C259&gt;=IF('Исходные данные'!$B$69="",'Исходные данные'!$B$10,'Исходные данные'!$B$69)),(C259-IF('Исходные данные'!$B$69="",'Исходные данные'!$B$10,'Исходные данные'!$B$69)+1)/DAY(C259),1))</f>
        <v>0</v>
      </c>
      <c r="X259">
        <f>IF(OR(B259="",IF('Исходные данные'!$B$76="",'Исходные данные'!$B$10,'Исходные данные'!$B$76)="",C259&lt;IF('Исходные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данные'!$B$76)),1),B259,"m")/12))*IF(AND(B259&lt;=IF('Исходные данные'!$B$76="",'Исходные данные'!$B$10,'Исходные данные'!$B$76),C259&gt;=IF('Исходные данные'!$B$76="",'Исходные данные'!$B$10,'Исходные данные'!$B$76)),(C259-IF('Исходные данные'!$B$76="",'Исходные данные'!$B$10,'Исходные данные'!$B$76)+1)/DAY(C259),1))</f>
        <v>0</v>
      </c>
      <c r="Y259">
        <f t="shared" si="148"/>
        <v>0</v>
      </c>
      <c r="Z259">
        <f>IF(OR(B259="",N('Исходные данные'!$B$19)=0),0,-SUMIFS('Исходные данные'!$I$6:$I$186,'Исходные данные'!$F$6:$F$186,B259)*N('Исходные данные'!$B$17)/N('Исходные данные'!$B$19))</f>
        <v>0</v>
      </c>
      <c r="AA259">
        <f>IF(OR(B259="",N('Исходные данные'!$B$19)=0),0,-SUMIFS('Исходные данные'!$I$6:$I$186,'Исходные данные'!$F$6:$F$186,B259)*N('Исходные данные'!$B$18)/N('Исходные данные'!$B$19))</f>
        <v>0</v>
      </c>
      <c r="AB259">
        <f>IF(OR(B259="",'Исходные данные'!$B$13=""),0,IF(AND(YEAR(B259)=YEAR('Исходные данные'!$B$13),MONTH(B259)=MONTH('Исходные данные'!$B$13)),-N('Исходные данные'!$B$11),0))</f>
        <v>0</v>
      </c>
      <c r="AC259">
        <f>IF(A259=1,-N('Исходные данные'!$B$19)*N('Исходные данные'!$B$72),0)</f>
        <v>0</v>
      </c>
      <c r="AD259">
        <f>IF(OR(B259="",'Исходные данные'!$B$22&lt;&gt;"Да",'Исходные данные'!$B$26=""),0,IF(AND(YEAR(B259)=YEAR('Исходные данные'!$B$26),MONTH(B259)=MONTH('Исходные данные'!$B$26)),N('Исходные данные'!$B$23),0))</f>
        <v>0</v>
      </c>
      <c r="AE259">
        <f t="shared" ref="AE259:AE322" si="152">AK258</f>
        <v>0</v>
      </c>
      <c r="AF259">
        <f>IF(OR('Исходные данные'!$B$22&lt;&gt;"Да",'Исходные данные'!$B$26="",C259&lt;'Исходные данные'!$B$26),0,DATEDIF(DATE(YEAR('Исходные данные'!$B$26),MONTH('Исходные данные'!$B$26),1),B259,"m")+1)</f>
        <v>0</v>
      </c>
      <c r="AG259">
        <f>IF(OR(AF259&lt;1,AF259&gt;N('Исходные данные'!$B$25),AE259+AD259&lt;=0),0,-(AE259+AD259)*N('Исходные данные'!$B$24)*IF(AF259=1,C259-'Исходные данные'!$B$26+1,DAY(C259))/365)</f>
        <v>0</v>
      </c>
      <c r="AH259">
        <f>IF(OR(AF259&lt;1,AF259&gt;N('Исходные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данные'!$B$25)-AG259))</f>
        <v>0</v>
      </c>
      <c r="AI259">
        <f>IF(OR('Исходные данные'!$B$22&lt;&gt;"Да",AE259+AD259&lt;=0),0,IF(AND('Исходные данные'!$B$91&lt;&gt;"",B259&lt;&gt;"",YEAR(B259)=YEAR('Исходные данные'!$B$91),MONTH(B259)=MONTH('Исходные данные'!$B$91)),-(AE259+AD259),IF(OR(AF259&lt;1,AF259&gt;N('Исходные данные'!$B$25)),0,IF('Исходные данные'!$B$27="Равными долями",-MIN(AE259+AD259,N('Исходные данные'!$B$23)/N('Исходные данные'!$B$25)),-MIN(AE259+AD259,IF(AF259=N('Исходные данные'!$B$25),AE259+AD259,MAX(0,AH259+AG259)))))))</f>
        <v>0</v>
      </c>
      <c r="AJ259">
        <f t="shared" si="149"/>
        <v>0</v>
      </c>
      <c r="AK259">
        <f t="shared" ref="AK259:AK322" si="153">MAX(0,AE259+AD259+AI259)</f>
        <v>0</v>
      </c>
      <c r="AL259">
        <f>IF(OR(B259="",'Исходные данные'!$B$51&lt;&gt;"Да",'Исходные данные'!$B$61=""),0,IF(AND(YEAR(B259)=YEAR('Исходные данные'!$B$61),MONTH(B259)=MONTH('Исходные данные'!$B$61)),N('Исходные данные'!$B$18)*N('Исходные данные'!$B$62),0))</f>
        <v>0</v>
      </c>
      <c r="AM259">
        <f t="shared" ref="AM259:AM322" si="154">AQ258</f>
        <v>0</v>
      </c>
      <c r="AN259">
        <f t="shared" ref="AN259:AN322" si="155">M259+R259+V259</f>
        <v>0</v>
      </c>
      <c r="AO259">
        <f t="shared" ref="AO259:AO322" si="156">P259+T259</f>
        <v>0</v>
      </c>
      <c r="AP259">
        <f>IF('Исходные данные'!$B$51="Да",-MAX(0,AN259-AO259-AM259),0)</f>
        <v>0</v>
      </c>
      <c r="AQ259">
        <f>IF('Исходные данные'!$B$51="Да",MAX(0,AM259+AO259-AN259),0)</f>
        <v>0</v>
      </c>
      <c r="AR259">
        <f>IF('Исходные данные'!$B$53="Выручка",MAX(0,L259+(Q259-R259)+(U259-V259)),IF('Исходные данные'!$B$53="Прибыль до налога",MAX(0,L259+(Q259-R259)+(U259-V259)+N('Исходные данные'!$B$54)*((O259+P259)+(S259+T259)+W259+X259)+IF('Исходные данные'!$B$55="Да",AG259,0)-N('Исходные данные'!$B$56)/12),IF('Исходные данные'!$B$53="Пользовательская база",MAX(0,N('Исходные данные'!$B$57)/12),0)))</f>
        <v>0</v>
      </c>
      <c r="AS259">
        <f>IF(E259=1,-AR259*N('Исходные данные'!$B$50),0)</f>
        <v>0</v>
      </c>
      <c r="AT259">
        <f t="shared" ref="AT259:AT322" si="157">IF(B259="",0,SUMIFS($Y$2:$Y$194,$B$2:$B$194,"&gt;"&amp;B259,$B$2:$B$194,"&lt;="&amp;EDATE(B259,12)))</f>
        <v>0</v>
      </c>
      <c r="AU259">
        <f>IF(OR(B259="",N('Исходные данные'!$B$80)&lt;=0,'Исходные данные'!$B$88=""),0,MAX(0,IF('Исходные данные'!$B$88="Последние 12 месяцев",SUMIFS($Y$2:$Y$194,$B$2:$B$194,"&gt;="&amp;EDATE(B259,-11),$B$2:$B$194,"&lt;="&amp;B259),IF('Исходные данные'!$B$88="Пользовательский NOI",N('Исходные данные'!$B$89),AT259))/N('Исходные данные'!$B$80)*(1+N('Исходные данные'!$B$81))))</f>
        <v>0</v>
      </c>
      <c r="AV259">
        <f>IF(OR(E259&lt;&gt;1,B259="",'Исходные данные'!$B$91=""),0,IF(AND(YEAR(B259)=YEAR('Исходные данные'!$B$91),MONTH(B259)=MONTH('Исходные данные'!$B$91)),AU259,0))</f>
        <v>0</v>
      </c>
      <c r="AW259">
        <f>-AV259*N('Исходные данные'!$B$73)</f>
        <v>0</v>
      </c>
      <c r="AX259">
        <f>IF(AV259=0,0,-N('Исходные данные'!$B$87)-IF('Исходные данные'!$B$82="Да",IF('Исходные данные'!$B$84="С выручки",AV259,IF('Исходные данные'!$B$84="С прибыли",MAX(0,AV259+AW259-IF('Исходные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59">
        <f t="shared" si="150"/>
        <v>0</v>
      </c>
      <c r="AZ259">
        <f t="shared" ref="AZ259:AZ322" si="158">Z259+AA259+AB259+AC259+AD259+AI259+AG259+O259+Q259+S259+U259+W259+X259+AL259</f>
        <v>0</v>
      </c>
      <c r="BA259">
        <f t="shared" si="151"/>
        <v>0</v>
      </c>
      <c r="BB259" t="str">
        <f t="shared" ref="BB259:BB322" si="159">IF(E259=1,BB258+BA259,"")</f>
        <v/>
      </c>
      <c r="BC259">
        <f>IF(OR(E259=0,'Исходные данные'!$B$9="",'Исходные данные'!$B$90=""),0,BA259/(1+'Исходные данные'!$B$90)^((D259-'Исходные данные'!$B$9)/365))</f>
        <v>0</v>
      </c>
      <c r="BD259">
        <f>IF(AND(E259=1,BB259&gt;=0,BB258&lt;0,MIN($BB$2:BB259)&lt;0),1,0)</f>
        <v>0</v>
      </c>
      <c r="BE259">
        <f t="shared" ref="BE259:BE322" si="160">IF(E259=1,N259+O259+Q259+S259+U259+W259+X259+AP259+AS259,0)</f>
        <v>0</v>
      </c>
      <c r="BF259">
        <f t="shared" ref="BF259:BF322" si="161">Y259</f>
        <v>0</v>
      </c>
      <c r="BG259">
        <f t="shared" ref="BG259:BG322" si="162">IF(E259=1,Y259+AG259+AS259+Z259+AA259+AB259+AC259+AL259+AY259,0)</f>
        <v>0</v>
      </c>
      <c r="BH259">
        <f t="shared" ref="BH259:BH322" si="163">--AND(Z259&lt;=0,AA259&lt;=0,AB259&lt;=0,AC259&lt;=0,AD259&gt;=0,AI259&lt;=0,AG259&lt;=0,O259&lt;=0,Q259&gt;=0,S259&lt;=0,U259&gt;=0,W259&lt;=0,X259&lt;=0,AL259&gt;=0,AP259&lt;=0,AS259&lt;=0,AV259&gt;=0,AW259&lt;=0,AX259&lt;=0,AK259&gt;=-0.01)</f>
        <v>1</v>
      </c>
      <c r="BI259">
        <f>AZ259+N259+AP259-AR259*N('Исходные данные'!$B$50)</f>
        <v>0</v>
      </c>
      <c r="BJ259">
        <f t="shared" ref="BJ259:BJ322" si="164">BJ258+BI259</f>
        <v>0</v>
      </c>
      <c r="BK259">
        <f>IF(AND(BJ259&gt;=0,BJ258&lt;0,MIN($BJ$2:BJ259)&lt;0),1,0)</f>
        <v>0</v>
      </c>
    </row>
    <row r="260" spans="1:63" x14ac:dyDescent="0.2">
      <c r="A260">
        <v>259</v>
      </c>
      <c r="B260" t="str">
        <f>IF('Исходные данные'!$B$9="","",EDATE(DATE(YEAR('Исходные данные'!$B$9),MONTH('Исходные данные'!$B$9),1),A260-1))</f>
        <v/>
      </c>
      <c r="C260" t="str">
        <f t="shared" ref="C260:C323" si="165">IF(B260="","",EOMONTH(B260,0))</f>
        <v/>
      </c>
      <c r="D260" t="str">
        <f>IF(B260="","",IF('Исходные данные'!$B$91&lt;&gt;"",IF(AND(YEAR(B260)=YEAR('Исходные данные'!$B$91),MONTH(B260)=MONTH('Исходные данные'!$B$91)),'Исходные данные'!$B$91,IF('Исходные данные'!$B$13&lt;&gt;"",IF(AND(YEAR(B260)=YEAR('Исходные данные'!$B$13),MONTH(B260)=MONTH('Исходные данные'!$B$13)),'Исходные данные'!$B$13,IF('Исходные данные'!$B$26&lt;&gt;"",IF(AND(YEAR(B260)=YEAR('Исходные данные'!$B$26),MONTH(B260)=MONTH('Исходные данные'!$B$26)),'Исходные данные'!$B$26,IF(A260=1,'Исходные данные'!$B$9,C260)),IF(A260=1,'Исходные данные'!$B$9,C260))),IF('Исходные данные'!$B$26&lt;&gt;"",IF(AND(YEAR(B260)=YEAR('Исходные данные'!$B$26),MONTH(B260)=MONTH('Исходные данные'!$B$26)),'Исходные данные'!$B$26,IF(A260=1,'Исходные данные'!$B$9,C260)),IF(A260=1,'Исходные данные'!$B$9,C260)))),IF('Исходные данные'!$B$13&lt;&gt;"",IF(AND(YEAR(B260)=YEAR('Исходные данные'!$B$13),MONTH(B260)=MONTH('Исходные данные'!$B$13)),'Исходные данные'!$B$13,IF('Исходные данные'!$B$26&lt;&gt;"",IF(AND(YEAR(B260)=YEAR('Исходные данные'!$B$26),MONTH(B260)=MONTH('Исходные данные'!$B$26)),'Исходные данные'!$B$26,IF(A260=1,'Исходные данные'!$B$9,C260)),IF(A260=1,'Исходные данные'!$B$9,C260))),IF('Исходные данные'!$B$26&lt;&gt;"",IF(AND(YEAR(B260)=YEAR('Исходные данные'!$B$26),MONTH(B260)=MONTH('Исходные данные'!$B$26)),'Исходные данные'!$B$26,IF(A260=1,'Исходные данные'!$B$9,C260)),IF(A260=1,'Исходные данные'!$B$9,C260)))))</f>
        <v/>
      </c>
      <c r="E260">
        <f>IF(OR(B260="",'Исходные данные'!$B$91=""),0,--(B260&lt;=DATE(YEAR('Исходные данные'!$B$91),MONTH('Исходные данные'!$B$91),1)))</f>
        <v>0</v>
      </c>
      <c r="F260">
        <f>IF(OR(B260="",'Исходные данные'!$B$30="",C260&lt;'Исходные данные'!$B$30),0,DATEDIF(DATE(YEAR('Исходные данные'!$B$30),MONTH('Исходные данные'!$B$30),1),B260,"m")+1)</f>
        <v>0</v>
      </c>
      <c r="G260">
        <f t="shared" ref="G260:G323" si="166">IF(F260=0,0,1+INT((F260-1)/12))</f>
        <v>0</v>
      </c>
      <c r="H260">
        <f>IF(F260=0,0,IF(G260=1,N('Исходные данные'!$B$31),IF(G260=2,N('Исходные данные'!$B$32),IF(G260=3,N('Исходные данные'!$B$33),N('Исходные данные'!$B$33)*(1+N('Исходные данные'!$B$34))^(G260-3)))))</f>
        <v>0</v>
      </c>
      <c r="I260">
        <f>IF(OR(F260=0,N('Исходные данные'!$B$5)=0,H260=0),0,'Исходные данные'!$B$5*H260*IF(AND(B260&lt;='Исходные данные'!$B$30,C260&gt;='Исходные данные'!$B$30),(C260-'Исходные данные'!$B$30+1)/DAY(C260),1))</f>
        <v>0</v>
      </c>
      <c r="J260">
        <f>IF(AND(F260&gt;0,F260&lt;=N('Исходные данные'!$B$37)),-I260,0)</f>
        <v>0</v>
      </c>
      <c r="K260">
        <f>IF(OR(F260=0,F260&lt;=N('Исходные данные'!$B$37)),0,-(I260+J260)*N('Исходные данные'!$B$38))</f>
        <v>0</v>
      </c>
      <c r="L260">
        <f t="shared" ref="L260:L323" si="167">I260+J260+K260</f>
        <v>0</v>
      </c>
      <c r="M260">
        <f>IF('Исходные данные'!$B$51="Да",L260*N('Исходные данные'!$B$52),0)</f>
        <v>0</v>
      </c>
      <c r="N260">
        <f t="shared" ref="N260:N323" si="168">L260+M260</f>
        <v>0</v>
      </c>
      <c r="O260">
        <f>IF(OR(B260="",IF('Исходные данные'!$B$45="",'Исходные данные'!$B$10,'Исходные данные'!$B$45)="",C260&lt;IF('Исходные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данные'!$B$45)),1),B260,"m")/12))*IF(AND(B260&lt;=IF('Исходные данные'!$B$45="",'Исходные данные'!$B$10,'Исходные данные'!$B$45),C260&gt;=IF('Исходные данные'!$B$45="",'Исходные данные'!$B$10,'Исходные данные'!$B$45)),(C260-IF('Исходные данные'!$B$45="",'Исходные данные'!$B$10,'Исходные данные'!$B$45)+1)/DAY(C260),1)*IF('Исходные данные'!$B$43="Без НДС",1+N('Исходные данные'!$B$44),1))</f>
        <v>0</v>
      </c>
      <c r="P260">
        <f>IF('Исходные данные'!$B$51="Да",-O260*N('Исходные данные'!$B$44)/(1+N('Исходные данные'!$B$44)),0)</f>
        <v>0</v>
      </c>
      <c r="Q260">
        <f>IF('Исходные данные'!$B$35="Да",-O260,0)</f>
        <v>0</v>
      </c>
      <c r="R260">
        <f>IF(AND('Исходные данные'!$B$51="Да",Q260&gt;0),Q260*N('Исходные данные'!$B$52)/(1+N('Исходные данные'!$B$52)),0)</f>
        <v>0</v>
      </c>
      <c r="S260">
        <f>IF(OR(B260="",IF('Исходные данные'!$B$45="",'Исходные данные'!$B$10,'Исходные данные'!$B$45)="",C260&lt;IF('Исходные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данные'!$B$45)),1),B260,"m")/12))*IF(AND(B260&lt;=IF('Исходные данные'!$B$45="",'Исходные данные'!$B$10,'Исходные данные'!$B$45),C260&gt;=IF('Исходные данные'!$B$45="",'Исходные данные'!$B$10,'Исходные данные'!$B$45)),(C260-IF('Исходные данные'!$B$45="",'Исходные данные'!$B$10,'Исходные данные'!$B$45)+1)/DAY(C260),1)*IF('Исходные данные'!$B$43="Без НДС",1+N('Исходные данные'!$B$44),1))</f>
        <v>0</v>
      </c>
      <c r="T260">
        <f>IF('Исходные данные'!$B$51="Да",-S260*N('Исходные данные'!$B$44)/(1+N('Исходные данные'!$B$44)),0)</f>
        <v>0</v>
      </c>
      <c r="U260">
        <f>IF('Исходные данные'!$B$36="Да",-S260,0)</f>
        <v>0</v>
      </c>
      <c r="V260">
        <f>IF(AND('Исходные данные'!$B$51="Да",U260&gt;0),U260*N('Исходные данные'!$B$52)/(1+N('Исходные данные'!$B$52)),0)</f>
        <v>0</v>
      </c>
      <c r="W260">
        <f>IF(OR(B260="",IF('Исходные данные'!$B$69="",'Исходные данные'!$B$10,'Исходные данные'!$B$69)="",C260&lt;IF('Исходные данные'!$B$69="",'Исходные данные'!$B$10,'Исходные данные'!$B$69)),0,-N('Исходные данные'!$B$16)*N('Исходные данные'!$B$68)*N('Исходные данные'!$B$67)/12*IF(AND(B260&lt;=IF('Исходные данные'!$B$69="",'Исходные данные'!$B$10,'Исходные данные'!$B$69),C260&gt;=IF('Исходные данные'!$B$69="",'Исходные данные'!$B$10,'Исходные данные'!$B$69)),(C260-IF('Исходные данные'!$B$69="",'Исходные данные'!$B$10,'Исходные данные'!$B$69)+1)/DAY(C260),1))</f>
        <v>0</v>
      </c>
      <c r="X260">
        <f>IF(OR(B260="",IF('Исходные данные'!$B$76="",'Исходные данные'!$B$10,'Исходные данные'!$B$76)="",C260&lt;IF('Исходные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данные'!$B$76)),1),B260,"m")/12))*IF(AND(B260&lt;=IF('Исходные данные'!$B$76="",'Исходные данные'!$B$10,'Исходные данные'!$B$76),C260&gt;=IF('Исходные данные'!$B$76="",'Исходные данные'!$B$10,'Исходные данные'!$B$76)),(C260-IF('Исходные данные'!$B$76="",'Исходные данные'!$B$10,'Исходные данные'!$B$76)+1)/DAY(C260),1))</f>
        <v>0</v>
      </c>
      <c r="Y260">
        <f t="shared" ref="Y260:Y323" si="169">L260+(Q260-R260)+(U260-V260)+(O260+P260)+(S260+T260)+W260+X260</f>
        <v>0</v>
      </c>
      <c r="Z260">
        <f>IF(OR(B260="",N('Исходные данные'!$B$19)=0),0,-SUMIFS('Исходные данные'!$I$6:$I$186,'Исходные данные'!$F$6:$F$186,B260)*N('Исходные данные'!$B$17)/N('Исходные данные'!$B$19))</f>
        <v>0</v>
      </c>
      <c r="AA260">
        <f>IF(OR(B260="",N('Исходные данные'!$B$19)=0),0,-SUMIFS('Исходные данные'!$I$6:$I$186,'Исходные данные'!$F$6:$F$186,B260)*N('Исходные данные'!$B$18)/N('Исходные данные'!$B$19))</f>
        <v>0</v>
      </c>
      <c r="AB260">
        <f>IF(OR(B260="",'Исходные данные'!$B$13=""),0,IF(AND(YEAR(B260)=YEAR('Исходные данные'!$B$13),MONTH(B260)=MONTH('Исходные данные'!$B$13)),-N('Исходные данные'!$B$11),0))</f>
        <v>0</v>
      </c>
      <c r="AC260">
        <f>IF(A260=1,-N('Исходные данные'!$B$19)*N('Исходные данные'!$B$72),0)</f>
        <v>0</v>
      </c>
      <c r="AD260">
        <f>IF(OR(B260="",'Исходные данные'!$B$22&lt;&gt;"Да",'Исходные данные'!$B$26=""),0,IF(AND(YEAR(B260)=YEAR('Исходные данные'!$B$26),MONTH(B260)=MONTH('Исходные данные'!$B$26)),N('Исходные данные'!$B$23),0))</f>
        <v>0</v>
      </c>
      <c r="AE260">
        <f t="shared" si="152"/>
        <v>0</v>
      </c>
      <c r="AF260">
        <f>IF(OR('Исходные данные'!$B$22&lt;&gt;"Да",'Исходные данные'!$B$26="",C260&lt;'Исходные данные'!$B$26),0,DATEDIF(DATE(YEAR('Исходные данные'!$B$26),MONTH('Исходные данные'!$B$26),1),B260,"m")+1)</f>
        <v>0</v>
      </c>
      <c r="AG260">
        <f>IF(OR(AF260&lt;1,AF260&gt;N('Исходные данные'!$B$25),AE260+AD260&lt;=0),0,-(AE260+AD260)*N('Исходные данные'!$B$24)*IF(AF260=1,C260-'Исходные данные'!$B$26+1,DAY(C260))/365)</f>
        <v>0</v>
      </c>
      <c r="AH260">
        <f>IF(OR(AF260&lt;1,AF260&gt;N('Исходные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данные'!$B$25)-AG260))</f>
        <v>0</v>
      </c>
      <c r="AI260">
        <f>IF(OR('Исходные данные'!$B$22&lt;&gt;"Да",AE260+AD260&lt;=0),0,IF(AND('Исходные данные'!$B$91&lt;&gt;"",B260&lt;&gt;"",YEAR(B260)=YEAR('Исходные данные'!$B$91),MONTH(B260)=MONTH('Исходные данные'!$B$91)),-(AE260+AD260),IF(OR(AF260&lt;1,AF260&gt;N('Исходные данные'!$B$25)),0,IF('Исходные данные'!$B$27="Равными долями",-MIN(AE260+AD260,N('Исходные данные'!$B$23)/N('Исходные данные'!$B$25)),-MIN(AE260+AD260,IF(AF260=N('Исходные данные'!$B$25),AE260+AD260,MAX(0,AH260+AG260)))))))</f>
        <v>0</v>
      </c>
      <c r="AJ260">
        <f t="shared" ref="AJ260:AJ323" si="170">AG260+AI260</f>
        <v>0</v>
      </c>
      <c r="AK260">
        <f t="shared" si="153"/>
        <v>0</v>
      </c>
      <c r="AL260">
        <f>IF(OR(B260="",'Исходные данные'!$B$51&lt;&gt;"Да",'Исходные данные'!$B$61=""),0,IF(AND(YEAR(B260)=YEAR('Исходные данные'!$B$61),MONTH(B260)=MONTH('Исходные данные'!$B$61)),N('Исходные данные'!$B$18)*N('Исходные данные'!$B$62),0))</f>
        <v>0</v>
      </c>
      <c r="AM260">
        <f t="shared" si="154"/>
        <v>0</v>
      </c>
      <c r="AN260">
        <f t="shared" si="155"/>
        <v>0</v>
      </c>
      <c r="AO260">
        <f t="shared" si="156"/>
        <v>0</v>
      </c>
      <c r="AP260">
        <f>IF('Исходные данные'!$B$51="Да",-MAX(0,AN260-AO260-AM260),0)</f>
        <v>0</v>
      </c>
      <c r="AQ260">
        <f>IF('Исходные данные'!$B$51="Да",MAX(0,AM260+AO260-AN260),0)</f>
        <v>0</v>
      </c>
      <c r="AR260">
        <f>IF('Исходные данные'!$B$53="Выручка",MAX(0,L260+(Q260-R260)+(U260-V260)),IF('Исходные данные'!$B$53="Прибыль до налога",MAX(0,L260+(Q260-R260)+(U260-V260)+N('Исходные данные'!$B$54)*((O260+P260)+(S260+T260)+W260+X260)+IF('Исходные данные'!$B$55="Да",AG260,0)-N('Исходные данные'!$B$56)/12),IF('Исходные данные'!$B$53="Пользовательская база",MAX(0,N('Исходные данные'!$B$57)/12),0)))</f>
        <v>0</v>
      </c>
      <c r="AS260">
        <f>IF(E260=1,-AR260*N('Исходные данные'!$B$50),0)</f>
        <v>0</v>
      </c>
      <c r="AT260">
        <f t="shared" si="157"/>
        <v>0</v>
      </c>
      <c r="AU260">
        <f>IF(OR(B260="",N('Исходные данные'!$B$80)&lt;=0,'Исходные данные'!$B$88=""),0,MAX(0,IF('Исходные данные'!$B$88="Последние 12 месяцев",SUMIFS($Y$2:$Y$194,$B$2:$B$194,"&gt;="&amp;EDATE(B260,-11),$B$2:$B$194,"&lt;="&amp;B260),IF('Исходные данные'!$B$88="Пользовательский NOI",N('Исходные данные'!$B$89),AT260))/N('Исходные данные'!$B$80)*(1+N('Исходные данные'!$B$81))))</f>
        <v>0</v>
      </c>
      <c r="AV260">
        <f>IF(OR(E260&lt;&gt;1,B260="",'Исходные данные'!$B$91=""),0,IF(AND(YEAR(B260)=YEAR('Исходные данные'!$B$91),MONTH(B260)=MONTH('Исходные данные'!$B$91)),AU260,0))</f>
        <v>0</v>
      </c>
      <c r="AW260">
        <f>-AV260*N('Исходные данные'!$B$73)</f>
        <v>0</v>
      </c>
      <c r="AX260">
        <f>IF(AV260=0,0,-N('Исходные данные'!$B$87)-IF('Исходные данные'!$B$82="Да",IF('Исходные данные'!$B$84="С выручки",AV260,IF('Исходные данные'!$B$84="С прибыли",MAX(0,AV260+AW260-IF('Исходные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60">
        <f t="shared" ref="AY260:AY323" si="171">AV260+AW260+AX260</f>
        <v>0</v>
      </c>
      <c r="AZ260">
        <f t="shared" si="158"/>
        <v>0</v>
      </c>
      <c r="BA260">
        <f t="shared" ref="BA260:BA323" si="172">IF(E260=1,AZ260+N260+AP260+AS260+AY260,0)</f>
        <v>0</v>
      </c>
      <c r="BB260" t="str">
        <f t="shared" si="159"/>
        <v/>
      </c>
      <c r="BC260">
        <f>IF(OR(E260=0,'Исходные данные'!$B$9="",'Исходные данные'!$B$90=""),0,BA260/(1+'Исходные данные'!$B$90)^((D260-'Исходные данные'!$B$9)/365))</f>
        <v>0</v>
      </c>
      <c r="BD260">
        <f>IF(AND(E260=1,BB260&gt;=0,BB259&lt;0,MIN($BB$2:BB260)&lt;0),1,0)</f>
        <v>0</v>
      </c>
      <c r="BE260">
        <f t="shared" si="160"/>
        <v>0</v>
      </c>
      <c r="BF260">
        <f t="shared" si="161"/>
        <v>0</v>
      </c>
      <c r="BG260">
        <f t="shared" si="162"/>
        <v>0</v>
      </c>
      <c r="BH260">
        <f t="shared" si="163"/>
        <v>1</v>
      </c>
      <c r="BI260">
        <f>AZ260+N260+AP260-AR260*N('Исходные данные'!$B$50)</f>
        <v>0</v>
      </c>
      <c r="BJ260">
        <f t="shared" si="164"/>
        <v>0</v>
      </c>
      <c r="BK260">
        <f>IF(AND(BJ260&gt;=0,BJ259&lt;0,MIN($BJ$2:BJ260)&lt;0),1,0)</f>
        <v>0</v>
      </c>
    </row>
    <row r="261" spans="1:63" x14ac:dyDescent="0.2">
      <c r="A261">
        <v>260</v>
      </c>
      <c r="B261" t="str">
        <f>IF('Исходные данные'!$B$9="","",EDATE(DATE(YEAR('Исходные данные'!$B$9),MONTH('Исходные данные'!$B$9),1),A261-1))</f>
        <v/>
      </c>
      <c r="C261" t="str">
        <f t="shared" si="165"/>
        <v/>
      </c>
      <c r="D261" t="str">
        <f>IF(B261="","",IF('Исходные данные'!$B$91&lt;&gt;"",IF(AND(YEAR(B261)=YEAR('Исходные данные'!$B$91),MONTH(B261)=MONTH('Исходные данные'!$B$91)),'Исходные данные'!$B$91,IF('Исходные данные'!$B$13&lt;&gt;"",IF(AND(YEAR(B261)=YEAR('Исходные данные'!$B$13),MONTH(B261)=MONTH('Исходные данные'!$B$13)),'Исходные данные'!$B$13,IF('Исходные данные'!$B$26&lt;&gt;"",IF(AND(YEAR(B261)=YEAR('Исходные данные'!$B$26),MONTH(B261)=MONTH('Исходные данные'!$B$26)),'Исходные данные'!$B$26,IF(A261=1,'Исходные данные'!$B$9,C261)),IF(A261=1,'Исходные данные'!$B$9,C261))),IF('Исходные данные'!$B$26&lt;&gt;"",IF(AND(YEAR(B261)=YEAR('Исходные данные'!$B$26),MONTH(B261)=MONTH('Исходные данные'!$B$26)),'Исходные данные'!$B$26,IF(A261=1,'Исходные данные'!$B$9,C261)),IF(A261=1,'Исходные данные'!$B$9,C261)))),IF('Исходные данные'!$B$13&lt;&gt;"",IF(AND(YEAR(B261)=YEAR('Исходные данные'!$B$13),MONTH(B261)=MONTH('Исходные данные'!$B$13)),'Исходные данные'!$B$13,IF('Исходные данные'!$B$26&lt;&gt;"",IF(AND(YEAR(B261)=YEAR('Исходные данные'!$B$26),MONTH(B261)=MONTH('Исходные данные'!$B$26)),'Исходные данные'!$B$26,IF(A261=1,'Исходные данные'!$B$9,C261)),IF(A261=1,'Исходные данные'!$B$9,C261))),IF('Исходные данные'!$B$26&lt;&gt;"",IF(AND(YEAR(B261)=YEAR('Исходные данные'!$B$26),MONTH(B261)=MONTH('Исходные данные'!$B$26)),'Исходные данные'!$B$26,IF(A261=1,'Исходные данные'!$B$9,C261)),IF(A261=1,'Исходные данные'!$B$9,C261)))))</f>
        <v/>
      </c>
      <c r="E261">
        <f>IF(OR(B261="",'Исходные данные'!$B$91=""),0,--(B261&lt;=DATE(YEAR('Исходные данные'!$B$91),MONTH('Исходные данные'!$B$91),1)))</f>
        <v>0</v>
      </c>
      <c r="F261">
        <f>IF(OR(B261="",'Исходные данные'!$B$30="",C261&lt;'Исходные данные'!$B$30),0,DATEDIF(DATE(YEAR('Исходные данные'!$B$30),MONTH('Исходные данные'!$B$30),1),B261,"m")+1)</f>
        <v>0</v>
      </c>
      <c r="G261">
        <f t="shared" si="166"/>
        <v>0</v>
      </c>
      <c r="H261">
        <f>IF(F261=0,0,IF(G261=1,N('Исходные данные'!$B$31),IF(G261=2,N('Исходные данные'!$B$32),IF(G261=3,N('Исходные данные'!$B$33),N('Исходные данные'!$B$33)*(1+N('Исходные данные'!$B$34))^(G261-3)))))</f>
        <v>0</v>
      </c>
      <c r="I261">
        <f>IF(OR(F261=0,N('Исходные данные'!$B$5)=0,H261=0),0,'Исходные данные'!$B$5*H261*IF(AND(B261&lt;='Исходные данные'!$B$30,C261&gt;='Исходные данные'!$B$30),(C261-'Исходные данные'!$B$30+1)/DAY(C261),1))</f>
        <v>0</v>
      </c>
      <c r="J261">
        <f>IF(AND(F261&gt;0,F261&lt;=N('Исходные данные'!$B$37)),-I261,0)</f>
        <v>0</v>
      </c>
      <c r="K261">
        <f>IF(OR(F261=0,F261&lt;=N('Исходные данные'!$B$37)),0,-(I261+J261)*N('Исходные данные'!$B$38))</f>
        <v>0</v>
      </c>
      <c r="L261">
        <f t="shared" si="167"/>
        <v>0</v>
      </c>
      <c r="M261">
        <f>IF('Исходные данные'!$B$51="Да",L261*N('Исходные данные'!$B$52),0)</f>
        <v>0</v>
      </c>
      <c r="N261">
        <f t="shared" si="168"/>
        <v>0</v>
      </c>
      <c r="O261">
        <f>IF(OR(B261="",IF('Исходные данные'!$B$45="",'Исходные данные'!$B$10,'Исходные данные'!$B$45)="",C261&lt;IF('Исходные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данные'!$B$45)),1),B261,"m")/12))*IF(AND(B261&lt;=IF('Исходные данные'!$B$45="",'Исходные данные'!$B$10,'Исходные данные'!$B$45),C261&gt;=IF('Исходные данные'!$B$45="",'Исходные данные'!$B$10,'Исходные данные'!$B$45)),(C261-IF('Исходные данные'!$B$45="",'Исходные данные'!$B$10,'Исходные данные'!$B$45)+1)/DAY(C261),1)*IF('Исходные данные'!$B$43="Без НДС",1+N('Исходные данные'!$B$44),1))</f>
        <v>0</v>
      </c>
      <c r="P261">
        <f>IF('Исходные данные'!$B$51="Да",-O261*N('Исходные данные'!$B$44)/(1+N('Исходные данные'!$B$44)),0)</f>
        <v>0</v>
      </c>
      <c r="Q261">
        <f>IF('Исходные данные'!$B$35="Да",-O261,0)</f>
        <v>0</v>
      </c>
      <c r="R261">
        <f>IF(AND('Исходные данные'!$B$51="Да",Q261&gt;0),Q261*N('Исходные данные'!$B$52)/(1+N('Исходные данные'!$B$52)),0)</f>
        <v>0</v>
      </c>
      <c r="S261">
        <f>IF(OR(B261="",IF('Исходные данные'!$B$45="",'Исходные данные'!$B$10,'Исходные данные'!$B$45)="",C261&lt;IF('Исходные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данные'!$B$45)),1),B261,"m")/12))*IF(AND(B261&lt;=IF('Исходные данные'!$B$45="",'Исходные данные'!$B$10,'Исходные данные'!$B$45),C261&gt;=IF('Исходные данные'!$B$45="",'Исходные данные'!$B$10,'Исходные данные'!$B$45)),(C261-IF('Исходные данные'!$B$45="",'Исходные данные'!$B$10,'Исходные данные'!$B$45)+1)/DAY(C261),1)*IF('Исходные данные'!$B$43="Без НДС",1+N('Исходные данные'!$B$44),1))</f>
        <v>0</v>
      </c>
      <c r="T261">
        <f>IF('Исходные данные'!$B$51="Да",-S261*N('Исходные данные'!$B$44)/(1+N('Исходные данные'!$B$44)),0)</f>
        <v>0</v>
      </c>
      <c r="U261">
        <f>IF('Исходные данные'!$B$36="Да",-S261,0)</f>
        <v>0</v>
      </c>
      <c r="V261">
        <f>IF(AND('Исходные данные'!$B$51="Да",U261&gt;0),U261*N('Исходные данные'!$B$52)/(1+N('Исходные данные'!$B$52)),0)</f>
        <v>0</v>
      </c>
      <c r="W261">
        <f>IF(OR(B261="",IF('Исходные данные'!$B$69="",'Исходные данные'!$B$10,'Исходные данные'!$B$69)="",C261&lt;IF('Исходные данные'!$B$69="",'Исходные данные'!$B$10,'Исходные данные'!$B$69)),0,-N('Исходные данные'!$B$16)*N('Исходные данные'!$B$68)*N('Исходные данные'!$B$67)/12*IF(AND(B261&lt;=IF('Исходные данные'!$B$69="",'Исходные данные'!$B$10,'Исходные данные'!$B$69),C261&gt;=IF('Исходные данные'!$B$69="",'Исходные данные'!$B$10,'Исходные данные'!$B$69)),(C261-IF('Исходные данные'!$B$69="",'Исходные данные'!$B$10,'Исходные данные'!$B$69)+1)/DAY(C261),1))</f>
        <v>0</v>
      </c>
      <c r="X261">
        <f>IF(OR(B261="",IF('Исходные данные'!$B$76="",'Исходные данные'!$B$10,'Исходные данные'!$B$76)="",C261&lt;IF('Исходные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данные'!$B$76)),1),B261,"m")/12))*IF(AND(B261&lt;=IF('Исходные данные'!$B$76="",'Исходные данные'!$B$10,'Исходные данные'!$B$76),C261&gt;=IF('Исходные данные'!$B$76="",'Исходные данные'!$B$10,'Исходные данные'!$B$76)),(C261-IF('Исходные данные'!$B$76="",'Исходные данные'!$B$10,'Исходные данные'!$B$76)+1)/DAY(C261),1))</f>
        <v>0</v>
      </c>
      <c r="Y261">
        <f t="shared" si="169"/>
        <v>0</v>
      </c>
      <c r="Z261">
        <f>IF(OR(B261="",N('Исходные данные'!$B$19)=0),0,-SUMIFS('Исходные данные'!$I$6:$I$186,'Исходные данные'!$F$6:$F$186,B261)*N('Исходные данные'!$B$17)/N('Исходные данные'!$B$19))</f>
        <v>0</v>
      </c>
      <c r="AA261">
        <f>IF(OR(B261="",N('Исходные данные'!$B$19)=0),0,-SUMIFS('Исходные данные'!$I$6:$I$186,'Исходные данные'!$F$6:$F$186,B261)*N('Исходные данные'!$B$18)/N('Исходные данные'!$B$19))</f>
        <v>0</v>
      </c>
      <c r="AB261">
        <f>IF(OR(B261="",'Исходные данные'!$B$13=""),0,IF(AND(YEAR(B261)=YEAR('Исходные данные'!$B$13),MONTH(B261)=MONTH('Исходные данные'!$B$13)),-N('Исходные данные'!$B$11),0))</f>
        <v>0</v>
      </c>
      <c r="AC261">
        <f>IF(A261=1,-N('Исходные данные'!$B$19)*N('Исходные данные'!$B$72),0)</f>
        <v>0</v>
      </c>
      <c r="AD261">
        <f>IF(OR(B261="",'Исходные данные'!$B$22&lt;&gt;"Да",'Исходные данные'!$B$26=""),0,IF(AND(YEAR(B261)=YEAR('Исходные данные'!$B$26),MONTH(B261)=MONTH('Исходные данные'!$B$26)),N('Исходные данные'!$B$23),0))</f>
        <v>0</v>
      </c>
      <c r="AE261">
        <f t="shared" si="152"/>
        <v>0</v>
      </c>
      <c r="AF261">
        <f>IF(OR('Исходные данные'!$B$22&lt;&gt;"Да",'Исходные данные'!$B$26="",C261&lt;'Исходные данные'!$B$26),0,DATEDIF(DATE(YEAR('Исходные данные'!$B$26),MONTH('Исходные данные'!$B$26),1),B261,"m")+1)</f>
        <v>0</v>
      </c>
      <c r="AG261">
        <f>IF(OR(AF261&lt;1,AF261&gt;N('Исходные данные'!$B$25),AE261+AD261&lt;=0),0,-(AE261+AD261)*N('Исходные данные'!$B$24)*IF(AF261=1,C261-'Исходные данные'!$B$26+1,DAY(C261))/365)</f>
        <v>0</v>
      </c>
      <c r="AH261">
        <f>IF(OR(AF261&lt;1,AF261&gt;N('Исходные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данные'!$B$25)-AG261))</f>
        <v>0</v>
      </c>
      <c r="AI261">
        <f>IF(OR('Исходные данные'!$B$22&lt;&gt;"Да",AE261+AD261&lt;=0),0,IF(AND('Исходные данные'!$B$91&lt;&gt;"",B261&lt;&gt;"",YEAR(B261)=YEAR('Исходные данные'!$B$91),MONTH(B261)=MONTH('Исходные данные'!$B$91)),-(AE261+AD261),IF(OR(AF261&lt;1,AF261&gt;N('Исходные данные'!$B$25)),0,IF('Исходные данные'!$B$27="Равными долями",-MIN(AE261+AD261,N('Исходные данные'!$B$23)/N('Исходные данные'!$B$25)),-MIN(AE261+AD261,IF(AF261=N('Исходные данные'!$B$25),AE261+AD261,MAX(0,AH261+AG261)))))))</f>
        <v>0</v>
      </c>
      <c r="AJ261">
        <f t="shared" si="170"/>
        <v>0</v>
      </c>
      <c r="AK261">
        <f t="shared" si="153"/>
        <v>0</v>
      </c>
      <c r="AL261">
        <f>IF(OR(B261="",'Исходные данные'!$B$51&lt;&gt;"Да",'Исходные данные'!$B$61=""),0,IF(AND(YEAR(B261)=YEAR('Исходные данные'!$B$61),MONTH(B261)=MONTH('Исходные данные'!$B$61)),N('Исходные данные'!$B$18)*N('Исходные данные'!$B$62),0))</f>
        <v>0</v>
      </c>
      <c r="AM261">
        <f t="shared" si="154"/>
        <v>0</v>
      </c>
      <c r="AN261">
        <f t="shared" si="155"/>
        <v>0</v>
      </c>
      <c r="AO261">
        <f t="shared" si="156"/>
        <v>0</v>
      </c>
      <c r="AP261">
        <f>IF('Исходные данные'!$B$51="Да",-MAX(0,AN261-AO261-AM261),0)</f>
        <v>0</v>
      </c>
      <c r="AQ261">
        <f>IF('Исходные данные'!$B$51="Да",MAX(0,AM261+AO261-AN261),0)</f>
        <v>0</v>
      </c>
      <c r="AR261">
        <f>IF('Исходные данные'!$B$53="Выручка",MAX(0,L261+(Q261-R261)+(U261-V261)),IF('Исходные данные'!$B$53="Прибыль до налога",MAX(0,L261+(Q261-R261)+(U261-V261)+N('Исходные данные'!$B$54)*((O261+P261)+(S261+T261)+W261+X261)+IF('Исходные данные'!$B$55="Да",AG261,0)-N('Исходные данные'!$B$56)/12),IF('Исходные данные'!$B$53="Пользовательская база",MAX(0,N('Исходные данные'!$B$57)/12),0)))</f>
        <v>0</v>
      </c>
      <c r="AS261">
        <f>IF(E261=1,-AR261*N('Исходные данные'!$B$50),0)</f>
        <v>0</v>
      </c>
      <c r="AT261">
        <f t="shared" si="157"/>
        <v>0</v>
      </c>
      <c r="AU261">
        <f>IF(OR(B261="",N('Исходные данные'!$B$80)&lt;=0,'Исходные данные'!$B$88=""),0,MAX(0,IF('Исходные данные'!$B$88="Последние 12 месяцев",SUMIFS($Y$2:$Y$194,$B$2:$B$194,"&gt;="&amp;EDATE(B261,-11),$B$2:$B$194,"&lt;="&amp;B261),IF('Исходные данные'!$B$88="Пользовательский NOI",N('Исходные данные'!$B$89),AT261))/N('Исходные данные'!$B$80)*(1+N('Исходные данные'!$B$81))))</f>
        <v>0</v>
      </c>
      <c r="AV261">
        <f>IF(OR(E261&lt;&gt;1,B261="",'Исходные данные'!$B$91=""),0,IF(AND(YEAR(B261)=YEAR('Исходные данные'!$B$91),MONTH(B261)=MONTH('Исходные данные'!$B$91)),AU261,0))</f>
        <v>0</v>
      </c>
      <c r="AW261">
        <f>-AV261*N('Исходные данные'!$B$73)</f>
        <v>0</v>
      </c>
      <c r="AX261">
        <f>IF(AV261=0,0,-N('Исходные данные'!$B$87)-IF('Исходные данные'!$B$82="Да",IF('Исходные данные'!$B$84="С выручки",AV261,IF('Исходные данные'!$B$84="С прибыли",MAX(0,AV261+AW261-IF('Исходные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61">
        <f t="shared" si="171"/>
        <v>0</v>
      </c>
      <c r="AZ261">
        <f t="shared" si="158"/>
        <v>0</v>
      </c>
      <c r="BA261">
        <f t="shared" si="172"/>
        <v>0</v>
      </c>
      <c r="BB261" t="str">
        <f t="shared" si="159"/>
        <v/>
      </c>
      <c r="BC261">
        <f>IF(OR(E261=0,'Исходные данные'!$B$9="",'Исходные данные'!$B$90=""),0,BA261/(1+'Исходные данные'!$B$90)^((D261-'Исходные данные'!$B$9)/365))</f>
        <v>0</v>
      </c>
      <c r="BD261">
        <f>IF(AND(E261=1,BB261&gt;=0,BB260&lt;0,MIN($BB$2:BB261)&lt;0),1,0)</f>
        <v>0</v>
      </c>
      <c r="BE261">
        <f t="shared" si="160"/>
        <v>0</v>
      </c>
      <c r="BF261">
        <f t="shared" si="161"/>
        <v>0</v>
      </c>
      <c r="BG261">
        <f t="shared" si="162"/>
        <v>0</v>
      </c>
      <c r="BH261">
        <f t="shared" si="163"/>
        <v>1</v>
      </c>
      <c r="BI261">
        <f>AZ261+N261+AP261-AR261*N('Исходные данные'!$B$50)</f>
        <v>0</v>
      </c>
      <c r="BJ261">
        <f t="shared" si="164"/>
        <v>0</v>
      </c>
      <c r="BK261">
        <f>IF(AND(BJ261&gt;=0,BJ260&lt;0,MIN($BJ$2:BJ261)&lt;0),1,0)</f>
        <v>0</v>
      </c>
    </row>
    <row r="262" spans="1:63" x14ac:dyDescent="0.2">
      <c r="A262">
        <v>261</v>
      </c>
      <c r="B262" t="str">
        <f>IF('Исходные данные'!$B$9="","",EDATE(DATE(YEAR('Исходные данные'!$B$9),MONTH('Исходные данные'!$B$9),1),A262-1))</f>
        <v/>
      </c>
      <c r="C262" t="str">
        <f t="shared" si="165"/>
        <v/>
      </c>
      <c r="D262" t="str">
        <f>IF(B262="","",IF('Исходные данные'!$B$91&lt;&gt;"",IF(AND(YEAR(B262)=YEAR('Исходные данные'!$B$91),MONTH(B262)=MONTH('Исходные данные'!$B$91)),'Исходные данные'!$B$91,IF('Исходные данные'!$B$13&lt;&gt;"",IF(AND(YEAR(B262)=YEAR('Исходные данные'!$B$13),MONTH(B262)=MONTH('Исходные данные'!$B$13)),'Исходные данные'!$B$13,IF('Исходные данные'!$B$26&lt;&gt;"",IF(AND(YEAR(B262)=YEAR('Исходные данные'!$B$26),MONTH(B262)=MONTH('Исходные данные'!$B$26)),'Исходные данные'!$B$26,IF(A262=1,'Исходные данные'!$B$9,C262)),IF(A262=1,'Исходные данные'!$B$9,C262))),IF('Исходные данные'!$B$26&lt;&gt;"",IF(AND(YEAR(B262)=YEAR('Исходные данные'!$B$26),MONTH(B262)=MONTH('Исходные данные'!$B$26)),'Исходные данные'!$B$26,IF(A262=1,'Исходные данные'!$B$9,C262)),IF(A262=1,'Исходные данные'!$B$9,C262)))),IF('Исходные данные'!$B$13&lt;&gt;"",IF(AND(YEAR(B262)=YEAR('Исходные данные'!$B$13),MONTH(B262)=MONTH('Исходные данные'!$B$13)),'Исходные данные'!$B$13,IF('Исходные данные'!$B$26&lt;&gt;"",IF(AND(YEAR(B262)=YEAR('Исходные данные'!$B$26),MONTH(B262)=MONTH('Исходные данные'!$B$26)),'Исходные данные'!$B$26,IF(A262=1,'Исходные данные'!$B$9,C262)),IF(A262=1,'Исходные данные'!$B$9,C262))),IF('Исходные данные'!$B$26&lt;&gt;"",IF(AND(YEAR(B262)=YEAR('Исходные данные'!$B$26),MONTH(B262)=MONTH('Исходные данные'!$B$26)),'Исходные данные'!$B$26,IF(A262=1,'Исходные данные'!$B$9,C262)),IF(A262=1,'Исходные данные'!$B$9,C262)))))</f>
        <v/>
      </c>
      <c r="E262">
        <f>IF(OR(B262="",'Исходные данные'!$B$91=""),0,--(B262&lt;=DATE(YEAR('Исходные данные'!$B$91),MONTH('Исходные данные'!$B$91),1)))</f>
        <v>0</v>
      </c>
      <c r="F262">
        <f>IF(OR(B262="",'Исходные данные'!$B$30="",C262&lt;'Исходные данные'!$B$30),0,DATEDIF(DATE(YEAR('Исходные данные'!$B$30),MONTH('Исходные данные'!$B$30),1),B262,"m")+1)</f>
        <v>0</v>
      </c>
      <c r="G262">
        <f t="shared" si="166"/>
        <v>0</v>
      </c>
      <c r="H262">
        <f>IF(F262=0,0,IF(G262=1,N('Исходные данные'!$B$31),IF(G262=2,N('Исходные данные'!$B$32),IF(G262=3,N('Исходные данные'!$B$33),N('Исходные данные'!$B$33)*(1+N('Исходные данные'!$B$34))^(G262-3)))))</f>
        <v>0</v>
      </c>
      <c r="I262">
        <f>IF(OR(F262=0,N('Исходные данные'!$B$5)=0,H262=0),0,'Исходные данные'!$B$5*H262*IF(AND(B262&lt;='Исходные данные'!$B$30,C262&gt;='Исходные данные'!$B$30),(C262-'Исходные данные'!$B$30+1)/DAY(C262),1))</f>
        <v>0</v>
      </c>
      <c r="J262">
        <f>IF(AND(F262&gt;0,F262&lt;=N('Исходные данные'!$B$37)),-I262,0)</f>
        <v>0</v>
      </c>
      <c r="K262">
        <f>IF(OR(F262=0,F262&lt;=N('Исходные данные'!$B$37)),0,-(I262+J262)*N('Исходные данные'!$B$38))</f>
        <v>0</v>
      </c>
      <c r="L262">
        <f t="shared" si="167"/>
        <v>0</v>
      </c>
      <c r="M262">
        <f>IF('Исходные данные'!$B$51="Да",L262*N('Исходные данные'!$B$52),0)</f>
        <v>0</v>
      </c>
      <c r="N262">
        <f t="shared" si="168"/>
        <v>0</v>
      </c>
      <c r="O262">
        <f>IF(OR(B262="",IF('Исходные данные'!$B$45="",'Исходные данные'!$B$10,'Исходные данные'!$B$45)="",C262&lt;IF('Исходные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данные'!$B$45)),1),B262,"m")/12))*IF(AND(B262&lt;=IF('Исходные данные'!$B$45="",'Исходные данные'!$B$10,'Исходные данные'!$B$45),C262&gt;=IF('Исходные данные'!$B$45="",'Исходные данные'!$B$10,'Исходные данные'!$B$45)),(C262-IF('Исходные данные'!$B$45="",'Исходные данные'!$B$10,'Исходные данные'!$B$45)+1)/DAY(C262),1)*IF('Исходные данные'!$B$43="Без НДС",1+N('Исходные данные'!$B$44),1))</f>
        <v>0</v>
      </c>
      <c r="P262">
        <f>IF('Исходные данные'!$B$51="Да",-O262*N('Исходные данные'!$B$44)/(1+N('Исходные данные'!$B$44)),0)</f>
        <v>0</v>
      </c>
      <c r="Q262">
        <f>IF('Исходные данные'!$B$35="Да",-O262,0)</f>
        <v>0</v>
      </c>
      <c r="R262">
        <f>IF(AND('Исходные данные'!$B$51="Да",Q262&gt;0),Q262*N('Исходные данные'!$B$52)/(1+N('Исходные данные'!$B$52)),0)</f>
        <v>0</v>
      </c>
      <c r="S262">
        <f>IF(OR(B262="",IF('Исходные данные'!$B$45="",'Исходные данные'!$B$10,'Исходные данные'!$B$45)="",C262&lt;IF('Исходные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данные'!$B$45)),1),B262,"m")/12))*IF(AND(B262&lt;=IF('Исходные данные'!$B$45="",'Исходные данные'!$B$10,'Исходные данные'!$B$45),C262&gt;=IF('Исходные данные'!$B$45="",'Исходные данные'!$B$10,'Исходные данные'!$B$45)),(C262-IF('Исходные данные'!$B$45="",'Исходные данные'!$B$10,'Исходные данные'!$B$45)+1)/DAY(C262),1)*IF('Исходные данные'!$B$43="Без НДС",1+N('Исходные данные'!$B$44),1))</f>
        <v>0</v>
      </c>
      <c r="T262">
        <f>IF('Исходные данные'!$B$51="Да",-S262*N('Исходные данные'!$B$44)/(1+N('Исходные данные'!$B$44)),0)</f>
        <v>0</v>
      </c>
      <c r="U262">
        <f>IF('Исходные данные'!$B$36="Да",-S262,0)</f>
        <v>0</v>
      </c>
      <c r="V262">
        <f>IF(AND('Исходные данные'!$B$51="Да",U262&gt;0),U262*N('Исходные данные'!$B$52)/(1+N('Исходные данные'!$B$52)),0)</f>
        <v>0</v>
      </c>
      <c r="W262">
        <f>IF(OR(B262="",IF('Исходные данные'!$B$69="",'Исходные данные'!$B$10,'Исходные данные'!$B$69)="",C262&lt;IF('Исходные данные'!$B$69="",'Исходные данные'!$B$10,'Исходные данные'!$B$69)),0,-N('Исходные данные'!$B$16)*N('Исходные данные'!$B$68)*N('Исходные данные'!$B$67)/12*IF(AND(B262&lt;=IF('Исходные данные'!$B$69="",'Исходные данные'!$B$10,'Исходные данные'!$B$69),C262&gt;=IF('Исходные данные'!$B$69="",'Исходные данные'!$B$10,'Исходные данные'!$B$69)),(C262-IF('Исходные данные'!$B$69="",'Исходные данные'!$B$10,'Исходные данные'!$B$69)+1)/DAY(C262),1))</f>
        <v>0</v>
      </c>
      <c r="X262">
        <f>IF(OR(B262="",IF('Исходные данные'!$B$76="",'Исходные данные'!$B$10,'Исходные данные'!$B$76)="",C262&lt;IF('Исходные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данные'!$B$76)),1),B262,"m")/12))*IF(AND(B262&lt;=IF('Исходные данные'!$B$76="",'Исходные данные'!$B$10,'Исходные данные'!$B$76),C262&gt;=IF('Исходные данные'!$B$76="",'Исходные данные'!$B$10,'Исходные данные'!$B$76)),(C262-IF('Исходные данные'!$B$76="",'Исходные данные'!$B$10,'Исходные данные'!$B$76)+1)/DAY(C262),1))</f>
        <v>0</v>
      </c>
      <c r="Y262">
        <f t="shared" si="169"/>
        <v>0</v>
      </c>
      <c r="Z262">
        <f>IF(OR(B262="",N('Исходные данные'!$B$19)=0),0,-SUMIFS('Исходные данные'!$I$6:$I$186,'Исходные данные'!$F$6:$F$186,B262)*N('Исходные данные'!$B$17)/N('Исходные данные'!$B$19))</f>
        <v>0</v>
      </c>
      <c r="AA262">
        <f>IF(OR(B262="",N('Исходные данные'!$B$19)=0),0,-SUMIFS('Исходные данные'!$I$6:$I$186,'Исходные данные'!$F$6:$F$186,B262)*N('Исходные данные'!$B$18)/N('Исходные данные'!$B$19))</f>
        <v>0</v>
      </c>
      <c r="AB262">
        <f>IF(OR(B262="",'Исходные данные'!$B$13=""),0,IF(AND(YEAR(B262)=YEAR('Исходные данные'!$B$13),MONTH(B262)=MONTH('Исходные данные'!$B$13)),-N('Исходные данные'!$B$11),0))</f>
        <v>0</v>
      </c>
      <c r="AC262">
        <f>IF(A262=1,-N('Исходные данные'!$B$19)*N('Исходные данные'!$B$72),0)</f>
        <v>0</v>
      </c>
      <c r="AD262">
        <f>IF(OR(B262="",'Исходные данные'!$B$22&lt;&gt;"Да",'Исходные данные'!$B$26=""),0,IF(AND(YEAR(B262)=YEAR('Исходные данные'!$B$26),MONTH(B262)=MONTH('Исходные данные'!$B$26)),N('Исходные данные'!$B$23),0))</f>
        <v>0</v>
      </c>
      <c r="AE262">
        <f t="shared" si="152"/>
        <v>0</v>
      </c>
      <c r="AF262">
        <f>IF(OR('Исходные данные'!$B$22&lt;&gt;"Да",'Исходные данные'!$B$26="",C262&lt;'Исходные данные'!$B$26),0,DATEDIF(DATE(YEAR('Исходные данные'!$B$26),MONTH('Исходные данные'!$B$26),1),B262,"m")+1)</f>
        <v>0</v>
      </c>
      <c r="AG262">
        <f>IF(OR(AF262&lt;1,AF262&gt;N('Исходные данные'!$B$25),AE262+AD262&lt;=0),0,-(AE262+AD262)*N('Исходные данные'!$B$24)*IF(AF262=1,C262-'Исходные данные'!$B$26+1,DAY(C262))/365)</f>
        <v>0</v>
      </c>
      <c r="AH262">
        <f>IF(OR(AF262&lt;1,AF262&gt;N('Исходные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данные'!$B$25)-AG262))</f>
        <v>0</v>
      </c>
      <c r="AI262">
        <f>IF(OR('Исходные данные'!$B$22&lt;&gt;"Да",AE262+AD262&lt;=0),0,IF(AND('Исходные данные'!$B$91&lt;&gt;"",B262&lt;&gt;"",YEAR(B262)=YEAR('Исходные данные'!$B$91),MONTH(B262)=MONTH('Исходные данные'!$B$91)),-(AE262+AD262),IF(OR(AF262&lt;1,AF262&gt;N('Исходные данные'!$B$25)),0,IF('Исходные данные'!$B$27="Равными долями",-MIN(AE262+AD262,N('Исходные данные'!$B$23)/N('Исходные данные'!$B$25)),-MIN(AE262+AD262,IF(AF262=N('Исходные данные'!$B$25),AE262+AD262,MAX(0,AH262+AG262)))))))</f>
        <v>0</v>
      </c>
      <c r="AJ262">
        <f t="shared" si="170"/>
        <v>0</v>
      </c>
      <c r="AK262">
        <f t="shared" si="153"/>
        <v>0</v>
      </c>
      <c r="AL262">
        <f>IF(OR(B262="",'Исходные данные'!$B$51&lt;&gt;"Да",'Исходные данные'!$B$61=""),0,IF(AND(YEAR(B262)=YEAR('Исходные данные'!$B$61),MONTH(B262)=MONTH('Исходные данные'!$B$61)),N('Исходные данные'!$B$18)*N('Исходные данные'!$B$62),0))</f>
        <v>0</v>
      </c>
      <c r="AM262">
        <f t="shared" si="154"/>
        <v>0</v>
      </c>
      <c r="AN262">
        <f t="shared" si="155"/>
        <v>0</v>
      </c>
      <c r="AO262">
        <f t="shared" si="156"/>
        <v>0</v>
      </c>
      <c r="AP262">
        <f>IF('Исходные данные'!$B$51="Да",-MAX(0,AN262-AO262-AM262),0)</f>
        <v>0</v>
      </c>
      <c r="AQ262">
        <f>IF('Исходные данные'!$B$51="Да",MAX(0,AM262+AO262-AN262),0)</f>
        <v>0</v>
      </c>
      <c r="AR262">
        <f>IF('Исходные данные'!$B$53="Выручка",MAX(0,L262+(Q262-R262)+(U262-V262)),IF('Исходные данные'!$B$53="Прибыль до налога",MAX(0,L262+(Q262-R262)+(U262-V262)+N('Исходные данные'!$B$54)*((O262+P262)+(S262+T262)+W262+X262)+IF('Исходные данные'!$B$55="Да",AG262,0)-N('Исходные данные'!$B$56)/12),IF('Исходные данные'!$B$53="Пользовательская база",MAX(0,N('Исходные данные'!$B$57)/12),0)))</f>
        <v>0</v>
      </c>
      <c r="AS262">
        <f>IF(E262=1,-AR262*N('Исходные данные'!$B$50),0)</f>
        <v>0</v>
      </c>
      <c r="AT262">
        <f t="shared" si="157"/>
        <v>0</v>
      </c>
      <c r="AU262">
        <f>IF(OR(B262="",N('Исходные данные'!$B$80)&lt;=0,'Исходные данные'!$B$88=""),0,MAX(0,IF('Исходные данные'!$B$88="Последние 12 месяцев",SUMIFS($Y$2:$Y$194,$B$2:$B$194,"&gt;="&amp;EDATE(B262,-11),$B$2:$B$194,"&lt;="&amp;B262),IF('Исходные данные'!$B$88="Пользовательский NOI",N('Исходные данные'!$B$89),AT262))/N('Исходные данные'!$B$80)*(1+N('Исходные данные'!$B$81))))</f>
        <v>0</v>
      </c>
      <c r="AV262">
        <f>IF(OR(E262&lt;&gt;1,B262="",'Исходные данные'!$B$91=""),0,IF(AND(YEAR(B262)=YEAR('Исходные данные'!$B$91),MONTH(B262)=MONTH('Исходные данные'!$B$91)),AU262,0))</f>
        <v>0</v>
      </c>
      <c r="AW262">
        <f>-AV262*N('Исходные данные'!$B$73)</f>
        <v>0</v>
      </c>
      <c r="AX262">
        <f>IF(AV262=0,0,-N('Исходные данные'!$B$87)-IF('Исходные данные'!$B$82="Да",IF('Исходные данные'!$B$84="С выручки",AV262,IF('Исходные данные'!$B$84="С прибыли",MAX(0,AV262+AW262-IF('Исходные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62">
        <f t="shared" si="171"/>
        <v>0</v>
      </c>
      <c r="AZ262">
        <f t="shared" si="158"/>
        <v>0</v>
      </c>
      <c r="BA262">
        <f t="shared" si="172"/>
        <v>0</v>
      </c>
      <c r="BB262" t="str">
        <f t="shared" si="159"/>
        <v/>
      </c>
      <c r="BC262">
        <f>IF(OR(E262=0,'Исходные данные'!$B$9="",'Исходные данные'!$B$90=""),0,BA262/(1+'Исходные данные'!$B$90)^((D262-'Исходные данные'!$B$9)/365))</f>
        <v>0</v>
      </c>
      <c r="BD262">
        <f>IF(AND(E262=1,BB262&gt;=0,BB261&lt;0,MIN($BB$2:BB262)&lt;0),1,0)</f>
        <v>0</v>
      </c>
      <c r="BE262">
        <f t="shared" si="160"/>
        <v>0</v>
      </c>
      <c r="BF262">
        <f t="shared" si="161"/>
        <v>0</v>
      </c>
      <c r="BG262">
        <f t="shared" si="162"/>
        <v>0</v>
      </c>
      <c r="BH262">
        <f t="shared" si="163"/>
        <v>1</v>
      </c>
      <c r="BI262">
        <f>AZ262+N262+AP262-AR262*N('Исходные данные'!$B$50)</f>
        <v>0</v>
      </c>
      <c r="BJ262">
        <f t="shared" si="164"/>
        <v>0</v>
      </c>
      <c r="BK262">
        <f>IF(AND(BJ262&gt;=0,BJ261&lt;0,MIN($BJ$2:BJ262)&lt;0),1,0)</f>
        <v>0</v>
      </c>
    </row>
    <row r="263" spans="1:63" x14ac:dyDescent="0.2">
      <c r="A263">
        <v>262</v>
      </c>
      <c r="B263" t="str">
        <f>IF('Исходные данные'!$B$9="","",EDATE(DATE(YEAR('Исходные данные'!$B$9),MONTH('Исходные данные'!$B$9),1),A263-1))</f>
        <v/>
      </c>
      <c r="C263" t="str">
        <f t="shared" si="165"/>
        <v/>
      </c>
      <c r="D263" t="str">
        <f>IF(B263="","",IF('Исходные данные'!$B$91&lt;&gt;"",IF(AND(YEAR(B263)=YEAR('Исходные данные'!$B$91),MONTH(B263)=MONTH('Исходные данные'!$B$91)),'Исходные данные'!$B$91,IF('Исходные данные'!$B$13&lt;&gt;"",IF(AND(YEAR(B263)=YEAR('Исходные данные'!$B$13),MONTH(B263)=MONTH('Исходные данные'!$B$13)),'Исходные данные'!$B$13,IF('Исходные данные'!$B$26&lt;&gt;"",IF(AND(YEAR(B263)=YEAR('Исходные данные'!$B$26),MONTH(B263)=MONTH('Исходные данные'!$B$26)),'Исходные данные'!$B$26,IF(A263=1,'Исходные данные'!$B$9,C263)),IF(A263=1,'Исходные данные'!$B$9,C263))),IF('Исходные данные'!$B$26&lt;&gt;"",IF(AND(YEAR(B263)=YEAR('Исходные данные'!$B$26),MONTH(B263)=MONTH('Исходные данные'!$B$26)),'Исходные данные'!$B$26,IF(A263=1,'Исходные данные'!$B$9,C263)),IF(A263=1,'Исходные данные'!$B$9,C263)))),IF('Исходные данные'!$B$13&lt;&gt;"",IF(AND(YEAR(B263)=YEAR('Исходные данные'!$B$13),MONTH(B263)=MONTH('Исходные данные'!$B$13)),'Исходные данные'!$B$13,IF('Исходные данные'!$B$26&lt;&gt;"",IF(AND(YEAR(B263)=YEAR('Исходные данные'!$B$26),MONTH(B263)=MONTH('Исходные данные'!$B$26)),'Исходные данные'!$B$26,IF(A263=1,'Исходные данные'!$B$9,C263)),IF(A263=1,'Исходные данные'!$B$9,C263))),IF('Исходные данные'!$B$26&lt;&gt;"",IF(AND(YEAR(B263)=YEAR('Исходные данные'!$B$26),MONTH(B263)=MONTH('Исходные данные'!$B$26)),'Исходные данные'!$B$26,IF(A263=1,'Исходные данные'!$B$9,C263)),IF(A263=1,'Исходные данные'!$B$9,C263)))))</f>
        <v/>
      </c>
      <c r="E263">
        <f>IF(OR(B263="",'Исходные данные'!$B$91=""),0,--(B263&lt;=DATE(YEAR('Исходные данные'!$B$91),MONTH('Исходные данные'!$B$91),1)))</f>
        <v>0</v>
      </c>
      <c r="F263">
        <f>IF(OR(B263="",'Исходные данные'!$B$30="",C263&lt;'Исходные данные'!$B$30),0,DATEDIF(DATE(YEAR('Исходные данные'!$B$30),MONTH('Исходные данные'!$B$30),1),B263,"m")+1)</f>
        <v>0</v>
      </c>
      <c r="G263">
        <f t="shared" si="166"/>
        <v>0</v>
      </c>
      <c r="H263">
        <f>IF(F263=0,0,IF(G263=1,N('Исходные данные'!$B$31),IF(G263=2,N('Исходные данные'!$B$32),IF(G263=3,N('Исходные данные'!$B$33),N('Исходные данные'!$B$33)*(1+N('Исходные данные'!$B$34))^(G263-3)))))</f>
        <v>0</v>
      </c>
      <c r="I263">
        <f>IF(OR(F263=0,N('Исходные данные'!$B$5)=0,H263=0),0,'Исходные данные'!$B$5*H263*IF(AND(B263&lt;='Исходные данные'!$B$30,C263&gt;='Исходные данные'!$B$30),(C263-'Исходные данные'!$B$30+1)/DAY(C263),1))</f>
        <v>0</v>
      </c>
      <c r="J263">
        <f>IF(AND(F263&gt;0,F263&lt;=N('Исходные данные'!$B$37)),-I263,0)</f>
        <v>0</v>
      </c>
      <c r="K263">
        <f>IF(OR(F263=0,F263&lt;=N('Исходные данные'!$B$37)),0,-(I263+J263)*N('Исходные данные'!$B$38))</f>
        <v>0</v>
      </c>
      <c r="L263">
        <f t="shared" si="167"/>
        <v>0</v>
      </c>
      <c r="M263">
        <f>IF('Исходные данные'!$B$51="Да",L263*N('Исходные данные'!$B$52),0)</f>
        <v>0</v>
      </c>
      <c r="N263">
        <f t="shared" si="168"/>
        <v>0</v>
      </c>
      <c r="O263">
        <f>IF(OR(B263="",IF('Исходные данные'!$B$45="",'Исходные данные'!$B$10,'Исходные данные'!$B$45)="",C263&lt;IF('Исходные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данные'!$B$45)),1),B263,"m")/12))*IF(AND(B263&lt;=IF('Исходные данные'!$B$45="",'Исходные данные'!$B$10,'Исходные данные'!$B$45),C263&gt;=IF('Исходные данные'!$B$45="",'Исходные данные'!$B$10,'Исходные данные'!$B$45)),(C263-IF('Исходные данные'!$B$45="",'Исходные данные'!$B$10,'Исходные данные'!$B$45)+1)/DAY(C263),1)*IF('Исходные данные'!$B$43="Без НДС",1+N('Исходные данные'!$B$44),1))</f>
        <v>0</v>
      </c>
      <c r="P263">
        <f>IF('Исходные данные'!$B$51="Да",-O263*N('Исходные данные'!$B$44)/(1+N('Исходные данные'!$B$44)),0)</f>
        <v>0</v>
      </c>
      <c r="Q263">
        <f>IF('Исходные данные'!$B$35="Да",-O263,0)</f>
        <v>0</v>
      </c>
      <c r="R263">
        <f>IF(AND('Исходные данные'!$B$51="Да",Q263&gt;0),Q263*N('Исходные данные'!$B$52)/(1+N('Исходные данные'!$B$52)),0)</f>
        <v>0</v>
      </c>
      <c r="S263">
        <f>IF(OR(B263="",IF('Исходные данные'!$B$45="",'Исходные данные'!$B$10,'Исходные данные'!$B$45)="",C263&lt;IF('Исходные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данные'!$B$45)),1),B263,"m")/12))*IF(AND(B263&lt;=IF('Исходные данные'!$B$45="",'Исходные данные'!$B$10,'Исходные данные'!$B$45),C263&gt;=IF('Исходные данные'!$B$45="",'Исходные данные'!$B$10,'Исходные данные'!$B$45)),(C263-IF('Исходные данные'!$B$45="",'Исходные данные'!$B$10,'Исходные данные'!$B$45)+1)/DAY(C263),1)*IF('Исходные данные'!$B$43="Без НДС",1+N('Исходные данные'!$B$44),1))</f>
        <v>0</v>
      </c>
      <c r="T263">
        <f>IF('Исходные данные'!$B$51="Да",-S263*N('Исходные данные'!$B$44)/(1+N('Исходные данные'!$B$44)),0)</f>
        <v>0</v>
      </c>
      <c r="U263">
        <f>IF('Исходные данные'!$B$36="Да",-S263,0)</f>
        <v>0</v>
      </c>
      <c r="V263">
        <f>IF(AND('Исходные данные'!$B$51="Да",U263&gt;0),U263*N('Исходные данные'!$B$52)/(1+N('Исходные данные'!$B$52)),0)</f>
        <v>0</v>
      </c>
      <c r="W263">
        <f>IF(OR(B263="",IF('Исходные данные'!$B$69="",'Исходные данные'!$B$10,'Исходные данные'!$B$69)="",C263&lt;IF('Исходные данные'!$B$69="",'Исходные данные'!$B$10,'Исходные данные'!$B$69)),0,-N('Исходные данные'!$B$16)*N('Исходные данные'!$B$68)*N('Исходные данные'!$B$67)/12*IF(AND(B263&lt;=IF('Исходные данные'!$B$69="",'Исходные данные'!$B$10,'Исходные данные'!$B$69),C263&gt;=IF('Исходные данные'!$B$69="",'Исходные данные'!$B$10,'Исходные данные'!$B$69)),(C263-IF('Исходные данные'!$B$69="",'Исходные данные'!$B$10,'Исходные данные'!$B$69)+1)/DAY(C263),1))</f>
        <v>0</v>
      </c>
      <c r="X263">
        <f>IF(OR(B263="",IF('Исходные данные'!$B$76="",'Исходные данные'!$B$10,'Исходные данные'!$B$76)="",C263&lt;IF('Исходные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данные'!$B$76)),1),B263,"m")/12))*IF(AND(B263&lt;=IF('Исходные данные'!$B$76="",'Исходные данные'!$B$10,'Исходные данные'!$B$76),C263&gt;=IF('Исходные данные'!$B$76="",'Исходные данные'!$B$10,'Исходные данные'!$B$76)),(C263-IF('Исходные данные'!$B$76="",'Исходные данные'!$B$10,'Исходные данные'!$B$76)+1)/DAY(C263),1))</f>
        <v>0</v>
      </c>
      <c r="Y263">
        <f t="shared" si="169"/>
        <v>0</v>
      </c>
      <c r="Z263">
        <f>IF(OR(B263="",N('Исходные данные'!$B$19)=0),0,-SUMIFS('Исходные данные'!$I$6:$I$186,'Исходные данные'!$F$6:$F$186,B263)*N('Исходные данные'!$B$17)/N('Исходные данные'!$B$19))</f>
        <v>0</v>
      </c>
      <c r="AA263">
        <f>IF(OR(B263="",N('Исходные данные'!$B$19)=0),0,-SUMIFS('Исходные данные'!$I$6:$I$186,'Исходные данные'!$F$6:$F$186,B263)*N('Исходные данные'!$B$18)/N('Исходные данные'!$B$19))</f>
        <v>0</v>
      </c>
      <c r="AB263">
        <f>IF(OR(B263="",'Исходные данные'!$B$13=""),0,IF(AND(YEAR(B263)=YEAR('Исходные данные'!$B$13),MONTH(B263)=MONTH('Исходные данные'!$B$13)),-N('Исходные данные'!$B$11),0))</f>
        <v>0</v>
      </c>
      <c r="AC263">
        <f>IF(A263=1,-N('Исходные данные'!$B$19)*N('Исходные данные'!$B$72),0)</f>
        <v>0</v>
      </c>
      <c r="AD263">
        <f>IF(OR(B263="",'Исходные данные'!$B$22&lt;&gt;"Да",'Исходные данные'!$B$26=""),0,IF(AND(YEAR(B263)=YEAR('Исходные данные'!$B$26),MONTH(B263)=MONTH('Исходные данные'!$B$26)),N('Исходные данные'!$B$23),0))</f>
        <v>0</v>
      </c>
      <c r="AE263">
        <f t="shared" si="152"/>
        <v>0</v>
      </c>
      <c r="AF263">
        <f>IF(OR('Исходные данные'!$B$22&lt;&gt;"Да",'Исходные данные'!$B$26="",C263&lt;'Исходные данные'!$B$26),0,DATEDIF(DATE(YEAR('Исходные данные'!$B$26),MONTH('Исходные данные'!$B$26),1),B263,"m")+1)</f>
        <v>0</v>
      </c>
      <c r="AG263">
        <f>IF(OR(AF263&lt;1,AF263&gt;N('Исходные данные'!$B$25),AE263+AD263&lt;=0),0,-(AE263+AD263)*N('Исходные данные'!$B$24)*IF(AF263=1,C263-'Исходные данные'!$B$26+1,DAY(C263))/365)</f>
        <v>0</v>
      </c>
      <c r="AH263">
        <f>IF(OR(AF263&lt;1,AF263&gt;N('Исходные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данные'!$B$25)-AG263))</f>
        <v>0</v>
      </c>
      <c r="AI263">
        <f>IF(OR('Исходные данные'!$B$22&lt;&gt;"Да",AE263+AD263&lt;=0),0,IF(AND('Исходные данные'!$B$91&lt;&gt;"",B263&lt;&gt;"",YEAR(B263)=YEAR('Исходные данные'!$B$91),MONTH(B263)=MONTH('Исходные данные'!$B$91)),-(AE263+AD263),IF(OR(AF263&lt;1,AF263&gt;N('Исходные данные'!$B$25)),0,IF('Исходные данные'!$B$27="Равными долями",-MIN(AE263+AD263,N('Исходные данные'!$B$23)/N('Исходные данные'!$B$25)),-MIN(AE263+AD263,IF(AF263=N('Исходные данные'!$B$25),AE263+AD263,MAX(0,AH263+AG263)))))))</f>
        <v>0</v>
      </c>
      <c r="AJ263">
        <f t="shared" si="170"/>
        <v>0</v>
      </c>
      <c r="AK263">
        <f t="shared" si="153"/>
        <v>0</v>
      </c>
      <c r="AL263">
        <f>IF(OR(B263="",'Исходные данные'!$B$51&lt;&gt;"Да",'Исходные данные'!$B$61=""),0,IF(AND(YEAR(B263)=YEAR('Исходные данные'!$B$61),MONTH(B263)=MONTH('Исходные данные'!$B$61)),N('Исходные данные'!$B$18)*N('Исходные данные'!$B$62),0))</f>
        <v>0</v>
      </c>
      <c r="AM263">
        <f t="shared" si="154"/>
        <v>0</v>
      </c>
      <c r="AN263">
        <f t="shared" si="155"/>
        <v>0</v>
      </c>
      <c r="AO263">
        <f t="shared" si="156"/>
        <v>0</v>
      </c>
      <c r="AP263">
        <f>IF('Исходные данные'!$B$51="Да",-MAX(0,AN263-AO263-AM263),0)</f>
        <v>0</v>
      </c>
      <c r="AQ263">
        <f>IF('Исходные данные'!$B$51="Да",MAX(0,AM263+AO263-AN263),0)</f>
        <v>0</v>
      </c>
      <c r="AR263">
        <f>IF('Исходные данные'!$B$53="Выручка",MAX(0,L263+(Q263-R263)+(U263-V263)),IF('Исходные данные'!$B$53="Прибыль до налога",MAX(0,L263+(Q263-R263)+(U263-V263)+N('Исходные данные'!$B$54)*((O263+P263)+(S263+T263)+W263+X263)+IF('Исходные данные'!$B$55="Да",AG263,0)-N('Исходные данные'!$B$56)/12),IF('Исходные данные'!$B$53="Пользовательская база",MAX(0,N('Исходные данные'!$B$57)/12),0)))</f>
        <v>0</v>
      </c>
      <c r="AS263">
        <f>IF(E263=1,-AR263*N('Исходные данные'!$B$50),0)</f>
        <v>0</v>
      </c>
      <c r="AT263">
        <f t="shared" si="157"/>
        <v>0</v>
      </c>
      <c r="AU263">
        <f>IF(OR(B263="",N('Исходные данные'!$B$80)&lt;=0,'Исходные данные'!$B$88=""),0,MAX(0,IF('Исходные данные'!$B$88="Последние 12 месяцев",SUMIFS($Y$2:$Y$194,$B$2:$B$194,"&gt;="&amp;EDATE(B263,-11),$B$2:$B$194,"&lt;="&amp;B263),IF('Исходные данные'!$B$88="Пользовательский NOI",N('Исходные данные'!$B$89),AT263))/N('Исходные данные'!$B$80)*(1+N('Исходные данные'!$B$81))))</f>
        <v>0</v>
      </c>
      <c r="AV263">
        <f>IF(OR(E263&lt;&gt;1,B263="",'Исходные данные'!$B$91=""),0,IF(AND(YEAR(B263)=YEAR('Исходные данные'!$B$91),MONTH(B263)=MONTH('Исходные данные'!$B$91)),AU263,0))</f>
        <v>0</v>
      </c>
      <c r="AW263">
        <f>-AV263*N('Исходные данные'!$B$73)</f>
        <v>0</v>
      </c>
      <c r="AX263">
        <f>IF(AV263=0,0,-N('Исходные данные'!$B$87)-IF('Исходные данные'!$B$82="Да",IF('Исходные данные'!$B$84="С выручки",AV263,IF('Исходные данные'!$B$84="С прибыли",MAX(0,AV263+AW263-IF('Исходные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63">
        <f t="shared" si="171"/>
        <v>0</v>
      </c>
      <c r="AZ263">
        <f t="shared" si="158"/>
        <v>0</v>
      </c>
      <c r="BA263">
        <f t="shared" si="172"/>
        <v>0</v>
      </c>
      <c r="BB263" t="str">
        <f t="shared" si="159"/>
        <v/>
      </c>
      <c r="BC263">
        <f>IF(OR(E263=0,'Исходные данные'!$B$9="",'Исходные данные'!$B$90=""),0,BA263/(1+'Исходные данные'!$B$90)^((D263-'Исходные данные'!$B$9)/365))</f>
        <v>0</v>
      </c>
      <c r="BD263">
        <f>IF(AND(E263=1,BB263&gt;=0,BB262&lt;0,MIN($BB$2:BB263)&lt;0),1,0)</f>
        <v>0</v>
      </c>
      <c r="BE263">
        <f t="shared" si="160"/>
        <v>0</v>
      </c>
      <c r="BF263">
        <f t="shared" si="161"/>
        <v>0</v>
      </c>
      <c r="BG263">
        <f t="shared" si="162"/>
        <v>0</v>
      </c>
      <c r="BH263">
        <f t="shared" si="163"/>
        <v>1</v>
      </c>
      <c r="BI263">
        <f>AZ263+N263+AP263-AR263*N('Исходные данные'!$B$50)</f>
        <v>0</v>
      </c>
      <c r="BJ263">
        <f t="shared" si="164"/>
        <v>0</v>
      </c>
      <c r="BK263">
        <f>IF(AND(BJ263&gt;=0,BJ262&lt;0,MIN($BJ$2:BJ263)&lt;0),1,0)</f>
        <v>0</v>
      </c>
    </row>
    <row r="264" spans="1:63" x14ac:dyDescent="0.2">
      <c r="A264">
        <v>263</v>
      </c>
      <c r="B264" t="str">
        <f>IF('Исходные данные'!$B$9="","",EDATE(DATE(YEAR('Исходные данные'!$B$9),MONTH('Исходные данные'!$B$9),1),A264-1))</f>
        <v/>
      </c>
      <c r="C264" t="str">
        <f t="shared" si="165"/>
        <v/>
      </c>
      <c r="D264" t="str">
        <f>IF(B264="","",IF('Исходные данные'!$B$91&lt;&gt;"",IF(AND(YEAR(B264)=YEAR('Исходные данные'!$B$91),MONTH(B264)=MONTH('Исходные данные'!$B$91)),'Исходные данные'!$B$91,IF('Исходные данные'!$B$13&lt;&gt;"",IF(AND(YEAR(B264)=YEAR('Исходные данные'!$B$13),MONTH(B264)=MONTH('Исходные данные'!$B$13)),'Исходные данные'!$B$13,IF('Исходные данные'!$B$26&lt;&gt;"",IF(AND(YEAR(B264)=YEAR('Исходные данные'!$B$26),MONTH(B264)=MONTH('Исходные данные'!$B$26)),'Исходные данные'!$B$26,IF(A264=1,'Исходные данные'!$B$9,C264)),IF(A264=1,'Исходные данные'!$B$9,C264))),IF('Исходные данные'!$B$26&lt;&gt;"",IF(AND(YEAR(B264)=YEAR('Исходные данные'!$B$26),MONTH(B264)=MONTH('Исходные данные'!$B$26)),'Исходные данные'!$B$26,IF(A264=1,'Исходные данные'!$B$9,C264)),IF(A264=1,'Исходные данные'!$B$9,C264)))),IF('Исходные данные'!$B$13&lt;&gt;"",IF(AND(YEAR(B264)=YEAR('Исходные данные'!$B$13),MONTH(B264)=MONTH('Исходные данные'!$B$13)),'Исходные данные'!$B$13,IF('Исходные данные'!$B$26&lt;&gt;"",IF(AND(YEAR(B264)=YEAR('Исходные данные'!$B$26),MONTH(B264)=MONTH('Исходные данные'!$B$26)),'Исходные данные'!$B$26,IF(A264=1,'Исходные данные'!$B$9,C264)),IF(A264=1,'Исходные данные'!$B$9,C264))),IF('Исходные данные'!$B$26&lt;&gt;"",IF(AND(YEAR(B264)=YEAR('Исходные данные'!$B$26),MONTH(B264)=MONTH('Исходные данные'!$B$26)),'Исходные данные'!$B$26,IF(A264=1,'Исходные данные'!$B$9,C264)),IF(A264=1,'Исходные данные'!$B$9,C264)))))</f>
        <v/>
      </c>
      <c r="E264">
        <f>IF(OR(B264="",'Исходные данные'!$B$91=""),0,--(B264&lt;=DATE(YEAR('Исходные данные'!$B$91),MONTH('Исходные данные'!$B$91),1)))</f>
        <v>0</v>
      </c>
      <c r="F264">
        <f>IF(OR(B264="",'Исходные данные'!$B$30="",C264&lt;'Исходные данные'!$B$30),0,DATEDIF(DATE(YEAR('Исходные данные'!$B$30),MONTH('Исходные данные'!$B$30),1),B264,"m")+1)</f>
        <v>0</v>
      </c>
      <c r="G264">
        <f t="shared" si="166"/>
        <v>0</v>
      </c>
      <c r="H264">
        <f>IF(F264=0,0,IF(G264=1,N('Исходные данные'!$B$31),IF(G264=2,N('Исходные данные'!$B$32),IF(G264=3,N('Исходные данные'!$B$33),N('Исходные данные'!$B$33)*(1+N('Исходные данные'!$B$34))^(G264-3)))))</f>
        <v>0</v>
      </c>
      <c r="I264">
        <f>IF(OR(F264=0,N('Исходные данные'!$B$5)=0,H264=0),0,'Исходные данные'!$B$5*H264*IF(AND(B264&lt;='Исходные данные'!$B$30,C264&gt;='Исходные данные'!$B$30),(C264-'Исходные данные'!$B$30+1)/DAY(C264),1))</f>
        <v>0</v>
      </c>
      <c r="J264">
        <f>IF(AND(F264&gt;0,F264&lt;=N('Исходные данные'!$B$37)),-I264,0)</f>
        <v>0</v>
      </c>
      <c r="K264">
        <f>IF(OR(F264=0,F264&lt;=N('Исходные данные'!$B$37)),0,-(I264+J264)*N('Исходные данные'!$B$38))</f>
        <v>0</v>
      </c>
      <c r="L264">
        <f t="shared" si="167"/>
        <v>0</v>
      </c>
      <c r="M264">
        <f>IF('Исходные данные'!$B$51="Да",L264*N('Исходные данные'!$B$52),0)</f>
        <v>0</v>
      </c>
      <c r="N264">
        <f t="shared" si="168"/>
        <v>0</v>
      </c>
      <c r="O264">
        <f>IF(OR(B264="",IF('Исходные данные'!$B$45="",'Исходные данные'!$B$10,'Исходные данные'!$B$45)="",C264&lt;IF('Исходные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данные'!$B$45)),1),B264,"m")/12))*IF(AND(B264&lt;=IF('Исходные данные'!$B$45="",'Исходные данные'!$B$10,'Исходные данные'!$B$45),C264&gt;=IF('Исходные данные'!$B$45="",'Исходные данные'!$B$10,'Исходные данные'!$B$45)),(C264-IF('Исходные данные'!$B$45="",'Исходные данные'!$B$10,'Исходные данные'!$B$45)+1)/DAY(C264),1)*IF('Исходные данные'!$B$43="Без НДС",1+N('Исходные данные'!$B$44),1))</f>
        <v>0</v>
      </c>
      <c r="P264">
        <f>IF('Исходные данные'!$B$51="Да",-O264*N('Исходные данные'!$B$44)/(1+N('Исходные данные'!$B$44)),0)</f>
        <v>0</v>
      </c>
      <c r="Q264">
        <f>IF('Исходные данные'!$B$35="Да",-O264,0)</f>
        <v>0</v>
      </c>
      <c r="R264">
        <f>IF(AND('Исходные данные'!$B$51="Да",Q264&gt;0),Q264*N('Исходные данные'!$B$52)/(1+N('Исходные данные'!$B$52)),0)</f>
        <v>0</v>
      </c>
      <c r="S264">
        <f>IF(OR(B264="",IF('Исходные данные'!$B$45="",'Исходные данные'!$B$10,'Исходные данные'!$B$45)="",C264&lt;IF('Исходные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данные'!$B$45)),1),B264,"m")/12))*IF(AND(B264&lt;=IF('Исходные данные'!$B$45="",'Исходные данные'!$B$10,'Исходные данные'!$B$45),C264&gt;=IF('Исходные данные'!$B$45="",'Исходные данные'!$B$10,'Исходные данные'!$B$45)),(C264-IF('Исходные данные'!$B$45="",'Исходные данные'!$B$10,'Исходные данные'!$B$45)+1)/DAY(C264),1)*IF('Исходные данные'!$B$43="Без НДС",1+N('Исходные данные'!$B$44),1))</f>
        <v>0</v>
      </c>
      <c r="T264">
        <f>IF('Исходные данные'!$B$51="Да",-S264*N('Исходные данные'!$B$44)/(1+N('Исходные данные'!$B$44)),0)</f>
        <v>0</v>
      </c>
      <c r="U264">
        <f>IF('Исходные данные'!$B$36="Да",-S264,0)</f>
        <v>0</v>
      </c>
      <c r="V264">
        <f>IF(AND('Исходные данные'!$B$51="Да",U264&gt;0),U264*N('Исходные данные'!$B$52)/(1+N('Исходные данные'!$B$52)),0)</f>
        <v>0</v>
      </c>
      <c r="W264">
        <f>IF(OR(B264="",IF('Исходные данные'!$B$69="",'Исходные данные'!$B$10,'Исходные данные'!$B$69)="",C264&lt;IF('Исходные данные'!$B$69="",'Исходные данные'!$B$10,'Исходные данные'!$B$69)),0,-N('Исходные данные'!$B$16)*N('Исходные данные'!$B$68)*N('Исходные данные'!$B$67)/12*IF(AND(B264&lt;=IF('Исходные данные'!$B$69="",'Исходные данные'!$B$10,'Исходные данные'!$B$69),C264&gt;=IF('Исходные данные'!$B$69="",'Исходные данные'!$B$10,'Исходные данные'!$B$69)),(C264-IF('Исходные данные'!$B$69="",'Исходные данные'!$B$10,'Исходные данные'!$B$69)+1)/DAY(C264),1))</f>
        <v>0</v>
      </c>
      <c r="X264">
        <f>IF(OR(B264="",IF('Исходные данные'!$B$76="",'Исходные данные'!$B$10,'Исходные данные'!$B$76)="",C264&lt;IF('Исходные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данные'!$B$76)),1),B264,"m")/12))*IF(AND(B264&lt;=IF('Исходные данные'!$B$76="",'Исходные данные'!$B$10,'Исходные данные'!$B$76),C264&gt;=IF('Исходные данные'!$B$76="",'Исходные данные'!$B$10,'Исходные данные'!$B$76)),(C264-IF('Исходные данные'!$B$76="",'Исходные данные'!$B$10,'Исходные данные'!$B$76)+1)/DAY(C264),1))</f>
        <v>0</v>
      </c>
      <c r="Y264">
        <f t="shared" si="169"/>
        <v>0</v>
      </c>
      <c r="Z264">
        <f>IF(OR(B264="",N('Исходные данные'!$B$19)=0),0,-SUMIFS('Исходные данные'!$I$6:$I$186,'Исходные данные'!$F$6:$F$186,B264)*N('Исходные данные'!$B$17)/N('Исходные данные'!$B$19))</f>
        <v>0</v>
      </c>
      <c r="AA264">
        <f>IF(OR(B264="",N('Исходные данные'!$B$19)=0),0,-SUMIFS('Исходные данные'!$I$6:$I$186,'Исходные данные'!$F$6:$F$186,B264)*N('Исходные данные'!$B$18)/N('Исходные данные'!$B$19))</f>
        <v>0</v>
      </c>
      <c r="AB264">
        <f>IF(OR(B264="",'Исходные данные'!$B$13=""),0,IF(AND(YEAR(B264)=YEAR('Исходные данные'!$B$13),MONTH(B264)=MONTH('Исходные данные'!$B$13)),-N('Исходные данные'!$B$11),0))</f>
        <v>0</v>
      </c>
      <c r="AC264">
        <f>IF(A264=1,-N('Исходные данные'!$B$19)*N('Исходные данные'!$B$72),0)</f>
        <v>0</v>
      </c>
      <c r="AD264">
        <f>IF(OR(B264="",'Исходные данные'!$B$22&lt;&gt;"Да",'Исходные данные'!$B$26=""),0,IF(AND(YEAR(B264)=YEAR('Исходные данные'!$B$26),MONTH(B264)=MONTH('Исходные данные'!$B$26)),N('Исходные данные'!$B$23),0))</f>
        <v>0</v>
      </c>
      <c r="AE264">
        <f t="shared" si="152"/>
        <v>0</v>
      </c>
      <c r="AF264">
        <f>IF(OR('Исходные данные'!$B$22&lt;&gt;"Да",'Исходные данные'!$B$26="",C264&lt;'Исходные данные'!$B$26),0,DATEDIF(DATE(YEAR('Исходные данные'!$B$26),MONTH('Исходные данные'!$B$26),1),B264,"m")+1)</f>
        <v>0</v>
      </c>
      <c r="AG264">
        <f>IF(OR(AF264&lt;1,AF264&gt;N('Исходные данные'!$B$25),AE264+AD264&lt;=0),0,-(AE264+AD264)*N('Исходные данные'!$B$24)*IF(AF264=1,C264-'Исходные данные'!$B$26+1,DAY(C264))/365)</f>
        <v>0</v>
      </c>
      <c r="AH264">
        <f>IF(OR(AF264&lt;1,AF264&gt;N('Исходные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данные'!$B$25)-AG264))</f>
        <v>0</v>
      </c>
      <c r="AI264">
        <f>IF(OR('Исходные данные'!$B$22&lt;&gt;"Да",AE264+AD264&lt;=0),0,IF(AND('Исходные данные'!$B$91&lt;&gt;"",B264&lt;&gt;"",YEAR(B264)=YEAR('Исходные данные'!$B$91),MONTH(B264)=MONTH('Исходные данные'!$B$91)),-(AE264+AD264),IF(OR(AF264&lt;1,AF264&gt;N('Исходные данные'!$B$25)),0,IF('Исходные данные'!$B$27="Равными долями",-MIN(AE264+AD264,N('Исходные данные'!$B$23)/N('Исходные данные'!$B$25)),-MIN(AE264+AD264,IF(AF264=N('Исходные данные'!$B$25),AE264+AD264,MAX(0,AH264+AG264)))))))</f>
        <v>0</v>
      </c>
      <c r="AJ264">
        <f t="shared" si="170"/>
        <v>0</v>
      </c>
      <c r="AK264">
        <f t="shared" si="153"/>
        <v>0</v>
      </c>
      <c r="AL264">
        <f>IF(OR(B264="",'Исходные данные'!$B$51&lt;&gt;"Да",'Исходные данные'!$B$61=""),0,IF(AND(YEAR(B264)=YEAR('Исходные данные'!$B$61),MONTH(B264)=MONTH('Исходные данные'!$B$61)),N('Исходные данные'!$B$18)*N('Исходные данные'!$B$62),0))</f>
        <v>0</v>
      </c>
      <c r="AM264">
        <f t="shared" si="154"/>
        <v>0</v>
      </c>
      <c r="AN264">
        <f t="shared" si="155"/>
        <v>0</v>
      </c>
      <c r="AO264">
        <f t="shared" si="156"/>
        <v>0</v>
      </c>
      <c r="AP264">
        <f>IF('Исходные данные'!$B$51="Да",-MAX(0,AN264-AO264-AM264),0)</f>
        <v>0</v>
      </c>
      <c r="AQ264">
        <f>IF('Исходные данные'!$B$51="Да",MAX(0,AM264+AO264-AN264),0)</f>
        <v>0</v>
      </c>
      <c r="AR264">
        <f>IF('Исходные данные'!$B$53="Выручка",MAX(0,L264+(Q264-R264)+(U264-V264)),IF('Исходные данные'!$B$53="Прибыль до налога",MAX(0,L264+(Q264-R264)+(U264-V264)+N('Исходные данные'!$B$54)*((O264+P264)+(S264+T264)+W264+X264)+IF('Исходные данные'!$B$55="Да",AG264,0)-N('Исходные данные'!$B$56)/12),IF('Исходные данные'!$B$53="Пользовательская база",MAX(0,N('Исходные данные'!$B$57)/12),0)))</f>
        <v>0</v>
      </c>
      <c r="AS264">
        <f>IF(E264=1,-AR264*N('Исходные данные'!$B$50),0)</f>
        <v>0</v>
      </c>
      <c r="AT264">
        <f t="shared" si="157"/>
        <v>0</v>
      </c>
      <c r="AU264">
        <f>IF(OR(B264="",N('Исходные данные'!$B$80)&lt;=0,'Исходные данные'!$B$88=""),0,MAX(0,IF('Исходные данные'!$B$88="Последние 12 месяцев",SUMIFS($Y$2:$Y$194,$B$2:$B$194,"&gt;="&amp;EDATE(B264,-11),$B$2:$B$194,"&lt;="&amp;B264),IF('Исходные данные'!$B$88="Пользовательский NOI",N('Исходные данные'!$B$89),AT264))/N('Исходные данные'!$B$80)*(1+N('Исходные данные'!$B$81))))</f>
        <v>0</v>
      </c>
      <c r="AV264">
        <f>IF(OR(E264&lt;&gt;1,B264="",'Исходные данные'!$B$91=""),0,IF(AND(YEAR(B264)=YEAR('Исходные данные'!$B$91),MONTH(B264)=MONTH('Исходные данные'!$B$91)),AU264,0))</f>
        <v>0</v>
      </c>
      <c r="AW264">
        <f>-AV264*N('Исходные данные'!$B$73)</f>
        <v>0</v>
      </c>
      <c r="AX264">
        <f>IF(AV264=0,0,-N('Исходные данные'!$B$87)-IF('Исходные данные'!$B$82="Да",IF('Исходные данные'!$B$84="С выручки",AV264,IF('Исходные данные'!$B$84="С прибыли",MAX(0,AV264+AW264-IF('Исходные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64">
        <f t="shared" si="171"/>
        <v>0</v>
      </c>
      <c r="AZ264">
        <f t="shared" si="158"/>
        <v>0</v>
      </c>
      <c r="BA264">
        <f t="shared" si="172"/>
        <v>0</v>
      </c>
      <c r="BB264" t="str">
        <f t="shared" si="159"/>
        <v/>
      </c>
      <c r="BC264">
        <f>IF(OR(E264=0,'Исходные данные'!$B$9="",'Исходные данные'!$B$90=""),0,BA264/(1+'Исходные данные'!$B$90)^((D264-'Исходные данные'!$B$9)/365))</f>
        <v>0</v>
      </c>
      <c r="BD264">
        <f>IF(AND(E264=1,BB264&gt;=0,BB263&lt;0,MIN($BB$2:BB264)&lt;0),1,0)</f>
        <v>0</v>
      </c>
      <c r="BE264">
        <f t="shared" si="160"/>
        <v>0</v>
      </c>
      <c r="BF264">
        <f t="shared" si="161"/>
        <v>0</v>
      </c>
      <c r="BG264">
        <f t="shared" si="162"/>
        <v>0</v>
      </c>
      <c r="BH264">
        <f t="shared" si="163"/>
        <v>1</v>
      </c>
      <c r="BI264">
        <f>AZ264+N264+AP264-AR264*N('Исходные данные'!$B$50)</f>
        <v>0</v>
      </c>
      <c r="BJ264">
        <f t="shared" si="164"/>
        <v>0</v>
      </c>
      <c r="BK264">
        <f>IF(AND(BJ264&gt;=0,BJ263&lt;0,MIN($BJ$2:BJ264)&lt;0),1,0)</f>
        <v>0</v>
      </c>
    </row>
    <row r="265" spans="1:63" x14ac:dyDescent="0.2">
      <c r="A265">
        <v>264</v>
      </c>
      <c r="B265" t="str">
        <f>IF('Исходные данные'!$B$9="","",EDATE(DATE(YEAR('Исходные данные'!$B$9),MONTH('Исходные данные'!$B$9),1),A265-1))</f>
        <v/>
      </c>
      <c r="C265" t="str">
        <f t="shared" si="165"/>
        <v/>
      </c>
      <c r="D265" t="str">
        <f>IF(B265="","",IF('Исходные данные'!$B$91&lt;&gt;"",IF(AND(YEAR(B265)=YEAR('Исходные данные'!$B$91),MONTH(B265)=MONTH('Исходные данные'!$B$91)),'Исходные данные'!$B$91,IF('Исходные данные'!$B$13&lt;&gt;"",IF(AND(YEAR(B265)=YEAR('Исходные данные'!$B$13),MONTH(B265)=MONTH('Исходные данные'!$B$13)),'Исходные данные'!$B$13,IF('Исходные данные'!$B$26&lt;&gt;"",IF(AND(YEAR(B265)=YEAR('Исходные данные'!$B$26),MONTH(B265)=MONTH('Исходные данные'!$B$26)),'Исходные данные'!$B$26,IF(A265=1,'Исходные данные'!$B$9,C265)),IF(A265=1,'Исходные данные'!$B$9,C265))),IF('Исходные данные'!$B$26&lt;&gt;"",IF(AND(YEAR(B265)=YEAR('Исходные данные'!$B$26),MONTH(B265)=MONTH('Исходные данные'!$B$26)),'Исходные данные'!$B$26,IF(A265=1,'Исходные данные'!$B$9,C265)),IF(A265=1,'Исходные данные'!$B$9,C265)))),IF('Исходные данные'!$B$13&lt;&gt;"",IF(AND(YEAR(B265)=YEAR('Исходные данные'!$B$13),MONTH(B265)=MONTH('Исходные данные'!$B$13)),'Исходные данные'!$B$13,IF('Исходные данные'!$B$26&lt;&gt;"",IF(AND(YEAR(B265)=YEAR('Исходные данные'!$B$26),MONTH(B265)=MONTH('Исходные данные'!$B$26)),'Исходные данные'!$B$26,IF(A265=1,'Исходные данные'!$B$9,C265)),IF(A265=1,'Исходные данные'!$B$9,C265))),IF('Исходные данные'!$B$26&lt;&gt;"",IF(AND(YEAR(B265)=YEAR('Исходные данные'!$B$26),MONTH(B265)=MONTH('Исходные данные'!$B$26)),'Исходные данные'!$B$26,IF(A265=1,'Исходные данные'!$B$9,C265)),IF(A265=1,'Исходные данные'!$B$9,C265)))))</f>
        <v/>
      </c>
      <c r="E265">
        <f>IF(OR(B265="",'Исходные данные'!$B$91=""),0,--(B265&lt;=DATE(YEAR('Исходные данные'!$B$91),MONTH('Исходные данные'!$B$91),1)))</f>
        <v>0</v>
      </c>
      <c r="F265">
        <f>IF(OR(B265="",'Исходные данные'!$B$30="",C265&lt;'Исходные данные'!$B$30),0,DATEDIF(DATE(YEAR('Исходные данные'!$B$30),MONTH('Исходные данные'!$B$30),1),B265,"m")+1)</f>
        <v>0</v>
      </c>
      <c r="G265">
        <f t="shared" si="166"/>
        <v>0</v>
      </c>
      <c r="H265">
        <f>IF(F265=0,0,IF(G265=1,N('Исходные данные'!$B$31),IF(G265=2,N('Исходные данные'!$B$32),IF(G265=3,N('Исходные данные'!$B$33),N('Исходные данные'!$B$33)*(1+N('Исходные данные'!$B$34))^(G265-3)))))</f>
        <v>0</v>
      </c>
      <c r="I265">
        <f>IF(OR(F265=0,N('Исходные данные'!$B$5)=0,H265=0),0,'Исходные данные'!$B$5*H265*IF(AND(B265&lt;='Исходные данные'!$B$30,C265&gt;='Исходные данные'!$B$30),(C265-'Исходные данные'!$B$30+1)/DAY(C265),1))</f>
        <v>0</v>
      </c>
      <c r="J265">
        <f>IF(AND(F265&gt;0,F265&lt;=N('Исходные данные'!$B$37)),-I265,0)</f>
        <v>0</v>
      </c>
      <c r="K265">
        <f>IF(OR(F265=0,F265&lt;=N('Исходные данные'!$B$37)),0,-(I265+J265)*N('Исходные данные'!$B$38))</f>
        <v>0</v>
      </c>
      <c r="L265">
        <f t="shared" si="167"/>
        <v>0</v>
      </c>
      <c r="M265">
        <f>IF('Исходные данные'!$B$51="Да",L265*N('Исходные данные'!$B$52),0)</f>
        <v>0</v>
      </c>
      <c r="N265">
        <f t="shared" si="168"/>
        <v>0</v>
      </c>
      <c r="O265">
        <f>IF(OR(B265="",IF('Исходные данные'!$B$45="",'Исходные данные'!$B$10,'Исходные данные'!$B$45)="",C265&lt;IF('Исходные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данные'!$B$45)),1),B265,"m")/12))*IF(AND(B265&lt;=IF('Исходные данные'!$B$45="",'Исходные данные'!$B$10,'Исходные данные'!$B$45),C265&gt;=IF('Исходные данные'!$B$45="",'Исходные данные'!$B$10,'Исходные данные'!$B$45)),(C265-IF('Исходные данные'!$B$45="",'Исходные данные'!$B$10,'Исходные данные'!$B$45)+1)/DAY(C265),1)*IF('Исходные данные'!$B$43="Без НДС",1+N('Исходные данные'!$B$44),1))</f>
        <v>0</v>
      </c>
      <c r="P265">
        <f>IF('Исходные данные'!$B$51="Да",-O265*N('Исходные данные'!$B$44)/(1+N('Исходные данные'!$B$44)),0)</f>
        <v>0</v>
      </c>
      <c r="Q265">
        <f>IF('Исходные данные'!$B$35="Да",-O265,0)</f>
        <v>0</v>
      </c>
      <c r="R265">
        <f>IF(AND('Исходные данные'!$B$51="Да",Q265&gt;0),Q265*N('Исходные данные'!$B$52)/(1+N('Исходные данные'!$B$52)),0)</f>
        <v>0</v>
      </c>
      <c r="S265">
        <f>IF(OR(B265="",IF('Исходные данные'!$B$45="",'Исходные данные'!$B$10,'Исходные данные'!$B$45)="",C265&lt;IF('Исходные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данные'!$B$45)),1),B265,"m")/12))*IF(AND(B265&lt;=IF('Исходные данные'!$B$45="",'Исходные данные'!$B$10,'Исходные данные'!$B$45),C265&gt;=IF('Исходные данные'!$B$45="",'Исходные данные'!$B$10,'Исходные данные'!$B$45)),(C265-IF('Исходные данные'!$B$45="",'Исходные данные'!$B$10,'Исходные данные'!$B$45)+1)/DAY(C265),1)*IF('Исходные данные'!$B$43="Без НДС",1+N('Исходные данные'!$B$44),1))</f>
        <v>0</v>
      </c>
      <c r="T265">
        <f>IF('Исходные данные'!$B$51="Да",-S265*N('Исходные данные'!$B$44)/(1+N('Исходные данные'!$B$44)),0)</f>
        <v>0</v>
      </c>
      <c r="U265">
        <f>IF('Исходные данные'!$B$36="Да",-S265,0)</f>
        <v>0</v>
      </c>
      <c r="V265">
        <f>IF(AND('Исходные данные'!$B$51="Да",U265&gt;0),U265*N('Исходные данные'!$B$52)/(1+N('Исходные данные'!$B$52)),0)</f>
        <v>0</v>
      </c>
      <c r="W265">
        <f>IF(OR(B265="",IF('Исходные данные'!$B$69="",'Исходные данные'!$B$10,'Исходные данные'!$B$69)="",C265&lt;IF('Исходные данные'!$B$69="",'Исходные данные'!$B$10,'Исходные данные'!$B$69)),0,-N('Исходные данные'!$B$16)*N('Исходные данные'!$B$68)*N('Исходные данные'!$B$67)/12*IF(AND(B265&lt;=IF('Исходные данные'!$B$69="",'Исходные данные'!$B$10,'Исходные данные'!$B$69),C265&gt;=IF('Исходные данные'!$B$69="",'Исходные данные'!$B$10,'Исходные данные'!$B$69)),(C265-IF('Исходные данные'!$B$69="",'Исходные данные'!$B$10,'Исходные данные'!$B$69)+1)/DAY(C265),1))</f>
        <v>0</v>
      </c>
      <c r="X265">
        <f>IF(OR(B265="",IF('Исходные данные'!$B$76="",'Исходные данные'!$B$10,'Исходные данные'!$B$76)="",C265&lt;IF('Исходные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данные'!$B$76)),1),B265,"m")/12))*IF(AND(B265&lt;=IF('Исходные данные'!$B$76="",'Исходные данные'!$B$10,'Исходные данные'!$B$76),C265&gt;=IF('Исходные данные'!$B$76="",'Исходные данные'!$B$10,'Исходные данные'!$B$76)),(C265-IF('Исходные данные'!$B$76="",'Исходные данные'!$B$10,'Исходные данные'!$B$76)+1)/DAY(C265),1))</f>
        <v>0</v>
      </c>
      <c r="Y265">
        <f t="shared" si="169"/>
        <v>0</v>
      </c>
      <c r="Z265">
        <f>IF(OR(B265="",N('Исходные данные'!$B$19)=0),0,-SUMIFS('Исходные данные'!$I$6:$I$186,'Исходные данные'!$F$6:$F$186,B265)*N('Исходные данные'!$B$17)/N('Исходные данные'!$B$19))</f>
        <v>0</v>
      </c>
      <c r="AA265">
        <f>IF(OR(B265="",N('Исходные данные'!$B$19)=0),0,-SUMIFS('Исходные данные'!$I$6:$I$186,'Исходные данные'!$F$6:$F$186,B265)*N('Исходные данные'!$B$18)/N('Исходные данные'!$B$19))</f>
        <v>0</v>
      </c>
      <c r="AB265">
        <f>IF(OR(B265="",'Исходные данные'!$B$13=""),0,IF(AND(YEAR(B265)=YEAR('Исходные данные'!$B$13),MONTH(B265)=MONTH('Исходные данные'!$B$13)),-N('Исходные данные'!$B$11),0))</f>
        <v>0</v>
      </c>
      <c r="AC265">
        <f>IF(A265=1,-N('Исходные данные'!$B$19)*N('Исходные данные'!$B$72),0)</f>
        <v>0</v>
      </c>
      <c r="AD265">
        <f>IF(OR(B265="",'Исходные данные'!$B$22&lt;&gt;"Да",'Исходные данные'!$B$26=""),0,IF(AND(YEAR(B265)=YEAR('Исходные данные'!$B$26),MONTH(B265)=MONTH('Исходные данные'!$B$26)),N('Исходные данные'!$B$23),0))</f>
        <v>0</v>
      </c>
      <c r="AE265">
        <f t="shared" si="152"/>
        <v>0</v>
      </c>
      <c r="AF265">
        <f>IF(OR('Исходные данные'!$B$22&lt;&gt;"Да",'Исходные данные'!$B$26="",C265&lt;'Исходные данные'!$B$26),0,DATEDIF(DATE(YEAR('Исходные данные'!$B$26),MONTH('Исходные данные'!$B$26),1),B265,"m")+1)</f>
        <v>0</v>
      </c>
      <c r="AG265">
        <f>IF(OR(AF265&lt;1,AF265&gt;N('Исходные данные'!$B$25),AE265+AD265&lt;=0),0,-(AE265+AD265)*N('Исходные данные'!$B$24)*IF(AF265=1,C265-'Исходные данные'!$B$26+1,DAY(C265))/365)</f>
        <v>0</v>
      </c>
      <c r="AH265">
        <f>IF(OR(AF265&lt;1,AF265&gt;N('Исходные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данные'!$B$25)-AG265))</f>
        <v>0</v>
      </c>
      <c r="AI265">
        <f>IF(OR('Исходные данные'!$B$22&lt;&gt;"Да",AE265+AD265&lt;=0),0,IF(AND('Исходные данные'!$B$91&lt;&gt;"",B265&lt;&gt;"",YEAR(B265)=YEAR('Исходные данные'!$B$91),MONTH(B265)=MONTH('Исходные данные'!$B$91)),-(AE265+AD265),IF(OR(AF265&lt;1,AF265&gt;N('Исходные данные'!$B$25)),0,IF('Исходные данные'!$B$27="Равными долями",-MIN(AE265+AD265,N('Исходные данные'!$B$23)/N('Исходные данные'!$B$25)),-MIN(AE265+AD265,IF(AF265=N('Исходные данные'!$B$25),AE265+AD265,MAX(0,AH265+AG265)))))))</f>
        <v>0</v>
      </c>
      <c r="AJ265">
        <f t="shared" si="170"/>
        <v>0</v>
      </c>
      <c r="AK265">
        <f t="shared" si="153"/>
        <v>0</v>
      </c>
      <c r="AL265">
        <f>IF(OR(B265="",'Исходные данные'!$B$51&lt;&gt;"Да",'Исходные данные'!$B$61=""),0,IF(AND(YEAR(B265)=YEAR('Исходные данные'!$B$61),MONTH(B265)=MONTH('Исходные данные'!$B$61)),N('Исходные данные'!$B$18)*N('Исходные данные'!$B$62),0))</f>
        <v>0</v>
      </c>
      <c r="AM265">
        <f t="shared" si="154"/>
        <v>0</v>
      </c>
      <c r="AN265">
        <f t="shared" si="155"/>
        <v>0</v>
      </c>
      <c r="AO265">
        <f t="shared" si="156"/>
        <v>0</v>
      </c>
      <c r="AP265">
        <f>IF('Исходные данные'!$B$51="Да",-MAX(0,AN265-AO265-AM265),0)</f>
        <v>0</v>
      </c>
      <c r="AQ265">
        <f>IF('Исходные данные'!$B$51="Да",MAX(0,AM265+AO265-AN265),0)</f>
        <v>0</v>
      </c>
      <c r="AR265">
        <f>IF('Исходные данные'!$B$53="Выручка",MAX(0,L265+(Q265-R265)+(U265-V265)),IF('Исходные данные'!$B$53="Прибыль до налога",MAX(0,L265+(Q265-R265)+(U265-V265)+N('Исходные данные'!$B$54)*((O265+P265)+(S265+T265)+W265+X265)+IF('Исходные данные'!$B$55="Да",AG265,0)-N('Исходные данные'!$B$56)/12),IF('Исходные данные'!$B$53="Пользовательская база",MAX(0,N('Исходные данные'!$B$57)/12),0)))</f>
        <v>0</v>
      </c>
      <c r="AS265">
        <f>IF(E265=1,-AR265*N('Исходные данные'!$B$50),0)</f>
        <v>0</v>
      </c>
      <c r="AT265">
        <f t="shared" si="157"/>
        <v>0</v>
      </c>
      <c r="AU265">
        <f>IF(OR(B265="",N('Исходные данные'!$B$80)&lt;=0,'Исходные данные'!$B$88=""),0,MAX(0,IF('Исходные данные'!$B$88="Последние 12 месяцев",SUMIFS($Y$2:$Y$194,$B$2:$B$194,"&gt;="&amp;EDATE(B265,-11),$B$2:$B$194,"&lt;="&amp;B265),IF('Исходные данные'!$B$88="Пользовательский NOI",N('Исходные данные'!$B$89),AT265))/N('Исходные данные'!$B$80)*(1+N('Исходные данные'!$B$81))))</f>
        <v>0</v>
      </c>
      <c r="AV265">
        <f>IF(OR(E265&lt;&gt;1,B265="",'Исходные данные'!$B$91=""),0,IF(AND(YEAR(B265)=YEAR('Исходные данные'!$B$91),MONTH(B265)=MONTH('Исходные данные'!$B$91)),AU265,0))</f>
        <v>0</v>
      </c>
      <c r="AW265">
        <f>-AV265*N('Исходные данные'!$B$73)</f>
        <v>0</v>
      </c>
      <c r="AX265">
        <f>IF(AV265=0,0,-N('Исходные данные'!$B$87)-IF('Исходные данные'!$B$82="Да",IF('Исходные данные'!$B$84="С выручки",AV265,IF('Исходные данные'!$B$84="С прибыли",MAX(0,AV265+AW265-IF('Исходные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65">
        <f t="shared" si="171"/>
        <v>0</v>
      </c>
      <c r="AZ265">
        <f t="shared" si="158"/>
        <v>0</v>
      </c>
      <c r="BA265">
        <f t="shared" si="172"/>
        <v>0</v>
      </c>
      <c r="BB265" t="str">
        <f t="shared" si="159"/>
        <v/>
      </c>
      <c r="BC265">
        <f>IF(OR(E265=0,'Исходные данные'!$B$9="",'Исходные данные'!$B$90=""),0,BA265/(1+'Исходные данные'!$B$90)^((D265-'Исходные данные'!$B$9)/365))</f>
        <v>0</v>
      </c>
      <c r="BD265">
        <f>IF(AND(E265=1,BB265&gt;=0,BB264&lt;0,MIN($BB$2:BB265)&lt;0),1,0)</f>
        <v>0</v>
      </c>
      <c r="BE265">
        <f t="shared" si="160"/>
        <v>0</v>
      </c>
      <c r="BF265">
        <f t="shared" si="161"/>
        <v>0</v>
      </c>
      <c r="BG265">
        <f t="shared" si="162"/>
        <v>0</v>
      </c>
      <c r="BH265">
        <f t="shared" si="163"/>
        <v>1</v>
      </c>
      <c r="BI265">
        <f>AZ265+N265+AP265-AR265*N('Исходные данные'!$B$50)</f>
        <v>0</v>
      </c>
      <c r="BJ265">
        <f t="shared" si="164"/>
        <v>0</v>
      </c>
      <c r="BK265">
        <f>IF(AND(BJ265&gt;=0,BJ264&lt;0,MIN($BJ$2:BJ265)&lt;0),1,0)</f>
        <v>0</v>
      </c>
    </row>
    <row r="266" spans="1:63" x14ac:dyDescent="0.2">
      <c r="A266">
        <v>265</v>
      </c>
      <c r="B266" t="str">
        <f>IF('Исходные данные'!$B$9="","",EDATE(DATE(YEAR('Исходные данные'!$B$9),MONTH('Исходные данные'!$B$9),1),A266-1))</f>
        <v/>
      </c>
      <c r="C266" t="str">
        <f t="shared" si="165"/>
        <v/>
      </c>
      <c r="D266" t="str">
        <f>IF(B266="","",IF('Исходные данные'!$B$91&lt;&gt;"",IF(AND(YEAR(B266)=YEAR('Исходные данные'!$B$91),MONTH(B266)=MONTH('Исходные данные'!$B$91)),'Исходные данные'!$B$91,IF('Исходные данные'!$B$13&lt;&gt;"",IF(AND(YEAR(B266)=YEAR('Исходные данные'!$B$13),MONTH(B266)=MONTH('Исходные данные'!$B$13)),'Исходные данные'!$B$13,IF('Исходные данные'!$B$26&lt;&gt;"",IF(AND(YEAR(B266)=YEAR('Исходные данные'!$B$26),MONTH(B266)=MONTH('Исходные данные'!$B$26)),'Исходные данные'!$B$26,IF(A266=1,'Исходные данные'!$B$9,C266)),IF(A266=1,'Исходные данные'!$B$9,C266))),IF('Исходные данные'!$B$26&lt;&gt;"",IF(AND(YEAR(B266)=YEAR('Исходные данные'!$B$26),MONTH(B266)=MONTH('Исходные данные'!$B$26)),'Исходные данные'!$B$26,IF(A266=1,'Исходные данные'!$B$9,C266)),IF(A266=1,'Исходные данные'!$B$9,C266)))),IF('Исходные данные'!$B$13&lt;&gt;"",IF(AND(YEAR(B266)=YEAR('Исходные данные'!$B$13),MONTH(B266)=MONTH('Исходные данные'!$B$13)),'Исходные данные'!$B$13,IF('Исходные данные'!$B$26&lt;&gt;"",IF(AND(YEAR(B266)=YEAR('Исходные данные'!$B$26),MONTH(B266)=MONTH('Исходные данные'!$B$26)),'Исходные данные'!$B$26,IF(A266=1,'Исходные данные'!$B$9,C266)),IF(A266=1,'Исходные данные'!$B$9,C266))),IF('Исходные данные'!$B$26&lt;&gt;"",IF(AND(YEAR(B266)=YEAR('Исходные данные'!$B$26),MONTH(B266)=MONTH('Исходные данные'!$B$26)),'Исходные данные'!$B$26,IF(A266=1,'Исходные данные'!$B$9,C266)),IF(A266=1,'Исходные данные'!$B$9,C266)))))</f>
        <v/>
      </c>
      <c r="E266">
        <f>IF(OR(B266="",'Исходные данные'!$B$91=""),0,--(B266&lt;=DATE(YEAR('Исходные данные'!$B$91),MONTH('Исходные данные'!$B$91),1)))</f>
        <v>0</v>
      </c>
      <c r="F266">
        <f>IF(OR(B266="",'Исходные данные'!$B$30="",C266&lt;'Исходные данные'!$B$30),0,DATEDIF(DATE(YEAR('Исходные данные'!$B$30),MONTH('Исходные данные'!$B$30),1),B266,"m")+1)</f>
        <v>0</v>
      </c>
      <c r="G266">
        <f t="shared" si="166"/>
        <v>0</v>
      </c>
      <c r="H266">
        <f>IF(F266=0,0,IF(G266=1,N('Исходные данные'!$B$31),IF(G266=2,N('Исходные данные'!$B$32),IF(G266=3,N('Исходные данные'!$B$33),N('Исходные данные'!$B$33)*(1+N('Исходные данные'!$B$34))^(G266-3)))))</f>
        <v>0</v>
      </c>
      <c r="I266">
        <f>IF(OR(F266=0,N('Исходные данные'!$B$5)=0,H266=0),0,'Исходные данные'!$B$5*H266*IF(AND(B266&lt;='Исходные данные'!$B$30,C266&gt;='Исходные данные'!$B$30),(C266-'Исходные данные'!$B$30+1)/DAY(C266),1))</f>
        <v>0</v>
      </c>
      <c r="J266">
        <f>IF(AND(F266&gt;0,F266&lt;=N('Исходные данные'!$B$37)),-I266,0)</f>
        <v>0</v>
      </c>
      <c r="K266">
        <f>IF(OR(F266=0,F266&lt;=N('Исходные данные'!$B$37)),0,-(I266+J266)*N('Исходные данные'!$B$38))</f>
        <v>0</v>
      </c>
      <c r="L266">
        <f t="shared" si="167"/>
        <v>0</v>
      </c>
      <c r="M266">
        <f>IF('Исходные данные'!$B$51="Да",L266*N('Исходные данные'!$B$52),0)</f>
        <v>0</v>
      </c>
      <c r="N266">
        <f t="shared" si="168"/>
        <v>0</v>
      </c>
      <c r="O266">
        <f>IF(OR(B266="",IF('Исходные данные'!$B$45="",'Исходные данные'!$B$10,'Исходные данные'!$B$45)="",C266&lt;IF('Исходные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данные'!$B$45)),1),B266,"m")/12))*IF(AND(B266&lt;=IF('Исходные данные'!$B$45="",'Исходные данные'!$B$10,'Исходные данные'!$B$45),C266&gt;=IF('Исходные данные'!$B$45="",'Исходные данные'!$B$10,'Исходные данные'!$B$45)),(C266-IF('Исходные данные'!$B$45="",'Исходные данные'!$B$10,'Исходные данные'!$B$45)+1)/DAY(C266),1)*IF('Исходные данные'!$B$43="Без НДС",1+N('Исходные данные'!$B$44),1))</f>
        <v>0</v>
      </c>
      <c r="P266">
        <f>IF('Исходные данные'!$B$51="Да",-O266*N('Исходные данные'!$B$44)/(1+N('Исходные данные'!$B$44)),0)</f>
        <v>0</v>
      </c>
      <c r="Q266">
        <f>IF('Исходные данные'!$B$35="Да",-O266,0)</f>
        <v>0</v>
      </c>
      <c r="R266">
        <f>IF(AND('Исходные данные'!$B$51="Да",Q266&gt;0),Q266*N('Исходные данные'!$B$52)/(1+N('Исходные данные'!$B$52)),0)</f>
        <v>0</v>
      </c>
      <c r="S266">
        <f>IF(OR(B266="",IF('Исходные данные'!$B$45="",'Исходные данные'!$B$10,'Исходные данные'!$B$45)="",C266&lt;IF('Исходные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данные'!$B$45)),1),B266,"m")/12))*IF(AND(B266&lt;=IF('Исходные данные'!$B$45="",'Исходные данные'!$B$10,'Исходные данные'!$B$45),C266&gt;=IF('Исходные данные'!$B$45="",'Исходные данные'!$B$10,'Исходные данные'!$B$45)),(C266-IF('Исходные данные'!$B$45="",'Исходные данные'!$B$10,'Исходные данные'!$B$45)+1)/DAY(C266),1)*IF('Исходные данные'!$B$43="Без НДС",1+N('Исходные данные'!$B$44),1))</f>
        <v>0</v>
      </c>
      <c r="T266">
        <f>IF('Исходные данные'!$B$51="Да",-S266*N('Исходные данные'!$B$44)/(1+N('Исходные данные'!$B$44)),0)</f>
        <v>0</v>
      </c>
      <c r="U266">
        <f>IF('Исходные данные'!$B$36="Да",-S266,0)</f>
        <v>0</v>
      </c>
      <c r="V266">
        <f>IF(AND('Исходные данные'!$B$51="Да",U266&gt;0),U266*N('Исходные данные'!$B$52)/(1+N('Исходные данные'!$B$52)),0)</f>
        <v>0</v>
      </c>
      <c r="W266">
        <f>IF(OR(B266="",IF('Исходные данные'!$B$69="",'Исходные данные'!$B$10,'Исходные данные'!$B$69)="",C266&lt;IF('Исходные данные'!$B$69="",'Исходные данные'!$B$10,'Исходные данные'!$B$69)),0,-N('Исходные данные'!$B$16)*N('Исходные данные'!$B$68)*N('Исходные данные'!$B$67)/12*IF(AND(B266&lt;=IF('Исходные данные'!$B$69="",'Исходные данные'!$B$10,'Исходные данные'!$B$69),C266&gt;=IF('Исходные данные'!$B$69="",'Исходные данные'!$B$10,'Исходные данные'!$B$69)),(C266-IF('Исходные данные'!$B$69="",'Исходные данные'!$B$10,'Исходные данные'!$B$69)+1)/DAY(C266),1))</f>
        <v>0</v>
      </c>
      <c r="X266">
        <f>IF(OR(B266="",IF('Исходные данные'!$B$76="",'Исходные данные'!$B$10,'Исходные данные'!$B$76)="",C266&lt;IF('Исходные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данные'!$B$76)),1),B266,"m")/12))*IF(AND(B266&lt;=IF('Исходные данные'!$B$76="",'Исходные данные'!$B$10,'Исходные данные'!$B$76),C266&gt;=IF('Исходные данные'!$B$76="",'Исходные данные'!$B$10,'Исходные данные'!$B$76)),(C266-IF('Исходные данные'!$B$76="",'Исходные данные'!$B$10,'Исходные данные'!$B$76)+1)/DAY(C266),1))</f>
        <v>0</v>
      </c>
      <c r="Y266">
        <f t="shared" si="169"/>
        <v>0</v>
      </c>
      <c r="Z266">
        <f>IF(OR(B266="",N('Исходные данные'!$B$19)=0),0,-SUMIFS('Исходные данные'!$I$6:$I$186,'Исходные данные'!$F$6:$F$186,B266)*N('Исходные данные'!$B$17)/N('Исходные данные'!$B$19))</f>
        <v>0</v>
      </c>
      <c r="AA266">
        <f>IF(OR(B266="",N('Исходные данные'!$B$19)=0),0,-SUMIFS('Исходные данные'!$I$6:$I$186,'Исходные данные'!$F$6:$F$186,B266)*N('Исходные данные'!$B$18)/N('Исходные данные'!$B$19))</f>
        <v>0</v>
      </c>
      <c r="AB266">
        <f>IF(OR(B266="",'Исходные данные'!$B$13=""),0,IF(AND(YEAR(B266)=YEAR('Исходные данные'!$B$13),MONTH(B266)=MONTH('Исходные данные'!$B$13)),-N('Исходные данные'!$B$11),0))</f>
        <v>0</v>
      </c>
      <c r="AC266">
        <f>IF(A266=1,-N('Исходные данные'!$B$19)*N('Исходные данные'!$B$72),0)</f>
        <v>0</v>
      </c>
      <c r="AD266">
        <f>IF(OR(B266="",'Исходные данные'!$B$22&lt;&gt;"Да",'Исходные данные'!$B$26=""),0,IF(AND(YEAR(B266)=YEAR('Исходные данные'!$B$26),MONTH(B266)=MONTH('Исходные данные'!$B$26)),N('Исходные данные'!$B$23),0))</f>
        <v>0</v>
      </c>
      <c r="AE266">
        <f t="shared" si="152"/>
        <v>0</v>
      </c>
      <c r="AF266">
        <f>IF(OR('Исходные данные'!$B$22&lt;&gt;"Да",'Исходные данные'!$B$26="",C266&lt;'Исходные данные'!$B$26),0,DATEDIF(DATE(YEAR('Исходные данные'!$B$26),MONTH('Исходные данные'!$B$26),1),B266,"m")+1)</f>
        <v>0</v>
      </c>
      <c r="AG266">
        <f>IF(OR(AF266&lt;1,AF266&gt;N('Исходные данные'!$B$25),AE266+AD266&lt;=0),0,-(AE266+AD266)*N('Исходные данные'!$B$24)*IF(AF266=1,C266-'Исходные данные'!$B$26+1,DAY(C266))/365)</f>
        <v>0</v>
      </c>
      <c r="AH266">
        <f>IF(OR(AF266&lt;1,AF266&gt;N('Исходные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данные'!$B$25)-AG266))</f>
        <v>0</v>
      </c>
      <c r="AI266">
        <f>IF(OR('Исходные данные'!$B$22&lt;&gt;"Да",AE266+AD266&lt;=0),0,IF(AND('Исходные данные'!$B$91&lt;&gt;"",B266&lt;&gt;"",YEAR(B266)=YEAR('Исходные данные'!$B$91),MONTH(B266)=MONTH('Исходные данные'!$B$91)),-(AE266+AD266),IF(OR(AF266&lt;1,AF266&gt;N('Исходные данные'!$B$25)),0,IF('Исходные данные'!$B$27="Равными долями",-MIN(AE266+AD266,N('Исходные данные'!$B$23)/N('Исходные данные'!$B$25)),-MIN(AE266+AD266,IF(AF266=N('Исходные данные'!$B$25),AE266+AD266,MAX(0,AH266+AG266)))))))</f>
        <v>0</v>
      </c>
      <c r="AJ266">
        <f t="shared" si="170"/>
        <v>0</v>
      </c>
      <c r="AK266">
        <f t="shared" si="153"/>
        <v>0</v>
      </c>
      <c r="AL266">
        <f>IF(OR(B266="",'Исходные данные'!$B$51&lt;&gt;"Да",'Исходные данные'!$B$61=""),0,IF(AND(YEAR(B266)=YEAR('Исходные данные'!$B$61),MONTH(B266)=MONTH('Исходные данные'!$B$61)),N('Исходные данные'!$B$18)*N('Исходные данные'!$B$62),0))</f>
        <v>0</v>
      </c>
      <c r="AM266">
        <f t="shared" si="154"/>
        <v>0</v>
      </c>
      <c r="AN266">
        <f t="shared" si="155"/>
        <v>0</v>
      </c>
      <c r="AO266">
        <f t="shared" si="156"/>
        <v>0</v>
      </c>
      <c r="AP266">
        <f>IF('Исходные данные'!$B$51="Да",-MAX(0,AN266-AO266-AM266),0)</f>
        <v>0</v>
      </c>
      <c r="AQ266">
        <f>IF('Исходные данные'!$B$51="Да",MAX(0,AM266+AO266-AN266),0)</f>
        <v>0</v>
      </c>
      <c r="AR266">
        <f>IF('Исходные данные'!$B$53="Выручка",MAX(0,L266+(Q266-R266)+(U266-V266)),IF('Исходные данные'!$B$53="Прибыль до налога",MAX(0,L266+(Q266-R266)+(U266-V266)+N('Исходные данные'!$B$54)*((O266+P266)+(S266+T266)+W266+X266)+IF('Исходные данные'!$B$55="Да",AG266,0)-N('Исходные данные'!$B$56)/12),IF('Исходные данные'!$B$53="Пользовательская база",MAX(0,N('Исходные данные'!$B$57)/12),0)))</f>
        <v>0</v>
      </c>
      <c r="AS266">
        <f>IF(E266=1,-AR266*N('Исходные данные'!$B$50),0)</f>
        <v>0</v>
      </c>
      <c r="AT266">
        <f t="shared" si="157"/>
        <v>0</v>
      </c>
      <c r="AU266">
        <f>IF(OR(B266="",N('Исходные данные'!$B$80)&lt;=0,'Исходные данные'!$B$88=""),0,MAX(0,IF('Исходные данные'!$B$88="Последние 12 месяцев",SUMIFS($Y$2:$Y$194,$B$2:$B$194,"&gt;="&amp;EDATE(B266,-11),$B$2:$B$194,"&lt;="&amp;B266),IF('Исходные данные'!$B$88="Пользовательский NOI",N('Исходные данные'!$B$89),AT266))/N('Исходные данные'!$B$80)*(1+N('Исходные данные'!$B$81))))</f>
        <v>0</v>
      </c>
      <c r="AV266">
        <f>IF(OR(E266&lt;&gt;1,B266="",'Исходные данные'!$B$91=""),0,IF(AND(YEAR(B266)=YEAR('Исходные данные'!$B$91),MONTH(B266)=MONTH('Исходные данные'!$B$91)),AU266,0))</f>
        <v>0</v>
      </c>
      <c r="AW266">
        <f>-AV266*N('Исходные данные'!$B$73)</f>
        <v>0</v>
      </c>
      <c r="AX266">
        <f>IF(AV266=0,0,-N('Исходные данные'!$B$87)-IF('Исходные данные'!$B$82="Да",IF('Исходные данные'!$B$84="С выручки",AV266,IF('Исходные данные'!$B$84="С прибыли",MAX(0,AV266+AW266-IF('Исходные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66">
        <f t="shared" si="171"/>
        <v>0</v>
      </c>
      <c r="AZ266">
        <f t="shared" si="158"/>
        <v>0</v>
      </c>
      <c r="BA266">
        <f t="shared" si="172"/>
        <v>0</v>
      </c>
      <c r="BB266" t="str">
        <f t="shared" si="159"/>
        <v/>
      </c>
      <c r="BC266">
        <f>IF(OR(E266=0,'Исходные данные'!$B$9="",'Исходные данные'!$B$90=""),0,BA266/(1+'Исходные данные'!$B$90)^((D266-'Исходные данные'!$B$9)/365))</f>
        <v>0</v>
      </c>
      <c r="BD266">
        <f>IF(AND(E266=1,BB266&gt;=0,BB265&lt;0,MIN($BB$2:BB266)&lt;0),1,0)</f>
        <v>0</v>
      </c>
      <c r="BE266">
        <f t="shared" si="160"/>
        <v>0</v>
      </c>
      <c r="BF266">
        <f t="shared" si="161"/>
        <v>0</v>
      </c>
      <c r="BG266">
        <f t="shared" si="162"/>
        <v>0</v>
      </c>
      <c r="BH266">
        <f t="shared" si="163"/>
        <v>1</v>
      </c>
      <c r="BI266">
        <f>AZ266+N266+AP266-AR266*N('Исходные данные'!$B$50)</f>
        <v>0</v>
      </c>
      <c r="BJ266">
        <f t="shared" si="164"/>
        <v>0</v>
      </c>
      <c r="BK266">
        <f>IF(AND(BJ266&gt;=0,BJ265&lt;0,MIN($BJ$2:BJ266)&lt;0),1,0)</f>
        <v>0</v>
      </c>
    </row>
    <row r="267" spans="1:63" x14ac:dyDescent="0.2">
      <c r="A267">
        <v>266</v>
      </c>
      <c r="B267" t="str">
        <f>IF('Исходные данные'!$B$9="","",EDATE(DATE(YEAR('Исходные данные'!$B$9),MONTH('Исходные данные'!$B$9),1),A267-1))</f>
        <v/>
      </c>
      <c r="C267" t="str">
        <f t="shared" si="165"/>
        <v/>
      </c>
      <c r="D267" t="str">
        <f>IF(B267="","",IF('Исходные данные'!$B$91&lt;&gt;"",IF(AND(YEAR(B267)=YEAR('Исходные данные'!$B$91),MONTH(B267)=MONTH('Исходные данные'!$B$91)),'Исходные данные'!$B$91,IF('Исходные данные'!$B$13&lt;&gt;"",IF(AND(YEAR(B267)=YEAR('Исходные данные'!$B$13),MONTH(B267)=MONTH('Исходные данные'!$B$13)),'Исходные данные'!$B$13,IF('Исходные данные'!$B$26&lt;&gt;"",IF(AND(YEAR(B267)=YEAR('Исходные данные'!$B$26),MONTH(B267)=MONTH('Исходные данные'!$B$26)),'Исходные данные'!$B$26,IF(A267=1,'Исходные данные'!$B$9,C267)),IF(A267=1,'Исходные данные'!$B$9,C267))),IF('Исходные данные'!$B$26&lt;&gt;"",IF(AND(YEAR(B267)=YEAR('Исходные данные'!$B$26),MONTH(B267)=MONTH('Исходные данные'!$B$26)),'Исходные данные'!$B$26,IF(A267=1,'Исходные данные'!$B$9,C267)),IF(A267=1,'Исходные данные'!$B$9,C267)))),IF('Исходные данные'!$B$13&lt;&gt;"",IF(AND(YEAR(B267)=YEAR('Исходные данные'!$B$13),MONTH(B267)=MONTH('Исходные данные'!$B$13)),'Исходные данные'!$B$13,IF('Исходные данные'!$B$26&lt;&gt;"",IF(AND(YEAR(B267)=YEAR('Исходные данные'!$B$26),MONTH(B267)=MONTH('Исходные данные'!$B$26)),'Исходные данные'!$B$26,IF(A267=1,'Исходные данные'!$B$9,C267)),IF(A267=1,'Исходные данные'!$B$9,C267))),IF('Исходные данные'!$B$26&lt;&gt;"",IF(AND(YEAR(B267)=YEAR('Исходные данные'!$B$26),MONTH(B267)=MONTH('Исходные данные'!$B$26)),'Исходные данные'!$B$26,IF(A267=1,'Исходные данные'!$B$9,C267)),IF(A267=1,'Исходные данные'!$B$9,C267)))))</f>
        <v/>
      </c>
      <c r="E267">
        <f>IF(OR(B267="",'Исходные данные'!$B$91=""),0,--(B267&lt;=DATE(YEAR('Исходные данные'!$B$91),MONTH('Исходные данные'!$B$91),1)))</f>
        <v>0</v>
      </c>
      <c r="F267">
        <f>IF(OR(B267="",'Исходные данные'!$B$30="",C267&lt;'Исходные данные'!$B$30),0,DATEDIF(DATE(YEAR('Исходные данные'!$B$30),MONTH('Исходные данные'!$B$30),1),B267,"m")+1)</f>
        <v>0</v>
      </c>
      <c r="G267">
        <f t="shared" si="166"/>
        <v>0</v>
      </c>
      <c r="H267">
        <f>IF(F267=0,0,IF(G267=1,N('Исходные данные'!$B$31),IF(G267=2,N('Исходные данные'!$B$32),IF(G267=3,N('Исходные данные'!$B$33),N('Исходные данные'!$B$33)*(1+N('Исходные данные'!$B$34))^(G267-3)))))</f>
        <v>0</v>
      </c>
      <c r="I267">
        <f>IF(OR(F267=0,N('Исходные данные'!$B$5)=0,H267=0),0,'Исходные данные'!$B$5*H267*IF(AND(B267&lt;='Исходные данные'!$B$30,C267&gt;='Исходные данные'!$B$30),(C267-'Исходные данные'!$B$30+1)/DAY(C267),1))</f>
        <v>0</v>
      </c>
      <c r="J267">
        <f>IF(AND(F267&gt;0,F267&lt;=N('Исходные данные'!$B$37)),-I267,0)</f>
        <v>0</v>
      </c>
      <c r="K267">
        <f>IF(OR(F267=0,F267&lt;=N('Исходные данные'!$B$37)),0,-(I267+J267)*N('Исходные данные'!$B$38))</f>
        <v>0</v>
      </c>
      <c r="L267">
        <f t="shared" si="167"/>
        <v>0</v>
      </c>
      <c r="M267">
        <f>IF('Исходные данные'!$B$51="Да",L267*N('Исходные данные'!$B$52),0)</f>
        <v>0</v>
      </c>
      <c r="N267">
        <f t="shared" si="168"/>
        <v>0</v>
      </c>
      <c r="O267">
        <f>IF(OR(B267="",IF('Исходные данные'!$B$45="",'Исходные данные'!$B$10,'Исходные данные'!$B$45)="",C267&lt;IF('Исходные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данные'!$B$45)),1),B267,"m")/12))*IF(AND(B267&lt;=IF('Исходные данные'!$B$45="",'Исходные данные'!$B$10,'Исходные данные'!$B$45),C267&gt;=IF('Исходные данные'!$B$45="",'Исходные данные'!$B$10,'Исходные данные'!$B$45)),(C267-IF('Исходные данные'!$B$45="",'Исходные данные'!$B$10,'Исходные данные'!$B$45)+1)/DAY(C267),1)*IF('Исходные данные'!$B$43="Без НДС",1+N('Исходные данные'!$B$44),1))</f>
        <v>0</v>
      </c>
      <c r="P267">
        <f>IF('Исходные данные'!$B$51="Да",-O267*N('Исходные данные'!$B$44)/(1+N('Исходные данные'!$B$44)),0)</f>
        <v>0</v>
      </c>
      <c r="Q267">
        <f>IF('Исходные данные'!$B$35="Да",-O267,0)</f>
        <v>0</v>
      </c>
      <c r="R267">
        <f>IF(AND('Исходные данные'!$B$51="Да",Q267&gt;0),Q267*N('Исходные данные'!$B$52)/(1+N('Исходные данные'!$B$52)),0)</f>
        <v>0</v>
      </c>
      <c r="S267">
        <f>IF(OR(B267="",IF('Исходные данные'!$B$45="",'Исходные данные'!$B$10,'Исходные данные'!$B$45)="",C267&lt;IF('Исходные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данные'!$B$45)),1),B267,"m")/12))*IF(AND(B267&lt;=IF('Исходные данные'!$B$45="",'Исходные данные'!$B$10,'Исходные данные'!$B$45),C267&gt;=IF('Исходные данные'!$B$45="",'Исходные данные'!$B$10,'Исходные данные'!$B$45)),(C267-IF('Исходные данные'!$B$45="",'Исходные данные'!$B$10,'Исходные данные'!$B$45)+1)/DAY(C267),1)*IF('Исходные данные'!$B$43="Без НДС",1+N('Исходные данные'!$B$44),1))</f>
        <v>0</v>
      </c>
      <c r="T267">
        <f>IF('Исходные данные'!$B$51="Да",-S267*N('Исходные данные'!$B$44)/(1+N('Исходные данные'!$B$44)),0)</f>
        <v>0</v>
      </c>
      <c r="U267">
        <f>IF('Исходные данные'!$B$36="Да",-S267,0)</f>
        <v>0</v>
      </c>
      <c r="V267">
        <f>IF(AND('Исходные данные'!$B$51="Да",U267&gt;0),U267*N('Исходные данные'!$B$52)/(1+N('Исходные данные'!$B$52)),0)</f>
        <v>0</v>
      </c>
      <c r="W267">
        <f>IF(OR(B267="",IF('Исходные данные'!$B$69="",'Исходные данные'!$B$10,'Исходные данные'!$B$69)="",C267&lt;IF('Исходные данные'!$B$69="",'Исходные данные'!$B$10,'Исходные данные'!$B$69)),0,-N('Исходные данные'!$B$16)*N('Исходные данные'!$B$68)*N('Исходные данные'!$B$67)/12*IF(AND(B267&lt;=IF('Исходные данные'!$B$69="",'Исходные данные'!$B$10,'Исходные данные'!$B$69),C267&gt;=IF('Исходные данные'!$B$69="",'Исходные данные'!$B$10,'Исходные данные'!$B$69)),(C267-IF('Исходные данные'!$B$69="",'Исходные данные'!$B$10,'Исходные данные'!$B$69)+1)/DAY(C267),1))</f>
        <v>0</v>
      </c>
      <c r="X267">
        <f>IF(OR(B267="",IF('Исходные данные'!$B$76="",'Исходные данные'!$B$10,'Исходные данные'!$B$76)="",C267&lt;IF('Исходные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данные'!$B$76)),1),B267,"m")/12))*IF(AND(B267&lt;=IF('Исходные данные'!$B$76="",'Исходные данные'!$B$10,'Исходные данные'!$B$76),C267&gt;=IF('Исходные данные'!$B$76="",'Исходные данные'!$B$10,'Исходные данные'!$B$76)),(C267-IF('Исходные данные'!$B$76="",'Исходные данные'!$B$10,'Исходные данные'!$B$76)+1)/DAY(C267),1))</f>
        <v>0</v>
      </c>
      <c r="Y267">
        <f t="shared" si="169"/>
        <v>0</v>
      </c>
      <c r="Z267">
        <f>IF(OR(B267="",N('Исходные данные'!$B$19)=0),0,-SUMIFS('Исходные данные'!$I$6:$I$186,'Исходные данные'!$F$6:$F$186,B267)*N('Исходные данные'!$B$17)/N('Исходные данные'!$B$19))</f>
        <v>0</v>
      </c>
      <c r="AA267">
        <f>IF(OR(B267="",N('Исходные данные'!$B$19)=0),0,-SUMIFS('Исходные данные'!$I$6:$I$186,'Исходные данные'!$F$6:$F$186,B267)*N('Исходные данные'!$B$18)/N('Исходные данные'!$B$19))</f>
        <v>0</v>
      </c>
      <c r="AB267">
        <f>IF(OR(B267="",'Исходные данные'!$B$13=""),0,IF(AND(YEAR(B267)=YEAR('Исходные данные'!$B$13),MONTH(B267)=MONTH('Исходные данные'!$B$13)),-N('Исходные данные'!$B$11),0))</f>
        <v>0</v>
      </c>
      <c r="AC267">
        <f>IF(A267=1,-N('Исходные данные'!$B$19)*N('Исходные данные'!$B$72),0)</f>
        <v>0</v>
      </c>
      <c r="AD267">
        <f>IF(OR(B267="",'Исходные данные'!$B$22&lt;&gt;"Да",'Исходные данные'!$B$26=""),0,IF(AND(YEAR(B267)=YEAR('Исходные данные'!$B$26),MONTH(B267)=MONTH('Исходные данные'!$B$26)),N('Исходные данные'!$B$23),0))</f>
        <v>0</v>
      </c>
      <c r="AE267">
        <f t="shared" si="152"/>
        <v>0</v>
      </c>
      <c r="AF267">
        <f>IF(OR('Исходные данные'!$B$22&lt;&gt;"Да",'Исходные данные'!$B$26="",C267&lt;'Исходные данные'!$B$26),0,DATEDIF(DATE(YEAR('Исходные данные'!$B$26),MONTH('Исходные данные'!$B$26),1),B267,"m")+1)</f>
        <v>0</v>
      </c>
      <c r="AG267">
        <f>IF(OR(AF267&lt;1,AF267&gt;N('Исходные данные'!$B$25),AE267+AD267&lt;=0),0,-(AE267+AD267)*N('Исходные данные'!$B$24)*IF(AF267=1,C267-'Исходные данные'!$B$26+1,DAY(C267))/365)</f>
        <v>0</v>
      </c>
      <c r="AH267">
        <f>IF(OR(AF267&lt;1,AF267&gt;N('Исходные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данные'!$B$25)-AG267))</f>
        <v>0</v>
      </c>
      <c r="AI267">
        <f>IF(OR('Исходные данные'!$B$22&lt;&gt;"Да",AE267+AD267&lt;=0),0,IF(AND('Исходные данные'!$B$91&lt;&gt;"",B267&lt;&gt;"",YEAR(B267)=YEAR('Исходные данные'!$B$91),MONTH(B267)=MONTH('Исходные данные'!$B$91)),-(AE267+AD267),IF(OR(AF267&lt;1,AF267&gt;N('Исходные данные'!$B$25)),0,IF('Исходные данные'!$B$27="Равными долями",-MIN(AE267+AD267,N('Исходные данные'!$B$23)/N('Исходные данные'!$B$25)),-MIN(AE267+AD267,IF(AF267=N('Исходные данные'!$B$25),AE267+AD267,MAX(0,AH267+AG267)))))))</f>
        <v>0</v>
      </c>
      <c r="AJ267">
        <f t="shared" si="170"/>
        <v>0</v>
      </c>
      <c r="AK267">
        <f t="shared" si="153"/>
        <v>0</v>
      </c>
      <c r="AL267">
        <f>IF(OR(B267="",'Исходные данные'!$B$51&lt;&gt;"Да",'Исходные данные'!$B$61=""),0,IF(AND(YEAR(B267)=YEAR('Исходные данные'!$B$61),MONTH(B267)=MONTH('Исходные данные'!$B$61)),N('Исходные данные'!$B$18)*N('Исходные данные'!$B$62),0))</f>
        <v>0</v>
      </c>
      <c r="AM267">
        <f t="shared" si="154"/>
        <v>0</v>
      </c>
      <c r="AN267">
        <f t="shared" si="155"/>
        <v>0</v>
      </c>
      <c r="AO267">
        <f t="shared" si="156"/>
        <v>0</v>
      </c>
      <c r="AP267">
        <f>IF('Исходные данные'!$B$51="Да",-MAX(0,AN267-AO267-AM267),0)</f>
        <v>0</v>
      </c>
      <c r="AQ267">
        <f>IF('Исходные данные'!$B$51="Да",MAX(0,AM267+AO267-AN267),0)</f>
        <v>0</v>
      </c>
      <c r="AR267">
        <f>IF('Исходные данные'!$B$53="Выручка",MAX(0,L267+(Q267-R267)+(U267-V267)),IF('Исходные данные'!$B$53="Прибыль до налога",MAX(0,L267+(Q267-R267)+(U267-V267)+N('Исходные данные'!$B$54)*((O267+P267)+(S267+T267)+W267+X267)+IF('Исходные данные'!$B$55="Да",AG267,0)-N('Исходные данные'!$B$56)/12),IF('Исходные данные'!$B$53="Пользовательская база",MAX(0,N('Исходные данные'!$B$57)/12),0)))</f>
        <v>0</v>
      </c>
      <c r="AS267">
        <f>IF(E267=1,-AR267*N('Исходные данные'!$B$50),0)</f>
        <v>0</v>
      </c>
      <c r="AT267">
        <f t="shared" si="157"/>
        <v>0</v>
      </c>
      <c r="AU267">
        <f>IF(OR(B267="",N('Исходные данные'!$B$80)&lt;=0,'Исходные данные'!$B$88=""),0,MAX(0,IF('Исходные данные'!$B$88="Последние 12 месяцев",SUMIFS($Y$2:$Y$194,$B$2:$B$194,"&gt;="&amp;EDATE(B267,-11),$B$2:$B$194,"&lt;="&amp;B267),IF('Исходные данные'!$B$88="Пользовательский NOI",N('Исходные данные'!$B$89),AT267))/N('Исходные данные'!$B$80)*(1+N('Исходные данные'!$B$81))))</f>
        <v>0</v>
      </c>
      <c r="AV267">
        <f>IF(OR(E267&lt;&gt;1,B267="",'Исходные данные'!$B$91=""),0,IF(AND(YEAR(B267)=YEAR('Исходные данные'!$B$91),MONTH(B267)=MONTH('Исходные данные'!$B$91)),AU267,0))</f>
        <v>0</v>
      </c>
      <c r="AW267">
        <f>-AV267*N('Исходные данные'!$B$73)</f>
        <v>0</v>
      </c>
      <c r="AX267">
        <f>IF(AV267=0,0,-N('Исходные данные'!$B$87)-IF('Исходные данные'!$B$82="Да",IF('Исходные данные'!$B$84="С выручки",AV267,IF('Исходные данные'!$B$84="С прибыли",MAX(0,AV267+AW267-IF('Исходные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67">
        <f t="shared" si="171"/>
        <v>0</v>
      </c>
      <c r="AZ267">
        <f t="shared" si="158"/>
        <v>0</v>
      </c>
      <c r="BA267">
        <f t="shared" si="172"/>
        <v>0</v>
      </c>
      <c r="BB267" t="str">
        <f t="shared" si="159"/>
        <v/>
      </c>
      <c r="BC267">
        <f>IF(OR(E267=0,'Исходные данные'!$B$9="",'Исходные данные'!$B$90=""),0,BA267/(1+'Исходные данные'!$B$90)^((D267-'Исходные данные'!$B$9)/365))</f>
        <v>0</v>
      </c>
      <c r="BD267">
        <f>IF(AND(E267=1,BB267&gt;=0,BB266&lt;0,MIN($BB$2:BB267)&lt;0),1,0)</f>
        <v>0</v>
      </c>
      <c r="BE267">
        <f t="shared" si="160"/>
        <v>0</v>
      </c>
      <c r="BF267">
        <f t="shared" si="161"/>
        <v>0</v>
      </c>
      <c r="BG267">
        <f t="shared" si="162"/>
        <v>0</v>
      </c>
      <c r="BH267">
        <f t="shared" si="163"/>
        <v>1</v>
      </c>
      <c r="BI267">
        <f>AZ267+N267+AP267-AR267*N('Исходные данные'!$B$50)</f>
        <v>0</v>
      </c>
      <c r="BJ267">
        <f t="shared" si="164"/>
        <v>0</v>
      </c>
      <c r="BK267">
        <f>IF(AND(BJ267&gt;=0,BJ266&lt;0,MIN($BJ$2:BJ267)&lt;0),1,0)</f>
        <v>0</v>
      </c>
    </row>
    <row r="268" spans="1:63" x14ac:dyDescent="0.2">
      <c r="A268">
        <v>267</v>
      </c>
      <c r="B268" t="str">
        <f>IF('Исходные данные'!$B$9="","",EDATE(DATE(YEAR('Исходные данные'!$B$9),MONTH('Исходные данные'!$B$9),1),A268-1))</f>
        <v/>
      </c>
      <c r="C268" t="str">
        <f t="shared" si="165"/>
        <v/>
      </c>
      <c r="D268" t="str">
        <f>IF(B268="","",IF('Исходные данные'!$B$91&lt;&gt;"",IF(AND(YEAR(B268)=YEAR('Исходные данные'!$B$91),MONTH(B268)=MONTH('Исходные данные'!$B$91)),'Исходные данные'!$B$91,IF('Исходные данные'!$B$13&lt;&gt;"",IF(AND(YEAR(B268)=YEAR('Исходные данные'!$B$13),MONTH(B268)=MONTH('Исходные данные'!$B$13)),'Исходные данные'!$B$13,IF('Исходные данные'!$B$26&lt;&gt;"",IF(AND(YEAR(B268)=YEAR('Исходные данные'!$B$26),MONTH(B268)=MONTH('Исходные данные'!$B$26)),'Исходные данные'!$B$26,IF(A268=1,'Исходные данные'!$B$9,C268)),IF(A268=1,'Исходные данные'!$B$9,C268))),IF('Исходные данные'!$B$26&lt;&gt;"",IF(AND(YEAR(B268)=YEAR('Исходные данные'!$B$26),MONTH(B268)=MONTH('Исходные данные'!$B$26)),'Исходные данные'!$B$26,IF(A268=1,'Исходные данные'!$B$9,C268)),IF(A268=1,'Исходные данные'!$B$9,C268)))),IF('Исходные данные'!$B$13&lt;&gt;"",IF(AND(YEAR(B268)=YEAR('Исходные данные'!$B$13),MONTH(B268)=MONTH('Исходные данные'!$B$13)),'Исходные данные'!$B$13,IF('Исходные данные'!$B$26&lt;&gt;"",IF(AND(YEAR(B268)=YEAR('Исходные данные'!$B$26),MONTH(B268)=MONTH('Исходные данные'!$B$26)),'Исходные данные'!$B$26,IF(A268=1,'Исходные данные'!$B$9,C268)),IF(A268=1,'Исходные данные'!$B$9,C268))),IF('Исходные данные'!$B$26&lt;&gt;"",IF(AND(YEAR(B268)=YEAR('Исходные данные'!$B$26),MONTH(B268)=MONTH('Исходные данные'!$B$26)),'Исходные данные'!$B$26,IF(A268=1,'Исходные данные'!$B$9,C268)),IF(A268=1,'Исходные данные'!$B$9,C268)))))</f>
        <v/>
      </c>
      <c r="E268">
        <f>IF(OR(B268="",'Исходные данные'!$B$91=""),0,--(B268&lt;=DATE(YEAR('Исходные данные'!$B$91),MONTH('Исходные данные'!$B$91),1)))</f>
        <v>0</v>
      </c>
      <c r="F268">
        <f>IF(OR(B268="",'Исходные данные'!$B$30="",C268&lt;'Исходные данные'!$B$30),0,DATEDIF(DATE(YEAR('Исходные данные'!$B$30),MONTH('Исходные данные'!$B$30),1),B268,"m")+1)</f>
        <v>0</v>
      </c>
      <c r="G268">
        <f t="shared" si="166"/>
        <v>0</v>
      </c>
      <c r="H268">
        <f>IF(F268=0,0,IF(G268=1,N('Исходные данные'!$B$31),IF(G268=2,N('Исходные данные'!$B$32),IF(G268=3,N('Исходные данные'!$B$33),N('Исходные данные'!$B$33)*(1+N('Исходные данные'!$B$34))^(G268-3)))))</f>
        <v>0</v>
      </c>
      <c r="I268">
        <f>IF(OR(F268=0,N('Исходные данные'!$B$5)=0,H268=0),0,'Исходные данные'!$B$5*H268*IF(AND(B268&lt;='Исходные данные'!$B$30,C268&gt;='Исходные данные'!$B$30),(C268-'Исходные данные'!$B$30+1)/DAY(C268),1))</f>
        <v>0</v>
      </c>
      <c r="J268">
        <f>IF(AND(F268&gt;0,F268&lt;=N('Исходные данные'!$B$37)),-I268,0)</f>
        <v>0</v>
      </c>
      <c r="K268">
        <f>IF(OR(F268=0,F268&lt;=N('Исходные данные'!$B$37)),0,-(I268+J268)*N('Исходные данные'!$B$38))</f>
        <v>0</v>
      </c>
      <c r="L268">
        <f t="shared" si="167"/>
        <v>0</v>
      </c>
      <c r="M268">
        <f>IF('Исходные данные'!$B$51="Да",L268*N('Исходные данные'!$B$52),0)</f>
        <v>0</v>
      </c>
      <c r="N268">
        <f t="shared" si="168"/>
        <v>0</v>
      </c>
      <c r="O268">
        <f>IF(OR(B268="",IF('Исходные данные'!$B$45="",'Исходные данные'!$B$10,'Исходные данные'!$B$45)="",C268&lt;IF('Исходные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данные'!$B$45)),1),B268,"m")/12))*IF(AND(B268&lt;=IF('Исходные данные'!$B$45="",'Исходные данные'!$B$10,'Исходные данные'!$B$45),C268&gt;=IF('Исходные данные'!$B$45="",'Исходные данные'!$B$10,'Исходные данные'!$B$45)),(C268-IF('Исходные данные'!$B$45="",'Исходные данные'!$B$10,'Исходные данные'!$B$45)+1)/DAY(C268),1)*IF('Исходные данные'!$B$43="Без НДС",1+N('Исходные данные'!$B$44),1))</f>
        <v>0</v>
      </c>
      <c r="P268">
        <f>IF('Исходные данные'!$B$51="Да",-O268*N('Исходные данные'!$B$44)/(1+N('Исходные данные'!$B$44)),0)</f>
        <v>0</v>
      </c>
      <c r="Q268">
        <f>IF('Исходные данные'!$B$35="Да",-O268,0)</f>
        <v>0</v>
      </c>
      <c r="R268">
        <f>IF(AND('Исходные данные'!$B$51="Да",Q268&gt;0),Q268*N('Исходные данные'!$B$52)/(1+N('Исходные данные'!$B$52)),0)</f>
        <v>0</v>
      </c>
      <c r="S268">
        <f>IF(OR(B268="",IF('Исходные данные'!$B$45="",'Исходные данные'!$B$10,'Исходные данные'!$B$45)="",C268&lt;IF('Исходные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данные'!$B$45)),1),B268,"m")/12))*IF(AND(B268&lt;=IF('Исходные данные'!$B$45="",'Исходные данные'!$B$10,'Исходные данные'!$B$45),C268&gt;=IF('Исходные данные'!$B$45="",'Исходные данные'!$B$10,'Исходные данные'!$B$45)),(C268-IF('Исходные данные'!$B$45="",'Исходные данные'!$B$10,'Исходные данные'!$B$45)+1)/DAY(C268),1)*IF('Исходные данные'!$B$43="Без НДС",1+N('Исходные данные'!$B$44),1))</f>
        <v>0</v>
      </c>
      <c r="T268">
        <f>IF('Исходные данные'!$B$51="Да",-S268*N('Исходные данные'!$B$44)/(1+N('Исходные данные'!$B$44)),0)</f>
        <v>0</v>
      </c>
      <c r="U268">
        <f>IF('Исходные данные'!$B$36="Да",-S268,0)</f>
        <v>0</v>
      </c>
      <c r="V268">
        <f>IF(AND('Исходные данные'!$B$51="Да",U268&gt;0),U268*N('Исходные данные'!$B$52)/(1+N('Исходные данные'!$B$52)),0)</f>
        <v>0</v>
      </c>
      <c r="W268">
        <f>IF(OR(B268="",IF('Исходные данные'!$B$69="",'Исходные данные'!$B$10,'Исходные данные'!$B$69)="",C268&lt;IF('Исходные данные'!$B$69="",'Исходные данные'!$B$10,'Исходные данные'!$B$69)),0,-N('Исходные данные'!$B$16)*N('Исходные данные'!$B$68)*N('Исходные данные'!$B$67)/12*IF(AND(B268&lt;=IF('Исходные данные'!$B$69="",'Исходные данные'!$B$10,'Исходные данные'!$B$69),C268&gt;=IF('Исходные данные'!$B$69="",'Исходные данные'!$B$10,'Исходные данные'!$B$69)),(C268-IF('Исходные данные'!$B$69="",'Исходные данные'!$B$10,'Исходные данные'!$B$69)+1)/DAY(C268),1))</f>
        <v>0</v>
      </c>
      <c r="X268">
        <f>IF(OR(B268="",IF('Исходные данные'!$B$76="",'Исходные данные'!$B$10,'Исходные данные'!$B$76)="",C268&lt;IF('Исходные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данные'!$B$76)),1),B268,"m")/12))*IF(AND(B268&lt;=IF('Исходные данные'!$B$76="",'Исходные данные'!$B$10,'Исходные данные'!$B$76),C268&gt;=IF('Исходные данные'!$B$76="",'Исходные данные'!$B$10,'Исходные данные'!$B$76)),(C268-IF('Исходные данные'!$B$76="",'Исходные данные'!$B$10,'Исходные данные'!$B$76)+1)/DAY(C268),1))</f>
        <v>0</v>
      </c>
      <c r="Y268">
        <f t="shared" si="169"/>
        <v>0</v>
      </c>
      <c r="Z268">
        <f>IF(OR(B268="",N('Исходные данные'!$B$19)=0),0,-SUMIFS('Исходные данные'!$I$6:$I$186,'Исходные данные'!$F$6:$F$186,B268)*N('Исходные данные'!$B$17)/N('Исходные данные'!$B$19))</f>
        <v>0</v>
      </c>
      <c r="AA268">
        <f>IF(OR(B268="",N('Исходные данные'!$B$19)=0),0,-SUMIFS('Исходные данные'!$I$6:$I$186,'Исходные данные'!$F$6:$F$186,B268)*N('Исходные данные'!$B$18)/N('Исходные данные'!$B$19))</f>
        <v>0</v>
      </c>
      <c r="AB268">
        <f>IF(OR(B268="",'Исходные данные'!$B$13=""),0,IF(AND(YEAR(B268)=YEAR('Исходные данные'!$B$13),MONTH(B268)=MONTH('Исходные данные'!$B$13)),-N('Исходные данные'!$B$11),0))</f>
        <v>0</v>
      </c>
      <c r="AC268">
        <f>IF(A268=1,-N('Исходные данные'!$B$19)*N('Исходные данные'!$B$72),0)</f>
        <v>0</v>
      </c>
      <c r="AD268">
        <f>IF(OR(B268="",'Исходные данные'!$B$22&lt;&gt;"Да",'Исходные данные'!$B$26=""),0,IF(AND(YEAR(B268)=YEAR('Исходные данные'!$B$26),MONTH(B268)=MONTH('Исходные данные'!$B$26)),N('Исходные данные'!$B$23),0))</f>
        <v>0</v>
      </c>
      <c r="AE268">
        <f t="shared" si="152"/>
        <v>0</v>
      </c>
      <c r="AF268">
        <f>IF(OR('Исходные данные'!$B$22&lt;&gt;"Да",'Исходные данные'!$B$26="",C268&lt;'Исходные данные'!$B$26),0,DATEDIF(DATE(YEAR('Исходные данные'!$B$26),MONTH('Исходные данные'!$B$26),1),B268,"m")+1)</f>
        <v>0</v>
      </c>
      <c r="AG268">
        <f>IF(OR(AF268&lt;1,AF268&gt;N('Исходные данные'!$B$25),AE268+AD268&lt;=0),0,-(AE268+AD268)*N('Исходные данные'!$B$24)*IF(AF268=1,C268-'Исходные данные'!$B$26+1,DAY(C268))/365)</f>
        <v>0</v>
      </c>
      <c r="AH268">
        <f>IF(OR(AF268&lt;1,AF268&gt;N('Исходные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данные'!$B$25)-AG268))</f>
        <v>0</v>
      </c>
      <c r="AI268">
        <f>IF(OR('Исходные данные'!$B$22&lt;&gt;"Да",AE268+AD268&lt;=0),0,IF(AND('Исходные данные'!$B$91&lt;&gt;"",B268&lt;&gt;"",YEAR(B268)=YEAR('Исходные данные'!$B$91),MONTH(B268)=MONTH('Исходные данные'!$B$91)),-(AE268+AD268),IF(OR(AF268&lt;1,AF268&gt;N('Исходные данные'!$B$25)),0,IF('Исходные данные'!$B$27="Равными долями",-MIN(AE268+AD268,N('Исходные данные'!$B$23)/N('Исходные данные'!$B$25)),-MIN(AE268+AD268,IF(AF268=N('Исходные данные'!$B$25),AE268+AD268,MAX(0,AH268+AG268)))))))</f>
        <v>0</v>
      </c>
      <c r="AJ268">
        <f t="shared" si="170"/>
        <v>0</v>
      </c>
      <c r="AK268">
        <f t="shared" si="153"/>
        <v>0</v>
      </c>
      <c r="AL268">
        <f>IF(OR(B268="",'Исходные данные'!$B$51&lt;&gt;"Да",'Исходные данные'!$B$61=""),0,IF(AND(YEAR(B268)=YEAR('Исходные данные'!$B$61),MONTH(B268)=MONTH('Исходные данные'!$B$61)),N('Исходные данные'!$B$18)*N('Исходные данные'!$B$62),0))</f>
        <v>0</v>
      </c>
      <c r="AM268">
        <f t="shared" si="154"/>
        <v>0</v>
      </c>
      <c r="AN268">
        <f t="shared" si="155"/>
        <v>0</v>
      </c>
      <c r="AO268">
        <f t="shared" si="156"/>
        <v>0</v>
      </c>
      <c r="AP268">
        <f>IF('Исходные данные'!$B$51="Да",-MAX(0,AN268-AO268-AM268),0)</f>
        <v>0</v>
      </c>
      <c r="AQ268">
        <f>IF('Исходные данные'!$B$51="Да",MAX(0,AM268+AO268-AN268),0)</f>
        <v>0</v>
      </c>
      <c r="AR268">
        <f>IF('Исходные данные'!$B$53="Выручка",MAX(0,L268+(Q268-R268)+(U268-V268)),IF('Исходные данные'!$B$53="Прибыль до налога",MAX(0,L268+(Q268-R268)+(U268-V268)+N('Исходные данные'!$B$54)*((O268+P268)+(S268+T268)+W268+X268)+IF('Исходные данные'!$B$55="Да",AG268,0)-N('Исходные данные'!$B$56)/12),IF('Исходные данные'!$B$53="Пользовательская база",MAX(0,N('Исходные данные'!$B$57)/12),0)))</f>
        <v>0</v>
      </c>
      <c r="AS268">
        <f>IF(E268=1,-AR268*N('Исходные данные'!$B$50),0)</f>
        <v>0</v>
      </c>
      <c r="AT268">
        <f t="shared" si="157"/>
        <v>0</v>
      </c>
      <c r="AU268">
        <f>IF(OR(B268="",N('Исходные данные'!$B$80)&lt;=0,'Исходные данные'!$B$88=""),0,MAX(0,IF('Исходные данные'!$B$88="Последние 12 месяцев",SUMIFS($Y$2:$Y$194,$B$2:$B$194,"&gt;="&amp;EDATE(B268,-11),$B$2:$B$194,"&lt;="&amp;B268),IF('Исходные данные'!$B$88="Пользовательский NOI",N('Исходные данные'!$B$89),AT268))/N('Исходные данные'!$B$80)*(1+N('Исходные данные'!$B$81))))</f>
        <v>0</v>
      </c>
      <c r="AV268">
        <f>IF(OR(E268&lt;&gt;1,B268="",'Исходные данные'!$B$91=""),0,IF(AND(YEAR(B268)=YEAR('Исходные данные'!$B$91),MONTH(B268)=MONTH('Исходные данные'!$B$91)),AU268,0))</f>
        <v>0</v>
      </c>
      <c r="AW268">
        <f>-AV268*N('Исходные данные'!$B$73)</f>
        <v>0</v>
      </c>
      <c r="AX268">
        <f>IF(AV268=0,0,-N('Исходные данные'!$B$87)-IF('Исходные данные'!$B$82="Да",IF('Исходные данные'!$B$84="С выручки",AV268,IF('Исходные данные'!$B$84="С прибыли",MAX(0,AV268+AW268-IF('Исходные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68">
        <f t="shared" si="171"/>
        <v>0</v>
      </c>
      <c r="AZ268">
        <f t="shared" si="158"/>
        <v>0</v>
      </c>
      <c r="BA268">
        <f t="shared" si="172"/>
        <v>0</v>
      </c>
      <c r="BB268" t="str">
        <f t="shared" si="159"/>
        <v/>
      </c>
      <c r="BC268">
        <f>IF(OR(E268=0,'Исходные данные'!$B$9="",'Исходные данные'!$B$90=""),0,BA268/(1+'Исходные данные'!$B$90)^((D268-'Исходные данные'!$B$9)/365))</f>
        <v>0</v>
      </c>
      <c r="BD268">
        <f>IF(AND(E268=1,BB268&gt;=0,BB267&lt;0,MIN($BB$2:BB268)&lt;0),1,0)</f>
        <v>0</v>
      </c>
      <c r="BE268">
        <f t="shared" si="160"/>
        <v>0</v>
      </c>
      <c r="BF268">
        <f t="shared" si="161"/>
        <v>0</v>
      </c>
      <c r="BG268">
        <f t="shared" si="162"/>
        <v>0</v>
      </c>
      <c r="BH268">
        <f t="shared" si="163"/>
        <v>1</v>
      </c>
      <c r="BI268">
        <f>AZ268+N268+AP268-AR268*N('Исходные данные'!$B$50)</f>
        <v>0</v>
      </c>
      <c r="BJ268">
        <f t="shared" si="164"/>
        <v>0</v>
      </c>
      <c r="BK268">
        <f>IF(AND(BJ268&gt;=0,BJ267&lt;0,MIN($BJ$2:BJ268)&lt;0),1,0)</f>
        <v>0</v>
      </c>
    </row>
    <row r="269" spans="1:63" x14ac:dyDescent="0.2">
      <c r="A269">
        <v>268</v>
      </c>
      <c r="B269" t="str">
        <f>IF('Исходные данные'!$B$9="","",EDATE(DATE(YEAR('Исходные данные'!$B$9),MONTH('Исходные данные'!$B$9),1),A269-1))</f>
        <v/>
      </c>
      <c r="C269" t="str">
        <f t="shared" si="165"/>
        <v/>
      </c>
      <c r="D269" t="str">
        <f>IF(B269="","",IF('Исходные данные'!$B$91&lt;&gt;"",IF(AND(YEAR(B269)=YEAR('Исходные данные'!$B$91),MONTH(B269)=MONTH('Исходные данные'!$B$91)),'Исходные данные'!$B$91,IF('Исходные данные'!$B$13&lt;&gt;"",IF(AND(YEAR(B269)=YEAR('Исходные данные'!$B$13),MONTH(B269)=MONTH('Исходные данные'!$B$13)),'Исходные данные'!$B$13,IF('Исходные данные'!$B$26&lt;&gt;"",IF(AND(YEAR(B269)=YEAR('Исходные данные'!$B$26),MONTH(B269)=MONTH('Исходные данные'!$B$26)),'Исходные данные'!$B$26,IF(A269=1,'Исходные данные'!$B$9,C269)),IF(A269=1,'Исходные данные'!$B$9,C269))),IF('Исходные данные'!$B$26&lt;&gt;"",IF(AND(YEAR(B269)=YEAR('Исходные данные'!$B$26),MONTH(B269)=MONTH('Исходные данные'!$B$26)),'Исходные данные'!$B$26,IF(A269=1,'Исходные данные'!$B$9,C269)),IF(A269=1,'Исходные данные'!$B$9,C269)))),IF('Исходные данные'!$B$13&lt;&gt;"",IF(AND(YEAR(B269)=YEAR('Исходные данные'!$B$13),MONTH(B269)=MONTH('Исходные данные'!$B$13)),'Исходные данные'!$B$13,IF('Исходные данные'!$B$26&lt;&gt;"",IF(AND(YEAR(B269)=YEAR('Исходные данные'!$B$26),MONTH(B269)=MONTH('Исходные данные'!$B$26)),'Исходные данные'!$B$26,IF(A269=1,'Исходные данные'!$B$9,C269)),IF(A269=1,'Исходные данные'!$B$9,C269))),IF('Исходные данные'!$B$26&lt;&gt;"",IF(AND(YEAR(B269)=YEAR('Исходные данные'!$B$26),MONTH(B269)=MONTH('Исходные данные'!$B$26)),'Исходные данные'!$B$26,IF(A269=1,'Исходные данные'!$B$9,C269)),IF(A269=1,'Исходные данные'!$B$9,C269)))))</f>
        <v/>
      </c>
      <c r="E269">
        <f>IF(OR(B269="",'Исходные данные'!$B$91=""),0,--(B269&lt;=DATE(YEAR('Исходные данные'!$B$91),MONTH('Исходные данные'!$B$91),1)))</f>
        <v>0</v>
      </c>
      <c r="F269">
        <f>IF(OR(B269="",'Исходные данные'!$B$30="",C269&lt;'Исходные данные'!$B$30),0,DATEDIF(DATE(YEAR('Исходные данные'!$B$30),MONTH('Исходные данные'!$B$30),1),B269,"m")+1)</f>
        <v>0</v>
      </c>
      <c r="G269">
        <f t="shared" si="166"/>
        <v>0</v>
      </c>
      <c r="H269">
        <f>IF(F269=0,0,IF(G269=1,N('Исходные данные'!$B$31),IF(G269=2,N('Исходные данные'!$B$32),IF(G269=3,N('Исходные данные'!$B$33),N('Исходные данные'!$B$33)*(1+N('Исходные данные'!$B$34))^(G269-3)))))</f>
        <v>0</v>
      </c>
      <c r="I269">
        <f>IF(OR(F269=0,N('Исходные данные'!$B$5)=0,H269=0),0,'Исходные данные'!$B$5*H269*IF(AND(B269&lt;='Исходные данные'!$B$30,C269&gt;='Исходные данные'!$B$30),(C269-'Исходные данные'!$B$30+1)/DAY(C269),1))</f>
        <v>0</v>
      </c>
      <c r="J269">
        <f>IF(AND(F269&gt;0,F269&lt;=N('Исходные данные'!$B$37)),-I269,0)</f>
        <v>0</v>
      </c>
      <c r="K269">
        <f>IF(OR(F269=0,F269&lt;=N('Исходные данные'!$B$37)),0,-(I269+J269)*N('Исходные данные'!$B$38))</f>
        <v>0</v>
      </c>
      <c r="L269">
        <f t="shared" si="167"/>
        <v>0</v>
      </c>
      <c r="M269">
        <f>IF('Исходные данные'!$B$51="Да",L269*N('Исходные данные'!$B$52),0)</f>
        <v>0</v>
      </c>
      <c r="N269">
        <f t="shared" si="168"/>
        <v>0</v>
      </c>
      <c r="O269">
        <f>IF(OR(B269="",IF('Исходные данные'!$B$45="",'Исходные данные'!$B$10,'Исходные данные'!$B$45)="",C269&lt;IF('Исходные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данные'!$B$45)),1),B269,"m")/12))*IF(AND(B269&lt;=IF('Исходные данные'!$B$45="",'Исходные данные'!$B$10,'Исходные данные'!$B$45),C269&gt;=IF('Исходные данные'!$B$45="",'Исходные данные'!$B$10,'Исходные данные'!$B$45)),(C269-IF('Исходные данные'!$B$45="",'Исходные данные'!$B$10,'Исходные данные'!$B$45)+1)/DAY(C269),1)*IF('Исходные данные'!$B$43="Без НДС",1+N('Исходные данные'!$B$44),1))</f>
        <v>0</v>
      </c>
      <c r="P269">
        <f>IF('Исходные данные'!$B$51="Да",-O269*N('Исходные данные'!$B$44)/(1+N('Исходные данные'!$B$44)),0)</f>
        <v>0</v>
      </c>
      <c r="Q269">
        <f>IF('Исходные данные'!$B$35="Да",-O269,0)</f>
        <v>0</v>
      </c>
      <c r="R269">
        <f>IF(AND('Исходные данные'!$B$51="Да",Q269&gt;0),Q269*N('Исходные данные'!$B$52)/(1+N('Исходные данные'!$B$52)),0)</f>
        <v>0</v>
      </c>
      <c r="S269">
        <f>IF(OR(B269="",IF('Исходные данные'!$B$45="",'Исходные данные'!$B$10,'Исходные данные'!$B$45)="",C269&lt;IF('Исходные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данные'!$B$45)),1),B269,"m")/12))*IF(AND(B269&lt;=IF('Исходные данные'!$B$45="",'Исходные данные'!$B$10,'Исходные данные'!$B$45),C269&gt;=IF('Исходные данные'!$B$45="",'Исходные данные'!$B$10,'Исходные данные'!$B$45)),(C269-IF('Исходные данные'!$B$45="",'Исходные данные'!$B$10,'Исходные данные'!$B$45)+1)/DAY(C269),1)*IF('Исходные данные'!$B$43="Без НДС",1+N('Исходные данные'!$B$44),1))</f>
        <v>0</v>
      </c>
      <c r="T269">
        <f>IF('Исходные данные'!$B$51="Да",-S269*N('Исходные данные'!$B$44)/(1+N('Исходные данные'!$B$44)),0)</f>
        <v>0</v>
      </c>
      <c r="U269">
        <f>IF('Исходные данные'!$B$36="Да",-S269,0)</f>
        <v>0</v>
      </c>
      <c r="V269">
        <f>IF(AND('Исходные данные'!$B$51="Да",U269&gt;0),U269*N('Исходные данные'!$B$52)/(1+N('Исходные данные'!$B$52)),0)</f>
        <v>0</v>
      </c>
      <c r="W269">
        <f>IF(OR(B269="",IF('Исходные данные'!$B$69="",'Исходные данные'!$B$10,'Исходные данные'!$B$69)="",C269&lt;IF('Исходные данные'!$B$69="",'Исходные данные'!$B$10,'Исходные данные'!$B$69)),0,-N('Исходные данные'!$B$16)*N('Исходные данные'!$B$68)*N('Исходные данные'!$B$67)/12*IF(AND(B269&lt;=IF('Исходные данные'!$B$69="",'Исходные данные'!$B$10,'Исходные данные'!$B$69),C269&gt;=IF('Исходные данные'!$B$69="",'Исходные данные'!$B$10,'Исходные данные'!$B$69)),(C269-IF('Исходные данные'!$B$69="",'Исходные данные'!$B$10,'Исходные данные'!$B$69)+1)/DAY(C269),1))</f>
        <v>0</v>
      </c>
      <c r="X269">
        <f>IF(OR(B269="",IF('Исходные данные'!$B$76="",'Исходные данные'!$B$10,'Исходные данные'!$B$76)="",C269&lt;IF('Исходные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данные'!$B$76)),1),B269,"m")/12))*IF(AND(B269&lt;=IF('Исходные данные'!$B$76="",'Исходные данные'!$B$10,'Исходные данные'!$B$76),C269&gt;=IF('Исходные данные'!$B$76="",'Исходные данные'!$B$10,'Исходные данные'!$B$76)),(C269-IF('Исходные данные'!$B$76="",'Исходные данные'!$B$10,'Исходные данные'!$B$76)+1)/DAY(C269),1))</f>
        <v>0</v>
      </c>
      <c r="Y269">
        <f t="shared" si="169"/>
        <v>0</v>
      </c>
      <c r="Z269">
        <f>IF(OR(B269="",N('Исходные данные'!$B$19)=0),0,-SUMIFS('Исходные данные'!$I$6:$I$186,'Исходные данные'!$F$6:$F$186,B269)*N('Исходные данные'!$B$17)/N('Исходные данные'!$B$19))</f>
        <v>0</v>
      </c>
      <c r="AA269">
        <f>IF(OR(B269="",N('Исходные данные'!$B$19)=0),0,-SUMIFS('Исходные данные'!$I$6:$I$186,'Исходные данные'!$F$6:$F$186,B269)*N('Исходные данные'!$B$18)/N('Исходные данные'!$B$19))</f>
        <v>0</v>
      </c>
      <c r="AB269">
        <f>IF(OR(B269="",'Исходные данные'!$B$13=""),0,IF(AND(YEAR(B269)=YEAR('Исходные данные'!$B$13),MONTH(B269)=MONTH('Исходные данные'!$B$13)),-N('Исходные данные'!$B$11),0))</f>
        <v>0</v>
      </c>
      <c r="AC269">
        <f>IF(A269=1,-N('Исходные данные'!$B$19)*N('Исходные данные'!$B$72),0)</f>
        <v>0</v>
      </c>
      <c r="AD269">
        <f>IF(OR(B269="",'Исходные данные'!$B$22&lt;&gt;"Да",'Исходные данные'!$B$26=""),0,IF(AND(YEAR(B269)=YEAR('Исходные данные'!$B$26),MONTH(B269)=MONTH('Исходные данные'!$B$26)),N('Исходные данные'!$B$23),0))</f>
        <v>0</v>
      </c>
      <c r="AE269">
        <f t="shared" si="152"/>
        <v>0</v>
      </c>
      <c r="AF269">
        <f>IF(OR('Исходные данные'!$B$22&lt;&gt;"Да",'Исходные данные'!$B$26="",C269&lt;'Исходные данные'!$B$26),0,DATEDIF(DATE(YEAR('Исходные данные'!$B$26),MONTH('Исходные данные'!$B$26),1),B269,"m")+1)</f>
        <v>0</v>
      </c>
      <c r="AG269">
        <f>IF(OR(AF269&lt;1,AF269&gt;N('Исходные данные'!$B$25),AE269+AD269&lt;=0),0,-(AE269+AD269)*N('Исходные данные'!$B$24)*IF(AF269=1,C269-'Исходные данные'!$B$26+1,DAY(C269))/365)</f>
        <v>0</v>
      </c>
      <c r="AH269">
        <f>IF(OR(AF269&lt;1,AF269&gt;N('Исходные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данные'!$B$25)-AG269))</f>
        <v>0</v>
      </c>
      <c r="AI269">
        <f>IF(OR('Исходные данные'!$B$22&lt;&gt;"Да",AE269+AD269&lt;=0),0,IF(AND('Исходные данные'!$B$91&lt;&gt;"",B269&lt;&gt;"",YEAR(B269)=YEAR('Исходные данные'!$B$91),MONTH(B269)=MONTH('Исходные данные'!$B$91)),-(AE269+AD269),IF(OR(AF269&lt;1,AF269&gt;N('Исходные данные'!$B$25)),0,IF('Исходные данные'!$B$27="Равными долями",-MIN(AE269+AD269,N('Исходные данные'!$B$23)/N('Исходные данные'!$B$25)),-MIN(AE269+AD269,IF(AF269=N('Исходные данные'!$B$25),AE269+AD269,MAX(0,AH269+AG269)))))))</f>
        <v>0</v>
      </c>
      <c r="AJ269">
        <f t="shared" si="170"/>
        <v>0</v>
      </c>
      <c r="AK269">
        <f t="shared" si="153"/>
        <v>0</v>
      </c>
      <c r="AL269">
        <f>IF(OR(B269="",'Исходные данные'!$B$51&lt;&gt;"Да",'Исходные данные'!$B$61=""),0,IF(AND(YEAR(B269)=YEAR('Исходные данные'!$B$61),MONTH(B269)=MONTH('Исходные данные'!$B$61)),N('Исходные данные'!$B$18)*N('Исходные данные'!$B$62),0))</f>
        <v>0</v>
      </c>
      <c r="AM269">
        <f t="shared" si="154"/>
        <v>0</v>
      </c>
      <c r="AN269">
        <f t="shared" si="155"/>
        <v>0</v>
      </c>
      <c r="AO269">
        <f t="shared" si="156"/>
        <v>0</v>
      </c>
      <c r="AP269">
        <f>IF('Исходные данные'!$B$51="Да",-MAX(0,AN269-AO269-AM269),0)</f>
        <v>0</v>
      </c>
      <c r="AQ269">
        <f>IF('Исходные данные'!$B$51="Да",MAX(0,AM269+AO269-AN269),0)</f>
        <v>0</v>
      </c>
      <c r="AR269">
        <f>IF('Исходные данные'!$B$53="Выручка",MAX(0,L269+(Q269-R269)+(U269-V269)),IF('Исходные данные'!$B$53="Прибыль до налога",MAX(0,L269+(Q269-R269)+(U269-V269)+N('Исходные данные'!$B$54)*((O269+P269)+(S269+T269)+W269+X269)+IF('Исходные данные'!$B$55="Да",AG269,0)-N('Исходные данные'!$B$56)/12),IF('Исходные данные'!$B$53="Пользовательская база",MAX(0,N('Исходные данные'!$B$57)/12),0)))</f>
        <v>0</v>
      </c>
      <c r="AS269">
        <f>IF(E269=1,-AR269*N('Исходные данные'!$B$50),0)</f>
        <v>0</v>
      </c>
      <c r="AT269">
        <f t="shared" si="157"/>
        <v>0</v>
      </c>
      <c r="AU269">
        <f>IF(OR(B269="",N('Исходные данные'!$B$80)&lt;=0,'Исходные данные'!$B$88=""),0,MAX(0,IF('Исходные данные'!$B$88="Последние 12 месяцев",SUMIFS($Y$2:$Y$194,$B$2:$B$194,"&gt;="&amp;EDATE(B269,-11),$B$2:$B$194,"&lt;="&amp;B269),IF('Исходные данные'!$B$88="Пользовательский NOI",N('Исходные данные'!$B$89),AT269))/N('Исходные данные'!$B$80)*(1+N('Исходные данные'!$B$81))))</f>
        <v>0</v>
      </c>
      <c r="AV269">
        <f>IF(OR(E269&lt;&gt;1,B269="",'Исходные данные'!$B$91=""),0,IF(AND(YEAR(B269)=YEAR('Исходные данные'!$B$91),MONTH(B269)=MONTH('Исходные данные'!$B$91)),AU269,0))</f>
        <v>0</v>
      </c>
      <c r="AW269">
        <f>-AV269*N('Исходные данные'!$B$73)</f>
        <v>0</v>
      </c>
      <c r="AX269">
        <f>IF(AV269=0,0,-N('Исходные данные'!$B$87)-IF('Исходные данные'!$B$82="Да",IF('Исходные данные'!$B$84="С выручки",AV269,IF('Исходные данные'!$B$84="С прибыли",MAX(0,AV269+AW269-IF('Исходные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69">
        <f t="shared" si="171"/>
        <v>0</v>
      </c>
      <c r="AZ269">
        <f t="shared" si="158"/>
        <v>0</v>
      </c>
      <c r="BA269">
        <f t="shared" si="172"/>
        <v>0</v>
      </c>
      <c r="BB269" t="str">
        <f t="shared" si="159"/>
        <v/>
      </c>
      <c r="BC269">
        <f>IF(OR(E269=0,'Исходные данные'!$B$9="",'Исходные данные'!$B$90=""),0,BA269/(1+'Исходные данные'!$B$90)^((D269-'Исходные данные'!$B$9)/365))</f>
        <v>0</v>
      </c>
      <c r="BD269">
        <f>IF(AND(E269=1,BB269&gt;=0,BB268&lt;0,MIN($BB$2:BB269)&lt;0),1,0)</f>
        <v>0</v>
      </c>
      <c r="BE269">
        <f t="shared" si="160"/>
        <v>0</v>
      </c>
      <c r="BF269">
        <f t="shared" si="161"/>
        <v>0</v>
      </c>
      <c r="BG269">
        <f t="shared" si="162"/>
        <v>0</v>
      </c>
      <c r="BH269">
        <f t="shared" si="163"/>
        <v>1</v>
      </c>
      <c r="BI269">
        <f>AZ269+N269+AP269-AR269*N('Исходные данные'!$B$50)</f>
        <v>0</v>
      </c>
      <c r="BJ269">
        <f t="shared" si="164"/>
        <v>0</v>
      </c>
      <c r="BK269">
        <f>IF(AND(BJ269&gt;=0,BJ268&lt;0,MIN($BJ$2:BJ269)&lt;0),1,0)</f>
        <v>0</v>
      </c>
    </row>
    <row r="270" spans="1:63" x14ac:dyDescent="0.2">
      <c r="A270">
        <v>269</v>
      </c>
      <c r="B270" t="str">
        <f>IF('Исходные данные'!$B$9="","",EDATE(DATE(YEAR('Исходные данные'!$B$9),MONTH('Исходные данные'!$B$9),1),A270-1))</f>
        <v/>
      </c>
      <c r="C270" t="str">
        <f t="shared" si="165"/>
        <v/>
      </c>
      <c r="D270" t="str">
        <f>IF(B270="","",IF('Исходные данные'!$B$91&lt;&gt;"",IF(AND(YEAR(B270)=YEAR('Исходные данные'!$B$91),MONTH(B270)=MONTH('Исходные данные'!$B$91)),'Исходные данные'!$B$91,IF('Исходные данные'!$B$13&lt;&gt;"",IF(AND(YEAR(B270)=YEAR('Исходные данные'!$B$13),MONTH(B270)=MONTH('Исходные данные'!$B$13)),'Исходные данные'!$B$13,IF('Исходные данные'!$B$26&lt;&gt;"",IF(AND(YEAR(B270)=YEAR('Исходные данные'!$B$26),MONTH(B270)=MONTH('Исходные данные'!$B$26)),'Исходные данные'!$B$26,IF(A270=1,'Исходные данные'!$B$9,C270)),IF(A270=1,'Исходные данные'!$B$9,C270))),IF('Исходные данные'!$B$26&lt;&gt;"",IF(AND(YEAR(B270)=YEAR('Исходные данные'!$B$26),MONTH(B270)=MONTH('Исходные данные'!$B$26)),'Исходные данные'!$B$26,IF(A270=1,'Исходные данные'!$B$9,C270)),IF(A270=1,'Исходные данные'!$B$9,C270)))),IF('Исходные данные'!$B$13&lt;&gt;"",IF(AND(YEAR(B270)=YEAR('Исходные данные'!$B$13),MONTH(B270)=MONTH('Исходные данные'!$B$13)),'Исходные данные'!$B$13,IF('Исходные данные'!$B$26&lt;&gt;"",IF(AND(YEAR(B270)=YEAR('Исходные данные'!$B$26),MONTH(B270)=MONTH('Исходные данные'!$B$26)),'Исходные данные'!$B$26,IF(A270=1,'Исходные данные'!$B$9,C270)),IF(A270=1,'Исходные данные'!$B$9,C270))),IF('Исходные данные'!$B$26&lt;&gt;"",IF(AND(YEAR(B270)=YEAR('Исходные данные'!$B$26),MONTH(B270)=MONTH('Исходные данные'!$B$26)),'Исходные данные'!$B$26,IF(A270=1,'Исходные данные'!$B$9,C270)),IF(A270=1,'Исходные данные'!$B$9,C270)))))</f>
        <v/>
      </c>
      <c r="E270">
        <f>IF(OR(B270="",'Исходные данные'!$B$91=""),0,--(B270&lt;=DATE(YEAR('Исходные данные'!$B$91),MONTH('Исходные данные'!$B$91),1)))</f>
        <v>0</v>
      </c>
      <c r="F270">
        <f>IF(OR(B270="",'Исходные данные'!$B$30="",C270&lt;'Исходные данные'!$B$30),0,DATEDIF(DATE(YEAR('Исходные данные'!$B$30),MONTH('Исходные данные'!$B$30),1),B270,"m")+1)</f>
        <v>0</v>
      </c>
      <c r="G270">
        <f t="shared" si="166"/>
        <v>0</v>
      </c>
      <c r="H270">
        <f>IF(F270=0,0,IF(G270=1,N('Исходные данные'!$B$31),IF(G270=2,N('Исходные данные'!$B$32),IF(G270=3,N('Исходные данные'!$B$33),N('Исходные данные'!$B$33)*(1+N('Исходные данные'!$B$34))^(G270-3)))))</f>
        <v>0</v>
      </c>
      <c r="I270">
        <f>IF(OR(F270=0,N('Исходные данные'!$B$5)=0,H270=0),0,'Исходные данные'!$B$5*H270*IF(AND(B270&lt;='Исходные данные'!$B$30,C270&gt;='Исходные данные'!$B$30),(C270-'Исходные данные'!$B$30+1)/DAY(C270),1))</f>
        <v>0</v>
      </c>
      <c r="J270">
        <f>IF(AND(F270&gt;0,F270&lt;=N('Исходные данные'!$B$37)),-I270,0)</f>
        <v>0</v>
      </c>
      <c r="K270">
        <f>IF(OR(F270=0,F270&lt;=N('Исходные данные'!$B$37)),0,-(I270+J270)*N('Исходные данные'!$B$38))</f>
        <v>0</v>
      </c>
      <c r="L270">
        <f t="shared" si="167"/>
        <v>0</v>
      </c>
      <c r="M270">
        <f>IF('Исходные данные'!$B$51="Да",L270*N('Исходные данные'!$B$52),0)</f>
        <v>0</v>
      </c>
      <c r="N270">
        <f t="shared" si="168"/>
        <v>0</v>
      </c>
      <c r="O270">
        <f>IF(OR(B270="",IF('Исходные данные'!$B$45="",'Исходные данные'!$B$10,'Исходные данные'!$B$45)="",C270&lt;IF('Исходные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данные'!$B$45)),1),B270,"m")/12))*IF(AND(B270&lt;=IF('Исходные данные'!$B$45="",'Исходные данные'!$B$10,'Исходные данные'!$B$45),C270&gt;=IF('Исходные данные'!$B$45="",'Исходные данные'!$B$10,'Исходные данные'!$B$45)),(C270-IF('Исходные данные'!$B$45="",'Исходные данные'!$B$10,'Исходные данные'!$B$45)+1)/DAY(C270),1)*IF('Исходные данные'!$B$43="Без НДС",1+N('Исходные данные'!$B$44),1))</f>
        <v>0</v>
      </c>
      <c r="P270">
        <f>IF('Исходные данные'!$B$51="Да",-O270*N('Исходные данные'!$B$44)/(1+N('Исходные данные'!$B$44)),0)</f>
        <v>0</v>
      </c>
      <c r="Q270">
        <f>IF('Исходные данные'!$B$35="Да",-O270,0)</f>
        <v>0</v>
      </c>
      <c r="R270">
        <f>IF(AND('Исходные данные'!$B$51="Да",Q270&gt;0),Q270*N('Исходные данные'!$B$52)/(1+N('Исходные данные'!$B$52)),0)</f>
        <v>0</v>
      </c>
      <c r="S270">
        <f>IF(OR(B270="",IF('Исходные данные'!$B$45="",'Исходные данные'!$B$10,'Исходные данные'!$B$45)="",C270&lt;IF('Исходные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данные'!$B$45)),1),B270,"m")/12))*IF(AND(B270&lt;=IF('Исходные данные'!$B$45="",'Исходные данные'!$B$10,'Исходные данные'!$B$45),C270&gt;=IF('Исходные данные'!$B$45="",'Исходные данные'!$B$10,'Исходные данные'!$B$45)),(C270-IF('Исходные данные'!$B$45="",'Исходные данные'!$B$10,'Исходные данные'!$B$45)+1)/DAY(C270),1)*IF('Исходные данные'!$B$43="Без НДС",1+N('Исходные данные'!$B$44),1))</f>
        <v>0</v>
      </c>
      <c r="T270">
        <f>IF('Исходные данные'!$B$51="Да",-S270*N('Исходные данные'!$B$44)/(1+N('Исходные данные'!$B$44)),0)</f>
        <v>0</v>
      </c>
      <c r="U270">
        <f>IF('Исходные данные'!$B$36="Да",-S270,0)</f>
        <v>0</v>
      </c>
      <c r="V270">
        <f>IF(AND('Исходные данные'!$B$51="Да",U270&gt;0),U270*N('Исходные данные'!$B$52)/(1+N('Исходные данные'!$B$52)),0)</f>
        <v>0</v>
      </c>
      <c r="W270">
        <f>IF(OR(B270="",IF('Исходные данные'!$B$69="",'Исходные данные'!$B$10,'Исходные данные'!$B$69)="",C270&lt;IF('Исходные данные'!$B$69="",'Исходные данные'!$B$10,'Исходные данные'!$B$69)),0,-N('Исходные данные'!$B$16)*N('Исходные данные'!$B$68)*N('Исходные данные'!$B$67)/12*IF(AND(B270&lt;=IF('Исходные данные'!$B$69="",'Исходные данные'!$B$10,'Исходные данные'!$B$69),C270&gt;=IF('Исходные данные'!$B$69="",'Исходные данные'!$B$10,'Исходные данные'!$B$69)),(C270-IF('Исходные данные'!$B$69="",'Исходные данные'!$B$10,'Исходные данные'!$B$69)+1)/DAY(C270),1))</f>
        <v>0</v>
      </c>
      <c r="X270">
        <f>IF(OR(B270="",IF('Исходные данные'!$B$76="",'Исходные данные'!$B$10,'Исходные данные'!$B$76)="",C270&lt;IF('Исходные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данные'!$B$76)),1),B270,"m")/12))*IF(AND(B270&lt;=IF('Исходные данные'!$B$76="",'Исходные данные'!$B$10,'Исходные данные'!$B$76),C270&gt;=IF('Исходные данные'!$B$76="",'Исходные данные'!$B$10,'Исходные данные'!$B$76)),(C270-IF('Исходные данные'!$B$76="",'Исходные данные'!$B$10,'Исходные данные'!$B$76)+1)/DAY(C270),1))</f>
        <v>0</v>
      </c>
      <c r="Y270">
        <f t="shared" si="169"/>
        <v>0</v>
      </c>
      <c r="Z270">
        <f>IF(OR(B270="",N('Исходные данные'!$B$19)=0),0,-SUMIFS('Исходные данные'!$I$6:$I$186,'Исходные данные'!$F$6:$F$186,B270)*N('Исходные данные'!$B$17)/N('Исходные данные'!$B$19))</f>
        <v>0</v>
      </c>
      <c r="AA270">
        <f>IF(OR(B270="",N('Исходные данные'!$B$19)=0),0,-SUMIFS('Исходные данные'!$I$6:$I$186,'Исходные данные'!$F$6:$F$186,B270)*N('Исходные данные'!$B$18)/N('Исходные данные'!$B$19))</f>
        <v>0</v>
      </c>
      <c r="AB270">
        <f>IF(OR(B270="",'Исходные данные'!$B$13=""),0,IF(AND(YEAR(B270)=YEAR('Исходные данные'!$B$13),MONTH(B270)=MONTH('Исходные данные'!$B$13)),-N('Исходные данные'!$B$11),0))</f>
        <v>0</v>
      </c>
      <c r="AC270">
        <f>IF(A270=1,-N('Исходные данные'!$B$19)*N('Исходные данные'!$B$72),0)</f>
        <v>0</v>
      </c>
      <c r="AD270">
        <f>IF(OR(B270="",'Исходные данные'!$B$22&lt;&gt;"Да",'Исходные данные'!$B$26=""),0,IF(AND(YEAR(B270)=YEAR('Исходные данные'!$B$26),MONTH(B270)=MONTH('Исходные данные'!$B$26)),N('Исходные данные'!$B$23),0))</f>
        <v>0</v>
      </c>
      <c r="AE270">
        <f t="shared" si="152"/>
        <v>0</v>
      </c>
      <c r="AF270">
        <f>IF(OR('Исходные данные'!$B$22&lt;&gt;"Да",'Исходные данные'!$B$26="",C270&lt;'Исходные данные'!$B$26),0,DATEDIF(DATE(YEAR('Исходные данные'!$B$26),MONTH('Исходные данные'!$B$26),1),B270,"m")+1)</f>
        <v>0</v>
      </c>
      <c r="AG270">
        <f>IF(OR(AF270&lt;1,AF270&gt;N('Исходные данные'!$B$25),AE270+AD270&lt;=0),0,-(AE270+AD270)*N('Исходные данные'!$B$24)*IF(AF270=1,C270-'Исходные данные'!$B$26+1,DAY(C270))/365)</f>
        <v>0</v>
      </c>
      <c r="AH270">
        <f>IF(OR(AF270&lt;1,AF270&gt;N('Исходные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данные'!$B$25)-AG270))</f>
        <v>0</v>
      </c>
      <c r="AI270">
        <f>IF(OR('Исходные данные'!$B$22&lt;&gt;"Да",AE270+AD270&lt;=0),0,IF(AND('Исходные данные'!$B$91&lt;&gt;"",B270&lt;&gt;"",YEAR(B270)=YEAR('Исходные данные'!$B$91),MONTH(B270)=MONTH('Исходные данные'!$B$91)),-(AE270+AD270),IF(OR(AF270&lt;1,AF270&gt;N('Исходные данные'!$B$25)),0,IF('Исходные данные'!$B$27="Равными долями",-MIN(AE270+AD270,N('Исходные данные'!$B$23)/N('Исходные данные'!$B$25)),-MIN(AE270+AD270,IF(AF270=N('Исходные данные'!$B$25),AE270+AD270,MAX(0,AH270+AG270)))))))</f>
        <v>0</v>
      </c>
      <c r="AJ270">
        <f t="shared" si="170"/>
        <v>0</v>
      </c>
      <c r="AK270">
        <f t="shared" si="153"/>
        <v>0</v>
      </c>
      <c r="AL270">
        <f>IF(OR(B270="",'Исходные данные'!$B$51&lt;&gt;"Да",'Исходные данные'!$B$61=""),0,IF(AND(YEAR(B270)=YEAR('Исходные данные'!$B$61),MONTH(B270)=MONTH('Исходные данные'!$B$61)),N('Исходные данные'!$B$18)*N('Исходные данные'!$B$62),0))</f>
        <v>0</v>
      </c>
      <c r="AM270">
        <f t="shared" si="154"/>
        <v>0</v>
      </c>
      <c r="AN270">
        <f t="shared" si="155"/>
        <v>0</v>
      </c>
      <c r="AO270">
        <f t="shared" si="156"/>
        <v>0</v>
      </c>
      <c r="AP270">
        <f>IF('Исходные данные'!$B$51="Да",-MAX(0,AN270-AO270-AM270),0)</f>
        <v>0</v>
      </c>
      <c r="AQ270">
        <f>IF('Исходные данные'!$B$51="Да",MAX(0,AM270+AO270-AN270),0)</f>
        <v>0</v>
      </c>
      <c r="AR270">
        <f>IF('Исходные данные'!$B$53="Выручка",MAX(0,L270+(Q270-R270)+(U270-V270)),IF('Исходные данные'!$B$53="Прибыль до налога",MAX(0,L270+(Q270-R270)+(U270-V270)+N('Исходные данные'!$B$54)*((O270+P270)+(S270+T270)+W270+X270)+IF('Исходные данные'!$B$55="Да",AG270,0)-N('Исходные данные'!$B$56)/12),IF('Исходные данные'!$B$53="Пользовательская база",MAX(0,N('Исходные данные'!$B$57)/12),0)))</f>
        <v>0</v>
      </c>
      <c r="AS270">
        <f>IF(E270=1,-AR270*N('Исходные данные'!$B$50),0)</f>
        <v>0</v>
      </c>
      <c r="AT270">
        <f t="shared" si="157"/>
        <v>0</v>
      </c>
      <c r="AU270">
        <f>IF(OR(B270="",N('Исходные данные'!$B$80)&lt;=0,'Исходные данные'!$B$88=""),0,MAX(0,IF('Исходные данные'!$B$88="Последние 12 месяцев",SUMIFS($Y$2:$Y$194,$B$2:$B$194,"&gt;="&amp;EDATE(B270,-11),$B$2:$B$194,"&lt;="&amp;B270),IF('Исходные данные'!$B$88="Пользовательский NOI",N('Исходные данные'!$B$89),AT270))/N('Исходные данные'!$B$80)*(1+N('Исходные данные'!$B$81))))</f>
        <v>0</v>
      </c>
      <c r="AV270">
        <f>IF(OR(E270&lt;&gt;1,B270="",'Исходные данные'!$B$91=""),0,IF(AND(YEAR(B270)=YEAR('Исходные данные'!$B$91),MONTH(B270)=MONTH('Исходные данные'!$B$91)),AU270,0))</f>
        <v>0</v>
      </c>
      <c r="AW270">
        <f>-AV270*N('Исходные данные'!$B$73)</f>
        <v>0</v>
      </c>
      <c r="AX270">
        <f>IF(AV270=0,0,-N('Исходные данные'!$B$87)-IF('Исходные данные'!$B$82="Да",IF('Исходные данные'!$B$84="С выручки",AV270,IF('Исходные данные'!$B$84="С прибыли",MAX(0,AV270+AW270-IF('Исходные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70">
        <f t="shared" si="171"/>
        <v>0</v>
      </c>
      <c r="AZ270">
        <f t="shared" si="158"/>
        <v>0</v>
      </c>
      <c r="BA270">
        <f t="shared" si="172"/>
        <v>0</v>
      </c>
      <c r="BB270" t="str">
        <f t="shared" si="159"/>
        <v/>
      </c>
      <c r="BC270">
        <f>IF(OR(E270=0,'Исходные данные'!$B$9="",'Исходные данные'!$B$90=""),0,BA270/(1+'Исходные данные'!$B$90)^((D270-'Исходные данные'!$B$9)/365))</f>
        <v>0</v>
      </c>
      <c r="BD270">
        <f>IF(AND(E270=1,BB270&gt;=0,BB269&lt;0,MIN($BB$2:BB270)&lt;0),1,0)</f>
        <v>0</v>
      </c>
      <c r="BE270">
        <f t="shared" si="160"/>
        <v>0</v>
      </c>
      <c r="BF270">
        <f t="shared" si="161"/>
        <v>0</v>
      </c>
      <c r="BG270">
        <f t="shared" si="162"/>
        <v>0</v>
      </c>
      <c r="BH270">
        <f t="shared" si="163"/>
        <v>1</v>
      </c>
      <c r="BI270">
        <f>AZ270+N270+AP270-AR270*N('Исходные данные'!$B$50)</f>
        <v>0</v>
      </c>
      <c r="BJ270">
        <f t="shared" si="164"/>
        <v>0</v>
      </c>
      <c r="BK270">
        <f>IF(AND(BJ270&gt;=0,BJ269&lt;0,MIN($BJ$2:BJ270)&lt;0),1,0)</f>
        <v>0</v>
      </c>
    </row>
    <row r="271" spans="1:63" x14ac:dyDescent="0.2">
      <c r="A271">
        <v>270</v>
      </c>
      <c r="B271" t="str">
        <f>IF('Исходные данные'!$B$9="","",EDATE(DATE(YEAR('Исходные данные'!$B$9),MONTH('Исходные данные'!$B$9),1),A271-1))</f>
        <v/>
      </c>
      <c r="C271" t="str">
        <f t="shared" si="165"/>
        <v/>
      </c>
      <c r="D271" t="str">
        <f>IF(B271="","",IF('Исходные данные'!$B$91&lt;&gt;"",IF(AND(YEAR(B271)=YEAR('Исходные данные'!$B$91),MONTH(B271)=MONTH('Исходные данные'!$B$91)),'Исходные данные'!$B$91,IF('Исходные данные'!$B$13&lt;&gt;"",IF(AND(YEAR(B271)=YEAR('Исходные данные'!$B$13),MONTH(B271)=MONTH('Исходные данные'!$B$13)),'Исходные данные'!$B$13,IF('Исходные данные'!$B$26&lt;&gt;"",IF(AND(YEAR(B271)=YEAR('Исходные данные'!$B$26),MONTH(B271)=MONTH('Исходные данные'!$B$26)),'Исходные данные'!$B$26,IF(A271=1,'Исходные данные'!$B$9,C271)),IF(A271=1,'Исходные данные'!$B$9,C271))),IF('Исходные данные'!$B$26&lt;&gt;"",IF(AND(YEAR(B271)=YEAR('Исходные данные'!$B$26),MONTH(B271)=MONTH('Исходные данные'!$B$26)),'Исходные данные'!$B$26,IF(A271=1,'Исходные данные'!$B$9,C271)),IF(A271=1,'Исходные данные'!$B$9,C271)))),IF('Исходные данные'!$B$13&lt;&gt;"",IF(AND(YEAR(B271)=YEAR('Исходные данные'!$B$13),MONTH(B271)=MONTH('Исходные данные'!$B$13)),'Исходные данные'!$B$13,IF('Исходные данные'!$B$26&lt;&gt;"",IF(AND(YEAR(B271)=YEAR('Исходные данные'!$B$26),MONTH(B271)=MONTH('Исходные данные'!$B$26)),'Исходные данные'!$B$26,IF(A271=1,'Исходные данные'!$B$9,C271)),IF(A271=1,'Исходные данные'!$B$9,C271))),IF('Исходные данные'!$B$26&lt;&gt;"",IF(AND(YEAR(B271)=YEAR('Исходные данные'!$B$26),MONTH(B271)=MONTH('Исходные данные'!$B$26)),'Исходные данные'!$B$26,IF(A271=1,'Исходные данные'!$B$9,C271)),IF(A271=1,'Исходные данные'!$B$9,C271)))))</f>
        <v/>
      </c>
      <c r="E271">
        <f>IF(OR(B271="",'Исходные данные'!$B$91=""),0,--(B271&lt;=DATE(YEAR('Исходные данные'!$B$91),MONTH('Исходные данные'!$B$91),1)))</f>
        <v>0</v>
      </c>
      <c r="F271">
        <f>IF(OR(B271="",'Исходные данные'!$B$30="",C271&lt;'Исходные данные'!$B$30),0,DATEDIF(DATE(YEAR('Исходные данные'!$B$30),MONTH('Исходные данные'!$B$30),1),B271,"m")+1)</f>
        <v>0</v>
      </c>
      <c r="G271">
        <f t="shared" si="166"/>
        <v>0</v>
      </c>
      <c r="H271">
        <f>IF(F271=0,0,IF(G271=1,N('Исходные данные'!$B$31),IF(G271=2,N('Исходные данные'!$B$32),IF(G271=3,N('Исходные данные'!$B$33),N('Исходные данные'!$B$33)*(1+N('Исходные данные'!$B$34))^(G271-3)))))</f>
        <v>0</v>
      </c>
      <c r="I271">
        <f>IF(OR(F271=0,N('Исходные данные'!$B$5)=0,H271=0),0,'Исходные данные'!$B$5*H271*IF(AND(B271&lt;='Исходные данные'!$B$30,C271&gt;='Исходные данные'!$B$30),(C271-'Исходные данные'!$B$30+1)/DAY(C271),1))</f>
        <v>0</v>
      </c>
      <c r="J271">
        <f>IF(AND(F271&gt;0,F271&lt;=N('Исходные данные'!$B$37)),-I271,0)</f>
        <v>0</v>
      </c>
      <c r="K271">
        <f>IF(OR(F271=0,F271&lt;=N('Исходные данные'!$B$37)),0,-(I271+J271)*N('Исходные данные'!$B$38))</f>
        <v>0</v>
      </c>
      <c r="L271">
        <f t="shared" si="167"/>
        <v>0</v>
      </c>
      <c r="M271">
        <f>IF('Исходные данные'!$B$51="Да",L271*N('Исходные данные'!$B$52),0)</f>
        <v>0</v>
      </c>
      <c r="N271">
        <f t="shared" si="168"/>
        <v>0</v>
      </c>
      <c r="O271">
        <f>IF(OR(B271="",IF('Исходные данные'!$B$45="",'Исходные данные'!$B$10,'Исходные данные'!$B$45)="",C271&lt;IF('Исходные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данные'!$B$45)),1),B271,"m")/12))*IF(AND(B271&lt;=IF('Исходные данные'!$B$45="",'Исходные данные'!$B$10,'Исходные данные'!$B$45),C271&gt;=IF('Исходные данные'!$B$45="",'Исходные данные'!$B$10,'Исходные данные'!$B$45)),(C271-IF('Исходные данные'!$B$45="",'Исходные данные'!$B$10,'Исходные данные'!$B$45)+1)/DAY(C271),1)*IF('Исходные данные'!$B$43="Без НДС",1+N('Исходные данные'!$B$44),1))</f>
        <v>0</v>
      </c>
      <c r="P271">
        <f>IF('Исходные данные'!$B$51="Да",-O271*N('Исходные данные'!$B$44)/(1+N('Исходные данные'!$B$44)),0)</f>
        <v>0</v>
      </c>
      <c r="Q271">
        <f>IF('Исходные данные'!$B$35="Да",-O271,0)</f>
        <v>0</v>
      </c>
      <c r="R271">
        <f>IF(AND('Исходные данные'!$B$51="Да",Q271&gt;0),Q271*N('Исходные данные'!$B$52)/(1+N('Исходные данные'!$B$52)),0)</f>
        <v>0</v>
      </c>
      <c r="S271">
        <f>IF(OR(B271="",IF('Исходные данные'!$B$45="",'Исходные данные'!$B$10,'Исходные данные'!$B$45)="",C271&lt;IF('Исходные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данные'!$B$45)),1),B271,"m")/12))*IF(AND(B271&lt;=IF('Исходные данные'!$B$45="",'Исходные данные'!$B$10,'Исходные данные'!$B$45),C271&gt;=IF('Исходные данные'!$B$45="",'Исходные данные'!$B$10,'Исходные данные'!$B$45)),(C271-IF('Исходные данные'!$B$45="",'Исходные данные'!$B$10,'Исходные данные'!$B$45)+1)/DAY(C271),1)*IF('Исходные данные'!$B$43="Без НДС",1+N('Исходные данные'!$B$44),1))</f>
        <v>0</v>
      </c>
      <c r="T271">
        <f>IF('Исходные данные'!$B$51="Да",-S271*N('Исходные данные'!$B$44)/(1+N('Исходные данные'!$B$44)),0)</f>
        <v>0</v>
      </c>
      <c r="U271">
        <f>IF('Исходные данные'!$B$36="Да",-S271,0)</f>
        <v>0</v>
      </c>
      <c r="V271">
        <f>IF(AND('Исходные данные'!$B$51="Да",U271&gt;0),U271*N('Исходные данные'!$B$52)/(1+N('Исходные данные'!$B$52)),0)</f>
        <v>0</v>
      </c>
      <c r="W271">
        <f>IF(OR(B271="",IF('Исходные данные'!$B$69="",'Исходные данные'!$B$10,'Исходные данные'!$B$69)="",C271&lt;IF('Исходные данные'!$B$69="",'Исходные данные'!$B$10,'Исходные данные'!$B$69)),0,-N('Исходные данные'!$B$16)*N('Исходные данные'!$B$68)*N('Исходные данные'!$B$67)/12*IF(AND(B271&lt;=IF('Исходные данные'!$B$69="",'Исходные данные'!$B$10,'Исходные данные'!$B$69),C271&gt;=IF('Исходные данные'!$B$69="",'Исходные данные'!$B$10,'Исходные данные'!$B$69)),(C271-IF('Исходные данные'!$B$69="",'Исходные данные'!$B$10,'Исходные данные'!$B$69)+1)/DAY(C271),1))</f>
        <v>0</v>
      </c>
      <c r="X271">
        <f>IF(OR(B271="",IF('Исходные данные'!$B$76="",'Исходные данные'!$B$10,'Исходные данные'!$B$76)="",C271&lt;IF('Исходные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данные'!$B$76)),1),B271,"m")/12))*IF(AND(B271&lt;=IF('Исходные данные'!$B$76="",'Исходные данные'!$B$10,'Исходные данные'!$B$76),C271&gt;=IF('Исходные данные'!$B$76="",'Исходные данные'!$B$10,'Исходные данные'!$B$76)),(C271-IF('Исходные данные'!$B$76="",'Исходные данные'!$B$10,'Исходные данные'!$B$76)+1)/DAY(C271),1))</f>
        <v>0</v>
      </c>
      <c r="Y271">
        <f t="shared" si="169"/>
        <v>0</v>
      </c>
      <c r="Z271">
        <f>IF(OR(B271="",N('Исходные данные'!$B$19)=0),0,-SUMIFS('Исходные данные'!$I$6:$I$186,'Исходные данные'!$F$6:$F$186,B271)*N('Исходные данные'!$B$17)/N('Исходные данные'!$B$19))</f>
        <v>0</v>
      </c>
      <c r="AA271">
        <f>IF(OR(B271="",N('Исходные данные'!$B$19)=0),0,-SUMIFS('Исходные данные'!$I$6:$I$186,'Исходные данные'!$F$6:$F$186,B271)*N('Исходные данные'!$B$18)/N('Исходные данные'!$B$19))</f>
        <v>0</v>
      </c>
      <c r="AB271">
        <f>IF(OR(B271="",'Исходные данные'!$B$13=""),0,IF(AND(YEAR(B271)=YEAR('Исходные данные'!$B$13),MONTH(B271)=MONTH('Исходные данные'!$B$13)),-N('Исходные данные'!$B$11),0))</f>
        <v>0</v>
      </c>
      <c r="AC271">
        <f>IF(A271=1,-N('Исходные данные'!$B$19)*N('Исходные данные'!$B$72),0)</f>
        <v>0</v>
      </c>
      <c r="AD271">
        <f>IF(OR(B271="",'Исходные данные'!$B$22&lt;&gt;"Да",'Исходные данные'!$B$26=""),0,IF(AND(YEAR(B271)=YEAR('Исходные данные'!$B$26),MONTH(B271)=MONTH('Исходные данные'!$B$26)),N('Исходные данные'!$B$23),0))</f>
        <v>0</v>
      </c>
      <c r="AE271">
        <f t="shared" si="152"/>
        <v>0</v>
      </c>
      <c r="AF271">
        <f>IF(OR('Исходные данные'!$B$22&lt;&gt;"Да",'Исходные данные'!$B$26="",C271&lt;'Исходные данные'!$B$26),0,DATEDIF(DATE(YEAR('Исходные данные'!$B$26),MONTH('Исходные данные'!$B$26),1),B271,"m")+1)</f>
        <v>0</v>
      </c>
      <c r="AG271">
        <f>IF(OR(AF271&lt;1,AF271&gt;N('Исходные данные'!$B$25),AE271+AD271&lt;=0),0,-(AE271+AD271)*N('Исходные данные'!$B$24)*IF(AF271=1,C271-'Исходные данные'!$B$26+1,DAY(C271))/365)</f>
        <v>0</v>
      </c>
      <c r="AH271">
        <f>IF(OR(AF271&lt;1,AF271&gt;N('Исходные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данные'!$B$25)-AG271))</f>
        <v>0</v>
      </c>
      <c r="AI271">
        <f>IF(OR('Исходные данные'!$B$22&lt;&gt;"Да",AE271+AD271&lt;=0),0,IF(AND('Исходные данные'!$B$91&lt;&gt;"",B271&lt;&gt;"",YEAR(B271)=YEAR('Исходные данные'!$B$91),MONTH(B271)=MONTH('Исходные данные'!$B$91)),-(AE271+AD271),IF(OR(AF271&lt;1,AF271&gt;N('Исходные данные'!$B$25)),0,IF('Исходные данные'!$B$27="Равными долями",-MIN(AE271+AD271,N('Исходные данные'!$B$23)/N('Исходные данные'!$B$25)),-MIN(AE271+AD271,IF(AF271=N('Исходные данные'!$B$25),AE271+AD271,MAX(0,AH271+AG271)))))))</f>
        <v>0</v>
      </c>
      <c r="AJ271">
        <f t="shared" si="170"/>
        <v>0</v>
      </c>
      <c r="AK271">
        <f t="shared" si="153"/>
        <v>0</v>
      </c>
      <c r="AL271">
        <f>IF(OR(B271="",'Исходные данные'!$B$51&lt;&gt;"Да",'Исходные данные'!$B$61=""),0,IF(AND(YEAR(B271)=YEAR('Исходные данные'!$B$61),MONTH(B271)=MONTH('Исходные данные'!$B$61)),N('Исходные данные'!$B$18)*N('Исходные данные'!$B$62),0))</f>
        <v>0</v>
      </c>
      <c r="AM271">
        <f t="shared" si="154"/>
        <v>0</v>
      </c>
      <c r="AN271">
        <f t="shared" si="155"/>
        <v>0</v>
      </c>
      <c r="AO271">
        <f t="shared" si="156"/>
        <v>0</v>
      </c>
      <c r="AP271">
        <f>IF('Исходные данные'!$B$51="Да",-MAX(0,AN271-AO271-AM271),0)</f>
        <v>0</v>
      </c>
      <c r="AQ271">
        <f>IF('Исходные данные'!$B$51="Да",MAX(0,AM271+AO271-AN271),0)</f>
        <v>0</v>
      </c>
      <c r="AR271">
        <f>IF('Исходные данные'!$B$53="Выручка",MAX(0,L271+(Q271-R271)+(U271-V271)),IF('Исходные данные'!$B$53="Прибыль до налога",MAX(0,L271+(Q271-R271)+(U271-V271)+N('Исходные данные'!$B$54)*((O271+P271)+(S271+T271)+W271+X271)+IF('Исходные данные'!$B$55="Да",AG271,0)-N('Исходные данные'!$B$56)/12),IF('Исходные данные'!$B$53="Пользовательская база",MAX(0,N('Исходные данные'!$B$57)/12),0)))</f>
        <v>0</v>
      </c>
      <c r="AS271">
        <f>IF(E271=1,-AR271*N('Исходные данные'!$B$50),0)</f>
        <v>0</v>
      </c>
      <c r="AT271">
        <f t="shared" si="157"/>
        <v>0</v>
      </c>
      <c r="AU271">
        <f>IF(OR(B271="",N('Исходные данные'!$B$80)&lt;=0,'Исходные данные'!$B$88=""),0,MAX(0,IF('Исходные данные'!$B$88="Последние 12 месяцев",SUMIFS($Y$2:$Y$194,$B$2:$B$194,"&gt;="&amp;EDATE(B271,-11),$B$2:$B$194,"&lt;="&amp;B271),IF('Исходные данные'!$B$88="Пользовательский NOI",N('Исходные данные'!$B$89),AT271))/N('Исходные данные'!$B$80)*(1+N('Исходные данные'!$B$81))))</f>
        <v>0</v>
      </c>
      <c r="AV271">
        <f>IF(OR(E271&lt;&gt;1,B271="",'Исходные данные'!$B$91=""),0,IF(AND(YEAR(B271)=YEAR('Исходные данные'!$B$91),MONTH(B271)=MONTH('Исходные данные'!$B$91)),AU271,0))</f>
        <v>0</v>
      </c>
      <c r="AW271">
        <f>-AV271*N('Исходные данные'!$B$73)</f>
        <v>0</v>
      </c>
      <c r="AX271">
        <f>IF(AV271=0,0,-N('Исходные данные'!$B$87)-IF('Исходные данные'!$B$82="Да",IF('Исходные данные'!$B$84="С выручки",AV271,IF('Исходные данные'!$B$84="С прибыли",MAX(0,AV271+AW271-IF('Исходные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71">
        <f t="shared" si="171"/>
        <v>0</v>
      </c>
      <c r="AZ271">
        <f t="shared" si="158"/>
        <v>0</v>
      </c>
      <c r="BA271">
        <f t="shared" si="172"/>
        <v>0</v>
      </c>
      <c r="BB271" t="str">
        <f t="shared" si="159"/>
        <v/>
      </c>
      <c r="BC271">
        <f>IF(OR(E271=0,'Исходные данные'!$B$9="",'Исходные данные'!$B$90=""),0,BA271/(1+'Исходные данные'!$B$90)^((D271-'Исходные данные'!$B$9)/365))</f>
        <v>0</v>
      </c>
      <c r="BD271">
        <f>IF(AND(E271=1,BB271&gt;=0,BB270&lt;0,MIN($BB$2:BB271)&lt;0),1,0)</f>
        <v>0</v>
      </c>
      <c r="BE271">
        <f t="shared" si="160"/>
        <v>0</v>
      </c>
      <c r="BF271">
        <f t="shared" si="161"/>
        <v>0</v>
      </c>
      <c r="BG271">
        <f t="shared" si="162"/>
        <v>0</v>
      </c>
      <c r="BH271">
        <f t="shared" si="163"/>
        <v>1</v>
      </c>
      <c r="BI271">
        <f>AZ271+N271+AP271-AR271*N('Исходные данные'!$B$50)</f>
        <v>0</v>
      </c>
      <c r="BJ271">
        <f t="shared" si="164"/>
        <v>0</v>
      </c>
      <c r="BK271">
        <f>IF(AND(BJ271&gt;=0,BJ270&lt;0,MIN($BJ$2:BJ271)&lt;0),1,0)</f>
        <v>0</v>
      </c>
    </row>
    <row r="272" spans="1:63" x14ac:dyDescent="0.2">
      <c r="A272">
        <v>271</v>
      </c>
      <c r="B272" t="str">
        <f>IF('Исходные данные'!$B$9="","",EDATE(DATE(YEAR('Исходные данные'!$B$9),MONTH('Исходные данные'!$B$9),1),A272-1))</f>
        <v/>
      </c>
      <c r="C272" t="str">
        <f t="shared" si="165"/>
        <v/>
      </c>
      <c r="D272" t="str">
        <f>IF(B272="","",IF('Исходные данные'!$B$91&lt;&gt;"",IF(AND(YEAR(B272)=YEAR('Исходные данные'!$B$91),MONTH(B272)=MONTH('Исходные данные'!$B$91)),'Исходные данные'!$B$91,IF('Исходные данные'!$B$13&lt;&gt;"",IF(AND(YEAR(B272)=YEAR('Исходные данные'!$B$13),MONTH(B272)=MONTH('Исходные данные'!$B$13)),'Исходные данные'!$B$13,IF('Исходные данные'!$B$26&lt;&gt;"",IF(AND(YEAR(B272)=YEAR('Исходные данные'!$B$26),MONTH(B272)=MONTH('Исходные данные'!$B$26)),'Исходные данные'!$B$26,IF(A272=1,'Исходные данные'!$B$9,C272)),IF(A272=1,'Исходные данные'!$B$9,C272))),IF('Исходные данные'!$B$26&lt;&gt;"",IF(AND(YEAR(B272)=YEAR('Исходные данные'!$B$26),MONTH(B272)=MONTH('Исходные данные'!$B$26)),'Исходные данные'!$B$26,IF(A272=1,'Исходные данные'!$B$9,C272)),IF(A272=1,'Исходные данные'!$B$9,C272)))),IF('Исходные данные'!$B$13&lt;&gt;"",IF(AND(YEAR(B272)=YEAR('Исходные данные'!$B$13),MONTH(B272)=MONTH('Исходные данные'!$B$13)),'Исходные данные'!$B$13,IF('Исходные данные'!$B$26&lt;&gt;"",IF(AND(YEAR(B272)=YEAR('Исходные данные'!$B$26),MONTH(B272)=MONTH('Исходные данные'!$B$26)),'Исходные данные'!$B$26,IF(A272=1,'Исходные данные'!$B$9,C272)),IF(A272=1,'Исходные данные'!$B$9,C272))),IF('Исходные данные'!$B$26&lt;&gt;"",IF(AND(YEAR(B272)=YEAR('Исходные данные'!$B$26),MONTH(B272)=MONTH('Исходные данные'!$B$26)),'Исходные данные'!$B$26,IF(A272=1,'Исходные данные'!$B$9,C272)),IF(A272=1,'Исходные данные'!$B$9,C272)))))</f>
        <v/>
      </c>
      <c r="E272">
        <f>IF(OR(B272="",'Исходные данные'!$B$91=""),0,--(B272&lt;=DATE(YEAR('Исходные данные'!$B$91),MONTH('Исходные данные'!$B$91),1)))</f>
        <v>0</v>
      </c>
      <c r="F272">
        <f>IF(OR(B272="",'Исходные данные'!$B$30="",C272&lt;'Исходные данные'!$B$30),0,DATEDIF(DATE(YEAR('Исходные данные'!$B$30),MONTH('Исходные данные'!$B$30),1),B272,"m")+1)</f>
        <v>0</v>
      </c>
      <c r="G272">
        <f t="shared" si="166"/>
        <v>0</v>
      </c>
      <c r="H272">
        <f>IF(F272=0,0,IF(G272=1,N('Исходные данные'!$B$31),IF(G272=2,N('Исходные данные'!$B$32),IF(G272=3,N('Исходные данные'!$B$33),N('Исходные данные'!$B$33)*(1+N('Исходные данные'!$B$34))^(G272-3)))))</f>
        <v>0</v>
      </c>
      <c r="I272">
        <f>IF(OR(F272=0,N('Исходные данные'!$B$5)=0,H272=0),0,'Исходные данные'!$B$5*H272*IF(AND(B272&lt;='Исходные данные'!$B$30,C272&gt;='Исходные данные'!$B$30),(C272-'Исходные данные'!$B$30+1)/DAY(C272),1))</f>
        <v>0</v>
      </c>
      <c r="J272">
        <f>IF(AND(F272&gt;0,F272&lt;=N('Исходные данные'!$B$37)),-I272,0)</f>
        <v>0</v>
      </c>
      <c r="K272">
        <f>IF(OR(F272=0,F272&lt;=N('Исходные данные'!$B$37)),0,-(I272+J272)*N('Исходные данные'!$B$38))</f>
        <v>0</v>
      </c>
      <c r="L272">
        <f t="shared" si="167"/>
        <v>0</v>
      </c>
      <c r="M272">
        <f>IF('Исходные данные'!$B$51="Да",L272*N('Исходные данные'!$B$52),0)</f>
        <v>0</v>
      </c>
      <c r="N272">
        <f t="shared" si="168"/>
        <v>0</v>
      </c>
      <c r="O272">
        <f>IF(OR(B272="",IF('Исходные данные'!$B$45="",'Исходные данные'!$B$10,'Исходные данные'!$B$45)="",C272&lt;IF('Исходные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данные'!$B$45)),1),B272,"m")/12))*IF(AND(B272&lt;=IF('Исходные данные'!$B$45="",'Исходные данные'!$B$10,'Исходные данные'!$B$45),C272&gt;=IF('Исходные данные'!$B$45="",'Исходные данные'!$B$10,'Исходные данные'!$B$45)),(C272-IF('Исходные данные'!$B$45="",'Исходные данные'!$B$10,'Исходные данные'!$B$45)+1)/DAY(C272),1)*IF('Исходные данные'!$B$43="Без НДС",1+N('Исходные данные'!$B$44),1))</f>
        <v>0</v>
      </c>
      <c r="P272">
        <f>IF('Исходные данные'!$B$51="Да",-O272*N('Исходные данные'!$B$44)/(1+N('Исходные данные'!$B$44)),0)</f>
        <v>0</v>
      </c>
      <c r="Q272">
        <f>IF('Исходные данные'!$B$35="Да",-O272,0)</f>
        <v>0</v>
      </c>
      <c r="R272">
        <f>IF(AND('Исходные данные'!$B$51="Да",Q272&gt;0),Q272*N('Исходные данные'!$B$52)/(1+N('Исходные данные'!$B$52)),0)</f>
        <v>0</v>
      </c>
      <c r="S272">
        <f>IF(OR(B272="",IF('Исходные данные'!$B$45="",'Исходные данные'!$B$10,'Исходные данные'!$B$45)="",C272&lt;IF('Исходные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данные'!$B$45)),1),B272,"m")/12))*IF(AND(B272&lt;=IF('Исходные данные'!$B$45="",'Исходные данные'!$B$10,'Исходные данные'!$B$45),C272&gt;=IF('Исходные данные'!$B$45="",'Исходные данные'!$B$10,'Исходные данные'!$B$45)),(C272-IF('Исходные данные'!$B$45="",'Исходные данные'!$B$10,'Исходные данные'!$B$45)+1)/DAY(C272),1)*IF('Исходные данные'!$B$43="Без НДС",1+N('Исходные данные'!$B$44),1))</f>
        <v>0</v>
      </c>
      <c r="T272">
        <f>IF('Исходные данные'!$B$51="Да",-S272*N('Исходные данные'!$B$44)/(1+N('Исходные данные'!$B$44)),0)</f>
        <v>0</v>
      </c>
      <c r="U272">
        <f>IF('Исходные данные'!$B$36="Да",-S272,0)</f>
        <v>0</v>
      </c>
      <c r="V272">
        <f>IF(AND('Исходные данные'!$B$51="Да",U272&gt;0),U272*N('Исходные данные'!$B$52)/(1+N('Исходные данные'!$B$52)),0)</f>
        <v>0</v>
      </c>
      <c r="W272">
        <f>IF(OR(B272="",IF('Исходные данные'!$B$69="",'Исходные данные'!$B$10,'Исходные данные'!$B$69)="",C272&lt;IF('Исходные данные'!$B$69="",'Исходные данные'!$B$10,'Исходные данные'!$B$69)),0,-N('Исходные данные'!$B$16)*N('Исходные данные'!$B$68)*N('Исходные данные'!$B$67)/12*IF(AND(B272&lt;=IF('Исходные данные'!$B$69="",'Исходные данные'!$B$10,'Исходные данные'!$B$69),C272&gt;=IF('Исходные данные'!$B$69="",'Исходные данные'!$B$10,'Исходные данные'!$B$69)),(C272-IF('Исходные данные'!$B$69="",'Исходные данные'!$B$10,'Исходные данные'!$B$69)+1)/DAY(C272),1))</f>
        <v>0</v>
      </c>
      <c r="X272">
        <f>IF(OR(B272="",IF('Исходные данные'!$B$76="",'Исходные данные'!$B$10,'Исходные данные'!$B$76)="",C272&lt;IF('Исходные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данные'!$B$76)),1),B272,"m")/12))*IF(AND(B272&lt;=IF('Исходные данные'!$B$76="",'Исходные данные'!$B$10,'Исходные данные'!$B$76),C272&gt;=IF('Исходные данные'!$B$76="",'Исходные данные'!$B$10,'Исходные данные'!$B$76)),(C272-IF('Исходные данные'!$B$76="",'Исходные данные'!$B$10,'Исходные данные'!$B$76)+1)/DAY(C272),1))</f>
        <v>0</v>
      </c>
      <c r="Y272">
        <f t="shared" si="169"/>
        <v>0</v>
      </c>
      <c r="Z272">
        <f>IF(OR(B272="",N('Исходные данные'!$B$19)=0),0,-SUMIFS('Исходные данные'!$I$6:$I$186,'Исходные данные'!$F$6:$F$186,B272)*N('Исходные данные'!$B$17)/N('Исходные данные'!$B$19))</f>
        <v>0</v>
      </c>
      <c r="AA272">
        <f>IF(OR(B272="",N('Исходные данные'!$B$19)=0),0,-SUMIFS('Исходные данные'!$I$6:$I$186,'Исходные данные'!$F$6:$F$186,B272)*N('Исходные данные'!$B$18)/N('Исходные данные'!$B$19))</f>
        <v>0</v>
      </c>
      <c r="AB272">
        <f>IF(OR(B272="",'Исходные данные'!$B$13=""),0,IF(AND(YEAR(B272)=YEAR('Исходные данные'!$B$13),MONTH(B272)=MONTH('Исходные данные'!$B$13)),-N('Исходные данные'!$B$11),0))</f>
        <v>0</v>
      </c>
      <c r="AC272">
        <f>IF(A272=1,-N('Исходные данные'!$B$19)*N('Исходные данные'!$B$72),0)</f>
        <v>0</v>
      </c>
      <c r="AD272">
        <f>IF(OR(B272="",'Исходные данные'!$B$22&lt;&gt;"Да",'Исходные данные'!$B$26=""),0,IF(AND(YEAR(B272)=YEAR('Исходные данные'!$B$26),MONTH(B272)=MONTH('Исходные данные'!$B$26)),N('Исходные данные'!$B$23),0))</f>
        <v>0</v>
      </c>
      <c r="AE272">
        <f t="shared" si="152"/>
        <v>0</v>
      </c>
      <c r="AF272">
        <f>IF(OR('Исходные данные'!$B$22&lt;&gt;"Да",'Исходные данные'!$B$26="",C272&lt;'Исходные данные'!$B$26),0,DATEDIF(DATE(YEAR('Исходные данные'!$B$26),MONTH('Исходные данные'!$B$26),1),B272,"m")+1)</f>
        <v>0</v>
      </c>
      <c r="AG272">
        <f>IF(OR(AF272&lt;1,AF272&gt;N('Исходные данные'!$B$25),AE272+AD272&lt;=0),0,-(AE272+AD272)*N('Исходные данные'!$B$24)*IF(AF272=1,C272-'Исходные данные'!$B$26+1,DAY(C272))/365)</f>
        <v>0</v>
      </c>
      <c r="AH272">
        <f>IF(OR(AF272&lt;1,AF272&gt;N('Исходные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данные'!$B$25)-AG272))</f>
        <v>0</v>
      </c>
      <c r="AI272">
        <f>IF(OR('Исходные данные'!$B$22&lt;&gt;"Да",AE272+AD272&lt;=0),0,IF(AND('Исходные данные'!$B$91&lt;&gt;"",B272&lt;&gt;"",YEAR(B272)=YEAR('Исходные данные'!$B$91),MONTH(B272)=MONTH('Исходные данные'!$B$91)),-(AE272+AD272),IF(OR(AF272&lt;1,AF272&gt;N('Исходные данные'!$B$25)),0,IF('Исходные данные'!$B$27="Равными долями",-MIN(AE272+AD272,N('Исходные данные'!$B$23)/N('Исходные данные'!$B$25)),-MIN(AE272+AD272,IF(AF272=N('Исходные данные'!$B$25),AE272+AD272,MAX(0,AH272+AG272)))))))</f>
        <v>0</v>
      </c>
      <c r="AJ272">
        <f t="shared" si="170"/>
        <v>0</v>
      </c>
      <c r="AK272">
        <f t="shared" si="153"/>
        <v>0</v>
      </c>
      <c r="AL272">
        <f>IF(OR(B272="",'Исходные данные'!$B$51&lt;&gt;"Да",'Исходные данные'!$B$61=""),0,IF(AND(YEAR(B272)=YEAR('Исходные данные'!$B$61),MONTH(B272)=MONTH('Исходные данные'!$B$61)),N('Исходные данные'!$B$18)*N('Исходные данные'!$B$62),0))</f>
        <v>0</v>
      </c>
      <c r="AM272">
        <f t="shared" si="154"/>
        <v>0</v>
      </c>
      <c r="AN272">
        <f t="shared" si="155"/>
        <v>0</v>
      </c>
      <c r="AO272">
        <f t="shared" si="156"/>
        <v>0</v>
      </c>
      <c r="AP272">
        <f>IF('Исходные данные'!$B$51="Да",-MAX(0,AN272-AO272-AM272),0)</f>
        <v>0</v>
      </c>
      <c r="AQ272">
        <f>IF('Исходные данные'!$B$51="Да",MAX(0,AM272+AO272-AN272),0)</f>
        <v>0</v>
      </c>
      <c r="AR272">
        <f>IF('Исходные данные'!$B$53="Выручка",MAX(0,L272+(Q272-R272)+(U272-V272)),IF('Исходные данные'!$B$53="Прибыль до налога",MAX(0,L272+(Q272-R272)+(U272-V272)+N('Исходные данные'!$B$54)*((O272+P272)+(S272+T272)+W272+X272)+IF('Исходные данные'!$B$55="Да",AG272,0)-N('Исходные данные'!$B$56)/12),IF('Исходные данные'!$B$53="Пользовательская база",MAX(0,N('Исходные данные'!$B$57)/12),0)))</f>
        <v>0</v>
      </c>
      <c r="AS272">
        <f>IF(E272=1,-AR272*N('Исходные данные'!$B$50),0)</f>
        <v>0</v>
      </c>
      <c r="AT272">
        <f t="shared" si="157"/>
        <v>0</v>
      </c>
      <c r="AU272">
        <f>IF(OR(B272="",N('Исходные данные'!$B$80)&lt;=0,'Исходные данные'!$B$88=""),0,MAX(0,IF('Исходные данные'!$B$88="Последние 12 месяцев",SUMIFS($Y$2:$Y$194,$B$2:$B$194,"&gt;="&amp;EDATE(B272,-11),$B$2:$B$194,"&lt;="&amp;B272),IF('Исходные данные'!$B$88="Пользовательский NOI",N('Исходные данные'!$B$89),AT272))/N('Исходные данные'!$B$80)*(1+N('Исходные данные'!$B$81))))</f>
        <v>0</v>
      </c>
      <c r="AV272">
        <f>IF(OR(E272&lt;&gt;1,B272="",'Исходные данные'!$B$91=""),0,IF(AND(YEAR(B272)=YEAR('Исходные данные'!$B$91),MONTH(B272)=MONTH('Исходные данные'!$B$91)),AU272,0))</f>
        <v>0</v>
      </c>
      <c r="AW272">
        <f>-AV272*N('Исходные данные'!$B$73)</f>
        <v>0</v>
      </c>
      <c r="AX272">
        <f>IF(AV272=0,0,-N('Исходные данные'!$B$87)-IF('Исходные данные'!$B$82="Да",IF('Исходные данные'!$B$84="С выручки",AV272,IF('Исходные данные'!$B$84="С прибыли",MAX(0,AV272+AW272-IF('Исходные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72">
        <f t="shared" si="171"/>
        <v>0</v>
      </c>
      <c r="AZ272">
        <f t="shared" si="158"/>
        <v>0</v>
      </c>
      <c r="BA272">
        <f t="shared" si="172"/>
        <v>0</v>
      </c>
      <c r="BB272" t="str">
        <f t="shared" si="159"/>
        <v/>
      </c>
      <c r="BC272">
        <f>IF(OR(E272=0,'Исходные данные'!$B$9="",'Исходные данные'!$B$90=""),0,BA272/(1+'Исходные данные'!$B$90)^((D272-'Исходные данные'!$B$9)/365))</f>
        <v>0</v>
      </c>
      <c r="BD272">
        <f>IF(AND(E272=1,BB272&gt;=0,BB271&lt;0,MIN($BB$2:BB272)&lt;0),1,0)</f>
        <v>0</v>
      </c>
      <c r="BE272">
        <f t="shared" si="160"/>
        <v>0</v>
      </c>
      <c r="BF272">
        <f t="shared" si="161"/>
        <v>0</v>
      </c>
      <c r="BG272">
        <f t="shared" si="162"/>
        <v>0</v>
      </c>
      <c r="BH272">
        <f t="shared" si="163"/>
        <v>1</v>
      </c>
      <c r="BI272">
        <f>AZ272+N272+AP272-AR272*N('Исходные данные'!$B$50)</f>
        <v>0</v>
      </c>
      <c r="BJ272">
        <f t="shared" si="164"/>
        <v>0</v>
      </c>
      <c r="BK272">
        <f>IF(AND(BJ272&gt;=0,BJ271&lt;0,MIN($BJ$2:BJ272)&lt;0),1,0)</f>
        <v>0</v>
      </c>
    </row>
    <row r="273" spans="1:63" x14ac:dyDescent="0.2">
      <c r="A273">
        <v>272</v>
      </c>
      <c r="B273" t="str">
        <f>IF('Исходные данные'!$B$9="","",EDATE(DATE(YEAR('Исходные данные'!$B$9),MONTH('Исходные данные'!$B$9),1),A273-1))</f>
        <v/>
      </c>
      <c r="C273" t="str">
        <f t="shared" si="165"/>
        <v/>
      </c>
      <c r="D273" t="str">
        <f>IF(B273="","",IF('Исходные данные'!$B$91&lt;&gt;"",IF(AND(YEAR(B273)=YEAR('Исходные данные'!$B$91),MONTH(B273)=MONTH('Исходные данные'!$B$91)),'Исходные данные'!$B$91,IF('Исходные данные'!$B$13&lt;&gt;"",IF(AND(YEAR(B273)=YEAR('Исходные данные'!$B$13),MONTH(B273)=MONTH('Исходные данные'!$B$13)),'Исходные данные'!$B$13,IF('Исходные данные'!$B$26&lt;&gt;"",IF(AND(YEAR(B273)=YEAR('Исходные данные'!$B$26),MONTH(B273)=MONTH('Исходные данные'!$B$26)),'Исходные данные'!$B$26,IF(A273=1,'Исходные данные'!$B$9,C273)),IF(A273=1,'Исходные данные'!$B$9,C273))),IF('Исходные данные'!$B$26&lt;&gt;"",IF(AND(YEAR(B273)=YEAR('Исходные данные'!$B$26),MONTH(B273)=MONTH('Исходные данные'!$B$26)),'Исходные данные'!$B$26,IF(A273=1,'Исходные данные'!$B$9,C273)),IF(A273=1,'Исходные данные'!$B$9,C273)))),IF('Исходные данные'!$B$13&lt;&gt;"",IF(AND(YEAR(B273)=YEAR('Исходные данные'!$B$13),MONTH(B273)=MONTH('Исходные данные'!$B$13)),'Исходные данные'!$B$13,IF('Исходные данные'!$B$26&lt;&gt;"",IF(AND(YEAR(B273)=YEAR('Исходные данные'!$B$26),MONTH(B273)=MONTH('Исходные данные'!$B$26)),'Исходные данные'!$B$26,IF(A273=1,'Исходные данные'!$B$9,C273)),IF(A273=1,'Исходные данные'!$B$9,C273))),IF('Исходные данные'!$B$26&lt;&gt;"",IF(AND(YEAR(B273)=YEAR('Исходные данные'!$B$26),MONTH(B273)=MONTH('Исходные данные'!$B$26)),'Исходные данные'!$B$26,IF(A273=1,'Исходные данные'!$B$9,C273)),IF(A273=1,'Исходные данные'!$B$9,C273)))))</f>
        <v/>
      </c>
      <c r="E273">
        <f>IF(OR(B273="",'Исходные данные'!$B$91=""),0,--(B273&lt;=DATE(YEAR('Исходные данные'!$B$91),MONTH('Исходные данные'!$B$91),1)))</f>
        <v>0</v>
      </c>
      <c r="F273">
        <f>IF(OR(B273="",'Исходные данные'!$B$30="",C273&lt;'Исходные данные'!$B$30),0,DATEDIF(DATE(YEAR('Исходные данные'!$B$30),MONTH('Исходные данные'!$B$30),1),B273,"m")+1)</f>
        <v>0</v>
      </c>
      <c r="G273">
        <f t="shared" si="166"/>
        <v>0</v>
      </c>
      <c r="H273">
        <f>IF(F273=0,0,IF(G273=1,N('Исходные данные'!$B$31),IF(G273=2,N('Исходные данные'!$B$32),IF(G273=3,N('Исходные данные'!$B$33),N('Исходные данные'!$B$33)*(1+N('Исходные данные'!$B$34))^(G273-3)))))</f>
        <v>0</v>
      </c>
      <c r="I273">
        <f>IF(OR(F273=0,N('Исходные данные'!$B$5)=0,H273=0),0,'Исходные данные'!$B$5*H273*IF(AND(B273&lt;='Исходные данные'!$B$30,C273&gt;='Исходные данные'!$B$30),(C273-'Исходные данные'!$B$30+1)/DAY(C273),1))</f>
        <v>0</v>
      </c>
      <c r="J273">
        <f>IF(AND(F273&gt;0,F273&lt;=N('Исходные данные'!$B$37)),-I273,0)</f>
        <v>0</v>
      </c>
      <c r="K273">
        <f>IF(OR(F273=0,F273&lt;=N('Исходные данные'!$B$37)),0,-(I273+J273)*N('Исходные данные'!$B$38))</f>
        <v>0</v>
      </c>
      <c r="L273">
        <f t="shared" si="167"/>
        <v>0</v>
      </c>
      <c r="M273">
        <f>IF('Исходные данные'!$B$51="Да",L273*N('Исходные данные'!$B$52),0)</f>
        <v>0</v>
      </c>
      <c r="N273">
        <f t="shared" si="168"/>
        <v>0</v>
      </c>
      <c r="O273">
        <f>IF(OR(B273="",IF('Исходные данные'!$B$45="",'Исходные данные'!$B$10,'Исходные данные'!$B$45)="",C273&lt;IF('Исходные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данные'!$B$45)),1),B273,"m")/12))*IF(AND(B273&lt;=IF('Исходные данные'!$B$45="",'Исходные данные'!$B$10,'Исходные данные'!$B$45),C273&gt;=IF('Исходные данные'!$B$45="",'Исходные данные'!$B$10,'Исходные данные'!$B$45)),(C273-IF('Исходные данные'!$B$45="",'Исходные данные'!$B$10,'Исходные данные'!$B$45)+1)/DAY(C273),1)*IF('Исходные данные'!$B$43="Без НДС",1+N('Исходные данные'!$B$44),1))</f>
        <v>0</v>
      </c>
      <c r="P273">
        <f>IF('Исходные данные'!$B$51="Да",-O273*N('Исходные данные'!$B$44)/(1+N('Исходные данные'!$B$44)),0)</f>
        <v>0</v>
      </c>
      <c r="Q273">
        <f>IF('Исходные данные'!$B$35="Да",-O273,0)</f>
        <v>0</v>
      </c>
      <c r="R273">
        <f>IF(AND('Исходные данные'!$B$51="Да",Q273&gt;0),Q273*N('Исходные данные'!$B$52)/(1+N('Исходные данные'!$B$52)),0)</f>
        <v>0</v>
      </c>
      <c r="S273">
        <f>IF(OR(B273="",IF('Исходные данные'!$B$45="",'Исходные данные'!$B$10,'Исходные данные'!$B$45)="",C273&lt;IF('Исходные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данные'!$B$45)),1),B273,"m")/12))*IF(AND(B273&lt;=IF('Исходные данные'!$B$45="",'Исходные данные'!$B$10,'Исходные данные'!$B$45),C273&gt;=IF('Исходные данные'!$B$45="",'Исходные данные'!$B$10,'Исходные данные'!$B$45)),(C273-IF('Исходные данные'!$B$45="",'Исходные данные'!$B$10,'Исходные данные'!$B$45)+1)/DAY(C273),1)*IF('Исходные данные'!$B$43="Без НДС",1+N('Исходные данные'!$B$44),1))</f>
        <v>0</v>
      </c>
      <c r="T273">
        <f>IF('Исходные данные'!$B$51="Да",-S273*N('Исходные данные'!$B$44)/(1+N('Исходные данные'!$B$44)),0)</f>
        <v>0</v>
      </c>
      <c r="U273">
        <f>IF('Исходные данные'!$B$36="Да",-S273,0)</f>
        <v>0</v>
      </c>
      <c r="V273">
        <f>IF(AND('Исходные данные'!$B$51="Да",U273&gt;0),U273*N('Исходные данные'!$B$52)/(1+N('Исходные данные'!$B$52)),0)</f>
        <v>0</v>
      </c>
      <c r="W273">
        <f>IF(OR(B273="",IF('Исходные данные'!$B$69="",'Исходные данные'!$B$10,'Исходные данные'!$B$69)="",C273&lt;IF('Исходные данные'!$B$69="",'Исходные данные'!$B$10,'Исходные данные'!$B$69)),0,-N('Исходные данные'!$B$16)*N('Исходные данные'!$B$68)*N('Исходные данные'!$B$67)/12*IF(AND(B273&lt;=IF('Исходные данные'!$B$69="",'Исходные данные'!$B$10,'Исходные данные'!$B$69),C273&gt;=IF('Исходные данные'!$B$69="",'Исходные данные'!$B$10,'Исходные данные'!$B$69)),(C273-IF('Исходные данные'!$B$69="",'Исходные данные'!$B$10,'Исходные данные'!$B$69)+1)/DAY(C273),1))</f>
        <v>0</v>
      </c>
      <c r="X273">
        <f>IF(OR(B273="",IF('Исходные данные'!$B$76="",'Исходные данные'!$B$10,'Исходные данные'!$B$76)="",C273&lt;IF('Исходные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данные'!$B$76)),1),B273,"m")/12))*IF(AND(B273&lt;=IF('Исходные данные'!$B$76="",'Исходные данные'!$B$10,'Исходные данные'!$B$76),C273&gt;=IF('Исходные данные'!$B$76="",'Исходные данные'!$B$10,'Исходные данные'!$B$76)),(C273-IF('Исходные данные'!$B$76="",'Исходные данные'!$B$10,'Исходные данные'!$B$76)+1)/DAY(C273),1))</f>
        <v>0</v>
      </c>
      <c r="Y273">
        <f t="shared" si="169"/>
        <v>0</v>
      </c>
      <c r="Z273">
        <f>IF(OR(B273="",N('Исходные данные'!$B$19)=0),0,-SUMIFS('Исходные данные'!$I$6:$I$186,'Исходные данные'!$F$6:$F$186,B273)*N('Исходные данные'!$B$17)/N('Исходные данные'!$B$19))</f>
        <v>0</v>
      </c>
      <c r="AA273">
        <f>IF(OR(B273="",N('Исходные данные'!$B$19)=0),0,-SUMIFS('Исходные данные'!$I$6:$I$186,'Исходные данные'!$F$6:$F$186,B273)*N('Исходные данные'!$B$18)/N('Исходные данные'!$B$19))</f>
        <v>0</v>
      </c>
      <c r="AB273">
        <f>IF(OR(B273="",'Исходные данные'!$B$13=""),0,IF(AND(YEAR(B273)=YEAR('Исходные данные'!$B$13),MONTH(B273)=MONTH('Исходные данные'!$B$13)),-N('Исходные данные'!$B$11),0))</f>
        <v>0</v>
      </c>
      <c r="AC273">
        <f>IF(A273=1,-N('Исходные данные'!$B$19)*N('Исходные данные'!$B$72),0)</f>
        <v>0</v>
      </c>
      <c r="AD273">
        <f>IF(OR(B273="",'Исходные данные'!$B$22&lt;&gt;"Да",'Исходные данные'!$B$26=""),0,IF(AND(YEAR(B273)=YEAR('Исходные данные'!$B$26),MONTH(B273)=MONTH('Исходные данные'!$B$26)),N('Исходные данные'!$B$23),0))</f>
        <v>0</v>
      </c>
      <c r="AE273">
        <f t="shared" si="152"/>
        <v>0</v>
      </c>
      <c r="AF273">
        <f>IF(OR('Исходные данные'!$B$22&lt;&gt;"Да",'Исходные данные'!$B$26="",C273&lt;'Исходные данные'!$B$26),0,DATEDIF(DATE(YEAR('Исходные данные'!$B$26),MONTH('Исходные данные'!$B$26),1),B273,"m")+1)</f>
        <v>0</v>
      </c>
      <c r="AG273">
        <f>IF(OR(AF273&lt;1,AF273&gt;N('Исходные данные'!$B$25),AE273+AD273&lt;=0),0,-(AE273+AD273)*N('Исходные данные'!$B$24)*IF(AF273=1,C273-'Исходные данные'!$B$26+1,DAY(C273))/365)</f>
        <v>0</v>
      </c>
      <c r="AH273">
        <f>IF(OR(AF273&lt;1,AF273&gt;N('Исходные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данные'!$B$25)-AG273))</f>
        <v>0</v>
      </c>
      <c r="AI273">
        <f>IF(OR('Исходные данные'!$B$22&lt;&gt;"Да",AE273+AD273&lt;=0),0,IF(AND('Исходные данные'!$B$91&lt;&gt;"",B273&lt;&gt;"",YEAR(B273)=YEAR('Исходные данные'!$B$91),MONTH(B273)=MONTH('Исходные данные'!$B$91)),-(AE273+AD273),IF(OR(AF273&lt;1,AF273&gt;N('Исходные данные'!$B$25)),0,IF('Исходные данные'!$B$27="Равными долями",-MIN(AE273+AD273,N('Исходные данные'!$B$23)/N('Исходные данные'!$B$25)),-MIN(AE273+AD273,IF(AF273=N('Исходные данные'!$B$25),AE273+AD273,MAX(0,AH273+AG273)))))))</f>
        <v>0</v>
      </c>
      <c r="AJ273">
        <f t="shared" si="170"/>
        <v>0</v>
      </c>
      <c r="AK273">
        <f t="shared" si="153"/>
        <v>0</v>
      </c>
      <c r="AL273">
        <f>IF(OR(B273="",'Исходные данные'!$B$51&lt;&gt;"Да",'Исходные данные'!$B$61=""),0,IF(AND(YEAR(B273)=YEAR('Исходные данные'!$B$61),MONTH(B273)=MONTH('Исходные данные'!$B$61)),N('Исходные данные'!$B$18)*N('Исходные данные'!$B$62),0))</f>
        <v>0</v>
      </c>
      <c r="AM273">
        <f t="shared" si="154"/>
        <v>0</v>
      </c>
      <c r="AN273">
        <f t="shared" si="155"/>
        <v>0</v>
      </c>
      <c r="AO273">
        <f t="shared" si="156"/>
        <v>0</v>
      </c>
      <c r="AP273">
        <f>IF('Исходные данные'!$B$51="Да",-MAX(0,AN273-AO273-AM273),0)</f>
        <v>0</v>
      </c>
      <c r="AQ273">
        <f>IF('Исходные данные'!$B$51="Да",MAX(0,AM273+AO273-AN273),0)</f>
        <v>0</v>
      </c>
      <c r="AR273">
        <f>IF('Исходные данные'!$B$53="Выручка",MAX(0,L273+(Q273-R273)+(U273-V273)),IF('Исходные данные'!$B$53="Прибыль до налога",MAX(0,L273+(Q273-R273)+(U273-V273)+N('Исходные данные'!$B$54)*((O273+P273)+(S273+T273)+W273+X273)+IF('Исходные данные'!$B$55="Да",AG273,0)-N('Исходные данные'!$B$56)/12),IF('Исходные данные'!$B$53="Пользовательская база",MAX(0,N('Исходные данные'!$B$57)/12),0)))</f>
        <v>0</v>
      </c>
      <c r="AS273">
        <f>IF(E273=1,-AR273*N('Исходные данные'!$B$50),0)</f>
        <v>0</v>
      </c>
      <c r="AT273">
        <f t="shared" si="157"/>
        <v>0</v>
      </c>
      <c r="AU273">
        <f>IF(OR(B273="",N('Исходные данные'!$B$80)&lt;=0,'Исходные данные'!$B$88=""),0,MAX(0,IF('Исходные данные'!$B$88="Последние 12 месяцев",SUMIFS($Y$2:$Y$194,$B$2:$B$194,"&gt;="&amp;EDATE(B273,-11),$B$2:$B$194,"&lt;="&amp;B273),IF('Исходные данные'!$B$88="Пользовательский NOI",N('Исходные данные'!$B$89),AT273))/N('Исходные данные'!$B$80)*(1+N('Исходные данные'!$B$81))))</f>
        <v>0</v>
      </c>
      <c r="AV273">
        <f>IF(OR(E273&lt;&gt;1,B273="",'Исходные данные'!$B$91=""),0,IF(AND(YEAR(B273)=YEAR('Исходные данные'!$B$91),MONTH(B273)=MONTH('Исходные данные'!$B$91)),AU273,0))</f>
        <v>0</v>
      </c>
      <c r="AW273">
        <f>-AV273*N('Исходные данные'!$B$73)</f>
        <v>0</v>
      </c>
      <c r="AX273">
        <f>IF(AV273=0,0,-N('Исходные данные'!$B$87)-IF('Исходные данные'!$B$82="Да",IF('Исходные данные'!$B$84="С выручки",AV273,IF('Исходные данные'!$B$84="С прибыли",MAX(0,AV273+AW273-IF('Исходные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73">
        <f t="shared" si="171"/>
        <v>0</v>
      </c>
      <c r="AZ273">
        <f t="shared" si="158"/>
        <v>0</v>
      </c>
      <c r="BA273">
        <f t="shared" si="172"/>
        <v>0</v>
      </c>
      <c r="BB273" t="str">
        <f t="shared" si="159"/>
        <v/>
      </c>
      <c r="BC273">
        <f>IF(OR(E273=0,'Исходные данные'!$B$9="",'Исходные данные'!$B$90=""),0,BA273/(1+'Исходные данные'!$B$90)^((D273-'Исходные данные'!$B$9)/365))</f>
        <v>0</v>
      </c>
      <c r="BD273">
        <f>IF(AND(E273=1,BB273&gt;=0,BB272&lt;0,MIN($BB$2:BB273)&lt;0),1,0)</f>
        <v>0</v>
      </c>
      <c r="BE273">
        <f t="shared" si="160"/>
        <v>0</v>
      </c>
      <c r="BF273">
        <f t="shared" si="161"/>
        <v>0</v>
      </c>
      <c r="BG273">
        <f t="shared" si="162"/>
        <v>0</v>
      </c>
      <c r="BH273">
        <f t="shared" si="163"/>
        <v>1</v>
      </c>
      <c r="BI273">
        <f>AZ273+N273+AP273-AR273*N('Исходные данные'!$B$50)</f>
        <v>0</v>
      </c>
      <c r="BJ273">
        <f t="shared" si="164"/>
        <v>0</v>
      </c>
      <c r="BK273">
        <f>IF(AND(BJ273&gt;=0,BJ272&lt;0,MIN($BJ$2:BJ273)&lt;0),1,0)</f>
        <v>0</v>
      </c>
    </row>
    <row r="274" spans="1:63" x14ac:dyDescent="0.2">
      <c r="A274">
        <v>273</v>
      </c>
      <c r="B274" t="str">
        <f>IF('Исходные данные'!$B$9="","",EDATE(DATE(YEAR('Исходные данные'!$B$9),MONTH('Исходные данные'!$B$9),1),A274-1))</f>
        <v/>
      </c>
      <c r="C274" t="str">
        <f t="shared" si="165"/>
        <v/>
      </c>
      <c r="D274" t="str">
        <f>IF(B274="","",IF('Исходные данные'!$B$91&lt;&gt;"",IF(AND(YEAR(B274)=YEAR('Исходные данные'!$B$91),MONTH(B274)=MONTH('Исходные данные'!$B$91)),'Исходные данные'!$B$91,IF('Исходные данные'!$B$13&lt;&gt;"",IF(AND(YEAR(B274)=YEAR('Исходные данные'!$B$13),MONTH(B274)=MONTH('Исходные данные'!$B$13)),'Исходные данные'!$B$13,IF('Исходные данные'!$B$26&lt;&gt;"",IF(AND(YEAR(B274)=YEAR('Исходные данные'!$B$26),MONTH(B274)=MONTH('Исходные данные'!$B$26)),'Исходные данные'!$B$26,IF(A274=1,'Исходные данные'!$B$9,C274)),IF(A274=1,'Исходные данные'!$B$9,C274))),IF('Исходные данные'!$B$26&lt;&gt;"",IF(AND(YEAR(B274)=YEAR('Исходные данные'!$B$26),MONTH(B274)=MONTH('Исходные данные'!$B$26)),'Исходные данные'!$B$26,IF(A274=1,'Исходные данные'!$B$9,C274)),IF(A274=1,'Исходные данные'!$B$9,C274)))),IF('Исходные данные'!$B$13&lt;&gt;"",IF(AND(YEAR(B274)=YEAR('Исходные данные'!$B$13),MONTH(B274)=MONTH('Исходные данные'!$B$13)),'Исходные данные'!$B$13,IF('Исходные данные'!$B$26&lt;&gt;"",IF(AND(YEAR(B274)=YEAR('Исходные данные'!$B$26),MONTH(B274)=MONTH('Исходные данные'!$B$26)),'Исходные данные'!$B$26,IF(A274=1,'Исходные данные'!$B$9,C274)),IF(A274=1,'Исходные данные'!$B$9,C274))),IF('Исходные данные'!$B$26&lt;&gt;"",IF(AND(YEAR(B274)=YEAR('Исходные данные'!$B$26),MONTH(B274)=MONTH('Исходные данные'!$B$26)),'Исходные данные'!$B$26,IF(A274=1,'Исходные данные'!$B$9,C274)),IF(A274=1,'Исходные данные'!$B$9,C274)))))</f>
        <v/>
      </c>
      <c r="E274">
        <f>IF(OR(B274="",'Исходные данные'!$B$91=""),0,--(B274&lt;=DATE(YEAR('Исходные данные'!$B$91),MONTH('Исходные данные'!$B$91),1)))</f>
        <v>0</v>
      </c>
      <c r="F274">
        <f>IF(OR(B274="",'Исходные данные'!$B$30="",C274&lt;'Исходные данные'!$B$30),0,DATEDIF(DATE(YEAR('Исходные данные'!$B$30),MONTH('Исходные данные'!$B$30),1),B274,"m")+1)</f>
        <v>0</v>
      </c>
      <c r="G274">
        <f t="shared" si="166"/>
        <v>0</v>
      </c>
      <c r="H274">
        <f>IF(F274=0,0,IF(G274=1,N('Исходные данные'!$B$31),IF(G274=2,N('Исходные данные'!$B$32),IF(G274=3,N('Исходные данные'!$B$33),N('Исходные данные'!$B$33)*(1+N('Исходные данные'!$B$34))^(G274-3)))))</f>
        <v>0</v>
      </c>
      <c r="I274">
        <f>IF(OR(F274=0,N('Исходные данные'!$B$5)=0,H274=0),0,'Исходные данные'!$B$5*H274*IF(AND(B274&lt;='Исходные данные'!$B$30,C274&gt;='Исходные данные'!$B$30),(C274-'Исходные данные'!$B$30+1)/DAY(C274),1))</f>
        <v>0</v>
      </c>
      <c r="J274">
        <f>IF(AND(F274&gt;0,F274&lt;=N('Исходные данные'!$B$37)),-I274,0)</f>
        <v>0</v>
      </c>
      <c r="K274">
        <f>IF(OR(F274=0,F274&lt;=N('Исходные данные'!$B$37)),0,-(I274+J274)*N('Исходные данные'!$B$38))</f>
        <v>0</v>
      </c>
      <c r="L274">
        <f t="shared" si="167"/>
        <v>0</v>
      </c>
      <c r="M274">
        <f>IF('Исходные данные'!$B$51="Да",L274*N('Исходные данные'!$B$52),0)</f>
        <v>0</v>
      </c>
      <c r="N274">
        <f t="shared" si="168"/>
        <v>0</v>
      </c>
      <c r="O274">
        <f>IF(OR(B274="",IF('Исходные данные'!$B$45="",'Исходные данные'!$B$10,'Исходные данные'!$B$45)="",C274&lt;IF('Исходные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данные'!$B$45)),1),B274,"m")/12))*IF(AND(B274&lt;=IF('Исходные данные'!$B$45="",'Исходные данные'!$B$10,'Исходные данные'!$B$45),C274&gt;=IF('Исходные данные'!$B$45="",'Исходные данные'!$B$10,'Исходные данные'!$B$45)),(C274-IF('Исходные данные'!$B$45="",'Исходные данные'!$B$10,'Исходные данные'!$B$45)+1)/DAY(C274),1)*IF('Исходные данные'!$B$43="Без НДС",1+N('Исходные данные'!$B$44),1))</f>
        <v>0</v>
      </c>
      <c r="P274">
        <f>IF('Исходные данные'!$B$51="Да",-O274*N('Исходные данные'!$B$44)/(1+N('Исходные данные'!$B$44)),0)</f>
        <v>0</v>
      </c>
      <c r="Q274">
        <f>IF('Исходные данные'!$B$35="Да",-O274,0)</f>
        <v>0</v>
      </c>
      <c r="R274">
        <f>IF(AND('Исходные данные'!$B$51="Да",Q274&gt;0),Q274*N('Исходные данные'!$B$52)/(1+N('Исходные данные'!$B$52)),0)</f>
        <v>0</v>
      </c>
      <c r="S274">
        <f>IF(OR(B274="",IF('Исходные данные'!$B$45="",'Исходные данные'!$B$10,'Исходные данные'!$B$45)="",C274&lt;IF('Исходные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данные'!$B$45)),1),B274,"m")/12))*IF(AND(B274&lt;=IF('Исходные данные'!$B$45="",'Исходные данные'!$B$10,'Исходные данные'!$B$45),C274&gt;=IF('Исходные данные'!$B$45="",'Исходные данные'!$B$10,'Исходные данные'!$B$45)),(C274-IF('Исходные данные'!$B$45="",'Исходные данные'!$B$10,'Исходные данные'!$B$45)+1)/DAY(C274),1)*IF('Исходные данные'!$B$43="Без НДС",1+N('Исходные данные'!$B$44),1))</f>
        <v>0</v>
      </c>
      <c r="T274">
        <f>IF('Исходные данные'!$B$51="Да",-S274*N('Исходные данные'!$B$44)/(1+N('Исходные данные'!$B$44)),0)</f>
        <v>0</v>
      </c>
      <c r="U274">
        <f>IF('Исходные данные'!$B$36="Да",-S274,0)</f>
        <v>0</v>
      </c>
      <c r="V274">
        <f>IF(AND('Исходные данные'!$B$51="Да",U274&gt;0),U274*N('Исходные данные'!$B$52)/(1+N('Исходные данные'!$B$52)),0)</f>
        <v>0</v>
      </c>
      <c r="W274">
        <f>IF(OR(B274="",IF('Исходные данные'!$B$69="",'Исходные данные'!$B$10,'Исходные данные'!$B$69)="",C274&lt;IF('Исходные данные'!$B$69="",'Исходные данные'!$B$10,'Исходные данные'!$B$69)),0,-N('Исходные данные'!$B$16)*N('Исходные данные'!$B$68)*N('Исходные данные'!$B$67)/12*IF(AND(B274&lt;=IF('Исходные данные'!$B$69="",'Исходные данные'!$B$10,'Исходные данные'!$B$69),C274&gt;=IF('Исходные данные'!$B$69="",'Исходные данные'!$B$10,'Исходные данные'!$B$69)),(C274-IF('Исходные данные'!$B$69="",'Исходные данные'!$B$10,'Исходные данные'!$B$69)+1)/DAY(C274),1))</f>
        <v>0</v>
      </c>
      <c r="X274">
        <f>IF(OR(B274="",IF('Исходные данные'!$B$76="",'Исходные данные'!$B$10,'Исходные данные'!$B$76)="",C274&lt;IF('Исходные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данные'!$B$76)),1),B274,"m")/12))*IF(AND(B274&lt;=IF('Исходные данные'!$B$76="",'Исходные данные'!$B$10,'Исходные данные'!$B$76),C274&gt;=IF('Исходные данные'!$B$76="",'Исходные данные'!$B$10,'Исходные данные'!$B$76)),(C274-IF('Исходные данные'!$B$76="",'Исходные данные'!$B$10,'Исходные данные'!$B$76)+1)/DAY(C274),1))</f>
        <v>0</v>
      </c>
      <c r="Y274">
        <f t="shared" si="169"/>
        <v>0</v>
      </c>
      <c r="Z274">
        <f>IF(OR(B274="",N('Исходные данные'!$B$19)=0),0,-SUMIFS('Исходные данные'!$I$6:$I$186,'Исходные данные'!$F$6:$F$186,B274)*N('Исходные данные'!$B$17)/N('Исходные данные'!$B$19))</f>
        <v>0</v>
      </c>
      <c r="AA274">
        <f>IF(OR(B274="",N('Исходные данные'!$B$19)=0),0,-SUMIFS('Исходные данные'!$I$6:$I$186,'Исходные данные'!$F$6:$F$186,B274)*N('Исходные данные'!$B$18)/N('Исходные данные'!$B$19))</f>
        <v>0</v>
      </c>
      <c r="AB274">
        <f>IF(OR(B274="",'Исходные данные'!$B$13=""),0,IF(AND(YEAR(B274)=YEAR('Исходные данные'!$B$13),MONTH(B274)=MONTH('Исходные данные'!$B$13)),-N('Исходные данные'!$B$11),0))</f>
        <v>0</v>
      </c>
      <c r="AC274">
        <f>IF(A274=1,-N('Исходные данные'!$B$19)*N('Исходные данные'!$B$72),0)</f>
        <v>0</v>
      </c>
      <c r="AD274">
        <f>IF(OR(B274="",'Исходные данные'!$B$22&lt;&gt;"Да",'Исходные данные'!$B$26=""),0,IF(AND(YEAR(B274)=YEAR('Исходные данные'!$B$26),MONTH(B274)=MONTH('Исходные данные'!$B$26)),N('Исходные данные'!$B$23),0))</f>
        <v>0</v>
      </c>
      <c r="AE274">
        <f t="shared" si="152"/>
        <v>0</v>
      </c>
      <c r="AF274">
        <f>IF(OR('Исходные данные'!$B$22&lt;&gt;"Да",'Исходные данные'!$B$26="",C274&lt;'Исходные данные'!$B$26),0,DATEDIF(DATE(YEAR('Исходные данные'!$B$26),MONTH('Исходные данные'!$B$26),1),B274,"m")+1)</f>
        <v>0</v>
      </c>
      <c r="AG274">
        <f>IF(OR(AF274&lt;1,AF274&gt;N('Исходные данные'!$B$25),AE274+AD274&lt;=0),0,-(AE274+AD274)*N('Исходные данные'!$B$24)*IF(AF274=1,C274-'Исходные данные'!$B$26+1,DAY(C274))/365)</f>
        <v>0</v>
      </c>
      <c r="AH274">
        <f>IF(OR(AF274&lt;1,AF274&gt;N('Исходные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данные'!$B$25)-AG274))</f>
        <v>0</v>
      </c>
      <c r="AI274">
        <f>IF(OR('Исходные данные'!$B$22&lt;&gt;"Да",AE274+AD274&lt;=0),0,IF(AND('Исходные данные'!$B$91&lt;&gt;"",B274&lt;&gt;"",YEAR(B274)=YEAR('Исходные данные'!$B$91),MONTH(B274)=MONTH('Исходные данные'!$B$91)),-(AE274+AD274),IF(OR(AF274&lt;1,AF274&gt;N('Исходные данные'!$B$25)),0,IF('Исходные данные'!$B$27="Равными долями",-MIN(AE274+AD274,N('Исходные данные'!$B$23)/N('Исходные данные'!$B$25)),-MIN(AE274+AD274,IF(AF274=N('Исходные данные'!$B$25),AE274+AD274,MAX(0,AH274+AG274)))))))</f>
        <v>0</v>
      </c>
      <c r="AJ274">
        <f t="shared" si="170"/>
        <v>0</v>
      </c>
      <c r="AK274">
        <f t="shared" si="153"/>
        <v>0</v>
      </c>
      <c r="AL274">
        <f>IF(OR(B274="",'Исходные данные'!$B$51&lt;&gt;"Да",'Исходные данные'!$B$61=""),0,IF(AND(YEAR(B274)=YEAR('Исходные данные'!$B$61),MONTH(B274)=MONTH('Исходные данные'!$B$61)),N('Исходные данные'!$B$18)*N('Исходные данные'!$B$62),0))</f>
        <v>0</v>
      </c>
      <c r="AM274">
        <f t="shared" si="154"/>
        <v>0</v>
      </c>
      <c r="AN274">
        <f t="shared" si="155"/>
        <v>0</v>
      </c>
      <c r="AO274">
        <f t="shared" si="156"/>
        <v>0</v>
      </c>
      <c r="AP274">
        <f>IF('Исходные данные'!$B$51="Да",-MAX(0,AN274-AO274-AM274),0)</f>
        <v>0</v>
      </c>
      <c r="AQ274">
        <f>IF('Исходные данные'!$B$51="Да",MAX(0,AM274+AO274-AN274),0)</f>
        <v>0</v>
      </c>
      <c r="AR274">
        <f>IF('Исходные данные'!$B$53="Выручка",MAX(0,L274+(Q274-R274)+(U274-V274)),IF('Исходные данные'!$B$53="Прибыль до налога",MAX(0,L274+(Q274-R274)+(U274-V274)+N('Исходные данные'!$B$54)*((O274+P274)+(S274+T274)+W274+X274)+IF('Исходные данные'!$B$55="Да",AG274,0)-N('Исходные данные'!$B$56)/12),IF('Исходные данные'!$B$53="Пользовательская база",MAX(0,N('Исходные данные'!$B$57)/12),0)))</f>
        <v>0</v>
      </c>
      <c r="AS274">
        <f>IF(E274=1,-AR274*N('Исходные данные'!$B$50),0)</f>
        <v>0</v>
      </c>
      <c r="AT274">
        <f t="shared" si="157"/>
        <v>0</v>
      </c>
      <c r="AU274">
        <f>IF(OR(B274="",N('Исходные данные'!$B$80)&lt;=0,'Исходные данные'!$B$88=""),0,MAX(0,IF('Исходные данные'!$B$88="Последние 12 месяцев",SUMIFS($Y$2:$Y$194,$B$2:$B$194,"&gt;="&amp;EDATE(B274,-11),$B$2:$B$194,"&lt;="&amp;B274),IF('Исходные данные'!$B$88="Пользовательский NOI",N('Исходные данные'!$B$89),AT274))/N('Исходные данные'!$B$80)*(1+N('Исходные данные'!$B$81))))</f>
        <v>0</v>
      </c>
      <c r="AV274">
        <f>IF(OR(E274&lt;&gt;1,B274="",'Исходные данные'!$B$91=""),0,IF(AND(YEAR(B274)=YEAR('Исходные данные'!$B$91),MONTH(B274)=MONTH('Исходные данные'!$B$91)),AU274,0))</f>
        <v>0</v>
      </c>
      <c r="AW274">
        <f>-AV274*N('Исходные данные'!$B$73)</f>
        <v>0</v>
      </c>
      <c r="AX274">
        <f>IF(AV274=0,0,-N('Исходные данные'!$B$87)-IF('Исходные данные'!$B$82="Да",IF('Исходные данные'!$B$84="С выручки",AV274,IF('Исходные данные'!$B$84="С прибыли",MAX(0,AV274+AW274-IF('Исходные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74">
        <f t="shared" si="171"/>
        <v>0</v>
      </c>
      <c r="AZ274">
        <f t="shared" si="158"/>
        <v>0</v>
      </c>
      <c r="BA274">
        <f t="shared" si="172"/>
        <v>0</v>
      </c>
      <c r="BB274" t="str">
        <f t="shared" si="159"/>
        <v/>
      </c>
      <c r="BC274">
        <f>IF(OR(E274=0,'Исходные данные'!$B$9="",'Исходные данные'!$B$90=""),0,BA274/(1+'Исходные данные'!$B$90)^((D274-'Исходные данные'!$B$9)/365))</f>
        <v>0</v>
      </c>
      <c r="BD274">
        <f>IF(AND(E274=1,BB274&gt;=0,BB273&lt;0,MIN($BB$2:BB274)&lt;0),1,0)</f>
        <v>0</v>
      </c>
      <c r="BE274">
        <f t="shared" si="160"/>
        <v>0</v>
      </c>
      <c r="BF274">
        <f t="shared" si="161"/>
        <v>0</v>
      </c>
      <c r="BG274">
        <f t="shared" si="162"/>
        <v>0</v>
      </c>
      <c r="BH274">
        <f t="shared" si="163"/>
        <v>1</v>
      </c>
      <c r="BI274">
        <f>AZ274+N274+AP274-AR274*N('Исходные данные'!$B$50)</f>
        <v>0</v>
      </c>
      <c r="BJ274">
        <f t="shared" si="164"/>
        <v>0</v>
      </c>
      <c r="BK274">
        <f>IF(AND(BJ274&gt;=0,BJ273&lt;0,MIN($BJ$2:BJ274)&lt;0),1,0)</f>
        <v>0</v>
      </c>
    </row>
    <row r="275" spans="1:63" x14ac:dyDescent="0.2">
      <c r="A275">
        <v>274</v>
      </c>
      <c r="B275" t="str">
        <f>IF('Исходные данные'!$B$9="","",EDATE(DATE(YEAR('Исходные данные'!$B$9),MONTH('Исходные данные'!$B$9),1),A275-1))</f>
        <v/>
      </c>
      <c r="C275" t="str">
        <f t="shared" si="165"/>
        <v/>
      </c>
      <c r="D275" t="str">
        <f>IF(B275="","",IF('Исходные данные'!$B$91&lt;&gt;"",IF(AND(YEAR(B275)=YEAR('Исходные данные'!$B$91),MONTH(B275)=MONTH('Исходные данные'!$B$91)),'Исходные данные'!$B$91,IF('Исходные данные'!$B$13&lt;&gt;"",IF(AND(YEAR(B275)=YEAR('Исходные данные'!$B$13),MONTH(B275)=MONTH('Исходные данные'!$B$13)),'Исходные данные'!$B$13,IF('Исходные данные'!$B$26&lt;&gt;"",IF(AND(YEAR(B275)=YEAR('Исходные данные'!$B$26),MONTH(B275)=MONTH('Исходные данные'!$B$26)),'Исходные данные'!$B$26,IF(A275=1,'Исходные данные'!$B$9,C275)),IF(A275=1,'Исходные данные'!$B$9,C275))),IF('Исходные данные'!$B$26&lt;&gt;"",IF(AND(YEAR(B275)=YEAR('Исходные данные'!$B$26),MONTH(B275)=MONTH('Исходные данные'!$B$26)),'Исходные данные'!$B$26,IF(A275=1,'Исходные данные'!$B$9,C275)),IF(A275=1,'Исходные данные'!$B$9,C275)))),IF('Исходные данные'!$B$13&lt;&gt;"",IF(AND(YEAR(B275)=YEAR('Исходные данные'!$B$13),MONTH(B275)=MONTH('Исходные данные'!$B$13)),'Исходные данные'!$B$13,IF('Исходные данные'!$B$26&lt;&gt;"",IF(AND(YEAR(B275)=YEAR('Исходные данные'!$B$26),MONTH(B275)=MONTH('Исходные данные'!$B$26)),'Исходные данные'!$B$26,IF(A275=1,'Исходные данные'!$B$9,C275)),IF(A275=1,'Исходные данные'!$B$9,C275))),IF('Исходные данные'!$B$26&lt;&gt;"",IF(AND(YEAR(B275)=YEAR('Исходные данные'!$B$26),MONTH(B275)=MONTH('Исходные данные'!$B$26)),'Исходные данные'!$B$26,IF(A275=1,'Исходные данные'!$B$9,C275)),IF(A275=1,'Исходные данные'!$B$9,C275)))))</f>
        <v/>
      </c>
      <c r="E275">
        <f>IF(OR(B275="",'Исходные данные'!$B$91=""),0,--(B275&lt;=DATE(YEAR('Исходные данные'!$B$91),MONTH('Исходные данные'!$B$91),1)))</f>
        <v>0</v>
      </c>
      <c r="F275">
        <f>IF(OR(B275="",'Исходные данные'!$B$30="",C275&lt;'Исходные данные'!$B$30),0,DATEDIF(DATE(YEAR('Исходные данные'!$B$30),MONTH('Исходные данные'!$B$30),1),B275,"m")+1)</f>
        <v>0</v>
      </c>
      <c r="G275">
        <f t="shared" si="166"/>
        <v>0</v>
      </c>
      <c r="H275">
        <f>IF(F275=0,0,IF(G275=1,N('Исходные данные'!$B$31),IF(G275=2,N('Исходные данные'!$B$32),IF(G275=3,N('Исходные данные'!$B$33),N('Исходные данные'!$B$33)*(1+N('Исходные данные'!$B$34))^(G275-3)))))</f>
        <v>0</v>
      </c>
      <c r="I275">
        <f>IF(OR(F275=0,N('Исходные данные'!$B$5)=0,H275=0),0,'Исходные данные'!$B$5*H275*IF(AND(B275&lt;='Исходные данные'!$B$30,C275&gt;='Исходные данные'!$B$30),(C275-'Исходные данные'!$B$30+1)/DAY(C275),1))</f>
        <v>0</v>
      </c>
      <c r="J275">
        <f>IF(AND(F275&gt;0,F275&lt;=N('Исходные данные'!$B$37)),-I275,0)</f>
        <v>0</v>
      </c>
      <c r="K275">
        <f>IF(OR(F275=0,F275&lt;=N('Исходные данные'!$B$37)),0,-(I275+J275)*N('Исходные данные'!$B$38))</f>
        <v>0</v>
      </c>
      <c r="L275">
        <f t="shared" si="167"/>
        <v>0</v>
      </c>
      <c r="M275">
        <f>IF('Исходные данные'!$B$51="Да",L275*N('Исходные данные'!$B$52),0)</f>
        <v>0</v>
      </c>
      <c r="N275">
        <f t="shared" si="168"/>
        <v>0</v>
      </c>
      <c r="O275">
        <f>IF(OR(B275="",IF('Исходные данные'!$B$45="",'Исходные данные'!$B$10,'Исходные данные'!$B$45)="",C275&lt;IF('Исходные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данные'!$B$45)),1),B275,"m")/12))*IF(AND(B275&lt;=IF('Исходные данные'!$B$45="",'Исходные данные'!$B$10,'Исходные данные'!$B$45),C275&gt;=IF('Исходные данные'!$B$45="",'Исходные данные'!$B$10,'Исходные данные'!$B$45)),(C275-IF('Исходные данные'!$B$45="",'Исходные данные'!$B$10,'Исходные данные'!$B$45)+1)/DAY(C275),1)*IF('Исходные данные'!$B$43="Без НДС",1+N('Исходные данные'!$B$44),1))</f>
        <v>0</v>
      </c>
      <c r="P275">
        <f>IF('Исходные данные'!$B$51="Да",-O275*N('Исходные данные'!$B$44)/(1+N('Исходные данные'!$B$44)),0)</f>
        <v>0</v>
      </c>
      <c r="Q275">
        <f>IF('Исходные данные'!$B$35="Да",-O275,0)</f>
        <v>0</v>
      </c>
      <c r="R275">
        <f>IF(AND('Исходные данные'!$B$51="Да",Q275&gt;0),Q275*N('Исходные данные'!$B$52)/(1+N('Исходные данные'!$B$52)),0)</f>
        <v>0</v>
      </c>
      <c r="S275">
        <f>IF(OR(B275="",IF('Исходные данные'!$B$45="",'Исходные данные'!$B$10,'Исходные данные'!$B$45)="",C275&lt;IF('Исходные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данные'!$B$45)),1),B275,"m")/12))*IF(AND(B275&lt;=IF('Исходные данные'!$B$45="",'Исходные данные'!$B$10,'Исходные данные'!$B$45),C275&gt;=IF('Исходные данные'!$B$45="",'Исходные данные'!$B$10,'Исходные данные'!$B$45)),(C275-IF('Исходные данные'!$B$45="",'Исходные данные'!$B$10,'Исходные данные'!$B$45)+1)/DAY(C275),1)*IF('Исходные данные'!$B$43="Без НДС",1+N('Исходные данные'!$B$44),1))</f>
        <v>0</v>
      </c>
      <c r="T275">
        <f>IF('Исходные данные'!$B$51="Да",-S275*N('Исходные данные'!$B$44)/(1+N('Исходные данные'!$B$44)),0)</f>
        <v>0</v>
      </c>
      <c r="U275">
        <f>IF('Исходные данные'!$B$36="Да",-S275,0)</f>
        <v>0</v>
      </c>
      <c r="V275">
        <f>IF(AND('Исходные данные'!$B$51="Да",U275&gt;0),U275*N('Исходные данные'!$B$52)/(1+N('Исходные данные'!$B$52)),0)</f>
        <v>0</v>
      </c>
      <c r="W275">
        <f>IF(OR(B275="",IF('Исходные данные'!$B$69="",'Исходные данные'!$B$10,'Исходные данные'!$B$69)="",C275&lt;IF('Исходные данные'!$B$69="",'Исходные данные'!$B$10,'Исходные данные'!$B$69)),0,-N('Исходные данные'!$B$16)*N('Исходные данные'!$B$68)*N('Исходные данные'!$B$67)/12*IF(AND(B275&lt;=IF('Исходные данные'!$B$69="",'Исходные данные'!$B$10,'Исходные данные'!$B$69),C275&gt;=IF('Исходные данные'!$B$69="",'Исходные данные'!$B$10,'Исходные данные'!$B$69)),(C275-IF('Исходные данные'!$B$69="",'Исходные данные'!$B$10,'Исходные данные'!$B$69)+1)/DAY(C275),1))</f>
        <v>0</v>
      </c>
      <c r="X275">
        <f>IF(OR(B275="",IF('Исходные данные'!$B$76="",'Исходные данные'!$B$10,'Исходные данные'!$B$76)="",C275&lt;IF('Исходные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данные'!$B$76)),1),B275,"m")/12))*IF(AND(B275&lt;=IF('Исходные данные'!$B$76="",'Исходные данные'!$B$10,'Исходные данные'!$B$76),C275&gt;=IF('Исходные данные'!$B$76="",'Исходные данные'!$B$10,'Исходные данные'!$B$76)),(C275-IF('Исходные данные'!$B$76="",'Исходные данные'!$B$10,'Исходные данные'!$B$76)+1)/DAY(C275),1))</f>
        <v>0</v>
      </c>
      <c r="Y275">
        <f t="shared" si="169"/>
        <v>0</v>
      </c>
      <c r="Z275">
        <f>IF(OR(B275="",N('Исходные данные'!$B$19)=0),0,-SUMIFS('Исходные данные'!$I$6:$I$186,'Исходные данные'!$F$6:$F$186,B275)*N('Исходные данные'!$B$17)/N('Исходные данные'!$B$19))</f>
        <v>0</v>
      </c>
      <c r="AA275">
        <f>IF(OR(B275="",N('Исходные данные'!$B$19)=0),0,-SUMIFS('Исходные данные'!$I$6:$I$186,'Исходные данные'!$F$6:$F$186,B275)*N('Исходные данные'!$B$18)/N('Исходные данные'!$B$19))</f>
        <v>0</v>
      </c>
      <c r="AB275">
        <f>IF(OR(B275="",'Исходные данные'!$B$13=""),0,IF(AND(YEAR(B275)=YEAR('Исходные данные'!$B$13),MONTH(B275)=MONTH('Исходные данные'!$B$13)),-N('Исходные данные'!$B$11),0))</f>
        <v>0</v>
      </c>
      <c r="AC275">
        <f>IF(A275=1,-N('Исходные данные'!$B$19)*N('Исходные данные'!$B$72),0)</f>
        <v>0</v>
      </c>
      <c r="AD275">
        <f>IF(OR(B275="",'Исходные данные'!$B$22&lt;&gt;"Да",'Исходные данные'!$B$26=""),0,IF(AND(YEAR(B275)=YEAR('Исходные данные'!$B$26),MONTH(B275)=MONTH('Исходные данные'!$B$26)),N('Исходные данные'!$B$23),0))</f>
        <v>0</v>
      </c>
      <c r="AE275">
        <f t="shared" si="152"/>
        <v>0</v>
      </c>
      <c r="AF275">
        <f>IF(OR('Исходные данные'!$B$22&lt;&gt;"Да",'Исходные данные'!$B$26="",C275&lt;'Исходные данные'!$B$26),0,DATEDIF(DATE(YEAR('Исходные данные'!$B$26),MONTH('Исходные данные'!$B$26),1),B275,"m")+1)</f>
        <v>0</v>
      </c>
      <c r="AG275">
        <f>IF(OR(AF275&lt;1,AF275&gt;N('Исходные данные'!$B$25),AE275+AD275&lt;=0),0,-(AE275+AD275)*N('Исходные данные'!$B$24)*IF(AF275=1,C275-'Исходные данные'!$B$26+1,DAY(C275))/365)</f>
        <v>0</v>
      </c>
      <c r="AH275">
        <f>IF(OR(AF275&lt;1,AF275&gt;N('Исходные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данные'!$B$25)-AG275))</f>
        <v>0</v>
      </c>
      <c r="AI275">
        <f>IF(OR('Исходные данные'!$B$22&lt;&gt;"Да",AE275+AD275&lt;=0),0,IF(AND('Исходные данные'!$B$91&lt;&gt;"",B275&lt;&gt;"",YEAR(B275)=YEAR('Исходные данные'!$B$91),MONTH(B275)=MONTH('Исходные данные'!$B$91)),-(AE275+AD275),IF(OR(AF275&lt;1,AF275&gt;N('Исходные данные'!$B$25)),0,IF('Исходные данные'!$B$27="Равными долями",-MIN(AE275+AD275,N('Исходные данные'!$B$23)/N('Исходные данные'!$B$25)),-MIN(AE275+AD275,IF(AF275=N('Исходные данные'!$B$25),AE275+AD275,MAX(0,AH275+AG275)))))))</f>
        <v>0</v>
      </c>
      <c r="AJ275">
        <f t="shared" si="170"/>
        <v>0</v>
      </c>
      <c r="AK275">
        <f t="shared" si="153"/>
        <v>0</v>
      </c>
      <c r="AL275">
        <f>IF(OR(B275="",'Исходные данные'!$B$51&lt;&gt;"Да",'Исходные данные'!$B$61=""),0,IF(AND(YEAR(B275)=YEAR('Исходные данные'!$B$61),MONTH(B275)=MONTH('Исходные данные'!$B$61)),N('Исходные данные'!$B$18)*N('Исходные данные'!$B$62),0))</f>
        <v>0</v>
      </c>
      <c r="AM275">
        <f t="shared" si="154"/>
        <v>0</v>
      </c>
      <c r="AN275">
        <f t="shared" si="155"/>
        <v>0</v>
      </c>
      <c r="AO275">
        <f t="shared" si="156"/>
        <v>0</v>
      </c>
      <c r="AP275">
        <f>IF('Исходные данные'!$B$51="Да",-MAX(0,AN275-AO275-AM275),0)</f>
        <v>0</v>
      </c>
      <c r="AQ275">
        <f>IF('Исходные данные'!$B$51="Да",MAX(0,AM275+AO275-AN275),0)</f>
        <v>0</v>
      </c>
      <c r="AR275">
        <f>IF('Исходные данные'!$B$53="Выручка",MAX(0,L275+(Q275-R275)+(U275-V275)),IF('Исходные данные'!$B$53="Прибыль до налога",MAX(0,L275+(Q275-R275)+(U275-V275)+N('Исходные данные'!$B$54)*((O275+P275)+(S275+T275)+W275+X275)+IF('Исходные данные'!$B$55="Да",AG275,0)-N('Исходные данные'!$B$56)/12),IF('Исходные данные'!$B$53="Пользовательская база",MAX(0,N('Исходные данные'!$B$57)/12),0)))</f>
        <v>0</v>
      </c>
      <c r="AS275">
        <f>IF(E275=1,-AR275*N('Исходные данные'!$B$50),0)</f>
        <v>0</v>
      </c>
      <c r="AT275">
        <f t="shared" si="157"/>
        <v>0</v>
      </c>
      <c r="AU275">
        <f>IF(OR(B275="",N('Исходные данные'!$B$80)&lt;=0,'Исходные данные'!$B$88=""),0,MAX(0,IF('Исходные данные'!$B$88="Последние 12 месяцев",SUMIFS($Y$2:$Y$194,$B$2:$B$194,"&gt;="&amp;EDATE(B275,-11),$B$2:$B$194,"&lt;="&amp;B275),IF('Исходные данные'!$B$88="Пользовательский NOI",N('Исходные данные'!$B$89),AT275))/N('Исходные данные'!$B$80)*(1+N('Исходные данные'!$B$81))))</f>
        <v>0</v>
      </c>
      <c r="AV275">
        <f>IF(OR(E275&lt;&gt;1,B275="",'Исходные данные'!$B$91=""),0,IF(AND(YEAR(B275)=YEAR('Исходные данные'!$B$91),MONTH(B275)=MONTH('Исходные данные'!$B$91)),AU275,0))</f>
        <v>0</v>
      </c>
      <c r="AW275">
        <f>-AV275*N('Исходные данные'!$B$73)</f>
        <v>0</v>
      </c>
      <c r="AX275">
        <f>IF(AV275=0,0,-N('Исходные данные'!$B$87)-IF('Исходные данные'!$B$82="Да",IF('Исходные данные'!$B$84="С выручки",AV275,IF('Исходные данные'!$B$84="С прибыли",MAX(0,AV275+AW275-IF('Исходные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75">
        <f t="shared" si="171"/>
        <v>0</v>
      </c>
      <c r="AZ275">
        <f t="shared" si="158"/>
        <v>0</v>
      </c>
      <c r="BA275">
        <f t="shared" si="172"/>
        <v>0</v>
      </c>
      <c r="BB275" t="str">
        <f t="shared" si="159"/>
        <v/>
      </c>
      <c r="BC275">
        <f>IF(OR(E275=0,'Исходные данные'!$B$9="",'Исходные данные'!$B$90=""),0,BA275/(1+'Исходные данные'!$B$90)^((D275-'Исходные данные'!$B$9)/365))</f>
        <v>0</v>
      </c>
      <c r="BD275">
        <f>IF(AND(E275=1,BB275&gt;=0,BB274&lt;0,MIN($BB$2:BB275)&lt;0),1,0)</f>
        <v>0</v>
      </c>
      <c r="BE275">
        <f t="shared" si="160"/>
        <v>0</v>
      </c>
      <c r="BF275">
        <f t="shared" si="161"/>
        <v>0</v>
      </c>
      <c r="BG275">
        <f t="shared" si="162"/>
        <v>0</v>
      </c>
      <c r="BH275">
        <f t="shared" si="163"/>
        <v>1</v>
      </c>
      <c r="BI275">
        <f>AZ275+N275+AP275-AR275*N('Исходные данные'!$B$50)</f>
        <v>0</v>
      </c>
      <c r="BJ275">
        <f t="shared" si="164"/>
        <v>0</v>
      </c>
      <c r="BK275">
        <f>IF(AND(BJ275&gt;=0,BJ274&lt;0,MIN($BJ$2:BJ275)&lt;0),1,0)</f>
        <v>0</v>
      </c>
    </row>
    <row r="276" spans="1:63" x14ac:dyDescent="0.2">
      <c r="A276">
        <v>275</v>
      </c>
      <c r="B276" t="str">
        <f>IF('Исходные данные'!$B$9="","",EDATE(DATE(YEAR('Исходные данные'!$B$9),MONTH('Исходные данные'!$B$9),1),A276-1))</f>
        <v/>
      </c>
      <c r="C276" t="str">
        <f t="shared" si="165"/>
        <v/>
      </c>
      <c r="D276" t="str">
        <f>IF(B276="","",IF('Исходные данные'!$B$91&lt;&gt;"",IF(AND(YEAR(B276)=YEAR('Исходные данные'!$B$91),MONTH(B276)=MONTH('Исходные данные'!$B$91)),'Исходные данные'!$B$91,IF('Исходные данные'!$B$13&lt;&gt;"",IF(AND(YEAR(B276)=YEAR('Исходные данные'!$B$13),MONTH(B276)=MONTH('Исходные данные'!$B$13)),'Исходные данные'!$B$13,IF('Исходные данные'!$B$26&lt;&gt;"",IF(AND(YEAR(B276)=YEAR('Исходные данные'!$B$26),MONTH(B276)=MONTH('Исходные данные'!$B$26)),'Исходные данные'!$B$26,IF(A276=1,'Исходные данные'!$B$9,C276)),IF(A276=1,'Исходные данные'!$B$9,C276))),IF('Исходные данные'!$B$26&lt;&gt;"",IF(AND(YEAR(B276)=YEAR('Исходные данные'!$B$26),MONTH(B276)=MONTH('Исходные данные'!$B$26)),'Исходные данные'!$B$26,IF(A276=1,'Исходные данные'!$B$9,C276)),IF(A276=1,'Исходные данные'!$B$9,C276)))),IF('Исходные данные'!$B$13&lt;&gt;"",IF(AND(YEAR(B276)=YEAR('Исходные данные'!$B$13),MONTH(B276)=MONTH('Исходные данные'!$B$13)),'Исходные данные'!$B$13,IF('Исходные данные'!$B$26&lt;&gt;"",IF(AND(YEAR(B276)=YEAR('Исходные данные'!$B$26),MONTH(B276)=MONTH('Исходные данные'!$B$26)),'Исходные данные'!$B$26,IF(A276=1,'Исходные данные'!$B$9,C276)),IF(A276=1,'Исходные данные'!$B$9,C276))),IF('Исходные данные'!$B$26&lt;&gt;"",IF(AND(YEAR(B276)=YEAR('Исходные данные'!$B$26),MONTH(B276)=MONTH('Исходные данные'!$B$26)),'Исходные данные'!$B$26,IF(A276=1,'Исходные данные'!$B$9,C276)),IF(A276=1,'Исходные данные'!$B$9,C276)))))</f>
        <v/>
      </c>
      <c r="E276">
        <f>IF(OR(B276="",'Исходные данные'!$B$91=""),0,--(B276&lt;=DATE(YEAR('Исходные данные'!$B$91),MONTH('Исходные данные'!$B$91),1)))</f>
        <v>0</v>
      </c>
      <c r="F276">
        <f>IF(OR(B276="",'Исходные данные'!$B$30="",C276&lt;'Исходные данные'!$B$30),0,DATEDIF(DATE(YEAR('Исходные данные'!$B$30),MONTH('Исходные данные'!$B$30),1),B276,"m")+1)</f>
        <v>0</v>
      </c>
      <c r="G276">
        <f t="shared" si="166"/>
        <v>0</v>
      </c>
      <c r="H276">
        <f>IF(F276=0,0,IF(G276=1,N('Исходные данные'!$B$31),IF(G276=2,N('Исходные данные'!$B$32),IF(G276=3,N('Исходные данные'!$B$33),N('Исходные данные'!$B$33)*(1+N('Исходные данные'!$B$34))^(G276-3)))))</f>
        <v>0</v>
      </c>
      <c r="I276">
        <f>IF(OR(F276=0,N('Исходные данные'!$B$5)=0,H276=0),0,'Исходные данные'!$B$5*H276*IF(AND(B276&lt;='Исходные данные'!$B$30,C276&gt;='Исходные данные'!$B$30),(C276-'Исходные данные'!$B$30+1)/DAY(C276),1))</f>
        <v>0</v>
      </c>
      <c r="J276">
        <f>IF(AND(F276&gt;0,F276&lt;=N('Исходные данные'!$B$37)),-I276,0)</f>
        <v>0</v>
      </c>
      <c r="K276">
        <f>IF(OR(F276=0,F276&lt;=N('Исходные данные'!$B$37)),0,-(I276+J276)*N('Исходные данные'!$B$38))</f>
        <v>0</v>
      </c>
      <c r="L276">
        <f t="shared" si="167"/>
        <v>0</v>
      </c>
      <c r="M276">
        <f>IF('Исходные данные'!$B$51="Да",L276*N('Исходные данные'!$B$52),0)</f>
        <v>0</v>
      </c>
      <c r="N276">
        <f t="shared" si="168"/>
        <v>0</v>
      </c>
      <c r="O276">
        <f>IF(OR(B276="",IF('Исходные данные'!$B$45="",'Исходные данные'!$B$10,'Исходные данные'!$B$45)="",C276&lt;IF('Исходные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данные'!$B$45)),1),B276,"m")/12))*IF(AND(B276&lt;=IF('Исходные данные'!$B$45="",'Исходные данные'!$B$10,'Исходные данные'!$B$45),C276&gt;=IF('Исходные данные'!$B$45="",'Исходные данные'!$B$10,'Исходные данные'!$B$45)),(C276-IF('Исходные данные'!$B$45="",'Исходные данные'!$B$10,'Исходные данные'!$B$45)+1)/DAY(C276),1)*IF('Исходные данные'!$B$43="Без НДС",1+N('Исходные данные'!$B$44),1))</f>
        <v>0</v>
      </c>
      <c r="P276">
        <f>IF('Исходные данные'!$B$51="Да",-O276*N('Исходные данные'!$B$44)/(1+N('Исходные данные'!$B$44)),0)</f>
        <v>0</v>
      </c>
      <c r="Q276">
        <f>IF('Исходные данные'!$B$35="Да",-O276,0)</f>
        <v>0</v>
      </c>
      <c r="R276">
        <f>IF(AND('Исходные данные'!$B$51="Да",Q276&gt;0),Q276*N('Исходные данные'!$B$52)/(1+N('Исходные данные'!$B$52)),0)</f>
        <v>0</v>
      </c>
      <c r="S276">
        <f>IF(OR(B276="",IF('Исходные данные'!$B$45="",'Исходные данные'!$B$10,'Исходные данные'!$B$45)="",C276&lt;IF('Исходные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данные'!$B$45)),1),B276,"m")/12))*IF(AND(B276&lt;=IF('Исходные данные'!$B$45="",'Исходные данные'!$B$10,'Исходные данные'!$B$45),C276&gt;=IF('Исходные данные'!$B$45="",'Исходные данные'!$B$10,'Исходные данные'!$B$45)),(C276-IF('Исходные данные'!$B$45="",'Исходные данные'!$B$10,'Исходные данные'!$B$45)+1)/DAY(C276),1)*IF('Исходные данные'!$B$43="Без НДС",1+N('Исходные данные'!$B$44),1))</f>
        <v>0</v>
      </c>
      <c r="T276">
        <f>IF('Исходные данные'!$B$51="Да",-S276*N('Исходные данные'!$B$44)/(1+N('Исходные данные'!$B$44)),0)</f>
        <v>0</v>
      </c>
      <c r="U276">
        <f>IF('Исходные данные'!$B$36="Да",-S276,0)</f>
        <v>0</v>
      </c>
      <c r="V276">
        <f>IF(AND('Исходные данные'!$B$51="Да",U276&gt;0),U276*N('Исходные данные'!$B$52)/(1+N('Исходные данные'!$B$52)),0)</f>
        <v>0</v>
      </c>
      <c r="W276">
        <f>IF(OR(B276="",IF('Исходные данные'!$B$69="",'Исходные данные'!$B$10,'Исходные данные'!$B$69)="",C276&lt;IF('Исходные данные'!$B$69="",'Исходные данные'!$B$10,'Исходные данные'!$B$69)),0,-N('Исходные данные'!$B$16)*N('Исходные данные'!$B$68)*N('Исходные данные'!$B$67)/12*IF(AND(B276&lt;=IF('Исходные данные'!$B$69="",'Исходные данные'!$B$10,'Исходные данные'!$B$69),C276&gt;=IF('Исходные данные'!$B$69="",'Исходные данные'!$B$10,'Исходные данные'!$B$69)),(C276-IF('Исходные данные'!$B$69="",'Исходные данные'!$B$10,'Исходные данные'!$B$69)+1)/DAY(C276),1))</f>
        <v>0</v>
      </c>
      <c r="X276">
        <f>IF(OR(B276="",IF('Исходные данные'!$B$76="",'Исходные данные'!$B$10,'Исходные данные'!$B$76)="",C276&lt;IF('Исходные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данные'!$B$76)),1),B276,"m")/12))*IF(AND(B276&lt;=IF('Исходные данные'!$B$76="",'Исходные данные'!$B$10,'Исходные данные'!$B$76),C276&gt;=IF('Исходные данные'!$B$76="",'Исходные данные'!$B$10,'Исходные данные'!$B$76)),(C276-IF('Исходные данные'!$B$76="",'Исходные данные'!$B$10,'Исходные данные'!$B$76)+1)/DAY(C276),1))</f>
        <v>0</v>
      </c>
      <c r="Y276">
        <f t="shared" si="169"/>
        <v>0</v>
      </c>
      <c r="Z276">
        <f>IF(OR(B276="",N('Исходные данные'!$B$19)=0),0,-SUMIFS('Исходные данные'!$I$6:$I$186,'Исходные данные'!$F$6:$F$186,B276)*N('Исходные данные'!$B$17)/N('Исходные данные'!$B$19))</f>
        <v>0</v>
      </c>
      <c r="AA276">
        <f>IF(OR(B276="",N('Исходные данные'!$B$19)=0),0,-SUMIFS('Исходные данные'!$I$6:$I$186,'Исходные данные'!$F$6:$F$186,B276)*N('Исходные данные'!$B$18)/N('Исходные данные'!$B$19))</f>
        <v>0</v>
      </c>
      <c r="AB276">
        <f>IF(OR(B276="",'Исходные данные'!$B$13=""),0,IF(AND(YEAR(B276)=YEAR('Исходные данные'!$B$13),MONTH(B276)=MONTH('Исходные данные'!$B$13)),-N('Исходные данные'!$B$11),0))</f>
        <v>0</v>
      </c>
      <c r="AC276">
        <f>IF(A276=1,-N('Исходные данные'!$B$19)*N('Исходные данные'!$B$72),0)</f>
        <v>0</v>
      </c>
      <c r="AD276">
        <f>IF(OR(B276="",'Исходные данные'!$B$22&lt;&gt;"Да",'Исходные данные'!$B$26=""),0,IF(AND(YEAR(B276)=YEAR('Исходные данные'!$B$26),MONTH(B276)=MONTH('Исходные данные'!$B$26)),N('Исходные данные'!$B$23),0))</f>
        <v>0</v>
      </c>
      <c r="AE276">
        <f t="shared" si="152"/>
        <v>0</v>
      </c>
      <c r="AF276">
        <f>IF(OR('Исходные данные'!$B$22&lt;&gt;"Да",'Исходные данные'!$B$26="",C276&lt;'Исходные данные'!$B$26),0,DATEDIF(DATE(YEAR('Исходные данные'!$B$26),MONTH('Исходные данные'!$B$26),1),B276,"m")+1)</f>
        <v>0</v>
      </c>
      <c r="AG276">
        <f>IF(OR(AF276&lt;1,AF276&gt;N('Исходные данные'!$B$25),AE276+AD276&lt;=0),0,-(AE276+AD276)*N('Исходные данные'!$B$24)*IF(AF276=1,C276-'Исходные данные'!$B$26+1,DAY(C276))/365)</f>
        <v>0</v>
      </c>
      <c r="AH276">
        <f>IF(OR(AF276&lt;1,AF276&gt;N('Исходные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данные'!$B$25)-AG276))</f>
        <v>0</v>
      </c>
      <c r="AI276">
        <f>IF(OR('Исходные данные'!$B$22&lt;&gt;"Да",AE276+AD276&lt;=0),0,IF(AND('Исходные данные'!$B$91&lt;&gt;"",B276&lt;&gt;"",YEAR(B276)=YEAR('Исходные данные'!$B$91),MONTH(B276)=MONTH('Исходные данные'!$B$91)),-(AE276+AD276),IF(OR(AF276&lt;1,AF276&gt;N('Исходные данные'!$B$25)),0,IF('Исходные данные'!$B$27="Равными долями",-MIN(AE276+AD276,N('Исходные данные'!$B$23)/N('Исходные данные'!$B$25)),-MIN(AE276+AD276,IF(AF276=N('Исходные данные'!$B$25),AE276+AD276,MAX(0,AH276+AG276)))))))</f>
        <v>0</v>
      </c>
      <c r="AJ276">
        <f t="shared" si="170"/>
        <v>0</v>
      </c>
      <c r="AK276">
        <f t="shared" si="153"/>
        <v>0</v>
      </c>
      <c r="AL276">
        <f>IF(OR(B276="",'Исходные данные'!$B$51&lt;&gt;"Да",'Исходные данные'!$B$61=""),0,IF(AND(YEAR(B276)=YEAR('Исходные данные'!$B$61),MONTH(B276)=MONTH('Исходные данные'!$B$61)),N('Исходные данные'!$B$18)*N('Исходные данные'!$B$62),0))</f>
        <v>0</v>
      </c>
      <c r="AM276">
        <f t="shared" si="154"/>
        <v>0</v>
      </c>
      <c r="AN276">
        <f t="shared" si="155"/>
        <v>0</v>
      </c>
      <c r="AO276">
        <f t="shared" si="156"/>
        <v>0</v>
      </c>
      <c r="AP276">
        <f>IF('Исходные данные'!$B$51="Да",-MAX(0,AN276-AO276-AM276),0)</f>
        <v>0</v>
      </c>
      <c r="AQ276">
        <f>IF('Исходные данные'!$B$51="Да",MAX(0,AM276+AO276-AN276),0)</f>
        <v>0</v>
      </c>
      <c r="AR276">
        <f>IF('Исходные данные'!$B$53="Выручка",MAX(0,L276+(Q276-R276)+(U276-V276)),IF('Исходные данные'!$B$53="Прибыль до налога",MAX(0,L276+(Q276-R276)+(U276-V276)+N('Исходные данные'!$B$54)*((O276+P276)+(S276+T276)+W276+X276)+IF('Исходные данные'!$B$55="Да",AG276,0)-N('Исходные данные'!$B$56)/12),IF('Исходные данные'!$B$53="Пользовательская база",MAX(0,N('Исходные данные'!$B$57)/12),0)))</f>
        <v>0</v>
      </c>
      <c r="AS276">
        <f>IF(E276=1,-AR276*N('Исходные данные'!$B$50),0)</f>
        <v>0</v>
      </c>
      <c r="AT276">
        <f t="shared" si="157"/>
        <v>0</v>
      </c>
      <c r="AU276">
        <f>IF(OR(B276="",N('Исходные данные'!$B$80)&lt;=0,'Исходные данные'!$B$88=""),0,MAX(0,IF('Исходные данные'!$B$88="Последние 12 месяцев",SUMIFS($Y$2:$Y$194,$B$2:$B$194,"&gt;="&amp;EDATE(B276,-11),$B$2:$B$194,"&lt;="&amp;B276),IF('Исходные данные'!$B$88="Пользовательский NOI",N('Исходные данные'!$B$89),AT276))/N('Исходные данные'!$B$80)*(1+N('Исходные данные'!$B$81))))</f>
        <v>0</v>
      </c>
      <c r="AV276">
        <f>IF(OR(E276&lt;&gt;1,B276="",'Исходные данные'!$B$91=""),0,IF(AND(YEAR(B276)=YEAR('Исходные данные'!$B$91),MONTH(B276)=MONTH('Исходные данные'!$B$91)),AU276,0))</f>
        <v>0</v>
      </c>
      <c r="AW276">
        <f>-AV276*N('Исходные данные'!$B$73)</f>
        <v>0</v>
      </c>
      <c r="AX276">
        <f>IF(AV276=0,0,-N('Исходные данные'!$B$87)-IF('Исходные данные'!$B$82="Да",IF('Исходные данные'!$B$84="С выручки",AV276,IF('Исходные данные'!$B$84="С прибыли",MAX(0,AV276+AW276-IF('Исходные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76">
        <f t="shared" si="171"/>
        <v>0</v>
      </c>
      <c r="AZ276">
        <f t="shared" si="158"/>
        <v>0</v>
      </c>
      <c r="BA276">
        <f t="shared" si="172"/>
        <v>0</v>
      </c>
      <c r="BB276" t="str">
        <f t="shared" si="159"/>
        <v/>
      </c>
      <c r="BC276">
        <f>IF(OR(E276=0,'Исходные данные'!$B$9="",'Исходные данные'!$B$90=""),0,BA276/(1+'Исходные данные'!$B$90)^((D276-'Исходные данные'!$B$9)/365))</f>
        <v>0</v>
      </c>
      <c r="BD276">
        <f>IF(AND(E276=1,BB276&gt;=0,BB275&lt;0,MIN($BB$2:BB276)&lt;0),1,0)</f>
        <v>0</v>
      </c>
      <c r="BE276">
        <f t="shared" si="160"/>
        <v>0</v>
      </c>
      <c r="BF276">
        <f t="shared" si="161"/>
        <v>0</v>
      </c>
      <c r="BG276">
        <f t="shared" si="162"/>
        <v>0</v>
      </c>
      <c r="BH276">
        <f t="shared" si="163"/>
        <v>1</v>
      </c>
      <c r="BI276">
        <f>AZ276+N276+AP276-AR276*N('Исходные данные'!$B$50)</f>
        <v>0</v>
      </c>
      <c r="BJ276">
        <f t="shared" si="164"/>
        <v>0</v>
      </c>
      <c r="BK276">
        <f>IF(AND(BJ276&gt;=0,BJ275&lt;0,MIN($BJ$2:BJ276)&lt;0),1,0)</f>
        <v>0</v>
      </c>
    </row>
    <row r="277" spans="1:63" x14ac:dyDescent="0.2">
      <c r="A277">
        <v>276</v>
      </c>
      <c r="B277" t="str">
        <f>IF('Исходные данные'!$B$9="","",EDATE(DATE(YEAR('Исходные данные'!$B$9),MONTH('Исходные данные'!$B$9),1),A277-1))</f>
        <v/>
      </c>
      <c r="C277" t="str">
        <f t="shared" si="165"/>
        <v/>
      </c>
      <c r="D277" t="str">
        <f>IF(B277="","",IF('Исходные данные'!$B$91&lt;&gt;"",IF(AND(YEAR(B277)=YEAR('Исходные данные'!$B$91),MONTH(B277)=MONTH('Исходные данные'!$B$91)),'Исходные данные'!$B$91,IF('Исходные данные'!$B$13&lt;&gt;"",IF(AND(YEAR(B277)=YEAR('Исходные данные'!$B$13),MONTH(B277)=MONTH('Исходные данные'!$B$13)),'Исходные данные'!$B$13,IF('Исходные данные'!$B$26&lt;&gt;"",IF(AND(YEAR(B277)=YEAR('Исходные данные'!$B$26),MONTH(B277)=MONTH('Исходные данные'!$B$26)),'Исходные данные'!$B$26,IF(A277=1,'Исходные данные'!$B$9,C277)),IF(A277=1,'Исходные данные'!$B$9,C277))),IF('Исходные данные'!$B$26&lt;&gt;"",IF(AND(YEAR(B277)=YEAR('Исходные данные'!$B$26),MONTH(B277)=MONTH('Исходные данные'!$B$26)),'Исходные данные'!$B$26,IF(A277=1,'Исходные данные'!$B$9,C277)),IF(A277=1,'Исходные данные'!$B$9,C277)))),IF('Исходные данные'!$B$13&lt;&gt;"",IF(AND(YEAR(B277)=YEAR('Исходные данные'!$B$13),MONTH(B277)=MONTH('Исходные данные'!$B$13)),'Исходные данные'!$B$13,IF('Исходные данные'!$B$26&lt;&gt;"",IF(AND(YEAR(B277)=YEAR('Исходные данные'!$B$26),MONTH(B277)=MONTH('Исходные данные'!$B$26)),'Исходные данные'!$B$26,IF(A277=1,'Исходные данные'!$B$9,C277)),IF(A277=1,'Исходные данные'!$B$9,C277))),IF('Исходные данные'!$B$26&lt;&gt;"",IF(AND(YEAR(B277)=YEAR('Исходные данные'!$B$26),MONTH(B277)=MONTH('Исходные данные'!$B$26)),'Исходные данные'!$B$26,IF(A277=1,'Исходные данные'!$B$9,C277)),IF(A277=1,'Исходные данные'!$B$9,C277)))))</f>
        <v/>
      </c>
      <c r="E277">
        <f>IF(OR(B277="",'Исходные данные'!$B$91=""),0,--(B277&lt;=DATE(YEAR('Исходные данные'!$B$91),MONTH('Исходные данные'!$B$91),1)))</f>
        <v>0</v>
      </c>
      <c r="F277">
        <f>IF(OR(B277="",'Исходные данные'!$B$30="",C277&lt;'Исходные данные'!$B$30),0,DATEDIF(DATE(YEAR('Исходные данные'!$B$30),MONTH('Исходные данные'!$B$30),1),B277,"m")+1)</f>
        <v>0</v>
      </c>
      <c r="G277">
        <f t="shared" si="166"/>
        <v>0</v>
      </c>
      <c r="H277">
        <f>IF(F277=0,0,IF(G277=1,N('Исходные данные'!$B$31),IF(G277=2,N('Исходные данные'!$B$32),IF(G277=3,N('Исходные данные'!$B$33),N('Исходные данные'!$B$33)*(1+N('Исходные данные'!$B$34))^(G277-3)))))</f>
        <v>0</v>
      </c>
      <c r="I277">
        <f>IF(OR(F277=0,N('Исходные данные'!$B$5)=0,H277=0),0,'Исходные данные'!$B$5*H277*IF(AND(B277&lt;='Исходные данные'!$B$30,C277&gt;='Исходные данные'!$B$30),(C277-'Исходные данные'!$B$30+1)/DAY(C277),1))</f>
        <v>0</v>
      </c>
      <c r="J277">
        <f>IF(AND(F277&gt;0,F277&lt;=N('Исходные данные'!$B$37)),-I277,0)</f>
        <v>0</v>
      </c>
      <c r="K277">
        <f>IF(OR(F277=0,F277&lt;=N('Исходные данные'!$B$37)),0,-(I277+J277)*N('Исходные данные'!$B$38))</f>
        <v>0</v>
      </c>
      <c r="L277">
        <f t="shared" si="167"/>
        <v>0</v>
      </c>
      <c r="M277">
        <f>IF('Исходные данные'!$B$51="Да",L277*N('Исходные данные'!$B$52),0)</f>
        <v>0</v>
      </c>
      <c r="N277">
        <f t="shared" si="168"/>
        <v>0</v>
      </c>
      <c r="O277">
        <f>IF(OR(B277="",IF('Исходные данные'!$B$45="",'Исходные данные'!$B$10,'Исходные данные'!$B$45)="",C277&lt;IF('Исходные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данные'!$B$45)),1),B277,"m")/12))*IF(AND(B277&lt;=IF('Исходные данные'!$B$45="",'Исходные данные'!$B$10,'Исходные данные'!$B$45),C277&gt;=IF('Исходные данные'!$B$45="",'Исходные данные'!$B$10,'Исходные данные'!$B$45)),(C277-IF('Исходные данные'!$B$45="",'Исходные данные'!$B$10,'Исходные данные'!$B$45)+1)/DAY(C277),1)*IF('Исходные данные'!$B$43="Без НДС",1+N('Исходные данные'!$B$44),1))</f>
        <v>0</v>
      </c>
      <c r="P277">
        <f>IF('Исходные данные'!$B$51="Да",-O277*N('Исходные данные'!$B$44)/(1+N('Исходные данные'!$B$44)),0)</f>
        <v>0</v>
      </c>
      <c r="Q277">
        <f>IF('Исходные данные'!$B$35="Да",-O277,0)</f>
        <v>0</v>
      </c>
      <c r="R277">
        <f>IF(AND('Исходные данные'!$B$51="Да",Q277&gt;0),Q277*N('Исходные данные'!$B$52)/(1+N('Исходные данные'!$B$52)),0)</f>
        <v>0</v>
      </c>
      <c r="S277">
        <f>IF(OR(B277="",IF('Исходные данные'!$B$45="",'Исходные данные'!$B$10,'Исходные данные'!$B$45)="",C277&lt;IF('Исходные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данные'!$B$45)),1),B277,"m")/12))*IF(AND(B277&lt;=IF('Исходные данные'!$B$45="",'Исходные данные'!$B$10,'Исходные данные'!$B$45),C277&gt;=IF('Исходные данные'!$B$45="",'Исходные данные'!$B$10,'Исходные данные'!$B$45)),(C277-IF('Исходные данные'!$B$45="",'Исходные данные'!$B$10,'Исходные данные'!$B$45)+1)/DAY(C277),1)*IF('Исходные данные'!$B$43="Без НДС",1+N('Исходные данные'!$B$44),1))</f>
        <v>0</v>
      </c>
      <c r="T277">
        <f>IF('Исходные данные'!$B$51="Да",-S277*N('Исходные данные'!$B$44)/(1+N('Исходные данные'!$B$44)),0)</f>
        <v>0</v>
      </c>
      <c r="U277">
        <f>IF('Исходные данные'!$B$36="Да",-S277,0)</f>
        <v>0</v>
      </c>
      <c r="V277">
        <f>IF(AND('Исходные данные'!$B$51="Да",U277&gt;0),U277*N('Исходные данные'!$B$52)/(1+N('Исходные данные'!$B$52)),0)</f>
        <v>0</v>
      </c>
      <c r="W277">
        <f>IF(OR(B277="",IF('Исходные данные'!$B$69="",'Исходные данные'!$B$10,'Исходные данные'!$B$69)="",C277&lt;IF('Исходные данные'!$B$69="",'Исходные данные'!$B$10,'Исходные данные'!$B$69)),0,-N('Исходные данные'!$B$16)*N('Исходные данные'!$B$68)*N('Исходные данные'!$B$67)/12*IF(AND(B277&lt;=IF('Исходные данные'!$B$69="",'Исходные данные'!$B$10,'Исходные данные'!$B$69),C277&gt;=IF('Исходные данные'!$B$69="",'Исходные данные'!$B$10,'Исходные данные'!$B$69)),(C277-IF('Исходные данные'!$B$69="",'Исходные данные'!$B$10,'Исходные данные'!$B$69)+1)/DAY(C277),1))</f>
        <v>0</v>
      </c>
      <c r="X277">
        <f>IF(OR(B277="",IF('Исходные данные'!$B$76="",'Исходные данные'!$B$10,'Исходные данные'!$B$76)="",C277&lt;IF('Исходные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данные'!$B$76)),1),B277,"m")/12))*IF(AND(B277&lt;=IF('Исходные данные'!$B$76="",'Исходные данные'!$B$10,'Исходные данные'!$B$76),C277&gt;=IF('Исходные данные'!$B$76="",'Исходные данные'!$B$10,'Исходные данные'!$B$76)),(C277-IF('Исходные данные'!$B$76="",'Исходные данные'!$B$10,'Исходные данные'!$B$76)+1)/DAY(C277),1))</f>
        <v>0</v>
      </c>
      <c r="Y277">
        <f t="shared" si="169"/>
        <v>0</v>
      </c>
      <c r="Z277">
        <f>IF(OR(B277="",N('Исходные данные'!$B$19)=0),0,-SUMIFS('Исходные данные'!$I$6:$I$186,'Исходные данные'!$F$6:$F$186,B277)*N('Исходные данные'!$B$17)/N('Исходные данные'!$B$19))</f>
        <v>0</v>
      </c>
      <c r="AA277">
        <f>IF(OR(B277="",N('Исходные данные'!$B$19)=0),0,-SUMIFS('Исходные данные'!$I$6:$I$186,'Исходные данные'!$F$6:$F$186,B277)*N('Исходные данные'!$B$18)/N('Исходные данные'!$B$19))</f>
        <v>0</v>
      </c>
      <c r="AB277">
        <f>IF(OR(B277="",'Исходные данные'!$B$13=""),0,IF(AND(YEAR(B277)=YEAR('Исходные данные'!$B$13),MONTH(B277)=MONTH('Исходные данные'!$B$13)),-N('Исходные данные'!$B$11),0))</f>
        <v>0</v>
      </c>
      <c r="AC277">
        <f>IF(A277=1,-N('Исходные данные'!$B$19)*N('Исходные данные'!$B$72),0)</f>
        <v>0</v>
      </c>
      <c r="AD277">
        <f>IF(OR(B277="",'Исходные данные'!$B$22&lt;&gt;"Да",'Исходные данные'!$B$26=""),0,IF(AND(YEAR(B277)=YEAR('Исходные данные'!$B$26),MONTH(B277)=MONTH('Исходные данные'!$B$26)),N('Исходные данные'!$B$23),0))</f>
        <v>0</v>
      </c>
      <c r="AE277">
        <f t="shared" si="152"/>
        <v>0</v>
      </c>
      <c r="AF277">
        <f>IF(OR('Исходные данные'!$B$22&lt;&gt;"Да",'Исходные данные'!$B$26="",C277&lt;'Исходные данные'!$B$26),0,DATEDIF(DATE(YEAR('Исходные данные'!$B$26),MONTH('Исходные данные'!$B$26),1),B277,"m")+1)</f>
        <v>0</v>
      </c>
      <c r="AG277">
        <f>IF(OR(AF277&lt;1,AF277&gt;N('Исходные данные'!$B$25),AE277+AD277&lt;=0),0,-(AE277+AD277)*N('Исходные данные'!$B$24)*IF(AF277=1,C277-'Исходные данные'!$B$26+1,DAY(C277))/365)</f>
        <v>0</v>
      </c>
      <c r="AH277">
        <f>IF(OR(AF277&lt;1,AF277&gt;N('Исходные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данные'!$B$25)-AG277))</f>
        <v>0</v>
      </c>
      <c r="AI277">
        <f>IF(OR('Исходные данные'!$B$22&lt;&gt;"Да",AE277+AD277&lt;=0),0,IF(AND('Исходные данные'!$B$91&lt;&gt;"",B277&lt;&gt;"",YEAR(B277)=YEAR('Исходные данные'!$B$91),MONTH(B277)=MONTH('Исходные данные'!$B$91)),-(AE277+AD277),IF(OR(AF277&lt;1,AF277&gt;N('Исходные данные'!$B$25)),0,IF('Исходные данные'!$B$27="Равными долями",-MIN(AE277+AD277,N('Исходные данные'!$B$23)/N('Исходные данные'!$B$25)),-MIN(AE277+AD277,IF(AF277=N('Исходные данные'!$B$25),AE277+AD277,MAX(0,AH277+AG277)))))))</f>
        <v>0</v>
      </c>
      <c r="AJ277">
        <f t="shared" si="170"/>
        <v>0</v>
      </c>
      <c r="AK277">
        <f t="shared" si="153"/>
        <v>0</v>
      </c>
      <c r="AL277">
        <f>IF(OR(B277="",'Исходные данные'!$B$51&lt;&gt;"Да",'Исходные данные'!$B$61=""),0,IF(AND(YEAR(B277)=YEAR('Исходные данные'!$B$61),MONTH(B277)=MONTH('Исходные данные'!$B$61)),N('Исходные данные'!$B$18)*N('Исходные данные'!$B$62),0))</f>
        <v>0</v>
      </c>
      <c r="AM277">
        <f t="shared" si="154"/>
        <v>0</v>
      </c>
      <c r="AN277">
        <f t="shared" si="155"/>
        <v>0</v>
      </c>
      <c r="AO277">
        <f t="shared" si="156"/>
        <v>0</v>
      </c>
      <c r="AP277">
        <f>IF('Исходные данные'!$B$51="Да",-MAX(0,AN277-AO277-AM277),0)</f>
        <v>0</v>
      </c>
      <c r="AQ277">
        <f>IF('Исходные данные'!$B$51="Да",MAX(0,AM277+AO277-AN277),0)</f>
        <v>0</v>
      </c>
      <c r="AR277">
        <f>IF('Исходные данные'!$B$53="Выручка",MAX(0,L277+(Q277-R277)+(U277-V277)),IF('Исходные данные'!$B$53="Прибыль до налога",MAX(0,L277+(Q277-R277)+(U277-V277)+N('Исходные данные'!$B$54)*((O277+P277)+(S277+T277)+W277+X277)+IF('Исходные данные'!$B$55="Да",AG277,0)-N('Исходные данные'!$B$56)/12),IF('Исходные данные'!$B$53="Пользовательская база",MAX(0,N('Исходные данные'!$B$57)/12),0)))</f>
        <v>0</v>
      </c>
      <c r="AS277">
        <f>IF(E277=1,-AR277*N('Исходные данные'!$B$50),0)</f>
        <v>0</v>
      </c>
      <c r="AT277">
        <f t="shared" si="157"/>
        <v>0</v>
      </c>
      <c r="AU277">
        <f>IF(OR(B277="",N('Исходные данные'!$B$80)&lt;=0,'Исходные данные'!$B$88=""),0,MAX(0,IF('Исходные данные'!$B$88="Последние 12 месяцев",SUMIFS($Y$2:$Y$194,$B$2:$B$194,"&gt;="&amp;EDATE(B277,-11),$B$2:$B$194,"&lt;="&amp;B277),IF('Исходные данные'!$B$88="Пользовательский NOI",N('Исходные данные'!$B$89),AT277))/N('Исходные данные'!$B$80)*(1+N('Исходные данные'!$B$81))))</f>
        <v>0</v>
      </c>
      <c r="AV277">
        <f>IF(OR(E277&lt;&gt;1,B277="",'Исходные данные'!$B$91=""),0,IF(AND(YEAR(B277)=YEAR('Исходные данные'!$B$91),MONTH(B277)=MONTH('Исходные данные'!$B$91)),AU277,0))</f>
        <v>0</v>
      </c>
      <c r="AW277">
        <f>-AV277*N('Исходные данные'!$B$73)</f>
        <v>0</v>
      </c>
      <c r="AX277">
        <f>IF(AV277=0,0,-N('Исходные данные'!$B$87)-IF('Исходные данные'!$B$82="Да",IF('Исходные данные'!$B$84="С выручки",AV277,IF('Исходные данные'!$B$84="С прибыли",MAX(0,AV277+AW277-IF('Исходные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77">
        <f t="shared" si="171"/>
        <v>0</v>
      </c>
      <c r="AZ277">
        <f t="shared" si="158"/>
        <v>0</v>
      </c>
      <c r="BA277">
        <f t="shared" si="172"/>
        <v>0</v>
      </c>
      <c r="BB277" t="str">
        <f t="shared" si="159"/>
        <v/>
      </c>
      <c r="BC277">
        <f>IF(OR(E277=0,'Исходные данные'!$B$9="",'Исходные данные'!$B$90=""),0,BA277/(1+'Исходные данные'!$B$90)^((D277-'Исходные данные'!$B$9)/365))</f>
        <v>0</v>
      </c>
      <c r="BD277">
        <f>IF(AND(E277=1,BB277&gt;=0,BB276&lt;0,MIN($BB$2:BB277)&lt;0),1,0)</f>
        <v>0</v>
      </c>
      <c r="BE277">
        <f t="shared" si="160"/>
        <v>0</v>
      </c>
      <c r="BF277">
        <f t="shared" si="161"/>
        <v>0</v>
      </c>
      <c r="BG277">
        <f t="shared" si="162"/>
        <v>0</v>
      </c>
      <c r="BH277">
        <f t="shared" si="163"/>
        <v>1</v>
      </c>
      <c r="BI277">
        <f>AZ277+N277+AP277-AR277*N('Исходные данные'!$B$50)</f>
        <v>0</v>
      </c>
      <c r="BJ277">
        <f t="shared" si="164"/>
        <v>0</v>
      </c>
      <c r="BK277">
        <f>IF(AND(BJ277&gt;=0,BJ276&lt;0,MIN($BJ$2:BJ277)&lt;0),1,0)</f>
        <v>0</v>
      </c>
    </row>
    <row r="278" spans="1:63" x14ac:dyDescent="0.2">
      <c r="A278">
        <v>277</v>
      </c>
      <c r="B278" t="str">
        <f>IF('Исходные данные'!$B$9="","",EDATE(DATE(YEAR('Исходные данные'!$B$9),MONTH('Исходные данные'!$B$9),1),A278-1))</f>
        <v/>
      </c>
      <c r="C278" t="str">
        <f t="shared" si="165"/>
        <v/>
      </c>
      <c r="D278" t="str">
        <f>IF(B278="","",IF('Исходные данные'!$B$91&lt;&gt;"",IF(AND(YEAR(B278)=YEAR('Исходные данные'!$B$91),MONTH(B278)=MONTH('Исходные данные'!$B$91)),'Исходные данные'!$B$91,IF('Исходные данные'!$B$13&lt;&gt;"",IF(AND(YEAR(B278)=YEAR('Исходные данные'!$B$13),MONTH(B278)=MONTH('Исходные данные'!$B$13)),'Исходные данные'!$B$13,IF('Исходные данные'!$B$26&lt;&gt;"",IF(AND(YEAR(B278)=YEAR('Исходные данные'!$B$26),MONTH(B278)=MONTH('Исходные данные'!$B$26)),'Исходные данные'!$B$26,IF(A278=1,'Исходные данные'!$B$9,C278)),IF(A278=1,'Исходные данные'!$B$9,C278))),IF('Исходные данные'!$B$26&lt;&gt;"",IF(AND(YEAR(B278)=YEAR('Исходные данные'!$B$26),MONTH(B278)=MONTH('Исходные данные'!$B$26)),'Исходные данные'!$B$26,IF(A278=1,'Исходные данные'!$B$9,C278)),IF(A278=1,'Исходные данные'!$B$9,C278)))),IF('Исходные данные'!$B$13&lt;&gt;"",IF(AND(YEAR(B278)=YEAR('Исходные данные'!$B$13),MONTH(B278)=MONTH('Исходные данные'!$B$13)),'Исходные данные'!$B$13,IF('Исходные данные'!$B$26&lt;&gt;"",IF(AND(YEAR(B278)=YEAR('Исходные данные'!$B$26),MONTH(B278)=MONTH('Исходные данные'!$B$26)),'Исходные данные'!$B$26,IF(A278=1,'Исходные данные'!$B$9,C278)),IF(A278=1,'Исходные данные'!$B$9,C278))),IF('Исходные данные'!$B$26&lt;&gt;"",IF(AND(YEAR(B278)=YEAR('Исходные данные'!$B$26),MONTH(B278)=MONTH('Исходные данные'!$B$26)),'Исходные данные'!$B$26,IF(A278=1,'Исходные данные'!$B$9,C278)),IF(A278=1,'Исходные данные'!$B$9,C278)))))</f>
        <v/>
      </c>
      <c r="E278">
        <f>IF(OR(B278="",'Исходные данные'!$B$91=""),0,--(B278&lt;=DATE(YEAR('Исходные данные'!$B$91),MONTH('Исходные данные'!$B$91),1)))</f>
        <v>0</v>
      </c>
      <c r="F278">
        <f>IF(OR(B278="",'Исходные данные'!$B$30="",C278&lt;'Исходные данные'!$B$30),0,DATEDIF(DATE(YEAR('Исходные данные'!$B$30),MONTH('Исходные данные'!$B$30),1),B278,"m")+1)</f>
        <v>0</v>
      </c>
      <c r="G278">
        <f t="shared" si="166"/>
        <v>0</v>
      </c>
      <c r="H278">
        <f>IF(F278=0,0,IF(G278=1,N('Исходные данные'!$B$31),IF(G278=2,N('Исходные данные'!$B$32),IF(G278=3,N('Исходные данные'!$B$33),N('Исходные данные'!$B$33)*(1+N('Исходные данные'!$B$34))^(G278-3)))))</f>
        <v>0</v>
      </c>
      <c r="I278">
        <f>IF(OR(F278=0,N('Исходные данные'!$B$5)=0,H278=0),0,'Исходные данные'!$B$5*H278*IF(AND(B278&lt;='Исходные данные'!$B$30,C278&gt;='Исходные данные'!$B$30),(C278-'Исходные данные'!$B$30+1)/DAY(C278),1))</f>
        <v>0</v>
      </c>
      <c r="J278">
        <f>IF(AND(F278&gt;0,F278&lt;=N('Исходные данные'!$B$37)),-I278,0)</f>
        <v>0</v>
      </c>
      <c r="K278">
        <f>IF(OR(F278=0,F278&lt;=N('Исходные данные'!$B$37)),0,-(I278+J278)*N('Исходные данные'!$B$38))</f>
        <v>0</v>
      </c>
      <c r="L278">
        <f t="shared" si="167"/>
        <v>0</v>
      </c>
      <c r="M278">
        <f>IF('Исходные данные'!$B$51="Да",L278*N('Исходные данные'!$B$52),0)</f>
        <v>0</v>
      </c>
      <c r="N278">
        <f t="shared" si="168"/>
        <v>0</v>
      </c>
      <c r="O278">
        <f>IF(OR(B278="",IF('Исходные данные'!$B$45="",'Исходные данные'!$B$10,'Исходные данные'!$B$45)="",C278&lt;IF('Исходные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данные'!$B$45)),1),B278,"m")/12))*IF(AND(B278&lt;=IF('Исходные данные'!$B$45="",'Исходные данные'!$B$10,'Исходные данные'!$B$45),C278&gt;=IF('Исходные данные'!$B$45="",'Исходные данные'!$B$10,'Исходные данные'!$B$45)),(C278-IF('Исходные данные'!$B$45="",'Исходные данные'!$B$10,'Исходные данные'!$B$45)+1)/DAY(C278),1)*IF('Исходные данные'!$B$43="Без НДС",1+N('Исходные данные'!$B$44),1))</f>
        <v>0</v>
      </c>
      <c r="P278">
        <f>IF('Исходные данные'!$B$51="Да",-O278*N('Исходные данные'!$B$44)/(1+N('Исходные данные'!$B$44)),0)</f>
        <v>0</v>
      </c>
      <c r="Q278">
        <f>IF('Исходные данные'!$B$35="Да",-O278,0)</f>
        <v>0</v>
      </c>
      <c r="R278">
        <f>IF(AND('Исходные данные'!$B$51="Да",Q278&gt;0),Q278*N('Исходные данные'!$B$52)/(1+N('Исходные данные'!$B$52)),0)</f>
        <v>0</v>
      </c>
      <c r="S278">
        <f>IF(OR(B278="",IF('Исходные данные'!$B$45="",'Исходные данные'!$B$10,'Исходные данные'!$B$45)="",C278&lt;IF('Исходные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данные'!$B$45)),1),B278,"m")/12))*IF(AND(B278&lt;=IF('Исходные данные'!$B$45="",'Исходные данные'!$B$10,'Исходные данные'!$B$45),C278&gt;=IF('Исходные данные'!$B$45="",'Исходные данные'!$B$10,'Исходные данные'!$B$45)),(C278-IF('Исходные данные'!$B$45="",'Исходные данные'!$B$10,'Исходные данные'!$B$45)+1)/DAY(C278),1)*IF('Исходные данные'!$B$43="Без НДС",1+N('Исходные данные'!$B$44),1))</f>
        <v>0</v>
      </c>
      <c r="T278">
        <f>IF('Исходные данные'!$B$51="Да",-S278*N('Исходные данные'!$B$44)/(1+N('Исходные данные'!$B$44)),0)</f>
        <v>0</v>
      </c>
      <c r="U278">
        <f>IF('Исходные данные'!$B$36="Да",-S278,0)</f>
        <v>0</v>
      </c>
      <c r="V278">
        <f>IF(AND('Исходные данные'!$B$51="Да",U278&gt;0),U278*N('Исходные данные'!$B$52)/(1+N('Исходные данные'!$B$52)),0)</f>
        <v>0</v>
      </c>
      <c r="W278">
        <f>IF(OR(B278="",IF('Исходные данные'!$B$69="",'Исходные данные'!$B$10,'Исходные данные'!$B$69)="",C278&lt;IF('Исходные данные'!$B$69="",'Исходные данные'!$B$10,'Исходные данные'!$B$69)),0,-N('Исходные данные'!$B$16)*N('Исходные данные'!$B$68)*N('Исходные данные'!$B$67)/12*IF(AND(B278&lt;=IF('Исходные данные'!$B$69="",'Исходные данные'!$B$10,'Исходные данные'!$B$69),C278&gt;=IF('Исходные данные'!$B$69="",'Исходные данные'!$B$10,'Исходные данные'!$B$69)),(C278-IF('Исходные данные'!$B$69="",'Исходные данные'!$B$10,'Исходные данные'!$B$69)+1)/DAY(C278),1))</f>
        <v>0</v>
      </c>
      <c r="X278">
        <f>IF(OR(B278="",IF('Исходные данные'!$B$76="",'Исходные данные'!$B$10,'Исходные данные'!$B$76)="",C278&lt;IF('Исходные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данные'!$B$76)),1),B278,"m")/12))*IF(AND(B278&lt;=IF('Исходные данные'!$B$76="",'Исходные данные'!$B$10,'Исходные данные'!$B$76),C278&gt;=IF('Исходные данные'!$B$76="",'Исходные данные'!$B$10,'Исходные данные'!$B$76)),(C278-IF('Исходные данные'!$B$76="",'Исходные данные'!$B$10,'Исходные данные'!$B$76)+1)/DAY(C278),1))</f>
        <v>0</v>
      </c>
      <c r="Y278">
        <f t="shared" si="169"/>
        <v>0</v>
      </c>
      <c r="Z278">
        <f>IF(OR(B278="",N('Исходные данные'!$B$19)=0),0,-SUMIFS('Исходные данные'!$I$6:$I$186,'Исходные данные'!$F$6:$F$186,B278)*N('Исходные данные'!$B$17)/N('Исходные данные'!$B$19))</f>
        <v>0</v>
      </c>
      <c r="AA278">
        <f>IF(OR(B278="",N('Исходные данные'!$B$19)=0),0,-SUMIFS('Исходные данные'!$I$6:$I$186,'Исходные данные'!$F$6:$F$186,B278)*N('Исходные данные'!$B$18)/N('Исходные данные'!$B$19))</f>
        <v>0</v>
      </c>
      <c r="AB278">
        <f>IF(OR(B278="",'Исходные данные'!$B$13=""),0,IF(AND(YEAR(B278)=YEAR('Исходные данные'!$B$13),MONTH(B278)=MONTH('Исходные данные'!$B$13)),-N('Исходные данные'!$B$11),0))</f>
        <v>0</v>
      </c>
      <c r="AC278">
        <f>IF(A278=1,-N('Исходные данные'!$B$19)*N('Исходные данные'!$B$72),0)</f>
        <v>0</v>
      </c>
      <c r="AD278">
        <f>IF(OR(B278="",'Исходные данные'!$B$22&lt;&gt;"Да",'Исходные данные'!$B$26=""),0,IF(AND(YEAR(B278)=YEAR('Исходные данные'!$B$26),MONTH(B278)=MONTH('Исходные данные'!$B$26)),N('Исходные данные'!$B$23),0))</f>
        <v>0</v>
      </c>
      <c r="AE278">
        <f t="shared" si="152"/>
        <v>0</v>
      </c>
      <c r="AF278">
        <f>IF(OR('Исходные данные'!$B$22&lt;&gt;"Да",'Исходные данные'!$B$26="",C278&lt;'Исходные данные'!$B$26),0,DATEDIF(DATE(YEAR('Исходные данные'!$B$26),MONTH('Исходные данные'!$B$26),1),B278,"m")+1)</f>
        <v>0</v>
      </c>
      <c r="AG278">
        <f>IF(OR(AF278&lt;1,AF278&gt;N('Исходные данные'!$B$25),AE278+AD278&lt;=0),0,-(AE278+AD278)*N('Исходные данные'!$B$24)*IF(AF278=1,C278-'Исходные данные'!$B$26+1,DAY(C278))/365)</f>
        <v>0</v>
      </c>
      <c r="AH278">
        <f>IF(OR(AF278&lt;1,AF278&gt;N('Исходные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данные'!$B$25)-AG278))</f>
        <v>0</v>
      </c>
      <c r="AI278">
        <f>IF(OR('Исходные данные'!$B$22&lt;&gt;"Да",AE278+AD278&lt;=0),0,IF(AND('Исходные данные'!$B$91&lt;&gt;"",B278&lt;&gt;"",YEAR(B278)=YEAR('Исходные данные'!$B$91),MONTH(B278)=MONTH('Исходные данные'!$B$91)),-(AE278+AD278),IF(OR(AF278&lt;1,AF278&gt;N('Исходные данные'!$B$25)),0,IF('Исходные данные'!$B$27="Равными долями",-MIN(AE278+AD278,N('Исходные данные'!$B$23)/N('Исходные данные'!$B$25)),-MIN(AE278+AD278,IF(AF278=N('Исходные данные'!$B$25),AE278+AD278,MAX(0,AH278+AG278)))))))</f>
        <v>0</v>
      </c>
      <c r="AJ278">
        <f t="shared" si="170"/>
        <v>0</v>
      </c>
      <c r="AK278">
        <f t="shared" si="153"/>
        <v>0</v>
      </c>
      <c r="AL278">
        <f>IF(OR(B278="",'Исходные данные'!$B$51&lt;&gt;"Да",'Исходные данные'!$B$61=""),0,IF(AND(YEAR(B278)=YEAR('Исходные данные'!$B$61),MONTH(B278)=MONTH('Исходные данные'!$B$61)),N('Исходные данные'!$B$18)*N('Исходные данные'!$B$62),0))</f>
        <v>0</v>
      </c>
      <c r="AM278">
        <f t="shared" si="154"/>
        <v>0</v>
      </c>
      <c r="AN278">
        <f t="shared" si="155"/>
        <v>0</v>
      </c>
      <c r="AO278">
        <f t="shared" si="156"/>
        <v>0</v>
      </c>
      <c r="AP278">
        <f>IF('Исходные данные'!$B$51="Да",-MAX(0,AN278-AO278-AM278),0)</f>
        <v>0</v>
      </c>
      <c r="AQ278">
        <f>IF('Исходные данные'!$B$51="Да",MAX(0,AM278+AO278-AN278),0)</f>
        <v>0</v>
      </c>
      <c r="AR278">
        <f>IF('Исходные данные'!$B$53="Выручка",MAX(0,L278+(Q278-R278)+(U278-V278)),IF('Исходные данные'!$B$53="Прибыль до налога",MAX(0,L278+(Q278-R278)+(U278-V278)+N('Исходные данные'!$B$54)*((O278+P278)+(S278+T278)+W278+X278)+IF('Исходные данные'!$B$55="Да",AG278,0)-N('Исходные данные'!$B$56)/12),IF('Исходные данные'!$B$53="Пользовательская база",MAX(0,N('Исходные данные'!$B$57)/12),0)))</f>
        <v>0</v>
      </c>
      <c r="AS278">
        <f>IF(E278=1,-AR278*N('Исходные данные'!$B$50),0)</f>
        <v>0</v>
      </c>
      <c r="AT278">
        <f t="shared" si="157"/>
        <v>0</v>
      </c>
      <c r="AU278">
        <f>IF(OR(B278="",N('Исходные данные'!$B$80)&lt;=0,'Исходные данные'!$B$88=""),0,MAX(0,IF('Исходные данные'!$B$88="Последние 12 месяцев",SUMIFS($Y$2:$Y$194,$B$2:$B$194,"&gt;="&amp;EDATE(B278,-11),$B$2:$B$194,"&lt;="&amp;B278),IF('Исходные данные'!$B$88="Пользовательский NOI",N('Исходные данные'!$B$89),AT278))/N('Исходные данные'!$B$80)*(1+N('Исходные данные'!$B$81))))</f>
        <v>0</v>
      </c>
      <c r="AV278">
        <f>IF(OR(E278&lt;&gt;1,B278="",'Исходные данные'!$B$91=""),0,IF(AND(YEAR(B278)=YEAR('Исходные данные'!$B$91),MONTH(B278)=MONTH('Исходные данные'!$B$91)),AU278,0))</f>
        <v>0</v>
      </c>
      <c r="AW278">
        <f>-AV278*N('Исходные данные'!$B$73)</f>
        <v>0</v>
      </c>
      <c r="AX278">
        <f>IF(AV278=0,0,-N('Исходные данные'!$B$87)-IF('Исходные данные'!$B$82="Да",IF('Исходные данные'!$B$84="С выручки",AV278,IF('Исходные данные'!$B$84="С прибыли",MAX(0,AV278+AW278-IF('Исходные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78">
        <f t="shared" si="171"/>
        <v>0</v>
      </c>
      <c r="AZ278">
        <f t="shared" si="158"/>
        <v>0</v>
      </c>
      <c r="BA278">
        <f t="shared" si="172"/>
        <v>0</v>
      </c>
      <c r="BB278" t="str">
        <f t="shared" si="159"/>
        <v/>
      </c>
      <c r="BC278">
        <f>IF(OR(E278=0,'Исходные данные'!$B$9="",'Исходные данные'!$B$90=""),0,BA278/(1+'Исходные данные'!$B$90)^((D278-'Исходные данные'!$B$9)/365))</f>
        <v>0</v>
      </c>
      <c r="BD278">
        <f>IF(AND(E278=1,BB278&gt;=0,BB277&lt;0,MIN($BB$2:BB278)&lt;0),1,0)</f>
        <v>0</v>
      </c>
      <c r="BE278">
        <f t="shared" si="160"/>
        <v>0</v>
      </c>
      <c r="BF278">
        <f t="shared" si="161"/>
        <v>0</v>
      </c>
      <c r="BG278">
        <f t="shared" si="162"/>
        <v>0</v>
      </c>
      <c r="BH278">
        <f t="shared" si="163"/>
        <v>1</v>
      </c>
      <c r="BI278">
        <f>AZ278+N278+AP278-AR278*N('Исходные данные'!$B$50)</f>
        <v>0</v>
      </c>
      <c r="BJ278">
        <f t="shared" si="164"/>
        <v>0</v>
      </c>
      <c r="BK278">
        <f>IF(AND(BJ278&gt;=0,BJ277&lt;0,MIN($BJ$2:BJ278)&lt;0),1,0)</f>
        <v>0</v>
      </c>
    </row>
    <row r="279" spans="1:63" x14ac:dyDescent="0.2">
      <c r="A279">
        <v>278</v>
      </c>
      <c r="B279" t="str">
        <f>IF('Исходные данные'!$B$9="","",EDATE(DATE(YEAR('Исходные данные'!$B$9),MONTH('Исходные данные'!$B$9),1),A279-1))</f>
        <v/>
      </c>
      <c r="C279" t="str">
        <f t="shared" si="165"/>
        <v/>
      </c>
      <c r="D279" t="str">
        <f>IF(B279="","",IF('Исходные данные'!$B$91&lt;&gt;"",IF(AND(YEAR(B279)=YEAR('Исходные данные'!$B$91),MONTH(B279)=MONTH('Исходные данные'!$B$91)),'Исходные данные'!$B$91,IF('Исходные данные'!$B$13&lt;&gt;"",IF(AND(YEAR(B279)=YEAR('Исходные данные'!$B$13),MONTH(B279)=MONTH('Исходные данные'!$B$13)),'Исходные данные'!$B$13,IF('Исходные данные'!$B$26&lt;&gt;"",IF(AND(YEAR(B279)=YEAR('Исходные данные'!$B$26),MONTH(B279)=MONTH('Исходные данные'!$B$26)),'Исходные данные'!$B$26,IF(A279=1,'Исходные данные'!$B$9,C279)),IF(A279=1,'Исходные данные'!$B$9,C279))),IF('Исходные данные'!$B$26&lt;&gt;"",IF(AND(YEAR(B279)=YEAR('Исходные данные'!$B$26),MONTH(B279)=MONTH('Исходные данные'!$B$26)),'Исходные данные'!$B$26,IF(A279=1,'Исходные данные'!$B$9,C279)),IF(A279=1,'Исходные данные'!$B$9,C279)))),IF('Исходные данные'!$B$13&lt;&gt;"",IF(AND(YEAR(B279)=YEAR('Исходные данные'!$B$13),MONTH(B279)=MONTH('Исходные данные'!$B$13)),'Исходные данные'!$B$13,IF('Исходные данные'!$B$26&lt;&gt;"",IF(AND(YEAR(B279)=YEAR('Исходные данные'!$B$26),MONTH(B279)=MONTH('Исходные данные'!$B$26)),'Исходные данные'!$B$26,IF(A279=1,'Исходные данные'!$B$9,C279)),IF(A279=1,'Исходные данные'!$B$9,C279))),IF('Исходные данные'!$B$26&lt;&gt;"",IF(AND(YEAR(B279)=YEAR('Исходные данные'!$B$26),MONTH(B279)=MONTH('Исходные данные'!$B$26)),'Исходные данные'!$B$26,IF(A279=1,'Исходные данные'!$B$9,C279)),IF(A279=1,'Исходные данные'!$B$9,C279)))))</f>
        <v/>
      </c>
      <c r="E279">
        <f>IF(OR(B279="",'Исходные данные'!$B$91=""),0,--(B279&lt;=DATE(YEAR('Исходные данные'!$B$91),MONTH('Исходные данные'!$B$91),1)))</f>
        <v>0</v>
      </c>
      <c r="F279">
        <f>IF(OR(B279="",'Исходные данные'!$B$30="",C279&lt;'Исходные данные'!$B$30),0,DATEDIF(DATE(YEAR('Исходные данные'!$B$30),MONTH('Исходные данные'!$B$30),1),B279,"m")+1)</f>
        <v>0</v>
      </c>
      <c r="G279">
        <f t="shared" si="166"/>
        <v>0</v>
      </c>
      <c r="H279">
        <f>IF(F279=0,0,IF(G279=1,N('Исходные данные'!$B$31),IF(G279=2,N('Исходные данные'!$B$32),IF(G279=3,N('Исходные данные'!$B$33),N('Исходные данные'!$B$33)*(1+N('Исходные данные'!$B$34))^(G279-3)))))</f>
        <v>0</v>
      </c>
      <c r="I279">
        <f>IF(OR(F279=0,N('Исходные данные'!$B$5)=0,H279=0),0,'Исходные данные'!$B$5*H279*IF(AND(B279&lt;='Исходные данные'!$B$30,C279&gt;='Исходные данные'!$B$30),(C279-'Исходные данные'!$B$30+1)/DAY(C279),1))</f>
        <v>0</v>
      </c>
      <c r="J279">
        <f>IF(AND(F279&gt;0,F279&lt;=N('Исходные данные'!$B$37)),-I279,0)</f>
        <v>0</v>
      </c>
      <c r="K279">
        <f>IF(OR(F279=0,F279&lt;=N('Исходные данные'!$B$37)),0,-(I279+J279)*N('Исходные данные'!$B$38))</f>
        <v>0</v>
      </c>
      <c r="L279">
        <f t="shared" si="167"/>
        <v>0</v>
      </c>
      <c r="M279">
        <f>IF('Исходные данные'!$B$51="Да",L279*N('Исходные данные'!$B$52),0)</f>
        <v>0</v>
      </c>
      <c r="N279">
        <f t="shared" si="168"/>
        <v>0</v>
      </c>
      <c r="O279">
        <f>IF(OR(B279="",IF('Исходные данные'!$B$45="",'Исходные данные'!$B$10,'Исходные данные'!$B$45)="",C279&lt;IF('Исходные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данные'!$B$45)),1),B279,"m")/12))*IF(AND(B279&lt;=IF('Исходные данные'!$B$45="",'Исходные данные'!$B$10,'Исходные данные'!$B$45),C279&gt;=IF('Исходные данные'!$B$45="",'Исходные данные'!$B$10,'Исходные данные'!$B$45)),(C279-IF('Исходные данные'!$B$45="",'Исходные данные'!$B$10,'Исходные данные'!$B$45)+1)/DAY(C279),1)*IF('Исходные данные'!$B$43="Без НДС",1+N('Исходные данные'!$B$44),1))</f>
        <v>0</v>
      </c>
      <c r="P279">
        <f>IF('Исходные данные'!$B$51="Да",-O279*N('Исходные данные'!$B$44)/(1+N('Исходные данные'!$B$44)),0)</f>
        <v>0</v>
      </c>
      <c r="Q279">
        <f>IF('Исходные данные'!$B$35="Да",-O279,0)</f>
        <v>0</v>
      </c>
      <c r="R279">
        <f>IF(AND('Исходные данные'!$B$51="Да",Q279&gt;0),Q279*N('Исходные данные'!$B$52)/(1+N('Исходные данные'!$B$52)),0)</f>
        <v>0</v>
      </c>
      <c r="S279">
        <f>IF(OR(B279="",IF('Исходные данные'!$B$45="",'Исходные данные'!$B$10,'Исходные данные'!$B$45)="",C279&lt;IF('Исходные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данные'!$B$45)),1),B279,"m")/12))*IF(AND(B279&lt;=IF('Исходные данные'!$B$45="",'Исходные данные'!$B$10,'Исходные данные'!$B$45),C279&gt;=IF('Исходные данные'!$B$45="",'Исходные данные'!$B$10,'Исходные данные'!$B$45)),(C279-IF('Исходные данные'!$B$45="",'Исходные данные'!$B$10,'Исходные данные'!$B$45)+1)/DAY(C279),1)*IF('Исходные данные'!$B$43="Без НДС",1+N('Исходные данные'!$B$44),1))</f>
        <v>0</v>
      </c>
      <c r="T279">
        <f>IF('Исходные данные'!$B$51="Да",-S279*N('Исходные данные'!$B$44)/(1+N('Исходные данные'!$B$44)),0)</f>
        <v>0</v>
      </c>
      <c r="U279">
        <f>IF('Исходные данные'!$B$36="Да",-S279,0)</f>
        <v>0</v>
      </c>
      <c r="V279">
        <f>IF(AND('Исходные данные'!$B$51="Да",U279&gt;0),U279*N('Исходные данные'!$B$52)/(1+N('Исходные данные'!$B$52)),0)</f>
        <v>0</v>
      </c>
      <c r="W279">
        <f>IF(OR(B279="",IF('Исходные данные'!$B$69="",'Исходные данные'!$B$10,'Исходные данные'!$B$69)="",C279&lt;IF('Исходные данные'!$B$69="",'Исходные данные'!$B$10,'Исходные данные'!$B$69)),0,-N('Исходные данные'!$B$16)*N('Исходные данные'!$B$68)*N('Исходные данные'!$B$67)/12*IF(AND(B279&lt;=IF('Исходные данные'!$B$69="",'Исходные данные'!$B$10,'Исходные данные'!$B$69),C279&gt;=IF('Исходные данные'!$B$69="",'Исходные данные'!$B$10,'Исходные данные'!$B$69)),(C279-IF('Исходные данные'!$B$69="",'Исходные данные'!$B$10,'Исходные данные'!$B$69)+1)/DAY(C279),1))</f>
        <v>0</v>
      </c>
      <c r="X279">
        <f>IF(OR(B279="",IF('Исходные данные'!$B$76="",'Исходные данные'!$B$10,'Исходные данные'!$B$76)="",C279&lt;IF('Исходные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данные'!$B$76)),1),B279,"m")/12))*IF(AND(B279&lt;=IF('Исходные данные'!$B$76="",'Исходные данные'!$B$10,'Исходные данные'!$B$76),C279&gt;=IF('Исходные данные'!$B$76="",'Исходные данные'!$B$10,'Исходные данные'!$B$76)),(C279-IF('Исходные данные'!$B$76="",'Исходные данные'!$B$10,'Исходные данные'!$B$76)+1)/DAY(C279),1))</f>
        <v>0</v>
      </c>
      <c r="Y279">
        <f t="shared" si="169"/>
        <v>0</v>
      </c>
      <c r="Z279">
        <f>IF(OR(B279="",N('Исходные данные'!$B$19)=0),0,-SUMIFS('Исходные данные'!$I$6:$I$186,'Исходные данные'!$F$6:$F$186,B279)*N('Исходные данные'!$B$17)/N('Исходные данные'!$B$19))</f>
        <v>0</v>
      </c>
      <c r="AA279">
        <f>IF(OR(B279="",N('Исходные данные'!$B$19)=0),0,-SUMIFS('Исходные данные'!$I$6:$I$186,'Исходные данные'!$F$6:$F$186,B279)*N('Исходные данные'!$B$18)/N('Исходные данные'!$B$19))</f>
        <v>0</v>
      </c>
      <c r="AB279">
        <f>IF(OR(B279="",'Исходные данные'!$B$13=""),0,IF(AND(YEAR(B279)=YEAR('Исходные данные'!$B$13),MONTH(B279)=MONTH('Исходные данные'!$B$13)),-N('Исходные данные'!$B$11),0))</f>
        <v>0</v>
      </c>
      <c r="AC279">
        <f>IF(A279=1,-N('Исходные данные'!$B$19)*N('Исходные данные'!$B$72),0)</f>
        <v>0</v>
      </c>
      <c r="AD279">
        <f>IF(OR(B279="",'Исходные данные'!$B$22&lt;&gt;"Да",'Исходные данные'!$B$26=""),0,IF(AND(YEAR(B279)=YEAR('Исходные данные'!$B$26),MONTH(B279)=MONTH('Исходные данные'!$B$26)),N('Исходные данные'!$B$23),0))</f>
        <v>0</v>
      </c>
      <c r="AE279">
        <f t="shared" si="152"/>
        <v>0</v>
      </c>
      <c r="AF279">
        <f>IF(OR('Исходные данные'!$B$22&lt;&gt;"Да",'Исходные данные'!$B$26="",C279&lt;'Исходные данные'!$B$26),0,DATEDIF(DATE(YEAR('Исходные данные'!$B$26),MONTH('Исходные данные'!$B$26),1),B279,"m")+1)</f>
        <v>0</v>
      </c>
      <c r="AG279">
        <f>IF(OR(AF279&lt;1,AF279&gt;N('Исходные данные'!$B$25),AE279+AD279&lt;=0),0,-(AE279+AD279)*N('Исходные данные'!$B$24)*IF(AF279=1,C279-'Исходные данные'!$B$26+1,DAY(C279))/365)</f>
        <v>0</v>
      </c>
      <c r="AH279">
        <f>IF(OR(AF279&lt;1,AF279&gt;N('Исходные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данные'!$B$25)-AG279))</f>
        <v>0</v>
      </c>
      <c r="AI279">
        <f>IF(OR('Исходные данные'!$B$22&lt;&gt;"Да",AE279+AD279&lt;=0),0,IF(AND('Исходные данные'!$B$91&lt;&gt;"",B279&lt;&gt;"",YEAR(B279)=YEAR('Исходные данные'!$B$91),MONTH(B279)=MONTH('Исходные данные'!$B$91)),-(AE279+AD279),IF(OR(AF279&lt;1,AF279&gt;N('Исходные данные'!$B$25)),0,IF('Исходные данные'!$B$27="Равными долями",-MIN(AE279+AD279,N('Исходные данные'!$B$23)/N('Исходные данные'!$B$25)),-MIN(AE279+AD279,IF(AF279=N('Исходные данные'!$B$25),AE279+AD279,MAX(0,AH279+AG279)))))))</f>
        <v>0</v>
      </c>
      <c r="AJ279">
        <f t="shared" si="170"/>
        <v>0</v>
      </c>
      <c r="AK279">
        <f t="shared" si="153"/>
        <v>0</v>
      </c>
      <c r="AL279">
        <f>IF(OR(B279="",'Исходные данные'!$B$51&lt;&gt;"Да",'Исходные данные'!$B$61=""),0,IF(AND(YEAR(B279)=YEAR('Исходные данные'!$B$61),MONTH(B279)=MONTH('Исходные данные'!$B$61)),N('Исходные данные'!$B$18)*N('Исходные данные'!$B$62),0))</f>
        <v>0</v>
      </c>
      <c r="AM279">
        <f t="shared" si="154"/>
        <v>0</v>
      </c>
      <c r="AN279">
        <f t="shared" si="155"/>
        <v>0</v>
      </c>
      <c r="AO279">
        <f t="shared" si="156"/>
        <v>0</v>
      </c>
      <c r="AP279">
        <f>IF('Исходные данные'!$B$51="Да",-MAX(0,AN279-AO279-AM279),0)</f>
        <v>0</v>
      </c>
      <c r="AQ279">
        <f>IF('Исходные данные'!$B$51="Да",MAX(0,AM279+AO279-AN279),0)</f>
        <v>0</v>
      </c>
      <c r="AR279">
        <f>IF('Исходные данные'!$B$53="Выручка",MAX(0,L279+(Q279-R279)+(U279-V279)),IF('Исходные данные'!$B$53="Прибыль до налога",MAX(0,L279+(Q279-R279)+(U279-V279)+N('Исходные данные'!$B$54)*((O279+P279)+(S279+T279)+W279+X279)+IF('Исходные данные'!$B$55="Да",AG279,0)-N('Исходные данные'!$B$56)/12),IF('Исходные данные'!$B$53="Пользовательская база",MAX(0,N('Исходные данные'!$B$57)/12),0)))</f>
        <v>0</v>
      </c>
      <c r="AS279">
        <f>IF(E279=1,-AR279*N('Исходные данные'!$B$50),0)</f>
        <v>0</v>
      </c>
      <c r="AT279">
        <f t="shared" si="157"/>
        <v>0</v>
      </c>
      <c r="AU279">
        <f>IF(OR(B279="",N('Исходные данные'!$B$80)&lt;=0,'Исходные данные'!$B$88=""),0,MAX(0,IF('Исходные данные'!$B$88="Последние 12 месяцев",SUMIFS($Y$2:$Y$194,$B$2:$B$194,"&gt;="&amp;EDATE(B279,-11),$B$2:$B$194,"&lt;="&amp;B279),IF('Исходные данные'!$B$88="Пользовательский NOI",N('Исходные данные'!$B$89),AT279))/N('Исходные данные'!$B$80)*(1+N('Исходные данные'!$B$81))))</f>
        <v>0</v>
      </c>
      <c r="AV279">
        <f>IF(OR(E279&lt;&gt;1,B279="",'Исходные данные'!$B$91=""),0,IF(AND(YEAR(B279)=YEAR('Исходные данные'!$B$91),MONTH(B279)=MONTH('Исходные данные'!$B$91)),AU279,0))</f>
        <v>0</v>
      </c>
      <c r="AW279">
        <f>-AV279*N('Исходные данные'!$B$73)</f>
        <v>0</v>
      </c>
      <c r="AX279">
        <f>IF(AV279=0,0,-N('Исходные данные'!$B$87)-IF('Исходные данные'!$B$82="Да",IF('Исходные данные'!$B$84="С выручки",AV279,IF('Исходные данные'!$B$84="С прибыли",MAX(0,AV279+AW279-IF('Исходные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79">
        <f t="shared" si="171"/>
        <v>0</v>
      </c>
      <c r="AZ279">
        <f t="shared" si="158"/>
        <v>0</v>
      </c>
      <c r="BA279">
        <f t="shared" si="172"/>
        <v>0</v>
      </c>
      <c r="BB279" t="str">
        <f t="shared" si="159"/>
        <v/>
      </c>
      <c r="BC279">
        <f>IF(OR(E279=0,'Исходные данные'!$B$9="",'Исходные данные'!$B$90=""),0,BA279/(1+'Исходные данные'!$B$90)^((D279-'Исходные данные'!$B$9)/365))</f>
        <v>0</v>
      </c>
      <c r="BD279">
        <f>IF(AND(E279=1,BB279&gt;=0,BB278&lt;0,MIN($BB$2:BB279)&lt;0),1,0)</f>
        <v>0</v>
      </c>
      <c r="BE279">
        <f t="shared" si="160"/>
        <v>0</v>
      </c>
      <c r="BF279">
        <f t="shared" si="161"/>
        <v>0</v>
      </c>
      <c r="BG279">
        <f t="shared" si="162"/>
        <v>0</v>
      </c>
      <c r="BH279">
        <f t="shared" si="163"/>
        <v>1</v>
      </c>
      <c r="BI279">
        <f>AZ279+N279+AP279-AR279*N('Исходные данные'!$B$50)</f>
        <v>0</v>
      </c>
      <c r="BJ279">
        <f t="shared" si="164"/>
        <v>0</v>
      </c>
      <c r="BK279">
        <f>IF(AND(BJ279&gt;=0,BJ278&lt;0,MIN($BJ$2:BJ279)&lt;0),1,0)</f>
        <v>0</v>
      </c>
    </row>
    <row r="280" spans="1:63" x14ac:dyDescent="0.2">
      <c r="A280">
        <v>279</v>
      </c>
      <c r="B280" t="str">
        <f>IF('Исходные данные'!$B$9="","",EDATE(DATE(YEAR('Исходные данные'!$B$9),MONTH('Исходные данные'!$B$9),1),A280-1))</f>
        <v/>
      </c>
      <c r="C280" t="str">
        <f t="shared" si="165"/>
        <v/>
      </c>
      <c r="D280" t="str">
        <f>IF(B280="","",IF('Исходные данные'!$B$91&lt;&gt;"",IF(AND(YEAR(B280)=YEAR('Исходные данные'!$B$91),MONTH(B280)=MONTH('Исходные данные'!$B$91)),'Исходные данные'!$B$91,IF('Исходные данные'!$B$13&lt;&gt;"",IF(AND(YEAR(B280)=YEAR('Исходные данные'!$B$13),MONTH(B280)=MONTH('Исходные данные'!$B$13)),'Исходные данные'!$B$13,IF('Исходные данные'!$B$26&lt;&gt;"",IF(AND(YEAR(B280)=YEAR('Исходные данные'!$B$26),MONTH(B280)=MONTH('Исходные данные'!$B$26)),'Исходные данные'!$B$26,IF(A280=1,'Исходные данные'!$B$9,C280)),IF(A280=1,'Исходные данные'!$B$9,C280))),IF('Исходные данные'!$B$26&lt;&gt;"",IF(AND(YEAR(B280)=YEAR('Исходные данные'!$B$26),MONTH(B280)=MONTH('Исходные данные'!$B$26)),'Исходные данные'!$B$26,IF(A280=1,'Исходные данные'!$B$9,C280)),IF(A280=1,'Исходные данные'!$B$9,C280)))),IF('Исходные данные'!$B$13&lt;&gt;"",IF(AND(YEAR(B280)=YEAR('Исходные данные'!$B$13),MONTH(B280)=MONTH('Исходные данные'!$B$13)),'Исходные данные'!$B$13,IF('Исходные данные'!$B$26&lt;&gt;"",IF(AND(YEAR(B280)=YEAR('Исходные данные'!$B$26),MONTH(B280)=MONTH('Исходные данные'!$B$26)),'Исходные данные'!$B$26,IF(A280=1,'Исходные данные'!$B$9,C280)),IF(A280=1,'Исходные данные'!$B$9,C280))),IF('Исходные данные'!$B$26&lt;&gt;"",IF(AND(YEAR(B280)=YEAR('Исходные данные'!$B$26),MONTH(B280)=MONTH('Исходные данные'!$B$26)),'Исходные данные'!$B$26,IF(A280=1,'Исходные данные'!$B$9,C280)),IF(A280=1,'Исходные данные'!$B$9,C280)))))</f>
        <v/>
      </c>
      <c r="E280">
        <f>IF(OR(B280="",'Исходные данные'!$B$91=""),0,--(B280&lt;=DATE(YEAR('Исходные данные'!$B$91),MONTH('Исходные данные'!$B$91),1)))</f>
        <v>0</v>
      </c>
      <c r="F280">
        <f>IF(OR(B280="",'Исходные данные'!$B$30="",C280&lt;'Исходные данные'!$B$30),0,DATEDIF(DATE(YEAR('Исходные данные'!$B$30),MONTH('Исходные данные'!$B$30),1),B280,"m")+1)</f>
        <v>0</v>
      </c>
      <c r="G280">
        <f t="shared" si="166"/>
        <v>0</v>
      </c>
      <c r="H280">
        <f>IF(F280=0,0,IF(G280=1,N('Исходные данные'!$B$31),IF(G280=2,N('Исходные данные'!$B$32),IF(G280=3,N('Исходные данные'!$B$33),N('Исходные данные'!$B$33)*(1+N('Исходные данные'!$B$34))^(G280-3)))))</f>
        <v>0</v>
      </c>
      <c r="I280">
        <f>IF(OR(F280=0,N('Исходные данные'!$B$5)=0,H280=0),0,'Исходные данные'!$B$5*H280*IF(AND(B280&lt;='Исходные данные'!$B$30,C280&gt;='Исходные данные'!$B$30),(C280-'Исходные данные'!$B$30+1)/DAY(C280),1))</f>
        <v>0</v>
      </c>
      <c r="J280">
        <f>IF(AND(F280&gt;0,F280&lt;=N('Исходные данные'!$B$37)),-I280,0)</f>
        <v>0</v>
      </c>
      <c r="K280">
        <f>IF(OR(F280=0,F280&lt;=N('Исходные данные'!$B$37)),0,-(I280+J280)*N('Исходные данные'!$B$38))</f>
        <v>0</v>
      </c>
      <c r="L280">
        <f t="shared" si="167"/>
        <v>0</v>
      </c>
      <c r="M280">
        <f>IF('Исходные данные'!$B$51="Да",L280*N('Исходные данные'!$B$52),0)</f>
        <v>0</v>
      </c>
      <c r="N280">
        <f t="shared" si="168"/>
        <v>0</v>
      </c>
      <c r="O280">
        <f>IF(OR(B280="",IF('Исходные данные'!$B$45="",'Исходные данные'!$B$10,'Исходные данные'!$B$45)="",C280&lt;IF('Исходные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данные'!$B$45)),1),B280,"m")/12))*IF(AND(B280&lt;=IF('Исходные данные'!$B$45="",'Исходные данные'!$B$10,'Исходные данные'!$B$45),C280&gt;=IF('Исходные данные'!$B$45="",'Исходные данные'!$B$10,'Исходные данные'!$B$45)),(C280-IF('Исходные данные'!$B$45="",'Исходные данные'!$B$10,'Исходные данные'!$B$45)+1)/DAY(C280),1)*IF('Исходные данные'!$B$43="Без НДС",1+N('Исходные данные'!$B$44),1))</f>
        <v>0</v>
      </c>
      <c r="P280">
        <f>IF('Исходные данные'!$B$51="Да",-O280*N('Исходные данные'!$B$44)/(1+N('Исходные данные'!$B$44)),0)</f>
        <v>0</v>
      </c>
      <c r="Q280">
        <f>IF('Исходные данные'!$B$35="Да",-O280,0)</f>
        <v>0</v>
      </c>
      <c r="R280">
        <f>IF(AND('Исходные данные'!$B$51="Да",Q280&gt;0),Q280*N('Исходные данные'!$B$52)/(1+N('Исходные данные'!$B$52)),0)</f>
        <v>0</v>
      </c>
      <c r="S280">
        <f>IF(OR(B280="",IF('Исходные данные'!$B$45="",'Исходные данные'!$B$10,'Исходные данные'!$B$45)="",C280&lt;IF('Исходные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данные'!$B$45)),1),B280,"m")/12))*IF(AND(B280&lt;=IF('Исходные данные'!$B$45="",'Исходные данные'!$B$10,'Исходные данные'!$B$45),C280&gt;=IF('Исходные данные'!$B$45="",'Исходные данные'!$B$10,'Исходные данные'!$B$45)),(C280-IF('Исходные данные'!$B$45="",'Исходные данные'!$B$10,'Исходные данные'!$B$45)+1)/DAY(C280),1)*IF('Исходные данные'!$B$43="Без НДС",1+N('Исходные данные'!$B$44),1))</f>
        <v>0</v>
      </c>
      <c r="T280">
        <f>IF('Исходные данные'!$B$51="Да",-S280*N('Исходные данные'!$B$44)/(1+N('Исходные данные'!$B$44)),0)</f>
        <v>0</v>
      </c>
      <c r="U280">
        <f>IF('Исходные данные'!$B$36="Да",-S280,0)</f>
        <v>0</v>
      </c>
      <c r="V280">
        <f>IF(AND('Исходные данные'!$B$51="Да",U280&gt;0),U280*N('Исходные данные'!$B$52)/(1+N('Исходные данные'!$B$52)),0)</f>
        <v>0</v>
      </c>
      <c r="W280">
        <f>IF(OR(B280="",IF('Исходные данные'!$B$69="",'Исходные данные'!$B$10,'Исходные данные'!$B$69)="",C280&lt;IF('Исходные данные'!$B$69="",'Исходные данные'!$B$10,'Исходные данные'!$B$69)),0,-N('Исходные данные'!$B$16)*N('Исходные данные'!$B$68)*N('Исходные данные'!$B$67)/12*IF(AND(B280&lt;=IF('Исходные данные'!$B$69="",'Исходные данные'!$B$10,'Исходные данные'!$B$69),C280&gt;=IF('Исходные данные'!$B$69="",'Исходные данные'!$B$10,'Исходные данные'!$B$69)),(C280-IF('Исходные данные'!$B$69="",'Исходные данные'!$B$10,'Исходные данные'!$B$69)+1)/DAY(C280),1))</f>
        <v>0</v>
      </c>
      <c r="X280">
        <f>IF(OR(B280="",IF('Исходные данные'!$B$76="",'Исходные данные'!$B$10,'Исходные данные'!$B$76)="",C280&lt;IF('Исходные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данные'!$B$76)),1),B280,"m")/12))*IF(AND(B280&lt;=IF('Исходные данные'!$B$76="",'Исходные данные'!$B$10,'Исходные данные'!$B$76),C280&gt;=IF('Исходные данные'!$B$76="",'Исходные данные'!$B$10,'Исходные данные'!$B$76)),(C280-IF('Исходные данные'!$B$76="",'Исходные данные'!$B$10,'Исходные данные'!$B$76)+1)/DAY(C280),1))</f>
        <v>0</v>
      </c>
      <c r="Y280">
        <f t="shared" si="169"/>
        <v>0</v>
      </c>
      <c r="Z280">
        <f>IF(OR(B280="",N('Исходные данные'!$B$19)=0),0,-SUMIFS('Исходные данные'!$I$6:$I$186,'Исходные данные'!$F$6:$F$186,B280)*N('Исходные данные'!$B$17)/N('Исходные данные'!$B$19))</f>
        <v>0</v>
      </c>
      <c r="AA280">
        <f>IF(OR(B280="",N('Исходные данные'!$B$19)=0),0,-SUMIFS('Исходные данные'!$I$6:$I$186,'Исходные данные'!$F$6:$F$186,B280)*N('Исходные данные'!$B$18)/N('Исходные данные'!$B$19))</f>
        <v>0</v>
      </c>
      <c r="AB280">
        <f>IF(OR(B280="",'Исходные данные'!$B$13=""),0,IF(AND(YEAR(B280)=YEAR('Исходные данные'!$B$13),MONTH(B280)=MONTH('Исходные данные'!$B$13)),-N('Исходные данные'!$B$11),0))</f>
        <v>0</v>
      </c>
      <c r="AC280">
        <f>IF(A280=1,-N('Исходные данные'!$B$19)*N('Исходные данные'!$B$72),0)</f>
        <v>0</v>
      </c>
      <c r="AD280">
        <f>IF(OR(B280="",'Исходные данные'!$B$22&lt;&gt;"Да",'Исходные данные'!$B$26=""),0,IF(AND(YEAR(B280)=YEAR('Исходные данные'!$B$26),MONTH(B280)=MONTH('Исходные данные'!$B$26)),N('Исходные данные'!$B$23),0))</f>
        <v>0</v>
      </c>
      <c r="AE280">
        <f t="shared" si="152"/>
        <v>0</v>
      </c>
      <c r="AF280">
        <f>IF(OR('Исходные данные'!$B$22&lt;&gt;"Да",'Исходные данные'!$B$26="",C280&lt;'Исходные данные'!$B$26),0,DATEDIF(DATE(YEAR('Исходные данные'!$B$26),MONTH('Исходные данные'!$B$26),1),B280,"m")+1)</f>
        <v>0</v>
      </c>
      <c r="AG280">
        <f>IF(OR(AF280&lt;1,AF280&gt;N('Исходные данные'!$B$25),AE280+AD280&lt;=0),0,-(AE280+AD280)*N('Исходные данные'!$B$24)*IF(AF280=1,C280-'Исходные данные'!$B$26+1,DAY(C280))/365)</f>
        <v>0</v>
      </c>
      <c r="AH280">
        <f>IF(OR(AF280&lt;1,AF280&gt;N('Исходные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данные'!$B$25)-AG280))</f>
        <v>0</v>
      </c>
      <c r="AI280">
        <f>IF(OR('Исходные данные'!$B$22&lt;&gt;"Да",AE280+AD280&lt;=0),0,IF(AND('Исходные данные'!$B$91&lt;&gt;"",B280&lt;&gt;"",YEAR(B280)=YEAR('Исходные данные'!$B$91),MONTH(B280)=MONTH('Исходные данные'!$B$91)),-(AE280+AD280),IF(OR(AF280&lt;1,AF280&gt;N('Исходные данные'!$B$25)),0,IF('Исходные данные'!$B$27="Равными долями",-MIN(AE280+AD280,N('Исходные данные'!$B$23)/N('Исходные данные'!$B$25)),-MIN(AE280+AD280,IF(AF280=N('Исходные данные'!$B$25),AE280+AD280,MAX(0,AH280+AG280)))))))</f>
        <v>0</v>
      </c>
      <c r="AJ280">
        <f t="shared" si="170"/>
        <v>0</v>
      </c>
      <c r="AK280">
        <f t="shared" si="153"/>
        <v>0</v>
      </c>
      <c r="AL280">
        <f>IF(OR(B280="",'Исходные данные'!$B$51&lt;&gt;"Да",'Исходные данные'!$B$61=""),0,IF(AND(YEAR(B280)=YEAR('Исходные данные'!$B$61),MONTH(B280)=MONTH('Исходные данные'!$B$61)),N('Исходные данные'!$B$18)*N('Исходные данные'!$B$62),0))</f>
        <v>0</v>
      </c>
      <c r="AM280">
        <f t="shared" si="154"/>
        <v>0</v>
      </c>
      <c r="AN280">
        <f t="shared" si="155"/>
        <v>0</v>
      </c>
      <c r="AO280">
        <f t="shared" si="156"/>
        <v>0</v>
      </c>
      <c r="AP280">
        <f>IF('Исходные данные'!$B$51="Да",-MAX(0,AN280-AO280-AM280),0)</f>
        <v>0</v>
      </c>
      <c r="AQ280">
        <f>IF('Исходные данные'!$B$51="Да",MAX(0,AM280+AO280-AN280),0)</f>
        <v>0</v>
      </c>
      <c r="AR280">
        <f>IF('Исходные данные'!$B$53="Выручка",MAX(0,L280+(Q280-R280)+(U280-V280)),IF('Исходные данные'!$B$53="Прибыль до налога",MAX(0,L280+(Q280-R280)+(U280-V280)+N('Исходные данные'!$B$54)*((O280+P280)+(S280+T280)+W280+X280)+IF('Исходные данные'!$B$55="Да",AG280,0)-N('Исходные данные'!$B$56)/12),IF('Исходные данные'!$B$53="Пользовательская база",MAX(0,N('Исходные данные'!$B$57)/12),0)))</f>
        <v>0</v>
      </c>
      <c r="AS280">
        <f>IF(E280=1,-AR280*N('Исходные данные'!$B$50),0)</f>
        <v>0</v>
      </c>
      <c r="AT280">
        <f t="shared" si="157"/>
        <v>0</v>
      </c>
      <c r="AU280">
        <f>IF(OR(B280="",N('Исходные данные'!$B$80)&lt;=0,'Исходные данные'!$B$88=""),0,MAX(0,IF('Исходные данные'!$B$88="Последние 12 месяцев",SUMIFS($Y$2:$Y$194,$B$2:$B$194,"&gt;="&amp;EDATE(B280,-11),$B$2:$B$194,"&lt;="&amp;B280),IF('Исходные данные'!$B$88="Пользовательский NOI",N('Исходные данные'!$B$89),AT280))/N('Исходные данные'!$B$80)*(1+N('Исходные данные'!$B$81))))</f>
        <v>0</v>
      </c>
      <c r="AV280">
        <f>IF(OR(E280&lt;&gt;1,B280="",'Исходные данные'!$B$91=""),0,IF(AND(YEAR(B280)=YEAR('Исходные данные'!$B$91),MONTH(B280)=MONTH('Исходные данные'!$B$91)),AU280,0))</f>
        <v>0</v>
      </c>
      <c r="AW280">
        <f>-AV280*N('Исходные данные'!$B$73)</f>
        <v>0</v>
      </c>
      <c r="AX280">
        <f>IF(AV280=0,0,-N('Исходные данные'!$B$87)-IF('Исходные данные'!$B$82="Да",IF('Исходные данные'!$B$84="С выручки",AV280,IF('Исходные данные'!$B$84="С прибыли",MAX(0,AV280+AW280-IF('Исходные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80">
        <f t="shared" si="171"/>
        <v>0</v>
      </c>
      <c r="AZ280">
        <f t="shared" si="158"/>
        <v>0</v>
      </c>
      <c r="BA280">
        <f t="shared" si="172"/>
        <v>0</v>
      </c>
      <c r="BB280" t="str">
        <f t="shared" si="159"/>
        <v/>
      </c>
      <c r="BC280">
        <f>IF(OR(E280=0,'Исходные данные'!$B$9="",'Исходные данные'!$B$90=""),0,BA280/(1+'Исходные данные'!$B$90)^((D280-'Исходные данные'!$B$9)/365))</f>
        <v>0</v>
      </c>
      <c r="BD280">
        <f>IF(AND(E280=1,BB280&gt;=0,BB279&lt;0,MIN($BB$2:BB280)&lt;0),1,0)</f>
        <v>0</v>
      </c>
      <c r="BE280">
        <f t="shared" si="160"/>
        <v>0</v>
      </c>
      <c r="BF280">
        <f t="shared" si="161"/>
        <v>0</v>
      </c>
      <c r="BG280">
        <f t="shared" si="162"/>
        <v>0</v>
      </c>
      <c r="BH280">
        <f t="shared" si="163"/>
        <v>1</v>
      </c>
      <c r="BI280">
        <f>AZ280+N280+AP280-AR280*N('Исходные данные'!$B$50)</f>
        <v>0</v>
      </c>
      <c r="BJ280">
        <f t="shared" si="164"/>
        <v>0</v>
      </c>
      <c r="BK280">
        <f>IF(AND(BJ280&gt;=0,BJ279&lt;0,MIN($BJ$2:BJ280)&lt;0),1,0)</f>
        <v>0</v>
      </c>
    </row>
    <row r="281" spans="1:63" x14ac:dyDescent="0.2">
      <c r="A281">
        <v>280</v>
      </c>
      <c r="B281" t="str">
        <f>IF('Исходные данные'!$B$9="","",EDATE(DATE(YEAR('Исходные данные'!$B$9),MONTH('Исходные данные'!$B$9),1),A281-1))</f>
        <v/>
      </c>
      <c r="C281" t="str">
        <f t="shared" si="165"/>
        <v/>
      </c>
      <c r="D281" t="str">
        <f>IF(B281="","",IF('Исходные данные'!$B$91&lt;&gt;"",IF(AND(YEAR(B281)=YEAR('Исходные данные'!$B$91),MONTH(B281)=MONTH('Исходные данные'!$B$91)),'Исходные данные'!$B$91,IF('Исходные данные'!$B$13&lt;&gt;"",IF(AND(YEAR(B281)=YEAR('Исходные данные'!$B$13),MONTH(B281)=MONTH('Исходные данные'!$B$13)),'Исходные данные'!$B$13,IF('Исходные данные'!$B$26&lt;&gt;"",IF(AND(YEAR(B281)=YEAR('Исходные данные'!$B$26),MONTH(B281)=MONTH('Исходные данные'!$B$26)),'Исходные данные'!$B$26,IF(A281=1,'Исходные данные'!$B$9,C281)),IF(A281=1,'Исходные данные'!$B$9,C281))),IF('Исходные данные'!$B$26&lt;&gt;"",IF(AND(YEAR(B281)=YEAR('Исходные данные'!$B$26),MONTH(B281)=MONTH('Исходные данные'!$B$26)),'Исходные данные'!$B$26,IF(A281=1,'Исходные данные'!$B$9,C281)),IF(A281=1,'Исходные данные'!$B$9,C281)))),IF('Исходные данные'!$B$13&lt;&gt;"",IF(AND(YEAR(B281)=YEAR('Исходные данные'!$B$13),MONTH(B281)=MONTH('Исходные данные'!$B$13)),'Исходные данные'!$B$13,IF('Исходные данные'!$B$26&lt;&gt;"",IF(AND(YEAR(B281)=YEAR('Исходные данные'!$B$26),MONTH(B281)=MONTH('Исходные данные'!$B$26)),'Исходные данные'!$B$26,IF(A281=1,'Исходные данные'!$B$9,C281)),IF(A281=1,'Исходные данные'!$B$9,C281))),IF('Исходные данные'!$B$26&lt;&gt;"",IF(AND(YEAR(B281)=YEAR('Исходные данные'!$B$26),MONTH(B281)=MONTH('Исходные данные'!$B$26)),'Исходные данные'!$B$26,IF(A281=1,'Исходные данные'!$B$9,C281)),IF(A281=1,'Исходные данные'!$B$9,C281)))))</f>
        <v/>
      </c>
      <c r="E281">
        <f>IF(OR(B281="",'Исходные данные'!$B$91=""),0,--(B281&lt;=DATE(YEAR('Исходные данные'!$B$91),MONTH('Исходные данные'!$B$91),1)))</f>
        <v>0</v>
      </c>
      <c r="F281">
        <f>IF(OR(B281="",'Исходные данные'!$B$30="",C281&lt;'Исходные данные'!$B$30),0,DATEDIF(DATE(YEAR('Исходные данные'!$B$30),MONTH('Исходные данные'!$B$30),1),B281,"m")+1)</f>
        <v>0</v>
      </c>
      <c r="G281">
        <f t="shared" si="166"/>
        <v>0</v>
      </c>
      <c r="H281">
        <f>IF(F281=0,0,IF(G281=1,N('Исходные данные'!$B$31),IF(G281=2,N('Исходные данные'!$B$32),IF(G281=3,N('Исходные данные'!$B$33),N('Исходные данные'!$B$33)*(1+N('Исходные данные'!$B$34))^(G281-3)))))</f>
        <v>0</v>
      </c>
      <c r="I281">
        <f>IF(OR(F281=0,N('Исходные данные'!$B$5)=0,H281=0),0,'Исходные данные'!$B$5*H281*IF(AND(B281&lt;='Исходные данные'!$B$30,C281&gt;='Исходные данные'!$B$30),(C281-'Исходные данные'!$B$30+1)/DAY(C281),1))</f>
        <v>0</v>
      </c>
      <c r="J281">
        <f>IF(AND(F281&gt;0,F281&lt;=N('Исходные данные'!$B$37)),-I281,0)</f>
        <v>0</v>
      </c>
      <c r="K281">
        <f>IF(OR(F281=0,F281&lt;=N('Исходные данные'!$B$37)),0,-(I281+J281)*N('Исходные данные'!$B$38))</f>
        <v>0</v>
      </c>
      <c r="L281">
        <f t="shared" si="167"/>
        <v>0</v>
      </c>
      <c r="M281">
        <f>IF('Исходные данные'!$B$51="Да",L281*N('Исходные данные'!$B$52),0)</f>
        <v>0</v>
      </c>
      <c r="N281">
        <f t="shared" si="168"/>
        <v>0</v>
      </c>
      <c r="O281">
        <f>IF(OR(B281="",IF('Исходные данные'!$B$45="",'Исходные данные'!$B$10,'Исходные данные'!$B$45)="",C281&lt;IF('Исходные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данные'!$B$45)),1),B281,"m")/12))*IF(AND(B281&lt;=IF('Исходные данные'!$B$45="",'Исходные данные'!$B$10,'Исходные данные'!$B$45),C281&gt;=IF('Исходные данные'!$B$45="",'Исходные данные'!$B$10,'Исходные данные'!$B$45)),(C281-IF('Исходные данные'!$B$45="",'Исходные данные'!$B$10,'Исходные данные'!$B$45)+1)/DAY(C281),1)*IF('Исходные данные'!$B$43="Без НДС",1+N('Исходные данные'!$B$44),1))</f>
        <v>0</v>
      </c>
      <c r="P281">
        <f>IF('Исходные данные'!$B$51="Да",-O281*N('Исходные данные'!$B$44)/(1+N('Исходные данные'!$B$44)),0)</f>
        <v>0</v>
      </c>
      <c r="Q281">
        <f>IF('Исходные данные'!$B$35="Да",-O281,0)</f>
        <v>0</v>
      </c>
      <c r="R281">
        <f>IF(AND('Исходные данные'!$B$51="Да",Q281&gt;0),Q281*N('Исходные данные'!$B$52)/(1+N('Исходные данные'!$B$52)),0)</f>
        <v>0</v>
      </c>
      <c r="S281">
        <f>IF(OR(B281="",IF('Исходные данные'!$B$45="",'Исходные данные'!$B$10,'Исходные данные'!$B$45)="",C281&lt;IF('Исходные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данные'!$B$45)),1),B281,"m")/12))*IF(AND(B281&lt;=IF('Исходные данные'!$B$45="",'Исходные данные'!$B$10,'Исходные данные'!$B$45),C281&gt;=IF('Исходные данные'!$B$45="",'Исходные данные'!$B$10,'Исходные данные'!$B$45)),(C281-IF('Исходные данные'!$B$45="",'Исходные данные'!$B$10,'Исходные данные'!$B$45)+1)/DAY(C281),1)*IF('Исходные данные'!$B$43="Без НДС",1+N('Исходные данные'!$B$44),1))</f>
        <v>0</v>
      </c>
      <c r="T281">
        <f>IF('Исходные данные'!$B$51="Да",-S281*N('Исходные данные'!$B$44)/(1+N('Исходные данные'!$B$44)),0)</f>
        <v>0</v>
      </c>
      <c r="U281">
        <f>IF('Исходные данные'!$B$36="Да",-S281,0)</f>
        <v>0</v>
      </c>
      <c r="V281">
        <f>IF(AND('Исходные данные'!$B$51="Да",U281&gt;0),U281*N('Исходные данные'!$B$52)/(1+N('Исходные данные'!$B$52)),0)</f>
        <v>0</v>
      </c>
      <c r="W281">
        <f>IF(OR(B281="",IF('Исходные данные'!$B$69="",'Исходные данные'!$B$10,'Исходные данные'!$B$69)="",C281&lt;IF('Исходные данные'!$B$69="",'Исходные данные'!$B$10,'Исходные данные'!$B$69)),0,-N('Исходные данные'!$B$16)*N('Исходные данные'!$B$68)*N('Исходные данные'!$B$67)/12*IF(AND(B281&lt;=IF('Исходные данные'!$B$69="",'Исходные данные'!$B$10,'Исходные данные'!$B$69),C281&gt;=IF('Исходные данные'!$B$69="",'Исходные данные'!$B$10,'Исходные данные'!$B$69)),(C281-IF('Исходные данные'!$B$69="",'Исходные данные'!$B$10,'Исходные данные'!$B$69)+1)/DAY(C281),1))</f>
        <v>0</v>
      </c>
      <c r="X281">
        <f>IF(OR(B281="",IF('Исходные данные'!$B$76="",'Исходные данные'!$B$10,'Исходные данные'!$B$76)="",C281&lt;IF('Исходные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данные'!$B$76)),1),B281,"m")/12))*IF(AND(B281&lt;=IF('Исходные данные'!$B$76="",'Исходные данные'!$B$10,'Исходные данные'!$B$76),C281&gt;=IF('Исходные данные'!$B$76="",'Исходные данные'!$B$10,'Исходные данные'!$B$76)),(C281-IF('Исходные данные'!$B$76="",'Исходные данные'!$B$10,'Исходные данные'!$B$76)+1)/DAY(C281),1))</f>
        <v>0</v>
      </c>
      <c r="Y281">
        <f t="shared" si="169"/>
        <v>0</v>
      </c>
      <c r="Z281">
        <f>IF(OR(B281="",N('Исходные данные'!$B$19)=0),0,-SUMIFS('Исходные данные'!$I$6:$I$186,'Исходные данные'!$F$6:$F$186,B281)*N('Исходные данные'!$B$17)/N('Исходные данные'!$B$19))</f>
        <v>0</v>
      </c>
      <c r="AA281">
        <f>IF(OR(B281="",N('Исходные данные'!$B$19)=0),0,-SUMIFS('Исходные данные'!$I$6:$I$186,'Исходные данные'!$F$6:$F$186,B281)*N('Исходные данные'!$B$18)/N('Исходные данные'!$B$19))</f>
        <v>0</v>
      </c>
      <c r="AB281">
        <f>IF(OR(B281="",'Исходные данные'!$B$13=""),0,IF(AND(YEAR(B281)=YEAR('Исходные данные'!$B$13),MONTH(B281)=MONTH('Исходные данные'!$B$13)),-N('Исходные данные'!$B$11),0))</f>
        <v>0</v>
      </c>
      <c r="AC281">
        <f>IF(A281=1,-N('Исходные данные'!$B$19)*N('Исходные данные'!$B$72),0)</f>
        <v>0</v>
      </c>
      <c r="AD281">
        <f>IF(OR(B281="",'Исходные данные'!$B$22&lt;&gt;"Да",'Исходные данные'!$B$26=""),0,IF(AND(YEAR(B281)=YEAR('Исходные данные'!$B$26),MONTH(B281)=MONTH('Исходные данные'!$B$26)),N('Исходные данные'!$B$23),0))</f>
        <v>0</v>
      </c>
      <c r="AE281">
        <f t="shared" si="152"/>
        <v>0</v>
      </c>
      <c r="AF281">
        <f>IF(OR('Исходные данные'!$B$22&lt;&gt;"Да",'Исходные данные'!$B$26="",C281&lt;'Исходные данные'!$B$26),0,DATEDIF(DATE(YEAR('Исходные данные'!$B$26),MONTH('Исходные данные'!$B$26),1),B281,"m")+1)</f>
        <v>0</v>
      </c>
      <c r="AG281">
        <f>IF(OR(AF281&lt;1,AF281&gt;N('Исходные данные'!$B$25),AE281+AD281&lt;=0),0,-(AE281+AD281)*N('Исходные данные'!$B$24)*IF(AF281=1,C281-'Исходные данные'!$B$26+1,DAY(C281))/365)</f>
        <v>0</v>
      </c>
      <c r="AH281">
        <f>IF(OR(AF281&lt;1,AF281&gt;N('Исходные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данные'!$B$25)-AG281))</f>
        <v>0</v>
      </c>
      <c r="AI281">
        <f>IF(OR('Исходные данные'!$B$22&lt;&gt;"Да",AE281+AD281&lt;=0),0,IF(AND('Исходные данные'!$B$91&lt;&gt;"",B281&lt;&gt;"",YEAR(B281)=YEAR('Исходные данные'!$B$91),MONTH(B281)=MONTH('Исходные данные'!$B$91)),-(AE281+AD281),IF(OR(AF281&lt;1,AF281&gt;N('Исходные данные'!$B$25)),0,IF('Исходные данные'!$B$27="Равными долями",-MIN(AE281+AD281,N('Исходные данные'!$B$23)/N('Исходные данные'!$B$25)),-MIN(AE281+AD281,IF(AF281=N('Исходные данные'!$B$25),AE281+AD281,MAX(0,AH281+AG281)))))))</f>
        <v>0</v>
      </c>
      <c r="AJ281">
        <f t="shared" si="170"/>
        <v>0</v>
      </c>
      <c r="AK281">
        <f t="shared" si="153"/>
        <v>0</v>
      </c>
      <c r="AL281">
        <f>IF(OR(B281="",'Исходные данные'!$B$51&lt;&gt;"Да",'Исходные данные'!$B$61=""),0,IF(AND(YEAR(B281)=YEAR('Исходные данные'!$B$61),MONTH(B281)=MONTH('Исходные данные'!$B$61)),N('Исходные данные'!$B$18)*N('Исходные данные'!$B$62),0))</f>
        <v>0</v>
      </c>
      <c r="AM281">
        <f t="shared" si="154"/>
        <v>0</v>
      </c>
      <c r="AN281">
        <f t="shared" si="155"/>
        <v>0</v>
      </c>
      <c r="AO281">
        <f t="shared" si="156"/>
        <v>0</v>
      </c>
      <c r="AP281">
        <f>IF('Исходные данные'!$B$51="Да",-MAX(0,AN281-AO281-AM281),0)</f>
        <v>0</v>
      </c>
      <c r="AQ281">
        <f>IF('Исходные данные'!$B$51="Да",MAX(0,AM281+AO281-AN281),0)</f>
        <v>0</v>
      </c>
      <c r="AR281">
        <f>IF('Исходные данные'!$B$53="Выручка",MAX(0,L281+(Q281-R281)+(U281-V281)),IF('Исходные данные'!$B$53="Прибыль до налога",MAX(0,L281+(Q281-R281)+(U281-V281)+N('Исходные данные'!$B$54)*((O281+P281)+(S281+T281)+W281+X281)+IF('Исходные данные'!$B$55="Да",AG281,0)-N('Исходные данные'!$B$56)/12),IF('Исходные данные'!$B$53="Пользовательская база",MAX(0,N('Исходные данные'!$B$57)/12),0)))</f>
        <v>0</v>
      </c>
      <c r="AS281">
        <f>IF(E281=1,-AR281*N('Исходные данные'!$B$50),0)</f>
        <v>0</v>
      </c>
      <c r="AT281">
        <f t="shared" si="157"/>
        <v>0</v>
      </c>
      <c r="AU281">
        <f>IF(OR(B281="",N('Исходные данные'!$B$80)&lt;=0,'Исходные данные'!$B$88=""),0,MAX(0,IF('Исходные данные'!$B$88="Последние 12 месяцев",SUMIFS($Y$2:$Y$194,$B$2:$B$194,"&gt;="&amp;EDATE(B281,-11),$B$2:$B$194,"&lt;="&amp;B281),IF('Исходные данные'!$B$88="Пользовательский NOI",N('Исходные данные'!$B$89),AT281))/N('Исходные данные'!$B$80)*(1+N('Исходные данные'!$B$81))))</f>
        <v>0</v>
      </c>
      <c r="AV281">
        <f>IF(OR(E281&lt;&gt;1,B281="",'Исходные данные'!$B$91=""),0,IF(AND(YEAR(B281)=YEAR('Исходные данные'!$B$91),MONTH(B281)=MONTH('Исходные данные'!$B$91)),AU281,0))</f>
        <v>0</v>
      </c>
      <c r="AW281">
        <f>-AV281*N('Исходные данные'!$B$73)</f>
        <v>0</v>
      </c>
      <c r="AX281">
        <f>IF(AV281=0,0,-N('Исходные данные'!$B$87)-IF('Исходные данные'!$B$82="Да",IF('Исходные данные'!$B$84="С выручки",AV281,IF('Исходные данные'!$B$84="С прибыли",MAX(0,AV281+AW281-IF('Исходные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81">
        <f t="shared" si="171"/>
        <v>0</v>
      </c>
      <c r="AZ281">
        <f t="shared" si="158"/>
        <v>0</v>
      </c>
      <c r="BA281">
        <f t="shared" si="172"/>
        <v>0</v>
      </c>
      <c r="BB281" t="str">
        <f t="shared" si="159"/>
        <v/>
      </c>
      <c r="BC281">
        <f>IF(OR(E281=0,'Исходные данные'!$B$9="",'Исходные данные'!$B$90=""),0,BA281/(1+'Исходные данные'!$B$90)^((D281-'Исходные данные'!$B$9)/365))</f>
        <v>0</v>
      </c>
      <c r="BD281">
        <f>IF(AND(E281=1,BB281&gt;=0,BB280&lt;0,MIN($BB$2:BB281)&lt;0),1,0)</f>
        <v>0</v>
      </c>
      <c r="BE281">
        <f t="shared" si="160"/>
        <v>0</v>
      </c>
      <c r="BF281">
        <f t="shared" si="161"/>
        <v>0</v>
      </c>
      <c r="BG281">
        <f t="shared" si="162"/>
        <v>0</v>
      </c>
      <c r="BH281">
        <f t="shared" si="163"/>
        <v>1</v>
      </c>
      <c r="BI281">
        <f>AZ281+N281+AP281-AR281*N('Исходные данные'!$B$50)</f>
        <v>0</v>
      </c>
      <c r="BJ281">
        <f t="shared" si="164"/>
        <v>0</v>
      </c>
      <c r="BK281">
        <f>IF(AND(BJ281&gt;=0,BJ280&lt;0,MIN($BJ$2:BJ281)&lt;0),1,0)</f>
        <v>0</v>
      </c>
    </row>
    <row r="282" spans="1:63" x14ac:dyDescent="0.2">
      <c r="A282">
        <v>281</v>
      </c>
      <c r="B282" t="str">
        <f>IF('Исходные данные'!$B$9="","",EDATE(DATE(YEAR('Исходные данные'!$B$9),MONTH('Исходные данные'!$B$9),1),A282-1))</f>
        <v/>
      </c>
      <c r="C282" t="str">
        <f t="shared" si="165"/>
        <v/>
      </c>
      <c r="D282" t="str">
        <f>IF(B282="","",IF('Исходные данные'!$B$91&lt;&gt;"",IF(AND(YEAR(B282)=YEAR('Исходные данные'!$B$91),MONTH(B282)=MONTH('Исходные данные'!$B$91)),'Исходные данные'!$B$91,IF('Исходные данные'!$B$13&lt;&gt;"",IF(AND(YEAR(B282)=YEAR('Исходные данные'!$B$13),MONTH(B282)=MONTH('Исходные данные'!$B$13)),'Исходные данные'!$B$13,IF('Исходные данные'!$B$26&lt;&gt;"",IF(AND(YEAR(B282)=YEAR('Исходные данные'!$B$26),MONTH(B282)=MONTH('Исходные данные'!$B$26)),'Исходные данные'!$B$26,IF(A282=1,'Исходные данные'!$B$9,C282)),IF(A282=1,'Исходные данные'!$B$9,C282))),IF('Исходные данные'!$B$26&lt;&gt;"",IF(AND(YEAR(B282)=YEAR('Исходные данные'!$B$26),MONTH(B282)=MONTH('Исходные данные'!$B$26)),'Исходные данные'!$B$26,IF(A282=1,'Исходные данные'!$B$9,C282)),IF(A282=1,'Исходные данные'!$B$9,C282)))),IF('Исходные данные'!$B$13&lt;&gt;"",IF(AND(YEAR(B282)=YEAR('Исходные данные'!$B$13),MONTH(B282)=MONTH('Исходные данные'!$B$13)),'Исходные данные'!$B$13,IF('Исходные данные'!$B$26&lt;&gt;"",IF(AND(YEAR(B282)=YEAR('Исходные данные'!$B$26),MONTH(B282)=MONTH('Исходные данные'!$B$26)),'Исходные данные'!$B$26,IF(A282=1,'Исходные данные'!$B$9,C282)),IF(A282=1,'Исходные данные'!$B$9,C282))),IF('Исходные данные'!$B$26&lt;&gt;"",IF(AND(YEAR(B282)=YEAR('Исходные данные'!$B$26),MONTH(B282)=MONTH('Исходные данные'!$B$26)),'Исходные данные'!$B$26,IF(A282=1,'Исходные данные'!$B$9,C282)),IF(A282=1,'Исходные данные'!$B$9,C282)))))</f>
        <v/>
      </c>
      <c r="E282">
        <f>IF(OR(B282="",'Исходные данные'!$B$91=""),0,--(B282&lt;=DATE(YEAR('Исходные данные'!$B$91),MONTH('Исходные данные'!$B$91),1)))</f>
        <v>0</v>
      </c>
      <c r="F282">
        <f>IF(OR(B282="",'Исходные данные'!$B$30="",C282&lt;'Исходные данные'!$B$30),0,DATEDIF(DATE(YEAR('Исходные данные'!$B$30),MONTH('Исходные данные'!$B$30),1),B282,"m")+1)</f>
        <v>0</v>
      </c>
      <c r="G282">
        <f t="shared" si="166"/>
        <v>0</v>
      </c>
      <c r="H282">
        <f>IF(F282=0,0,IF(G282=1,N('Исходные данные'!$B$31),IF(G282=2,N('Исходные данные'!$B$32),IF(G282=3,N('Исходные данные'!$B$33),N('Исходные данные'!$B$33)*(1+N('Исходные данные'!$B$34))^(G282-3)))))</f>
        <v>0</v>
      </c>
      <c r="I282">
        <f>IF(OR(F282=0,N('Исходные данные'!$B$5)=0,H282=0),0,'Исходные данные'!$B$5*H282*IF(AND(B282&lt;='Исходные данные'!$B$30,C282&gt;='Исходные данные'!$B$30),(C282-'Исходные данные'!$B$30+1)/DAY(C282),1))</f>
        <v>0</v>
      </c>
      <c r="J282">
        <f>IF(AND(F282&gt;0,F282&lt;=N('Исходные данные'!$B$37)),-I282,0)</f>
        <v>0</v>
      </c>
      <c r="K282">
        <f>IF(OR(F282=0,F282&lt;=N('Исходные данные'!$B$37)),0,-(I282+J282)*N('Исходные данные'!$B$38))</f>
        <v>0</v>
      </c>
      <c r="L282">
        <f t="shared" si="167"/>
        <v>0</v>
      </c>
      <c r="M282">
        <f>IF('Исходные данные'!$B$51="Да",L282*N('Исходные данные'!$B$52),0)</f>
        <v>0</v>
      </c>
      <c r="N282">
        <f t="shared" si="168"/>
        <v>0</v>
      </c>
      <c r="O282">
        <f>IF(OR(B282="",IF('Исходные данные'!$B$45="",'Исходные данные'!$B$10,'Исходные данные'!$B$45)="",C282&lt;IF('Исходные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данные'!$B$45)),1),B282,"m")/12))*IF(AND(B282&lt;=IF('Исходные данные'!$B$45="",'Исходные данные'!$B$10,'Исходные данные'!$B$45),C282&gt;=IF('Исходные данные'!$B$45="",'Исходные данные'!$B$10,'Исходные данные'!$B$45)),(C282-IF('Исходные данные'!$B$45="",'Исходные данные'!$B$10,'Исходные данные'!$B$45)+1)/DAY(C282),1)*IF('Исходные данные'!$B$43="Без НДС",1+N('Исходные данные'!$B$44),1))</f>
        <v>0</v>
      </c>
      <c r="P282">
        <f>IF('Исходные данные'!$B$51="Да",-O282*N('Исходные данные'!$B$44)/(1+N('Исходные данные'!$B$44)),0)</f>
        <v>0</v>
      </c>
      <c r="Q282">
        <f>IF('Исходные данные'!$B$35="Да",-O282,0)</f>
        <v>0</v>
      </c>
      <c r="R282">
        <f>IF(AND('Исходные данные'!$B$51="Да",Q282&gt;0),Q282*N('Исходные данные'!$B$52)/(1+N('Исходные данные'!$B$52)),0)</f>
        <v>0</v>
      </c>
      <c r="S282">
        <f>IF(OR(B282="",IF('Исходные данные'!$B$45="",'Исходные данные'!$B$10,'Исходные данные'!$B$45)="",C282&lt;IF('Исходные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данные'!$B$45)),1),B282,"m")/12))*IF(AND(B282&lt;=IF('Исходные данные'!$B$45="",'Исходные данные'!$B$10,'Исходные данные'!$B$45),C282&gt;=IF('Исходные данные'!$B$45="",'Исходные данные'!$B$10,'Исходные данные'!$B$45)),(C282-IF('Исходные данные'!$B$45="",'Исходные данные'!$B$10,'Исходные данные'!$B$45)+1)/DAY(C282),1)*IF('Исходные данные'!$B$43="Без НДС",1+N('Исходные данные'!$B$44),1))</f>
        <v>0</v>
      </c>
      <c r="T282">
        <f>IF('Исходные данные'!$B$51="Да",-S282*N('Исходные данные'!$B$44)/(1+N('Исходные данные'!$B$44)),0)</f>
        <v>0</v>
      </c>
      <c r="U282">
        <f>IF('Исходные данные'!$B$36="Да",-S282,0)</f>
        <v>0</v>
      </c>
      <c r="V282">
        <f>IF(AND('Исходные данные'!$B$51="Да",U282&gt;0),U282*N('Исходные данные'!$B$52)/(1+N('Исходные данные'!$B$52)),0)</f>
        <v>0</v>
      </c>
      <c r="W282">
        <f>IF(OR(B282="",IF('Исходные данные'!$B$69="",'Исходные данные'!$B$10,'Исходные данные'!$B$69)="",C282&lt;IF('Исходные данные'!$B$69="",'Исходные данные'!$B$10,'Исходные данные'!$B$69)),0,-N('Исходные данные'!$B$16)*N('Исходные данные'!$B$68)*N('Исходные данные'!$B$67)/12*IF(AND(B282&lt;=IF('Исходные данные'!$B$69="",'Исходные данные'!$B$10,'Исходные данные'!$B$69),C282&gt;=IF('Исходные данные'!$B$69="",'Исходные данные'!$B$10,'Исходные данные'!$B$69)),(C282-IF('Исходные данные'!$B$69="",'Исходные данные'!$B$10,'Исходные данные'!$B$69)+1)/DAY(C282),1))</f>
        <v>0</v>
      </c>
      <c r="X282">
        <f>IF(OR(B282="",IF('Исходные данные'!$B$76="",'Исходные данные'!$B$10,'Исходные данные'!$B$76)="",C282&lt;IF('Исходные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данные'!$B$76)),1),B282,"m")/12))*IF(AND(B282&lt;=IF('Исходные данные'!$B$76="",'Исходные данные'!$B$10,'Исходные данные'!$B$76),C282&gt;=IF('Исходные данные'!$B$76="",'Исходные данные'!$B$10,'Исходные данные'!$B$76)),(C282-IF('Исходные данные'!$B$76="",'Исходные данные'!$B$10,'Исходные данные'!$B$76)+1)/DAY(C282),1))</f>
        <v>0</v>
      </c>
      <c r="Y282">
        <f t="shared" si="169"/>
        <v>0</v>
      </c>
      <c r="Z282">
        <f>IF(OR(B282="",N('Исходные данные'!$B$19)=0),0,-SUMIFS('Исходные данные'!$I$6:$I$186,'Исходные данные'!$F$6:$F$186,B282)*N('Исходные данные'!$B$17)/N('Исходные данные'!$B$19))</f>
        <v>0</v>
      </c>
      <c r="AA282">
        <f>IF(OR(B282="",N('Исходные данные'!$B$19)=0),0,-SUMIFS('Исходные данные'!$I$6:$I$186,'Исходные данные'!$F$6:$F$186,B282)*N('Исходные данные'!$B$18)/N('Исходные данные'!$B$19))</f>
        <v>0</v>
      </c>
      <c r="AB282">
        <f>IF(OR(B282="",'Исходные данные'!$B$13=""),0,IF(AND(YEAR(B282)=YEAR('Исходные данные'!$B$13),MONTH(B282)=MONTH('Исходные данные'!$B$13)),-N('Исходные данные'!$B$11),0))</f>
        <v>0</v>
      </c>
      <c r="AC282">
        <f>IF(A282=1,-N('Исходные данные'!$B$19)*N('Исходные данные'!$B$72),0)</f>
        <v>0</v>
      </c>
      <c r="AD282">
        <f>IF(OR(B282="",'Исходные данные'!$B$22&lt;&gt;"Да",'Исходные данные'!$B$26=""),0,IF(AND(YEAR(B282)=YEAR('Исходные данные'!$B$26),MONTH(B282)=MONTH('Исходные данные'!$B$26)),N('Исходные данные'!$B$23),0))</f>
        <v>0</v>
      </c>
      <c r="AE282">
        <f t="shared" si="152"/>
        <v>0</v>
      </c>
      <c r="AF282">
        <f>IF(OR('Исходные данные'!$B$22&lt;&gt;"Да",'Исходные данные'!$B$26="",C282&lt;'Исходные данные'!$B$26),0,DATEDIF(DATE(YEAR('Исходные данные'!$B$26),MONTH('Исходные данные'!$B$26),1),B282,"m")+1)</f>
        <v>0</v>
      </c>
      <c r="AG282">
        <f>IF(OR(AF282&lt;1,AF282&gt;N('Исходные данные'!$B$25),AE282+AD282&lt;=0),0,-(AE282+AD282)*N('Исходные данные'!$B$24)*IF(AF282=1,C282-'Исходные данные'!$B$26+1,DAY(C282))/365)</f>
        <v>0</v>
      </c>
      <c r="AH282">
        <f>IF(OR(AF282&lt;1,AF282&gt;N('Исходные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данные'!$B$25)-AG282))</f>
        <v>0</v>
      </c>
      <c r="AI282">
        <f>IF(OR('Исходные данные'!$B$22&lt;&gt;"Да",AE282+AD282&lt;=0),0,IF(AND('Исходные данные'!$B$91&lt;&gt;"",B282&lt;&gt;"",YEAR(B282)=YEAR('Исходные данные'!$B$91),MONTH(B282)=MONTH('Исходные данные'!$B$91)),-(AE282+AD282),IF(OR(AF282&lt;1,AF282&gt;N('Исходные данные'!$B$25)),0,IF('Исходные данные'!$B$27="Равными долями",-MIN(AE282+AD282,N('Исходные данные'!$B$23)/N('Исходные данные'!$B$25)),-MIN(AE282+AD282,IF(AF282=N('Исходные данные'!$B$25),AE282+AD282,MAX(0,AH282+AG282)))))))</f>
        <v>0</v>
      </c>
      <c r="AJ282">
        <f t="shared" si="170"/>
        <v>0</v>
      </c>
      <c r="AK282">
        <f t="shared" si="153"/>
        <v>0</v>
      </c>
      <c r="AL282">
        <f>IF(OR(B282="",'Исходные данные'!$B$51&lt;&gt;"Да",'Исходные данные'!$B$61=""),0,IF(AND(YEAR(B282)=YEAR('Исходные данные'!$B$61),MONTH(B282)=MONTH('Исходные данные'!$B$61)),N('Исходные данные'!$B$18)*N('Исходные данные'!$B$62),0))</f>
        <v>0</v>
      </c>
      <c r="AM282">
        <f t="shared" si="154"/>
        <v>0</v>
      </c>
      <c r="AN282">
        <f t="shared" si="155"/>
        <v>0</v>
      </c>
      <c r="AO282">
        <f t="shared" si="156"/>
        <v>0</v>
      </c>
      <c r="AP282">
        <f>IF('Исходные данные'!$B$51="Да",-MAX(0,AN282-AO282-AM282),0)</f>
        <v>0</v>
      </c>
      <c r="AQ282">
        <f>IF('Исходные данные'!$B$51="Да",MAX(0,AM282+AO282-AN282),0)</f>
        <v>0</v>
      </c>
      <c r="AR282">
        <f>IF('Исходные данные'!$B$53="Выручка",MAX(0,L282+(Q282-R282)+(U282-V282)),IF('Исходные данные'!$B$53="Прибыль до налога",MAX(0,L282+(Q282-R282)+(U282-V282)+N('Исходные данные'!$B$54)*((O282+P282)+(S282+T282)+W282+X282)+IF('Исходные данные'!$B$55="Да",AG282,0)-N('Исходные данные'!$B$56)/12),IF('Исходные данные'!$B$53="Пользовательская база",MAX(0,N('Исходные данные'!$B$57)/12),0)))</f>
        <v>0</v>
      </c>
      <c r="AS282">
        <f>IF(E282=1,-AR282*N('Исходные данные'!$B$50),0)</f>
        <v>0</v>
      </c>
      <c r="AT282">
        <f t="shared" si="157"/>
        <v>0</v>
      </c>
      <c r="AU282">
        <f>IF(OR(B282="",N('Исходные данные'!$B$80)&lt;=0,'Исходные данные'!$B$88=""),0,MAX(0,IF('Исходные данные'!$B$88="Последние 12 месяцев",SUMIFS($Y$2:$Y$194,$B$2:$B$194,"&gt;="&amp;EDATE(B282,-11),$B$2:$B$194,"&lt;="&amp;B282),IF('Исходные данные'!$B$88="Пользовательский NOI",N('Исходные данные'!$B$89),AT282))/N('Исходные данные'!$B$80)*(1+N('Исходные данные'!$B$81))))</f>
        <v>0</v>
      </c>
      <c r="AV282">
        <f>IF(OR(E282&lt;&gt;1,B282="",'Исходные данные'!$B$91=""),0,IF(AND(YEAR(B282)=YEAR('Исходные данные'!$B$91),MONTH(B282)=MONTH('Исходные данные'!$B$91)),AU282,0))</f>
        <v>0</v>
      </c>
      <c r="AW282">
        <f>-AV282*N('Исходные данные'!$B$73)</f>
        <v>0</v>
      </c>
      <c r="AX282">
        <f>IF(AV282=0,0,-N('Исходные данные'!$B$87)-IF('Исходные данные'!$B$82="Да",IF('Исходные данные'!$B$84="С выручки",AV282,IF('Исходные данные'!$B$84="С прибыли",MAX(0,AV282+AW282-IF('Исходные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82">
        <f t="shared" si="171"/>
        <v>0</v>
      </c>
      <c r="AZ282">
        <f t="shared" si="158"/>
        <v>0</v>
      </c>
      <c r="BA282">
        <f t="shared" si="172"/>
        <v>0</v>
      </c>
      <c r="BB282" t="str">
        <f t="shared" si="159"/>
        <v/>
      </c>
      <c r="BC282">
        <f>IF(OR(E282=0,'Исходные данные'!$B$9="",'Исходные данные'!$B$90=""),0,BA282/(1+'Исходные данные'!$B$90)^((D282-'Исходные данные'!$B$9)/365))</f>
        <v>0</v>
      </c>
      <c r="BD282">
        <f>IF(AND(E282=1,BB282&gt;=0,BB281&lt;0,MIN($BB$2:BB282)&lt;0),1,0)</f>
        <v>0</v>
      </c>
      <c r="BE282">
        <f t="shared" si="160"/>
        <v>0</v>
      </c>
      <c r="BF282">
        <f t="shared" si="161"/>
        <v>0</v>
      </c>
      <c r="BG282">
        <f t="shared" si="162"/>
        <v>0</v>
      </c>
      <c r="BH282">
        <f t="shared" si="163"/>
        <v>1</v>
      </c>
      <c r="BI282">
        <f>AZ282+N282+AP282-AR282*N('Исходные данные'!$B$50)</f>
        <v>0</v>
      </c>
      <c r="BJ282">
        <f t="shared" si="164"/>
        <v>0</v>
      </c>
      <c r="BK282">
        <f>IF(AND(BJ282&gt;=0,BJ281&lt;0,MIN($BJ$2:BJ282)&lt;0),1,0)</f>
        <v>0</v>
      </c>
    </row>
    <row r="283" spans="1:63" x14ac:dyDescent="0.2">
      <c r="A283">
        <v>282</v>
      </c>
      <c r="B283" t="str">
        <f>IF('Исходные данные'!$B$9="","",EDATE(DATE(YEAR('Исходные данные'!$B$9),MONTH('Исходные данные'!$B$9),1),A283-1))</f>
        <v/>
      </c>
      <c r="C283" t="str">
        <f t="shared" si="165"/>
        <v/>
      </c>
      <c r="D283" t="str">
        <f>IF(B283="","",IF('Исходные данные'!$B$91&lt;&gt;"",IF(AND(YEAR(B283)=YEAR('Исходные данные'!$B$91),MONTH(B283)=MONTH('Исходные данные'!$B$91)),'Исходные данные'!$B$91,IF('Исходные данные'!$B$13&lt;&gt;"",IF(AND(YEAR(B283)=YEAR('Исходные данные'!$B$13),MONTH(B283)=MONTH('Исходные данные'!$B$13)),'Исходные данные'!$B$13,IF('Исходные данные'!$B$26&lt;&gt;"",IF(AND(YEAR(B283)=YEAR('Исходные данные'!$B$26),MONTH(B283)=MONTH('Исходные данные'!$B$26)),'Исходные данные'!$B$26,IF(A283=1,'Исходные данные'!$B$9,C283)),IF(A283=1,'Исходные данные'!$B$9,C283))),IF('Исходные данные'!$B$26&lt;&gt;"",IF(AND(YEAR(B283)=YEAR('Исходные данные'!$B$26),MONTH(B283)=MONTH('Исходные данные'!$B$26)),'Исходные данные'!$B$26,IF(A283=1,'Исходные данные'!$B$9,C283)),IF(A283=1,'Исходные данные'!$B$9,C283)))),IF('Исходные данные'!$B$13&lt;&gt;"",IF(AND(YEAR(B283)=YEAR('Исходные данные'!$B$13),MONTH(B283)=MONTH('Исходные данные'!$B$13)),'Исходные данные'!$B$13,IF('Исходные данные'!$B$26&lt;&gt;"",IF(AND(YEAR(B283)=YEAR('Исходные данные'!$B$26),MONTH(B283)=MONTH('Исходные данные'!$B$26)),'Исходные данные'!$B$26,IF(A283=1,'Исходные данные'!$B$9,C283)),IF(A283=1,'Исходные данные'!$B$9,C283))),IF('Исходные данные'!$B$26&lt;&gt;"",IF(AND(YEAR(B283)=YEAR('Исходные данные'!$B$26),MONTH(B283)=MONTH('Исходные данные'!$B$26)),'Исходные данные'!$B$26,IF(A283=1,'Исходные данные'!$B$9,C283)),IF(A283=1,'Исходные данные'!$B$9,C283)))))</f>
        <v/>
      </c>
      <c r="E283">
        <f>IF(OR(B283="",'Исходные данные'!$B$91=""),0,--(B283&lt;=DATE(YEAR('Исходные данные'!$B$91),MONTH('Исходные данные'!$B$91),1)))</f>
        <v>0</v>
      </c>
      <c r="F283">
        <f>IF(OR(B283="",'Исходные данные'!$B$30="",C283&lt;'Исходные данные'!$B$30),0,DATEDIF(DATE(YEAR('Исходные данные'!$B$30),MONTH('Исходные данные'!$B$30),1),B283,"m")+1)</f>
        <v>0</v>
      </c>
      <c r="G283">
        <f t="shared" si="166"/>
        <v>0</v>
      </c>
      <c r="H283">
        <f>IF(F283=0,0,IF(G283=1,N('Исходные данные'!$B$31),IF(G283=2,N('Исходные данные'!$B$32),IF(G283=3,N('Исходные данные'!$B$33),N('Исходные данные'!$B$33)*(1+N('Исходные данные'!$B$34))^(G283-3)))))</f>
        <v>0</v>
      </c>
      <c r="I283">
        <f>IF(OR(F283=0,N('Исходные данные'!$B$5)=0,H283=0),0,'Исходные данные'!$B$5*H283*IF(AND(B283&lt;='Исходные данные'!$B$30,C283&gt;='Исходные данные'!$B$30),(C283-'Исходные данные'!$B$30+1)/DAY(C283),1))</f>
        <v>0</v>
      </c>
      <c r="J283">
        <f>IF(AND(F283&gt;0,F283&lt;=N('Исходные данные'!$B$37)),-I283,0)</f>
        <v>0</v>
      </c>
      <c r="K283">
        <f>IF(OR(F283=0,F283&lt;=N('Исходные данные'!$B$37)),0,-(I283+J283)*N('Исходные данные'!$B$38))</f>
        <v>0</v>
      </c>
      <c r="L283">
        <f t="shared" si="167"/>
        <v>0</v>
      </c>
      <c r="M283">
        <f>IF('Исходные данные'!$B$51="Да",L283*N('Исходные данные'!$B$52),0)</f>
        <v>0</v>
      </c>
      <c r="N283">
        <f t="shared" si="168"/>
        <v>0</v>
      </c>
      <c r="O283">
        <f>IF(OR(B283="",IF('Исходные данные'!$B$45="",'Исходные данные'!$B$10,'Исходные данные'!$B$45)="",C283&lt;IF('Исходные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данные'!$B$45)),1),B283,"m")/12))*IF(AND(B283&lt;=IF('Исходные данные'!$B$45="",'Исходные данные'!$B$10,'Исходные данные'!$B$45),C283&gt;=IF('Исходные данные'!$B$45="",'Исходные данные'!$B$10,'Исходные данные'!$B$45)),(C283-IF('Исходные данные'!$B$45="",'Исходные данные'!$B$10,'Исходные данные'!$B$45)+1)/DAY(C283),1)*IF('Исходные данные'!$B$43="Без НДС",1+N('Исходные данные'!$B$44),1))</f>
        <v>0</v>
      </c>
      <c r="P283">
        <f>IF('Исходные данные'!$B$51="Да",-O283*N('Исходные данные'!$B$44)/(1+N('Исходные данные'!$B$44)),0)</f>
        <v>0</v>
      </c>
      <c r="Q283">
        <f>IF('Исходные данные'!$B$35="Да",-O283,0)</f>
        <v>0</v>
      </c>
      <c r="R283">
        <f>IF(AND('Исходные данные'!$B$51="Да",Q283&gt;0),Q283*N('Исходные данные'!$B$52)/(1+N('Исходные данные'!$B$52)),0)</f>
        <v>0</v>
      </c>
      <c r="S283">
        <f>IF(OR(B283="",IF('Исходные данные'!$B$45="",'Исходные данные'!$B$10,'Исходные данные'!$B$45)="",C283&lt;IF('Исходные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данные'!$B$45)),1),B283,"m")/12))*IF(AND(B283&lt;=IF('Исходные данные'!$B$45="",'Исходные данные'!$B$10,'Исходные данные'!$B$45),C283&gt;=IF('Исходные данные'!$B$45="",'Исходные данные'!$B$10,'Исходные данные'!$B$45)),(C283-IF('Исходные данные'!$B$45="",'Исходные данные'!$B$10,'Исходные данные'!$B$45)+1)/DAY(C283),1)*IF('Исходные данные'!$B$43="Без НДС",1+N('Исходные данные'!$B$44),1))</f>
        <v>0</v>
      </c>
      <c r="T283">
        <f>IF('Исходные данные'!$B$51="Да",-S283*N('Исходные данные'!$B$44)/(1+N('Исходные данные'!$B$44)),0)</f>
        <v>0</v>
      </c>
      <c r="U283">
        <f>IF('Исходные данные'!$B$36="Да",-S283,0)</f>
        <v>0</v>
      </c>
      <c r="V283">
        <f>IF(AND('Исходные данные'!$B$51="Да",U283&gt;0),U283*N('Исходные данные'!$B$52)/(1+N('Исходные данные'!$B$52)),0)</f>
        <v>0</v>
      </c>
      <c r="W283">
        <f>IF(OR(B283="",IF('Исходные данные'!$B$69="",'Исходные данные'!$B$10,'Исходные данные'!$B$69)="",C283&lt;IF('Исходные данные'!$B$69="",'Исходные данные'!$B$10,'Исходные данные'!$B$69)),0,-N('Исходные данные'!$B$16)*N('Исходные данные'!$B$68)*N('Исходные данные'!$B$67)/12*IF(AND(B283&lt;=IF('Исходные данные'!$B$69="",'Исходные данные'!$B$10,'Исходные данные'!$B$69),C283&gt;=IF('Исходные данные'!$B$69="",'Исходные данные'!$B$10,'Исходные данные'!$B$69)),(C283-IF('Исходные данные'!$B$69="",'Исходные данные'!$B$10,'Исходные данные'!$B$69)+1)/DAY(C283),1))</f>
        <v>0</v>
      </c>
      <c r="X283">
        <f>IF(OR(B283="",IF('Исходные данные'!$B$76="",'Исходные данные'!$B$10,'Исходные данные'!$B$76)="",C283&lt;IF('Исходные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данные'!$B$76)),1),B283,"m")/12))*IF(AND(B283&lt;=IF('Исходные данные'!$B$76="",'Исходные данные'!$B$10,'Исходные данные'!$B$76),C283&gt;=IF('Исходные данные'!$B$76="",'Исходные данные'!$B$10,'Исходные данные'!$B$76)),(C283-IF('Исходные данные'!$B$76="",'Исходные данные'!$B$10,'Исходные данные'!$B$76)+1)/DAY(C283),1))</f>
        <v>0</v>
      </c>
      <c r="Y283">
        <f t="shared" si="169"/>
        <v>0</v>
      </c>
      <c r="Z283">
        <f>IF(OR(B283="",N('Исходные данные'!$B$19)=0),0,-SUMIFS('Исходные данные'!$I$6:$I$186,'Исходные данные'!$F$6:$F$186,B283)*N('Исходные данные'!$B$17)/N('Исходные данные'!$B$19))</f>
        <v>0</v>
      </c>
      <c r="AA283">
        <f>IF(OR(B283="",N('Исходные данные'!$B$19)=0),0,-SUMIFS('Исходные данные'!$I$6:$I$186,'Исходные данные'!$F$6:$F$186,B283)*N('Исходные данные'!$B$18)/N('Исходные данные'!$B$19))</f>
        <v>0</v>
      </c>
      <c r="AB283">
        <f>IF(OR(B283="",'Исходные данные'!$B$13=""),0,IF(AND(YEAR(B283)=YEAR('Исходные данные'!$B$13),MONTH(B283)=MONTH('Исходные данные'!$B$13)),-N('Исходные данные'!$B$11),0))</f>
        <v>0</v>
      </c>
      <c r="AC283">
        <f>IF(A283=1,-N('Исходные данные'!$B$19)*N('Исходные данные'!$B$72),0)</f>
        <v>0</v>
      </c>
      <c r="AD283">
        <f>IF(OR(B283="",'Исходные данные'!$B$22&lt;&gt;"Да",'Исходные данные'!$B$26=""),0,IF(AND(YEAR(B283)=YEAR('Исходные данные'!$B$26),MONTH(B283)=MONTH('Исходные данные'!$B$26)),N('Исходные данные'!$B$23),0))</f>
        <v>0</v>
      </c>
      <c r="AE283">
        <f t="shared" si="152"/>
        <v>0</v>
      </c>
      <c r="AF283">
        <f>IF(OR('Исходные данные'!$B$22&lt;&gt;"Да",'Исходные данные'!$B$26="",C283&lt;'Исходные данные'!$B$26),0,DATEDIF(DATE(YEAR('Исходные данные'!$B$26),MONTH('Исходные данные'!$B$26),1),B283,"m")+1)</f>
        <v>0</v>
      </c>
      <c r="AG283">
        <f>IF(OR(AF283&lt;1,AF283&gt;N('Исходные данные'!$B$25),AE283+AD283&lt;=0),0,-(AE283+AD283)*N('Исходные данные'!$B$24)*IF(AF283=1,C283-'Исходные данные'!$B$26+1,DAY(C283))/365)</f>
        <v>0</v>
      </c>
      <c r="AH283">
        <f>IF(OR(AF283&lt;1,AF283&gt;N('Исходные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данные'!$B$25)-AG283))</f>
        <v>0</v>
      </c>
      <c r="AI283">
        <f>IF(OR('Исходные данные'!$B$22&lt;&gt;"Да",AE283+AD283&lt;=0),0,IF(AND('Исходные данные'!$B$91&lt;&gt;"",B283&lt;&gt;"",YEAR(B283)=YEAR('Исходные данные'!$B$91),MONTH(B283)=MONTH('Исходные данные'!$B$91)),-(AE283+AD283),IF(OR(AF283&lt;1,AF283&gt;N('Исходные данные'!$B$25)),0,IF('Исходные данные'!$B$27="Равными долями",-MIN(AE283+AD283,N('Исходные данные'!$B$23)/N('Исходные данные'!$B$25)),-MIN(AE283+AD283,IF(AF283=N('Исходные данные'!$B$25),AE283+AD283,MAX(0,AH283+AG283)))))))</f>
        <v>0</v>
      </c>
      <c r="AJ283">
        <f t="shared" si="170"/>
        <v>0</v>
      </c>
      <c r="AK283">
        <f t="shared" si="153"/>
        <v>0</v>
      </c>
      <c r="AL283">
        <f>IF(OR(B283="",'Исходные данные'!$B$51&lt;&gt;"Да",'Исходные данные'!$B$61=""),0,IF(AND(YEAR(B283)=YEAR('Исходные данные'!$B$61),MONTH(B283)=MONTH('Исходные данные'!$B$61)),N('Исходные данные'!$B$18)*N('Исходные данные'!$B$62),0))</f>
        <v>0</v>
      </c>
      <c r="AM283">
        <f t="shared" si="154"/>
        <v>0</v>
      </c>
      <c r="AN283">
        <f t="shared" si="155"/>
        <v>0</v>
      </c>
      <c r="AO283">
        <f t="shared" si="156"/>
        <v>0</v>
      </c>
      <c r="AP283">
        <f>IF('Исходные данные'!$B$51="Да",-MAX(0,AN283-AO283-AM283),0)</f>
        <v>0</v>
      </c>
      <c r="AQ283">
        <f>IF('Исходные данные'!$B$51="Да",MAX(0,AM283+AO283-AN283),0)</f>
        <v>0</v>
      </c>
      <c r="AR283">
        <f>IF('Исходные данные'!$B$53="Выручка",MAX(0,L283+(Q283-R283)+(U283-V283)),IF('Исходные данные'!$B$53="Прибыль до налога",MAX(0,L283+(Q283-R283)+(U283-V283)+N('Исходные данные'!$B$54)*((O283+P283)+(S283+T283)+W283+X283)+IF('Исходные данные'!$B$55="Да",AG283,0)-N('Исходные данные'!$B$56)/12),IF('Исходные данные'!$B$53="Пользовательская база",MAX(0,N('Исходные данные'!$B$57)/12),0)))</f>
        <v>0</v>
      </c>
      <c r="AS283">
        <f>IF(E283=1,-AR283*N('Исходные данные'!$B$50),0)</f>
        <v>0</v>
      </c>
      <c r="AT283">
        <f t="shared" si="157"/>
        <v>0</v>
      </c>
      <c r="AU283">
        <f>IF(OR(B283="",N('Исходные данные'!$B$80)&lt;=0,'Исходные данные'!$B$88=""),0,MAX(0,IF('Исходные данные'!$B$88="Последние 12 месяцев",SUMIFS($Y$2:$Y$194,$B$2:$B$194,"&gt;="&amp;EDATE(B283,-11),$B$2:$B$194,"&lt;="&amp;B283),IF('Исходные данные'!$B$88="Пользовательский NOI",N('Исходные данные'!$B$89),AT283))/N('Исходные данные'!$B$80)*(1+N('Исходные данные'!$B$81))))</f>
        <v>0</v>
      </c>
      <c r="AV283">
        <f>IF(OR(E283&lt;&gt;1,B283="",'Исходные данные'!$B$91=""),0,IF(AND(YEAR(B283)=YEAR('Исходные данные'!$B$91),MONTH(B283)=MONTH('Исходные данные'!$B$91)),AU283,0))</f>
        <v>0</v>
      </c>
      <c r="AW283">
        <f>-AV283*N('Исходные данные'!$B$73)</f>
        <v>0</v>
      </c>
      <c r="AX283">
        <f>IF(AV283=0,0,-N('Исходные данные'!$B$87)-IF('Исходные данные'!$B$82="Да",IF('Исходные данные'!$B$84="С выручки",AV283,IF('Исходные данные'!$B$84="С прибыли",MAX(0,AV283+AW283-IF('Исходные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83">
        <f t="shared" si="171"/>
        <v>0</v>
      </c>
      <c r="AZ283">
        <f t="shared" si="158"/>
        <v>0</v>
      </c>
      <c r="BA283">
        <f t="shared" si="172"/>
        <v>0</v>
      </c>
      <c r="BB283" t="str">
        <f t="shared" si="159"/>
        <v/>
      </c>
      <c r="BC283">
        <f>IF(OR(E283=0,'Исходные данные'!$B$9="",'Исходные данные'!$B$90=""),0,BA283/(1+'Исходные данные'!$B$90)^((D283-'Исходные данные'!$B$9)/365))</f>
        <v>0</v>
      </c>
      <c r="BD283">
        <f>IF(AND(E283=1,BB283&gt;=0,BB282&lt;0,MIN($BB$2:BB283)&lt;0),1,0)</f>
        <v>0</v>
      </c>
      <c r="BE283">
        <f t="shared" si="160"/>
        <v>0</v>
      </c>
      <c r="BF283">
        <f t="shared" si="161"/>
        <v>0</v>
      </c>
      <c r="BG283">
        <f t="shared" si="162"/>
        <v>0</v>
      </c>
      <c r="BH283">
        <f t="shared" si="163"/>
        <v>1</v>
      </c>
      <c r="BI283">
        <f>AZ283+N283+AP283-AR283*N('Исходные данные'!$B$50)</f>
        <v>0</v>
      </c>
      <c r="BJ283">
        <f t="shared" si="164"/>
        <v>0</v>
      </c>
      <c r="BK283">
        <f>IF(AND(BJ283&gt;=0,BJ282&lt;0,MIN($BJ$2:BJ283)&lt;0),1,0)</f>
        <v>0</v>
      </c>
    </row>
    <row r="284" spans="1:63" x14ac:dyDescent="0.2">
      <c r="A284">
        <v>283</v>
      </c>
      <c r="B284" t="str">
        <f>IF('Исходные данные'!$B$9="","",EDATE(DATE(YEAR('Исходные данные'!$B$9),MONTH('Исходные данные'!$B$9),1),A284-1))</f>
        <v/>
      </c>
      <c r="C284" t="str">
        <f t="shared" si="165"/>
        <v/>
      </c>
      <c r="D284" t="str">
        <f>IF(B284="","",IF('Исходные данные'!$B$91&lt;&gt;"",IF(AND(YEAR(B284)=YEAR('Исходные данные'!$B$91),MONTH(B284)=MONTH('Исходные данные'!$B$91)),'Исходные данные'!$B$91,IF('Исходные данные'!$B$13&lt;&gt;"",IF(AND(YEAR(B284)=YEAR('Исходные данные'!$B$13),MONTH(B284)=MONTH('Исходные данные'!$B$13)),'Исходные данные'!$B$13,IF('Исходные данные'!$B$26&lt;&gt;"",IF(AND(YEAR(B284)=YEAR('Исходные данные'!$B$26),MONTH(B284)=MONTH('Исходные данные'!$B$26)),'Исходные данные'!$B$26,IF(A284=1,'Исходные данные'!$B$9,C284)),IF(A284=1,'Исходные данные'!$B$9,C284))),IF('Исходные данные'!$B$26&lt;&gt;"",IF(AND(YEAR(B284)=YEAR('Исходные данные'!$B$26),MONTH(B284)=MONTH('Исходные данные'!$B$26)),'Исходные данные'!$B$26,IF(A284=1,'Исходные данные'!$B$9,C284)),IF(A284=1,'Исходные данные'!$B$9,C284)))),IF('Исходные данные'!$B$13&lt;&gt;"",IF(AND(YEAR(B284)=YEAR('Исходные данные'!$B$13),MONTH(B284)=MONTH('Исходные данные'!$B$13)),'Исходные данные'!$B$13,IF('Исходные данные'!$B$26&lt;&gt;"",IF(AND(YEAR(B284)=YEAR('Исходные данные'!$B$26),MONTH(B284)=MONTH('Исходные данные'!$B$26)),'Исходные данные'!$B$26,IF(A284=1,'Исходные данные'!$B$9,C284)),IF(A284=1,'Исходные данные'!$B$9,C284))),IF('Исходные данные'!$B$26&lt;&gt;"",IF(AND(YEAR(B284)=YEAR('Исходные данные'!$B$26),MONTH(B284)=MONTH('Исходные данные'!$B$26)),'Исходные данные'!$B$26,IF(A284=1,'Исходные данные'!$B$9,C284)),IF(A284=1,'Исходные данные'!$B$9,C284)))))</f>
        <v/>
      </c>
      <c r="E284">
        <f>IF(OR(B284="",'Исходные данные'!$B$91=""),0,--(B284&lt;=DATE(YEAR('Исходные данные'!$B$91),MONTH('Исходные данные'!$B$91),1)))</f>
        <v>0</v>
      </c>
      <c r="F284">
        <f>IF(OR(B284="",'Исходные данные'!$B$30="",C284&lt;'Исходные данные'!$B$30),0,DATEDIF(DATE(YEAR('Исходные данные'!$B$30),MONTH('Исходные данные'!$B$30),1),B284,"m")+1)</f>
        <v>0</v>
      </c>
      <c r="G284">
        <f t="shared" si="166"/>
        <v>0</v>
      </c>
      <c r="H284">
        <f>IF(F284=0,0,IF(G284=1,N('Исходные данные'!$B$31),IF(G284=2,N('Исходные данные'!$B$32),IF(G284=3,N('Исходные данные'!$B$33),N('Исходные данные'!$B$33)*(1+N('Исходные данные'!$B$34))^(G284-3)))))</f>
        <v>0</v>
      </c>
      <c r="I284">
        <f>IF(OR(F284=0,N('Исходные данные'!$B$5)=0,H284=0),0,'Исходные данные'!$B$5*H284*IF(AND(B284&lt;='Исходные данные'!$B$30,C284&gt;='Исходные данные'!$B$30),(C284-'Исходные данные'!$B$30+1)/DAY(C284),1))</f>
        <v>0</v>
      </c>
      <c r="J284">
        <f>IF(AND(F284&gt;0,F284&lt;=N('Исходные данные'!$B$37)),-I284,0)</f>
        <v>0</v>
      </c>
      <c r="K284">
        <f>IF(OR(F284=0,F284&lt;=N('Исходные данные'!$B$37)),0,-(I284+J284)*N('Исходные данные'!$B$38))</f>
        <v>0</v>
      </c>
      <c r="L284">
        <f t="shared" si="167"/>
        <v>0</v>
      </c>
      <c r="M284">
        <f>IF('Исходные данные'!$B$51="Да",L284*N('Исходные данные'!$B$52),0)</f>
        <v>0</v>
      </c>
      <c r="N284">
        <f t="shared" si="168"/>
        <v>0</v>
      </c>
      <c r="O284">
        <f>IF(OR(B284="",IF('Исходные данные'!$B$45="",'Исходные данные'!$B$10,'Исходные данные'!$B$45)="",C284&lt;IF('Исходные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данные'!$B$45)),1),B284,"m")/12))*IF(AND(B284&lt;=IF('Исходные данные'!$B$45="",'Исходные данные'!$B$10,'Исходные данные'!$B$45),C284&gt;=IF('Исходные данные'!$B$45="",'Исходные данные'!$B$10,'Исходные данные'!$B$45)),(C284-IF('Исходные данные'!$B$45="",'Исходные данные'!$B$10,'Исходные данные'!$B$45)+1)/DAY(C284),1)*IF('Исходные данные'!$B$43="Без НДС",1+N('Исходные данные'!$B$44),1))</f>
        <v>0</v>
      </c>
      <c r="P284">
        <f>IF('Исходные данные'!$B$51="Да",-O284*N('Исходные данные'!$B$44)/(1+N('Исходные данные'!$B$44)),0)</f>
        <v>0</v>
      </c>
      <c r="Q284">
        <f>IF('Исходные данные'!$B$35="Да",-O284,0)</f>
        <v>0</v>
      </c>
      <c r="R284">
        <f>IF(AND('Исходные данные'!$B$51="Да",Q284&gt;0),Q284*N('Исходные данные'!$B$52)/(1+N('Исходные данные'!$B$52)),0)</f>
        <v>0</v>
      </c>
      <c r="S284">
        <f>IF(OR(B284="",IF('Исходные данные'!$B$45="",'Исходные данные'!$B$10,'Исходные данные'!$B$45)="",C284&lt;IF('Исходные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данные'!$B$45)),1),B284,"m")/12))*IF(AND(B284&lt;=IF('Исходные данные'!$B$45="",'Исходные данные'!$B$10,'Исходные данные'!$B$45),C284&gt;=IF('Исходные данные'!$B$45="",'Исходные данные'!$B$10,'Исходные данные'!$B$45)),(C284-IF('Исходные данные'!$B$45="",'Исходные данные'!$B$10,'Исходные данные'!$B$45)+1)/DAY(C284),1)*IF('Исходные данные'!$B$43="Без НДС",1+N('Исходные данные'!$B$44),1))</f>
        <v>0</v>
      </c>
      <c r="T284">
        <f>IF('Исходные данные'!$B$51="Да",-S284*N('Исходные данные'!$B$44)/(1+N('Исходные данные'!$B$44)),0)</f>
        <v>0</v>
      </c>
      <c r="U284">
        <f>IF('Исходные данные'!$B$36="Да",-S284,0)</f>
        <v>0</v>
      </c>
      <c r="V284">
        <f>IF(AND('Исходные данные'!$B$51="Да",U284&gt;0),U284*N('Исходные данные'!$B$52)/(1+N('Исходные данные'!$B$52)),0)</f>
        <v>0</v>
      </c>
      <c r="W284">
        <f>IF(OR(B284="",IF('Исходные данные'!$B$69="",'Исходные данные'!$B$10,'Исходные данные'!$B$69)="",C284&lt;IF('Исходные данные'!$B$69="",'Исходные данные'!$B$10,'Исходные данные'!$B$69)),0,-N('Исходные данные'!$B$16)*N('Исходные данные'!$B$68)*N('Исходные данные'!$B$67)/12*IF(AND(B284&lt;=IF('Исходные данные'!$B$69="",'Исходные данные'!$B$10,'Исходные данные'!$B$69),C284&gt;=IF('Исходные данные'!$B$69="",'Исходные данные'!$B$10,'Исходные данные'!$B$69)),(C284-IF('Исходные данные'!$B$69="",'Исходные данные'!$B$10,'Исходные данные'!$B$69)+1)/DAY(C284),1))</f>
        <v>0</v>
      </c>
      <c r="X284">
        <f>IF(OR(B284="",IF('Исходные данные'!$B$76="",'Исходные данные'!$B$10,'Исходные данные'!$B$76)="",C284&lt;IF('Исходные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данные'!$B$76)),1),B284,"m")/12))*IF(AND(B284&lt;=IF('Исходные данные'!$B$76="",'Исходные данные'!$B$10,'Исходные данные'!$B$76),C284&gt;=IF('Исходные данные'!$B$76="",'Исходные данные'!$B$10,'Исходные данные'!$B$76)),(C284-IF('Исходные данные'!$B$76="",'Исходные данные'!$B$10,'Исходные данные'!$B$76)+1)/DAY(C284),1))</f>
        <v>0</v>
      </c>
      <c r="Y284">
        <f t="shared" si="169"/>
        <v>0</v>
      </c>
      <c r="Z284">
        <f>IF(OR(B284="",N('Исходные данные'!$B$19)=0),0,-SUMIFS('Исходные данные'!$I$6:$I$186,'Исходные данные'!$F$6:$F$186,B284)*N('Исходные данные'!$B$17)/N('Исходные данные'!$B$19))</f>
        <v>0</v>
      </c>
      <c r="AA284">
        <f>IF(OR(B284="",N('Исходные данные'!$B$19)=0),0,-SUMIFS('Исходные данные'!$I$6:$I$186,'Исходные данные'!$F$6:$F$186,B284)*N('Исходные данные'!$B$18)/N('Исходные данные'!$B$19))</f>
        <v>0</v>
      </c>
      <c r="AB284">
        <f>IF(OR(B284="",'Исходные данные'!$B$13=""),0,IF(AND(YEAR(B284)=YEAR('Исходные данные'!$B$13),MONTH(B284)=MONTH('Исходные данные'!$B$13)),-N('Исходные данные'!$B$11),0))</f>
        <v>0</v>
      </c>
      <c r="AC284">
        <f>IF(A284=1,-N('Исходные данные'!$B$19)*N('Исходные данные'!$B$72),0)</f>
        <v>0</v>
      </c>
      <c r="AD284">
        <f>IF(OR(B284="",'Исходные данные'!$B$22&lt;&gt;"Да",'Исходные данные'!$B$26=""),0,IF(AND(YEAR(B284)=YEAR('Исходные данные'!$B$26),MONTH(B284)=MONTH('Исходные данные'!$B$26)),N('Исходные данные'!$B$23),0))</f>
        <v>0</v>
      </c>
      <c r="AE284">
        <f t="shared" si="152"/>
        <v>0</v>
      </c>
      <c r="AF284">
        <f>IF(OR('Исходные данные'!$B$22&lt;&gt;"Да",'Исходные данные'!$B$26="",C284&lt;'Исходные данные'!$B$26),0,DATEDIF(DATE(YEAR('Исходные данные'!$B$26),MONTH('Исходные данные'!$B$26),1),B284,"m")+1)</f>
        <v>0</v>
      </c>
      <c r="AG284">
        <f>IF(OR(AF284&lt;1,AF284&gt;N('Исходные данные'!$B$25),AE284+AD284&lt;=0),0,-(AE284+AD284)*N('Исходные данные'!$B$24)*IF(AF284=1,C284-'Исходные данные'!$B$26+1,DAY(C284))/365)</f>
        <v>0</v>
      </c>
      <c r="AH284">
        <f>IF(OR(AF284&lt;1,AF284&gt;N('Исходные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данные'!$B$25)-AG284))</f>
        <v>0</v>
      </c>
      <c r="AI284">
        <f>IF(OR('Исходные данные'!$B$22&lt;&gt;"Да",AE284+AD284&lt;=0),0,IF(AND('Исходные данные'!$B$91&lt;&gt;"",B284&lt;&gt;"",YEAR(B284)=YEAR('Исходные данные'!$B$91),MONTH(B284)=MONTH('Исходные данные'!$B$91)),-(AE284+AD284),IF(OR(AF284&lt;1,AF284&gt;N('Исходные данные'!$B$25)),0,IF('Исходные данные'!$B$27="Равными долями",-MIN(AE284+AD284,N('Исходные данные'!$B$23)/N('Исходные данные'!$B$25)),-MIN(AE284+AD284,IF(AF284=N('Исходные данные'!$B$25),AE284+AD284,MAX(0,AH284+AG284)))))))</f>
        <v>0</v>
      </c>
      <c r="AJ284">
        <f t="shared" si="170"/>
        <v>0</v>
      </c>
      <c r="AK284">
        <f t="shared" si="153"/>
        <v>0</v>
      </c>
      <c r="AL284">
        <f>IF(OR(B284="",'Исходные данные'!$B$51&lt;&gt;"Да",'Исходные данные'!$B$61=""),0,IF(AND(YEAR(B284)=YEAR('Исходные данные'!$B$61),MONTH(B284)=MONTH('Исходные данные'!$B$61)),N('Исходные данные'!$B$18)*N('Исходные данные'!$B$62),0))</f>
        <v>0</v>
      </c>
      <c r="AM284">
        <f t="shared" si="154"/>
        <v>0</v>
      </c>
      <c r="AN284">
        <f t="shared" si="155"/>
        <v>0</v>
      </c>
      <c r="AO284">
        <f t="shared" si="156"/>
        <v>0</v>
      </c>
      <c r="AP284">
        <f>IF('Исходные данные'!$B$51="Да",-MAX(0,AN284-AO284-AM284),0)</f>
        <v>0</v>
      </c>
      <c r="AQ284">
        <f>IF('Исходные данные'!$B$51="Да",MAX(0,AM284+AO284-AN284),0)</f>
        <v>0</v>
      </c>
      <c r="AR284">
        <f>IF('Исходные данные'!$B$53="Выручка",MAX(0,L284+(Q284-R284)+(U284-V284)),IF('Исходные данные'!$B$53="Прибыль до налога",MAX(0,L284+(Q284-R284)+(U284-V284)+N('Исходные данные'!$B$54)*((O284+P284)+(S284+T284)+W284+X284)+IF('Исходные данные'!$B$55="Да",AG284,0)-N('Исходные данные'!$B$56)/12),IF('Исходные данные'!$B$53="Пользовательская база",MAX(0,N('Исходные данные'!$B$57)/12),0)))</f>
        <v>0</v>
      </c>
      <c r="AS284">
        <f>IF(E284=1,-AR284*N('Исходные данные'!$B$50),0)</f>
        <v>0</v>
      </c>
      <c r="AT284">
        <f t="shared" si="157"/>
        <v>0</v>
      </c>
      <c r="AU284">
        <f>IF(OR(B284="",N('Исходные данные'!$B$80)&lt;=0,'Исходные данные'!$B$88=""),0,MAX(0,IF('Исходные данные'!$B$88="Последние 12 месяцев",SUMIFS($Y$2:$Y$194,$B$2:$B$194,"&gt;="&amp;EDATE(B284,-11),$B$2:$B$194,"&lt;="&amp;B284),IF('Исходные данные'!$B$88="Пользовательский NOI",N('Исходные данные'!$B$89),AT284))/N('Исходные данные'!$B$80)*(1+N('Исходные данные'!$B$81))))</f>
        <v>0</v>
      </c>
      <c r="AV284">
        <f>IF(OR(E284&lt;&gt;1,B284="",'Исходные данные'!$B$91=""),0,IF(AND(YEAR(B284)=YEAR('Исходные данные'!$B$91),MONTH(B284)=MONTH('Исходные данные'!$B$91)),AU284,0))</f>
        <v>0</v>
      </c>
      <c r="AW284">
        <f>-AV284*N('Исходные данные'!$B$73)</f>
        <v>0</v>
      </c>
      <c r="AX284">
        <f>IF(AV284=0,0,-N('Исходные данные'!$B$87)-IF('Исходные данные'!$B$82="Да",IF('Исходные данные'!$B$84="С выручки",AV284,IF('Исходные данные'!$B$84="С прибыли",MAX(0,AV284+AW284-IF('Исходные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84">
        <f t="shared" si="171"/>
        <v>0</v>
      </c>
      <c r="AZ284">
        <f t="shared" si="158"/>
        <v>0</v>
      </c>
      <c r="BA284">
        <f t="shared" si="172"/>
        <v>0</v>
      </c>
      <c r="BB284" t="str">
        <f t="shared" si="159"/>
        <v/>
      </c>
      <c r="BC284">
        <f>IF(OR(E284=0,'Исходные данные'!$B$9="",'Исходные данные'!$B$90=""),0,BA284/(1+'Исходные данные'!$B$90)^((D284-'Исходные данные'!$B$9)/365))</f>
        <v>0</v>
      </c>
      <c r="BD284">
        <f>IF(AND(E284=1,BB284&gt;=0,BB283&lt;0,MIN($BB$2:BB284)&lt;0),1,0)</f>
        <v>0</v>
      </c>
      <c r="BE284">
        <f t="shared" si="160"/>
        <v>0</v>
      </c>
      <c r="BF284">
        <f t="shared" si="161"/>
        <v>0</v>
      </c>
      <c r="BG284">
        <f t="shared" si="162"/>
        <v>0</v>
      </c>
      <c r="BH284">
        <f t="shared" si="163"/>
        <v>1</v>
      </c>
      <c r="BI284">
        <f>AZ284+N284+AP284-AR284*N('Исходные данные'!$B$50)</f>
        <v>0</v>
      </c>
      <c r="BJ284">
        <f t="shared" si="164"/>
        <v>0</v>
      </c>
      <c r="BK284">
        <f>IF(AND(BJ284&gt;=0,BJ283&lt;0,MIN($BJ$2:BJ284)&lt;0),1,0)</f>
        <v>0</v>
      </c>
    </row>
    <row r="285" spans="1:63" x14ac:dyDescent="0.2">
      <c r="A285">
        <v>284</v>
      </c>
      <c r="B285" t="str">
        <f>IF('Исходные данные'!$B$9="","",EDATE(DATE(YEAR('Исходные данные'!$B$9),MONTH('Исходные данные'!$B$9),1),A285-1))</f>
        <v/>
      </c>
      <c r="C285" t="str">
        <f t="shared" si="165"/>
        <v/>
      </c>
      <c r="D285" t="str">
        <f>IF(B285="","",IF('Исходные данные'!$B$91&lt;&gt;"",IF(AND(YEAR(B285)=YEAR('Исходные данные'!$B$91),MONTH(B285)=MONTH('Исходные данные'!$B$91)),'Исходные данные'!$B$91,IF('Исходные данные'!$B$13&lt;&gt;"",IF(AND(YEAR(B285)=YEAR('Исходные данные'!$B$13),MONTH(B285)=MONTH('Исходные данные'!$B$13)),'Исходные данные'!$B$13,IF('Исходные данные'!$B$26&lt;&gt;"",IF(AND(YEAR(B285)=YEAR('Исходные данные'!$B$26),MONTH(B285)=MONTH('Исходные данные'!$B$26)),'Исходные данные'!$B$26,IF(A285=1,'Исходные данные'!$B$9,C285)),IF(A285=1,'Исходные данные'!$B$9,C285))),IF('Исходные данные'!$B$26&lt;&gt;"",IF(AND(YEAR(B285)=YEAR('Исходные данные'!$B$26),MONTH(B285)=MONTH('Исходные данные'!$B$26)),'Исходные данные'!$B$26,IF(A285=1,'Исходные данные'!$B$9,C285)),IF(A285=1,'Исходные данные'!$B$9,C285)))),IF('Исходные данные'!$B$13&lt;&gt;"",IF(AND(YEAR(B285)=YEAR('Исходные данные'!$B$13),MONTH(B285)=MONTH('Исходные данные'!$B$13)),'Исходные данные'!$B$13,IF('Исходные данные'!$B$26&lt;&gt;"",IF(AND(YEAR(B285)=YEAR('Исходные данные'!$B$26),MONTH(B285)=MONTH('Исходные данные'!$B$26)),'Исходные данные'!$B$26,IF(A285=1,'Исходные данные'!$B$9,C285)),IF(A285=1,'Исходные данные'!$B$9,C285))),IF('Исходные данные'!$B$26&lt;&gt;"",IF(AND(YEAR(B285)=YEAR('Исходные данные'!$B$26),MONTH(B285)=MONTH('Исходные данные'!$B$26)),'Исходные данные'!$B$26,IF(A285=1,'Исходные данные'!$B$9,C285)),IF(A285=1,'Исходные данные'!$B$9,C285)))))</f>
        <v/>
      </c>
      <c r="E285">
        <f>IF(OR(B285="",'Исходные данные'!$B$91=""),0,--(B285&lt;=DATE(YEAR('Исходные данные'!$B$91),MONTH('Исходные данные'!$B$91),1)))</f>
        <v>0</v>
      </c>
      <c r="F285">
        <f>IF(OR(B285="",'Исходные данные'!$B$30="",C285&lt;'Исходные данные'!$B$30),0,DATEDIF(DATE(YEAR('Исходные данные'!$B$30),MONTH('Исходные данные'!$B$30),1),B285,"m")+1)</f>
        <v>0</v>
      </c>
      <c r="G285">
        <f t="shared" si="166"/>
        <v>0</v>
      </c>
      <c r="H285">
        <f>IF(F285=0,0,IF(G285=1,N('Исходные данные'!$B$31),IF(G285=2,N('Исходные данные'!$B$32),IF(G285=3,N('Исходные данные'!$B$33),N('Исходные данные'!$B$33)*(1+N('Исходные данные'!$B$34))^(G285-3)))))</f>
        <v>0</v>
      </c>
      <c r="I285">
        <f>IF(OR(F285=0,N('Исходные данные'!$B$5)=0,H285=0),0,'Исходные данные'!$B$5*H285*IF(AND(B285&lt;='Исходные данные'!$B$30,C285&gt;='Исходные данные'!$B$30),(C285-'Исходные данные'!$B$30+1)/DAY(C285),1))</f>
        <v>0</v>
      </c>
      <c r="J285">
        <f>IF(AND(F285&gt;0,F285&lt;=N('Исходные данные'!$B$37)),-I285,0)</f>
        <v>0</v>
      </c>
      <c r="K285">
        <f>IF(OR(F285=0,F285&lt;=N('Исходные данные'!$B$37)),0,-(I285+J285)*N('Исходные данные'!$B$38))</f>
        <v>0</v>
      </c>
      <c r="L285">
        <f t="shared" si="167"/>
        <v>0</v>
      </c>
      <c r="M285">
        <f>IF('Исходные данные'!$B$51="Да",L285*N('Исходные данные'!$B$52),0)</f>
        <v>0</v>
      </c>
      <c r="N285">
        <f t="shared" si="168"/>
        <v>0</v>
      </c>
      <c r="O285">
        <f>IF(OR(B285="",IF('Исходные данные'!$B$45="",'Исходные данные'!$B$10,'Исходные данные'!$B$45)="",C285&lt;IF('Исходные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данные'!$B$45)),1),B285,"m")/12))*IF(AND(B285&lt;=IF('Исходные данные'!$B$45="",'Исходные данные'!$B$10,'Исходные данные'!$B$45),C285&gt;=IF('Исходные данные'!$B$45="",'Исходные данные'!$B$10,'Исходные данные'!$B$45)),(C285-IF('Исходные данные'!$B$45="",'Исходные данные'!$B$10,'Исходные данные'!$B$45)+1)/DAY(C285),1)*IF('Исходные данные'!$B$43="Без НДС",1+N('Исходные данные'!$B$44),1))</f>
        <v>0</v>
      </c>
      <c r="P285">
        <f>IF('Исходные данные'!$B$51="Да",-O285*N('Исходные данные'!$B$44)/(1+N('Исходные данные'!$B$44)),0)</f>
        <v>0</v>
      </c>
      <c r="Q285">
        <f>IF('Исходные данные'!$B$35="Да",-O285,0)</f>
        <v>0</v>
      </c>
      <c r="R285">
        <f>IF(AND('Исходные данные'!$B$51="Да",Q285&gt;0),Q285*N('Исходные данные'!$B$52)/(1+N('Исходные данные'!$B$52)),0)</f>
        <v>0</v>
      </c>
      <c r="S285">
        <f>IF(OR(B285="",IF('Исходные данные'!$B$45="",'Исходные данные'!$B$10,'Исходные данные'!$B$45)="",C285&lt;IF('Исходные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данные'!$B$45)),1),B285,"m")/12))*IF(AND(B285&lt;=IF('Исходные данные'!$B$45="",'Исходные данные'!$B$10,'Исходные данные'!$B$45),C285&gt;=IF('Исходные данные'!$B$45="",'Исходные данные'!$B$10,'Исходные данные'!$B$45)),(C285-IF('Исходные данные'!$B$45="",'Исходные данные'!$B$10,'Исходные данные'!$B$45)+1)/DAY(C285),1)*IF('Исходные данные'!$B$43="Без НДС",1+N('Исходные данные'!$B$44),1))</f>
        <v>0</v>
      </c>
      <c r="T285">
        <f>IF('Исходные данные'!$B$51="Да",-S285*N('Исходные данные'!$B$44)/(1+N('Исходные данные'!$B$44)),0)</f>
        <v>0</v>
      </c>
      <c r="U285">
        <f>IF('Исходные данные'!$B$36="Да",-S285,0)</f>
        <v>0</v>
      </c>
      <c r="V285">
        <f>IF(AND('Исходные данные'!$B$51="Да",U285&gt;0),U285*N('Исходные данные'!$B$52)/(1+N('Исходные данные'!$B$52)),0)</f>
        <v>0</v>
      </c>
      <c r="W285">
        <f>IF(OR(B285="",IF('Исходные данные'!$B$69="",'Исходные данные'!$B$10,'Исходные данные'!$B$69)="",C285&lt;IF('Исходные данные'!$B$69="",'Исходные данные'!$B$10,'Исходные данные'!$B$69)),0,-N('Исходные данные'!$B$16)*N('Исходные данные'!$B$68)*N('Исходные данные'!$B$67)/12*IF(AND(B285&lt;=IF('Исходные данные'!$B$69="",'Исходные данные'!$B$10,'Исходные данные'!$B$69),C285&gt;=IF('Исходные данные'!$B$69="",'Исходные данные'!$B$10,'Исходные данные'!$B$69)),(C285-IF('Исходные данные'!$B$69="",'Исходные данные'!$B$10,'Исходные данные'!$B$69)+1)/DAY(C285),1))</f>
        <v>0</v>
      </c>
      <c r="X285">
        <f>IF(OR(B285="",IF('Исходные данные'!$B$76="",'Исходные данные'!$B$10,'Исходные данные'!$B$76)="",C285&lt;IF('Исходные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данные'!$B$76)),1),B285,"m")/12))*IF(AND(B285&lt;=IF('Исходные данные'!$B$76="",'Исходные данные'!$B$10,'Исходные данные'!$B$76),C285&gt;=IF('Исходные данные'!$B$76="",'Исходные данные'!$B$10,'Исходные данные'!$B$76)),(C285-IF('Исходные данные'!$B$76="",'Исходные данные'!$B$10,'Исходные данные'!$B$76)+1)/DAY(C285),1))</f>
        <v>0</v>
      </c>
      <c r="Y285">
        <f t="shared" si="169"/>
        <v>0</v>
      </c>
      <c r="Z285">
        <f>IF(OR(B285="",N('Исходные данные'!$B$19)=0),0,-SUMIFS('Исходные данные'!$I$6:$I$186,'Исходные данные'!$F$6:$F$186,B285)*N('Исходные данные'!$B$17)/N('Исходные данные'!$B$19))</f>
        <v>0</v>
      </c>
      <c r="AA285">
        <f>IF(OR(B285="",N('Исходные данные'!$B$19)=0),0,-SUMIFS('Исходные данные'!$I$6:$I$186,'Исходные данные'!$F$6:$F$186,B285)*N('Исходные данные'!$B$18)/N('Исходные данные'!$B$19))</f>
        <v>0</v>
      </c>
      <c r="AB285">
        <f>IF(OR(B285="",'Исходные данные'!$B$13=""),0,IF(AND(YEAR(B285)=YEAR('Исходные данные'!$B$13),MONTH(B285)=MONTH('Исходные данные'!$B$13)),-N('Исходные данные'!$B$11),0))</f>
        <v>0</v>
      </c>
      <c r="AC285">
        <f>IF(A285=1,-N('Исходные данные'!$B$19)*N('Исходные данные'!$B$72),0)</f>
        <v>0</v>
      </c>
      <c r="AD285">
        <f>IF(OR(B285="",'Исходные данные'!$B$22&lt;&gt;"Да",'Исходные данные'!$B$26=""),0,IF(AND(YEAR(B285)=YEAR('Исходные данные'!$B$26),MONTH(B285)=MONTH('Исходные данные'!$B$26)),N('Исходные данные'!$B$23),0))</f>
        <v>0</v>
      </c>
      <c r="AE285">
        <f t="shared" si="152"/>
        <v>0</v>
      </c>
      <c r="AF285">
        <f>IF(OR('Исходные данные'!$B$22&lt;&gt;"Да",'Исходные данные'!$B$26="",C285&lt;'Исходные данные'!$B$26),0,DATEDIF(DATE(YEAR('Исходные данные'!$B$26),MONTH('Исходные данные'!$B$26),1),B285,"m")+1)</f>
        <v>0</v>
      </c>
      <c r="AG285">
        <f>IF(OR(AF285&lt;1,AF285&gt;N('Исходные данные'!$B$25),AE285+AD285&lt;=0),0,-(AE285+AD285)*N('Исходные данные'!$B$24)*IF(AF285=1,C285-'Исходные данные'!$B$26+1,DAY(C285))/365)</f>
        <v>0</v>
      </c>
      <c r="AH285">
        <f>IF(OR(AF285&lt;1,AF285&gt;N('Исходные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данные'!$B$25)-AG285))</f>
        <v>0</v>
      </c>
      <c r="AI285">
        <f>IF(OR('Исходные данные'!$B$22&lt;&gt;"Да",AE285+AD285&lt;=0),0,IF(AND('Исходные данные'!$B$91&lt;&gt;"",B285&lt;&gt;"",YEAR(B285)=YEAR('Исходные данные'!$B$91),MONTH(B285)=MONTH('Исходные данные'!$B$91)),-(AE285+AD285),IF(OR(AF285&lt;1,AF285&gt;N('Исходные данные'!$B$25)),0,IF('Исходные данные'!$B$27="Равными долями",-MIN(AE285+AD285,N('Исходные данные'!$B$23)/N('Исходные данные'!$B$25)),-MIN(AE285+AD285,IF(AF285=N('Исходные данные'!$B$25),AE285+AD285,MAX(0,AH285+AG285)))))))</f>
        <v>0</v>
      </c>
      <c r="AJ285">
        <f t="shared" si="170"/>
        <v>0</v>
      </c>
      <c r="AK285">
        <f t="shared" si="153"/>
        <v>0</v>
      </c>
      <c r="AL285">
        <f>IF(OR(B285="",'Исходные данные'!$B$51&lt;&gt;"Да",'Исходные данные'!$B$61=""),0,IF(AND(YEAR(B285)=YEAR('Исходные данные'!$B$61),MONTH(B285)=MONTH('Исходные данные'!$B$61)),N('Исходные данные'!$B$18)*N('Исходные данные'!$B$62),0))</f>
        <v>0</v>
      </c>
      <c r="AM285">
        <f t="shared" si="154"/>
        <v>0</v>
      </c>
      <c r="AN285">
        <f t="shared" si="155"/>
        <v>0</v>
      </c>
      <c r="AO285">
        <f t="shared" si="156"/>
        <v>0</v>
      </c>
      <c r="AP285">
        <f>IF('Исходные данные'!$B$51="Да",-MAX(0,AN285-AO285-AM285),0)</f>
        <v>0</v>
      </c>
      <c r="AQ285">
        <f>IF('Исходные данные'!$B$51="Да",MAX(0,AM285+AO285-AN285),0)</f>
        <v>0</v>
      </c>
      <c r="AR285">
        <f>IF('Исходные данные'!$B$53="Выручка",MAX(0,L285+(Q285-R285)+(U285-V285)),IF('Исходные данные'!$B$53="Прибыль до налога",MAX(0,L285+(Q285-R285)+(U285-V285)+N('Исходные данные'!$B$54)*((O285+P285)+(S285+T285)+W285+X285)+IF('Исходные данные'!$B$55="Да",AG285,0)-N('Исходные данные'!$B$56)/12),IF('Исходные данные'!$B$53="Пользовательская база",MAX(0,N('Исходные данные'!$B$57)/12),0)))</f>
        <v>0</v>
      </c>
      <c r="AS285">
        <f>IF(E285=1,-AR285*N('Исходные данные'!$B$50),0)</f>
        <v>0</v>
      </c>
      <c r="AT285">
        <f t="shared" si="157"/>
        <v>0</v>
      </c>
      <c r="AU285">
        <f>IF(OR(B285="",N('Исходные данные'!$B$80)&lt;=0,'Исходные данные'!$B$88=""),0,MAX(0,IF('Исходные данные'!$B$88="Последние 12 месяцев",SUMIFS($Y$2:$Y$194,$B$2:$B$194,"&gt;="&amp;EDATE(B285,-11),$B$2:$B$194,"&lt;="&amp;B285),IF('Исходные данные'!$B$88="Пользовательский NOI",N('Исходные данные'!$B$89),AT285))/N('Исходные данные'!$B$80)*(1+N('Исходные данные'!$B$81))))</f>
        <v>0</v>
      </c>
      <c r="AV285">
        <f>IF(OR(E285&lt;&gt;1,B285="",'Исходные данные'!$B$91=""),0,IF(AND(YEAR(B285)=YEAR('Исходные данные'!$B$91),MONTH(B285)=MONTH('Исходные данные'!$B$91)),AU285,0))</f>
        <v>0</v>
      </c>
      <c r="AW285">
        <f>-AV285*N('Исходные данные'!$B$73)</f>
        <v>0</v>
      </c>
      <c r="AX285">
        <f>IF(AV285=0,0,-N('Исходные данные'!$B$87)-IF('Исходные данные'!$B$82="Да",IF('Исходные данные'!$B$84="С выручки",AV285,IF('Исходные данные'!$B$84="С прибыли",MAX(0,AV285+AW285-IF('Исходные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85">
        <f t="shared" si="171"/>
        <v>0</v>
      </c>
      <c r="AZ285">
        <f t="shared" si="158"/>
        <v>0</v>
      </c>
      <c r="BA285">
        <f t="shared" si="172"/>
        <v>0</v>
      </c>
      <c r="BB285" t="str">
        <f t="shared" si="159"/>
        <v/>
      </c>
      <c r="BC285">
        <f>IF(OR(E285=0,'Исходные данные'!$B$9="",'Исходные данные'!$B$90=""),0,BA285/(1+'Исходные данные'!$B$90)^((D285-'Исходные данные'!$B$9)/365))</f>
        <v>0</v>
      </c>
      <c r="BD285">
        <f>IF(AND(E285=1,BB285&gt;=0,BB284&lt;0,MIN($BB$2:BB285)&lt;0),1,0)</f>
        <v>0</v>
      </c>
      <c r="BE285">
        <f t="shared" si="160"/>
        <v>0</v>
      </c>
      <c r="BF285">
        <f t="shared" si="161"/>
        <v>0</v>
      </c>
      <c r="BG285">
        <f t="shared" si="162"/>
        <v>0</v>
      </c>
      <c r="BH285">
        <f t="shared" si="163"/>
        <v>1</v>
      </c>
      <c r="BI285">
        <f>AZ285+N285+AP285-AR285*N('Исходные данные'!$B$50)</f>
        <v>0</v>
      </c>
      <c r="BJ285">
        <f t="shared" si="164"/>
        <v>0</v>
      </c>
      <c r="BK285">
        <f>IF(AND(BJ285&gt;=0,BJ284&lt;0,MIN($BJ$2:BJ285)&lt;0),1,0)</f>
        <v>0</v>
      </c>
    </row>
    <row r="286" spans="1:63" x14ac:dyDescent="0.2">
      <c r="A286">
        <v>285</v>
      </c>
      <c r="B286" t="str">
        <f>IF('Исходные данные'!$B$9="","",EDATE(DATE(YEAR('Исходные данные'!$B$9),MONTH('Исходные данные'!$B$9),1),A286-1))</f>
        <v/>
      </c>
      <c r="C286" t="str">
        <f t="shared" si="165"/>
        <v/>
      </c>
      <c r="D286" t="str">
        <f>IF(B286="","",IF('Исходные данные'!$B$91&lt;&gt;"",IF(AND(YEAR(B286)=YEAR('Исходные данные'!$B$91),MONTH(B286)=MONTH('Исходные данные'!$B$91)),'Исходные данные'!$B$91,IF('Исходные данные'!$B$13&lt;&gt;"",IF(AND(YEAR(B286)=YEAR('Исходные данные'!$B$13),MONTH(B286)=MONTH('Исходные данные'!$B$13)),'Исходные данные'!$B$13,IF('Исходные данные'!$B$26&lt;&gt;"",IF(AND(YEAR(B286)=YEAR('Исходные данные'!$B$26),MONTH(B286)=MONTH('Исходные данные'!$B$26)),'Исходные данные'!$B$26,IF(A286=1,'Исходные данные'!$B$9,C286)),IF(A286=1,'Исходные данные'!$B$9,C286))),IF('Исходные данные'!$B$26&lt;&gt;"",IF(AND(YEAR(B286)=YEAR('Исходные данные'!$B$26),MONTH(B286)=MONTH('Исходные данные'!$B$26)),'Исходные данные'!$B$26,IF(A286=1,'Исходные данные'!$B$9,C286)),IF(A286=1,'Исходные данные'!$B$9,C286)))),IF('Исходные данные'!$B$13&lt;&gt;"",IF(AND(YEAR(B286)=YEAR('Исходные данные'!$B$13),MONTH(B286)=MONTH('Исходные данные'!$B$13)),'Исходные данные'!$B$13,IF('Исходные данные'!$B$26&lt;&gt;"",IF(AND(YEAR(B286)=YEAR('Исходные данные'!$B$26),MONTH(B286)=MONTH('Исходные данные'!$B$26)),'Исходные данные'!$B$26,IF(A286=1,'Исходные данные'!$B$9,C286)),IF(A286=1,'Исходные данные'!$B$9,C286))),IF('Исходные данные'!$B$26&lt;&gt;"",IF(AND(YEAR(B286)=YEAR('Исходные данные'!$B$26),MONTH(B286)=MONTH('Исходные данные'!$B$26)),'Исходные данные'!$B$26,IF(A286=1,'Исходные данные'!$B$9,C286)),IF(A286=1,'Исходные данные'!$B$9,C286)))))</f>
        <v/>
      </c>
      <c r="E286">
        <f>IF(OR(B286="",'Исходные данные'!$B$91=""),0,--(B286&lt;=DATE(YEAR('Исходные данные'!$B$91),MONTH('Исходные данные'!$B$91),1)))</f>
        <v>0</v>
      </c>
      <c r="F286">
        <f>IF(OR(B286="",'Исходные данные'!$B$30="",C286&lt;'Исходные данные'!$B$30),0,DATEDIF(DATE(YEAR('Исходные данные'!$B$30),MONTH('Исходные данные'!$B$30),1),B286,"m")+1)</f>
        <v>0</v>
      </c>
      <c r="G286">
        <f t="shared" si="166"/>
        <v>0</v>
      </c>
      <c r="H286">
        <f>IF(F286=0,0,IF(G286=1,N('Исходные данные'!$B$31),IF(G286=2,N('Исходные данные'!$B$32),IF(G286=3,N('Исходные данные'!$B$33),N('Исходные данные'!$B$33)*(1+N('Исходные данные'!$B$34))^(G286-3)))))</f>
        <v>0</v>
      </c>
      <c r="I286">
        <f>IF(OR(F286=0,N('Исходные данные'!$B$5)=0,H286=0),0,'Исходные данные'!$B$5*H286*IF(AND(B286&lt;='Исходные данные'!$B$30,C286&gt;='Исходные данные'!$B$30),(C286-'Исходные данные'!$B$30+1)/DAY(C286),1))</f>
        <v>0</v>
      </c>
      <c r="J286">
        <f>IF(AND(F286&gt;0,F286&lt;=N('Исходные данные'!$B$37)),-I286,0)</f>
        <v>0</v>
      </c>
      <c r="K286">
        <f>IF(OR(F286=0,F286&lt;=N('Исходные данные'!$B$37)),0,-(I286+J286)*N('Исходные данные'!$B$38))</f>
        <v>0</v>
      </c>
      <c r="L286">
        <f t="shared" si="167"/>
        <v>0</v>
      </c>
      <c r="M286">
        <f>IF('Исходные данные'!$B$51="Да",L286*N('Исходные данные'!$B$52),0)</f>
        <v>0</v>
      </c>
      <c r="N286">
        <f t="shared" si="168"/>
        <v>0</v>
      </c>
      <c r="O286">
        <f>IF(OR(B286="",IF('Исходные данные'!$B$45="",'Исходные данные'!$B$10,'Исходные данные'!$B$45)="",C286&lt;IF('Исходные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данные'!$B$45)),1),B286,"m")/12))*IF(AND(B286&lt;=IF('Исходные данные'!$B$45="",'Исходные данные'!$B$10,'Исходные данные'!$B$45),C286&gt;=IF('Исходные данные'!$B$45="",'Исходные данные'!$B$10,'Исходные данные'!$B$45)),(C286-IF('Исходные данные'!$B$45="",'Исходные данные'!$B$10,'Исходные данные'!$B$45)+1)/DAY(C286),1)*IF('Исходные данные'!$B$43="Без НДС",1+N('Исходные данные'!$B$44),1))</f>
        <v>0</v>
      </c>
      <c r="P286">
        <f>IF('Исходные данные'!$B$51="Да",-O286*N('Исходные данные'!$B$44)/(1+N('Исходные данные'!$B$44)),0)</f>
        <v>0</v>
      </c>
      <c r="Q286">
        <f>IF('Исходные данные'!$B$35="Да",-O286,0)</f>
        <v>0</v>
      </c>
      <c r="R286">
        <f>IF(AND('Исходные данные'!$B$51="Да",Q286&gt;0),Q286*N('Исходные данные'!$B$52)/(1+N('Исходные данные'!$B$52)),0)</f>
        <v>0</v>
      </c>
      <c r="S286">
        <f>IF(OR(B286="",IF('Исходные данные'!$B$45="",'Исходные данные'!$B$10,'Исходные данные'!$B$45)="",C286&lt;IF('Исходные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данные'!$B$45)),1),B286,"m")/12))*IF(AND(B286&lt;=IF('Исходные данные'!$B$45="",'Исходные данные'!$B$10,'Исходные данные'!$B$45),C286&gt;=IF('Исходные данные'!$B$45="",'Исходные данные'!$B$10,'Исходные данные'!$B$45)),(C286-IF('Исходные данные'!$B$45="",'Исходные данные'!$B$10,'Исходные данные'!$B$45)+1)/DAY(C286),1)*IF('Исходные данные'!$B$43="Без НДС",1+N('Исходные данные'!$B$44),1))</f>
        <v>0</v>
      </c>
      <c r="T286">
        <f>IF('Исходные данные'!$B$51="Да",-S286*N('Исходные данные'!$B$44)/(1+N('Исходные данные'!$B$44)),0)</f>
        <v>0</v>
      </c>
      <c r="U286">
        <f>IF('Исходные данные'!$B$36="Да",-S286,0)</f>
        <v>0</v>
      </c>
      <c r="V286">
        <f>IF(AND('Исходные данные'!$B$51="Да",U286&gt;0),U286*N('Исходные данные'!$B$52)/(1+N('Исходные данные'!$B$52)),0)</f>
        <v>0</v>
      </c>
      <c r="W286">
        <f>IF(OR(B286="",IF('Исходные данные'!$B$69="",'Исходные данные'!$B$10,'Исходные данные'!$B$69)="",C286&lt;IF('Исходные данные'!$B$69="",'Исходные данные'!$B$10,'Исходные данные'!$B$69)),0,-N('Исходные данные'!$B$16)*N('Исходные данные'!$B$68)*N('Исходные данные'!$B$67)/12*IF(AND(B286&lt;=IF('Исходные данные'!$B$69="",'Исходные данные'!$B$10,'Исходные данные'!$B$69),C286&gt;=IF('Исходные данные'!$B$69="",'Исходные данные'!$B$10,'Исходные данные'!$B$69)),(C286-IF('Исходные данные'!$B$69="",'Исходные данные'!$B$10,'Исходные данные'!$B$69)+1)/DAY(C286),1))</f>
        <v>0</v>
      </c>
      <c r="X286">
        <f>IF(OR(B286="",IF('Исходные данные'!$B$76="",'Исходные данные'!$B$10,'Исходные данные'!$B$76)="",C286&lt;IF('Исходные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данные'!$B$76)),1),B286,"m")/12))*IF(AND(B286&lt;=IF('Исходные данные'!$B$76="",'Исходные данные'!$B$10,'Исходные данные'!$B$76),C286&gt;=IF('Исходные данные'!$B$76="",'Исходные данные'!$B$10,'Исходные данные'!$B$76)),(C286-IF('Исходные данные'!$B$76="",'Исходные данные'!$B$10,'Исходные данные'!$B$76)+1)/DAY(C286),1))</f>
        <v>0</v>
      </c>
      <c r="Y286">
        <f t="shared" si="169"/>
        <v>0</v>
      </c>
      <c r="Z286">
        <f>IF(OR(B286="",N('Исходные данные'!$B$19)=0),0,-SUMIFS('Исходные данные'!$I$6:$I$186,'Исходные данные'!$F$6:$F$186,B286)*N('Исходные данные'!$B$17)/N('Исходные данные'!$B$19))</f>
        <v>0</v>
      </c>
      <c r="AA286">
        <f>IF(OR(B286="",N('Исходные данные'!$B$19)=0),0,-SUMIFS('Исходные данные'!$I$6:$I$186,'Исходные данные'!$F$6:$F$186,B286)*N('Исходные данные'!$B$18)/N('Исходные данные'!$B$19))</f>
        <v>0</v>
      </c>
      <c r="AB286">
        <f>IF(OR(B286="",'Исходные данные'!$B$13=""),0,IF(AND(YEAR(B286)=YEAR('Исходные данные'!$B$13),MONTH(B286)=MONTH('Исходные данные'!$B$13)),-N('Исходные данные'!$B$11),0))</f>
        <v>0</v>
      </c>
      <c r="AC286">
        <f>IF(A286=1,-N('Исходные данные'!$B$19)*N('Исходные данные'!$B$72),0)</f>
        <v>0</v>
      </c>
      <c r="AD286">
        <f>IF(OR(B286="",'Исходные данные'!$B$22&lt;&gt;"Да",'Исходные данные'!$B$26=""),0,IF(AND(YEAR(B286)=YEAR('Исходные данные'!$B$26),MONTH(B286)=MONTH('Исходные данные'!$B$26)),N('Исходные данные'!$B$23),0))</f>
        <v>0</v>
      </c>
      <c r="AE286">
        <f t="shared" si="152"/>
        <v>0</v>
      </c>
      <c r="AF286">
        <f>IF(OR('Исходные данные'!$B$22&lt;&gt;"Да",'Исходные данные'!$B$26="",C286&lt;'Исходные данные'!$B$26),0,DATEDIF(DATE(YEAR('Исходные данные'!$B$26),MONTH('Исходные данные'!$B$26),1),B286,"m")+1)</f>
        <v>0</v>
      </c>
      <c r="AG286">
        <f>IF(OR(AF286&lt;1,AF286&gt;N('Исходные данные'!$B$25),AE286+AD286&lt;=0),0,-(AE286+AD286)*N('Исходные данные'!$B$24)*IF(AF286=1,C286-'Исходные данные'!$B$26+1,DAY(C286))/365)</f>
        <v>0</v>
      </c>
      <c r="AH286">
        <f>IF(OR(AF286&lt;1,AF286&gt;N('Исходные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данные'!$B$25)-AG286))</f>
        <v>0</v>
      </c>
      <c r="AI286">
        <f>IF(OR('Исходные данные'!$B$22&lt;&gt;"Да",AE286+AD286&lt;=0),0,IF(AND('Исходные данные'!$B$91&lt;&gt;"",B286&lt;&gt;"",YEAR(B286)=YEAR('Исходные данные'!$B$91),MONTH(B286)=MONTH('Исходные данные'!$B$91)),-(AE286+AD286),IF(OR(AF286&lt;1,AF286&gt;N('Исходные данные'!$B$25)),0,IF('Исходные данные'!$B$27="Равными долями",-MIN(AE286+AD286,N('Исходные данные'!$B$23)/N('Исходные данные'!$B$25)),-MIN(AE286+AD286,IF(AF286=N('Исходные данные'!$B$25),AE286+AD286,MAX(0,AH286+AG286)))))))</f>
        <v>0</v>
      </c>
      <c r="AJ286">
        <f t="shared" si="170"/>
        <v>0</v>
      </c>
      <c r="AK286">
        <f t="shared" si="153"/>
        <v>0</v>
      </c>
      <c r="AL286">
        <f>IF(OR(B286="",'Исходные данные'!$B$51&lt;&gt;"Да",'Исходные данные'!$B$61=""),0,IF(AND(YEAR(B286)=YEAR('Исходные данные'!$B$61),MONTH(B286)=MONTH('Исходные данные'!$B$61)),N('Исходные данные'!$B$18)*N('Исходные данные'!$B$62),0))</f>
        <v>0</v>
      </c>
      <c r="AM286">
        <f t="shared" si="154"/>
        <v>0</v>
      </c>
      <c r="AN286">
        <f t="shared" si="155"/>
        <v>0</v>
      </c>
      <c r="AO286">
        <f t="shared" si="156"/>
        <v>0</v>
      </c>
      <c r="AP286">
        <f>IF('Исходные данные'!$B$51="Да",-MAX(0,AN286-AO286-AM286),0)</f>
        <v>0</v>
      </c>
      <c r="AQ286">
        <f>IF('Исходные данные'!$B$51="Да",MAX(0,AM286+AO286-AN286),0)</f>
        <v>0</v>
      </c>
      <c r="AR286">
        <f>IF('Исходные данные'!$B$53="Выручка",MAX(0,L286+(Q286-R286)+(U286-V286)),IF('Исходные данные'!$B$53="Прибыль до налога",MAX(0,L286+(Q286-R286)+(U286-V286)+N('Исходные данные'!$B$54)*((O286+P286)+(S286+T286)+W286+X286)+IF('Исходные данные'!$B$55="Да",AG286,0)-N('Исходные данные'!$B$56)/12),IF('Исходные данные'!$B$53="Пользовательская база",MAX(0,N('Исходные данные'!$B$57)/12),0)))</f>
        <v>0</v>
      </c>
      <c r="AS286">
        <f>IF(E286=1,-AR286*N('Исходные данные'!$B$50),0)</f>
        <v>0</v>
      </c>
      <c r="AT286">
        <f t="shared" si="157"/>
        <v>0</v>
      </c>
      <c r="AU286">
        <f>IF(OR(B286="",N('Исходные данные'!$B$80)&lt;=0,'Исходные данные'!$B$88=""),0,MAX(0,IF('Исходные данные'!$B$88="Последние 12 месяцев",SUMIFS($Y$2:$Y$194,$B$2:$B$194,"&gt;="&amp;EDATE(B286,-11),$B$2:$B$194,"&lt;="&amp;B286),IF('Исходные данные'!$B$88="Пользовательский NOI",N('Исходные данные'!$B$89),AT286))/N('Исходные данные'!$B$80)*(1+N('Исходные данные'!$B$81))))</f>
        <v>0</v>
      </c>
      <c r="AV286">
        <f>IF(OR(E286&lt;&gt;1,B286="",'Исходные данные'!$B$91=""),0,IF(AND(YEAR(B286)=YEAR('Исходные данные'!$B$91),MONTH(B286)=MONTH('Исходные данные'!$B$91)),AU286,0))</f>
        <v>0</v>
      </c>
      <c r="AW286">
        <f>-AV286*N('Исходные данные'!$B$73)</f>
        <v>0</v>
      </c>
      <c r="AX286">
        <f>IF(AV286=0,0,-N('Исходные данные'!$B$87)-IF('Исходные данные'!$B$82="Да",IF('Исходные данные'!$B$84="С выручки",AV286,IF('Исходные данные'!$B$84="С прибыли",MAX(0,AV286+AW286-IF('Исходные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86">
        <f t="shared" si="171"/>
        <v>0</v>
      </c>
      <c r="AZ286">
        <f t="shared" si="158"/>
        <v>0</v>
      </c>
      <c r="BA286">
        <f t="shared" si="172"/>
        <v>0</v>
      </c>
      <c r="BB286" t="str">
        <f t="shared" si="159"/>
        <v/>
      </c>
      <c r="BC286">
        <f>IF(OR(E286=0,'Исходные данные'!$B$9="",'Исходные данные'!$B$90=""),0,BA286/(1+'Исходные данные'!$B$90)^((D286-'Исходные данные'!$B$9)/365))</f>
        <v>0</v>
      </c>
      <c r="BD286">
        <f>IF(AND(E286=1,BB286&gt;=0,BB285&lt;0,MIN($BB$2:BB286)&lt;0),1,0)</f>
        <v>0</v>
      </c>
      <c r="BE286">
        <f t="shared" si="160"/>
        <v>0</v>
      </c>
      <c r="BF286">
        <f t="shared" si="161"/>
        <v>0</v>
      </c>
      <c r="BG286">
        <f t="shared" si="162"/>
        <v>0</v>
      </c>
      <c r="BH286">
        <f t="shared" si="163"/>
        <v>1</v>
      </c>
      <c r="BI286">
        <f>AZ286+N286+AP286-AR286*N('Исходные данные'!$B$50)</f>
        <v>0</v>
      </c>
      <c r="BJ286">
        <f t="shared" si="164"/>
        <v>0</v>
      </c>
      <c r="BK286">
        <f>IF(AND(BJ286&gt;=0,BJ285&lt;0,MIN($BJ$2:BJ286)&lt;0),1,0)</f>
        <v>0</v>
      </c>
    </row>
    <row r="287" spans="1:63" x14ac:dyDescent="0.2">
      <c r="A287">
        <v>286</v>
      </c>
      <c r="B287" t="str">
        <f>IF('Исходные данные'!$B$9="","",EDATE(DATE(YEAR('Исходные данные'!$B$9),MONTH('Исходные данные'!$B$9),1),A287-1))</f>
        <v/>
      </c>
      <c r="C287" t="str">
        <f t="shared" si="165"/>
        <v/>
      </c>
      <c r="D287" t="str">
        <f>IF(B287="","",IF('Исходные данные'!$B$91&lt;&gt;"",IF(AND(YEAR(B287)=YEAR('Исходные данные'!$B$91),MONTH(B287)=MONTH('Исходные данные'!$B$91)),'Исходные данные'!$B$91,IF('Исходные данные'!$B$13&lt;&gt;"",IF(AND(YEAR(B287)=YEAR('Исходные данные'!$B$13),MONTH(B287)=MONTH('Исходные данные'!$B$13)),'Исходные данные'!$B$13,IF('Исходные данные'!$B$26&lt;&gt;"",IF(AND(YEAR(B287)=YEAR('Исходные данные'!$B$26),MONTH(B287)=MONTH('Исходные данные'!$B$26)),'Исходные данные'!$B$26,IF(A287=1,'Исходные данные'!$B$9,C287)),IF(A287=1,'Исходные данные'!$B$9,C287))),IF('Исходные данные'!$B$26&lt;&gt;"",IF(AND(YEAR(B287)=YEAR('Исходные данные'!$B$26),MONTH(B287)=MONTH('Исходные данные'!$B$26)),'Исходные данные'!$B$26,IF(A287=1,'Исходные данные'!$B$9,C287)),IF(A287=1,'Исходные данные'!$B$9,C287)))),IF('Исходные данные'!$B$13&lt;&gt;"",IF(AND(YEAR(B287)=YEAR('Исходные данные'!$B$13),MONTH(B287)=MONTH('Исходные данные'!$B$13)),'Исходные данные'!$B$13,IF('Исходные данные'!$B$26&lt;&gt;"",IF(AND(YEAR(B287)=YEAR('Исходные данные'!$B$26),MONTH(B287)=MONTH('Исходные данные'!$B$26)),'Исходные данные'!$B$26,IF(A287=1,'Исходные данные'!$B$9,C287)),IF(A287=1,'Исходные данные'!$B$9,C287))),IF('Исходные данные'!$B$26&lt;&gt;"",IF(AND(YEAR(B287)=YEAR('Исходные данные'!$B$26),MONTH(B287)=MONTH('Исходные данные'!$B$26)),'Исходные данные'!$B$26,IF(A287=1,'Исходные данные'!$B$9,C287)),IF(A287=1,'Исходные данные'!$B$9,C287)))))</f>
        <v/>
      </c>
      <c r="E287">
        <f>IF(OR(B287="",'Исходные данные'!$B$91=""),0,--(B287&lt;=DATE(YEAR('Исходные данные'!$B$91),MONTH('Исходные данные'!$B$91),1)))</f>
        <v>0</v>
      </c>
      <c r="F287">
        <f>IF(OR(B287="",'Исходные данные'!$B$30="",C287&lt;'Исходные данные'!$B$30),0,DATEDIF(DATE(YEAR('Исходные данные'!$B$30),MONTH('Исходные данные'!$B$30),1),B287,"m")+1)</f>
        <v>0</v>
      </c>
      <c r="G287">
        <f t="shared" si="166"/>
        <v>0</v>
      </c>
      <c r="H287">
        <f>IF(F287=0,0,IF(G287=1,N('Исходные данные'!$B$31),IF(G287=2,N('Исходные данные'!$B$32),IF(G287=3,N('Исходные данные'!$B$33),N('Исходные данные'!$B$33)*(1+N('Исходные данные'!$B$34))^(G287-3)))))</f>
        <v>0</v>
      </c>
      <c r="I287">
        <f>IF(OR(F287=0,N('Исходные данные'!$B$5)=0,H287=0),0,'Исходные данные'!$B$5*H287*IF(AND(B287&lt;='Исходные данные'!$B$30,C287&gt;='Исходные данные'!$B$30),(C287-'Исходные данные'!$B$30+1)/DAY(C287),1))</f>
        <v>0</v>
      </c>
      <c r="J287">
        <f>IF(AND(F287&gt;0,F287&lt;=N('Исходные данные'!$B$37)),-I287,0)</f>
        <v>0</v>
      </c>
      <c r="K287">
        <f>IF(OR(F287=0,F287&lt;=N('Исходные данные'!$B$37)),0,-(I287+J287)*N('Исходные данные'!$B$38))</f>
        <v>0</v>
      </c>
      <c r="L287">
        <f t="shared" si="167"/>
        <v>0</v>
      </c>
      <c r="M287">
        <f>IF('Исходные данные'!$B$51="Да",L287*N('Исходные данные'!$B$52),0)</f>
        <v>0</v>
      </c>
      <c r="N287">
        <f t="shared" si="168"/>
        <v>0</v>
      </c>
      <c r="O287">
        <f>IF(OR(B287="",IF('Исходные данные'!$B$45="",'Исходные данные'!$B$10,'Исходные данные'!$B$45)="",C287&lt;IF('Исходные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данные'!$B$45)),1),B287,"m")/12))*IF(AND(B287&lt;=IF('Исходные данные'!$B$45="",'Исходные данные'!$B$10,'Исходные данные'!$B$45),C287&gt;=IF('Исходные данные'!$B$45="",'Исходные данные'!$B$10,'Исходные данные'!$B$45)),(C287-IF('Исходные данные'!$B$45="",'Исходные данные'!$B$10,'Исходные данные'!$B$45)+1)/DAY(C287),1)*IF('Исходные данные'!$B$43="Без НДС",1+N('Исходные данные'!$B$44),1))</f>
        <v>0</v>
      </c>
      <c r="P287">
        <f>IF('Исходные данные'!$B$51="Да",-O287*N('Исходные данные'!$B$44)/(1+N('Исходные данные'!$B$44)),0)</f>
        <v>0</v>
      </c>
      <c r="Q287">
        <f>IF('Исходные данные'!$B$35="Да",-O287,0)</f>
        <v>0</v>
      </c>
      <c r="R287">
        <f>IF(AND('Исходные данные'!$B$51="Да",Q287&gt;0),Q287*N('Исходные данные'!$B$52)/(1+N('Исходные данные'!$B$52)),0)</f>
        <v>0</v>
      </c>
      <c r="S287">
        <f>IF(OR(B287="",IF('Исходные данные'!$B$45="",'Исходные данные'!$B$10,'Исходные данные'!$B$45)="",C287&lt;IF('Исходные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данные'!$B$45)),1),B287,"m")/12))*IF(AND(B287&lt;=IF('Исходные данные'!$B$45="",'Исходные данные'!$B$10,'Исходные данные'!$B$45),C287&gt;=IF('Исходные данные'!$B$45="",'Исходные данные'!$B$10,'Исходные данные'!$B$45)),(C287-IF('Исходные данные'!$B$45="",'Исходные данные'!$B$10,'Исходные данные'!$B$45)+1)/DAY(C287),1)*IF('Исходные данные'!$B$43="Без НДС",1+N('Исходные данные'!$B$44),1))</f>
        <v>0</v>
      </c>
      <c r="T287">
        <f>IF('Исходные данные'!$B$51="Да",-S287*N('Исходные данные'!$B$44)/(1+N('Исходные данные'!$B$44)),0)</f>
        <v>0</v>
      </c>
      <c r="U287">
        <f>IF('Исходные данные'!$B$36="Да",-S287,0)</f>
        <v>0</v>
      </c>
      <c r="V287">
        <f>IF(AND('Исходные данные'!$B$51="Да",U287&gt;0),U287*N('Исходные данные'!$B$52)/(1+N('Исходные данные'!$B$52)),0)</f>
        <v>0</v>
      </c>
      <c r="W287">
        <f>IF(OR(B287="",IF('Исходные данные'!$B$69="",'Исходные данные'!$B$10,'Исходные данные'!$B$69)="",C287&lt;IF('Исходные данные'!$B$69="",'Исходные данные'!$B$10,'Исходные данные'!$B$69)),0,-N('Исходные данные'!$B$16)*N('Исходные данные'!$B$68)*N('Исходные данные'!$B$67)/12*IF(AND(B287&lt;=IF('Исходные данные'!$B$69="",'Исходные данные'!$B$10,'Исходные данные'!$B$69),C287&gt;=IF('Исходные данные'!$B$69="",'Исходные данные'!$B$10,'Исходные данные'!$B$69)),(C287-IF('Исходные данные'!$B$69="",'Исходные данные'!$B$10,'Исходные данные'!$B$69)+1)/DAY(C287),1))</f>
        <v>0</v>
      </c>
      <c r="X287">
        <f>IF(OR(B287="",IF('Исходные данные'!$B$76="",'Исходные данные'!$B$10,'Исходные данные'!$B$76)="",C287&lt;IF('Исходные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данные'!$B$76)),1),B287,"m")/12))*IF(AND(B287&lt;=IF('Исходные данные'!$B$76="",'Исходные данные'!$B$10,'Исходные данные'!$B$76),C287&gt;=IF('Исходные данные'!$B$76="",'Исходные данные'!$B$10,'Исходные данные'!$B$76)),(C287-IF('Исходные данные'!$B$76="",'Исходные данные'!$B$10,'Исходные данные'!$B$76)+1)/DAY(C287),1))</f>
        <v>0</v>
      </c>
      <c r="Y287">
        <f t="shared" si="169"/>
        <v>0</v>
      </c>
      <c r="Z287">
        <f>IF(OR(B287="",N('Исходные данные'!$B$19)=0),0,-SUMIFS('Исходные данные'!$I$6:$I$186,'Исходные данные'!$F$6:$F$186,B287)*N('Исходные данные'!$B$17)/N('Исходные данные'!$B$19))</f>
        <v>0</v>
      </c>
      <c r="AA287">
        <f>IF(OR(B287="",N('Исходные данные'!$B$19)=0),0,-SUMIFS('Исходные данные'!$I$6:$I$186,'Исходные данные'!$F$6:$F$186,B287)*N('Исходные данные'!$B$18)/N('Исходные данные'!$B$19))</f>
        <v>0</v>
      </c>
      <c r="AB287">
        <f>IF(OR(B287="",'Исходные данные'!$B$13=""),0,IF(AND(YEAR(B287)=YEAR('Исходные данные'!$B$13),MONTH(B287)=MONTH('Исходные данные'!$B$13)),-N('Исходные данные'!$B$11),0))</f>
        <v>0</v>
      </c>
      <c r="AC287">
        <f>IF(A287=1,-N('Исходные данные'!$B$19)*N('Исходные данные'!$B$72),0)</f>
        <v>0</v>
      </c>
      <c r="AD287">
        <f>IF(OR(B287="",'Исходные данные'!$B$22&lt;&gt;"Да",'Исходные данные'!$B$26=""),0,IF(AND(YEAR(B287)=YEAR('Исходные данные'!$B$26),MONTH(B287)=MONTH('Исходные данные'!$B$26)),N('Исходные данные'!$B$23),0))</f>
        <v>0</v>
      </c>
      <c r="AE287">
        <f t="shared" si="152"/>
        <v>0</v>
      </c>
      <c r="AF287">
        <f>IF(OR('Исходные данные'!$B$22&lt;&gt;"Да",'Исходные данные'!$B$26="",C287&lt;'Исходные данные'!$B$26),0,DATEDIF(DATE(YEAR('Исходные данные'!$B$26),MONTH('Исходные данные'!$B$26),1),B287,"m")+1)</f>
        <v>0</v>
      </c>
      <c r="AG287">
        <f>IF(OR(AF287&lt;1,AF287&gt;N('Исходные данные'!$B$25),AE287+AD287&lt;=0),0,-(AE287+AD287)*N('Исходные данные'!$B$24)*IF(AF287=1,C287-'Исходные данные'!$B$26+1,DAY(C287))/365)</f>
        <v>0</v>
      </c>
      <c r="AH287">
        <f>IF(OR(AF287&lt;1,AF287&gt;N('Исходные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данные'!$B$25)-AG287))</f>
        <v>0</v>
      </c>
      <c r="AI287">
        <f>IF(OR('Исходные данные'!$B$22&lt;&gt;"Да",AE287+AD287&lt;=0),0,IF(AND('Исходные данные'!$B$91&lt;&gt;"",B287&lt;&gt;"",YEAR(B287)=YEAR('Исходные данные'!$B$91),MONTH(B287)=MONTH('Исходные данные'!$B$91)),-(AE287+AD287),IF(OR(AF287&lt;1,AF287&gt;N('Исходные данные'!$B$25)),0,IF('Исходные данные'!$B$27="Равными долями",-MIN(AE287+AD287,N('Исходные данные'!$B$23)/N('Исходные данные'!$B$25)),-MIN(AE287+AD287,IF(AF287=N('Исходные данные'!$B$25),AE287+AD287,MAX(0,AH287+AG287)))))))</f>
        <v>0</v>
      </c>
      <c r="AJ287">
        <f t="shared" si="170"/>
        <v>0</v>
      </c>
      <c r="AK287">
        <f t="shared" si="153"/>
        <v>0</v>
      </c>
      <c r="AL287">
        <f>IF(OR(B287="",'Исходные данные'!$B$51&lt;&gt;"Да",'Исходные данные'!$B$61=""),0,IF(AND(YEAR(B287)=YEAR('Исходные данные'!$B$61),MONTH(B287)=MONTH('Исходные данные'!$B$61)),N('Исходные данные'!$B$18)*N('Исходные данные'!$B$62),0))</f>
        <v>0</v>
      </c>
      <c r="AM287">
        <f t="shared" si="154"/>
        <v>0</v>
      </c>
      <c r="AN287">
        <f t="shared" si="155"/>
        <v>0</v>
      </c>
      <c r="AO287">
        <f t="shared" si="156"/>
        <v>0</v>
      </c>
      <c r="AP287">
        <f>IF('Исходные данные'!$B$51="Да",-MAX(0,AN287-AO287-AM287),0)</f>
        <v>0</v>
      </c>
      <c r="AQ287">
        <f>IF('Исходные данные'!$B$51="Да",MAX(0,AM287+AO287-AN287),0)</f>
        <v>0</v>
      </c>
      <c r="AR287">
        <f>IF('Исходные данные'!$B$53="Выручка",MAX(0,L287+(Q287-R287)+(U287-V287)),IF('Исходные данные'!$B$53="Прибыль до налога",MAX(0,L287+(Q287-R287)+(U287-V287)+N('Исходные данные'!$B$54)*((O287+P287)+(S287+T287)+W287+X287)+IF('Исходные данные'!$B$55="Да",AG287,0)-N('Исходные данные'!$B$56)/12),IF('Исходные данные'!$B$53="Пользовательская база",MAX(0,N('Исходные данные'!$B$57)/12),0)))</f>
        <v>0</v>
      </c>
      <c r="AS287">
        <f>IF(E287=1,-AR287*N('Исходные данные'!$B$50),0)</f>
        <v>0</v>
      </c>
      <c r="AT287">
        <f t="shared" si="157"/>
        <v>0</v>
      </c>
      <c r="AU287">
        <f>IF(OR(B287="",N('Исходные данные'!$B$80)&lt;=0,'Исходные данные'!$B$88=""),0,MAX(0,IF('Исходные данные'!$B$88="Последние 12 месяцев",SUMIFS($Y$2:$Y$194,$B$2:$B$194,"&gt;="&amp;EDATE(B287,-11),$B$2:$B$194,"&lt;="&amp;B287),IF('Исходные данные'!$B$88="Пользовательский NOI",N('Исходные данные'!$B$89),AT287))/N('Исходные данные'!$B$80)*(1+N('Исходные данные'!$B$81))))</f>
        <v>0</v>
      </c>
      <c r="AV287">
        <f>IF(OR(E287&lt;&gt;1,B287="",'Исходные данные'!$B$91=""),0,IF(AND(YEAR(B287)=YEAR('Исходные данные'!$B$91),MONTH(B287)=MONTH('Исходные данные'!$B$91)),AU287,0))</f>
        <v>0</v>
      </c>
      <c r="AW287">
        <f>-AV287*N('Исходные данные'!$B$73)</f>
        <v>0</v>
      </c>
      <c r="AX287">
        <f>IF(AV287=0,0,-N('Исходные данные'!$B$87)-IF('Исходные данные'!$B$82="Да",IF('Исходные данные'!$B$84="С выручки",AV287,IF('Исходные данные'!$B$84="С прибыли",MAX(0,AV287+AW287-IF('Исходные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87">
        <f t="shared" si="171"/>
        <v>0</v>
      </c>
      <c r="AZ287">
        <f t="shared" si="158"/>
        <v>0</v>
      </c>
      <c r="BA287">
        <f t="shared" si="172"/>
        <v>0</v>
      </c>
      <c r="BB287" t="str">
        <f t="shared" si="159"/>
        <v/>
      </c>
      <c r="BC287">
        <f>IF(OR(E287=0,'Исходные данные'!$B$9="",'Исходные данные'!$B$90=""),0,BA287/(1+'Исходные данные'!$B$90)^((D287-'Исходные данные'!$B$9)/365))</f>
        <v>0</v>
      </c>
      <c r="BD287">
        <f>IF(AND(E287=1,BB287&gt;=0,BB286&lt;0,MIN($BB$2:BB287)&lt;0),1,0)</f>
        <v>0</v>
      </c>
      <c r="BE287">
        <f t="shared" si="160"/>
        <v>0</v>
      </c>
      <c r="BF287">
        <f t="shared" si="161"/>
        <v>0</v>
      </c>
      <c r="BG287">
        <f t="shared" si="162"/>
        <v>0</v>
      </c>
      <c r="BH287">
        <f t="shared" si="163"/>
        <v>1</v>
      </c>
      <c r="BI287">
        <f>AZ287+N287+AP287-AR287*N('Исходные данные'!$B$50)</f>
        <v>0</v>
      </c>
      <c r="BJ287">
        <f t="shared" si="164"/>
        <v>0</v>
      </c>
      <c r="BK287">
        <f>IF(AND(BJ287&gt;=0,BJ286&lt;0,MIN($BJ$2:BJ287)&lt;0),1,0)</f>
        <v>0</v>
      </c>
    </row>
    <row r="288" spans="1:63" x14ac:dyDescent="0.2">
      <c r="A288">
        <v>287</v>
      </c>
      <c r="B288" t="str">
        <f>IF('Исходные данные'!$B$9="","",EDATE(DATE(YEAR('Исходные данные'!$B$9),MONTH('Исходные данные'!$B$9),1),A288-1))</f>
        <v/>
      </c>
      <c r="C288" t="str">
        <f t="shared" si="165"/>
        <v/>
      </c>
      <c r="D288" t="str">
        <f>IF(B288="","",IF('Исходные данные'!$B$91&lt;&gt;"",IF(AND(YEAR(B288)=YEAR('Исходные данные'!$B$91),MONTH(B288)=MONTH('Исходные данные'!$B$91)),'Исходные данные'!$B$91,IF('Исходные данные'!$B$13&lt;&gt;"",IF(AND(YEAR(B288)=YEAR('Исходные данные'!$B$13),MONTH(B288)=MONTH('Исходные данные'!$B$13)),'Исходные данные'!$B$13,IF('Исходные данные'!$B$26&lt;&gt;"",IF(AND(YEAR(B288)=YEAR('Исходные данные'!$B$26),MONTH(B288)=MONTH('Исходные данные'!$B$26)),'Исходные данные'!$B$26,IF(A288=1,'Исходные данные'!$B$9,C288)),IF(A288=1,'Исходные данные'!$B$9,C288))),IF('Исходные данные'!$B$26&lt;&gt;"",IF(AND(YEAR(B288)=YEAR('Исходные данные'!$B$26),MONTH(B288)=MONTH('Исходные данные'!$B$26)),'Исходные данные'!$B$26,IF(A288=1,'Исходные данные'!$B$9,C288)),IF(A288=1,'Исходные данные'!$B$9,C288)))),IF('Исходные данные'!$B$13&lt;&gt;"",IF(AND(YEAR(B288)=YEAR('Исходные данные'!$B$13),MONTH(B288)=MONTH('Исходные данные'!$B$13)),'Исходные данные'!$B$13,IF('Исходные данные'!$B$26&lt;&gt;"",IF(AND(YEAR(B288)=YEAR('Исходные данные'!$B$26),MONTH(B288)=MONTH('Исходные данные'!$B$26)),'Исходные данные'!$B$26,IF(A288=1,'Исходные данные'!$B$9,C288)),IF(A288=1,'Исходные данные'!$B$9,C288))),IF('Исходные данные'!$B$26&lt;&gt;"",IF(AND(YEAR(B288)=YEAR('Исходные данные'!$B$26),MONTH(B288)=MONTH('Исходные данные'!$B$26)),'Исходные данные'!$B$26,IF(A288=1,'Исходные данные'!$B$9,C288)),IF(A288=1,'Исходные данные'!$B$9,C288)))))</f>
        <v/>
      </c>
      <c r="E288">
        <f>IF(OR(B288="",'Исходные данные'!$B$91=""),0,--(B288&lt;=DATE(YEAR('Исходные данные'!$B$91),MONTH('Исходные данные'!$B$91),1)))</f>
        <v>0</v>
      </c>
      <c r="F288">
        <f>IF(OR(B288="",'Исходные данные'!$B$30="",C288&lt;'Исходные данные'!$B$30),0,DATEDIF(DATE(YEAR('Исходные данные'!$B$30),MONTH('Исходные данные'!$B$30),1),B288,"m")+1)</f>
        <v>0</v>
      </c>
      <c r="G288">
        <f t="shared" si="166"/>
        <v>0</v>
      </c>
      <c r="H288">
        <f>IF(F288=0,0,IF(G288=1,N('Исходные данные'!$B$31),IF(G288=2,N('Исходные данные'!$B$32),IF(G288=3,N('Исходные данные'!$B$33),N('Исходные данные'!$B$33)*(1+N('Исходные данные'!$B$34))^(G288-3)))))</f>
        <v>0</v>
      </c>
      <c r="I288">
        <f>IF(OR(F288=0,N('Исходные данные'!$B$5)=0,H288=0),0,'Исходные данные'!$B$5*H288*IF(AND(B288&lt;='Исходные данные'!$B$30,C288&gt;='Исходные данные'!$B$30),(C288-'Исходные данные'!$B$30+1)/DAY(C288),1))</f>
        <v>0</v>
      </c>
      <c r="J288">
        <f>IF(AND(F288&gt;0,F288&lt;=N('Исходные данные'!$B$37)),-I288,0)</f>
        <v>0</v>
      </c>
      <c r="K288">
        <f>IF(OR(F288=0,F288&lt;=N('Исходные данные'!$B$37)),0,-(I288+J288)*N('Исходные данные'!$B$38))</f>
        <v>0</v>
      </c>
      <c r="L288">
        <f t="shared" si="167"/>
        <v>0</v>
      </c>
      <c r="M288">
        <f>IF('Исходные данные'!$B$51="Да",L288*N('Исходные данные'!$B$52),0)</f>
        <v>0</v>
      </c>
      <c r="N288">
        <f t="shared" si="168"/>
        <v>0</v>
      </c>
      <c r="O288">
        <f>IF(OR(B288="",IF('Исходные данные'!$B$45="",'Исходные данные'!$B$10,'Исходные данные'!$B$45)="",C288&lt;IF('Исходные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данные'!$B$45)),1),B288,"m")/12))*IF(AND(B288&lt;=IF('Исходные данные'!$B$45="",'Исходные данные'!$B$10,'Исходные данные'!$B$45),C288&gt;=IF('Исходные данные'!$B$45="",'Исходные данные'!$B$10,'Исходные данные'!$B$45)),(C288-IF('Исходные данные'!$B$45="",'Исходные данные'!$B$10,'Исходные данные'!$B$45)+1)/DAY(C288),1)*IF('Исходные данные'!$B$43="Без НДС",1+N('Исходные данные'!$B$44),1))</f>
        <v>0</v>
      </c>
      <c r="P288">
        <f>IF('Исходные данные'!$B$51="Да",-O288*N('Исходные данные'!$B$44)/(1+N('Исходные данные'!$B$44)),0)</f>
        <v>0</v>
      </c>
      <c r="Q288">
        <f>IF('Исходные данные'!$B$35="Да",-O288,0)</f>
        <v>0</v>
      </c>
      <c r="R288">
        <f>IF(AND('Исходные данные'!$B$51="Да",Q288&gt;0),Q288*N('Исходные данные'!$B$52)/(1+N('Исходные данные'!$B$52)),0)</f>
        <v>0</v>
      </c>
      <c r="S288">
        <f>IF(OR(B288="",IF('Исходные данные'!$B$45="",'Исходные данные'!$B$10,'Исходные данные'!$B$45)="",C288&lt;IF('Исходные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данные'!$B$45)),1),B288,"m")/12))*IF(AND(B288&lt;=IF('Исходные данные'!$B$45="",'Исходные данные'!$B$10,'Исходные данные'!$B$45),C288&gt;=IF('Исходные данные'!$B$45="",'Исходные данные'!$B$10,'Исходные данные'!$B$45)),(C288-IF('Исходные данные'!$B$45="",'Исходные данные'!$B$10,'Исходные данные'!$B$45)+1)/DAY(C288),1)*IF('Исходные данные'!$B$43="Без НДС",1+N('Исходные данные'!$B$44),1))</f>
        <v>0</v>
      </c>
      <c r="T288">
        <f>IF('Исходные данные'!$B$51="Да",-S288*N('Исходные данные'!$B$44)/(1+N('Исходные данные'!$B$44)),0)</f>
        <v>0</v>
      </c>
      <c r="U288">
        <f>IF('Исходные данные'!$B$36="Да",-S288,0)</f>
        <v>0</v>
      </c>
      <c r="V288">
        <f>IF(AND('Исходные данные'!$B$51="Да",U288&gt;0),U288*N('Исходные данные'!$B$52)/(1+N('Исходные данные'!$B$52)),0)</f>
        <v>0</v>
      </c>
      <c r="W288">
        <f>IF(OR(B288="",IF('Исходные данные'!$B$69="",'Исходные данные'!$B$10,'Исходные данные'!$B$69)="",C288&lt;IF('Исходные данные'!$B$69="",'Исходные данные'!$B$10,'Исходные данные'!$B$69)),0,-N('Исходные данные'!$B$16)*N('Исходные данные'!$B$68)*N('Исходные данные'!$B$67)/12*IF(AND(B288&lt;=IF('Исходные данные'!$B$69="",'Исходные данные'!$B$10,'Исходные данные'!$B$69),C288&gt;=IF('Исходные данные'!$B$69="",'Исходные данные'!$B$10,'Исходные данные'!$B$69)),(C288-IF('Исходные данные'!$B$69="",'Исходные данные'!$B$10,'Исходные данные'!$B$69)+1)/DAY(C288),1))</f>
        <v>0</v>
      </c>
      <c r="X288">
        <f>IF(OR(B288="",IF('Исходные данные'!$B$76="",'Исходные данные'!$B$10,'Исходные данные'!$B$76)="",C288&lt;IF('Исходные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данные'!$B$76)),1),B288,"m")/12))*IF(AND(B288&lt;=IF('Исходные данные'!$B$76="",'Исходные данные'!$B$10,'Исходные данные'!$B$76),C288&gt;=IF('Исходные данные'!$B$76="",'Исходные данные'!$B$10,'Исходные данные'!$B$76)),(C288-IF('Исходные данные'!$B$76="",'Исходные данные'!$B$10,'Исходные данные'!$B$76)+1)/DAY(C288),1))</f>
        <v>0</v>
      </c>
      <c r="Y288">
        <f t="shared" si="169"/>
        <v>0</v>
      </c>
      <c r="Z288">
        <f>IF(OR(B288="",N('Исходные данные'!$B$19)=0),0,-SUMIFS('Исходные данные'!$I$6:$I$186,'Исходные данные'!$F$6:$F$186,B288)*N('Исходные данные'!$B$17)/N('Исходные данные'!$B$19))</f>
        <v>0</v>
      </c>
      <c r="AA288">
        <f>IF(OR(B288="",N('Исходные данные'!$B$19)=0),0,-SUMIFS('Исходные данные'!$I$6:$I$186,'Исходные данные'!$F$6:$F$186,B288)*N('Исходные данные'!$B$18)/N('Исходные данные'!$B$19))</f>
        <v>0</v>
      </c>
      <c r="AB288">
        <f>IF(OR(B288="",'Исходные данные'!$B$13=""),0,IF(AND(YEAR(B288)=YEAR('Исходные данные'!$B$13),MONTH(B288)=MONTH('Исходные данные'!$B$13)),-N('Исходные данные'!$B$11),0))</f>
        <v>0</v>
      </c>
      <c r="AC288">
        <f>IF(A288=1,-N('Исходные данные'!$B$19)*N('Исходные данные'!$B$72),0)</f>
        <v>0</v>
      </c>
      <c r="AD288">
        <f>IF(OR(B288="",'Исходные данные'!$B$22&lt;&gt;"Да",'Исходные данные'!$B$26=""),0,IF(AND(YEAR(B288)=YEAR('Исходные данные'!$B$26),MONTH(B288)=MONTH('Исходные данные'!$B$26)),N('Исходные данные'!$B$23),0))</f>
        <v>0</v>
      </c>
      <c r="AE288">
        <f t="shared" si="152"/>
        <v>0</v>
      </c>
      <c r="AF288">
        <f>IF(OR('Исходные данные'!$B$22&lt;&gt;"Да",'Исходные данные'!$B$26="",C288&lt;'Исходные данные'!$B$26),0,DATEDIF(DATE(YEAR('Исходные данные'!$B$26),MONTH('Исходные данные'!$B$26),1),B288,"m")+1)</f>
        <v>0</v>
      </c>
      <c r="AG288">
        <f>IF(OR(AF288&lt;1,AF288&gt;N('Исходные данные'!$B$25),AE288+AD288&lt;=0),0,-(AE288+AD288)*N('Исходные данные'!$B$24)*IF(AF288=1,C288-'Исходные данные'!$B$26+1,DAY(C288))/365)</f>
        <v>0</v>
      </c>
      <c r="AH288">
        <f>IF(OR(AF288&lt;1,AF288&gt;N('Исходные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данные'!$B$25)-AG288))</f>
        <v>0</v>
      </c>
      <c r="AI288">
        <f>IF(OR('Исходные данные'!$B$22&lt;&gt;"Да",AE288+AD288&lt;=0),0,IF(AND('Исходные данные'!$B$91&lt;&gt;"",B288&lt;&gt;"",YEAR(B288)=YEAR('Исходные данные'!$B$91),MONTH(B288)=MONTH('Исходные данные'!$B$91)),-(AE288+AD288),IF(OR(AF288&lt;1,AF288&gt;N('Исходные данные'!$B$25)),0,IF('Исходные данные'!$B$27="Равными долями",-MIN(AE288+AD288,N('Исходные данные'!$B$23)/N('Исходные данные'!$B$25)),-MIN(AE288+AD288,IF(AF288=N('Исходные данные'!$B$25),AE288+AD288,MAX(0,AH288+AG288)))))))</f>
        <v>0</v>
      </c>
      <c r="AJ288">
        <f t="shared" si="170"/>
        <v>0</v>
      </c>
      <c r="AK288">
        <f t="shared" si="153"/>
        <v>0</v>
      </c>
      <c r="AL288">
        <f>IF(OR(B288="",'Исходные данные'!$B$51&lt;&gt;"Да",'Исходные данные'!$B$61=""),0,IF(AND(YEAR(B288)=YEAR('Исходные данные'!$B$61),MONTH(B288)=MONTH('Исходные данные'!$B$61)),N('Исходные данные'!$B$18)*N('Исходные данные'!$B$62),0))</f>
        <v>0</v>
      </c>
      <c r="AM288">
        <f t="shared" si="154"/>
        <v>0</v>
      </c>
      <c r="AN288">
        <f t="shared" si="155"/>
        <v>0</v>
      </c>
      <c r="AO288">
        <f t="shared" si="156"/>
        <v>0</v>
      </c>
      <c r="AP288">
        <f>IF('Исходные данные'!$B$51="Да",-MAX(0,AN288-AO288-AM288),0)</f>
        <v>0</v>
      </c>
      <c r="AQ288">
        <f>IF('Исходные данные'!$B$51="Да",MAX(0,AM288+AO288-AN288),0)</f>
        <v>0</v>
      </c>
      <c r="AR288">
        <f>IF('Исходные данные'!$B$53="Выручка",MAX(0,L288+(Q288-R288)+(U288-V288)),IF('Исходные данные'!$B$53="Прибыль до налога",MAX(0,L288+(Q288-R288)+(U288-V288)+N('Исходные данные'!$B$54)*((O288+P288)+(S288+T288)+W288+X288)+IF('Исходные данные'!$B$55="Да",AG288,0)-N('Исходные данные'!$B$56)/12),IF('Исходные данные'!$B$53="Пользовательская база",MAX(0,N('Исходные данные'!$B$57)/12),0)))</f>
        <v>0</v>
      </c>
      <c r="AS288">
        <f>IF(E288=1,-AR288*N('Исходные данные'!$B$50),0)</f>
        <v>0</v>
      </c>
      <c r="AT288">
        <f t="shared" si="157"/>
        <v>0</v>
      </c>
      <c r="AU288">
        <f>IF(OR(B288="",N('Исходные данные'!$B$80)&lt;=0,'Исходные данные'!$B$88=""),0,MAX(0,IF('Исходные данные'!$B$88="Последние 12 месяцев",SUMIFS($Y$2:$Y$194,$B$2:$B$194,"&gt;="&amp;EDATE(B288,-11),$B$2:$B$194,"&lt;="&amp;B288),IF('Исходные данные'!$B$88="Пользовательский NOI",N('Исходные данные'!$B$89),AT288))/N('Исходные данные'!$B$80)*(1+N('Исходные данные'!$B$81))))</f>
        <v>0</v>
      </c>
      <c r="AV288">
        <f>IF(OR(E288&lt;&gt;1,B288="",'Исходные данные'!$B$91=""),0,IF(AND(YEAR(B288)=YEAR('Исходные данные'!$B$91),MONTH(B288)=MONTH('Исходные данные'!$B$91)),AU288,0))</f>
        <v>0</v>
      </c>
      <c r="AW288">
        <f>-AV288*N('Исходные данные'!$B$73)</f>
        <v>0</v>
      </c>
      <c r="AX288">
        <f>IF(AV288=0,0,-N('Исходные данные'!$B$87)-IF('Исходные данные'!$B$82="Да",IF('Исходные данные'!$B$84="С выручки",AV288,IF('Исходные данные'!$B$84="С прибыли",MAX(0,AV288+AW288-IF('Исходные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88">
        <f t="shared" si="171"/>
        <v>0</v>
      </c>
      <c r="AZ288">
        <f t="shared" si="158"/>
        <v>0</v>
      </c>
      <c r="BA288">
        <f t="shared" si="172"/>
        <v>0</v>
      </c>
      <c r="BB288" t="str">
        <f t="shared" si="159"/>
        <v/>
      </c>
      <c r="BC288">
        <f>IF(OR(E288=0,'Исходные данные'!$B$9="",'Исходные данные'!$B$90=""),0,BA288/(1+'Исходные данные'!$B$90)^((D288-'Исходные данные'!$B$9)/365))</f>
        <v>0</v>
      </c>
      <c r="BD288">
        <f>IF(AND(E288=1,BB288&gt;=0,BB287&lt;0,MIN($BB$2:BB288)&lt;0),1,0)</f>
        <v>0</v>
      </c>
      <c r="BE288">
        <f t="shared" si="160"/>
        <v>0</v>
      </c>
      <c r="BF288">
        <f t="shared" si="161"/>
        <v>0</v>
      </c>
      <c r="BG288">
        <f t="shared" si="162"/>
        <v>0</v>
      </c>
      <c r="BH288">
        <f t="shared" si="163"/>
        <v>1</v>
      </c>
      <c r="BI288">
        <f>AZ288+N288+AP288-AR288*N('Исходные данные'!$B$50)</f>
        <v>0</v>
      </c>
      <c r="BJ288">
        <f t="shared" si="164"/>
        <v>0</v>
      </c>
      <c r="BK288">
        <f>IF(AND(BJ288&gt;=0,BJ287&lt;0,MIN($BJ$2:BJ288)&lt;0),1,0)</f>
        <v>0</v>
      </c>
    </row>
    <row r="289" spans="1:63" x14ac:dyDescent="0.2">
      <c r="A289">
        <v>288</v>
      </c>
      <c r="B289" t="str">
        <f>IF('Исходные данные'!$B$9="","",EDATE(DATE(YEAR('Исходные данные'!$B$9),MONTH('Исходные данные'!$B$9),1),A289-1))</f>
        <v/>
      </c>
      <c r="C289" t="str">
        <f t="shared" si="165"/>
        <v/>
      </c>
      <c r="D289" t="str">
        <f>IF(B289="","",IF('Исходные данные'!$B$91&lt;&gt;"",IF(AND(YEAR(B289)=YEAR('Исходные данные'!$B$91),MONTH(B289)=MONTH('Исходные данные'!$B$91)),'Исходные данные'!$B$91,IF('Исходные данные'!$B$13&lt;&gt;"",IF(AND(YEAR(B289)=YEAR('Исходные данные'!$B$13),MONTH(B289)=MONTH('Исходные данные'!$B$13)),'Исходные данные'!$B$13,IF('Исходные данные'!$B$26&lt;&gt;"",IF(AND(YEAR(B289)=YEAR('Исходные данные'!$B$26),MONTH(B289)=MONTH('Исходные данные'!$B$26)),'Исходные данные'!$B$26,IF(A289=1,'Исходные данные'!$B$9,C289)),IF(A289=1,'Исходные данные'!$B$9,C289))),IF('Исходные данные'!$B$26&lt;&gt;"",IF(AND(YEAR(B289)=YEAR('Исходные данные'!$B$26),MONTH(B289)=MONTH('Исходные данные'!$B$26)),'Исходные данные'!$B$26,IF(A289=1,'Исходные данные'!$B$9,C289)),IF(A289=1,'Исходные данные'!$B$9,C289)))),IF('Исходные данные'!$B$13&lt;&gt;"",IF(AND(YEAR(B289)=YEAR('Исходные данные'!$B$13),MONTH(B289)=MONTH('Исходные данные'!$B$13)),'Исходные данные'!$B$13,IF('Исходные данные'!$B$26&lt;&gt;"",IF(AND(YEAR(B289)=YEAR('Исходные данные'!$B$26),MONTH(B289)=MONTH('Исходные данные'!$B$26)),'Исходные данные'!$B$26,IF(A289=1,'Исходные данные'!$B$9,C289)),IF(A289=1,'Исходные данные'!$B$9,C289))),IF('Исходные данные'!$B$26&lt;&gt;"",IF(AND(YEAR(B289)=YEAR('Исходные данные'!$B$26),MONTH(B289)=MONTH('Исходные данные'!$B$26)),'Исходные данные'!$B$26,IF(A289=1,'Исходные данные'!$B$9,C289)),IF(A289=1,'Исходные данные'!$B$9,C289)))))</f>
        <v/>
      </c>
      <c r="E289">
        <f>IF(OR(B289="",'Исходные данные'!$B$91=""),0,--(B289&lt;=DATE(YEAR('Исходные данные'!$B$91),MONTH('Исходные данные'!$B$91),1)))</f>
        <v>0</v>
      </c>
      <c r="F289">
        <f>IF(OR(B289="",'Исходные данные'!$B$30="",C289&lt;'Исходные данные'!$B$30),0,DATEDIF(DATE(YEAR('Исходные данные'!$B$30),MONTH('Исходные данные'!$B$30),1),B289,"m")+1)</f>
        <v>0</v>
      </c>
      <c r="G289">
        <f t="shared" si="166"/>
        <v>0</v>
      </c>
      <c r="H289">
        <f>IF(F289=0,0,IF(G289=1,N('Исходные данные'!$B$31),IF(G289=2,N('Исходные данные'!$B$32),IF(G289=3,N('Исходные данные'!$B$33),N('Исходные данные'!$B$33)*(1+N('Исходные данные'!$B$34))^(G289-3)))))</f>
        <v>0</v>
      </c>
      <c r="I289">
        <f>IF(OR(F289=0,N('Исходные данные'!$B$5)=0,H289=0),0,'Исходные данные'!$B$5*H289*IF(AND(B289&lt;='Исходные данные'!$B$30,C289&gt;='Исходные данные'!$B$30),(C289-'Исходные данные'!$B$30+1)/DAY(C289),1))</f>
        <v>0</v>
      </c>
      <c r="J289">
        <f>IF(AND(F289&gt;0,F289&lt;=N('Исходные данные'!$B$37)),-I289,0)</f>
        <v>0</v>
      </c>
      <c r="K289">
        <f>IF(OR(F289=0,F289&lt;=N('Исходные данные'!$B$37)),0,-(I289+J289)*N('Исходные данные'!$B$38))</f>
        <v>0</v>
      </c>
      <c r="L289">
        <f t="shared" si="167"/>
        <v>0</v>
      </c>
      <c r="M289">
        <f>IF('Исходные данные'!$B$51="Да",L289*N('Исходные данные'!$B$52),0)</f>
        <v>0</v>
      </c>
      <c r="N289">
        <f t="shared" si="168"/>
        <v>0</v>
      </c>
      <c r="O289">
        <f>IF(OR(B289="",IF('Исходные данные'!$B$45="",'Исходные данные'!$B$10,'Исходные данные'!$B$45)="",C289&lt;IF('Исходные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данные'!$B$45)),1),B289,"m")/12))*IF(AND(B289&lt;=IF('Исходные данные'!$B$45="",'Исходные данные'!$B$10,'Исходные данные'!$B$45),C289&gt;=IF('Исходные данные'!$B$45="",'Исходные данные'!$B$10,'Исходные данные'!$B$45)),(C289-IF('Исходные данные'!$B$45="",'Исходные данные'!$B$10,'Исходные данные'!$B$45)+1)/DAY(C289),1)*IF('Исходные данные'!$B$43="Без НДС",1+N('Исходные данные'!$B$44),1))</f>
        <v>0</v>
      </c>
      <c r="P289">
        <f>IF('Исходные данные'!$B$51="Да",-O289*N('Исходные данные'!$B$44)/(1+N('Исходные данные'!$B$44)),0)</f>
        <v>0</v>
      </c>
      <c r="Q289">
        <f>IF('Исходные данные'!$B$35="Да",-O289,0)</f>
        <v>0</v>
      </c>
      <c r="R289">
        <f>IF(AND('Исходные данные'!$B$51="Да",Q289&gt;0),Q289*N('Исходные данные'!$B$52)/(1+N('Исходные данные'!$B$52)),0)</f>
        <v>0</v>
      </c>
      <c r="S289">
        <f>IF(OR(B289="",IF('Исходные данные'!$B$45="",'Исходные данные'!$B$10,'Исходные данные'!$B$45)="",C289&lt;IF('Исходные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данные'!$B$45)),1),B289,"m")/12))*IF(AND(B289&lt;=IF('Исходные данные'!$B$45="",'Исходные данные'!$B$10,'Исходные данные'!$B$45),C289&gt;=IF('Исходные данные'!$B$45="",'Исходные данные'!$B$10,'Исходные данные'!$B$45)),(C289-IF('Исходные данные'!$B$45="",'Исходные данные'!$B$10,'Исходные данные'!$B$45)+1)/DAY(C289),1)*IF('Исходные данные'!$B$43="Без НДС",1+N('Исходные данные'!$B$44),1))</f>
        <v>0</v>
      </c>
      <c r="T289">
        <f>IF('Исходные данные'!$B$51="Да",-S289*N('Исходные данные'!$B$44)/(1+N('Исходные данные'!$B$44)),0)</f>
        <v>0</v>
      </c>
      <c r="U289">
        <f>IF('Исходные данные'!$B$36="Да",-S289,0)</f>
        <v>0</v>
      </c>
      <c r="V289">
        <f>IF(AND('Исходные данные'!$B$51="Да",U289&gt;0),U289*N('Исходные данные'!$B$52)/(1+N('Исходные данные'!$B$52)),0)</f>
        <v>0</v>
      </c>
      <c r="W289">
        <f>IF(OR(B289="",IF('Исходные данные'!$B$69="",'Исходные данные'!$B$10,'Исходные данные'!$B$69)="",C289&lt;IF('Исходные данные'!$B$69="",'Исходные данные'!$B$10,'Исходные данные'!$B$69)),0,-N('Исходные данные'!$B$16)*N('Исходные данные'!$B$68)*N('Исходные данные'!$B$67)/12*IF(AND(B289&lt;=IF('Исходные данные'!$B$69="",'Исходные данные'!$B$10,'Исходные данные'!$B$69),C289&gt;=IF('Исходные данные'!$B$69="",'Исходные данные'!$B$10,'Исходные данные'!$B$69)),(C289-IF('Исходные данные'!$B$69="",'Исходные данные'!$B$10,'Исходные данные'!$B$69)+1)/DAY(C289),1))</f>
        <v>0</v>
      </c>
      <c r="X289">
        <f>IF(OR(B289="",IF('Исходные данные'!$B$76="",'Исходные данные'!$B$10,'Исходные данные'!$B$76)="",C289&lt;IF('Исходные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данные'!$B$76)),1),B289,"m")/12))*IF(AND(B289&lt;=IF('Исходные данные'!$B$76="",'Исходные данные'!$B$10,'Исходные данные'!$B$76),C289&gt;=IF('Исходные данные'!$B$76="",'Исходные данные'!$B$10,'Исходные данные'!$B$76)),(C289-IF('Исходные данные'!$B$76="",'Исходные данные'!$B$10,'Исходные данные'!$B$76)+1)/DAY(C289),1))</f>
        <v>0</v>
      </c>
      <c r="Y289">
        <f t="shared" si="169"/>
        <v>0</v>
      </c>
      <c r="Z289">
        <f>IF(OR(B289="",N('Исходные данные'!$B$19)=0),0,-SUMIFS('Исходные данные'!$I$6:$I$186,'Исходные данные'!$F$6:$F$186,B289)*N('Исходные данные'!$B$17)/N('Исходные данные'!$B$19))</f>
        <v>0</v>
      </c>
      <c r="AA289">
        <f>IF(OR(B289="",N('Исходные данные'!$B$19)=0),0,-SUMIFS('Исходные данные'!$I$6:$I$186,'Исходные данные'!$F$6:$F$186,B289)*N('Исходные данные'!$B$18)/N('Исходные данные'!$B$19))</f>
        <v>0</v>
      </c>
      <c r="AB289">
        <f>IF(OR(B289="",'Исходные данные'!$B$13=""),0,IF(AND(YEAR(B289)=YEAR('Исходные данные'!$B$13),MONTH(B289)=MONTH('Исходные данные'!$B$13)),-N('Исходные данные'!$B$11),0))</f>
        <v>0</v>
      </c>
      <c r="AC289">
        <f>IF(A289=1,-N('Исходные данные'!$B$19)*N('Исходные данные'!$B$72),0)</f>
        <v>0</v>
      </c>
      <c r="AD289">
        <f>IF(OR(B289="",'Исходные данные'!$B$22&lt;&gt;"Да",'Исходные данные'!$B$26=""),0,IF(AND(YEAR(B289)=YEAR('Исходные данные'!$B$26),MONTH(B289)=MONTH('Исходные данные'!$B$26)),N('Исходные данные'!$B$23),0))</f>
        <v>0</v>
      </c>
      <c r="AE289">
        <f t="shared" si="152"/>
        <v>0</v>
      </c>
      <c r="AF289">
        <f>IF(OR('Исходные данные'!$B$22&lt;&gt;"Да",'Исходные данные'!$B$26="",C289&lt;'Исходные данные'!$B$26),0,DATEDIF(DATE(YEAR('Исходные данные'!$B$26),MONTH('Исходные данные'!$B$26),1),B289,"m")+1)</f>
        <v>0</v>
      </c>
      <c r="AG289">
        <f>IF(OR(AF289&lt;1,AF289&gt;N('Исходные данные'!$B$25),AE289+AD289&lt;=0),0,-(AE289+AD289)*N('Исходные данные'!$B$24)*IF(AF289=1,C289-'Исходные данные'!$B$26+1,DAY(C289))/365)</f>
        <v>0</v>
      </c>
      <c r="AH289">
        <f>IF(OR(AF289&lt;1,AF289&gt;N('Исходные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данные'!$B$25)-AG289))</f>
        <v>0</v>
      </c>
      <c r="AI289">
        <f>IF(OR('Исходные данные'!$B$22&lt;&gt;"Да",AE289+AD289&lt;=0),0,IF(AND('Исходные данные'!$B$91&lt;&gt;"",B289&lt;&gt;"",YEAR(B289)=YEAR('Исходные данные'!$B$91),MONTH(B289)=MONTH('Исходные данные'!$B$91)),-(AE289+AD289),IF(OR(AF289&lt;1,AF289&gt;N('Исходные данные'!$B$25)),0,IF('Исходные данные'!$B$27="Равными долями",-MIN(AE289+AD289,N('Исходные данные'!$B$23)/N('Исходные данные'!$B$25)),-MIN(AE289+AD289,IF(AF289=N('Исходные данные'!$B$25),AE289+AD289,MAX(0,AH289+AG289)))))))</f>
        <v>0</v>
      </c>
      <c r="AJ289">
        <f t="shared" si="170"/>
        <v>0</v>
      </c>
      <c r="AK289">
        <f t="shared" si="153"/>
        <v>0</v>
      </c>
      <c r="AL289">
        <f>IF(OR(B289="",'Исходные данные'!$B$51&lt;&gt;"Да",'Исходные данные'!$B$61=""),0,IF(AND(YEAR(B289)=YEAR('Исходные данные'!$B$61),MONTH(B289)=MONTH('Исходные данные'!$B$61)),N('Исходные данные'!$B$18)*N('Исходные данные'!$B$62),0))</f>
        <v>0</v>
      </c>
      <c r="AM289">
        <f t="shared" si="154"/>
        <v>0</v>
      </c>
      <c r="AN289">
        <f t="shared" si="155"/>
        <v>0</v>
      </c>
      <c r="AO289">
        <f t="shared" si="156"/>
        <v>0</v>
      </c>
      <c r="AP289">
        <f>IF('Исходные данные'!$B$51="Да",-MAX(0,AN289-AO289-AM289),0)</f>
        <v>0</v>
      </c>
      <c r="AQ289">
        <f>IF('Исходные данные'!$B$51="Да",MAX(0,AM289+AO289-AN289),0)</f>
        <v>0</v>
      </c>
      <c r="AR289">
        <f>IF('Исходные данные'!$B$53="Выручка",MAX(0,L289+(Q289-R289)+(U289-V289)),IF('Исходные данные'!$B$53="Прибыль до налога",MAX(0,L289+(Q289-R289)+(U289-V289)+N('Исходные данные'!$B$54)*((O289+P289)+(S289+T289)+W289+X289)+IF('Исходные данные'!$B$55="Да",AG289,0)-N('Исходные данные'!$B$56)/12),IF('Исходные данные'!$B$53="Пользовательская база",MAX(0,N('Исходные данные'!$B$57)/12),0)))</f>
        <v>0</v>
      </c>
      <c r="AS289">
        <f>IF(E289=1,-AR289*N('Исходные данные'!$B$50),0)</f>
        <v>0</v>
      </c>
      <c r="AT289">
        <f t="shared" si="157"/>
        <v>0</v>
      </c>
      <c r="AU289">
        <f>IF(OR(B289="",N('Исходные данные'!$B$80)&lt;=0,'Исходные данные'!$B$88=""),0,MAX(0,IF('Исходные данные'!$B$88="Последние 12 месяцев",SUMIFS($Y$2:$Y$194,$B$2:$B$194,"&gt;="&amp;EDATE(B289,-11),$B$2:$B$194,"&lt;="&amp;B289),IF('Исходные данные'!$B$88="Пользовательский NOI",N('Исходные данные'!$B$89),AT289))/N('Исходные данные'!$B$80)*(1+N('Исходные данные'!$B$81))))</f>
        <v>0</v>
      </c>
      <c r="AV289">
        <f>IF(OR(E289&lt;&gt;1,B289="",'Исходные данные'!$B$91=""),0,IF(AND(YEAR(B289)=YEAR('Исходные данные'!$B$91),MONTH(B289)=MONTH('Исходные данные'!$B$91)),AU289,0))</f>
        <v>0</v>
      </c>
      <c r="AW289">
        <f>-AV289*N('Исходные данные'!$B$73)</f>
        <v>0</v>
      </c>
      <c r="AX289">
        <f>IF(AV289=0,0,-N('Исходные данные'!$B$87)-IF('Исходные данные'!$B$82="Да",IF('Исходные данные'!$B$84="С выручки",AV289,IF('Исходные данные'!$B$84="С прибыли",MAX(0,AV289+AW289-IF('Исходные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89">
        <f t="shared" si="171"/>
        <v>0</v>
      </c>
      <c r="AZ289">
        <f t="shared" si="158"/>
        <v>0</v>
      </c>
      <c r="BA289">
        <f t="shared" si="172"/>
        <v>0</v>
      </c>
      <c r="BB289" t="str">
        <f t="shared" si="159"/>
        <v/>
      </c>
      <c r="BC289">
        <f>IF(OR(E289=0,'Исходные данные'!$B$9="",'Исходные данные'!$B$90=""),0,BA289/(1+'Исходные данные'!$B$90)^((D289-'Исходные данные'!$B$9)/365))</f>
        <v>0</v>
      </c>
      <c r="BD289">
        <f>IF(AND(E289=1,BB289&gt;=0,BB288&lt;0,MIN($BB$2:BB289)&lt;0),1,0)</f>
        <v>0</v>
      </c>
      <c r="BE289">
        <f t="shared" si="160"/>
        <v>0</v>
      </c>
      <c r="BF289">
        <f t="shared" si="161"/>
        <v>0</v>
      </c>
      <c r="BG289">
        <f t="shared" si="162"/>
        <v>0</v>
      </c>
      <c r="BH289">
        <f t="shared" si="163"/>
        <v>1</v>
      </c>
      <c r="BI289">
        <f>AZ289+N289+AP289-AR289*N('Исходные данные'!$B$50)</f>
        <v>0</v>
      </c>
      <c r="BJ289">
        <f t="shared" si="164"/>
        <v>0</v>
      </c>
      <c r="BK289">
        <f>IF(AND(BJ289&gt;=0,BJ288&lt;0,MIN($BJ$2:BJ289)&lt;0),1,0)</f>
        <v>0</v>
      </c>
    </row>
    <row r="290" spans="1:63" x14ac:dyDescent="0.2">
      <c r="A290">
        <v>289</v>
      </c>
      <c r="B290" t="str">
        <f>IF('Исходные данные'!$B$9="","",EDATE(DATE(YEAR('Исходные данные'!$B$9),MONTH('Исходные данные'!$B$9),1),A290-1))</f>
        <v/>
      </c>
      <c r="C290" t="str">
        <f t="shared" si="165"/>
        <v/>
      </c>
      <c r="D290" t="str">
        <f>IF(B290="","",IF('Исходные данные'!$B$91&lt;&gt;"",IF(AND(YEAR(B290)=YEAR('Исходные данные'!$B$91),MONTH(B290)=MONTH('Исходные данные'!$B$91)),'Исходные данные'!$B$91,IF('Исходные данные'!$B$13&lt;&gt;"",IF(AND(YEAR(B290)=YEAR('Исходные данные'!$B$13),MONTH(B290)=MONTH('Исходные данные'!$B$13)),'Исходные данные'!$B$13,IF('Исходные данные'!$B$26&lt;&gt;"",IF(AND(YEAR(B290)=YEAR('Исходные данные'!$B$26),MONTH(B290)=MONTH('Исходные данные'!$B$26)),'Исходные данные'!$B$26,IF(A290=1,'Исходные данные'!$B$9,C290)),IF(A290=1,'Исходные данные'!$B$9,C290))),IF('Исходные данные'!$B$26&lt;&gt;"",IF(AND(YEAR(B290)=YEAR('Исходные данные'!$B$26),MONTH(B290)=MONTH('Исходные данные'!$B$26)),'Исходные данные'!$B$26,IF(A290=1,'Исходные данные'!$B$9,C290)),IF(A290=1,'Исходные данные'!$B$9,C290)))),IF('Исходные данные'!$B$13&lt;&gt;"",IF(AND(YEAR(B290)=YEAR('Исходные данные'!$B$13),MONTH(B290)=MONTH('Исходные данные'!$B$13)),'Исходные данные'!$B$13,IF('Исходные данные'!$B$26&lt;&gt;"",IF(AND(YEAR(B290)=YEAR('Исходные данные'!$B$26),MONTH(B290)=MONTH('Исходные данные'!$B$26)),'Исходные данные'!$B$26,IF(A290=1,'Исходные данные'!$B$9,C290)),IF(A290=1,'Исходные данные'!$B$9,C290))),IF('Исходные данные'!$B$26&lt;&gt;"",IF(AND(YEAR(B290)=YEAR('Исходные данные'!$B$26),MONTH(B290)=MONTH('Исходные данные'!$B$26)),'Исходные данные'!$B$26,IF(A290=1,'Исходные данные'!$B$9,C290)),IF(A290=1,'Исходные данные'!$B$9,C290)))))</f>
        <v/>
      </c>
      <c r="E290">
        <f>IF(OR(B290="",'Исходные данные'!$B$91=""),0,--(B290&lt;=DATE(YEAR('Исходные данные'!$B$91),MONTH('Исходные данные'!$B$91),1)))</f>
        <v>0</v>
      </c>
      <c r="F290">
        <f>IF(OR(B290="",'Исходные данные'!$B$30="",C290&lt;'Исходные данные'!$B$30),0,DATEDIF(DATE(YEAR('Исходные данные'!$B$30),MONTH('Исходные данные'!$B$30),1),B290,"m")+1)</f>
        <v>0</v>
      </c>
      <c r="G290">
        <f t="shared" si="166"/>
        <v>0</v>
      </c>
      <c r="H290">
        <f>IF(F290=0,0,IF(G290=1,N('Исходные данные'!$B$31),IF(G290=2,N('Исходные данные'!$B$32),IF(G290=3,N('Исходные данные'!$B$33),N('Исходные данные'!$B$33)*(1+N('Исходные данные'!$B$34))^(G290-3)))))</f>
        <v>0</v>
      </c>
      <c r="I290">
        <f>IF(OR(F290=0,N('Исходные данные'!$B$5)=0,H290=0),0,'Исходные данные'!$B$5*H290*IF(AND(B290&lt;='Исходные данные'!$B$30,C290&gt;='Исходные данные'!$B$30),(C290-'Исходные данные'!$B$30+1)/DAY(C290),1))</f>
        <v>0</v>
      </c>
      <c r="J290">
        <f>IF(AND(F290&gt;0,F290&lt;=N('Исходные данные'!$B$37)),-I290,0)</f>
        <v>0</v>
      </c>
      <c r="K290">
        <f>IF(OR(F290=0,F290&lt;=N('Исходные данные'!$B$37)),0,-(I290+J290)*N('Исходные данные'!$B$38))</f>
        <v>0</v>
      </c>
      <c r="L290">
        <f t="shared" si="167"/>
        <v>0</v>
      </c>
      <c r="M290">
        <f>IF('Исходные данные'!$B$51="Да",L290*N('Исходные данные'!$B$52),0)</f>
        <v>0</v>
      </c>
      <c r="N290">
        <f t="shared" si="168"/>
        <v>0</v>
      </c>
      <c r="O290">
        <f>IF(OR(B290="",IF('Исходные данные'!$B$45="",'Исходные данные'!$B$10,'Исходные данные'!$B$45)="",C290&lt;IF('Исходные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данные'!$B$45)),1),B290,"m")/12))*IF(AND(B290&lt;=IF('Исходные данные'!$B$45="",'Исходные данные'!$B$10,'Исходные данные'!$B$45),C290&gt;=IF('Исходные данные'!$B$45="",'Исходные данные'!$B$10,'Исходные данные'!$B$45)),(C290-IF('Исходные данные'!$B$45="",'Исходные данные'!$B$10,'Исходные данные'!$B$45)+1)/DAY(C290),1)*IF('Исходные данные'!$B$43="Без НДС",1+N('Исходные данные'!$B$44),1))</f>
        <v>0</v>
      </c>
      <c r="P290">
        <f>IF('Исходные данные'!$B$51="Да",-O290*N('Исходные данные'!$B$44)/(1+N('Исходные данные'!$B$44)),0)</f>
        <v>0</v>
      </c>
      <c r="Q290">
        <f>IF('Исходные данные'!$B$35="Да",-O290,0)</f>
        <v>0</v>
      </c>
      <c r="R290">
        <f>IF(AND('Исходные данные'!$B$51="Да",Q290&gt;0),Q290*N('Исходные данные'!$B$52)/(1+N('Исходные данные'!$B$52)),0)</f>
        <v>0</v>
      </c>
      <c r="S290">
        <f>IF(OR(B290="",IF('Исходные данные'!$B$45="",'Исходные данные'!$B$10,'Исходные данные'!$B$45)="",C290&lt;IF('Исходные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данные'!$B$45)),1),B290,"m")/12))*IF(AND(B290&lt;=IF('Исходные данные'!$B$45="",'Исходные данные'!$B$10,'Исходные данные'!$B$45),C290&gt;=IF('Исходные данные'!$B$45="",'Исходные данные'!$B$10,'Исходные данные'!$B$45)),(C290-IF('Исходные данные'!$B$45="",'Исходные данные'!$B$10,'Исходные данные'!$B$45)+1)/DAY(C290),1)*IF('Исходные данные'!$B$43="Без НДС",1+N('Исходные данные'!$B$44),1))</f>
        <v>0</v>
      </c>
      <c r="T290">
        <f>IF('Исходные данные'!$B$51="Да",-S290*N('Исходные данные'!$B$44)/(1+N('Исходные данные'!$B$44)),0)</f>
        <v>0</v>
      </c>
      <c r="U290">
        <f>IF('Исходные данные'!$B$36="Да",-S290,0)</f>
        <v>0</v>
      </c>
      <c r="V290">
        <f>IF(AND('Исходные данные'!$B$51="Да",U290&gt;0),U290*N('Исходные данные'!$B$52)/(1+N('Исходные данные'!$B$52)),0)</f>
        <v>0</v>
      </c>
      <c r="W290">
        <f>IF(OR(B290="",IF('Исходные данные'!$B$69="",'Исходные данные'!$B$10,'Исходные данные'!$B$69)="",C290&lt;IF('Исходные данные'!$B$69="",'Исходные данные'!$B$10,'Исходные данные'!$B$69)),0,-N('Исходные данные'!$B$16)*N('Исходные данные'!$B$68)*N('Исходные данные'!$B$67)/12*IF(AND(B290&lt;=IF('Исходные данные'!$B$69="",'Исходные данные'!$B$10,'Исходные данные'!$B$69),C290&gt;=IF('Исходные данные'!$B$69="",'Исходные данные'!$B$10,'Исходные данные'!$B$69)),(C290-IF('Исходные данные'!$B$69="",'Исходные данные'!$B$10,'Исходные данные'!$B$69)+1)/DAY(C290),1))</f>
        <v>0</v>
      </c>
      <c r="X290">
        <f>IF(OR(B290="",IF('Исходные данные'!$B$76="",'Исходные данные'!$B$10,'Исходные данные'!$B$76)="",C290&lt;IF('Исходные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данные'!$B$76)),1),B290,"m")/12))*IF(AND(B290&lt;=IF('Исходные данные'!$B$76="",'Исходные данные'!$B$10,'Исходные данные'!$B$76),C290&gt;=IF('Исходные данные'!$B$76="",'Исходные данные'!$B$10,'Исходные данные'!$B$76)),(C290-IF('Исходные данные'!$B$76="",'Исходные данные'!$B$10,'Исходные данные'!$B$76)+1)/DAY(C290),1))</f>
        <v>0</v>
      </c>
      <c r="Y290">
        <f t="shared" si="169"/>
        <v>0</v>
      </c>
      <c r="Z290">
        <f>IF(OR(B290="",N('Исходные данные'!$B$19)=0),0,-SUMIFS('Исходные данные'!$I$6:$I$186,'Исходные данные'!$F$6:$F$186,B290)*N('Исходные данные'!$B$17)/N('Исходные данные'!$B$19))</f>
        <v>0</v>
      </c>
      <c r="AA290">
        <f>IF(OR(B290="",N('Исходные данные'!$B$19)=0),0,-SUMIFS('Исходные данные'!$I$6:$I$186,'Исходные данные'!$F$6:$F$186,B290)*N('Исходные данные'!$B$18)/N('Исходные данные'!$B$19))</f>
        <v>0</v>
      </c>
      <c r="AB290">
        <f>IF(OR(B290="",'Исходные данные'!$B$13=""),0,IF(AND(YEAR(B290)=YEAR('Исходные данные'!$B$13),MONTH(B290)=MONTH('Исходные данные'!$B$13)),-N('Исходные данные'!$B$11),0))</f>
        <v>0</v>
      </c>
      <c r="AC290">
        <f>IF(A290=1,-N('Исходные данные'!$B$19)*N('Исходные данные'!$B$72),0)</f>
        <v>0</v>
      </c>
      <c r="AD290">
        <f>IF(OR(B290="",'Исходные данные'!$B$22&lt;&gt;"Да",'Исходные данные'!$B$26=""),0,IF(AND(YEAR(B290)=YEAR('Исходные данные'!$B$26),MONTH(B290)=MONTH('Исходные данные'!$B$26)),N('Исходные данные'!$B$23),0))</f>
        <v>0</v>
      </c>
      <c r="AE290">
        <f t="shared" si="152"/>
        <v>0</v>
      </c>
      <c r="AF290">
        <f>IF(OR('Исходные данные'!$B$22&lt;&gt;"Да",'Исходные данные'!$B$26="",C290&lt;'Исходные данные'!$B$26),0,DATEDIF(DATE(YEAR('Исходные данные'!$B$26),MONTH('Исходные данные'!$B$26),1),B290,"m")+1)</f>
        <v>0</v>
      </c>
      <c r="AG290">
        <f>IF(OR(AF290&lt;1,AF290&gt;N('Исходные данные'!$B$25),AE290+AD290&lt;=0),0,-(AE290+AD290)*N('Исходные данные'!$B$24)*IF(AF290=1,C290-'Исходные данные'!$B$26+1,DAY(C290))/365)</f>
        <v>0</v>
      </c>
      <c r="AH290">
        <f>IF(OR(AF290&lt;1,AF290&gt;N('Исходные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данные'!$B$25)-AG290))</f>
        <v>0</v>
      </c>
      <c r="AI290">
        <f>IF(OR('Исходные данные'!$B$22&lt;&gt;"Да",AE290+AD290&lt;=0),0,IF(AND('Исходные данные'!$B$91&lt;&gt;"",B290&lt;&gt;"",YEAR(B290)=YEAR('Исходные данные'!$B$91),MONTH(B290)=MONTH('Исходные данные'!$B$91)),-(AE290+AD290),IF(OR(AF290&lt;1,AF290&gt;N('Исходные данные'!$B$25)),0,IF('Исходные данные'!$B$27="Равными долями",-MIN(AE290+AD290,N('Исходные данные'!$B$23)/N('Исходные данные'!$B$25)),-MIN(AE290+AD290,IF(AF290=N('Исходные данные'!$B$25),AE290+AD290,MAX(0,AH290+AG290)))))))</f>
        <v>0</v>
      </c>
      <c r="AJ290">
        <f t="shared" si="170"/>
        <v>0</v>
      </c>
      <c r="AK290">
        <f t="shared" si="153"/>
        <v>0</v>
      </c>
      <c r="AL290">
        <f>IF(OR(B290="",'Исходные данные'!$B$51&lt;&gt;"Да",'Исходные данные'!$B$61=""),0,IF(AND(YEAR(B290)=YEAR('Исходные данные'!$B$61),MONTH(B290)=MONTH('Исходные данные'!$B$61)),N('Исходные данные'!$B$18)*N('Исходные данные'!$B$62),0))</f>
        <v>0</v>
      </c>
      <c r="AM290">
        <f t="shared" si="154"/>
        <v>0</v>
      </c>
      <c r="AN290">
        <f t="shared" si="155"/>
        <v>0</v>
      </c>
      <c r="AO290">
        <f t="shared" si="156"/>
        <v>0</v>
      </c>
      <c r="AP290">
        <f>IF('Исходные данные'!$B$51="Да",-MAX(0,AN290-AO290-AM290),0)</f>
        <v>0</v>
      </c>
      <c r="AQ290">
        <f>IF('Исходные данные'!$B$51="Да",MAX(0,AM290+AO290-AN290),0)</f>
        <v>0</v>
      </c>
      <c r="AR290">
        <f>IF('Исходные данные'!$B$53="Выручка",MAX(0,L290+(Q290-R290)+(U290-V290)),IF('Исходные данные'!$B$53="Прибыль до налога",MAX(0,L290+(Q290-R290)+(U290-V290)+N('Исходные данные'!$B$54)*((O290+P290)+(S290+T290)+W290+X290)+IF('Исходные данные'!$B$55="Да",AG290,0)-N('Исходные данные'!$B$56)/12),IF('Исходные данные'!$B$53="Пользовательская база",MAX(0,N('Исходные данные'!$B$57)/12),0)))</f>
        <v>0</v>
      </c>
      <c r="AS290">
        <f>IF(E290=1,-AR290*N('Исходные данные'!$B$50),0)</f>
        <v>0</v>
      </c>
      <c r="AT290">
        <f t="shared" si="157"/>
        <v>0</v>
      </c>
      <c r="AU290">
        <f>IF(OR(B290="",N('Исходные данные'!$B$80)&lt;=0,'Исходные данные'!$B$88=""),0,MAX(0,IF('Исходные данные'!$B$88="Последние 12 месяцев",SUMIFS($Y$2:$Y$194,$B$2:$B$194,"&gt;="&amp;EDATE(B290,-11),$B$2:$B$194,"&lt;="&amp;B290),IF('Исходные данные'!$B$88="Пользовательский NOI",N('Исходные данные'!$B$89),AT290))/N('Исходные данные'!$B$80)*(1+N('Исходные данные'!$B$81))))</f>
        <v>0</v>
      </c>
      <c r="AV290">
        <f>IF(OR(E290&lt;&gt;1,B290="",'Исходные данные'!$B$91=""),0,IF(AND(YEAR(B290)=YEAR('Исходные данные'!$B$91),MONTH(B290)=MONTH('Исходные данные'!$B$91)),AU290,0))</f>
        <v>0</v>
      </c>
      <c r="AW290">
        <f>-AV290*N('Исходные данные'!$B$73)</f>
        <v>0</v>
      </c>
      <c r="AX290">
        <f>IF(AV290=0,0,-N('Исходные данные'!$B$87)-IF('Исходные данные'!$B$82="Да",IF('Исходные данные'!$B$84="С выручки",AV290,IF('Исходные данные'!$B$84="С прибыли",MAX(0,AV290+AW290-IF('Исходные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90">
        <f t="shared" si="171"/>
        <v>0</v>
      </c>
      <c r="AZ290">
        <f t="shared" si="158"/>
        <v>0</v>
      </c>
      <c r="BA290">
        <f t="shared" si="172"/>
        <v>0</v>
      </c>
      <c r="BB290" t="str">
        <f t="shared" si="159"/>
        <v/>
      </c>
      <c r="BC290">
        <f>IF(OR(E290=0,'Исходные данные'!$B$9="",'Исходные данные'!$B$90=""),0,BA290/(1+'Исходные данные'!$B$90)^((D290-'Исходные данные'!$B$9)/365))</f>
        <v>0</v>
      </c>
      <c r="BD290">
        <f>IF(AND(E290=1,BB290&gt;=0,BB289&lt;0,MIN($BB$2:BB290)&lt;0),1,0)</f>
        <v>0</v>
      </c>
      <c r="BE290">
        <f t="shared" si="160"/>
        <v>0</v>
      </c>
      <c r="BF290">
        <f t="shared" si="161"/>
        <v>0</v>
      </c>
      <c r="BG290">
        <f t="shared" si="162"/>
        <v>0</v>
      </c>
      <c r="BH290">
        <f t="shared" si="163"/>
        <v>1</v>
      </c>
      <c r="BI290">
        <f>AZ290+N290+AP290-AR290*N('Исходные данные'!$B$50)</f>
        <v>0</v>
      </c>
      <c r="BJ290">
        <f t="shared" si="164"/>
        <v>0</v>
      </c>
      <c r="BK290">
        <f>IF(AND(BJ290&gt;=0,BJ289&lt;0,MIN($BJ$2:BJ290)&lt;0),1,0)</f>
        <v>0</v>
      </c>
    </row>
    <row r="291" spans="1:63" x14ac:dyDescent="0.2">
      <c r="A291">
        <v>290</v>
      </c>
      <c r="B291" t="str">
        <f>IF('Исходные данные'!$B$9="","",EDATE(DATE(YEAR('Исходные данные'!$B$9),MONTH('Исходные данные'!$B$9),1),A291-1))</f>
        <v/>
      </c>
      <c r="C291" t="str">
        <f t="shared" si="165"/>
        <v/>
      </c>
      <c r="D291" t="str">
        <f>IF(B291="","",IF('Исходные данные'!$B$91&lt;&gt;"",IF(AND(YEAR(B291)=YEAR('Исходные данные'!$B$91),MONTH(B291)=MONTH('Исходные данные'!$B$91)),'Исходные данные'!$B$91,IF('Исходные данные'!$B$13&lt;&gt;"",IF(AND(YEAR(B291)=YEAR('Исходные данные'!$B$13),MONTH(B291)=MONTH('Исходные данные'!$B$13)),'Исходные данные'!$B$13,IF('Исходные данные'!$B$26&lt;&gt;"",IF(AND(YEAR(B291)=YEAR('Исходные данные'!$B$26),MONTH(B291)=MONTH('Исходные данные'!$B$26)),'Исходные данные'!$B$26,IF(A291=1,'Исходные данные'!$B$9,C291)),IF(A291=1,'Исходные данные'!$B$9,C291))),IF('Исходные данные'!$B$26&lt;&gt;"",IF(AND(YEAR(B291)=YEAR('Исходные данные'!$B$26),MONTH(B291)=MONTH('Исходные данные'!$B$26)),'Исходные данные'!$B$26,IF(A291=1,'Исходные данные'!$B$9,C291)),IF(A291=1,'Исходные данные'!$B$9,C291)))),IF('Исходные данные'!$B$13&lt;&gt;"",IF(AND(YEAR(B291)=YEAR('Исходные данные'!$B$13),MONTH(B291)=MONTH('Исходные данные'!$B$13)),'Исходные данные'!$B$13,IF('Исходные данные'!$B$26&lt;&gt;"",IF(AND(YEAR(B291)=YEAR('Исходные данные'!$B$26),MONTH(B291)=MONTH('Исходные данные'!$B$26)),'Исходные данные'!$B$26,IF(A291=1,'Исходные данные'!$B$9,C291)),IF(A291=1,'Исходные данные'!$B$9,C291))),IF('Исходные данные'!$B$26&lt;&gt;"",IF(AND(YEAR(B291)=YEAR('Исходные данные'!$B$26),MONTH(B291)=MONTH('Исходные данные'!$B$26)),'Исходные данные'!$B$26,IF(A291=1,'Исходные данные'!$B$9,C291)),IF(A291=1,'Исходные данные'!$B$9,C291)))))</f>
        <v/>
      </c>
      <c r="E291">
        <f>IF(OR(B291="",'Исходные данные'!$B$91=""),0,--(B291&lt;=DATE(YEAR('Исходные данные'!$B$91),MONTH('Исходные данные'!$B$91),1)))</f>
        <v>0</v>
      </c>
      <c r="F291">
        <f>IF(OR(B291="",'Исходные данные'!$B$30="",C291&lt;'Исходные данные'!$B$30),0,DATEDIF(DATE(YEAR('Исходные данные'!$B$30),MONTH('Исходные данные'!$B$30),1),B291,"m")+1)</f>
        <v>0</v>
      </c>
      <c r="G291">
        <f t="shared" si="166"/>
        <v>0</v>
      </c>
      <c r="H291">
        <f>IF(F291=0,0,IF(G291=1,N('Исходные данные'!$B$31),IF(G291=2,N('Исходные данные'!$B$32),IF(G291=3,N('Исходные данные'!$B$33),N('Исходные данные'!$B$33)*(1+N('Исходные данные'!$B$34))^(G291-3)))))</f>
        <v>0</v>
      </c>
      <c r="I291">
        <f>IF(OR(F291=0,N('Исходные данные'!$B$5)=0,H291=0),0,'Исходные данные'!$B$5*H291*IF(AND(B291&lt;='Исходные данные'!$B$30,C291&gt;='Исходные данные'!$B$30),(C291-'Исходные данные'!$B$30+1)/DAY(C291),1))</f>
        <v>0</v>
      </c>
      <c r="J291">
        <f>IF(AND(F291&gt;0,F291&lt;=N('Исходные данные'!$B$37)),-I291,0)</f>
        <v>0</v>
      </c>
      <c r="K291">
        <f>IF(OR(F291=0,F291&lt;=N('Исходные данные'!$B$37)),0,-(I291+J291)*N('Исходные данные'!$B$38))</f>
        <v>0</v>
      </c>
      <c r="L291">
        <f t="shared" si="167"/>
        <v>0</v>
      </c>
      <c r="M291">
        <f>IF('Исходные данные'!$B$51="Да",L291*N('Исходные данные'!$B$52),0)</f>
        <v>0</v>
      </c>
      <c r="N291">
        <f t="shared" si="168"/>
        <v>0</v>
      </c>
      <c r="O291">
        <f>IF(OR(B291="",IF('Исходные данные'!$B$45="",'Исходные данные'!$B$10,'Исходные данные'!$B$45)="",C291&lt;IF('Исходные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данные'!$B$45)),1),B291,"m")/12))*IF(AND(B291&lt;=IF('Исходные данные'!$B$45="",'Исходные данные'!$B$10,'Исходные данные'!$B$45),C291&gt;=IF('Исходные данные'!$B$45="",'Исходные данные'!$B$10,'Исходные данные'!$B$45)),(C291-IF('Исходные данные'!$B$45="",'Исходные данные'!$B$10,'Исходные данные'!$B$45)+1)/DAY(C291),1)*IF('Исходные данные'!$B$43="Без НДС",1+N('Исходные данные'!$B$44),1))</f>
        <v>0</v>
      </c>
      <c r="P291">
        <f>IF('Исходные данные'!$B$51="Да",-O291*N('Исходные данные'!$B$44)/(1+N('Исходные данные'!$B$44)),0)</f>
        <v>0</v>
      </c>
      <c r="Q291">
        <f>IF('Исходные данные'!$B$35="Да",-O291,0)</f>
        <v>0</v>
      </c>
      <c r="R291">
        <f>IF(AND('Исходные данные'!$B$51="Да",Q291&gt;0),Q291*N('Исходные данные'!$B$52)/(1+N('Исходные данные'!$B$52)),0)</f>
        <v>0</v>
      </c>
      <c r="S291">
        <f>IF(OR(B291="",IF('Исходные данные'!$B$45="",'Исходные данные'!$B$10,'Исходные данные'!$B$45)="",C291&lt;IF('Исходные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данные'!$B$45)),1),B291,"m")/12))*IF(AND(B291&lt;=IF('Исходные данные'!$B$45="",'Исходные данные'!$B$10,'Исходные данные'!$B$45),C291&gt;=IF('Исходные данные'!$B$45="",'Исходные данные'!$B$10,'Исходные данные'!$B$45)),(C291-IF('Исходные данные'!$B$45="",'Исходные данные'!$B$10,'Исходные данные'!$B$45)+1)/DAY(C291),1)*IF('Исходные данные'!$B$43="Без НДС",1+N('Исходные данные'!$B$44),1))</f>
        <v>0</v>
      </c>
      <c r="T291">
        <f>IF('Исходные данные'!$B$51="Да",-S291*N('Исходные данные'!$B$44)/(1+N('Исходные данные'!$B$44)),0)</f>
        <v>0</v>
      </c>
      <c r="U291">
        <f>IF('Исходные данные'!$B$36="Да",-S291,0)</f>
        <v>0</v>
      </c>
      <c r="V291">
        <f>IF(AND('Исходные данные'!$B$51="Да",U291&gt;0),U291*N('Исходные данные'!$B$52)/(1+N('Исходные данные'!$B$52)),0)</f>
        <v>0</v>
      </c>
      <c r="W291">
        <f>IF(OR(B291="",IF('Исходные данные'!$B$69="",'Исходные данные'!$B$10,'Исходные данные'!$B$69)="",C291&lt;IF('Исходные данные'!$B$69="",'Исходные данные'!$B$10,'Исходные данные'!$B$69)),0,-N('Исходные данные'!$B$16)*N('Исходные данные'!$B$68)*N('Исходные данные'!$B$67)/12*IF(AND(B291&lt;=IF('Исходные данные'!$B$69="",'Исходные данные'!$B$10,'Исходные данные'!$B$69),C291&gt;=IF('Исходные данные'!$B$69="",'Исходные данные'!$B$10,'Исходные данные'!$B$69)),(C291-IF('Исходные данные'!$B$69="",'Исходные данные'!$B$10,'Исходные данные'!$B$69)+1)/DAY(C291),1))</f>
        <v>0</v>
      </c>
      <c r="X291">
        <f>IF(OR(B291="",IF('Исходные данные'!$B$76="",'Исходные данные'!$B$10,'Исходные данные'!$B$76)="",C291&lt;IF('Исходные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данные'!$B$76)),1),B291,"m")/12))*IF(AND(B291&lt;=IF('Исходные данные'!$B$76="",'Исходные данные'!$B$10,'Исходные данные'!$B$76),C291&gt;=IF('Исходные данные'!$B$76="",'Исходные данные'!$B$10,'Исходные данные'!$B$76)),(C291-IF('Исходные данные'!$B$76="",'Исходные данные'!$B$10,'Исходные данные'!$B$76)+1)/DAY(C291),1))</f>
        <v>0</v>
      </c>
      <c r="Y291">
        <f t="shared" si="169"/>
        <v>0</v>
      </c>
      <c r="Z291">
        <f>IF(OR(B291="",N('Исходные данные'!$B$19)=0),0,-SUMIFS('Исходные данные'!$I$6:$I$186,'Исходные данные'!$F$6:$F$186,B291)*N('Исходные данные'!$B$17)/N('Исходные данные'!$B$19))</f>
        <v>0</v>
      </c>
      <c r="AA291">
        <f>IF(OR(B291="",N('Исходные данные'!$B$19)=0),0,-SUMIFS('Исходные данные'!$I$6:$I$186,'Исходные данные'!$F$6:$F$186,B291)*N('Исходные данные'!$B$18)/N('Исходные данные'!$B$19))</f>
        <v>0</v>
      </c>
      <c r="AB291">
        <f>IF(OR(B291="",'Исходные данные'!$B$13=""),0,IF(AND(YEAR(B291)=YEAR('Исходные данные'!$B$13),MONTH(B291)=MONTH('Исходные данные'!$B$13)),-N('Исходные данные'!$B$11),0))</f>
        <v>0</v>
      </c>
      <c r="AC291">
        <f>IF(A291=1,-N('Исходные данные'!$B$19)*N('Исходные данные'!$B$72),0)</f>
        <v>0</v>
      </c>
      <c r="AD291">
        <f>IF(OR(B291="",'Исходные данные'!$B$22&lt;&gt;"Да",'Исходные данные'!$B$26=""),0,IF(AND(YEAR(B291)=YEAR('Исходные данные'!$B$26),MONTH(B291)=MONTH('Исходные данные'!$B$26)),N('Исходные данные'!$B$23),0))</f>
        <v>0</v>
      </c>
      <c r="AE291">
        <f t="shared" si="152"/>
        <v>0</v>
      </c>
      <c r="AF291">
        <f>IF(OR('Исходные данные'!$B$22&lt;&gt;"Да",'Исходные данные'!$B$26="",C291&lt;'Исходные данные'!$B$26),0,DATEDIF(DATE(YEAR('Исходные данные'!$B$26),MONTH('Исходные данные'!$B$26),1),B291,"m")+1)</f>
        <v>0</v>
      </c>
      <c r="AG291">
        <f>IF(OR(AF291&lt;1,AF291&gt;N('Исходные данные'!$B$25),AE291+AD291&lt;=0),0,-(AE291+AD291)*N('Исходные данные'!$B$24)*IF(AF291=1,C291-'Исходные данные'!$B$26+1,DAY(C291))/365)</f>
        <v>0</v>
      </c>
      <c r="AH291">
        <f>IF(OR(AF291&lt;1,AF291&gt;N('Исходные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данные'!$B$25)-AG291))</f>
        <v>0</v>
      </c>
      <c r="AI291">
        <f>IF(OR('Исходные данные'!$B$22&lt;&gt;"Да",AE291+AD291&lt;=0),0,IF(AND('Исходные данные'!$B$91&lt;&gt;"",B291&lt;&gt;"",YEAR(B291)=YEAR('Исходные данные'!$B$91),MONTH(B291)=MONTH('Исходные данные'!$B$91)),-(AE291+AD291),IF(OR(AF291&lt;1,AF291&gt;N('Исходные данные'!$B$25)),0,IF('Исходные данные'!$B$27="Равными долями",-MIN(AE291+AD291,N('Исходные данные'!$B$23)/N('Исходные данные'!$B$25)),-MIN(AE291+AD291,IF(AF291=N('Исходные данные'!$B$25),AE291+AD291,MAX(0,AH291+AG291)))))))</f>
        <v>0</v>
      </c>
      <c r="AJ291">
        <f t="shared" si="170"/>
        <v>0</v>
      </c>
      <c r="AK291">
        <f t="shared" si="153"/>
        <v>0</v>
      </c>
      <c r="AL291">
        <f>IF(OR(B291="",'Исходные данные'!$B$51&lt;&gt;"Да",'Исходные данные'!$B$61=""),0,IF(AND(YEAR(B291)=YEAR('Исходные данные'!$B$61),MONTH(B291)=MONTH('Исходные данные'!$B$61)),N('Исходные данные'!$B$18)*N('Исходные данные'!$B$62),0))</f>
        <v>0</v>
      </c>
      <c r="AM291">
        <f t="shared" si="154"/>
        <v>0</v>
      </c>
      <c r="AN291">
        <f t="shared" si="155"/>
        <v>0</v>
      </c>
      <c r="AO291">
        <f t="shared" si="156"/>
        <v>0</v>
      </c>
      <c r="AP291">
        <f>IF('Исходные данные'!$B$51="Да",-MAX(0,AN291-AO291-AM291),0)</f>
        <v>0</v>
      </c>
      <c r="AQ291">
        <f>IF('Исходные данные'!$B$51="Да",MAX(0,AM291+AO291-AN291),0)</f>
        <v>0</v>
      </c>
      <c r="AR291">
        <f>IF('Исходные данные'!$B$53="Выручка",MAX(0,L291+(Q291-R291)+(U291-V291)),IF('Исходные данные'!$B$53="Прибыль до налога",MAX(0,L291+(Q291-R291)+(U291-V291)+N('Исходные данные'!$B$54)*((O291+P291)+(S291+T291)+W291+X291)+IF('Исходные данные'!$B$55="Да",AG291,0)-N('Исходные данные'!$B$56)/12),IF('Исходные данные'!$B$53="Пользовательская база",MAX(0,N('Исходные данные'!$B$57)/12),0)))</f>
        <v>0</v>
      </c>
      <c r="AS291">
        <f>IF(E291=1,-AR291*N('Исходные данные'!$B$50),0)</f>
        <v>0</v>
      </c>
      <c r="AT291">
        <f t="shared" si="157"/>
        <v>0</v>
      </c>
      <c r="AU291">
        <f>IF(OR(B291="",N('Исходные данные'!$B$80)&lt;=0,'Исходные данные'!$B$88=""),0,MAX(0,IF('Исходные данные'!$B$88="Последние 12 месяцев",SUMIFS($Y$2:$Y$194,$B$2:$B$194,"&gt;="&amp;EDATE(B291,-11),$B$2:$B$194,"&lt;="&amp;B291),IF('Исходные данные'!$B$88="Пользовательский NOI",N('Исходные данные'!$B$89),AT291))/N('Исходные данные'!$B$80)*(1+N('Исходные данные'!$B$81))))</f>
        <v>0</v>
      </c>
      <c r="AV291">
        <f>IF(OR(E291&lt;&gt;1,B291="",'Исходные данные'!$B$91=""),0,IF(AND(YEAR(B291)=YEAR('Исходные данные'!$B$91),MONTH(B291)=MONTH('Исходные данные'!$B$91)),AU291,0))</f>
        <v>0</v>
      </c>
      <c r="AW291">
        <f>-AV291*N('Исходные данные'!$B$73)</f>
        <v>0</v>
      </c>
      <c r="AX291">
        <f>IF(AV291=0,0,-N('Исходные данные'!$B$87)-IF('Исходные данные'!$B$82="Да",IF('Исходные данные'!$B$84="С выручки",AV291,IF('Исходные данные'!$B$84="С прибыли",MAX(0,AV291+AW291-IF('Исходные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91">
        <f t="shared" si="171"/>
        <v>0</v>
      </c>
      <c r="AZ291">
        <f t="shared" si="158"/>
        <v>0</v>
      </c>
      <c r="BA291">
        <f t="shared" si="172"/>
        <v>0</v>
      </c>
      <c r="BB291" t="str">
        <f t="shared" si="159"/>
        <v/>
      </c>
      <c r="BC291">
        <f>IF(OR(E291=0,'Исходные данные'!$B$9="",'Исходные данные'!$B$90=""),0,BA291/(1+'Исходные данные'!$B$90)^((D291-'Исходные данные'!$B$9)/365))</f>
        <v>0</v>
      </c>
      <c r="BD291">
        <f>IF(AND(E291=1,BB291&gt;=0,BB290&lt;0,MIN($BB$2:BB291)&lt;0),1,0)</f>
        <v>0</v>
      </c>
      <c r="BE291">
        <f t="shared" si="160"/>
        <v>0</v>
      </c>
      <c r="BF291">
        <f t="shared" si="161"/>
        <v>0</v>
      </c>
      <c r="BG291">
        <f t="shared" si="162"/>
        <v>0</v>
      </c>
      <c r="BH291">
        <f t="shared" si="163"/>
        <v>1</v>
      </c>
      <c r="BI291">
        <f>AZ291+N291+AP291-AR291*N('Исходные данные'!$B$50)</f>
        <v>0</v>
      </c>
      <c r="BJ291">
        <f t="shared" si="164"/>
        <v>0</v>
      </c>
      <c r="BK291">
        <f>IF(AND(BJ291&gt;=0,BJ290&lt;0,MIN($BJ$2:BJ291)&lt;0),1,0)</f>
        <v>0</v>
      </c>
    </row>
    <row r="292" spans="1:63" x14ac:dyDescent="0.2">
      <c r="A292">
        <v>291</v>
      </c>
      <c r="B292" t="str">
        <f>IF('Исходные данные'!$B$9="","",EDATE(DATE(YEAR('Исходные данные'!$B$9),MONTH('Исходные данные'!$B$9),1),A292-1))</f>
        <v/>
      </c>
      <c r="C292" t="str">
        <f t="shared" si="165"/>
        <v/>
      </c>
      <c r="D292" t="str">
        <f>IF(B292="","",IF('Исходные данные'!$B$91&lt;&gt;"",IF(AND(YEAR(B292)=YEAR('Исходные данные'!$B$91),MONTH(B292)=MONTH('Исходные данные'!$B$91)),'Исходные данные'!$B$91,IF('Исходные данные'!$B$13&lt;&gt;"",IF(AND(YEAR(B292)=YEAR('Исходные данные'!$B$13),MONTH(B292)=MONTH('Исходные данные'!$B$13)),'Исходные данные'!$B$13,IF('Исходные данные'!$B$26&lt;&gt;"",IF(AND(YEAR(B292)=YEAR('Исходные данные'!$B$26),MONTH(B292)=MONTH('Исходные данные'!$B$26)),'Исходные данные'!$B$26,IF(A292=1,'Исходные данные'!$B$9,C292)),IF(A292=1,'Исходные данные'!$B$9,C292))),IF('Исходные данные'!$B$26&lt;&gt;"",IF(AND(YEAR(B292)=YEAR('Исходные данные'!$B$26),MONTH(B292)=MONTH('Исходные данные'!$B$26)),'Исходные данные'!$B$26,IF(A292=1,'Исходные данные'!$B$9,C292)),IF(A292=1,'Исходные данные'!$B$9,C292)))),IF('Исходные данные'!$B$13&lt;&gt;"",IF(AND(YEAR(B292)=YEAR('Исходные данные'!$B$13),MONTH(B292)=MONTH('Исходные данные'!$B$13)),'Исходные данные'!$B$13,IF('Исходные данные'!$B$26&lt;&gt;"",IF(AND(YEAR(B292)=YEAR('Исходные данные'!$B$26),MONTH(B292)=MONTH('Исходные данные'!$B$26)),'Исходные данные'!$B$26,IF(A292=1,'Исходные данные'!$B$9,C292)),IF(A292=1,'Исходные данные'!$B$9,C292))),IF('Исходные данные'!$B$26&lt;&gt;"",IF(AND(YEAR(B292)=YEAR('Исходные данные'!$B$26),MONTH(B292)=MONTH('Исходные данные'!$B$26)),'Исходные данные'!$B$26,IF(A292=1,'Исходные данные'!$B$9,C292)),IF(A292=1,'Исходные данные'!$B$9,C292)))))</f>
        <v/>
      </c>
      <c r="E292">
        <f>IF(OR(B292="",'Исходные данные'!$B$91=""),0,--(B292&lt;=DATE(YEAR('Исходные данные'!$B$91),MONTH('Исходные данные'!$B$91),1)))</f>
        <v>0</v>
      </c>
      <c r="F292">
        <f>IF(OR(B292="",'Исходные данные'!$B$30="",C292&lt;'Исходные данные'!$B$30),0,DATEDIF(DATE(YEAR('Исходные данные'!$B$30),MONTH('Исходные данные'!$B$30),1),B292,"m")+1)</f>
        <v>0</v>
      </c>
      <c r="G292">
        <f t="shared" si="166"/>
        <v>0</v>
      </c>
      <c r="H292">
        <f>IF(F292=0,0,IF(G292=1,N('Исходные данные'!$B$31),IF(G292=2,N('Исходные данные'!$B$32),IF(G292=3,N('Исходные данные'!$B$33),N('Исходные данные'!$B$33)*(1+N('Исходные данные'!$B$34))^(G292-3)))))</f>
        <v>0</v>
      </c>
      <c r="I292">
        <f>IF(OR(F292=0,N('Исходные данные'!$B$5)=0,H292=0),0,'Исходные данные'!$B$5*H292*IF(AND(B292&lt;='Исходные данные'!$B$30,C292&gt;='Исходные данные'!$B$30),(C292-'Исходные данные'!$B$30+1)/DAY(C292),1))</f>
        <v>0</v>
      </c>
      <c r="J292">
        <f>IF(AND(F292&gt;0,F292&lt;=N('Исходные данные'!$B$37)),-I292,0)</f>
        <v>0</v>
      </c>
      <c r="K292">
        <f>IF(OR(F292=0,F292&lt;=N('Исходные данные'!$B$37)),0,-(I292+J292)*N('Исходные данные'!$B$38))</f>
        <v>0</v>
      </c>
      <c r="L292">
        <f t="shared" si="167"/>
        <v>0</v>
      </c>
      <c r="M292">
        <f>IF('Исходные данные'!$B$51="Да",L292*N('Исходные данные'!$B$52),0)</f>
        <v>0</v>
      </c>
      <c r="N292">
        <f t="shared" si="168"/>
        <v>0</v>
      </c>
      <c r="O292">
        <f>IF(OR(B292="",IF('Исходные данные'!$B$45="",'Исходные данные'!$B$10,'Исходные данные'!$B$45)="",C292&lt;IF('Исходные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данные'!$B$45)),1),B292,"m")/12))*IF(AND(B292&lt;=IF('Исходные данные'!$B$45="",'Исходные данные'!$B$10,'Исходные данные'!$B$45),C292&gt;=IF('Исходные данные'!$B$45="",'Исходные данные'!$B$10,'Исходные данные'!$B$45)),(C292-IF('Исходные данные'!$B$45="",'Исходные данные'!$B$10,'Исходные данные'!$B$45)+1)/DAY(C292),1)*IF('Исходные данные'!$B$43="Без НДС",1+N('Исходные данные'!$B$44),1))</f>
        <v>0</v>
      </c>
      <c r="P292">
        <f>IF('Исходные данные'!$B$51="Да",-O292*N('Исходные данные'!$B$44)/(1+N('Исходные данные'!$B$44)),0)</f>
        <v>0</v>
      </c>
      <c r="Q292">
        <f>IF('Исходные данные'!$B$35="Да",-O292,0)</f>
        <v>0</v>
      </c>
      <c r="R292">
        <f>IF(AND('Исходные данные'!$B$51="Да",Q292&gt;0),Q292*N('Исходные данные'!$B$52)/(1+N('Исходные данные'!$B$52)),0)</f>
        <v>0</v>
      </c>
      <c r="S292">
        <f>IF(OR(B292="",IF('Исходные данные'!$B$45="",'Исходные данные'!$B$10,'Исходные данные'!$B$45)="",C292&lt;IF('Исходные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данные'!$B$45)),1),B292,"m")/12))*IF(AND(B292&lt;=IF('Исходные данные'!$B$45="",'Исходные данные'!$B$10,'Исходные данные'!$B$45),C292&gt;=IF('Исходные данные'!$B$45="",'Исходные данные'!$B$10,'Исходные данные'!$B$45)),(C292-IF('Исходные данные'!$B$45="",'Исходные данные'!$B$10,'Исходные данные'!$B$45)+1)/DAY(C292),1)*IF('Исходные данные'!$B$43="Без НДС",1+N('Исходные данные'!$B$44),1))</f>
        <v>0</v>
      </c>
      <c r="T292">
        <f>IF('Исходные данные'!$B$51="Да",-S292*N('Исходные данные'!$B$44)/(1+N('Исходные данные'!$B$44)),0)</f>
        <v>0</v>
      </c>
      <c r="U292">
        <f>IF('Исходные данные'!$B$36="Да",-S292,0)</f>
        <v>0</v>
      </c>
      <c r="V292">
        <f>IF(AND('Исходные данные'!$B$51="Да",U292&gt;0),U292*N('Исходные данные'!$B$52)/(1+N('Исходные данные'!$B$52)),0)</f>
        <v>0</v>
      </c>
      <c r="W292">
        <f>IF(OR(B292="",IF('Исходные данные'!$B$69="",'Исходные данные'!$B$10,'Исходные данные'!$B$69)="",C292&lt;IF('Исходные данные'!$B$69="",'Исходные данные'!$B$10,'Исходные данные'!$B$69)),0,-N('Исходные данные'!$B$16)*N('Исходные данные'!$B$68)*N('Исходные данные'!$B$67)/12*IF(AND(B292&lt;=IF('Исходные данные'!$B$69="",'Исходные данные'!$B$10,'Исходные данные'!$B$69),C292&gt;=IF('Исходные данные'!$B$69="",'Исходные данные'!$B$10,'Исходные данные'!$B$69)),(C292-IF('Исходные данные'!$B$69="",'Исходные данные'!$B$10,'Исходные данные'!$B$69)+1)/DAY(C292),1))</f>
        <v>0</v>
      </c>
      <c r="X292">
        <f>IF(OR(B292="",IF('Исходные данные'!$B$76="",'Исходные данные'!$B$10,'Исходные данные'!$B$76)="",C292&lt;IF('Исходные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данные'!$B$76)),1),B292,"m")/12))*IF(AND(B292&lt;=IF('Исходные данные'!$B$76="",'Исходные данные'!$B$10,'Исходные данные'!$B$76),C292&gt;=IF('Исходные данные'!$B$76="",'Исходные данные'!$B$10,'Исходные данные'!$B$76)),(C292-IF('Исходные данные'!$B$76="",'Исходные данные'!$B$10,'Исходные данные'!$B$76)+1)/DAY(C292),1))</f>
        <v>0</v>
      </c>
      <c r="Y292">
        <f t="shared" si="169"/>
        <v>0</v>
      </c>
      <c r="Z292">
        <f>IF(OR(B292="",N('Исходные данные'!$B$19)=0),0,-SUMIFS('Исходные данные'!$I$6:$I$186,'Исходные данные'!$F$6:$F$186,B292)*N('Исходные данные'!$B$17)/N('Исходные данные'!$B$19))</f>
        <v>0</v>
      </c>
      <c r="AA292">
        <f>IF(OR(B292="",N('Исходные данные'!$B$19)=0),0,-SUMIFS('Исходные данные'!$I$6:$I$186,'Исходные данные'!$F$6:$F$186,B292)*N('Исходные данные'!$B$18)/N('Исходные данные'!$B$19))</f>
        <v>0</v>
      </c>
      <c r="AB292">
        <f>IF(OR(B292="",'Исходные данные'!$B$13=""),0,IF(AND(YEAR(B292)=YEAR('Исходные данные'!$B$13),MONTH(B292)=MONTH('Исходные данные'!$B$13)),-N('Исходные данные'!$B$11),0))</f>
        <v>0</v>
      </c>
      <c r="AC292">
        <f>IF(A292=1,-N('Исходные данные'!$B$19)*N('Исходные данные'!$B$72),0)</f>
        <v>0</v>
      </c>
      <c r="AD292">
        <f>IF(OR(B292="",'Исходные данные'!$B$22&lt;&gt;"Да",'Исходные данные'!$B$26=""),0,IF(AND(YEAR(B292)=YEAR('Исходные данные'!$B$26),MONTH(B292)=MONTH('Исходные данные'!$B$26)),N('Исходные данные'!$B$23),0))</f>
        <v>0</v>
      </c>
      <c r="AE292">
        <f t="shared" si="152"/>
        <v>0</v>
      </c>
      <c r="AF292">
        <f>IF(OR('Исходные данные'!$B$22&lt;&gt;"Да",'Исходные данные'!$B$26="",C292&lt;'Исходные данные'!$B$26),0,DATEDIF(DATE(YEAR('Исходные данные'!$B$26),MONTH('Исходные данные'!$B$26),1),B292,"m")+1)</f>
        <v>0</v>
      </c>
      <c r="AG292">
        <f>IF(OR(AF292&lt;1,AF292&gt;N('Исходные данные'!$B$25),AE292+AD292&lt;=0),0,-(AE292+AD292)*N('Исходные данные'!$B$24)*IF(AF292=1,C292-'Исходные данные'!$B$26+1,DAY(C292))/365)</f>
        <v>0</v>
      </c>
      <c r="AH292">
        <f>IF(OR(AF292&lt;1,AF292&gt;N('Исходные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данные'!$B$25)-AG292))</f>
        <v>0</v>
      </c>
      <c r="AI292">
        <f>IF(OR('Исходные данные'!$B$22&lt;&gt;"Да",AE292+AD292&lt;=0),0,IF(AND('Исходные данные'!$B$91&lt;&gt;"",B292&lt;&gt;"",YEAR(B292)=YEAR('Исходные данные'!$B$91),MONTH(B292)=MONTH('Исходные данные'!$B$91)),-(AE292+AD292),IF(OR(AF292&lt;1,AF292&gt;N('Исходные данные'!$B$25)),0,IF('Исходные данные'!$B$27="Равными долями",-MIN(AE292+AD292,N('Исходные данные'!$B$23)/N('Исходные данные'!$B$25)),-MIN(AE292+AD292,IF(AF292=N('Исходные данные'!$B$25),AE292+AD292,MAX(0,AH292+AG292)))))))</f>
        <v>0</v>
      </c>
      <c r="AJ292">
        <f t="shared" si="170"/>
        <v>0</v>
      </c>
      <c r="AK292">
        <f t="shared" si="153"/>
        <v>0</v>
      </c>
      <c r="AL292">
        <f>IF(OR(B292="",'Исходные данные'!$B$51&lt;&gt;"Да",'Исходные данные'!$B$61=""),0,IF(AND(YEAR(B292)=YEAR('Исходные данные'!$B$61),MONTH(B292)=MONTH('Исходные данные'!$B$61)),N('Исходные данные'!$B$18)*N('Исходные данные'!$B$62),0))</f>
        <v>0</v>
      </c>
      <c r="AM292">
        <f t="shared" si="154"/>
        <v>0</v>
      </c>
      <c r="AN292">
        <f t="shared" si="155"/>
        <v>0</v>
      </c>
      <c r="AO292">
        <f t="shared" si="156"/>
        <v>0</v>
      </c>
      <c r="AP292">
        <f>IF('Исходные данные'!$B$51="Да",-MAX(0,AN292-AO292-AM292),0)</f>
        <v>0</v>
      </c>
      <c r="AQ292">
        <f>IF('Исходные данные'!$B$51="Да",MAX(0,AM292+AO292-AN292),0)</f>
        <v>0</v>
      </c>
      <c r="AR292">
        <f>IF('Исходные данные'!$B$53="Выручка",MAX(0,L292+(Q292-R292)+(U292-V292)),IF('Исходные данные'!$B$53="Прибыль до налога",MAX(0,L292+(Q292-R292)+(U292-V292)+N('Исходные данные'!$B$54)*((O292+P292)+(S292+T292)+W292+X292)+IF('Исходные данные'!$B$55="Да",AG292,0)-N('Исходные данные'!$B$56)/12),IF('Исходные данные'!$B$53="Пользовательская база",MAX(0,N('Исходные данные'!$B$57)/12),0)))</f>
        <v>0</v>
      </c>
      <c r="AS292">
        <f>IF(E292=1,-AR292*N('Исходные данные'!$B$50),0)</f>
        <v>0</v>
      </c>
      <c r="AT292">
        <f t="shared" si="157"/>
        <v>0</v>
      </c>
      <c r="AU292">
        <f>IF(OR(B292="",N('Исходные данные'!$B$80)&lt;=0,'Исходные данные'!$B$88=""),0,MAX(0,IF('Исходные данные'!$B$88="Последние 12 месяцев",SUMIFS($Y$2:$Y$194,$B$2:$B$194,"&gt;="&amp;EDATE(B292,-11),$B$2:$B$194,"&lt;="&amp;B292),IF('Исходные данные'!$B$88="Пользовательский NOI",N('Исходные данные'!$B$89),AT292))/N('Исходные данные'!$B$80)*(1+N('Исходные данные'!$B$81))))</f>
        <v>0</v>
      </c>
      <c r="AV292">
        <f>IF(OR(E292&lt;&gt;1,B292="",'Исходные данные'!$B$91=""),0,IF(AND(YEAR(B292)=YEAR('Исходные данные'!$B$91),MONTH(B292)=MONTH('Исходные данные'!$B$91)),AU292,0))</f>
        <v>0</v>
      </c>
      <c r="AW292">
        <f>-AV292*N('Исходные данные'!$B$73)</f>
        <v>0</v>
      </c>
      <c r="AX292">
        <f>IF(AV292=0,0,-N('Исходные данные'!$B$87)-IF('Исходные данные'!$B$82="Да",IF('Исходные данные'!$B$84="С выручки",AV292,IF('Исходные данные'!$B$84="С прибыли",MAX(0,AV292+AW292-IF('Исходные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92">
        <f t="shared" si="171"/>
        <v>0</v>
      </c>
      <c r="AZ292">
        <f t="shared" si="158"/>
        <v>0</v>
      </c>
      <c r="BA292">
        <f t="shared" si="172"/>
        <v>0</v>
      </c>
      <c r="BB292" t="str">
        <f t="shared" si="159"/>
        <v/>
      </c>
      <c r="BC292">
        <f>IF(OR(E292=0,'Исходные данные'!$B$9="",'Исходные данные'!$B$90=""),0,BA292/(1+'Исходные данные'!$B$90)^((D292-'Исходные данные'!$B$9)/365))</f>
        <v>0</v>
      </c>
      <c r="BD292">
        <f>IF(AND(E292=1,BB292&gt;=0,BB291&lt;0,MIN($BB$2:BB292)&lt;0),1,0)</f>
        <v>0</v>
      </c>
      <c r="BE292">
        <f t="shared" si="160"/>
        <v>0</v>
      </c>
      <c r="BF292">
        <f t="shared" si="161"/>
        <v>0</v>
      </c>
      <c r="BG292">
        <f t="shared" si="162"/>
        <v>0</v>
      </c>
      <c r="BH292">
        <f t="shared" si="163"/>
        <v>1</v>
      </c>
      <c r="BI292">
        <f>AZ292+N292+AP292-AR292*N('Исходные данные'!$B$50)</f>
        <v>0</v>
      </c>
      <c r="BJ292">
        <f t="shared" si="164"/>
        <v>0</v>
      </c>
      <c r="BK292">
        <f>IF(AND(BJ292&gt;=0,BJ291&lt;0,MIN($BJ$2:BJ292)&lt;0),1,0)</f>
        <v>0</v>
      </c>
    </row>
    <row r="293" spans="1:63" x14ac:dyDescent="0.2">
      <c r="A293">
        <v>292</v>
      </c>
      <c r="B293" t="str">
        <f>IF('Исходные данные'!$B$9="","",EDATE(DATE(YEAR('Исходные данные'!$B$9),MONTH('Исходные данные'!$B$9),1),A293-1))</f>
        <v/>
      </c>
      <c r="C293" t="str">
        <f t="shared" si="165"/>
        <v/>
      </c>
      <c r="D293" t="str">
        <f>IF(B293="","",IF('Исходные данные'!$B$91&lt;&gt;"",IF(AND(YEAR(B293)=YEAR('Исходные данные'!$B$91),MONTH(B293)=MONTH('Исходные данные'!$B$91)),'Исходные данные'!$B$91,IF('Исходные данные'!$B$13&lt;&gt;"",IF(AND(YEAR(B293)=YEAR('Исходные данные'!$B$13),MONTH(B293)=MONTH('Исходные данные'!$B$13)),'Исходные данные'!$B$13,IF('Исходные данные'!$B$26&lt;&gt;"",IF(AND(YEAR(B293)=YEAR('Исходные данные'!$B$26),MONTH(B293)=MONTH('Исходные данные'!$B$26)),'Исходные данные'!$B$26,IF(A293=1,'Исходные данные'!$B$9,C293)),IF(A293=1,'Исходные данные'!$B$9,C293))),IF('Исходные данные'!$B$26&lt;&gt;"",IF(AND(YEAR(B293)=YEAR('Исходные данные'!$B$26),MONTH(B293)=MONTH('Исходные данные'!$B$26)),'Исходные данные'!$B$26,IF(A293=1,'Исходные данные'!$B$9,C293)),IF(A293=1,'Исходные данные'!$B$9,C293)))),IF('Исходные данные'!$B$13&lt;&gt;"",IF(AND(YEAR(B293)=YEAR('Исходные данные'!$B$13),MONTH(B293)=MONTH('Исходные данные'!$B$13)),'Исходные данные'!$B$13,IF('Исходные данные'!$B$26&lt;&gt;"",IF(AND(YEAR(B293)=YEAR('Исходные данные'!$B$26),MONTH(B293)=MONTH('Исходные данные'!$B$26)),'Исходные данные'!$B$26,IF(A293=1,'Исходные данные'!$B$9,C293)),IF(A293=1,'Исходные данные'!$B$9,C293))),IF('Исходные данные'!$B$26&lt;&gt;"",IF(AND(YEAR(B293)=YEAR('Исходные данные'!$B$26),MONTH(B293)=MONTH('Исходные данные'!$B$26)),'Исходные данные'!$B$26,IF(A293=1,'Исходные данные'!$B$9,C293)),IF(A293=1,'Исходные данные'!$B$9,C293)))))</f>
        <v/>
      </c>
      <c r="E293">
        <f>IF(OR(B293="",'Исходные данные'!$B$91=""),0,--(B293&lt;=DATE(YEAR('Исходные данные'!$B$91),MONTH('Исходные данные'!$B$91),1)))</f>
        <v>0</v>
      </c>
      <c r="F293">
        <f>IF(OR(B293="",'Исходные данные'!$B$30="",C293&lt;'Исходные данные'!$B$30),0,DATEDIF(DATE(YEAR('Исходные данные'!$B$30),MONTH('Исходные данные'!$B$30),1),B293,"m")+1)</f>
        <v>0</v>
      </c>
      <c r="G293">
        <f t="shared" si="166"/>
        <v>0</v>
      </c>
      <c r="H293">
        <f>IF(F293=0,0,IF(G293=1,N('Исходные данные'!$B$31),IF(G293=2,N('Исходные данные'!$B$32),IF(G293=3,N('Исходные данные'!$B$33),N('Исходные данные'!$B$33)*(1+N('Исходные данные'!$B$34))^(G293-3)))))</f>
        <v>0</v>
      </c>
      <c r="I293">
        <f>IF(OR(F293=0,N('Исходные данные'!$B$5)=0,H293=0),0,'Исходные данные'!$B$5*H293*IF(AND(B293&lt;='Исходные данные'!$B$30,C293&gt;='Исходные данные'!$B$30),(C293-'Исходные данные'!$B$30+1)/DAY(C293),1))</f>
        <v>0</v>
      </c>
      <c r="J293">
        <f>IF(AND(F293&gt;0,F293&lt;=N('Исходные данные'!$B$37)),-I293,0)</f>
        <v>0</v>
      </c>
      <c r="K293">
        <f>IF(OR(F293=0,F293&lt;=N('Исходные данные'!$B$37)),0,-(I293+J293)*N('Исходные данные'!$B$38))</f>
        <v>0</v>
      </c>
      <c r="L293">
        <f t="shared" si="167"/>
        <v>0</v>
      </c>
      <c r="M293">
        <f>IF('Исходные данные'!$B$51="Да",L293*N('Исходные данные'!$B$52),0)</f>
        <v>0</v>
      </c>
      <c r="N293">
        <f t="shared" si="168"/>
        <v>0</v>
      </c>
      <c r="O293">
        <f>IF(OR(B293="",IF('Исходные данные'!$B$45="",'Исходные данные'!$B$10,'Исходные данные'!$B$45)="",C293&lt;IF('Исходные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данные'!$B$45)),1),B293,"m")/12))*IF(AND(B293&lt;=IF('Исходные данные'!$B$45="",'Исходные данные'!$B$10,'Исходные данные'!$B$45),C293&gt;=IF('Исходные данные'!$B$45="",'Исходные данные'!$B$10,'Исходные данные'!$B$45)),(C293-IF('Исходные данные'!$B$45="",'Исходные данные'!$B$10,'Исходные данные'!$B$45)+1)/DAY(C293),1)*IF('Исходные данные'!$B$43="Без НДС",1+N('Исходные данные'!$B$44),1))</f>
        <v>0</v>
      </c>
      <c r="P293">
        <f>IF('Исходные данные'!$B$51="Да",-O293*N('Исходные данные'!$B$44)/(1+N('Исходные данные'!$B$44)),0)</f>
        <v>0</v>
      </c>
      <c r="Q293">
        <f>IF('Исходные данные'!$B$35="Да",-O293,0)</f>
        <v>0</v>
      </c>
      <c r="R293">
        <f>IF(AND('Исходные данные'!$B$51="Да",Q293&gt;0),Q293*N('Исходные данные'!$B$52)/(1+N('Исходные данные'!$B$52)),0)</f>
        <v>0</v>
      </c>
      <c r="S293">
        <f>IF(OR(B293="",IF('Исходные данные'!$B$45="",'Исходные данные'!$B$10,'Исходные данные'!$B$45)="",C293&lt;IF('Исходные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данные'!$B$45)),1),B293,"m")/12))*IF(AND(B293&lt;=IF('Исходные данные'!$B$45="",'Исходные данные'!$B$10,'Исходные данные'!$B$45),C293&gt;=IF('Исходные данные'!$B$45="",'Исходные данные'!$B$10,'Исходные данные'!$B$45)),(C293-IF('Исходные данные'!$B$45="",'Исходные данные'!$B$10,'Исходные данные'!$B$45)+1)/DAY(C293),1)*IF('Исходные данные'!$B$43="Без НДС",1+N('Исходные данные'!$B$44),1))</f>
        <v>0</v>
      </c>
      <c r="T293">
        <f>IF('Исходные данные'!$B$51="Да",-S293*N('Исходные данные'!$B$44)/(1+N('Исходные данные'!$B$44)),0)</f>
        <v>0</v>
      </c>
      <c r="U293">
        <f>IF('Исходные данные'!$B$36="Да",-S293,0)</f>
        <v>0</v>
      </c>
      <c r="V293">
        <f>IF(AND('Исходные данные'!$B$51="Да",U293&gt;0),U293*N('Исходные данные'!$B$52)/(1+N('Исходные данные'!$B$52)),0)</f>
        <v>0</v>
      </c>
      <c r="W293">
        <f>IF(OR(B293="",IF('Исходные данные'!$B$69="",'Исходные данные'!$B$10,'Исходные данные'!$B$69)="",C293&lt;IF('Исходные данные'!$B$69="",'Исходные данные'!$B$10,'Исходные данные'!$B$69)),0,-N('Исходные данные'!$B$16)*N('Исходные данные'!$B$68)*N('Исходные данные'!$B$67)/12*IF(AND(B293&lt;=IF('Исходные данные'!$B$69="",'Исходные данные'!$B$10,'Исходные данные'!$B$69),C293&gt;=IF('Исходные данные'!$B$69="",'Исходные данные'!$B$10,'Исходные данные'!$B$69)),(C293-IF('Исходные данные'!$B$69="",'Исходные данные'!$B$10,'Исходные данные'!$B$69)+1)/DAY(C293),1))</f>
        <v>0</v>
      </c>
      <c r="X293">
        <f>IF(OR(B293="",IF('Исходные данные'!$B$76="",'Исходные данные'!$B$10,'Исходные данные'!$B$76)="",C293&lt;IF('Исходные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данные'!$B$76)),1),B293,"m")/12))*IF(AND(B293&lt;=IF('Исходные данные'!$B$76="",'Исходные данные'!$B$10,'Исходные данные'!$B$76),C293&gt;=IF('Исходные данные'!$B$76="",'Исходные данные'!$B$10,'Исходные данные'!$B$76)),(C293-IF('Исходные данные'!$B$76="",'Исходные данные'!$B$10,'Исходные данные'!$B$76)+1)/DAY(C293),1))</f>
        <v>0</v>
      </c>
      <c r="Y293">
        <f t="shared" si="169"/>
        <v>0</v>
      </c>
      <c r="Z293">
        <f>IF(OR(B293="",N('Исходные данные'!$B$19)=0),0,-SUMIFS('Исходные данные'!$I$6:$I$186,'Исходные данные'!$F$6:$F$186,B293)*N('Исходные данные'!$B$17)/N('Исходные данные'!$B$19))</f>
        <v>0</v>
      </c>
      <c r="AA293">
        <f>IF(OR(B293="",N('Исходные данные'!$B$19)=0),0,-SUMIFS('Исходные данные'!$I$6:$I$186,'Исходные данные'!$F$6:$F$186,B293)*N('Исходные данные'!$B$18)/N('Исходные данные'!$B$19))</f>
        <v>0</v>
      </c>
      <c r="AB293">
        <f>IF(OR(B293="",'Исходные данные'!$B$13=""),0,IF(AND(YEAR(B293)=YEAR('Исходные данные'!$B$13),MONTH(B293)=MONTH('Исходные данные'!$B$13)),-N('Исходные данные'!$B$11),0))</f>
        <v>0</v>
      </c>
      <c r="AC293">
        <f>IF(A293=1,-N('Исходные данные'!$B$19)*N('Исходные данные'!$B$72),0)</f>
        <v>0</v>
      </c>
      <c r="AD293">
        <f>IF(OR(B293="",'Исходные данные'!$B$22&lt;&gt;"Да",'Исходные данные'!$B$26=""),0,IF(AND(YEAR(B293)=YEAR('Исходные данные'!$B$26),MONTH(B293)=MONTH('Исходные данные'!$B$26)),N('Исходные данные'!$B$23),0))</f>
        <v>0</v>
      </c>
      <c r="AE293">
        <f t="shared" si="152"/>
        <v>0</v>
      </c>
      <c r="AF293">
        <f>IF(OR('Исходные данные'!$B$22&lt;&gt;"Да",'Исходные данные'!$B$26="",C293&lt;'Исходные данные'!$B$26),0,DATEDIF(DATE(YEAR('Исходные данные'!$B$26),MONTH('Исходные данные'!$B$26),1),B293,"m")+1)</f>
        <v>0</v>
      </c>
      <c r="AG293">
        <f>IF(OR(AF293&lt;1,AF293&gt;N('Исходные данные'!$B$25),AE293+AD293&lt;=0),0,-(AE293+AD293)*N('Исходные данные'!$B$24)*IF(AF293=1,C293-'Исходные данные'!$B$26+1,DAY(C293))/365)</f>
        <v>0</v>
      </c>
      <c r="AH293">
        <f>IF(OR(AF293&lt;1,AF293&gt;N('Исходные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данные'!$B$25)-AG293))</f>
        <v>0</v>
      </c>
      <c r="AI293">
        <f>IF(OR('Исходные данные'!$B$22&lt;&gt;"Да",AE293+AD293&lt;=0),0,IF(AND('Исходные данные'!$B$91&lt;&gt;"",B293&lt;&gt;"",YEAR(B293)=YEAR('Исходные данные'!$B$91),MONTH(B293)=MONTH('Исходные данные'!$B$91)),-(AE293+AD293),IF(OR(AF293&lt;1,AF293&gt;N('Исходные данные'!$B$25)),0,IF('Исходные данные'!$B$27="Равными долями",-MIN(AE293+AD293,N('Исходные данные'!$B$23)/N('Исходные данные'!$B$25)),-MIN(AE293+AD293,IF(AF293=N('Исходные данные'!$B$25),AE293+AD293,MAX(0,AH293+AG293)))))))</f>
        <v>0</v>
      </c>
      <c r="AJ293">
        <f t="shared" si="170"/>
        <v>0</v>
      </c>
      <c r="AK293">
        <f t="shared" si="153"/>
        <v>0</v>
      </c>
      <c r="AL293">
        <f>IF(OR(B293="",'Исходные данные'!$B$51&lt;&gt;"Да",'Исходные данные'!$B$61=""),0,IF(AND(YEAR(B293)=YEAR('Исходные данные'!$B$61),MONTH(B293)=MONTH('Исходные данные'!$B$61)),N('Исходные данные'!$B$18)*N('Исходные данные'!$B$62),0))</f>
        <v>0</v>
      </c>
      <c r="AM293">
        <f t="shared" si="154"/>
        <v>0</v>
      </c>
      <c r="AN293">
        <f t="shared" si="155"/>
        <v>0</v>
      </c>
      <c r="AO293">
        <f t="shared" si="156"/>
        <v>0</v>
      </c>
      <c r="AP293">
        <f>IF('Исходные данные'!$B$51="Да",-MAX(0,AN293-AO293-AM293),0)</f>
        <v>0</v>
      </c>
      <c r="AQ293">
        <f>IF('Исходные данные'!$B$51="Да",MAX(0,AM293+AO293-AN293),0)</f>
        <v>0</v>
      </c>
      <c r="AR293">
        <f>IF('Исходные данные'!$B$53="Выручка",MAX(0,L293+(Q293-R293)+(U293-V293)),IF('Исходные данные'!$B$53="Прибыль до налога",MAX(0,L293+(Q293-R293)+(U293-V293)+N('Исходные данные'!$B$54)*((O293+P293)+(S293+T293)+W293+X293)+IF('Исходные данные'!$B$55="Да",AG293,0)-N('Исходные данные'!$B$56)/12),IF('Исходные данные'!$B$53="Пользовательская база",MAX(0,N('Исходные данные'!$B$57)/12),0)))</f>
        <v>0</v>
      </c>
      <c r="AS293">
        <f>IF(E293=1,-AR293*N('Исходные данные'!$B$50),0)</f>
        <v>0</v>
      </c>
      <c r="AT293">
        <f t="shared" si="157"/>
        <v>0</v>
      </c>
      <c r="AU293">
        <f>IF(OR(B293="",N('Исходные данные'!$B$80)&lt;=0,'Исходные данные'!$B$88=""),0,MAX(0,IF('Исходные данные'!$B$88="Последние 12 месяцев",SUMIFS($Y$2:$Y$194,$B$2:$B$194,"&gt;="&amp;EDATE(B293,-11),$B$2:$B$194,"&lt;="&amp;B293),IF('Исходные данные'!$B$88="Пользовательский NOI",N('Исходные данные'!$B$89),AT293))/N('Исходные данные'!$B$80)*(1+N('Исходные данные'!$B$81))))</f>
        <v>0</v>
      </c>
      <c r="AV293">
        <f>IF(OR(E293&lt;&gt;1,B293="",'Исходные данные'!$B$91=""),0,IF(AND(YEAR(B293)=YEAR('Исходные данные'!$B$91),MONTH(B293)=MONTH('Исходные данные'!$B$91)),AU293,0))</f>
        <v>0</v>
      </c>
      <c r="AW293">
        <f>-AV293*N('Исходные данные'!$B$73)</f>
        <v>0</v>
      </c>
      <c r="AX293">
        <f>IF(AV293=0,0,-N('Исходные данные'!$B$87)-IF('Исходные данные'!$B$82="Да",IF('Исходные данные'!$B$84="С выручки",AV293,IF('Исходные данные'!$B$84="С прибыли",MAX(0,AV293+AW293-IF('Исходные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93">
        <f t="shared" si="171"/>
        <v>0</v>
      </c>
      <c r="AZ293">
        <f t="shared" si="158"/>
        <v>0</v>
      </c>
      <c r="BA293">
        <f t="shared" si="172"/>
        <v>0</v>
      </c>
      <c r="BB293" t="str">
        <f t="shared" si="159"/>
        <v/>
      </c>
      <c r="BC293">
        <f>IF(OR(E293=0,'Исходные данные'!$B$9="",'Исходные данные'!$B$90=""),0,BA293/(1+'Исходные данные'!$B$90)^((D293-'Исходные данные'!$B$9)/365))</f>
        <v>0</v>
      </c>
      <c r="BD293">
        <f>IF(AND(E293=1,BB293&gt;=0,BB292&lt;0,MIN($BB$2:BB293)&lt;0),1,0)</f>
        <v>0</v>
      </c>
      <c r="BE293">
        <f t="shared" si="160"/>
        <v>0</v>
      </c>
      <c r="BF293">
        <f t="shared" si="161"/>
        <v>0</v>
      </c>
      <c r="BG293">
        <f t="shared" si="162"/>
        <v>0</v>
      </c>
      <c r="BH293">
        <f t="shared" si="163"/>
        <v>1</v>
      </c>
      <c r="BI293">
        <f>AZ293+N293+AP293-AR293*N('Исходные данные'!$B$50)</f>
        <v>0</v>
      </c>
      <c r="BJ293">
        <f t="shared" si="164"/>
        <v>0</v>
      </c>
      <c r="BK293">
        <f>IF(AND(BJ293&gt;=0,BJ292&lt;0,MIN($BJ$2:BJ293)&lt;0),1,0)</f>
        <v>0</v>
      </c>
    </row>
    <row r="294" spans="1:63" x14ac:dyDescent="0.2">
      <c r="A294">
        <v>293</v>
      </c>
      <c r="B294" t="str">
        <f>IF('Исходные данные'!$B$9="","",EDATE(DATE(YEAR('Исходные данные'!$B$9),MONTH('Исходные данные'!$B$9),1),A294-1))</f>
        <v/>
      </c>
      <c r="C294" t="str">
        <f t="shared" si="165"/>
        <v/>
      </c>
      <c r="D294" t="str">
        <f>IF(B294="","",IF('Исходные данные'!$B$91&lt;&gt;"",IF(AND(YEAR(B294)=YEAR('Исходные данные'!$B$91),MONTH(B294)=MONTH('Исходные данные'!$B$91)),'Исходные данные'!$B$91,IF('Исходные данные'!$B$13&lt;&gt;"",IF(AND(YEAR(B294)=YEAR('Исходные данные'!$B$13),MONTH(B294)=MONTH('Исходные данные'!$B$13)),'Исходные данные'!$B$13,IF('Исходные данные'!$B$26&lt;&gt;"",IF(AND(YEAR(B294)=YEAR('Исходные данные'!$B$26),MONTH(B294)=MONTH('Исходные данные'!$B$26)),'Исходные данные'!$B$26,IF(A294=1,'Исходные данные'!$B$9,C294)),IF(A294=1,'Исходные данные'!$B$9,C294))),IF('Исходные данные'!$B$26&lt;&gt;"",IF(AND(YEAR(B294)=YEAR('Исходные данные'!$B$26),MONTH(B294)=MONTH('Исходные данные'!$B$26)),'Исходные данные'!$B$26,IF(A294=1,'Исходные данные'!$B$9,C294)),IF(A294=1,'Исходные данные'!$B$9,C294)))),IF('Исходные данные'!$B$13&lt;&gt;"",IF(AND(YEAR(B294)=YEAR('Исходные данные'!$B$13),MONTH(B294)=MONTH('Исходные данные'!$B$13)),'Исходные данные'!$B$13,IF('Исходные данные'!$B$26&lt;&gt;"",IF(AND(YEAR(B294)=YEAR('Исходные данные'!$B$26),MONTH(B294)=MONTH('Исходные данные'!$B$26)),'Исходные данные'!$B$26,IF(A294=1,'Исходные данные'!$B$9,C294)),IF(A294=1,'Исходные данные'!$B$9,C294))),IF('Исходные данные'!$B$26&lt;&gt;"",IF(AND(YEAR(B294)=YEAR('Исходные данные'!$B$26),MONTH(B294)=MONTH('Исходные данные'!$B$26)),'Исходные данные'!$B$26,IF(A294=1,'Исходные данные'!$B$9,C294)),IF(A294=1,'Исходные данные'!$B$9,C294)))))</f>
        <v/>
      </c>
      <c r="E294">
        <f>IF(OR(B294="",'Исходные данные'!$B$91=""),0,--(B294&lt;=DATE(YEAR('Исходные данные'!$B$91),MONTH('Исходные данные'!$B$91),1)))</f>
        <v>0</v>
      </c>
      <c r="F294">
        <f>IF(OR(B294="",'Исходные данные'!$B$30="",C294&lt;'Исходные данные'!$B$30),0,DATEDIF(DATE(YEAR('Исходные данные'!$B$30),MONTH('Исходные данные'!$B$30),1),B294,"m")+1)</f>
        <v>0</v>
      </c>
      <c r="G294">
        <f t="shared" si="166"/>
        <v>0</v>
      </c>
      <c r="H294">
        <f>IF(F294=0,0,IF(G294=1,N('Исходные данные'!$B$31),IF(G294=2,N('Исходные данные'!$B$32),IF(G294=3,N('Исходные данные'!$B$33),N('Исходные данные'!$B$33)*(1+N('Исходные данные'!$B$34))^(G294-3)))))</f>
        <v>0</v>
      </c>
      <c r="I294">
        <f>IF(OR(F294=0,N('Исходные данные'!$B$5)=0,H294=0),0,'Исходные данные'!$B$5*H294*IF(AND(B294&lt;='Исходные данные'!$B$30,C294&gt;='Исходные данные'!$B$30),(C294-'Исходные данные'!$B$30+1)/DAY(C294),1))</f>
        <v>0</v>
      </c>
      <c r="J294">
        <f>IF(AND(F294&gt;0,F294&lt;=N('Исходные данные'!$B$37)),-I294,0)</f>
        <v>0</v>
      </c>
      <c r="K294">
        <f>IF(OR(F294=0,F294&lt;=N('Исходные данные'!$B$37)),0,-(I294+J294)*N('Исходные данные'!$B$38))</f>
        <v>0</v>
      </c>
      <c r="L294">
        <f t="shared" si="167"/>
        <v>0</v>
      </c>
      <c r="M294">
        <f>IF('Исходные данные'!$B$51="Да",L294*N('Исходные данные'!$B$52),0)</f>
        <v>0</v>
      </c>
      <c r="N294">
        <f t="shared" si="168"/>
        <v>0</v>
      </c>
      <c r="O294">
        <f>IF(OR(B294="",IF('Исходные данные'!$B$45="",'Исходные данные'!$B$10,'Исходные данные'!$B$45)="",C294&lt;IF('Исходные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данные'!$B$45)),1),B294,"m")/12))*IF(AND(B294&lt;=IF('Исходные данные'!$B$45="",'Исходные данные'!$B$10,'Исходные данные'!$B$45),C294&gt;=IF('Исходные данные'!$B$45="",'Исходные данные'!$B$10,'Исходные данные'!$B$45)),(C294-IF('Исходные данные'!$B$45="",'Исходные данные'!$B$10,'Исходные данные'!$B$45)+1)/DAY(C294),1)*IF('Исходные данные'!$B$43="Без НДС",1+N('Исходные данные'!$B$44),1))</f>
        <v>0</v>
      </c>
      <c r="P294">
        <f>IF('Исходные данные'!$B$51="Да",-O294*N('Исходные данные'!$B$44)/(1+N('Исходные данные'!$B$44)),0)</f>
        <v>0</v>
      </c>
      <c r="Q294">
        <f>IF('Исходные данные'!$B$35="Да",-O294,0)</f>
        <v>0</v>
      </c>
      <c r="R294">
        <f>IF(AND('Исходные данные'!$B$51="Да",Q294&gt;0),Q294*N('Исходные данные'!$B$52)/(1+N('Исходные данные'!$B$52)),0)</f>
        <v>0</v>
      </c>
      <c r="S294">
        <f>IF(OR(B294="",IF('Исходные данные'!$B$45="",'Исходные данные'!$B$10,'Исходные данные'!$B$45)="",C294&lt;IF('Исходные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данные'!$B$45)),1),B294,"m")/12))*IF(AND(B294&lt;=IF('Исходные данные'!$B$45="",'Исходные данные'!$B$10,'Исходные данные'!$B$45),C294&gt;=IF('Исходные данные'!$B$45="",'Исходные данные'!$B$10,'Исходные данные'!$B$45)),(C294-IF('Исходные данные'!$B$45="",'Исходные данные'!$B$10,'Исходные данные'!$B$45)+1)/DAY(C294),1)*IF('Исходные данные'!$B$43="Без НДС",1+N('Исходные данные'!$B$44),1))</f>
        <v>0</v>
      </c>
      <c r="T294">
        <f>IF('Исходные данные'!$B$51="Да",-S294*N('Исходные данные'!$B$44)/(1+N('Исходные данные'!$B$44)),0)</f>
        <v>0</v>
      </c>
      <c r="U294">
        <f>IF('Исходные данные'!$B$36="Да",-S294,0)</f>
        <v>0</v>
      </c>
      <c r="V294">
        <f>IF(AND('Исходные данные'!$B$51="Да",U294&gt;0),U294*N('Исходные данные'!$B$52)/(1+N('Исходные данные'!$B$52)),0)</f>
        <v>0</v>
      </c>
      <c r="W294">
        <f>IF(OR(B294="",IF('Исходные данные'!$B$69="",'Исходные данные'!$B$10,'Исходные данные'!$B$69)="",C294&lt;IF('Исходные данные'!$B$69="",'Исходные данные'!$B$10,'Исходные данные'!$B$69)),0,-N('Исходные данные'!$B$16)*N('Исходные данные'!$B$68)*N('Исходные данные'!$B$67)/12*IF(AND(B294&lt;=IF('Исходные данные'!$B$69="",'Исходные данные'!$B$10,'Исходные данные'!$B$69),C294&gt;=IF('Исходные данные'!$B$69="",'Исходные данные'!$B$10,'Исходные данные'!$B$69)),(C294-IF('Исходные данные'!$B$69="",'Исходные данные'!$B$10,'Исходные данные'!$B$69)+1)/DAY(C294),1))</f>
        <v>0</v>
      </c>
      <c r="X294">
        <f>IF(OR(B294="",IF('Исходные данные'!$B$76="",'Исходные данные'!$B$10,'Исходные данные'!$B$76)="",C294&lt;IF('Исходные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данные'!$B$76)),1),B294,"m")/12))*IF(AND(B294&lt;=IF('Исходные данные'!$B$76="",'Исходные данные'!$B$10,'Исходные данные'!$B$76),C294&gt;=IF('Исходные данные'!$B$76="",'Исходные данные'!$B$10,'Исходные данные'!$B$76)),(C294-IF('Исходные данные'!$B$76="",'Исходные данные'!$B$10,'Исходные данные'!$B$76)+1)/DAY(C294),1))</f>
        <v>0</v>
      </c>
      <c r="Y294">
        <f t="shared" si="169"/>
        <v>0</v>
      </c>
      <c r="Z294">
        <f>IF(OR(B294="",N('Исходные данные'!$B$19)=0),0,-SUMIFS('Исходные данные'!$I$6:$I$186,'Исходные данные'!$F$6:$F$186,B294)*N('Исходные данные'!$B$17)/N('Исходные данные'!$B$19))</f>
        <v>0</v>
      </c>
      <c r="AA294">
        <f>IF(OR(B294="",N('Исходные данные'!$B$19)=0),0,-SUMIFS('Исходные данные'!$I$6:$I$186,'Исходные данные'!$F$6:$F$186,B294)*N('Исходные данные'!$B$18)/N('Исходные данные'!$B$19))</f>
        <v>0</v>
      </c>
      <c r="AB294">
        <f>IF(OR(B294="",'Исходные данные'!$B$13=""),0,IF(AND(YEAR(B294)=YEAR('Исходные данные'!$B$13),MONTH(B294)=MONTH('Исходные данные'!$B$13)),-N('Исходные данные'!$B$11),0))</f>
        <v>0</v>
      </c>
      <c r="AC294">
        <f>IF(A294=1,-N('Исходные данные'!$B$19)*N('Исходные данные'!$B$72),0)</f>
        <v>0</v>
      </c>
      <c r="AD294">
        <f>IF(OR(B294="",'Исходные данные'!$B$22&lt;&gt;"Да",'Исходные данные'!$B$26=""),0,IF(AND(YEAR(B294)=YEAR('Исходные данные'!$B$26),MONTH(B294)=MONTH('Исходные данные'!$B$26)),N('Исходные данные'!$B$23),0))</f>
        <v>0</v>
      </c>
      <c r="AE294">
        <f t="shared" si="152"/>
        <v>0</v>
      </c>
      <c r="AF294">
        <f>IF(OR('Исходные данные'!$B$22&lt;&gt;"Да",'Исходные данные'!$B$26="",C294&lt;'Исходные данные'!$B$26),0,DATEDIF(DATE(YEAR('Исходные данные'!$B$26),MONTH('Исходные данные'!$B$26),1),B294,"m")+1)</f>
        <v>0</v>
      </c>
      <c r="AG294">
        <f>IF(OR(AF294&lt;1,AF294&gt;N('Исходные данные'!$B$25),AE294+AD294&lt;=0),0,-(AE294+AD294)*N('Исходные данные'!$B$24)*IF(AF294=1,C294-'Исходные данные'!$B$26+1,DAY(C294))/365)</f>
        <v>0</v>
      </c>
      <c r="AH294">
        <f>IF(OR(AF294&lt;1,AF294&gt;N('Исходные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данные'!$B$25)-AG294))</f>
        <v>0</v>
      </c>
      <c r="AI294">
        <f>IF(OR('Исходные данные'!$B$22&lt;&gt;"Да",AE294+AD294&lt;=0),0,IF(AND('Исходные данные'!$B$91&lt;&gt;"",B294&lt;&gt;"",YEAR(B294)=YEAR('Исходные данные'!$B$91),MONTH(B294)=MONTH('Исходные данные'!$B$91)),-(AE294+AD294),IF(OR(AF294&lt;1,AF294&gt;N('Исходные данные'!$B$25)),0,IF('Исходные данные'!$B$27="Равными долями",-MIN(AE294+AD294,N('Исходные данные'!$B$23)/N('Исходные данные'!$B$25)),-MIN(AE294+AD294,IF(AF294=N('Исходные данные'!$B$25),AE294+AD294,MAX(0,AH294+AG294)))))))</f>
        <v>0</v>
      </c>
      <c r="AJ294">
        <f t="shared" si="170"/>
        <v>0</v>
      </c>
      <c r="AK294">
        <f t="shared" si="153"/>
        <v>0</v>
      </c>
      <c r="AL294">
        <f>IF(OR(B294="",'Исходные данные'!$B$51&lt;&gt;"Да",'Исходные данные'!$B$61=""),0,IF(AND(YEAR(B294)=YEAR('Исходные данные'!$B$61),MONTH(B294)=MONTH('Исходные данные'!$B$61)),N('Исходные данные'!$B$18)*N('Исходные данные'!$B$62),0))</f>
        <v>0</v>
      </c>
      <c r="AM294">
        <f t="shared" si="154"/>
        <v>0</v>
      </c>
      <c r="AN294">
        <f t="shared" si="155"/>
        <v>0</v>
      </c>
      <c r="AO294">
        <f t="shared" si="156"/>
        <v>0</v>
      </c>
      <c r="AP294">
        <f>IF('Исходные данные'!$B$51="Да",-MAX(0,AN294-AO294-AM294),0)</f>
        <v>0</v>
      </c>
      <c r="AQ294">
        <f>IF('Исходные данные'!$B$51="Да",MAX(0,AM294+AO294-AN294),0)</f>
        <v>0</v>
      </c>
      <c r="AR294">
        <f>IF('Исходные данные'!$B$53="Выручка",MAX(0,L294+(Q294-R294)+(U294-V294)),IF('Исходные данные'!$B$53="Прибыль до налога",MAX(0,L294+(Q294-R294)+(U294-V294)+N('Исходные данные'!$B$54)*((O294+P294)+(S294+T294)+W294+X294)+IF('Исходные данные'!$B$55="Да",AG294,0)-N('Исходные данные'!$B$56)/12),IF('Исходные данные'!$B$53="Пользовательская база",MAX(0,N('Исходные данные'!$B$57)/12),0)))</f>
        <v>0</v>
      </c>
      <c r="AS294">
        <f>IF(E294=1,-AR294*N('Исходные данные'!$B$50),0)</f>
        <v>0</v>
      </c>
      <c r="AT294">
        <f t="shared" si="157"/>
        <v>0</v>
      </c>
      <c r="AU294">
        <f>IF(OR(B294="",N('Исходные данные'!$B$80)&lt;=0,'Исходные данные'!$B$88=""),0,MAX(0,IF('Исходные данные'!$B$88="Последние 12 месяцев",SUMIFS($Y$2:$Y$194,$B$2:$B$194,"&gt;="&amp;EDATE(B294,-11),$B$2:$B$194,"&lt;="&amp;B294),IF('Исходные данные'!$B$88="Пользовательский NOI",N('Исходные данные'!$B$89),AT294))/N('Исходные данные'!$B$80)*(1+N('Исходные данные'!$B$81))))</f>
        <v>0</v>
      </c>
      <c r="AV294">
        <f>IF(OR(E294&lt;&gt;1,B294="",'Исходные данные'!$B$91=""),0,IF(AND(YEAR(B294)=YEAR('Исходные данные'!$B$91),MONTH(B294)=MONTH('Исходные данные'!$B$91)),AU294,0))</f>
        <v>0</v>
      </c>
      <c r="AW294">
        <f>-AV294*N('Исходные данные'!$B$73)</f>
        <v>0</v>
      </c>
      <c r="AX294">
        <f>IF(AV294=0,0,-N('Исходные данные'!$B$87)-IF('Исходные данные'!$B$82="Да",IF('Исходные данные'!$B$84="С выручки",AV294,IF('Исходные данные'!$B$84="С прибыли",MAX(0,AV294+AW294-IF('Исходные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94">
        <f t="shared" si="171"/>
        <v>0</v>
      </c>
      <c r="AZ294">
        <f t="shared" si="158"/>
        <v>0</v>
      </c>
      <c r="BA294">
        <f t="shared" si="172"/>
        <v>0</v>
      </c>
      <c r="BB294" t="str">
        <f t="shared" si="159"/>
        <v/>
      </c>
      <c r="BC294">
        <f>IF(OR(E294=0,'Исходные данные'!$B$9="",'Исходные данные'!$B$90=""),0,BA294/(1+'Исходные данные'!$B$90)^((D294-'Исходные данные'!$B$9)/365))</f>
        <v>0</v>
      </c>
      <c r="BD294">
        <f>IF(AND(E294=1,BB294&gt;=0,BB293&lt;0,MIN($BB$2:BB294)&lt;0),1,0)</f>
        <v>0</v>
      </c>
      <c r="BE294">
        <f t="shared" si="160"/>
        <v>0</v>
      </c>
      <c r="BF294">
        <f t="shared" si="161"/>
        <v>0</v>
      </c>
      <c r="BG294">
        <f t="shared" si="162"/>
        <v>0</v>
      </c>
      <c r="BH294">
        <f t="shared" si="163"/>
        <v>1</v>
      </c>
      <c r="BI294">
        <f>AZ294+N294+AP294-AR294*N('Исходные данные'!$B$50)</f>
        <v>0</v>
      </c>
      <c r="BJ294">
        <f t="shared" si="164"/>
        <v>0</v>
      </c>
      <c r="BK294">
        <f>IF(AND(BJ294&gt;=0,BJ293&lt;0,MIN($BJ$2:BJ294)&lt;0),1,0)</f>
        <v>0</v>
      </c>
    </row>
    <row r="295" spans="1:63" x14ac:dyDescent="0.2">
      <c r="A295">
        <v>294</v>
      </c>
      <c r="B295" t="str">
        <f>IF('Исходные данные'!$B$9="","",EDATE(DATE(YEAR('Исходные данные'!$B$9),MONTH('Исходные данные'!$B$9),1),A295-1))</f>
        <v/>
      </c>
      <c r="C295" t="str">
        <f t="shared" si="165"/>
        <v/>
      </c>
      <c r="D295" t="str">
        <f>IF(B295="","",IF('Исходные данные'!$B$91&lt;&gt;"",IF(AND(YEAR(B295)=YEAR('Исходные данные'!$B$91),MONTH(B295)=MONTH('Исходные данные'!$B$91)),'Исходные данные'!$B$91,IF('Исходные данные'!$B$13&lt;&gt;"",IF(AND(YEAR(B295)=YEAR('Исходные данные'!$B$13),MONTH(B295)=MONTH('Исходные данные'!$B$13)),'Исходные данные'!$B$13,IF('Исходные данные'!$B$26&lt;&gt;"",IF(AND(YEAR(B295)=YEAR('Исходные данные'!$B$26),MONTH(B295)=MONTH('Исходные данные'!$B$26)),'Исходные данные'!$B$26,IF(A295=1,'Исходные данные'!$B$9,C295)),IF(A295=1,'Исходные данные'!$B$9,C295))),IF('Исходные данные'!$B$26&lt;&gt;"",IF(AND(YEAR(B295)=YEAR('Исходные данные'!$B$26),MONTH(B295)=MONTH('Исходные данные'!$B$26)),'Исходные данные'!$B$26,IF(A295=1,'Исходные данные'!$B$9,C295)),IF(A295=1,'Исходные данные'!$B$9,C295)))),IF('Исходные данные'!$B$13&lt;&gt;"",IF(AND(YEAR(B295)=YEAR('Исходные данные'!$B$13),MONTH(B295)=MONTH('Исходные данные'!$B$13)),'Исходные данные'!$B$13,IF('Исходные данные'!$B$26&lt;&gt;"",IF(AND(YEAR(B295)=YEAR('Исходные данные'!$B$26),MONTH(B295)=MONTH('Исходные данные'!$B$26)),'Исходные данные'!$B$26,IF(A295=1,'Исходные данные'!$B$9,C295)),IF(A295=1,'Исходные данные'!$B$9,C295))),IF('Исходные данные'!$B$26&lt;&gt;"",IF(AND(YEAR(B295)=YEAR('Исходные данные'!$B$26),MONTH(B295)=MONTH('Исходные данные'!$B$26)),'Исходные данные'!$B$26,IF(A295=1,'Исходные данные'!$B$9,C295)),IF(A295=1,'Исходные данные'!$B$9,C295)))))</f>
        <v/>
      </c>
      <c r="E295">
        <f>IF(OR(B295="",'Исходные данные'!$B$91=""),0,--(B295&lt;=DATE(YEAR('Исходные данные'!$B$91),MONTH('Исходные данные'!$B$91),1)))</f>
        <v>0</v>
      </c>
      <c r="F295">
        <f>IF(OR(B295="",'Исходные данные'!$B$30="",C295&lt;'Исходные данные'!$B$30),0,DATEDIF(DATE(YEAR('Исходные данные'!$B$30),MONTH('Исходные данные'!$B$30),1),B295,"m")+1)</f>
        <v>0</v>
      </c>
      <c r="G295">
        <f t="shared" si="166"/>
        <v>0</v>
      </c>
      <c r="H295">
        <f>IF(F295=0,0,IF(G295=1,N('Исходные данные'!$B$31),IF(G295=2,N('Исходные данные'!$B$32),IF(G295=3,N('Исходные данные'!$B$33),N('Исходные данные'!$B$33)*(1+N('Исходные данные'!$B$34))^(G295-3)))))</f>
        <v>0</v>
      </c>
      <c r="I295">
        <f>IF(OR(F295=0,N('Исходные данные'!$B$5)=0,H295=0),0,'Исходные данные'!$B$5*H295*IF(AND(B295&lt;='Исходные данные'!$B$30,C295&gt;='Исходные данные'!$B$30),(C295-'Исходные данные'!$B$30+1)/DAY(C295),1))</f>
        <v>0</v>
      </c>
      <c r="J295">
        <f>IF(AND(F295&gt;0,F295&lt;=N('Исходные данные'!$B$37)),-I295,0)</f>
        <v>0</v>
      </c>
      <c r="K295">
        <f>IF(OR(F295=0,F295&lt;=N('Исходные данные'!$B$37)),0,-(I295+J295)*N('Исходные данные'!$B$38))</f>
        <v>0</v>
      </c>
      <c r="L295">
        <f t="shared" si="167"/>
        <v>0</v>
      </c>
      <c r="M295">
        <f>IF('Исходные данные'!$B$51="Да",L295*N('Исходные данные'!$B$52),0)</f>
        <v>0</v>
      </c>
      <c r="N295">
        <f t="shared" si="168"/>
        <v>0</v>
      </c>
      <c r="O295">
        <f>IF(OR(B295="",IF('Исходные данные'!$B$45="",'Исходные данные'!$B$10,'Исходные данные'!$B$45)="",C295&lt;IF('Исходные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данные'!$B$45)),1),B295,"m")/12))*IF(AND(B295&lt;=IF('Исходные данные'!$B$45="",'Исходные данные'!$B$10,'Исходные данные'!$B$45),C295&gt;=IF('Исходные данные'!$B$45="",'Исходные данные'!$B$10,'Исходные данные'!$B$45)),(C295-IF('Исходные данные'!$B$45="",'Исходные данные'!$B$10,'Исходные данные'!$B$45)+1)/DAY(C295),1)*IF('Исходные данные'!$B$43="Без НДС",1+N('Исходные данные'!$B$44),1))</f>
        <v>0</v>
      </c>
      <c r="P295">
        <f>IF('Исходные данные'!$B$51="Да",-O295*N('Исходные данные'!$B$44)/(1+N('Исходные данные'!$B$44)),0)</f>
        <v>0</v>
      </c>
      <c r="Q295">
        <f>IF('Исходные данные'!$B$35="Да",-O295,0)</f>
        <v>0</v>
      </c>
      <c r="R295">
        <f>IF(AND('Исходные данные'!$B$51="Да",Q295&gt;0),Q295*N('Исходные данные'!$B$52)/(1+N('Исходные данные'!$B$52)),0)</f>
        <v>0</v>
      </c>
      <c r="S295">
        <f>IF(OR(B295="",IF('Исходные данные'!$B$45="",'Исходные данные'!$B$10,'Исходные данные'!$B$45)="",C295&lt;IF('Исходные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данные'!$B$45)),1),B295,"m")/12))*IF(AND(B295&lt;=IF('Исходные данные'!$B$45="",'Исходные данные'!$B$10,'Исходные данные'!$B$45),C295&gt;=IF('Исходные данные'!$B$45="",'Исходные данные'!$B$10,'Исходные данные'!$B$45)),(C295-IF('Исходные данные'!$B$45="",'Исходные данные'!$B$10,'Исходные данные'!$B$45)+1)/DAY(C295),1)*IF('Исходные данные'!$B$43="Без НДС",1+N('Исходные данные'!$B$44),1))</f>
        <v>0</v>
      </c>
      <c r="T295">
        <f>IF('Исходные данные'!$B$51="Да",-S295*N('Исходные данные'!$B$44)/(1+N('Исходные данные'!$B$44)),0)</f>
        <v>0</v>
      </c>
      <c r="U295">
        <f>IF('Исходные данные'!$B$36="Да",-S295,0)</f>
        <v>0</v>
      </c>
      <c r="V295">
        <f>IF(AND('Исходные данные'!$B$51="Да",U295&gt;0),U295*N('Исходные данные'!$B$52)/(1+N('Исходные данные'!$B$52)),0)</f>
        <v>0</v>
      </c>
      <c r="W295">
        <f>IF(OR(B295="",IF('Исходные данные'!$B$69="",'Исходные данные'!$B$10,'Исходные данные'!$B$69)="",C295&lt;IF('Исходные данные'!$B$69="",'Исходные данные'!$B$10,'Исходные данные'!$B$69)),0,-N('Исходные данные'!$B$16)*N('Исходные данные'!$B$68)*N('Исходные данные'!$B$67)/12*IF(AND(B295&lt;=IF('Исходные данные'!$B$69="",'Исходные данные'!$B$10,'Исходные данные'!$B$69),C295&gt;=IF('Исходные данные'!$B$69="",'Исходные данные'!$B$10,'Исходные данные'!$B$69)),(C295-IF('Исходные данные'!$B$69="",'Исходные данные'!$B$10,'Исходные данные'!$B$69)+1)/DAY(C295),1))</f>
        <v>0</v>
      </c>
      <c r="X295">
        <f>IF(OR(B295="",IF('Исходные данные'!$B$76="",'Исходные данные'!$B$10,'Исходные данные'!$B$76)="",C295&lt;IF('Исходные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данные'!$B$76)),1),B295,"m")/12))*IF(AND(B295&lt;=IF('Исходные данные'!$B$76="",'Исходные данные'!$B$10,'Исходные данные'!$B$76),C295&gt;=IF('Исходные данные'!$B$76="",'Исходные данные'!$B$10,'Исходные данные'!$B$76)),(C295-IF('Исходные данные'!$B$76="",'Исходные данные'!$B$10,'Исходные данные'!$B$76)+1)/DAY(C295),1))</f>
        <v>0</v>
      </c>
      <c r="Y295">
        <f t="shared" si="169"/>
        <v>0</v>
      </c>
      <c r="Z295">
        <f>IF(OR(B295="",N('Исходные данные'!$B$19)=0),0,-SUMIFS('Исходные данные'!$I$6:$I$186,'Исходные данные'!$F$6:$F$186,B295)*N('Исходные данные'!$B$17)/N('Исходные данные'!$B$19))</f>
        <v>0</v>
      </c>
      <c r="AA295">
        <f>IF(OR(B295="",N('Исходные данные'!$B$19)=0),0,-SUMIFS('Исходные данные'!$I$6:$I$186,'Исходные данные'!$F$6:$F$186,B295)*N('Исходные данные'!$B$18)/N('Исходные данные'!$B$19))</f>
        <v>0</v>
      </c>
      <c r="AB295">
        <f>IF(OR(B295="",'Исходные данные'!$B$13=""),0,IF(AND(YEAR(B295)=YEAR('Исходные данные'!$B$13),MONTH(B295)=MONTH('Исходные данные'!$B$13)),-N('Исходные данные'!$B$11),0))</f>
        <v>0</v>
      </c>
      <c r="AC295">
        <f>IF(A295=1,-N('Исходные данные'!$B$19)*N('Исходные данные'!$B$72),0)</f>
        <v>0</v>
      </c>
      <c r="AD295">
        <f>IF(OR(B295="",'Исходные данные'!$B$22&lt;&gt;"Да",'Исходные данные'!$B$26=""),0,IF(AND(YEAR(B295)=YEAR('Исходные данные'!$B$26),MONTH(B295)=MONTH('Исходные данные'!$B$26)),N('Исходные данные'!$B$23),0))</f>
        <v>0</v>
      </c>
      <c r="AE295">
        <f t="shared" si="152"/>
        <v>0</v>
      </c>
      <c r="AF295">
        <f>IF(OR('Исходные данные'!$B$22&lt;&gt;"Да",'Исходные данные'!$B$26="",C295&lt;'Исходные данные'!$B$26),0,DATEDIF(DATE(YEAR('Исходные данные'!$B$26),MONTH('Исходные данные'!$B$26),1),B295,"m")+1)</f>
        <v>0</v>
      </c>
      <c r="AG295">
        <f>IF(OR(AF295&lt;1,AF295&gt;N('Исходные данные'!$B$25),AE295+AD295&lt;=0),0,-(AE295+AD295)*N('Исходные данные'!$B$24)*IF(AF295=1,C295-'Исходные данные'!$B$26+1,DAY(C295))/365)</f>
        <v>0</v>
      </c>
      <c r="AH295">
        <f>IF(OR(AF295&lt;1,AF295&gt;N('Исходные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данные'!$B$25)-AG295))</f>
        <v>0</v>
      </c>
      <c r="AI295">
        <f>IF(OR('Исходные данные'!$B$22&lt;&gt;"Да",AE295+AD295&lt;=0),0,IF(AND('Исходные данные'!$B$91&lt;&gt;"",B295&lt;&gt;"",YEAR(B295)=YEAR('Исходные данные'!$B$91),MONTH(B295)=MONTH('Исходные данные'!$B$91)),-(AE295+AD295),IF(OR(AF295&lt;1,AF295&gt;N('Исходные данные'!$B$25)),0,IF('Исходные данные'!$B$27="Равными долями",-MIN(AE295+AD295,N('Исходные данные'!$B$23)/N('Исходные данные'!$B$25)),-MIN(AE295+AD295,IF(AF295=N('Исходные данные'!$B$25),AE295+AD295,MAX(0,AH295+AG295)))))))</f>
        <v>0</v>
      </c>
      <c r="AJ295">
        <f t="shared" si="170"/>
        <v>0</v>
      </c>
      <c r="AK295">
        <f t="shared" si="153"/>
        <v>0</v>
      </c>
      <c r="AL295">
        <f>IF(OR(B295="",'Исходные данные'!$B$51&lt;&gt;"Да",'Исходные данные'!$B$61=""),0,IF(AND(YEAR(B295)=YEAR('Исходные данные'!$B$61),MONTH(B295)=MONTH('Исходные данные'!$B$61)),N('Исходные данные'!$B$18)*N('Исходные данные'!$B$62),0))</f>
        <v>0</v>
      </c>
      <c r="AM295">
        <f t="shared" si="154"/>
        <v>0</v>
      </c>
      <c r="AN295">
        <f t="shared" si="155"/>
        <v>0</v>
      </c>
      <c r="AO295">
        <f t="shared" si="156"/>
        <v>0</v>
      </c>
      <c r="AP295">
        <f>IF('Исходные данные'!$B$51="Да",-MAX(0,AN295-AO295-AM295),0)</f>
        <v>0</v>
      </c>
      <c r="AQ295">
        <f>IF('Исходные данные'!$B$51="Да",MAX(0,AM295+AO295-AN295),0)</f>
        <v>0</v>
      </c>
      <c r="AR295">
        <f>IF('Исходные данные'!$B$53="Выручка",MAX(0,L295+(Q295-R295)+(U295-V295)),IF('Исходные данные'!$B$53="Прибыль до налога",MAX(0,L295+(Q295-R295)+(U295-V295)+N('Исходные данные'!$B$54)*((O295+P295)+(S295+T295)+W295+X295)+IF('Исходные данные'!$B$55="Да",AG295,0)-N('Исходные данные'!$B$56)/12),IF('Исходные данные'!$B$53="Пользовательская база",MAX(0,N('Исходные данные'!$B$57)/12),0)))</f>
        <v>0</v>
      </c>
      <c r="AS295">
        <f>IF(E295=1,-AR295*N('Исходные данные'!$B$50),0)</f>
        <v>0</v>
      </c>
      <c r="AT295">
        <f t="shared" si="157"/>
        <v>0</v>
      </c>
      <c r="AU295">
        <f>IF(OR(B295="",N('Исходные данные'!$B$80)&lt;=0,'Исходные данные'!$B$88=""),0,MAX(0,IF('Исходные данные'!$B$88="Последние 12 месяцев",SUMIFS($Y$2:$Y$194,$B$2:$B$194,"&gt;="&amp;EDATE(B295,-11),$B$2:$B$194,"&lt;="&amp;B295),IF('Исходные данные'!$B$88="Пользовательский NOI",N('Исходные данные'!$B$89),AT295))/N('Исходные данные'!$B$80)*(1+N('Исходные данные'!$B$81))))</f>
        <v>0</v>
      </c>
      <c r="AV295">
        <f>IF(OR(E295&lt;&gt;1,B295="",'Исходные данные'!$B$91=""),0,IF(AND(YEAR(B295)=YEAR('Исходные данные'!$B$91),MONTH(B295)=MONTH('Исходные данные'!$B$91)),AU295,0))</f>
        <v>0</v>
      </c>
      <c r="AW295">
        <f>-AV295*N('Исходные данные'!$B$73)</f>
        <v>0</v>
      </c>
      <c r="AX295">
        <f>IF(AV295=0,0,-N('Исходные данные'!$B$87)-IF('Исходные данные'!$B$82="Да",IF('Исходные данные'!$B$84="С выручки",AV295,IF('Исходные данные'!$B$84="С прибыли",MAX(0,AV295+AW295-IF('Исходные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95">
        <f t="shared" si="171"/>
        <v>0</v>
      </c>
      <c r="AZ295">
        <f t="shared" si="158"/>
        <v>0</v>
      </c>
      <c r="BA295">
        <f t="shared" si="172"/>
        <v>0</v>
      </c>
      <c r="BB295" t="str">
        <f t="shared" si="159"/>
        <v/>
      </c>
      <c r="BC295">
        <f>IF(OR(E295=0,'Исходные данные'!$B$9="",'Исходные данные'!$B$90=""),0,BA295/(1+'Исходные данные'!$B$90)^((D295-'Исходные данные'!$B$9)/365))</f>
        <v>0</v>
      </c>
      <c r="BD295">
        <f>IF(AND(E295=1,BB295&gt;=0,BB294&lt;0,MIN($BB$2:BB295)&lt;0),1,0)</f>
        <v>0</v>
      </c>
      <c r="BE295">
        <f t="shared" si="160"/>
        <v>0</v>
      </c>
      <c r="BF295">
        <f t="shared" si="161"/>
        <v>0</v>
      </c>
      <c r="BG295">
        <f t="shared" si="162"/>
        <v>0</v>
      </c>
      <c r="BH295">
        <f t="shared" si="163"/>
        <v>1</v>
      </c>
      <c r="BI295">
        <f>AZ295+N295+AP295-AR295*N('Исходные данные'!$B$50)</f>
        <v>0</v>
      </c>
      <c r="BJ295">
        <f t="shared" si="164"/>
        <v>0</v>
      </c>
      <c r="BK295">
        <f>IF(AND(BJ295&gt;=0,BJ294&lt;0,MIN($BJ$2:BJ295)&lt;0),1,0)</f>
        <v>0</v>
      </c>
    </row>
    <row r="296" spans="1:63" x14ac:dyDescent="0.2">
      <c r="A296">
        <v>295</v>
      </c>
      <c r="B296" t="str">
        <f>IF('Исходные данные'!$B$9="","",EDATE(DATE(YEAR('Исходные данные'!$B$9),MONTH('Исходные данные'!$B$9),1),A296-1))</f>
        <v/>
      </c>
      <c r="C296" t="str">
        <f t="shared" si="165"/>
        <v/>
      </c>
      <c r="D296" t="str">
        <f>IF(B296="","",IF('Исходные данные'!$B$91&lt;&gt;"",IF(AND(YEAR(B296)=YEAR('Исходные данные'!$B$91),MONTH(B296)=MONTH('Исходные данные'!$B$91)),'Исходные данные'!$B$91,IF('Исходные данные'!$B$13&lt;&gt;"",IF(AND(YEAR(B296)=YEAR('Исходные данные'!$B$13),MONTH(B296)=MONTH('Исходные данные'!$B$13)),'Исходные данные'!$B$13,IF('Исходные данные'!$B$26&lt;&gt;"",IF(AND(YEAR(B296)=YEAR('Исходные данные'!$B$26),MONTH(B296)=MONTH('Исходные данные'!$B$26)),'Исходные данные'!$B$26,IF(A296=1,'Исходные данные'!$B$9,C296)),IF(A296=1,'Исходные данные'!$B$9,C296))),IF('Исходные данные'!$B$26&lt;&gt;"",IF(AND(YEAR(B296)=YEAR('Исходные данные'!$B$26),MONTH(B296)=MONTH('Исходные данные'!$B$26)),'Исходные данные'!$B$26,IF(A296=1,'Исходные данные'!$B$9,C296)),IF(A296=1,'Исходные данные'!$B$9,C296)))),IF('Исходные данные'!$B$13&lt;&gt;"",IF(AND(YEAR(B296)=YEAR('Исходные данные'!$B$13),MONTH(B296)=MONTH('Исходные данные'!$B$13)),'Исходные данные'!$B$13,IF('Исходные данные'!$B$26&lt;&gt;"",IF(AND(YEAR(B296)=YEAR('Исходные данные'!$B$26),MONTH(B296)=MONTH('Исходные данные'!$B$26)),'Исходные данные'!$B$26,IF(A296=1,'Исходные данные'!$B$9,C296)),IF(A296=1,'Исходные данные'!$B$9,C296))),IF('Исходные данные'!$B$26&lt;&gt;"",IF(AND(YEAR(B296)=YEAR('Исходные данные'!$B$26),MONTH(B296)=MONTH('Исходные данные'!$B$26)),'Исходные данные'!$B$26,IF(A296=1,'Исходные данные'!$B$9,C296)),IF(A296=1,'Исходные данные'!$B$9,C296)))))</f>
        <v/>
      </c>
      <c r="E296">
        <f>IF(OR(B296="",'Исходные данные'!$B$91=""),0,--(B296&lt;=DATE(YEAR('Исходные данные'!$B$91),MONTH('Исходные данные'!$B$91),1)))</f>
        <v>0</v>
      </c>
      <c r="F296">
        <f>IF(OR(B296="",'Исходные данные'!$B$30="",C296&lt;'Исходные данные'!$B$30),0,DATEDIF(DATE(YEAR('Исходные данные'!$B$30),MONTH('Исходные данные'!$B$30),1),B296,"m")+1)</f>
        <v>0</v>
      </c>
      <c r="G296">
        <f t="shared" si="166"/>
        <v>0</v>
      </c>
      <c r="H296">
        <f>IF(F296=0,0,IF(G296=1,N('Исходные данные'!$B$31),IF(G296=2,N('Исходные данные'!$B$32),IF(G296=3,N('Исходные данные'!$B$33),N('Исходные данные'!$B$33)*(1+N('Исходные данные'!$B$34))^(G296-3)))))</f>
        <v>0</v>
      </c>
      <c r="I296">
        <f>IF(OR(F296=0,N('Исходные данные'!$B$5)=0,H296=0),0,'Исходные данные'!$B$5*H296*IF(AND(B296&lt;='Исходные данные'!$B$30,C296&gt;='Исходные данные'!$B$30),(C296-'Исходные данные'!$B$30+1)/DAY(C296),1))</f>
        <v>0</v>
      </c>
      <c r="J296">
        <f>IF(AND(F296&gt;0,F296&lt;=N('Исходные данные'!$B$37)),-I296,0)</f>
        <v>0</v>
      </c>
      <c r="K296">
        <f>IF(OR(F296=0,F296&lt;=N('Исходные данные'!$B$37)),0,-(I296+J296)*N('Исходные данные'!$B$38))</f>
        <v>0</v>
      </c>
      <c r="L296">
        <f t="shared" si="167"/>
        <v>0</v>
      </c>
      <c r="M296">
        <f>IF('Исходные данные'!$B$51="Да",L296*N('Исходные данные'!$B$52),0)</f>
        <v>0</v>
      </c>
      <c r="N296">
        <f t="shared" si="168"/>
        <v>0</v>
      </c>
      <c r="O296">
        <f>IF(OR(B296="",IF('Исходные данные'!$B$45="",'Исходные данные'!$B$10,'Исходные данные'!$B$45)="",C296&lt;IF('Исходные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данные'!$B$45)),1),B296,"m")/12))*IF(AND(B296&lt;=IF('Исходные данные'!$B$45="",'Исходные данные'!$B$10,'Исходные данные'!$B$45),C296&gt;=IF('Исходные данные'!$B$45="",'Исходные данные'!$B$10,'Исходные данные'!$B$45)),(C296-IF('Исходные данные'!$B$45="",'Исходные данные'!$B$10,'Исходные данные'!$B$45)+1)/DAY(C296),1)*IF('Исходные данные'!$B$43="Без НДС",1+N('Исходные данные'!$B$44),1))</f>
        <v>0</v>
      </c>
      <c r="P296">
        <f>IF('Исходные данные'!$B$51="Да",-O296*N('Исходные данные'!$B$44)/(1+N('Исходные данные'!$B$44)),0)</f>
        <v>0</v>
      </c>
      <c r="Q296">
        <f>IF('Исходные данные'!$B$35="Да",-O296,0)</f>
        <v>0</v>
      </c>
      <c r="R296">
        <f>IF(AND('Исходные данные'!$B$51="Да",Q296&gt;0),Q296*N('Исходные данные'!$B$52)/(1+N('Исходные данные'!$B$52)),0)</f>
        <v>0</v>
      </c>
      <c r="S296">
        <f>IF(OR(B296="",IF('Исходные данные'!$B$45="",'Исходные данные'!$B$10,'Исходные данные'!$B$45)="",C296&lt;IF('Исходные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данные'!$B$45)),1),B296,"m")/12))*IF(AND(B296&lt;=IF('Исходные данные'!$B$45="",'Исходные данные'!$B$10,'Исходные данные'!$B$45),C296&gt;=IF('Исходные данные'!$B$45="",'Исходные данные'!$B$10,'Исходные данные'!$B$45)),(C296-IF('Исходные данные'!$B$45="",'Исходные данные'!$B$10,'Исходные данные'!$B$45)+1)/DAY(C296),1)*IF('Исходные данные'!$B$43="Без НДС",1+N('Исходные данные'!$B$44),1))</f>
        <v>0</v>
      </c>
      <c r="T296">
        <f>IF('Исходные данные'!$B$51="Да",-S296*N('Исходные данные'!$B$44)/(1+N('Исходные данные'!$B$44)),0)</f>
        <v>0</v>
      </c>
      <c r="U296">
        <f>IF('Исходные данные'!$B$36="Да",-S296,0)</f>
        <v>0</v>
      </c>
      <c r="V296">
        <f>IF(AND('Исходные данные'!$B$51="Да",U296&gt;0),U296*N('Исходные данные'!$B$52)/(1+N('Исходные данные'!$B$52)),0)</f>
        <v>0</v>
      </c>
      <c r="W296">
        <f>IF(OR(B296="",IF('Исходные данные'!$B$69="",'Исходные данные'!$B$10,'Исходные данные'!$B$69)="",C296&lt;IF('Исходные данные'!$B$69="",'Исходные данные'!$B$10,'Исходные данные'!$B$69)),0,-N('Исходные данные'!$B$16)*N('Исходные данные'!$B$68)*N('Исходные данные'!$B$67)/12*IF(AND(B296&lt;=IF('Исходные данные'!$B$69="",'Исходные данные'!$B$10,'Исходные данные'!$B$69),C296&gt;=IF('Исходные данные'!$B$69="",'Исходные данные'!$B$10,'Исходные данные'!$B$69)),(C296-IF('Исходные данные'!$B$69="",'Исходные данные'!$B$10,'Исходные данные'!$B$69)+1)/DAY(C296),1))</f>
        <v>0</v>
      </c>
      <c r="X296">
        <f>IF(OR(B296="",IF('Исходные данные'!$B$76="",'Исходные данные'!$B$10,'Исходные данные'!$B$76)="",C296&lt;IF('Исходные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данные'!$B$76)),1),B296,"m")/12))*IF(AND(B296&lt;=IF('Исходные данные'!$B$76="",'Исходные данные'!$B$10,'Исходные данные'!$B$76),C296&gt;=IF('Исходные данные'!$B$76="",'Исходные данные'!$B$10,'Исходные данные'!$B$76)),(C296-IF('Исходные данные'!$B$76="",'Исходные данные'!$B$10,'Исходные данные'!$B$76)+1)/DAY(C296),1))</f>
        <v>0</v>
      </c>
      <c r="Y296">
        <f t="shared" si="169"/>
        <v>0</v>
      </c>
      <c r="Z296">
        <f>IF(OR(B296="",N('Исходные данные'!$B$19)=0),0,-SUMIFS('Исходные данные'!$I$6:$I$186,'Исходные данные'!$F$6:$F$186,B296)*N('Исходные данные'!$B$17)/N('Исходные данные'!$B$19))</f>
        <v>0</v>
      </c>
      <c r="AA296">
        <f>IF(OR(B296="",N('Исходные данные'!$B$19)=0),0,-SUMIFS('Исходные данные'!$I$6:$I$186,'Исходные данные'!$F$6:$F$186,B296)*N('Исходные данные'!$B$18)/N('Исходные данные'!$B$19))</f>
        <v>0</v>
      </c>
      <c r="AB296">
        <f>IF(OR(B296="",'Исходные данные'!$B$13=""),0,IF(AND(YEAR(B296)=YEAR('Исходные данные'!$B$13),MONTH(B296)=MONTH('Исходные данные'!$B$13)),-N('Исходные данные'!$B$11),0))</f>
        <v>0</v>
      </c>
      <c r="AC296">
        <f>IF(A296=1,-N('Исходные данные'!$B$19)*N('Исходные данные'!$B$72),0)</f>
        <v>0</v>
      </c>
      <c r="AD296">
        <f>IF(OR(B296="",'Исходные данные'!$B$22&lt;&gt;"Да",'Исходные данные'!$B$26=""),0,IF(AND(YEAR(B296)=YEAR('Исходные данные'!$B$26),MONTH(B296)=MONTH('Исходные данные'!$B$26)),N('Исходные данные'!$B$23),0))</f>
        <v>0</v>
      </c>
      <c r="AE296">
        <f t="shared" si="152"/>
        <v>0</v>
      </c>
      <c r="AF296">
        <f>IF(OR('Исходные данные'!$B$22&lt;&gt;"Да",'Исходные данные'!$B$26="",C296&lt;'Исходные данные'!$B$26),0,DATEDIF(DATE(YEAR('Исходные данные'!$B$26),MONTH('Исходные данные'!$B$26),1),B296,"m")+1)</f>
        <v>0</v>
      </c>
      <c r="AG296">
        <f>IF(OR(AF296&lt;1,AF296&gt;N('Исходные данные'!$B$25),AE296+AD296&lt;=0),0,-(AE296+AD296)*N('Исходные данные'!$B$24)*IF(AF296=1,C296-'Исходные данные'!$B$26+1,DAY(C296))/365)</f>
        <v>0</v>
      </c>
      <c r="AH296">
        <f>IF(OR(AF296&lt;1,AF296&gt;N('Исходные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данные'!$B$25)-AG296))</f>
        <v>0</v>
      </c>
      <c r="AI296">
        <f>IF(OR('Исходные данные'!$B$22&lt;&gt;"Да",AE296+AD296&lt;=0),0,IF(AND('Исходные данные'!$B$91&lt;&gt;"",B296&lt;&gt;"",YEAR(B296)=YEAR('Исходные данные'!$B$91),MONTH(B296)=MONTH('Исходные данные'!$B$91)),-(AE296+AD296),IF(OR(AF296&lt;1,AF296&gt;N('Исходные данные'!$B$25)),0,IF('Исходные данные'!$B$27="Равными долями",-MIN(AE296+AD296,N('Исходные данные'!$B$23)/N('Исходные данные'!$B$25)),-MIN(AE296+AD296,IF(AF296=N('Исходные данные'!$B$25),AE296+AD296,MAX(0,AH296+AG296)))))))</f>
        <v>0</v>
      </c>
      <c r="AJ296">
        <f t="shared" si="170"/>
        <v>0</v>
      </c>
      <c r="AK296">
        <f t="shared" si="153"/>
        <v>0</v>
      </c>
      <c r="AL296">
        <f>IF(OR(B296="",'Исходные данные'!$B$51&lt;&gt;"Да",'Исходные данные'!$B$61=""),0,IF(AND(YEAR(B296)=YEAR('Исходные данные'!$B$61),MONTH(B296)=MONTH('Исходные данные'!$B$61)),N('Исходные данные'!$B$18)*N('Исходные данные'!$B$62),0))</f>
        <v>0</v>
      </c>
      <c r="AM296">
        <f t="shared" si="154"/>
        <v>0</v>
      </c>
      <c r="AN296">
        <f t="shared" si="155"/>
        <v>0</v>
      </c>
      <c r="AO296">
        <f t="shared" si="156"/>
        <v>0</v>
      </c>
      <c r="AP296">
        <f>IF('Исходные данные'!$B$51="Да",-MAX(0,AN296-AO296-AM296),0)</f>
        <v>0</v>
      </c>
      <c r="AQ296">
        <f>IF('Исходные данные'!$B$51="Да",MAX(0,AM296+AO296-AN296),0)</f>
        <v>0</v>
      </c>
      <c r="AR296">
        <f>IF('Исходные данные'!$B$53="Выручка",MAX(0,L296+(Q296-R296)+(U296-V296)),IF('Исходные данные'!$B$53="Прибыль до налога",MAX(0,L296+(Q296-R296)+(U296-V296)+N('Исходные данные'!$B$54)*((O296+P296)+(S296+T296)+W296+X296)+IF('Исходные данные'!$B$55="Да",AG296,0)-N('Исходные данные'!$B$56)/12),IF('Исходные данные'!$B$53="Пользовательская база",MAX(0,N('Исходные данные'!$B$57)/12),0)))</f>
        <v>0</v>
      </c>
      <c r="AS296">
        <f>IF(E296=1,-AR296*N('Исходные данные'!$B$50),0)</f>
        <v>0</v>
      </c>
      <c r="AT296">
        <f t="shared" si="157"/>
        <v>0</v>
      </c>
      <c r="AU296">
        <f>IF(OR(B296="",N('Исходные данные'!$B$80)&lt;=0,'Исходные данные'!$B$88=""),0,MAX(0,IF('Исходные данные'!$B$88="Последние 12 месяцев",SUMIFS($Y$2:$Y$194,$B$2:$B$194,"&gt;="&amp;EDATE(B296,-11),$B$2:$B$194,"&lt;="&amp;B296),IF('Исходные данные'!$B$88="Пользовательский NOI",N('Исходные данные'!$B$89),AT296))/N('Исходные данные'!$B$80)*(1+N('Исходные данные'!$B$81))))</f>
        <v>0</v>
      </c>
      <c r="AV296">
        <f>IF(OR(E296&lt;&gt;1,B296="",'Исходные данные'!$B$91=""),0,IF(AND(YEAR(B296)=YEAR('Исходные данные'!$B$91),MONTH(B296)=MONTH('Исходные данные'!$B$91)),AU296,0))</f>
        <v>0</v>
      </c>
      <c r="AW296">
        <f>-AV296*N('Исходные данные'!$B$73)</f>
        <v>0</v>
      </c>
      <c r="AX296">
        <f>IF(AV296=0,0,-N('Исходные данные'!$B$87)-IF('Исходные данные'!$B$82="Да",IF('Исходные данные'!$B$84="С выручки",AV296,IF('Исходные данные'!$B$84="С прибыли",MAX(0,AV296+AW296-IF('Исходные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96">
        <f t="shared" si="171"/>
        <v>0</v>
      </c>
      <c r="AZ296">
        <f t="shared" si="158"/>
        <v>0</v>
      </c>
      <c r="BA296">
        <f t="shared" si="172"/>
        <v>0</v>
      </c>
      <c r="BB296" t="str">
        <f t="shared" si="159"/>
        <v/>
      </c>
      <c r="BC296">
        <f>IF(OR(E296=0,'Исходные данные'!$B$9="",'Исходные данные'!$B$90=""),0,BA296/(1+'Исходные данные'!$B$90)^((D296-'Исходные данные'!$B$9)/365))</f>
        <v>0</v>
      </c>
      <c r="BD296">
        <f>IF(AND(E296=1,BB296&gt;=0,BB295&lt;0,MIN($BB$2:BB296)&lt;0),1,0)</f>
        <v>0</v>
      </c>
      <c r="BE296">
        <f t="shared" si="160"/>
        <v>0</v>
      </c>
      <c r="BF296">
        <f t="shared" si="161"/>
        <v>0</v>
      </c>
      <c r="BG296">
        <f t="shared" si="162"/>
        <v>0</v>
      </c>
      <c r="BH296">
        <f t="shared" si="163"/>
        <v>1</v>
      </c>
      <c r="BI296">
        <f>AZ296+N296+AP296-AR296*N('Исходные данные'!$B$50)</f>
        <v>0</v>
      </c>
      <c r="BJ296">
        <f t="shared" si="164"/>
        <v>0</v>
      </c>
      <c r="BK296">
        <f>IF(AND(BJ296&gt;=0,BJ295&lt;0,MIN($BJ$2:BJ296)&lt;0),1,0)</f>
        <v>0</v>
      </c>
    </row>
    <row r="297" spans="1:63" x14ac:dyDescent="0.2">
      <c r="A297">
        <v>296</v>
      </c>
      <c r="B297" t="str">
        <f>IF('Исходные данные'!$B$9="","",EDATE(DATE(YEAR('Исходные данные'!$B$9),MONTH('Исходные данные'!$B$9),1),A297-1))</f>
        <v/>
      </c>
      <c r="C297" t="str">
        <f t="shared" si="165"/>
        <v/>
      </c>
      <c r="D297" t="str">
        <f>IF(B297="","",IF('Исходные данные'!$B$91&lt;&gt;"",IF(AND(YEAR(B297)=YEAR('Исходные данные'!$B$91),MONTH(B297)=MONTH('Исходные данные'!$B$91)),'Исходные данные'!$B$91,IF('Исходные данные'!$B$13&lt;&gt;"",IF(AND(YEAR(B297)=YEAR('Исходные данные'!$B$13),MONTH(B297)=MONTH('Исходные данные'!$B$13)),'Исходные данные'!$B$13,IF('Исходные данные'!$B$26&lt;&gt;"",IF(AND(YEAR(B297)=YEAR('Исходные данные'!$B$26),MONTH(B297)=MONTH('Исходные данные'!$B$26)),'Исходные данные'!$B$26,IF(A297=1,'Исходные данные'!$B$9,C297)),IF(A297=1,'Исходные данные'!$B$9,C297))),IF('Исходные данные'!$B$26&lt;&gt;"",IF(AND(YEAR(B297)=YEAR('Исходные данные'!$B$26),MONTH(B297)=MONTH('Исходные данные'!$B$26)),'Исходные данные'!$B$26,IF(A297=1,'Исходные данные'!$B$9,C297)),IF(A297=1,'Исходные данные'!$B$9,C297)))),IF('Исходные данные'!$B$13&lt;&gt;"",IF(AND(YEAR(B297)=YEAR('Исходные данные'!$B$13),MONTH(B297)=MONTH('Исходные данные'!$B$13)),'Исходные данные'!$B$13,IF('Исходные данные'!$B$26&lt;&gt;"",IF(AND(YEAR(B297)=YEAR('Исходные данные'!$B$26),MONTH(B297)=MONTH('Исходные данные'!$B$26)),'Исходные данные'!$B$26,IF(A297=1,'Исходные данные'!$B$9,C297)),IF(A297=1,'Исходные данные'!$B$9,C297))),IF('Исходные данные'!$B$26&lt;&gt;"",IF(AND(YEAR(B297)=YEAR('Исходные данные'!$B$26),MONTH(B297)=MONTH('Исходные данные'!$B$26)),'Исходные данные'!$B$26,IF(A297=1,'Исходные данные'!$B$9,C297)),IF(A297=1,'Исходные данные'!$B$9,C297)))))</f>
        <v/>
      </c>
      <c r="E297">
        <f>IF(OR(B297="",'Исходные данные'!$B$91=""),0,--(B297&lt;=DATE(YEAR('Исходные данные'!$B$91),MONTH('Исходные данные'!$B$91),1)))</f>
        <v>0</v>
      </c>
      <c r="F297">
        <f>IF(OR(B297="",'Исходные данные'!$B$30="",C297&lt;'Исходные данные'!$B$30),0,DATEDIF(DATE(YEAR('Исходные данные'!$B$30),MONTH('Исходные данные'!$B$30),1),B297,"m")+1)</f>
        <v>0</v>
      </c>
      <c r="G297">
        <f t="shared" si="166"/>
        <v>0</v>
      </c>
      <c r="H297">
        <f>IF(F297=0,0,IF(G297=1,N('Исходные данные'!$B$31),IF(G297=2,N('Исходные данные'!$B$32),IF(G297=3,N('Исходные данные'!$B$33),N('Исходные данные'!$B$33)*(1+N('Исходные данные'!$B$34))^(G297-3)))))</f>
        <v>0</v>
      </c>
      <c r="I297">
        <f>IF(OR(F297=0,N('Исходные данные'!$B$5)=0,H297=0),0,'Исходные данные'!$B$5*H297*IF(AND(B297&lt;='Исходные данные'!$B$30,C297&gt;='Исходные данные'!$B$30),(C297-'Исходные данные'!$B$30+1)/DAY(C297),1))</f>
        <v>0</v>
      </c>
      <c r="J297">
        <f>IF(AND(F297&gt;0,F297&lt;=N('Исходные данные'!$B$37)),-I297,0)</f>
        <v>0</v>
      </c>
      <c r="K297">
        <f>IF(OR(F297=0,F297&lt;=N('Исходные данные'!$B$37)),0,-(I297+J297)*N('Исходные данные'!$B$38))</f>
        <v>0</v>
      </c>
      <c r="L297">
        <f t="shared" si="167"/>
        <v>0</v>
      </c>
      <c r="M297">
        <f>IF('Исходные данные'!$B$51="Да",L297*N('Исходные данные'!$B$52),0)</f>
        <v>0</v>
      </c>
      <c r="N297">
        <f t="shared" si="168"/>
        <v>0</v>
      </c>
      <c r="O297">
        <f>IF(OR(B297="",IF('Исходные данные'!$B$45="",'Исходные данные'!$B$10,'Исходные данные'!$B$45)="",C297&lt;IF('Исходные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данные'!$B$45)),1),B297,"m")/12))*IF(AND(B297&lt;=IF('Исходные данные'!$B$45="",'Исходные данные'!$B$10,'Исходные данные'!$B$45),C297&gt;=IF('Исходные данные'!$B$45="",'Исходные данные'!$B$10,'Исходные данные'!$B$45)),(C297-IF('Исходные данные'!$B$45="",'Исходные данные'!$B$10,'Исходные данные'!$B$45)+1)/DAY(C297),1)*IF('Исходные данные'!$B$43="Без НДС",1+N('Исходные данные'!$B$44),1))</f>
        <v>0</v>
      </c>
      <c r="P297">
        <f>IF('Исходные данные'!$B$51="Да",-O297*N('Исходные данные'!$B$44)/(1+N('Исходные данные'!$B$44)),0)</f>
        <v>0</v>
      </c>
      <c r="Q297">
        <f>IF('Исходные данные'!$B$35="Да",-O297,0)</f>
        <v>0</v>
      </c>
      <c r="R297">
        <f>IF(AND('Исходные данные'!$B$51="Да",Q297&gt;0),Q297*N('Исходные данные'!$B$52)/(1+N('Исходные данные'!$B$52)),0)</f>
        <v>0</v>
      </c>
      <c r="S297">
        <f>IF(OR(B297="",IF('Исходные данные'!$B$45="",'Исходные данные'!$B$10,'Исходные данные'!$B$45)="",C297&lt;IF('Исходные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данные'!$B$45)),1),B297,"m")/12))*IF(AND(B297&lt;=IF('Исходные данные'!$B$45="",'Исходные данные'!$B$10,'Исходные данные'!$B$45),C297&gt;=IF('Исходные данные'!$B$45="",'Исходные данные'!$B$10,'Исходные данные'!$B$45)),(C297-IF('Исходные данные'!$B$45="",'Исходные данные'!$B$10,'Исходные данные'!$B$45)+1)/DAY(C297),1)*IF('Исходные данные'!$B$43="Без НДС",1+N('Исходные данные'!$B$44),1))</f>
        <v>0</v>
      </c>
      <c r="T297">
        <f>IF('Исходные данные'!$B$51="Да",-S297*N('Исходные данные'!$B$44)/(1+N('Исходные данные'!$B$44)),0)</f>
        <v>0</v>
      </c>
      <c r="U297">
        <f>IF('Исходные данные'!$B$36="Да",-S297,0)</f>
        <v>0</v>
      </c>
      <c r="V297">
        <f>IF(AND('Исходные данные'!$B$51="Да",U297&gt;0),U297*N('Исходные данные'!$B$52)/(1+N('Исходные данные'!$B$52)),0)</f>
        <v>0</v>
      </c>
      <c r="W297">
        <f>IF(OR(B297="",IF('Исходные данные'!$B$69="",'Исходные данные'!$B$10,'Исходные данные'!$B$69)="",C297&lt;IF('Исходные данные'!$B$69="",'Исходные данные'!$B$10,'Исходные данные'!$B$69)),0,-N('Исходные данные'!$B$16)*N('Исходные данные'!$B$68)*N('Исходные данные'!$B$67)/12*IF(AND(B297&lt;=IF('Исходные данные'!$B$69="",'Исходные данные'!$B$10,'Исходные данные'!$B$69),C297&gt;=IF('Исходные данные'!$B$69="",'Исходные данные'!$B$10,'Исходные данные'!$B$69)),(C297-IF('Исходные данные'!$B$69="",'Исходные данные'!$B$10,'Исходные данные'!$B$69)+1)/DAY(C297),1))</f>
        <v>0</v>
      </c>
      <c r="X297">
        <f>IF(OR(B297="",IF('Исходные данные'!$B$76="",'Исходные данные'!$B$10,'Исходные данные'!$B$76)="",C297&lt;IF('Исходные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данные'!$B$76)),1),B297,"m")/12))*IF(AND(B297&lt;=IF('Исходные данные'!$B$76="",'Исходные данные'!$B$10,'Исходные данные'!$B$76),C297&gt;=IF('Исходные данные'!$B$76="",'Исходные данные'!$B$10,'Исходные данные'!$B$76)),(C297-IF('Исходные данные'!$B$76="",'Исходные данные'!$B$10,'Исходные данные'!$B$76)+1)/DAY(C297),1))</f>
        <v>0</v>
      </c>
      <c r="Y297">
        <f t="shared" si="169"/>
        <v>0</v>
      </c>
      <c r="Z297">
        <f>IF(OR(B297="",N('Исходные данные'!$B$19)=0),0,-SUMIFS('Исходные данные'!$I$6:$I$186,'Исходные данные'!$F$6:$F$186,B297)*N('Исходные данные'!$B$17)/N('Исходные данные'!$B$19))</f>
        <v>0</v>
      </c>
      <c r="AA297">
        <f>IF(OR(B297="",N('Исходные данные'!$B$19)=0),0,-SUMIFS('Исходные данные'!$I$6:$I$186,'Исходные данные'!$F$6:$F$186,B297)*N('Исходные данные'!$B$18)/N('Исходные данные'!$B$19))</f>
        <v>0</v>
      </c>
      <c r="AB297">
        <f>IF(OR(B297="",'Исходные данные'!$B$13=""),0,IF(AND(YEAR(B297)=YEAR('Исходные данные'!$B$13),MONTH(B297)=MONTH('Исходные данные'!$B$13)),-N('Исходные данные'!$B$11),0))</f>
        <v>0</v>
      </c>
      <c r="AC297">
        <f>IF(A297=1,-N('Исходные данные'!$B$19)*N('Исходные данные'!$B$72),0)</f>
        <v>0</v>
      </c>
      <c r="AD297">
        <f>IF(OR(B297="",'Исходные данные'!$B$22&lt;&gt;"Да",'Исходные данные'!$B$26=""),0,IF(AND(YEAR(B297)=YEAR('Исходные данные'!$B$26),MONTH(B297)=MONTH('Исходные данные'!$B$26)),N('Исходные данные'!$B$23),0))</f>
        <v>0</v>
      </c>
      <c r="AE297">
        <f t="shared" si="152"/>
        <v>0</v>
      </c>
      <c r="AF297">
        <f>IF(OR('Исходные данные'!$B$22&lt;&gt;"Да",'Исходные данные'!$B$26="",C297&lt;'Исходные данные'!$B$26),0,DATEDIF(DATE(YEAR('Исходные данные'!$B$26),MONTH('Исходные данные'!$B$26),1),B297,"m")+1)</f>
        <v>0</v>
      </c>
      <c r="AG297">
        <f>IF(OR(AF297&lt;1,AF297&gt;N('Исходные данные'!$B$25),AE297+AD297&lt;=0),0,-(AE297+AD297)*N('Исходные данные'!$B$24)*IF(AF297=1,C297-'Исходные данные'!$B$26+1,DAY(C297))/365)</f>
        <v>0</v>
      </c>
      <c r="AH297">
        <f>IF(OR(AF297&lt;1,AF297&gt;N('Исходные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данные'!$B$25)-AG297))</f>
        <v>0</v>
      </c>
      <c r="AI297">
        <f>IF(OR('Исходные данные'!$B$22&lt;&gt;"Да",AE297+AD297&lt;=0),0,IF(AND('Исходные данные'!$B$91&lt;&gt;"",B297&lt;&gt;"",YEAR(B297)=YEAR('Исходные данные'!$B$91),MONTH(B297)=MONTH('Исходные данные'!$B$91)),-(AE297+AD297),IF(OR(AF297&lt;1,AF297&gt;N('Исходные данные'!$B$25)),0,IF('Исходные данные'!$B$27="Равными долями",-MIN(AE297+AD297,N('Исходные данные'!$B$23)/N('Исходные данные'!$B$25)),-MIN(AE297+AD297,IF(AF297=N('Исходные данные'!$B$25),AE297+AD297,MAX(0,AH297+AG297)))))))</f>
        <v>0</v>
      </c>
      <c r="AJ297">
        <f t="shared" si="170"/>
        <v>0</v>
      </c>
      <c r="AK297">
        <f t="shared" si="153"/>
        <v>0</v>
      </c>
      <c r="AL297">
        <f>IF(OR(B297="",'Исходные данные'!$B$51&lt;&gt;"Да",'Исходные данные'!$B$61=""),0,IF(AND(YEAR(B297)=YEAR('Исходные данные'!$B$61),MONTH(B297)=MONTH('Исходные данные'!$B$61)),N('Исходные данные'!$B$18)*N('Исходные данные'!$B$62),0))</f>
        <v>0</v>
      </c>
      <c r="AM297">
        <f t="shared" si="154"/>
        <v>0</v>
      </c>
      <c r="AN297">
        <f t="shared" si="155"/>
        <v>0</v>
      </c>
      <c r="AO297">
        <f t="shared" si="156"/>
        <v>0</v>
      </c>
      <c r="AP297">
        <f>IF('Исходные данные'!$B$51="Да",-MAX(0,AN297-AO297-AM297),0)</f>
        <v>0</v>
      </c>
      <c r="AQ297">
        <f>IF('Исходные данные'!$B$51="Да",MAX(0,AM297+AO297-AN297),0)</f>
        <v>0</v>
      </c>
      <c r="AR297">
        <f>IF('Исходные данные'!$B$53="Выручка",MAX(0,L297+(Q297-R297)+(U297-V297)),IF('Исходные данные'!$B$53="Прибыль до налога",MAX(0,L297+(Q297-R297)+(U297-V297)+N('Исходные данные'!$B$54)*((O297+P297)+(S297+T297)+W297+X297)+IF('Исходные данные'!$B$55="Да",AG297,0)-N('Исходные данные'!$B$56)/12),IF('Исходные данные'!$B$53="Пользовательская база",MAX(0,N('Исходные данные'!$B$57)/12),0)))</f>
        <v>0</v>
      </c>
      <c r="AS297">
        <f>IF(E297=1,-AR297*N('Исходные данные'!$B$50),0)</f>
        <v>0</v>
      </c>
      <c r="AT297">
        <f t="shared" si="157"/>
        <v>0</v>
      </c>
      <c r="AU297">
        <f>IF(OR(B297="",N('Исходные данные'!$B$80)&lt;=0,'Исходные данные'!$B$88=""),0,MAX(0,IF('Исходные данные'!$B$88="Последние 12 месяцев",SUMIFS($Y$2:$Y$194,$B$2:$B$194,"&gt;="&amp;EDATE(B297,-11),$B$2:$B$194,"&lt;="&amp;B297),IF('Исходные данные'!$B$88="Пользовательский NOI",N('Исходные данные'!$B$89),AT297))/N('Исходные данные'!$B$80)*(1+N('Исходные данные'!$B$81))))</f>
        <v>0</v>
      </c>
      <c r="AV297">
        <f>IF(OR(E297&lt;&gt;1,B297="",'Исходные данные'!$B$91=""),0,IF(AND(YEAR(B297)=YEAR('Исходные данные'!$B$91),MONTH(B297)=MONTH('Исходные данные'!$B$91)),AU297,0))</f>
        <v>0</v>
      </c>
      <c r="AW297">
        <f>-AV297*N('Исходные данные'!$B$73)</f>
        <v>0</v>
      </c>
      <c r="AX297">
        <f>IF(AV297=0,0,-N('Исходные данные'!$B$87)-IF('Исходные данные'!$B$82="Да",IF('Исходные данные'!$B$84="С выручки",AV297,IF('Исходные данные'!$B$84="С прибыли",MAX(0,AV297+AW297-IF('Исходные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97">
        <f t="shared" si="171"/>
        <v>0</v>
      </c>
      <c r="AZ297">
        <f t="shared" si="158"/>
        <v>0</v>
      </c>
      <c r="BA297">
        <f t="shared" si="172"/>
        <v>0</v>
      </c>
      <c r="BB297" t="str">
        <f t="shared" si="159"/>
        <v/>
      </c>
      <c r="BC297">
        <f>IF(OR(E297=0,'Исходные данные'!$B$9="",'Исходные данные'!$B$90=""),0,BA297/(1+'Исходные данные'!$B$90)^((D297-'Исходные данные'!$B$9)/365))</f>
        <v>0</v>
      </c>
      <c r="BD297">
        <f>IF(AND(E297=1,BB297&gt;=0,BB296&lt;0,MIN($BB$2:BB297)&lt;0),1,0)</f>
        <v>0</v>
      </c>
      <c r="BE297">
        <f t="shared" si="160"/>
        <v>0</v>
      </c>
      <c r="BF297">
        <f t="shared" si="161"/>
        <v>0</v>
      </c>
      <c r="BG297">
        <f t="shared" si="162"/>
        <v>0</v>
      </c>
      <c r="BH297">
        <f t="shared" si="163"/>
        <v>1</v>
      </c>
      <c r="BI297">
        <f>AZ297+N297+AP297-AR297*N('Исходные данные'!$B$50)</f>
        <v>0</v>
      </c>
      <c r="BJ297">
        <f t="shared" si="164"/>
        <v>0</v>
      </c>
      <c r="BK297">
        <f>IF(AND(BJ297&gt;=0,BJ296&lt;0,MIN($BJ$2:BJ297)&lt;0),1,0)</f>
        <v>0</v>
      </c>
    </row>
    <row r="298" spans="1:63" x14ac:dyDescent="0.2">
      <c r="A298">
        <v>297</v>
      </c>
      <c r="B298" t="str">
        <f>IF('Исходные данные'!$B$9="","",EDATE(DATE(YEAR('Исходные данные'!$B$9),MONTH('Исходные данные'!$B$9),1),A298-1))</f>
        <v/>
      </c>
      <c r="C298" t="str">
        <f t="shared" si="165"/>
        <v/>
      </c>
      <c r="D298" t="str">
        <f>IF(B298="","",IF('Исходные данные'!$B$91&lt;&gt;"",IF(AND(YEAR(B298)=YEAR('Исходные данные'!$B$91),MONTH(B298)=MONTH('Исходные данные'!$B$91)),'Исходные данные'!$B$91,IF('Исходные данные'!$B$13&lt;&gt;"",IF(AND(YEAR(B298)=YEAR('Исходные данные'!$B$13),MONTH(B298)=MONTH('Исходные данные'!$B$13)),'Исходные данные'!$B$13,IF('Исходные данные'!$B$26&lt;&gt;"",IF(AND(YEAR(B298)=YEAR('Исходные данные'!$B$26),MONTH(B298)=MONTH('Исходные данные'!$B$26)),'Исходные данные'!$B$26,IF(A298=1,'Исходные данные'!$B$9,C298)),IF(A298=1,'Исходные данные'!$B$9,C298))),IF('Исходные данные'!$B$26&lt;&gt;"",IF(AND(YEAR(B298)=YEAR('Исходные данные'!$B$26),MONTH(B298)=MONTH('Исходные данные'!$B$26)),'Исходные данные'!$B$26,IF(A298=1,'Исходные данные'!$B$9,C298)),IF(A298=1,'Исходные данные'!$B$9,C298)))),IF('Исходные данные'!$B$13&lt;&gt;"",IF(AND(YEAR(B298)=YEAR('Исходные данные'!$B$13),MONTH(B298)=MONTH('Исходные данные'!$B$13)),'Исходные данные'!$B$13,IF('Исходные данные'!$B$26&lt;&gt;"",IF(AND(YEAR(B298)=YEAR('Исходные данные'!$B$26),MONTH(B298)=MONTH('Исходные данные'!$B$26)),'Исходные данные'!$B$26,IF(A298=1,'Исходные данные'!$B$9,C298)),IF(A298=1,'Исходные данные'!$B$9,C298))),IF('Исходные данные'!$B$26&lt;&gt;"",IF(AND(YEAR(B298)=YEAR('Исходные данные'!$B$26),MONTH(B298)=MONTH('Исходные данные'!$B$26)),'Исходные данные'!$B$26,IF(A298=1,'Исходные данные'!$B$9,C298)),IF(A298=1,'Исходные данные'!$B$9,C298)))))</f>
        <v/>
      </c>
      <c r="E298">
        <f>IF(OR(B298="",'Исходные данные'!$B$91=""),0,--(B298&lt;=DATE(YEAR('Исходные данные'!$B$91),MONTH('Исходные данные'!$B$91),1)))</f>
        <v>0</v>
      </c>
      <c r="F298">
        <f>IF(OR(B298="",'Исходные данные'!$B$30="",C298&lt;'Исходные данные'!$B$30),0,DATEDIF(DATE(YEAR('Исходные данные'!$B$30),MONTH('Исходные данные'!$B$30),1),B298,"m")+1)</f>
        <v>0</v>
      </c>
      <c r="G298">
        <f t="shared" si="166"/>
        <v>0</v>
      </c>
      <c r="H298">
        <f>IF(F298=0,0,IF(G298=1,N('Исходные данные'!$B$31),IF(G298=2,N('Исходные данные'!$B$32),IF(G298=3,N('Исходные данные'!$B$33),N('Исходные данные'!$B$33)*(1+N('Исходные данные'!$B$34))^(G298-3)))))</f>
        <v>0</v>
      </c>
      <c r="I298">
        <f>IF(OR(F298=0,N('Исходные данные'!$B$5)=0,H298=0),0,'Исходные данные'!$B$5*H298*IF(AND(B298&lt;='Исходные данные'!$B$30,C298&gt;='Исходные данные'!$B$30),(C298-'Исходные данные'!$B$30+1)/DAY(C298),1))</f>
        <v>0</v>
      </c>
      <c r="J298">
        <f>IF(AND(F298&gt;0,F298&lt;=N('Исходные данные'!$B$37)),-I298,0)</f>
        <v>0</v>
      </c>
      <c r="K298">
        <f>IF(OR(F298=0,F298&lt;=N('Исходные данные'!$B$37)),0,-(I298+J298)*N('Исходные данные'!$B$38))</f>
        <v>0</v>
      </c>
      <c r="L298">
        <f t="shared" si="167"/>
        <v>0</v>
      </c>
      <c r="M298">
        <f>IF('Исходные данные'!$B$51="Да",L298*N('Исходные данные'!$B$52),0)</f>
        <v>0</v>
      </c>
      <c r="N298">
        <f t="shared" si="168"/>
        <v>0</v>
      </c>
      <c r="O298">
        <f>IF(OR(B298="",IF('Исходные данные'!$B$45="",'Исходные данные'!$B$10,'Исходные данные'!$B$45)="",C298&lt;IF('Исходные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данные'!$B$45)),1),B298,"m")/12))*IF(AND(B298&lt;=IF('Исходные данные'!$B$45="",'Исходные данные'!$B$10,'Исходные данные'!$B$45),C298&gt;=IF('Исходные данные'!$B$45="",'Исходные данные'!$B$10,'Исходные данные'!$B$45)),(C298-IF('Исходные данные'!$B$45="",'Исходные данные'!$B$10,'Исходные данные'!$B$45)+1)/DAY(C298),1)*IF('Исходные данные'!$B$43="Без НДС",1+N('Исходные данные'!$B$44),1))</f>
        <v>0</v>
      </c>
      <c r="P298">
        <f>IF('Исходные данные'!$B$51="Да",-O298*N('Исходные данные'!$B$44)/(1+N('Исходные данные'!$B$44)),0)</f>
        <v>0</v>
      </c>
      <c r="Q298">
        <f>IF('Исходные данные'!$B$35="Да",-O298,0)</f>
        <v>0</v>
      </c>
      <c r="R298">
        <f>IF(AND('Исходные данные'!$B$51="Да",Q298&gt;0),Q298*N('Исходные данные'!$B$52)/(1+N('Исходные данные'!$B$52)),0)</f>
        <v>0</v>
      </c>
      <c r="S298">
        <f>IF(OR(B298="",IF('Исходные данные'!$B$45="",'Исходные данные'!$B$10,'Исходные данные'!$B$45)="",C298&lt;IF('Исходные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данные'!$B$45)),1),B298,"m")/12))*IF(AND(B298&lt;=IF('Исходные данные'!$B$45="",'Исходные данные'!$B$10,'Исходные данные'!$B$45),C298&gt;=IF('Исходные данные'!$B$45="",'Исходные данные'!$B$10,'Исходные данные'!$B$45)),(C298-IF('Исходные данные'!$B$45="",'Исходные данные'!$B$10,'Исходные данные'!$B$45)+1)/DAY(C298),1)*IF('Исходные данные'!$B$43="Без НДС",1+N('Исходные данные'!$B$44),1))</f>
        <v>0</v>
      </c>
      <c r="T298">
        <f>IF('Исходные данные'!$B$51="Да",-S298*N('Исходные данные'!$B$44)/(1+N('Исходные данные'!$B$44)),0)</f>
        <v>0</v>
      </c>
      <c r="U298">
        <f>IF('Исходные данные'!$B$36="Да",-S298,0)</f>
        <v>0</v>
      </c>
      <c r="V298">
        <f>IF(AND('Исходные данные'!$B$51="Да",U298&gt;0),U298*N('Исходные данные'!$B$52)/(1+N('Исходные данные'!$B$52)),0)</f>
        <v>0</v>
      </c>
      <c r="W298">
        <f>IF(OR(B298="",IF('Исходные данные'!$B$69="",'Исходные данные'!$B$10,'Исходные данные'!$B$69)="",C298&lt;IF('Исходные данные'!$B$69="",'Исходные данные'!$B$10,'Исходные данные'!$B$69)),0,-N('Исходные данные'!$B$16)*N('Исходные данные'!$B$68)*N('Исходные данные'!$B$67)/12*IF(AND(B298&lt;=IF('Исходные данные'!$B$69="",'Исходные данные'!$B$10,'Исходные данные'!$B$69),C298&gt;=IF('Исходные данные'!$B$69="",'Исходные данные'!$B$10,'Исходные данные'!$B$69)),(C298-IF('Исходные данные'!$B$69="",'Исходные данные'!$B$10,'Исходные данные'!$B$69)+1)/DAY(C298),1))</f>
        <v>0</v>
      </c>
      <c r="X298">
        <f>IF(OR(B298="",IF('Исходные данные'!$B$76="",'Исходные данные'!$B$10,'Исходные данные'!$B$76)="",C298&lt;IF('Исходные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данные'!$B$76)),1),B298,"m")/12))*IF(AND(B298&lt;=IF('Исходные данные'!$B$76="",'Исходные данные'!$B$10,'Исходные данные'!$B$76),C298&gt;=IF('Исходные данные'!$B$76="",'Исходные данные'!$B$10,'Исходные данные'!$B$76)),(C298-IF('Исходные данные'!$B$76="",'Исходные данные'!$B$10,'Исходные данные'!$B$76)+1)/DAY(C298),1))</f>
        <v>0</v>
      </c>
      <c r="Y298">
        <f t="shared" si="169"/>
        <v>0</v>
      </c>
      <c r="Z298">
        <f>IF(OR(B298="",N('Исходные данные'!$B$19)=0),0,-SUMIFS('Исходные данные'!$I$6:$I$186,'Исходные данные'!$F$6:$F$186,B298)*N('Исходные данные'!$B$17)/N('Исходные данные'!$B$19))</f>
        <v>0</v>
      </c>
      <c r="AA298">
        <f>IF(OR(B298="",N('Исходные данные'!$B$19)=0),0,-SUMIFS('Исходные данные'!$I$6:$I$186,'Исходные данные'!$F$6:$F$186,B298)*N('Исходные данные'!$B$18)/N('Исходные данные'!$B$19))</f>
        <v>0</v>
      </c>
      <c r="AB298">
        <f>IF(OR(B298="",'Исходные данные'!$B$13=""),0,IF(AND(YEAR(B298)=YEAR('Исходные данные'!$B$13),MONTH(B298)=MONTH('Исходные данные'!$B$13)),-N('Исходные данные'!$B$11),0))</f>
        <v>0</v>
      </c>
      <c r="AC298">
        <f>IF(A298=1,-N('Исходные данные'!$B$19)*N('Исходные данные'!$B$72),0)</f>
        <v>0</v>
      </c>
      <c r="AD298">
        <f>IF(OR(B298="",'Исходные данные'!$B$22&lt;&gt;"Да",'Исходные данные'!$B$26=""),0,IF(AND(YEAR(B298)=YEAR('Исходные данные'!$B$26),MONTH(B298)=MONTH('Исходные данные'!$B$26)),N('Исходные данные'!$B$23),0))</f>
        <v>0</v>
      </c>
      <c r="AE298">
        <f t="shared" si="152"/>
        <v>0</v>
      </c>
      <c r="AF298">
        <f>IF(OR('Исходные данные'!$B$22&lt;&gt;"Да",'Исходные данные'!$B$26="",C298&lt;'Исходные данные'!$B$26),0,DATEDIF(DATE(YEAR('Исходные данные'!$B$26),MONTH('Исходные данные'!$B$26),1),B298,"m")+1)</f>
        <v>0</v>
      </c>
      <c r="AG298">
        <f>IF(OR(AF298&lt;1,AF298&gt;N('Исходные данные'!$B$25),AE298+AD298&lt;=0),0,-(AE298+AD298)*N('Исходные данные'!$B$24)*IF(AF298=1,C298-'Исходные данные'!$B$26+1,DAY(C298))/365)</f>
        <v>0</v>
      </c>
      <c r="AH298">
        <f>IF(OR(AF298&lt;1,AF298&gt;N('Исходные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данные'!$B$25)-AG298))</f>
        <v>0</v>
      </c>
      <c r="AI298">
        <f>IF(OR('Исходные данные'!$B$22&lt;&gt;"Да",AE298+AD298&lt;=0),0,IF(AND('Исходные данные'!$B$91&lt;&gt;"",B298&lt;&gt;"",YEAR(B298)=YEAR('Исходные данные'!$B$91),MONTH(B298)=MONTH('Исходные данные'!$B$91)),-(AE298+AD298),IF(OR(AF298&lt;1,AF298&gt;N('Исходные данные'!$B$25)),0,IF('Исходные данные'!$B$27="Равными долями",-MIN(AE298+AD298,N('Исходные данные'!$B$23)/N('Исходные данные'!$B$25)),-MIN(AE298+AD298,IF(AF298=N('Исходные данные'!$B$25),AE298+AD298,MAX(0,AH298+AG298)))))))</f>
        <v>0</v>
      </c>
      <c r="AJ298">
        <f t="shared" si="170"/>
        <v>0</v>
      </c>
      <c r="AK298">
        <f t="shared" si="153"/>
        <v>0</v>
      </c>
      <c r="AL298">
        <f>IF(OR(B298="",'Исходные данные'!$B$51&lt;&gt;"Да",'Исходные данные'!$B$61=""),0,IF(AND(YEAR(B298)=YEAR('Исходные данные'!$B$61),MONTH(B298)=MONTH('Исходные данные'!$B$61)),N('Исходные данные'!$B$18)*N('Исходные данные'!$B$62),0))</f>
        <v>0</v>
      </c>
      <c r="AM298">
        <f t="shared" si="154"/>
        <v>0</v>
      </c>
      <c r="AN298">
        <f t="shared" si="155"/>
        <v>0</v>
      </c>
      <c r="AO298">
        <f t="shared" si="156"/>
        <v>0</v>
      </c>
      <c r="AP298">
        <f>IF('Исходные данные'!$B$51="Да",-MAX(0,AN298-AO298-AM298),0)</f>
        <v>0</v>
      </c>
      <c r="AQ298">
        <f>IF('Исходные данные'!$B$51="Да",MAX(0,AM298+AO298-AN298),0)</f>
        <v>0</v>
      </c>
      <c r="AR298">
        <f>IF('Исходные данные'!$B$53="Выручка",MAX(0,L298+(Q298-R298)+(U298-V298)),IF('Исходные данные'!$B$53="Прибыль до налога",MAX(0,L298+(Q298-R298)+(U298-V298)+N('Исходные данные'!$B$54)*((O298+P298)+(S298+T298)+W298+X298)+IF('Исходные данные'!$B$55="Да",AG298,0)-N('Исходные данные'!$B$56)/12),IF('Исходные данные'!$B$53="Пользовательская база",MAX(0,N('Исходные данные'!$B$57)/12),0)))</f>
        <v>0</v>
      </c>
      <c r="AS298">
        <f>IF(E298=1,-AR298*N('Исходные данные'!$B$50),0)</f>
        <v>0</v>
      </c>
      <c r="AT298">
        <f t="shared" si="157"/>
        <v>0</v>
      </c>
      <c r="AU298">
        <f>IF(OR(B298="",N('Исходные данные'!$B$80)&lt;=0,'Исходные данные'!$B$88=""),0,MAX(0,IF('Исходные данные'!$B$88="Последние 12 месяцев",SUMIFS($Y$2:$Y$194,$B$2:$B$194,"&gt;="&amp;EDATE(B298,-11),$B$2:$B$194,"&lt;="&amp;B298),IF('Исходные данные'!$B$88="Пользовательский NOI",N('Исходные данные'!$B$89),AT298))/N('Исходные данные'!$B$80)*(1+N('Исходные данные'!$B$81))))</f>
        <v>0</v>
      </c>
      <c r="AV298">
        <f>IF(OR(E298&lt;&gt;1,B298="",'Исходные данные'!$B$91=""),0,IF(AND(YEAR(B298)=YEAR('Исходные данные'!$B$91),MONTH(B298)=MONTH('Исходные данные'!$B$91)),AU298,0))</f>
        <v>0</v>
      </c>
      <c r="AW298">
        <f>-AV298*N('Исходные данные'!$B$73)</f>
        <v>0</v>
      </c>
      <c r="AX298">
        <f>IF(AV298=0,0,-N('Исходные данные'!$B$87)-IF('Исходные данные'!$B$82="Да",IF('Исходные данные'!$B$84="С выручки",AV298,IF('Исходные данные'!$B$84="С прибыли",MAX(0,AV298+AW298-IF('Исходные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98">
        <f t="shared" si="171"/>
        <v>0</v>
      </c>
      <c r="AZ298">
        <f t="shared" si="158"/>
        <v>0</v>
      </c>
      <c r="BA298">
        <f t="shared" si="172"/>
        <v>0</v>
      </c>
      <c r="BB298" t="str">
        <f t="shared" si="159"/>
        <v/>
      </c>
      <c r="BC298">
        <f>IF(OR(E298=0,'Исходные данные'!$B$9="",'Исходные данные'!$B$90=""),0,BA298/(1+'Исходные данные'!$B$90)^((D298-'Исходные данные'!$B$9)/365))</f>
        <v>0</v>
      </c>
      <c r="BD298">
        <f>IF(AND(E298=1,BB298&gt;=0,BB297&lt;0,MIN($BB$2:BB298)&lt;0),1,0)</f>
        <v>0</v>
      </c>
      <c r="BE298">
        <f t="shared" si="160"/>
        <v>0</v>
      </c>
      <c r="BF298">
        <f t="shared" si="161"/>
        <v>0</v>
      </c>
      <c r="BG298">
        <f t="shared" si="162"/>
        <v>0</v>
      </c>
      <c r="BH298">
        <f t="shared" si="163"/>
        <v>1</v>
      </c>
      <c r="BI298">
        <f>AZ298+N298+AP298-AR298*N('Исходные данные'!$B$50)</f>
        <v>0</v>
      </c>
      <c r="BJ298">
        <f t="shared" si="164"/>
        <v>0</v>
      </c>
      <c r="BK298">
        <f>IF(AND(BJ298&gt;=0,BJ297&lt;0,MIN($BJ$2:BJ298)&lt;0),1,0)</f>
        <v>0</v>
      </c>
    </row>
    <row r="299" spans="1:63" x14ac:dyDescent="0.2">
      <c r="A299">
        <v>298</v>
      </c>
      <c r="B299" t="str">
        <f>IF('Исходные данные'!$B$9="","",EDATE(DATE(YEAR('Исходные данные'!$B$9),MONTH('Исходные данные'!$B$9),1),A299-1))</f>
        <v/>
      </c>
      <c r="C299" t="str">
        <f t="shared" si="165"/>
        <v/>
      </c>
      <c r="D299" t="str">
        <f>IF(B299="","",IF('Исходные данные'!$B$91&lt;&gt;"",IF(AND(YEAR(B299)=YEAR('Исходные данные'!$B$91),MONTH(B299)=MONTH('Исходные данные'!$B$91)),'Исходные данные'!$B$91,IF('Исходные данные'!$B$13&lt;&gt;"",IF(AND(YEAR(B299)=YEAR('Исходные данные'!$B$13),MONTH(B299)=MONTH('Исходные данные'!$B$13)),'Исходные данные'!$B$13,IF('Исходные данные'!$B$26&lt;&gt;"",IF(AND(YEAR(B299)=YEAR('Исходные данные'!$B$26),MONTH(B299)=MONTH('Исходные данные'!$B$26)),'Исходные данные'!$B$26,IF(A299=1,'Исходные данные'!$B$9,C299)),IF(A299=1,'Исходные данные'!$B$9,C299))),IF('Исходные данные'!$B$26&lt;&gt;"",IF(AND(YEAR(B299)=YEAR('Исходные данные'!$B$26),MONTH(B299)=MONTH('Исходные данные'!$B$26)),'Исходные данные'!$B$26,IF(A299=1,'Исходные данные'!$B$9,C299)),IF(A299=1,'Исходные данные'!$B$9,C299)))),IF('Исходные данные'!$B$13&lt;&gt;"",IF(AND(YEAR(B299)=YEAR('Исходные данные'!$B$13),MONTH(B299)=MONTH('Исходные данные'!$B$13)),'Исходные данные'!$B$13,IF('Исходные данные'!$B$26&lt;&gt;"",IF(AND(YEAR(B299)=YEAR('Исходные данные'!$B$26),MONTH(B299)=MONTH('Исходные данные'!$B$26)),'Исходные данные'!$B$26,IF(A299=1,'Исходные данные'!$B$9,C299)),IF(A299=1,'Исходные данные'!$B$9,C299))),IF('Исходные данные'!$B$26&lt;&gt;"",IF(AND(YEAR(B299)=YEAR('Исходные данные'!$B$26),MONTH(B299)=MONTH('Исходные данные'!$B$26)),'Исходные данные'!$B$26,IF(A299=1,'Исходные данные'!$B$9,C299)),IF(A299=1,'Исходные данные'!$B$9,C299)))))</f>
        <v/>
      </c>
      <c r="E299">
        <f>IF(OR(B299="",'Исходные данные'!$B$91=""),0,--(B299&lt;=DATE(YEAR('Исходные данные'!$B$91),MONTH('Исходные данные'!$B$91),1)))</f>
        <v>0</v>
      </c>
      <c r="F299">
        <f>IF(OR(B299="",'Исходные данные'!$B$30="",C299&lt;'Исходные данные'!$B$30),0,DATEDIF(DATE(YEAR('Исходные данные'!$B$30),MONTH('Исходные данные'!$B$30),1),B299,"m")+1)</f>
        <v>0</v>
      </c>
      <c r="G299">
        <f t="shared" si="166"/>
        <v>0</v>
      </c>
      <c r="H299">
        <f>IF(F299=0,0,IF(G299=1,N('Исходные данные'!$B$31),IF(G299=2,N('Исходные данные'!$B$32),IF(G299=3,N('Исходные данные'!$B$33),N('Исходные данные'!$B$33)*(1+N('Исходные данные'!$B$34))^(G299-3)))))</f>
        <v>0</v>
      </c>
      <c r="I299">
        <f>IF(OR(F299=0,N('Исходные данные'!$B$5)=0,H299=0),0,'Исходные данные'!$B$5*H299*IF(AND(B299&lt;='Исходные данные'!$B$30,C299&gt;='Исходные данные'!$B$30),(C299-'Исходные данные'!$B$30+1)/DAY(C299),1))</f>
        <v>0</v>
      </c>
      <c r="J299">
        <f>IF(AND(F299&gt;0,F299&lt;=N('Исходные данные'!$B$37)),-I299,0)</f>
        <v>0</v>
      </c>
      <c r="K299">
        <f>IF(OR(F299=0,F299&lt;=N('Исходные данные'!$B$37)),0,-(I299+J299)*N('Исходные данные'!$B$38))</f>
        <v>0</v>
      </c>
      <c r="L299">
        <f t="shared" si="167"/>
        <v>0</v>
      </c>
      <c r="M299">
        <f>IF('Исходные данные'!$B$51="Да",L299*N('Исходные данные'!$B$52),0)</f>
        <v>0</v>
      </c>
      <c r="N299">
        <f t="shared" si="168"/>
        <v>0</v>
      </c>
      <c r="O299">
        <f>IF(OR(B299="",IF('Исходные данные'!$B$45="",'Исходные данные'!$B$10,'Исходные данные'!$B$45)="",C299&lt;IF('Исходные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данные'!$B$45)),1),B299,"m")/12))*IF(AND(B299&lt;=IF('Исходные данные'!$B$45="",'Исходные данные'!$B$10,'Исходные данные'!$B$45),C299&gt;=IF('Исходные данные'!$B$45="",'Исходные данные'!$B$10,'Исходные данные'!$B$45)),(C299-IF('Исходные данные'!$B$45="",'Исходные данные'!$B$10,'Исходные данные'!$B$45)+1)/DAY(C299),1)*IF('Исходные данные'!$B$43="Без НДС",1+N('Исходные данные'!$B$44),1))</f>
        <v>0</v>
      </c>
      <c r="P299">
        <f>IF('Исходные данные'!$B$51="Да",-O299*N('Исходные данные'!$B$44)/(1+N('Исходные данные'!$B$44)),0)</f>
        <v>0</v>
      </c>
      <c r="Q299">
        <f>IF('Исходные данные'!$B$35="Да",-O299,0)</f>
        <v>0</v>
      </c>
      <c r="R299">
        <f>IF(AND('Исходные данные'!$B$51="Да",Q299&gt;0),Q299*N('Исходные данные'!$B$52)/(1+N('Исходные данные'!$B$52)),0)</f>
        <v>0</v>
      </c>
      <c r="S299">
        <f>IF(OR(B299="",IF('Исходные данные'!$B$45="",'Исходные данные'!$B$10,'Исходные данные'!$B$45)="",C299&lt;IF('Исходные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данные'!$B$45)),1),B299,"m")/12))*IF(AND(B299&lt;=IF('Исходные данные'!$B$45="",'Исходные данные'!$B$10,'Исходные данные'!$B$45),C299&gt;=IF('Исходные данные'!$B$45="",'Исходные данные'!$B$10,'Исходные данные'!$B$45)),(C299-IF('Исходные данные'!$B$45="",'Исходные данные'!$B$10,'Исходные данные'!$B$45)+1)/DAY(C299),1)*IF('Исходные данные'!$B$43="Без НДС",1+N('Исходные данные'!$B$44),1))</f>
        <v>0</v>
      </c>
      <c r="T299">
        <f>IF('Исходные данные'!$B$51="Да",-S299*N('Исходные данные'!$B$44)/(1+N('Исходные данные'!$B$44)),0)</f>
        <v>0</v>
      </c>
      <c r="U299">
        <f>IF('Исходные данные'!$B$36="Да",-S299,0)</f>
        <v>0</v>
      </c>
      <c r="V299">
        <f>IF(AND('Исходные данные'!$B$51="Да",U299&gt;0),U299*N('Исходные данные'!$B$52)/(1+N('Исходные данные'!$B$52)),0)</f>
        <v>0</v>
      </c>
      <c r="W299">
        <f>IF(OR(B299="",IF('Исходные данные'!$B$69="",'Исходные данные'!$B$10,'Исходные данные'!$B$69)="",C299&lt;IF('Исходные данные'!$B$69="",'Исходные данные'!$B$10,'Исходные данные'!$B$69)),0,-N('Исходные данные'!$B$16)*N('Исходные данные'!$B$68)*N('Исходные данные'!$B$67)/12*IF(AND(B299&lt;=IF('Исходные данные'!$B$69="",'Исходные данные'!$B$10,'Исходные данные'!$B$69),C299&gt;=IF('Исходные данные'!$B$69="",'Исходные данные'!$B$10,'Исходные данные'!$B$69)),(C299-IF('Исходные данные'!$B$69="",'Исходные данные'!$B$10,'Исходные данные'!$B$69)+1)/DAY(C299),1))</f>
        <v>0</v>
      </c>
      <c r="X299">
        <f>IF(OR(B299="",IF('Исходные данные'!$B$76="",'Исходные данные'!$B$10,'Исходные данные'!$B$76)="",C299&lt;IF('Исходные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данные'!$B$76)),1),B299,"m")/12))*IF(AND(B299&lt;=IF('Исходные данные'!$B$76="",'Исходные данные'!$B$10,'Исходные данные'!$B$76),C299&gt;=IF('Исходные данные'!$B$76="",'Исходные данные'!$B$10,'Исходные данные'!$B$76)),(C299-IF('Исходные данные'!$B$76="",'Исходные данные'!$B$10,'Исходные данные'!$B$76)+1)/DAY(C299),1))</f>
        <v>0</v>
      </c>
      <c r="Y299">
        <f t="shared" si="169"/>
        <v>0</v>
      </c>
      <c r="Z299">
        <f>IF(OR(B299="",N('Исходные данные'!$B$19)=0),0,-SUMIFS('Исходные данные'!$I$6:$I$186,'Исходные данные'!$F$6:$F$186,B299)*N('Исходные данные'!$B$17)/N('Исходные данные'!$B$19))</f>
        <v>0</v>
      </c>
      <c r="AA299">
        <f>IF(OR(B299="",N('Исходные данные'!$B$19)=0),0,-SUMIFS('Исходные данные'!$I$6:$I$186,'Исходные данные'!$F$6:$F$186,B299)*N('Исходные данные'!$B$18)/N('Исходные данные'!$B$19))</f>
        <v>0</v>
      </c>
      <c r="AB299">
        <f>IF(OR(B299="",'Исходные данные'!$B$13=""),0,IF(AND(YEAR(B299)=YEAR('Исходные данные'!$B$13),MONTH(B299)=MONTH('Исходные данные'!$B$13)),-N('Исходные данные'!$B$11),0))</f>
        <v>0</v>
      </c>
      <c r="AC299">
        <f>IF(A299=1,-N('Исходные данные'!$B$19)*N('Исходные данные'!$B$72),0)</f>
        <v>0</v>
      </c>
      <c r="AD299">
        <f>IF(OR(B299="",'Исходные данные'!$B$22&lt;&gt;"Да",'Исходные данные'!$B$26=""),0,IF(AND(YEAR(B299)=YEAR('Исходные данные'!$B$26),MONTH(B299)=MONTH('Исходные данные'!$B$26)),N('Исходные данные'!$B$23),0))</f>
        <v>0</v>
      </c>
      <c r="AE299">
        <f t="shared" si="152"/>
        <v>0</v>
      </c>
      <c r="AF299">
        <f>IF(OR('Исходные данные'!$B$22&lt;&gt;"Да",'Исходные данные'!$B$26="",C299&lt;'Исходные данные'!$B$26),0,DATEDIF(DATE(YEAR('Исходные данные'!$B$26),MONTH('Исходные данные'!$B$26),1),B299,"m")+1)</f>
        <v>0</v>
      </c>
      <c r="AG299">
        <f>IF(OR(AF299&lt;1,AF299&gt;N('Исходные данные'!$B$25),AE299+AD299&lt;=0),0,-(AE299+AD299)*N('Исходные данные'!$B$24)*IF(AF299=1,C299-'Исходные данные'!$B$26+1,DAY(C299))/365)</f>
        <v>0</v>
      </c>
      <c r="AH299">
        <f>IF(OR(AF299&lt;1,AF299&gt;N('Исходные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данные'!$B$25)-AG299))</f>
        <v>0</v>
      </c>
      <c r="AI299">
        <f>IF(OR('Исходные данные'!$B$22&lt;&gt;"Да",AE299+AD299&lt;=0),0,IF(AND('Исходные данные'!$B$91&lt;&gt;"",B299&lt;&gt;"",YEAR(B299)=YEAR('Исходные данные'!$B$91),MONTH(B299)=MONTH('Исходные данные'!$B$91)),-(AE299+AD299),IF(OR(AF299&lt;1,AF299&gt;N('Исходные данные'!$B$25)),0,IF('Исходные данные'!$B$27="Равными долями",-MIN(AE299+AD299,N('Исходные данные'!$B$23)/N('Исходные данные'!$B$25)),-MIN(AE299+AD299,IF(AF299=N('Исходные данные'!$B$25),AE299+AD299,MAX(0,AH299+AG299)))))))</f>
        <v>0</v>
      </c>
      <c r="AJ299">
        <f t="shared" si="170"/>
        <v>0</v>
      </c>
      <c r="AK299">
        <f t="shared" si="153"/>
        <v>0</v>
      </c>
      <c r="AL299">
        <f>IF(OR(B299="",'Исходные данные'!$B$51&lt;&gt;"Да",'Исходные данные'!$B$61=""),0,IF(AND(YEAR(B299)=YEAR('Исходные данные'!$B$61),MONTH(B299)=MONTH('Исходные данные'!$B$61)),N('Исходные данные'!$B$18)*N('Исходные данные'!$B$62),0))</f>
        <v>0</v>
      </c>
      <c r="AM299">
        <f t="shared" si="154"/>
        <v>0</v>
      </c>
      <c r="AN299">
        <f t="shared" si="155"/>
        <v>0</v>
      </c>
      <c r="AO299">
        <f t="shared" si="156"/>
        <v>0</v>
      </c>
      <c r="AP299">
        <f>IF('Исходные данные'!$B$51="Да",-MAX(0,AN299-AO299-AM299),0)</f>
        <v>0</v>
      </c>
      <c r="AQ299">
        <f>IF('Исходные данные'!$B$51="Да",MAX(0,AM299+AO299-AN299),0)</f>
        <v>0</v>
      </c>
      <c r="AR299">
        <f>IF('Исходные данные'!$B$53="Выручка",MAX(0,L299+(Q299-R299)+(U299-V299)),IF('Исходные данные'!$B$53="Прибыль до налога",MAX(0,L299+(Q299-R299)+(U299-V299)+N('Исходные данные'!$B$54)*((O299+P299)+(S299+T299)+W299+X299)+IF('Исходные данные'!$B$55="Да",AG299,0)-N('Исходные данные'!$B$56)/12),IF('Исходные данные'!$B$53="Пользовательская база",MAX(0,N('Исходные данные'!$B$57)/12),0)))</f>
        <v>0</v>
      </c>
      <c r="AS299">
        <f>IF(E299=1,-AR299*N('Исходные данные'!$B$50),0)</f>
        <v>0</v>
      </c>
      <c r="AT299">
        <f t="shared" si="157"/>
        <v>0</v>
      </c>
      <c r="AU299">
        <f>IF(OR(B299="",N('Исходные данные'!$B$80)&lt;=0,'Исходные данные'!$B$88=""),0,MAX(0,IF('Исходные данные'!$B$88="Последние 12 месяцев",SUMIFS($Y$2:$Y$194,$B$2:$B$194,"&gt;="&amp;EDATE(B299,-11),$B$2:$B$194,"&lt;="&amp;B299),IF('Исходные данные'!$B$88="Пользовательский NOI",N('Исходные данные'!$B$89),AT299))/N('Исходные данные'!$B$80)*(1+N('Исходные данные'!$B$81))))</f>
        <v>0</v>
      </c>
      <c r="AV299">
        <f>IF(OR(E299&lt;&gt;1,B299="",'Исходные данные'!$B$91=""),0,IF(AND(YEAR(B299)=YEAR('Исходные данные'!$B$91),MONTH(B299)=MONTH('Исходные данные'!$B$91)),AU299,0))</f>
        <v>0</v>
      </c>
      <c r="AW299">
        <f>-AV299*N('Исходные данные'!$B$73)</f>
        <v>0</v>
      </c>
      <c r="AX299">
        <f>IF(AV299=0,0,-N('Исходные данные'!$B$87)-IF('Исходные данные'!$B$82="Да",IF('Исходные данные'!$B$84="С выручки",AV299,IF('Исходные данные'!$B$84="С прибыли",MAX(0,AV299+AW299-IF('Исходные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99">
        <f t="shared" si="171"/>
        <v>0</v>
      </c>
      <c r="AZ299">
        <f t="shared" si="158"/>
        <v>0</v>
      </c>
      <c r="BA299">
        <f t="shared" si="172"/>
        <v>0</v>
      </c>
      <c r="BB299" t="str">
        <f t="shared" si="159"/>
        <v/>
      </c>
      <c r="BC299">
        <f>IF(OR(E299=0,'Исходные данные'!$B$9="",'Исходные данные'!$B$90=""),0,BA299/(1+'Исходные данные'!$B$90)^((D299-'Исходные данные'!$B$9)/365))</f>
        <v>0</v>
      </c>
      <c r="BD299">
        <f>IF(AND(E299=1,BB299&gt;=0,BB298&lt;0,MIN($BB$2:BB299)&lt;0),1,0)</f>
        <v>0</v>
      </c>
      <c r="BE299">
        <f t="shared" si="160"/>
        <v>0</v>
      </c>
      <c r="BF299">
        <f t="shared" si="161"/>
        <v>0</v>
      </c>
      <c r="BG299">
        <f t="shared" si="162"/>
        <v>0</v>
      </c>
      <c r="BH299">
        <f t="shared" si="163"/>
        <v>1</v>
      </c>
      <c r="BI299">
        <f>AZ299+N299+AP299-AR299*N('Исходные данные'!$B$50)</f>
        <v>0</v>
      </c>
      <c r="BJ299">
        <f t="shared" si="164"/>
        <v>0</v>
      </c>
      <c r="BK299">
        <f>IF(AND(BJ299&gt;=0,BJ298&lt;0,MIN($BJ$2:BJ299)&lt;0),1,0)</f>
        <v>0</v>
      </c>
    </row>
    <row r="300" spans="1:63" x14ac:dyDescent="0.2">
      <c r="A300">
        <v>299</v>
      </c>
      <c r="B300" t="str">
        <f>IF('Исходные данные'!$B$9="","",EDATE(DATE(YEAR('Исходные данные'!$B$9),MONTH('Исходные данные'!$B$9),1),A300-1))</f>
        <v/>
      </c>
      <c r="C300" t="str">
        <f t="shared" si="165"/>
        <v/>
      </c>
      <c r="D300" t="str">
        <f>IF(B300="","",IF('Исходные данные'!$B$91&lt;&gt;"",IF(AND(YEAR(B300)=YEAR('Исходные данные'!$B$91),MONTH(B300)=MONTH('Исходные данные'!$B$91)),'Исходные данные'!$B$91,IF('Исходные данные'!$B$13&lt;&gt;"",IF(AND(YEAR(B300)=YEAR('Исходные данные'!$B$13),MONTH(B300)=MONTH('Исходные данные'!$B$13)),'Исходные данные'!$B$13,IF('Исходные данные'!$B$26&lt;&gt;"",IF(AND(YEAR(B300)=YEAR('Исходные данные'!$B$26),MONTH(B300)=MONTH('Исходные данные'!$B$26)),'Исходные данные'!$B$26,IF(A300=1,'Исходные данные'!$B$9,C300)),IF(A300=1,'Исходные данные'!$B$9,C300))),IF('Исходные данные'!$B$26&lt;&gt;"",IF(AND(YEAR(B300)=YEAR('Исходные данные'!$B$26),MONTH(B300)=MONTH('Исходные данные'!$B$26)),'Исходные данные'!$B$26,IF(A300=1,'Исходные данные'!$B$9,C300)),IF(A300=1,'Исходные данные'!$B$9,C300)))),IF('Исходные данные'!$B$13&lt;&gt;"",IF(AND(YEAR(B300)=YEAR('Исходные данные'!$B$13),MONTH(B300)=MONTH('Исходные данные'!$B$13)),'Исходные данные'!$B$13,IF('Исходные данные'!$B$26&lt;&gt;"",IF(AND(YEAR(B300)=YEAR('Исходные данные'!$B$26),MONTH(B300)=MONTH('Исходные данные'!$B$26)),'Исходные данные'!$B$26,IF(A300=1,'Исходные данные'!$B$9,C300)),IF(A300=1,'Исходные данные'!$B$9,C300))),IF('Исходные данные'!$B$26&lt;&gt;"",IF(AND(YEAR(B300)=YEAR('Исходные данные'!$B$26),MONTH(B300)=MONTH('Исходные данные'!$B$26)),'Исходные данные'!$B$26,IF(A300=1,'Исходные данные'!$B$9,C300)),IF(A300=1,'Исходные данные'!$B$9,C300)))))</f>
        <v/>
      </c>
      <c r="E300">
        <f>IF(OR(B300="",'Исходные данные'!$B$91=""),0,--(B300&lt;=DATE(YEAR('Исходные данные'!$B$91),MONTH('Исходные данные'!$B$91),1)))</f>
        <v>0</v>
      </c>
      <c r="F300">
        <f>IF(OR(B300="",'Исходные данные'!$B$30="",C300&lt;'Исходные данные'!$B$30),0,DATEDIF(DATE(YEAR('Исходные данные'!$B$30),MONTH('Исходные данные'!$B$30),1),B300,"m")+1)</f>
        <v>0</v>
      </c>
      <c r="G300">
        <f t="shared" si="166"/>
        <v>0</v>
      </c>
      <c r="H300">
        <f>IF(F300=0,0,IF(G300=1,N('Исходные данные'!$B$31),IF(G300=2,N('Исходные данные'!$B$32),IF(G300=3,N('Исходные данные'!$B$33),N('Исходные данные'!$B$33)*(1+N('Исходные данные'!$B$34))^(G300-3)))))</f>
        <v>0</v>
      </c>
      <c r="I300">
        <f>IF(OR(F300=0,N('Исходные данные'!$B$5)=0,H300=0),0,'Исходные данные'!$B$5*H300*IF(AND(B300&lt;='Исходные данные'!$B$30,C300&gt;='Исходные данные'!$B$30),(C300-'Исходные данные'!$B$30+1)/DAY(C300),1))</f>
        <v>0</v>
      </c>
      <c r="J300">
        <f>IF(AND(F300&gt;0,F300&lt;=N('Исходные данные'!$B$37)),-I300,0)</f>
        <v>0</v>
      </c>
      <c r="K300">
        <f>IF(OR(F300=0,F300&lt;=N('Исходные данные'!$B$37)),0,-(I300+J300)*N('Исходные данные'!$B$38))</f>
        <v>0</v>
      </c>
      <c r="L300">
        <f t="shared" si="167"/>
        <v>0</v>
      </c>
      <c r="M300">
        <f>IF('Исходные данные'!$B$51="Да",L300*N('Исходные данные'!$B$52),0)</f>
        <v>0</v>
      </c>
      <c r="N300">
        <f t="shared" si="168"/>
        <v>0</v>
      </c>
      <c r="O300">
        <f>IF(OR(B300="",IF('Исходные данные'!$B$45="",'Исходные данные'!$B$10,'Исходные данные'!$B$45)="",C300&lt;IF('Исходные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данные'!$B$45)),1),B300,"m")/12))*IF(AND(B300&lt;=IF('Исходные данные'!$B$45="",'Исходные данные'!$B$10,'Исходные данные'!$B$45),C300&gt;=IF('Исходные данные'!$B$45="",'Исходные данные'!$B$10,'Исходные данные'!$B$45)),(C300-IF('Исходные данные'!$B$45="",'Исходные данные'!$B$10,'Исходные данные'!$B$45)+1)/DAY(C300),1)*IF('Исходные данные'!$B$43="Без НДС",1+N('Исходные данные'!$B$44),1))</f>
        <v>0</v>
      </c>
      <c r="P300">
        <f>IF('Исходные данные'!$B$51="Да",-O300*N('Исходные данные'!$B$44)/(1+N('Исходные данные'!$B$44)),0)</f>
        <v>0</v>
      </c>
      <c r="Q300">
        <f>IF('Исходные данные'!$B$35="Да",-O300,0)</f>
        <v>0</v>
      </c>
      <c r="R300">
        <f>IF(AND('Исходные данные'!$B$51="Да",Q300&gt;0),Q300*N('Исходные данные'!$B$52)/(1+N('Исходные данные'!$B$52)),0)</f>
        <v>0</v>
      </c>
      <c r="S300">
        <f>IF(OR(B300="",IF('Исходные данные'!$B$45="",'Исходные данные'!$B$10,'Исходные данные'!$B$45)="",C300&lt;IF('Исходные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данные'!$B$45)),1),B300,"m")/12))*IF(AND(B300&lt;=IF('Исходные данные'!$B$45="",'Исходные данные'!$B$10,'Исходные данные'!$B$45),C300&gt;=IF('Исходные данные'!$B$45="",'Исходные данные'!$B$10,'Исходные данные'!$B$45)),(C300-IF('Исходные данные'!$B$45="",'Исходные данные'!$B$10,'Исходные данные'!$B$45)+1)/DAY(C300),1)*IF('Исходные данные'!$B$43="Без НДС",1+N('Исходные данные'!$B$44),1))</f>
        <v>0</v>
      </c>
      <c r="T300">
        <f>IF('Исходные данные'!$B$51="Да",-S300*N('Исходные данные'!$B$44)/(1+N('Исходные данные'!$B$44)),0)</f>
        <v>0</v>
      </c>
      <c r="U300">
        <f>IF('Исходные данные'!$B$36="Да",-S300,0)</f>
        <v>0</v>
      </c>
      <c r="V300">
        <f>IF(AND('Исходные данные'!$B$51="Да",U300&gt;0),U300*N('Исходные данные'!$B$52)/(1+N('Исходные данные'!$B$52)),0)</f>
        <v>0</v>
      </c>
      <c r="W300">
        <f>IF(OR(B300="",IF('Исходные данные'!$B$69="",'Исходные данные'!$B$10,'Исходные данные'!$B$69)="",C300&lt;IF('Исходные данные'!$B$69="",'Исходные данные'!$B$10,'Исходные данные'!$B$69)),0,-N('Исходные данные'!$B$16)*N('Исходные данные'!$B$68)*N('Исходные данные'!$B$67)/12*IF(AND(B300&lt;=IF('Исходные данные'!$B$69="",'Исходные данные'!$B$10,'Исходные данные'!$B$69),C300&gt;=IF('Исходные данные'!$B$69="",'Исходные данные'!$B$10,'Исходные данные'!$B$69)),(C300-IF('Исходные данные'!$B$69="",'Исходные данные'!$B$10,'Исходные данные'!$B$69)+1)/DAY(C300),1))</f>
        <v>0</v>
      </c>
      <c r="X300">
        <f>IF(OR(B300="",IF('Исходные данные'!$B$76="",'Исходные данные'!$B$10,'Исходные данные'!$B$76)="",C300&lt;IF('Исходные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данные'!$B$76)),1),B300,"m")/12))*IF(AND(B300&lt;=IF('Исходные данные'!$B$76="",'Исходные данные'!$B$10,'Исходные данные'!$B$76),C300&gt;=IF('Исходные данные'!$B$76="",'Исходные данные'!$B$10,'Исходные данные'!$B$76)),(C300-IF('Исходные данные'!$B$76="",'Исходные данные'!$B$10,'Исходные данные'!$B$76)+1)/DAY(C300),1))</f>
        <v>0</v>
      </c>
      <c r="Y300">
        <f t="shared" si="169"/>
        <v>0</v>
      </c>
      <c r="Z300">
        <f>IF(OR(B300="",N('Исходные данные'!$B$19)=0),0,-SUMIFS('Исходные данные'!$I$6:$I$186,'Исходные данные'!$F$6:$F$186,B300)*N('Исходные данные'!$B$17)/N('Исходные данные'!$B$19))</f>
        <v>0</v>
      </c>
      <c r="AA300">
        <f>IF(OR(B300="",N('Исходные данные'!$B$19)=0),0,-SUMIFS('Исходные данные'!$I$6:$I$186,'Исходные данные'!$F$6:$F$186,B300)*N('Исходные данные'!$B$18)/N('Исходные данные'!$B$19))</f>
        <v>0</v>
      </c>
      <c r="AB300">
        <f>IF(OR(B300="",'Исходные данные'!$B$13=""),0,IF(AND(YEAR(B300)=YEAR('Исходные данные'!$B$13),MONTH(B300)=MONTH('Исходные данные'!$B$13)),-N('Исходные данные'!$B$11),0))</f>
        <v>0</v>
      </c>
      <c r="AC300">
        <f>IF(A300=1,-N('Исходные данные'!$B$19)*N('Исходные данные'!$B$72),0)</f>
        <v>0</v>
      </c>
      <c r="AD300">
        <f>IF(OR(B300="",'Исходные данные'!$B$22&lt;&gt;"Да",'Исходные данные'!$B$26=""),0,IF(AND(YEAR(B300)=YEAR('Исходные данные'!$B$26),MONTH(B300)=MONTH('Исходные данные'!$B$26)),N('Исходные данные'!$B$23),0))</f>
        <v>0</v>
      </c>
      <c r="AE300">
        <f t="shared" si="152"/>
        <v>0</v>
      </c>
      <c r="AF300">
        <f>IF(OR('Исходные данные'!$B$22&lt;&gt;"Да",'Исходные данные'!$B$26="",C300&lt;'Исходные данные'!$B$26),0,DATEDIF(DATE(YEAR('Исходные данные'!$B$26),MONTH('Исходные данные'!$B$26),1),B300,"m")+1)</f>
        <v>0</v>
      </c>
      <c r="AG300">
        <f>IF(OR(AF300&lt;1,AF300&gt;N('Исходные данные'!$B$25),AE300+AD300&lt;=0),0,-(AE300+AD300)*N('Исходные данные'!$B$24)*IF(AF300=1,C300-'Исходные данные'!$B$26+1,DAY(C300))/365)</f>
        <v>0</v>
      </c>
      <c r="AH300">
        <f>IF(OR(AF300&lt;1,AF300&gt;N('Исходные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данные'!$B$25)-AG300))</f>
        <v>0</v>
      </c>
      <c r="AI300">
        <f>IF(OR('Исходные данные'!$B$22&lt;&gt;"Да",AE300+AD300&lt;=0),0,IF(AND('Исходные данные'!$B$91&lt;&gt;"",B300&lt;&gt;"",YEAR(B300)=YEAR('Исходные данные'!$B$91),MONTH(B300)=MONTH('Исходные данные'!$B$91)),-(AE300+AD300),IF(OR(AF300&lt;1,AF300&gt;N('Исходные данные'!$B$25)),0,IF('Исходные данные'!$B$27="Равными долями",-MIN(AE300+AD300,N('Исходные данные'!$B$23)/N('Исходные данные'!$B$25)),-MIN(AE300+AD300,IF(AF300=N('Исходные данные'!$B$25),AE300+AD300,MAX(0,AH300+AG300)))))))</f>
        <v>0</v>
      </c>
      <c r="AJ300">
        <f t="shared" si="170"/>
        <v>0</v>
      </c>
      <c r="AK300">
        <f t="shared" si="153"/>
        <v>0</v>
      </c>
      <c r="AL300">
        <f>IF(OR(B300="",'Исходные данные'!$B$51&lt;&gt;"Да",'Исходные данные'!$B$61=""),0,IF(AND(YEAR(B300)=YEAR('Исходные данные'!$B$61),MONTH(B300)=MONTH('Исходные данные'!$B$61)),N('Исходные данные'!$B$18)*N('Исходные данные'!$B$62),0))</f>
        <v>0</v>
      </c>
      <c r="AM300">
        <f t="shared" si="154"/>
        <v>0</v>
      </c>
      <c r="AN300">
        <f t="shared" si="155"/>
        <v>0</v>
      </c>
      <c r="AO300">
        <f t="shared" si="156"/>
        <v>0</v>
      </c>
      <c r="AP300">
        <f>IF('Исходные данные'!$B$51="Да",-MAX(0,AN300-AO300-AM300),0)</f>
        <v>0</v>
      </c>
      <c r="AQ300">
        <f>IF('Исходные данные'!$B$51="Да",MAX(0,AM300+AO300-AN300),0)</f>
        <v>0</v>
      </c>
      <c r="AR300">
        <f>IF('Исходные данные'!$B$53="Выручка",MAX(0,L300+(Q300-R300)+(U300-V300)),IF('Исходные данные'!$B$53="Прибыль до налога",MAX(0,L300+(Q300-R300)+(U300-V300)+N('Исходные данные'!$B$54)*((O300+P300)+(S300+T300)+W300+X300)+IF('Исходные данные'!$B$55="Да",AG300,0)-N('Исходные данные'!$B$56)/12),IF('Исходные данные'!$B$53="Пользовательская база",MAX(0,N('Исходные данные'!$B$57)/12),0)))</f>
        <v>0</v>
      </c>
      <c r="AS300">
        <f>IF(E300=1,-AR300*N('Исходные данные'!$B$50),0)</f>
        <v>0</v>
      </c>
      <c r="AT300">
        <f t="shared" si="157"/>
        <v>0</v>
      </c>
      <c r="AU300">
        <f>IF(OR(B300="",N('Исходные данные'!$B$80)&lt;=0,'Исходные данные'!$B$88=""),0,MAX(0,IF('Исходные данные'!$B$88="Последние 12 месяцев",SUMIFS($Y$2:$Y$194,$B$2:$B$194,"&gt;="&amp;EDATE(B300,-11),$B$2:$B$194,"&lt;="&amp;B300),IF('Исходные данные'!$B$88="Пользовательский NOI",N('Исходные данные'!$B$89),AT300))/N('Исходные данные'!$B$80)*(1+N('Исходные данные'!$B$81))))</f>
        <v>0</v>
      </c>
      <c r="AV300">
        <f>IF(OR(E300&lt;&gt;1,B300="",'Исходные данные'!$B$91=""),0,IF(AND(YEAR(B300)=YEAR('Исходные данные'!$B$91),MONTH(B300)=MONTH('Исходные данные'!$B$91)),AU300,0))</f>
        <v>0</v>
      </c>
      <c r="AW300">
        <f>-AV300*N('Исходные данные'!$B$73)</f>
        <v>0</v>
      </c>
      <c r="AX300">
        <f>IF(AV300=0,0,-N('Исходные данные'!$B$87)-IF('Исходные данные'!$B$82="Да",IF('Исходные данные'!$B$84="С выручки",AV300,IF('Исходные данные'!$B$84="С прибыли",MAX(0,AV300+AW300-IF('Исходные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00">
        <f t="shared" si="171"/>
        <v>0</v>
      </c>
      <c r="AZ300">
        <f t="shared" si="158"/>
        <v>0</v>
      </c>
      <c r="BA300">
        <f t="shared" si="172"/>
        <v>0</v>
      </c>
      <c r="BB300" t="str">
        <f t="shared" si="159"/>
        <v/>
      </c>
      <c r="BC300">
        <f>IF(OR(E300=0,'Исходные данные'!$B$9="",'Исходные данные'!$B$90=""),0,BA300/(1+'Исходные данные'!$B$90)^((D300-'Исходные данные'!$B$9)/365))</f>
        <v>0</v>
      </c>
      <c r="BD300">
        <f>IF(AND(E300=1,BB300&gt;=0,BB299&lt;0,MIN($BB$2:BB300)&lt;0),1,0)</f>
        <v>0</v>
      </c>
      <c r="BE300">
        <f t="shared" si="160"/>
        <v>0</v>
      </c>
      <c r="BF300">
        <f t="shared" si="161"/>
        <v>0</v>
      </c>
      <c r="BG300">
        <f t="shared" si="162"/>
        <v>0</v>
      </c>
      <c r="BH300">
        <f t="shared" si="163"/>
        <v>1</v>
      </c>
      <c r="BI300">
        <f>AZ300+N300+AP300-AR300*N('Исходные данные'!$B$50)</f>
        <v>0</v>
      </c>
      <c r="BJ300">
        <f t="shared" si="164"/>
        <v>0</v>
      </c>
      <c r="BK300">
        <f>IF(AND(BJ300&gt;=0,BJ299&lt;0,MIN($BJ$2:BJ300)&lt;0),1,0)</f>
        <v>0</v>
      </c>
    </row>
    <row r="301" spans="1:63" x14ac:dyDescent="0.2">
      <c r="A301">
        <v>300</v>
      </c>
      <c r="B301" t="str">
        <f>IF('Исходные данные'!$B$9="","",EDATE(DATE(YEAR('Исходные данные'!$B$9),MONTH('Исходные данные'!$B$9),1),A301-1))</f>
        <v/>
      </c>
      <c r="C301" t="str">
        <f t="shared" si="165"/>
        <v/>
      </c>
      <c r="D301" t="str">
        <f>IF(B301="","",IF('Исходные данные'!$B$91&lt;&gt;"",IF(AND(YEAR(B301)=YEAR('Исходные данные'!$B$91),MONTH(B301)=MONTH('Исходные данные'!$B$91)),'Исходные данные'!$B$91,IF('Исходные данные'!$B$13&lt;&gt;"",IF(AND(YEAR(B301)=YEAR('Исходные данные'!$B$13),MONTH(B301)=MONTH('Исходные данные'!$B$13)),'Исходные данные'!$B$13,IF('Исходные данные'!$B$26&lt;&gt;"",IF(AND(YEAR(B301)=YEAR('Исходные данные'!$B$26),MONTH(B301)=MONTH('Исходные данные'!$B$26)),'Исходные данные'!$B$26,IF(A301=1,'Исходные данные'!$B$9,C301)),IF(A301=1,'Исходные данные'!$B$9,C301))),IF('Исходные данные'!$B$26&lt;&gt;"",IF(AND(YEAR(B301)=YEAR('Исходные данные'!$B$26),MONTH(B301)=MONTH('Исходные данные'!$B$26)),'Исходные данные'!$B$26,IF(A301=1,'Исходные данные'!$B$9,C301)),IF(A301=1,'Исходные данные'!$B$9,C301)))),IF('Исходные данные'!$B$13&lt;&gt;"",IF(AND(YEAR(B301)=YEAR('Исходные данные'!$B$13),MONTH(B301)=MONTH('Исходные данные'!$B$13)),'Исходные данные'!$B$13,IF('Исходные данные'!$B$26&lt;&gt;"",IF(AND(YEAR(B301)=YEAR('Исходные данные'!$B$26),MONTH(B301)=MONTH('Исходные данные'!$B$26)),'Исходные данные'!$B$26,IF(A301=1,'Исходные данные'!$B$9,C301)),IF(A301=1,'Исходные данные'!$B$9,C301))),IF('Исходные данные'!$B$26&lt;&gt;"",IF(AND(YEAR(B301)=YEAR('Исходные данные'!$B$26),MONTH(B301)=MONTH('Исходные данные'!$B$26)),'Исходные данные'!$B$26,IF(A301=1,'Исходные данные'!$B$9,C301)),IF(A301=1,'Исходные данные'!$B$9,C301)))))</f>
        <v/>
      </c>
      <c r="E301">
        <f>IF(OR(B301="",'Исходные данные'!$B$91=""),0,--(B301&lt;=DATE(YEAR('Исходные данные'!$B$91),MONTH('Исходные данные'!$B$91),1)))</f>
        <v>0</v>
      </c>
      <c r="F301">
        <f>IF(OR(B301="",'Исходные данные'!$B$30="",C301&lt;'Исходные данные'!$B$30),0,DATEDIF(DATE(YEAR('Исходные данные'!$B$30),MONTH('Исходные данные'!$B$30),1),B301,"m")+1)</f>
        <v>0</v>
      </c>
      <c r="G301">
        <f t="shared" si="166"/>
        <v>0</v>
      </c>
      <c r="H301">
        <f>IF(F301=0,0,IF(G301=1,N('Исходные данные'!$B$31),IF(G301=2,N('Исходные данные'!$B$32),IF(G301=3,N('Исходные данные'!$B$33),N('Исходные данные'!$B$33)*(1+N('Исходные данные'!$B$34))^(G301-3)))))</f>
        <v>0</v>
      </c>
      <c r="I301">
        <f>IF(OR(F301=0,N('Исходные данные'!$B$5)=0,H301=0),0,'Исходные данные'!$B$5*H301*IF(AND(B301&lt;='Исходные данные'!$B$30,C301&gt;='Исходные данные'!$B$30),(C301-'Исходные данные'!$B$30+1)/DAY(C301),1))</f>
        <v>0</v>
      </c>
      <c r="J301">
        <f>IF(AND(F301&gt;0,F301&lt;=N('Исходные данные'!$B$37)),-I301,0)</f>
        <v>0</v>
      </c>
      <c r="K301">
        <f>IF(OR(F301=0,F301&lt;=N('Исходные данные'!$B$37)),0,-(I301+J301)*N('Исходные данные'!$B$38))</f>
        <v>0</v>
      </c>
      <c r="L301">
        <f t="shared" si="167"/>
        <v>0</v>
      </c>
      <c r="M301">
        <f>IF('Исходные данные'!$B$51="Да",L301*N('Исходные данные'!$B$52),0)</f>
        <v>0</v>
      </c>
      <c r="N301">
        <f t="shared" si="168"/>
        <v>0</v>
      </c>
      <c r="O301">
        <f>IF(OR(B301="",IF('Исходные данные'!$B$45="",'Исходные данные'!$B$10,'Исходные данные'!$B$45)="",C301&lt;IF('Исходные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данные'!$B$45)),1),B301,"m")/12))*IF(AND(B301&lt;=IF('Исходные данные'!$B$45="",'Исходные данные'!$B$10,'Исходные данные'!$B$45),C301&gt;=IF('Исходные данные'!$B$45="",'Исходные данные'!$B$10,'Исходные данные'!$B$45)),(C301-IF('Исходные данные'!$B$45="",'Исходные данные'!$B$10,'Исходные данные'!$B$45)+1)/DAY(C301),1)*IF('Исходные данные'!$B$43="Без НДС",1+N('Исходные данные'!$B$44),1))</f>
        <v>0</v>
      </c>
      <c r="P301">
        <f>IF('Исходные данные'!$B$51="Да",-O301*N('Исходные данные'!$B$44)/(1+N('Исходные данные'!$B$44)),0)</f>
        <v>0</v>
      </c>
      <c r="Q301">
        <f>IF('Исходные данные'!$B$35="Да",-O301,0)</f>
        <v>0</v>
      </c>
      <c r="R301">
        <f>IF(AND('Исходные данные'!$B$51="Да",Q301&gt;0),Q301*N('Исходные данные'!$B$52)/(1+N('Исходные данные'!$B$52)),0)</f>
        <v>0</v>
      </c>
      <c r="S301">
        <f>IF(OR(B301="",IF('Исходные данные'!$B$45="",'Исходные данные'!$B$10,'Исходные данные'!$B$45)="",C301&lt;IF('Исходные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данные'!$B$45)),1),B301,"m")/12))*IF(AND(B301&lt;=IF('Исходные данные'!$B$45="",'Исходные данные'!$B$10,'Исходные данные'!$B$45),C301&gt;=IF('Исходные данные'!$B$45="",'Исходные данные'!$B$10,'Исходные данные'!$B$45)),(C301-IF('Исходные данные'!$B$45="",'Исходные данные'!$B$10,'Исходные данные'!$B$45)+1)/DAY(C301),1)*IF('Исходные данные'!$B$43="Без НДС",1+N('Исходные данные'!$B$44),1))</f>
        <v>0</v>
      </c>
      <c r="T301">
        <f>IF('Исходные данные'!$B$51="Да",-S301*N('Исходные данные'!$B$44)/(1+N('Исходные данные'!$B$44)),0)</f>
        <v>0</v>
      </c>
      <c r="U301">
        <f>IF('Исходные данные'!$B$36="Да",-S301,0)</f>
        <v>0</v>
      </c>
      <c r="V301">
        <f>IF(AND('Исходные данные'!$B$51="Да",U301&gt;0),U301*N('Исходные данные'!$B$52)/(1+N('Исходные данные'!$B$52)),0)</f>
        <v>0</v>
      </c>
      <c r="W301">
        <f>IF(OR(B301="",IF('Исходные данные'!$B$69="",'Исходные данные'!$B$10,'Исходные данные'!$B$69)="",C301&lt;IF('Исходные данные'!$B$69="",'Исходные данные'!$B$10,'Исходные данные'!$B$69)),0,-N('Исходные данные'!$B$16)*N('Исходные данные'!$B$68)*N('Исходные данные'!$B$67)/12*IF(AND(B301&lt;=IF('Исходные данные'!$B$69="",'Исходные данные'!$B$10,'Исходные данные'!$B$69),C301&gt;=IF('Исходные данные'!$B$69="",'Исходные данные'!$B$10,'Исходные данные'!$B$69)),(C301-IF('Исходные данные'!$B$69="",'Исходные данные'!$B$10,'Исходные данные'!$B$69)+1)/DAY(C301),1))</f>
        <v>0</v>
      </c>
      <c r="X301">
        <f>IF(OR(B301="",IF('Исходные данные'!$B$76="",'Исходные данные'!$B$10,'Исходные данные'!$B$76)="",C301&lt;IF('Исходные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данные'!$B$76)),1),B301,"m")/12))*IF(AND(B301&lt;=IF('Исходные данные'!$B$76="",'Исходные данные'!$B$10,'Исходные данные'!$B$76),C301&gt;=IF('Исходные данные'!$B$76="",'Исходные данные'!$B$10,'Исходные данные'!$B$76)),(C301-IF('Исходные данные'!$B$76="",'Исходные данные'!$B$10,'Исходные данные'!$B$76)+1)/DAY(C301),1))</f>
        <v>0</v>
      </c>
      <c r="Y301">
        <f t="shared" si="169"/>
        <v>0</v>
      </c>
      <c r="Z301">
        <f>IF(OR(B301="",N('Исходные данные'!$B$19)=0),0,-SUMIFS('Исходные данные'!$I$6:$I$186,'Исходные данные'!$F$6:$F$186,B301)*N('Исходные данные'!$B$17)/N('Исходные данные'!$B$19))</f>
        <v>0</v>
      </c>
      <c r="AA301">
        <f>IF(OR(B301="",N('Исходные данные'!$B$19)=0),0,-SUMIFS('Исходные данные'!$I$6:$I$186,'Исходные данные'!$F$6:$F$186,B301)*N('Исходные данные'!$B$18)/N('Исходные данные'!$B$19))</f>
        <v>0</v>
      </c>
      <c r="AB301">
        <f>IF(OR(B301="",'Исходные данные'!$B$13=""),0,IF(AND(YEAR(B301)=YEAR('Исходные данные'!$B$13),MONTH(B301)=MONTH('Исходные данные'!$B$13)),-N('Исходные данные'!$B$11),0))</f>
        <v>0</v>
      </c>
      <c r="AC301">
        <f>IF(A301=1,-N('Исходные данные'!$B$19)*N('Исходные данные'!$B$72),0)</f>
        <v>0</v>
      </c>
      <c r="AD301">
        <f>IF(OR(B301="",'Исходные данные'!$B$22&lt;&gt;"Да",'Исходные данные'!$B$26=""),0,IF(AND(YEAR(B301)=YEAR('Исходные данные'!$B$26),MONTH(B301)=MONTH('Исходные данные'!$B$26)),N('Исходные данные'!$B$23),0))</f>
        <v>0</v>
      </c>
      <c r="AE301">
        <f t="shared" si="152"/>
        <v>0</v>
      </c>
      <c r="AF301">
        <f>IF(OR('Исходные данные'!$B$22&lt;&gt;"Да",'Исходные данные'!$B$26="",C301&lt;'Исходные данные'!$B$26),0,DATEDIF(DATE(YEAR('Исходные данные'!$B$26),MONTH('Исходные данные'!$B$26),1),B301,"m")+1)</f>
        <v>0</v>
      </c>
      <c r="AG301">
        <f>IF(OR(AF301&lt;1,AF301&gt;N('Исходные данные'!$B$25),AE301+AD301&lt;=0),0,-(AE301+AD301)*N('Исходные данные'!$B$24)*IF(AF301=1,C301-'Исходные данные'!$B$26+1,DAY(C301))/365)</f>
        <v>0</v>
      </c>
      <c r="AH301">
        <f>IF(OR(AF301&lt;1,AF301&gt;N('Исходные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данные'!$B$25)-AG301))</f>
        <v>0</v>
      </c>
      <c r="AI301">
        <f>IF(OR('Исходные данные'!$B$22&lt;&gt;"Да",AE301+AD301&lt;=0),0,IF(AND('Исходные данные'!$B$91&lt;&gt;"",B301&lt;&gt;"",YEAR(B301)=YEAR('Исходные данные'!$B$91),MONTH(B301)=MONTH('Исходные данные'!$B$91)),-(AE301+AD301),IF(OR(AF301&lt;1,AF301&gt;N('Исходные данные'!$B$25)),0,IF('Исходные данные'!$B$27="Равными долями",-MIN(AE301+AD301,N('Исходные данные'!$B$23)/N('Исходные данные'!$B$25)),-MIN(AE301+AD301,IF(AF301=N('Исходные данные'!$B$25),AE301+AD301,MAX(0,AH301+AG301)))))))</f>
        <v>0</v>
      </c>
      <c r="AJ301">
        <f t="shared" si="170"/>
        <v>0</v>
      </c>
      <c r="AK301">
        <f t="shared" si="153"/>
        <v>0</v>
      </c>
      <c r="AL301">
        <f>IF(OR(B301="",'Исходные данные'!$B$51&lt;&gt;"Да",'Исходные данные'!$B$61=""),0,IF(AND(YEAR(B301)=YEAR('Исходные данные'!$B$61),MONTH(B301)=MONTH('Исходные данные'!$B$61)),N('Исходные данные'!$B$18)*N('Исходные данные'!$B$62),0))</f>
        <v>0</v>
      </c>
      <c r="AM301">
        <f t="shared" si="154"/>
        <v>0</v>
      </c>
      <c r="AN301">
        <f t="shared" si="155"/>
        <v>0</v>
      </c>
      <c r="AO301">
        <f t="shared" si="156"/>
        <v>0</v>
      </c>
      <c r="AP301">
        <f>IF('Исходные данные'!$B$51="Да",-MAX(0,AN301-AO301-AM301),0)</f>
        <v>0</v>
      </c>
      <c r="AQ301">
        <f>IF('Исходные данные'!$B$51="Да",MAX(0,AM301+AO301-AN301),0)</f>
        <v>0</v>
      </c>
      <c r="AR301">
        <f>IF('Исходные данные'!$B$53="Выручка",MAX(0,L301+(Q301-R301)+(U301-V301)),IF('Исходные данные'!$B$53="Прибыль до налога",MAX(0,L301+(Q301-R301)+(U301-V301)+N('Исходные данные'!$B$54)*((O301+P301)+(S301+T301)+W301+X301)+IF('Исходные данные'!$B$55="Да",AG301,0)-N('Исходные данные'!$B$56)/12),IF('Исходные данные'!$B$53="Пользовательская база",MAX(0,N('Исходные данные'!$B$57)/12),0)))</f>
        <v>0</v>
      </c>
      <c r="AS301">
        <f>IF(E301=1,-AR301*N('Исходные данные'!$B$50),0)</f>
        <v>0</v>
      </c>
      <c r="AT301">
        <f t="shared" si="157"/>
        <v>0</v>
      </c>
      <c r="AU301">
        <f>IF(OR(B301="",N('Исходные данные'!$B$80)&lt;=0,'Исходные данные'!$B$88=""),0,MAX(0,IF('Исходные данные'!$B$88="Последние 12 месяцев",SUMIFS($Y$2:$Y$194,$B$2:$B$194,"&gt;="&amp;EDATE(B301,-11),$B$2:$B$194,"&lt;="&amp;B301),IF('Исходные данные'!$B$88="Пользовательский NOI",N('Исходные данные'!$B$89),AT301))/N('Исходные данные'!$B$80)*(1+N('Исходные данные'!$B$81))))</f>
        <v>0</v>
      </c>
      <c r="AV301">
        <f>IF(OR(E301&lt;&gt;1,B301="",'Исходные данные'!$B$91=""),0,IF(AND(YEAR(B301)=YEAR('Исходные данные'!$B$91),MONTH(B301)=MONTH('Исходные данные'!$B$91)),AU301,0))</f>
        <v>0</v>
      </c>
      <c r="AW301">
        <f>-AV301*N('Исходные данные'!$B$73)</f>
        <v>0</v>
      </c>
      <c r="AX301">
        <f>IF(AV301=0,0,-N('Исходные данные'!$B$87)-IF('Исходные данные'!$B$82="Да",IF('Исходные данные'!$B$84="С выручки",AV301,IF('Исходные данные'!$B$84="С прибыли",MAX(0,AV301+AW301-IF('Исходные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01">
        <f t="shared" si="171"/>
        <v>0</v>
      </c>
      <c r="AZ301">
        <f t="shared" si="158"/>
        <v>0</v>
      </c>
      <c r="BA301">
        <f t="shared" si="172"/>
        <v>0</v>
      </c>
      <c r="BB301" t="str">
        <f t="shared" si="159"/>
        <v/>
      </c>
      <c r="BC301">
        <f>IF(OR(E301=0,'Исходные данные'!$B$9="",'Исходные данные'!$B$90=""),0,BA301/(1+'Исходные данные'!$B$90)^((D301-'Исходные данные'!$B$9)/365))</f>
        <v>0</v>
      </c>
      <c r="BD301">
        <f>IF(AND(E301=1,BB301&gt;=0,BB300&lt;0,MIN($BB$2:BB301)&lt;0),1,0)</f>
        <v>0</v>
      </c>
      <c r="BE301">
        <f t="shared" si="160"/>
        <v>0</v>
      </c>
      <c r="BF301">
        <f t="shared" si="161"/>
        <v>0</v>
      </c>
      <c r="BG301">
        <f t="shared" si="162"/>
        <v>0</v>
      </c>
      <c r="BH301">
        <f t="shared" si="163"/>
        <v>1</v>
      </c>
      <c r="BI301">
        <f>AZ301+N301+AP301-AR301*N('Исходные данные'!$B$50)</f>
        <v>0</v>
      </c>
      <c r="BJ301">
        <f t="shared" si="164"/>
        <v>0</v>
      </c>
      <c r="BK301">
        <f>IF(AND(BJ301&gt;=0,BJ300&lt;0,MIN($BJ$2:BJ301)&lt;0),1,0)</f>
        <v>0</v>
      </c>
    </row>
    <row r="302" spans="1:63" x14ac:dyDescent="0.2">
      <c r="A302">
        <v>301</v>
      </c>
      <c r="B302" t="str">
        <f>IF('Исходные данные'!$B$9="","",EDATE(DATE(YEAR('Исходные данные'!$B$9),MONTH('Исходные данные'!$B$9),1),A302-1))</f>
        <v/>
      </c>
      <c r="C302" t="str">
        <f t="shared" si="165"/>
        <v/>
      </c>
      <c r="D302" t="str">
        <f>IF(B302="","",IF('Исходные данные'!$B$91&lt;&gt;"",IF(AND(YEAR(B302)=YEAR('Исходные данные'!$B$91),MONTH(B302)=MONTH('Исходные данные'!$B$91)),'Исходные данные'!$B$91,IF('Исходные данные'!$B$13&lt;&gt;"",IF(AND(YEAR(B302)=YEAR('Исходные данные'!$B$13),MONTH(B302)=MONTH('Исходные данные'!$B$13)),'Исходные данные'!$B$13,IF('Исходные данные'!$B$26&lt;&gt;"",IF(AND(YEAR(B302)=YEAR('Исходные данные'!$B$26),MONTH(B302)=MONTH('Исходные данные'!$B$26)),'Исходные данные'!$B$26,IF(A302=1,'Исходные данные'!$B$9,C302)),IF(A302=1,'Исходные данные'!$B$9,C302))),IF('Исходные данные'!$B$26&lt;&gt;"",IF(AND(YEAR(B302)=YEAR('Исходные данные'!$B$26),MONTH(B302)=MONTH('Исходные данные'!$B$26)),'Исходные данные'!$B$26,IF(A302=1,'Исходные данные'!$B$9,C302)),IF(A302=1,'Исходные данные'!$B$9,C302)))),IF('Исходные данные'!$B$13&lt;&gt;"",IF(AND(YEAR(B302)=YEAR('Исходные данные'!$B$13),MONTH(B302)=MONTH('Исходные данные'!$B$13)),'Исходные данные'!$B$13,IF('Исходные данные'!$B$26&lt;&gt;"",IF(AND(YEAR(B302)=YEAR('Исходные данные'!$B$26),MONTH(B302)=MONTH('Исходные данные'!$B$26)),'Исходные данные'!$B$26,IF(A302=1,'Исходные данные'!$B$9,C302)),IF(A302=1,'Исходные данные'!$B$9,C302))),IF('Исходные данные'!$B$26&lt;&gt;"",IF(AND(YEAR(B302)=YEAR('Исходные данные'!$B$26),MONTH(B302)=MONTH('Исходные данные'!$B$26)),'Исходные данные'!$B$26,IF(A302=1,'Исходные данные'!$B$9,C302)),IF(A302=1,'Исходные данные'!$B$9,C302)))))</f>
        <v/>
      </c>
      <c r="E302">
        <f>IF(OR(B302="",'Исходные данные'!$B$91=""),0,--(B302&lt;=DATE(YEAR('Исходные данные'!$B$91),MONTH('Исходные данные'!$B$91),1)))</f>
        <v>0</v>
      </c>
      <c r="F302">
        <f>IF(OR(B302="",'Исходные данные'!$B$30="",C302&lt;'Исходные данные'!$B$30),0,DATEDIF(DATE(YEAR('Исходные данные'!$B$30),MONTH('Исходные данные'!$B$30),1),B302,"m")+1)</f>
        <v>0</v>
      </c>
      <c r="G302">
        <f t="shared" si="166"/>
        <v>0</v>
      </c>
      <c r="H302">
        <f>IF(F302=0,0,IF(G302=1,N('Исходные данные'!$B$31),IF(G302=2,N('Исходные данные'!$B$32),IF(G302=3,N('Исходные данные'!$B$33),N('Исходные данные'!$B$33)*(1+N('Исходные данные'!$B$34))^(G302-3)))))</f>
        <v>0</v>
      </c>
      <c r="I302">
        <f>IF(OR(F302=0,N('Исходные данные'!$B$5)=0,H302=0),0,'Исходные данные'!$B$5*H302*IF(AND(B302&lt;='Исходные данные'!$B$30,C302&gt;='Исходные данные'!$B$30),(C302-'Исходные данные'!$B$30+1)/DAY(C302),1))</f>
        <v>0</v>
      </c>
      <c r="J302">
        <f>IF(AND(F302&gt;0,F302&lt;=N('Исходные данные'!$B$37)),-I302,0)</f>
        <v>0</v>
      </c>
      <c r="K302">
        <f>IF(OR(F302=0,F302&lt;=N('Исходные данные'!$B$37)),0,-(I302+J302)*N('Исходные данные'!$B$38))</f>
        <v>0</v>
      </c>
      <c r="L302">
        <f t="shared" si="167"/>
        <v>0</v>
      </c>
      <c r="M302">
        <f>IF('Исходные данные'!$B$51="Да",L302*N('Исходные данные'!$B$52),0)</f>
        <v>0</v>
      </c>
      <c r="N302">
        <f t="shared" si="168"/>
        <v>0</v>
      </c>
      <c r="O302">
        <f>IF(OR(B302="",IF('Исходные данные'!$B$45="",'Исходные данные'!$B$10,'Исходные данные'!$B$45)="",C302&lt;IF('Исходные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данные'!$B$45)),1),B302,"m")/12))*IF(AND(B302&lt;=IF('Исходные данные'!$B$45="",'Исходные данные'!$B$10,'Исходные данные'!$B$45),C302&gt;=IF('Исходные данные'!$B$45="",'Исходные данные'!$B$10,'Исходные данные'!$B$45)),(C302-IF('Исходные данные'!$B$45="",'Исходные данные'!$B$10,'Исходные данные'!$B$45)+1)/DAY(C302),1)*IF('Исходные данные'!$B$43="Без НДС",1+N('Исходные данные'!$B$44),1))</f>
        <v>0</v>
      </c>
      <c r="P302">
        <f>IF('Исходные данные'!$B$51="Да",-O302*N('Исходные данные'!$B$44)/(1+N('Исходные данные'!$B$44)),0)</f>
        <v>0</v>
      </c>
      <c r="Q302">
        <f>IF('Исходные данные'!$B$35="Да",-O302,0)</f>
        <v>0</v>
      </c>
      <c r="R302">
        <f>IF(AND('Исходные данные'!$B$51="Да",Q302&gt;0),Q302*N('Исходные данные'!$B$52)/(1+N('Исходные данные'!$B$52)),0)</f>
        <v>0</v>
      </c>
      <c r="S302">
        <f>IF(OR(B302="",IF('Исходные данные'!$B$45="",'Исходные данные'!$B$10,'Исходные данные'!$B$45)="",C302&lt;IF('Исходные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данные'!$B$45)),1),B302,"m")/12))*IF(AND(B302&lt;=IF('Исходные данные'!$B$45="",'Исходные данные'!$B$10,'Исходные данные'!$B$45),C302&gt;=IF('Исходные данные'!$B$45="",'Исходные данные'!$B$10,'Исходные данные'!$B$45)),(C302-IF('Исходные данные'!$B$45="",'Исходные данные'!$B$10,'Исходные данные'!$B$45)+1)/DAY(C302),1)*IF('Исходные данные'!$B$43="Без НДС",1+N('Исходные данные'!$B$44),1))</f>
        <v>0</v>
      </c>
      <c r="T302">
        <f>IF('Исходные данные'!$B$51="Да",-S302*N('Исходные данные'!$B$44)/(1+N('Исходные данные'!$B$44)),0)</f>
        <v>0</v>
      </c>
      <c r="U302">
        <f>IF('Исходные данные'!$B$36="Да",-S302,0)</f>
        <v>0</v>
      </c>
      <c r="V302">
        <f>IF(AND('Исходные данные'!$B$51="Да",U302&gt;0),U302*N('Исходные данные'!$B$52)/(1+N('Исходные данные'!$B$52)),0)</f>
        <v>0</v>
      </c>
      <c r="W302">
        <f>IF(OR(B302="",IF('Исходные данные'!$B$69="",'Исходные данные'!$B$10,'Исходные данные'!$B$69)="",C302&lt;IF('Исходные данные'!$B$69="",'Исходные данные'!$B$10,'Исходные данные'!$B$69)),0,-N('Исходные данные'!$B$16)*N('Исходные данные'!$B$68)*N('Исходные данные'!$B$67)/12*IF(AND(B302&lt;=IF('Исходные данные'!$B$69="",'Исходные данные'!$B$10,'Исходные данные'!$B$69),C302&gt;=IF('Исходные данные'!$B$69="",'Исходные данные'!$B$10,'Исходные данные'!$B$69)),(C302-IF('Исходные данные'!$B$69="",'Исходные данные'!$B$10,'Исходные данные'!$B$69)+1)/DAY(C302),1))</f>
        <v>0</v>
      </c>
      <c r="X302">
        <f>IF(OR(B302="",IF('Исходные данные'!$B$76="",'Исходные данные'!$B$10,'Исходные данные'!$B$76)="",C302&lt;IF('Исходные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данные'!$B$76)),1),B302,"m")/12))*IF(AND(B302&lt;=IF('Исходные данные'!$B$76="",'Исходные данные'!$B$10,'Исходные данные'!$B$76),C302&gt;=IF('Исходные данные'!$B$76="",'Исходные данные'!$B$10,'Исходные данные'!$B$76)),(C302-IF('Исходные данные'!$B$76="",'Исходные данные'!$B$10,'Исходные данные'!$B$76)+1)/DAY(C302),1))</f>
        <v>0</v>
      </c>
      <c r="Y302">
        <f t="shared" si="169"/>
        <v>0</v>
      </c>
      <c r="Z302">
        <f>IF(OR(B302="",N('Исходные данные'!$B$19)=0),0,-SUMIFS('Исходные данные'!$I$6:$I$186,'Исходные данные'!$F$6:$F$186,B302)*N('Исходные данные'!$B$17)/N('Исходные данные'!$B$19))</f>
        <v>0</v>
      </c>
      <c r="AA302">
        <f>IF(OR(B302="",N('Исходные данные'!$B$19)=0),0,-SUMIFS('Исходные данные'!$I$6:$I$186,'Исходные данные'!$F$6:$F$186,B302)*N('Исходные данные'!$B$18)/N('Исходные данные'!$B$19))</f>
        <v>0</v>
      </c>
      <c r="AB302">
        <f>IF(OR(B302="",'Исходные данные'!$B$13=""),0,IF(AND(YEAR(B302)=YEAR('Исходные данные'!$B$13),MONTH(B302)=MONTH('Исходные данные'!$B$13)),-N('Исходные данные'!$B$11),0))</f>
        <v>0</v>
      </c>
      <c r="AC302">
        <f>IF(A302=1,-N('Исходные данные'!$B$19)*N('Исходные данные'!$B$72),0)</f>
        <v>0</v>
      </c>
      <c r="AD302">
        <f>IF(OR(B302="",'Исходные данные'!$B$22&lt;&gt;"Да",'Исходные данные'!$B$26=""),0,IF(AND(YEAR(B302)=YEAR('Исходные данные'!$B$26),MONTH(B302)=MONTH('Исходные данные'!$B$26)),N('Исходные данные'!$B$23),0))</f>
        <v>0</v>
      </c>
      <c r="AE302">
        <f t="shared" si="152"/>
        <v>0</v>
      </c>
      <c r="AF302">
        <f>IF(OR('Исходные данные'!$B$22&lt;&gt;"Да",'Исходные данные'!$B$26="",C302&lt;'Исходные данные'!$B$26),0,DATEDIF(DATE(YEAR('Исходные данные'!$B$26),MONTH('Исходные данные'!$B$26),1),B302,"m")+1)</f>
        <v>0</v>
      </c>
      <c r="AG302">
        <f>IF(OR(AF302&lt;1,AF302&gt;N('Исходные данные'!$B$25),AE302+AD302&lt;=0),0,-(AE302+AD302)*N('Исходные данные'!$B$24)*IF(AF302=1,C302-'Исходные данные'!$B$26+1,DAY(C302))/365)</f>
        <v>0</v>
      </c>
      <c r="AH302">
        <f>IF(OR(AF302&lt;1,AF302&gt;N('Исходные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данные'!$B$25)-AG302))</f>
        <v>0</v>
      </c>
      <c r="AI302">
        <f>IF(OR('Исходные данные'!$B$22&lt;&gt;"Да",AE302+AD302&lt;=0),0,IF(AND('Исходные данные'!$B$91&lt;&gt;"",B302&lt;&gt;"",YEAR(B302)=YEAR('Исходные данные'!$B$91),MONTH(B302)=MONTH('Исходные данные'!$B$91)),-(AE302+AD302),IF(OR(AF302&lt;1,AF302&gt;N('Исходные данные'!$B$25)),0,IF('Исходные данные'!$B$27="Равными долями",-MIN(AE302+AD302,N('Исходные данные'!$B$23)/N('Исходные данные'!$B$25)),-MIN(AE302+AD302,IF(AF302=N('Исходные данные'!$B$25),AE302+AD302,MAX(0,AH302+AG302)))))))</f>
        <v>0</v>
      </c>
      <c r="AJ302">
        <f t="shared" si="170"/>
        <v>0</v>
      </c>
      <c r="AK302">
        <f t="shared" si="153"/>
        <v>0</v>
      </c>
      <c r="AL302">
        <f>IF(OR(B302="",'Исходные данные'!$B$51&lt;&gt;"Да",'Исходные данные'!$B$61=""),0,IF(AND(YEAR(B302)=YEAR('Исходные данные'!$B$61),MONTH(B302)=MONTH('Исходные данные'!$B$61)),N('Исходные данные'!$B$18)*N('Исходные данные'!$B$62),0))</f>
        <v>0</v>
      </c>
      <c r="AM302">
        <f t="shared" si="154"/>
        <v>0</v>
      </c>
      <c r="AN302">
        <f t="shared" si="155"/>
        <v>0</v>
      </c>
      <c r="AO302">
        <f t="shared" si="156"/>
        <v>0</v>
      </c>
      <c r="AP302">
        <f>IF('Исходные данные'!$B$51="Да",-MAX(0,AN302-AO302-AM302),0)</f>
        <v>0</v>
      </c>
      <c r="AQ302">
        <f>IF('Исходные данные'!$B$51="Да",MAX(0,AM302+AO302-AN302),0)</f>
        <v>0</v>
      </c>
      <c r="AR302">
        <f>IF('Исходные данные'!$B$53="Выручка",MAX(0,L302+(Q302-R302)+(U302-V302)),IF('Исходные данные'!$B$53="Прибыль до налога",MAX(0,L302+(Q302-R302)+(U302-V302)+N('Исходные данные'!$B$54)*((O302+P302)+(S302+T302)+W302+X302)+IF('Исходные данные'!$B$55="Да",AG302,0)-N('Исходные данные'!$B$56)/12),IF('Исходные данные'!$B$53="Пользовательская база",MAX(0,N('Исходные данные'!$B$57)/12),0)))</f>
        <v>0</v>
      </c>
      <c r="AS302">
        <f>IF(E302=1,-AR302*N('Исходные данные'!$B$50),0)</f>
        <v>0</v>
      </c>
      <c r="AT302">
        <f t="shared" si="157"/>
        <v>0</v>
      </c>
      <c r="AU302">
        <f>IF(OR(B302="",N('Исходные данные'!$B$80)&lt;=0,'Исходные данные'!$B$88=""),0,MAX(0,IF('Исходные данные'!$B$88="Последние 12 месяцев",SUMIFS($Y$2:$Y$194,$B$2:$B$194,"&gt;="&amp;EDATE(B302,-11),$B$2:$B$194,"&lt;="&amp;B302),IF('Исходные данные'!$B$88="Пользовательский NOI",N('Исходные данные'!$B$89),AT302))/N('Исходные данные'!$B$80)*(1+N('Исходные данные'!$B$81))))</f>
        <v>0</v>
      </c>
      <c r="AV302">
        <f>IF(OR(E302&lt;&gt;1,B302="",'Исходные данные'!$B$91=""),0,IF(AND(YEAR(B302)=YEAR('Исходные данные'!$B$91),MONTH(B302)=MONTH('Исходные данные'!$B$91)),AU302,0))</f>
        <v>0</v>
      </c>
      <c r="AW302">
        <f>-AV302*N('Исходные данные'!$B$73)</f>
        <v>0</v>
      </c>
      <c r="AX302">
        <f>IF(AV302=0,0,-N('Исходные данные'!$B$87)-IF('Исходные данные'!$B$82="Да",IF('Исходные данные'!$B$84="С выручки",AV302,IF('Исходные данные'!$B$84="С прибыли",MAX(0,AV302+AW302-IF('Исходные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02">
        <f t="shared" si="171"/>
        <v>0</v>
      </c>
      <c r="AZ302">
        <f t="shared" si="158"/>
        <v>0</v>
      </c>
      <c r="BA302">
        <f t="shared" si="172"/>
        <v>0</v>
      </c>
      <c r="BB302" t="str">
        <f t="shared" si="159"/>
        <v/>
      </c>
      <c r="BC302">
        <f>IF(OR(E302=0,'Исходные данные'!$B$9="",'Исходные данные'!$B$90=""),0,BA302/(1+'Исходные данные'!$B$90)^((D302-'Исходные данные'!$B$9)/365))</f>
        <v>0</v>
      </c>
      <c r="BD302">
        <f>IF(AND(E302=1,BB302&gt;=0,BB301&lt;0,MIN($BB$2:BB302)&lt;0),1,0)</f>
        <v>0</v>
      </c>
      <c r="BE302">
        <f t="shared" si="160"/>
        <v>0</v>
      </c>
      <c r="BF302">
        <f t="shared" si="161"/>
        <v>0</v>
      </c>
      <c r="BG302">
        <f t="shared" si="162"/>
        <v>0</v>
      </c>
      <c r="BH302">
        <f t="shared" si="163"/>
        <v>1</v>
      </c>
      <c r="BI302">
        <f>AZ302+N302+AP302-AR302*N('Исходные данные'!$B$50)</f>
        <v>0</v>
      </c>
      <c r="BJ302">
        <f t="shared" si="164"/>
        <v>0</v>
      </c>
      <c r="BK302">
        <f>IF(AND(BJ302&gt;=0,BJ301&lt;0,MIN($BJ$2:BJ302)&lt;0),1,0)</f>
        <v>0</v>
      </c>
    </row>
    <row r="303" spans="1:63" x14ac:dyDescent="0.2">
      <c r="A303">
        <v>302</v>
      </c>
      <c r="B303" t="str">
        <f>IF('Исходные данные'!$B$9="","",EDATE(DATE(YEAR('Исходные данные'!$B$9),MONTH('Исходные данные'!$B$9),1),A303-1))</f>
        <v/>
      </c>
      <c r="C303" t="str">
        <f t="shared" si="165"/>
        <v/>
      </c>
      <c r="D303" t="str">
        <f>IF(B303="","",IF('Исходные данные'!$B$91&lt;&gt;"",IF(AND(YEAR(B303)=YEAR('Исходные данные'!$B$91),MONTH(B303)=MONTH('Исходные данные'!$B$91)),'Исходные данные'!$B$91,IF('Исходные данные'!$B$13&lt;&gt;"",IF(AND(YEAR(B303)=YEAR('Исходные данные'!$B$13),MONTH(B303)=MONTH('Исходные данные'!$B$13)),'Исходные данные'!$B$13,IF('Исходные данные'!$B$26&lt;&gt;"",IF(AND(YEAR(B303)=YEAR('Исходные данные'!$B$26),MONTH(B303)=MONTH('Исходные данные'!$B$26)),'Исходные данные'!$B$26,IF(A303=1,'Исходные данные'!$B$9,C303)),IF(A303=1,'Исходные данные'!$B$9,C303))),IF('Исходные данные'!$B$26&lt;&gt;"",IF(AND(YEAR(B303)=YEAR('Исходные данные'!$B$26),MONTH(B303)=MONTH('Исходные данные'!$B$26)),'Исходные данные'!$B$26,IF(A303=1,'Исходные данные'!$B$9,C303)),IF(A303=1,'Исходные данные'!$B$9,C303)))),IF('Исходные данные'!$B$13&lt;&gt;"",IF(AND(YEAR(B303)=YEAR('Исходные данные'!$B$13),MONTH(B303)=MONTH('Исходные данные'!$B$13)),'Исходные данные'!$B$13,IF('Исходные данные'!$B$26&lt;&gt;"",IF(AND(YEAR(B303)=YEAR('Исходные данные'!$B$26),MONTH(B303)=MONTH('Исходные данные'!$B$26)),'Исходные данные'!$B$26,IF(A303=1,'Исходные данные'!$B$9,C303)),IF(A303=1,'Исходные данные'!$B$9,C303))),IF('Исходные данные'!$B$26&lt;&gt;"",IF(AND(YEAR(B303)=YEAR('Исходные данные'!$B$26),MONTH(B303)=MONTH('Исходные данные'!$B$26)),'Исходные данные'!$B$26,IF(A303=1,'Исходные данные'!$B$9,C303)),IF(A303=1,'Исходные данные'!$B$9,C303)))))</f>
        <v/>
      </c>
      <c r="E303">
        <f>IF(OR(B303="",'Исходные данные'!$B$91=""),0,--(B303&lt;=DATE(YEAR('Исходные данные'!$B$91),MONTH('Исходные данные'!$B$91),1)))</f>
        <v>0</v>
      </c>
      <c r="F303">
        <f>IF(OR(B303="",'Исходные данные'!$B$30="",C303&lt;'Исходные данные'!$B$30),0,DATEDIF(DATE(YEAR('Исходные данные'!$B$30),MONTH('Исходные данные'!$B$30),1),B303,"m")+1)</f>
        <v>0</v>
      </c>
      <c r="G303">
        <f t="shared" si="166"/>
        <v>0</v>
      </c>
      <c r="H303">
        <f>IF(F303=0,0,IF(G303=1,N('Исходные данные'!$B$31),IF(G303=2,N('Исходные данные'!$B$32),IF(G303=3,N('Исходные данные'!$B$33),N('Исходные данные'!$B$33)*(1+N('Исходные данные'!$B$34))^(G303-3)))))</f>
        <v>0</v>
      </c>
      <c r="I303">
        <f>IF(OR(F303=0,N('Исходные данные'!$B$5)=0,H303=0),0,'Исходные данные'!$B$5*H303*IF(AND(B303&lt;='Исходные данные'!$B$30,C303&gt;='Исходные данные'!$B$30),(C303-'Исходные данные'!$B$30+1)/DAY(C303),1))</f>
        <v>0</v>
      </c>
      <c r="J303">
        <f>IF(AND(F303&gt;0,F303&lt;=N('Исходные данные'!$B$37)),-I303,0)</f>
        <v>0</v>
      </c>
      <c r="K303">
        <f>IF(OR(F303=0,F303&lt;=N('Исходные данные'!$B$37)),0,-(I303+J303)*N('Исходные данные'!$B$38))</f>
        <v>0</v>
      </c>
      <c r="L303">
        <f t="shared" si="167"/>
        <v>0</v>
      </c>
      <c r="M303">
        <f>IF('Исходные данные'!$B$51="Да",L303*N('Исходные данные'!$B$52),0)</f>
        <v>0</v>
      </c>
      <c r="N303">
        <f t="shared" si="168"/>
        <v>0</v>
      </c>
      <c r="O303">
        <f>IF(OR(B303="",IF('Исходные данные'!$B$45="",'Исходные данные'!$B$10,'Исходные данные'!$B$45)="",C303&lt;IF('Исходные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данные'!$B$45)),1),B303,"m")/12))*IF(AND(B303&lt;=IF('Исходные данные'!$B$45="",'Исходные данные'!$B$10,'Исходные данные'!$B$45),C303&gt;=IF('Исходные данные'!$B$45="",'Исходные данные'!$B$10,'Исходные данные'!$B$45)),(C303-IF('Исходные данные'!$B$45="",'Исходные данные'!$B$10,'Исходные данные'!$B$45)+1)/DAY(C303),1)*IF('Исходные данные'!$B$43="Без НДС",1+N('Исходные данные'!$B$44),1))</f>
        <v>0</v>
      </c>
      <c r="P303">
        <f>IF('Исходные данные'!$B$51="Да",-O303*N('Исходные данные'!$B$44)/(1+N('Исходные данные'!$B$44)),0)</f>
        <v>0</v>
      </c>
      <c r="Q303">
        <f>IF('Исходные данные'!$B$35="Да",-O303,0)</f>
        <v>0</v>
      </c>
      <c r="R303">
        <f>IF(AND('Исходные данные'!$B$51="Да",Q303&gt;0),Q303*N('Исходные данные'!$B$52)/(1+N('Исходные данные'!$B$52)),0)</f>
        <v>0</v>
      </c>
      <c r="S303">
        <f>IF(OR(B303="",IF('Исходные данные'!$B$45="",'Исходные данные'!$B$10,'Исходные данные'!$B$45)="",C303&lt;IF('Исходные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данные'!$B$45)),1),B303,"m")/12))*IF(AND(B303&lt;=IF('Исходные данные'!$B$45="",'Исходные данные'!$B$10,'Исходные данные'!$B$45),C303&gt;=IF('Исходные данные'!$B$45="",'Исходные данные'!$B$10,'Исходные данные'!$B$45)),(C303-IF('Исходные данные'!$B$45="",'Исходные данные'!$B$10,'Исходные данные'!$B$45)+1)/DAY(C303),1)*IF('Исходные данные'!$B$43="Без НДС",1+N('Исходные данные'!$B$44),1))</f>
        <v>0</v>
      </c>
      <c r="T303">
        <f>IF('Исходные данные'!$B$51="Да",-S303*N('Исходные данные'!$B$44)/(1+N('Исходные данные'!$B$44)),0)</f>
        <v>0</v>
      </c>
      <c r="U303">
        <f>IF('Исходные данные'!$B$36="Да",-S303,0)</f>
        <v>0</v>
      </c>
      <c r="V303">
        <f>IF(AND('Исходные данные'!$B$51="Да",U303&gt;0),U303*N('Исходные данные'!$B$52)/(1+N('Исходные данные'!$B$52)),0)</f>
        <v>0</v>
      </c>
      <c r="W303">
        <f>IF(OR(B303="",IF('Исходные данные'!$B$69="",'Исходные данные'!$B$10,'Исходные данные'!$B$69)="",C303&lt;IF('Исходные данные'!$B$69="",'Исходные данные'!$B$10,'Исходные данные'!$B$69)),0,-N('Исходные данные'!$B$16)*N('Исходные данные'!$B$68)*N('Исходные данные'!$B$67)/12*IF(AND(B303&lt;=IF('Исходные данные'!$B$69="",'Исходные данные'!$B$10,'Исходные данные'!$B$69),C303&gt;=IF('Исходные данные'!$B$69="",'Исходные данные'!$B$10,'Исходные данные'!$B$69)),(C303-IF('Исходные данные'!$B$69="",'Исходные данные'!$B$10,'Исходные данные'!$B$69)+1)/DAY(C303),1))</f>
        <v>0</v>
      </c>
      <c r="X303">
        <f>IF(OR(B303="",IF('Исходные данные'!$B$76="",'Исходные данные'!$B$10,'Исходные данные'!$B$76)="",C303&lt;IF('Исходные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данные'!$B$76)),1),B303,"m")/12))*IF(AND(B303&lt;=IF('Исходные данные'!$B$76="",'Исходные данные'!$B$10,'Исходные данные'!$B$76),C303&gt;=IF('Исходные данные'!$B$76="",'Исходные данные'!$B$10,'Исходные данные'!$B$76)),(C303-IF('Исходные данные'!$B$76="",'Исходные данные'!$B$10,'Исходные данные'!$B$76)+1)/DAY(C303),1))</f>
        <v>0</v>
      </c>
      <c r="Y303">
        <f t="shared" si="169"/>
        <v>0</v>
      </c>
      <c r="Z303">
        <f>IF(OR(B303="",N('Исходные данные'!$B$19)=0),0,-SUMIFS('Исходные данные'!$I$6:$I$186,'Исходные данные'!$F$6:$F$186,B303)*N('Исходные данные'!$B$17)/N('Исходные данные'!$B$19))</f>
        <v>0</v>
      </c>
      <c r="AA303">
        <f>IF(OR(B303="",N('Исходные данные'!$B$19)=0),0,-SUMIFS('Исходные данные'!$I$6:$I$186,'Исходные данные'!$F$6:$F$186,B303)*N('Исходные данные'!$B$18)/N('Исходные данные'!$B$19))</f>
        <v>0</v>
      </c>
      <c r="AB303">
        <f>IF(OR(B303="",'Исходные данные'!$B$13=""),0,IF(AND(YEAR(B303)=YEAR('Исходные данные'!$B$13),MONTH(B303)=MONTH('Исходные данные'!$B$13)),-N('Исходные данные'!$B$11),0))</f>
        <v>0</v>
      </c>
      <c r="AC303">
        <f>IF(A303=1,-N('Исходные данные'!$B$19)*N('Исходные данные'!$B$72),0)</f>
        <v>0</v>
      </c>
      <c r="AD303">
        <f>IF(OR(B303="",'Исходные данные'!$B$22&lt;&gt;"Да",'Исходные данные'!$B$26=""),0,IF(AND(YEAR(B303)=YEAR('Исходные данные'!$B$26),MONTH(B303)=MONTH('Исходные данные'!$B$26)),N('Исходные данные'!$B$23),0))</f>
        <v>0</v>
      </c>
      <c r="AE303">
        <f t="shared" si="152"/>
        <v>0</v>
      </c>
      <c r="AF303">
        <f>IF(OR('Исходные данные'!$B$22&lt;&gt;"Да",'Исходные данные'!$B$26="",C303&lt;'Исходные данные'!$B$26),0,DATEDIF(DATE(YEAR('Исходные данные'!$B$26),MONTH('Исходные данные'!$B$26),1),B303,"m")+1)</f>
        <v>0</v>
      </c>
      <c r="AG303">
        <f>IF(OR(AF303&lt;1,AF303&gt;N('Исходные данные'!$B$25),AE303+AD303&lt;=0),0,-(AE303+AD303)*N('Исходные данные'!$B$24)*IF(AF303=1,C303-'Исходные данные'!$B$26+1,DAY(C303))/365)</f>
        <v>0</v>
      </c>
      <c r="AH303">
        <f>IF(OR(AF303&lt;1,AF303&gt;N('Исходные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данные'!$B$25)-AG303))</f>
        <v>0</v>
      </c>
      <c r="AI303">
        <f>IF(OR('Исходные данные'!$B$22&lt;&gt;"Да",AE303+AD303&lt;=0),0,IF(AND('Исходные данные'!$B$91&lt;&gt;"",B303&lt;&gt;"",YEAR(B303)=YEAR('Исходные данные'!$B$91),MONTH(B303)=MONTH('Исходные данные'!$B$91)),-(AE303+AD303),IF(OR(AF303&lt;1,AF303&gt;N('Исходные данные'!$B$25)),0,IF('Исходные данные'!$B$27="Равными долями",-MIN(AE303+AD303,N('Исходные данные'!$B$23)/N('Исходные данные'!$B$25)),-MIN(AE303+AD303,IF(AF303=N('Исходные данные'!$B$25),AE303+AD303,MAX(0,AH303+AG303)))))))</f>
        <v>0</v>
      </c>
      <c r="AJ303">
        <f t="shared" si="170"/>
        <v>0</v>
      </c>
      <c r="AK303">
        <f t="shared" si="153"/>
        <v>0</v>
      </c>
      <c r="AL303">
        <f>IF(OR(B303="",'Исходные данные'!$B$51&lt;&gt;"Да",'Исходные данные'!$B$61=""),0,IF(AND(YEAR(B303)=YEAR('Исходные данные'!$B$61),MONTH(B303)=MONTH('Исходные данные'!$B$61)),N('Исходные данные'!$B$18)*N('Исходные данные'!$B$62),0))</f>
        <v>0</v>
      </c>
      <c r="AM303">
        <f t="shared" si="154"/>
        <v>0</v>
      </c>
      <c r="AN303">
        <f t="shared" si="155"/>
        <v>0</v>
      </c>
      <c r="AO303">
        <f t="shared" si="156"/>
        <v>0</v>
      </c>
      <c r="AP303">
        <f>IF('Исходные данные'!$B$51="Да",-MAX(0,AN303-AO303-AM303),0)</f>
        <v>0</v>
      </c>
      <c r="AQ303">
        <f>IF('Исходные данные'!$B$51="Да",MAX(0,AM303+AO303-AN303),0)</f>
        <v>0</v>
      </c>
      <c r="AR303">
        <f>IF('Исходные данные'!$B$53="Выручка",MAX(0,L303+(Q303-R303)+(U303-V303)),IF('Исходные данные'!$B$53="Прибыль до налога",MAX(0,L303+(Q303-R303)+(U303-V303)+N('Исходные данные'!$B$54)*((O303+P303)+(S303+T303)+W303+X303)+IF('Исходные данные'!$B$55="Да",AG303,0)-N('Исходные данные'!$B$56)/12),IF('Исходные данные'!$B$53="Пользовательская база",MAX(0,N('Исходные данные'!$B$57)/12),0)))</f>
        <v>0</v>
      </c>
      <c r="AS303">
        <f>IF(E303=1,-AR303*N('Исходные данные'!$B$50),0)</f>
        <v>0</v>
      </c>
      <c r="AT303">
        <f t="shared" si="157"/>
        <v>0</v>
      </c>
      <c r="AU303">
        <f>IF(OR(B303="",N('Исходные данные'!$B$80)&lt;=0,'Исходные данные'!$B$88=""),0,MAX(0,IF('Исходные данные'!$B$88="Последние 12 месяцев",SUMIFS($Y$2:$Y$194,$B$2:$B$194,"&gt;="&amp;EDATE(B303,-11),$B$2:$B$194,"&lt;="&amp;B303),IF('Исходные данные'!$B$88="Пользовательский NOI",N('Исходные данные'!$B$89),AT303))/N('Исходные данные'!$B$80)*(1+N('Исходные данные'!$B$81))))</f>
        <v>0</v>
      </c>
      <c r="AV303">
        <f>IF(OR(E303&lt;&gt;1,B303="",'Исходные данные'!$B$91=""),0,IF(AND(YEAR(B303)=YEAR('Исходные данные'!$B$91),MONTH(B303)=MONTH('Исходные данные'!$B$91)),AU303,0))</f>
        <v>0</v>
      </c>
      <c r="AW303">
        <f>-AV303*N('Исходные данные'!$B$73)</f>
        <v>0</v>
      </c>
      <c r="AX303">
        <f>IF(AV303=0,0,-N('Исходные данные'!$B$87)-IF('Исходные данные'!$B$82="Да",IF('Исходные данные'!$B$84="С выручки",AV303,IF('Исходные данные'!$B$84="С прибыли",MAX(0,AV303+AW303-IF('Исходные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03">
        <f t="shared" si="171"/>
        <v>0</v>
      </c>
      <c r="AZ303">
        <f t="shared" si="158"/>
        <v>0</v>
      </c>
      <c r="BA303">
        <f t="shared" si="172"/>
        <v>0</v>
      </c>
      <c r="BB303" t="str">
        <f t="shared" si="159"/>
        <v/>
      </c>
      <c r="BC303">
        <f>IF(OR(E303=0,'Исходные данные'!$B$9="",'Исходные данные'!$B$90=""),0,BA303/(1+'Исходные данные'!$B$90)^((D303-'Исходные данные'!$B$9)/365))</f>
        <v>0</v>
      </c>
      <c r="BD303">
        <f>IF(AND(E303=1,BB303&gt;=0,BB302&lt;0,MIN($BB$2:BB303)&lt;0),1,0)</f>
        <v>0</v>
      </c>
      <c r="BE303">
        <f t="shared" si="160"/>
        <v>0</v>
      </c>
      <c r="BF303">
        <f t="shared" si="161"/>
        <v>0</v>
      </c>
      <c r="BG303">
        <f t="shared" si="162"/>
        <v>0</v>
      </c>
      <c r="BH303">
        <f t="shared" si="163"/>
        <v>1</v>
      </c>
      <c r="BI303">
        <f>AZ303+N303+AP303-AR303*N('Исходные данные'!$B$50)</f>
        <v>0</v>
      </c>
      <c r="BJ303">
        <f t="shared" si="164"/>
        <v>0</v>
      </c>
      <c r="BK303">
        <f>IF(AND(BJ303&gt;=0,BJ302&lt;0,MIN($BJ$2:BJ303)&lt;0),1,0)</f>
        <v>0</v>
      </c>
    </row>
    <row r="304" spans="1:63" x14ac:dyDescent="0.2">
      <c r="A304">
        <v>303</v>
      </c>
      <c r="B304" t="str">
        <f>IF('Исходные данные'!$B$9="","",EDATE(DATE(YEAR('Исходные данные'!$B$9),MONTH('Исходные данные'!$B$9),1),A304-1))</f>
        <v/>
      </c>
      <c r="C304" t="str">
        <f t="shared" si="165"/>
        <v/>
      </c>
      <c r="D304" t="str">
        <f>IF(B304="","",IF('Исходные данные'!$B$91&lt;&gt;"",IF(AND(YEAR(B304)=YEAR('Исходные данные'!$B$91),MONTH(B304)=MONTH('Исходные данные'!$B$91)),'Исходные данные'!$B$91,IF('Исходные данные'!$B$13&lt;&gt;"",IF(AND(YEAR(B304)=YEAR('Исходные данные'!$B$13),MONTH(B304)=MONTH('Исходные данные'!$B$13)),'Исходные данные'!$B$13,IF('Исходные данные'!$B$26&lt;&gt;"",IF(AND(YEAR(B304)=YEAR('Исходные данные'!$B$26),MONTH(B304)=MONTH('Исходные данные'!$B$26)),'Исходные данные'!$B$26,IF(A304=1,'Исходные данные'!$B$9,C304)),IF(A304=1,'Исходные данные'!$B$9,C304))),IF('Исходные данные'!$B$26&lt;&gt;"",IF(AND(YEAR(B304)=YEAR('Исходные данные'!$B$26),MONTH(B304)=MONTH('Исходные данные'!$B$26)),'Исходные данные'!$B$26,IF(A304=1,'Исходные данные'!$B$9,C304)),IF(A304=1,'Исходные данные'!$B$9,C304)))),IF('Исходные данные'!$B$13&lt;&gt;"",IF(AND(YEAR(B304)=YEAR('Исходные данные'!$B$13),MONTH(B304)=MONTH('Исходные данные'!$B$13)),'Исходные данные'!$B$13,IF('Исходные данные'!$B$26&lt;&gt;"",IF(AND(YEAR(B304)=YEAR('Исходные данные'!$B$26),MONTH(B304)=MONTH('Исходные данные'!$B$26)),'Исходные данные'!$B$26,IF(A304=1,'Исходные данные'!$B$9,C304)),IF(A304=1,'Исходные данные'!$B$9,C304))),IF('Исходные данные'!$B$26&lt;&gt;"",IF(AND(YEAR(B304)=YEAR('Исходные данные'!$B$26),MONTH(B304)=MONTH('Исходные данные'!$B$26)),'Исходные данные'!$B$26,IF(A304=1,'Исходные данные'!$B$9,C304)),IF(A304=1,'Исходные данные'!$B$9,C304)))))</f>
        <v/>
      </c>
      <c r="E304">
        <f>IF(OR(B304="",'Исходные данные'!$B$91=""),0,--(B304&lt;=DATE(YEAR('Исходные данные'!$B$91),MONTH('Исходные данные'!$B$91),1)))</f>
        <v>0</v>
      </c>
      <c r="F304">
        <f>IF(OR(B304="",'Исходные данные'!$B$30="",C304&lt;'Исходные данные'!$B$30),0,DATEDIF(DATE(YEAR('Исходные данные'!$B$30),MONTH('Исходные данные'!$B$30),1),B304,"m")+1)</f>
        <v>0</v>
      </c>
      <c r="G304">
        <f t="shared" si="166"/>
        <v>0</v>
      </c>
      <c r="H304">
        <f>IF(F304=0,0,IF(G304=1,N('Исходные данные'!$B$31),IF(G304=2,N('Исходные данные'!$B$32),IF(G304=3,N('Исходные данные'!$B$33),N('Исходные данные'!$B$33)*(1+N('Исходные данные'!$B$34))^(G304-3)))))</f>
        <v>0</v>
      </c>
      <c r="I304">
        <f>IF(OR(F304=0,N('Исходные данные'!$B$5)=0,H304=0),0,'Исходные данные'!$B$5*H304*IF(AND(B304&lt;='Исходные данные'!$B$30,C304&gt;='Исходные данные'!$B$30),(C304-'Исходные данные'!$B$30+1)/DAY(C304),1))</f>
        <v>0</v>
      </c>
      <c r="J304">
        <f>IF(AND(F304&gt;0,F304&lt;=N('Исходные данные'!$B$37)),-I304,0)</f>
        <v>0</v>
      </c>
      <c r="K304">
        <f>IF(OR(F304=0,F304&lt;=N('Исходные данные'!$B$37)),0,-(I304+J304)*N('Исходные данные'!$B$38))</f>
        <v>0</v>
      </c>
      <c r="L304">
        <f t="shared" si="167"/>
        <v>0</v>
      </c>
      <c r="M304">
        <f>IF('Исходные данные'!$B$51="Да",L304*N('Исходные данные'!$B$52),0)</f>
        <v>0</v>
      </c>
      <c r="N304">
        <f t="shared" si="168"/>
        <v>0</v>
      </c>
      <c r="O304">
        <f>IF(OR(B304="",IF('Исходные данные'!$B$45="",'Исходные данные'!$B$10,'Исходные данные'!$B$45)="",C304&lt;IF('Исходные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данные'!$B$45)),1),B304,"m")/12))*IF(AND(B304&lt;=IF('Исходные данные'!$B$45="",'Исходные данные'!$B$10,'Исходные данные'!$B$45),C304&gt;=IF('Исходные данные'!$B$45="",'Исходные данные'!$B$10,'Исходные данные'!$B$45)),(C304-IF('Исходные данные'!$B$45="",'Исходные данные'!$B$10,'Исходные данные'!$B$45)+1)/DAY(C304),1)*IF('Исходные данные'!$B$43="Без НДС",1+N('Исходные данные'!$B$44),1))</f>
        <v>0</v>
      </c>
      <c r="P304">
        <f>IF('Исходные данные'!$B$51="Да",-O304*N('Исходные данные'!$B$44)/(1+N('Исходные данные'!$B$44)),0)</f>
        <v>0</v>
      </c>
      <c r="Q304">
        <f>IF('Исходные данные'!$B$35="Да",-O304,0)</f>
        <v>0</v>
      </c>
      <c r="R304">
        <f>IF(AND('Исходные данные'!$B$51="Да",Q304&gt;0),Q304*N('Исходные данные'!$B$52)/(1+N('Исходные данные'!$B$52)),0)</f>
        <v>0</v>
      </c>
      <c r="S304">
        <f>IF(OR(B304="",IF('Исходные данные'!$B$45="",'Исходные данные'!$B$10,'Исходные данные'!$B$45)="",C304&lt;IF('Исходные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данные'!$B$45)),1),B304,"m")/12))*IF(AND(B304&lt;=IF('Исходные данные'!$B$45="",'Исходные данные'!$B$10,'Исходные данные'!$B$45),C304&gt;=IF('Исходные данные'!$B$45="",'Исходные данные'!$B$10,'Исходные данные'!$B$45)),(C304-IF('Исходные данные'!$B$45="",'Исходные данные'!$B$10,'Исходные данные'!$B$45)+1)/DAY(C304),1)*IF('Исходные данные'!$B$43="Без НДС",1+N('Исходные данные'!$B$44),1))</f>
        <v>0</v>
      </c>
      <c r="T304">
        <f>IF('Исходные данные'!$B$51="Да",-S304*N('Исходные данные'!$B$44)/(1+N('Исходные данные'!$B$44)),0)</f>
        <v>0</v>
      </c>
      <c r="U304">
        <f>IF('Исходные данные'!$B$36="Да",-S304,0)</f>
        <v>0</v>
      </c>
      <c r="V304">
        <f>IF(AND('Исходные данные'!$B$51="Да",U304&gt;0),U304*N('Исходные данные'!$B$52)/(1+N('Исходные данные'!$B$52)),0)</f>
        <v>0</v>
      </c>
      <c r="W304">
        <f>IF(OR(B304="",IF('Исходные данные'!$B$69="",'Исходные данные'!$B$10,'Исходные данные'!$B$69)="",C304&lt;IF('Исходные данные'!$B$69="",'Исходные данные'!$B$10,'Исходные данные'!$B$69)),0,-N('Исходные данные'!$B$16)*N('Исходные данные'!$B$68)*N('Исходные данные'!$B$67)/12*IF(AND(B304&lt;=IF('Исходные данные'!$B$69="",'Исходные данные'!$B$10,'Исходные данные'!$B$69),C304&gt;=IF('Исходные данные'!$B$69="",'Исходные данные'!$B$10,'Исходные данные'!$B$69)),(C304-IF('Исходные данные'!$B$69="",'Исходные данные'!$B$10,'Исходные данные'!$B$69)+1)/DAY(C304),1))</f>
        <v>0</v>
      </c>
      <c r="X304">
        <f>IF(OR(B304="",IF('Исходные данные'!$B$76="",'Исходные данные'!$B$10,'Исходные данные'!$B$76)="",C304&lt;IF('Исходные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данные'!$B$76)),1),B304,"m")/12))*IF(AND(B304&lt;=IF('Исходные данные'!$B$76="",'Исходные данные'!$B$10,'Исходные данные'!$B$76),C304&gt;=IF('Исходные данные'!$B$76="",'Исходные данные'!$B$10,'Исходные данные'!$B$76)),(C304-IF('Исходные данные'!$B$76="",'Исходные данные'!$B$10,'Исходные данные'!$B$76)+1)/DAY(C304),1))</f>
        <v>0</v>
      </c>
      <c r="Y304">
        <f t="shared" si="169"/>
        <v>0</v>
      </c>
      <c r="Z304">
        <f>IF(OR(B304="",N('Исходные данные'!$B$19)=0),0,-SUMIFS('Исходные данные'!$I$6:$I$186,'Исходные данные'!$F$6:$F$186,B304)*N('Исходные данные'!$B$17)/N('Исходные данные'!$B$19))</f>
        <v>0</v>
      </c>
      <c r="AA304">
        <f>IF(OR(B304="",N('Исходные данные'!$B$19)=0),0,-SUMIFS('Исходные данные'!$I$6:$I$186,'Исходные данные'!$F$6:$F$186,B304)*N('Исходные данные'!$B$18)/N('Исходные данные'!$B$19))</f>
        <v>0</v>
      </c>
      <c r="AB304">
        <f>IF(OR(B304="",'Исходные данные'!$B$13=""),0,IF(AND(YEAR(B304)=YEAR('Исходные данные'!$B$13),MONTH(B304)=MONTH('Исходные данные'!$B$13)),-N('Исходные данные'!$B$11),0))</f>
        <v>0</v>
      </c>
      <c r="AC304">
        <f>IF(A304=1,-N('Исходные данные'!$B$19)*N('Исходные данные'!$B$72),0)</f>
        <v>0</v>
      </c>
      <c r="AD304">
        <f>IF(OR(B304="",'Исходные данные'!$B$22&lt;&gt;"Да",'Исходные данные'!$B$26=""),0,IF(AND(YEAR(B304)=YEAR('Исходные данные'!$B$26),MONTH(B304)=MONTH('Исходные данные'!$B$26)),N('Исходные данные'!$B$23),0))</f>
        <v>0</v>
      </c>
      <c r="AE304">
        <f t="shared" si="152"/>
        <v>0</v>
      </c>
      <c r="AF304">
        <f>IF(OR('Исходные данные'!$B$22&lt;&gt;"Да",'Исходные данные'!$B$26="",C304&lt;'Исходные данные'!$B$26),0,DATEDIF(DATE(YEAR('Исходные данные'!$B$26),MONTH('Исходные данные'!$B$26),1),B304,"m")+1)</f>
        <v>0</v>
      </c>
      <c r="AG304">
        <f>IF(OR(AF304&lt;1,AF304&gt;N('Исходные данные'!$B$25),AE304+AD304&lt;=0),0,-(AE304+AD304)*N('Исходные данные'!$B$24)*IF(AF304=1,C304-'Исходные данные'!$B$26+1,DAY(C304))/365)</f>
        <v>0</v>
      </c>
      <c r="AH304">
        <f>IF(OR(AF304&lt;1,AF304&gt;N('Исходные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данные'!$B$25)-AG304))</f>
        <v>0</v>
      </c>
      <c r="AI304">
        <f>IF(OR('Исходные данные'!$B$22&lt;&gt;"Да",AE304+AD304&lt;=0),0,IF(AND('Исходные данные'!$B$91&lt;&gt;"",B304&lt;&gt;"",YEAR(B304)=YEAR('Исходные данные'!$B$91),MONTH(B304)=MONTH('Исходные данные'!$B$91)),-(AE304+AD304),IF(OR(AF304&lt;1,AF304&gt;N('Исходные данные'!$B$25)),0,IF('Исходные данные'!$B$27="Равными долями",-MIN(AE304+AD304,N('Исходные данные'!$B$23)/N('Исходные данные'!$B$25)),-MIN(AE304+AD304,IF(AF304=N('Исходные данные'!$B$25),AE304+AD304,MAX(0,AH304+AG304)))))))</f>
        <v>0</v>
      </c>
      <c r="AJ304">
        <f t="shared" si="170"/>
        <v>0</v>
      </c>
      <c r="AK304">
        <f t="shared" si="153"/>
        <v>0</v>
      </c>
      <c r="AL304">
        <f>IF(OR(B304="",'Исходные данные'!$B$51&lt;&gt;"Да",'Исходные данные'!$B$61=""),0,IF(AND(YEAR(B304)=YEAR('Исходные данные'!$B$61),MONTH(B304)=MONTH('Исходные данные'!$B$61)),N('Исходные данные'!$B$18)*N('Исходные данные'!$B$62),0))</f>
        <v>0</v>
      </c>
      <c r="AM304">
        <f t="shared" si="154"/>
        <v>0</v>
      </c>
      <c r="AN304">
        <f t="shared" si="155"/>
        <v>0</v>
      </c>
      <c r="AO304">
        <f t="shared" si="156"/>
        <v>0</v>
      </c>
      <c r="AP304">
        <f>IF('Исходные данные'!$B$51="Да",-MAX(0,AN304-AO304-AM304),0)</f>
        <v>0</v>
      </c>
      <c r="AQ304">
        <f>IF('Исходные данные'!$B$51="Да",MAX(0,AM304+AO304-AN304),0)</f>
        <v>0</v>
      </c>
      <c r="AR304">
        <f>IF('Исходные данные'!$B$53="Выручка",MAX(0,L304+(Q304-R304)+(U304-V304)),IF('Исходные данные'!$B$53="Прибыль до налога",MAX(0,L304+(Q304-R304)+(U304-V304)+N('Исходные данные'!$B$54)*((O304+P304)+(S304+T304)+W304+X304)+IF('Исходные данные'!$B$55="Да",AG304,0)-N('Исходные данные'!$B$56)/12),IF('Исходные данные'!$B$53="Пользовательская база",MAX(0,N('Исходные данные'!$B$57)/12),0)))</f>
        <v>0</v>
      </c>
      <c r="AS304">
        <f>IF(E304=1,-AR304*N('Исходные данные'!$B$50),0)</f>
        <v>0</v>
      </c>
      <c r="AT304">
        <f t="shared" si="157"/>
        <v>0</v>
      </c>
      <c r="AU304">
        <f>IF(OR(B304="",N('Исходные данные'!$B$80)&lt;=0,'Исходные данные'!$B$88=""),0,MAX(0,IF('Исходные данные'!$B$88="Последние 12 месяцев",SUMIFS($Y$2:$Y$194,$B$2:$B$194,"&gt;="&amp;EDATE(B304,-11),$B$2:$B$194,"&lt;="&amp;B304),IF('Исходные данные'!$B$88="Пользовательский NOI",N('Исходные данные'!$B$89),AT304))/N('Исходные данные'!$B$80)*(1+N('Исходные данные'!$B$81))))</f>
        <v>0</v>
      </c>
      <c r="AV304">
        <f>IF(OR(E304&lt;&gt;1,B304="",'Исходные данные'!$B$91=""),0,IF(AND(YEAR(B304)=YEAR('Исходные данные'!$B$91),MONTH(B304)=MONTH('Исходные данные'!$B$91)),AU304,0))</f>
        <v>0</v>
      </c>
      <c r="AW304">
        <f>-AV304*N('Исходные данные'!$B$73)</f>
        <v>0</v>
      </c>
      <c r="AX304">
        <f>IF(AV304=0,0,-N('Исходные данные'!$B$87)-IF('Исходные данные'!$B$82="Да",IF('Исходные данные'!$B$84="С выручки",AV304,IF('Исходные данные'!$B$84="С прибыли",MAX(0,AV304+AW304-IF('Исходные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04">
        <f t="shared" si="171"/>
        <v>0</v>
      </c>
      <c r="AZ304">
        <f t="shared" si="158"/>
        <v>0</v>
      </c>
      <c r="BA304">
        <f t="shared" si="172"/>
        <v>0</v>
      </c>
      <c r="BB304" t="str">
        <f t="shared" si="159"/>
        <v/>
      </c>
      <c r="BC304">
        <f>IF(OR(E304=0,'Исходные данные'!$B$9="",'Исходные данные'!$B$90=""),0,BA304/(1+'Исходные данные'!$B$90)^((D304-'Исходные данные'!$B$9)/365))</f>
        <v>0</v>
      </c>
      <c r="BD304">
        <f>IF(AND(E304=1,BB304&gt;=0,BB303&lt;0,MIN($BB$2:BB304)&lt;0),1,0)</f>
        <v>0</v>
      </c>
      <c r="BE304">
        <f t="shared" si="160"/>
        <v>0</v>
      </c>
      <c r="BF304">
        <f t="shared" si="161"/>
        <v>0</v>
      </c>
      <c r="BG304">
        <f t="shared" si="162"/>
        <v>0</v>
      </c>
      <c r="BH304">
        <f t="shared" si="163"/>
        <v>1</v>
      </c>
      <c r="BI304">
        <f>AZ304+N304+AP304-AR304*N('Исходные данные'!$B$50)</f>
        <v>0</v>
      </c>
      <c r="BJ304">
        <f t="shared" si="164"/>
        <v>0</v>
      </c>
      <c r="BK304">
        <f>IF(AND(BJ304&gt;=0,BJ303&lt;0,MIN($BJ$2:BJ304)&lt;0),1,0)</f>
        <v>0</v>
      </c>
    </row>
    <row r="305" spans="1:63" x14ac:dyDescent="0.2">
      <c r="A305">
        <v>304</v>
      </c>
      <c r="B305" t="str">
        <f>IF('Исходные данные'!$B$9="","",EDATE(DATE(YEAR('Исходные данные'!$B$9),MONTH('Исходные данные'!$B$9),1),A305-1))</f>
        <v/>
      </c>
      <c r="C305" t="str">
        <f t="shared" si="165"/>
        <v/>
      </c>
      <c r="D305" t="str">
        <f>IF(B305="","",IF('Исходные данные'!$B$91&lt;&gt;"",IF(AND(YEAR(B305)=YEAR('Исходные данные'!$B$91),MONTH(B305)=MONTH('Исходные данные'!$B$91)),'Исходные данные'!$B$91,IF('Исходные данные'!$B$13&lt;&gt;"",IF(AND(YEAR(B305)=YEAR('Исходные данные'!$B$13),MONTH(B305)=MONTH('Исходные данные'!$B$13)),'Исходные данные'!$B$13,IF('Исходные данные'!$B$26&lt;&gt;"",IF(AND(YEAR(B305)=YEAR('Исходные данные'!$B$26),MONTH(B305)=MONTH('Исходные данные'!$B$26)),'Исходные данные'!$B$26,IF(A305=1,'Исходные данные'!$B$9,C305)),IF(A305=1,'Исходные данные'!$B$9,C305))),IF('Исходные данные'!$B$26&lt;&gt;"",IF(AND(YEAR(B305)=YEAR('Исходные данные'!$B$26),MONTH(B305)=MONTH('Исходные данные'!$B$26)),'Исходные данные'!$B$26,IF(A305=1,'Исходные данные'!$B$9,C305)),IF(A305=1,'Исходные данные'!$B$9,C305)))),IF('Исходные данные'!$B$13&lt;&gt;"",IF(AND(YEAR(B305)=YEAR('Исходные данные'!$B$13),MONTH(B305)=MONTH('Исходные данные'!$B$13)),'Исходные данные'!$B$13,IF('Исходные данные'!$B$26&lt;&gt;"",IF(AND(YEAR(B305)=YEAR('Исходные данные'!$B$26),MONTH(B305)=MONTH('Исходные данные'!$B$26)),'Исходные данные'!$B$26,IF(A305=1,'Исходные данные'!$B$9,C305)),IF(A305=1,'Исходные данные'!$B$9,C305))),IF('Исходные данные'!$B$26&lt;&gt;"",IF(AND(YEAR(B305)=YEAR('Исходные данные'!$B$26),MONTH(B305)=MONTH('Исходные данные'!$B$26)),'Исходные данные'!$B$26,IF(A305=1,'Исходные данные'!$B$9,C305)),IF(A305=1,'Исходные данные'!$B$9,C305)))))</f>
        <v/>
      </c>
      <c r="E305">
        <f>IF(OR(B305="",'Исходные данные'!$B$91=""),0,--(B305&lt;=DATE(YEAR('Исходные данные'!$B$91),MONTH('Исходные данные'!$B$91),1)))</f>
        <v>0</v>
      </c>
      <c r="F305">
        <f>IF(OR(B305="",'Исходные данные'!$B$30="",C305&lt;'Исходные данные'!$B$30),0,DATEDIF(DATE(YEAR('Исходные данные'!$B$30),MONTH('Исходные данные'!$B$30),1),B305,"m")+1)</f>
        <v>0</v>
      </c>
      <c r="G305">
        <f t="shared" si="166"/>
        <v>0</v>
      </c>
      <c r="H305">
        <f>IF(F305=0,0,IF(G305=1,N('Исходные данные'!$B$31),IF(G305=2,N('Исходные данные'!$B$32),IF(G305=3,N('Исходные данные'!$B$33),N('Исходные данные'!$B$33)*(1+N('Исходные данные'!$B$34))^(G305-3)))))</f>
        <v>0</v>
      </c>
      <c r="I305">
        <f>IF(OR(F305=0,N('Исходные данные'!$B$5)=0,H305=0),0,'Исходные данные'!$B$5*H305*IF(AND(B305&lt;='Исходные данные'!$B$30,C305&gt;='Исходные данные'!$B$30),(C305-'Исходные данные'!$B$30+1)/DAY(C305),1))</f>
        <v>0</v>
      </c>
      <c r="J305">
        <f>IF(AND(F305&gt;0,F305&lt;=N('Исходные данные'!$B$37)),-I305,0)</f>
        <v>0</v>
      </c>
      <c r="K305">
        <f>IF(OR(F305=0,F305&lt;=N('Исходные данные'!$B$37)),0,-(I305+J305)*N('Исходные данные'!$B$38))</f>
        <v>0</v>
      </c>
      <c r="L305">
        <f t="shared" si="167"/>
        <v>0</v>
      </c>
      <c r="M305">
        <f>IF('Исходные данные'!$B$51="Да",L305*N('Исходные данные'!$B$52),0)</f>
        <v>0</v>
      </c>
      <c r="N305">
        <f t="shared" si="168"/>
        <v>0</v>
      </c>
      <c r="O305">
        <f>IF(OR(B305="",IF('Исходные данные'!$B$45="",'Исходные данные'!$B$10,'Исходные данные'!$B$45)="",C305&lt;IF('Исходные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данные'!$B$45)),1),B305,"m")/12))*IF(AND(B305&lt;=IF('Исходные данные'!$B$45="",'Исходные данные'!$B$10,'Исходные данные'!$B$45),C305&gt;=IF('Исходные данные'!$B$45="",'Исходные данные'!$B$10,'Исходные данные'!$B$45)),(C305-IF('Исходные данные'!$B$45="",'Исходные данные'!$B$10,'Исходные данные'!$B$45)+1)/DAY(C305),1)*IF('Исходные данные'!$B$43="Без НДС",1+N('Исходные данные'!$B$44),1))</f>
        <v>0</v>
      </c>
      <c r="P305">
        <f>IF('Исходные данные'!$B$51="Да",-O305*N('Исходные данные'!$B$44)/(1+N('Исходные данные'!$B$44)),0)</f>
        <v>0</v>
      </c>
      <c r="Q305">
        <f>IF('Исходные данные'!$B$35="Да",-O305,0)</f>
        <v>0</v>
      </c>
      <c r="R305">
        <f>IF(AND('Исходные данные'!$B$51="Да",Q305&gt;0),Q305*N('Исходные данные'!$B$52)/(1+N('Исходные данные'!$B$52)),0)</f>
        <v>0</v>
      </c>
      <c r="S305">
        <f>IF(OR(B305="",IF('Исходные данные'!$B$45="",'Исходные данные'!$B$10,'Исходные данные'!$B$45)="",C305&lt;IF('Исходные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данные'!$B$45)),1),B305,"m")/12))*IF(AND(B305&lt;=IF('Исходные данные'!$B$45="",'Исходные данные'!$B$10,'Исходные данные'!$B$45),C305&gt;=IF('Исходные данные'!$B$45="",'Исходные данные'!$B$10,'Исходные данные'!$B$45)),(C305-IF('Исходные данные'!$B$45="",'Исходные данные'!$B$10,'Исходные данные'!$B$45)+1)/DAY(C305),1)*IF('Исходные данные'!$B$43="Без НДС",1+N('Исходные данные'!$B$44),1))</f>
        <v>0</v>
      </c>
      <c r="T305">
        <f>IF('Исходные данные'!$B$51="Да",-S305*N('Исходные данные'!$B$44)/(1+N('Исходные данные'!$B$44)),0)</f>
        <v>0</v>
      </c>
      <c r="U305">
        <f>IF('Исходные данные'!$B$36="Да",-S305,0)</f>
        <v>0</v>
      </c>
      <c r="V305">
        <f>IF(AND('Исходные данные'!$B$51="Да",U305&gt;0),U305*N('Исходные данные'!$B$52)/(1+N('Исходные данные'!$B$52)),0)</f>
        <v>0</v>
      </c>
      <c r="W305">
        <f>IF(OR(B305="",IF('Исходные данные'!$B$69="",'Исходные данные'!$B$10,'Исходные данные'!$B$69)="",C305&lt;IF('Исходные данные'!$B$69="",'Исходные данные'!$B$10,'Исходные данные'!$B$69)),0,-N('Исходные данные'!$B$16)*N('Исходные данные'!$B$68)*N('Исходные данные'!$B$67)/12*IF(AND(B305&lt;=IF('Исходные данные'!$B$69="",'Исходные данные'!$B$10,'Исходные данные'!$B$69),C305&gt;=IF('Исходные данные'!$B$69="",'Исходные данные'!$B$10,'Исходные данные'!$B$69)),(C305-IF('Исходные данные'!$B$69="",'Исходные данные'!$B$10,'Исходные данные'!$B$69)+1)/DAY(C305),1))</f>
        <v>0</v>
      </c>
      <c r="X305">
        <f>IF(OR(B305="",IF('Исходные данные'!$B$76="",'Исходные данные'!$B$10,'Исходные данные'!$B$76)="",C305&lt;IF('Исходные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данные'!$B$76)),1),B305,"m")/12))*IF(AND(B305&lt;=IF('Исходные данные'!$B$76="",'Исходные данные'!$B$10,'Исходные данные'!$B$76),C305&gt;=IF('Исходные данные'!$B$76="",'Исходные данные'!$B$10,'Исходные данные'!$B$76)),(C305-IF('Исходные данные'!$B$76="",'Исходные данные'!$B$10,'Исходные данные'!$B$76)+1)/DAY(C305),1))</f>
        <v>0</v>
      </c>
      <c r="Y305">
        <f t="shared" si="169"/>
        <v>0</v>
      </c>
      <c r="Z305">
        <f>IF(OR(B305="",N('Исходные данные'!$B$19)=0),0,-SUMIFS('Исходные данные'!$I$6:$I$186,'Исходные данные'!$F$6:$F$186,B305)*N('Исходные данные'!$B$17)/N('Исходные данные'!$B$19))</f>
        <v>0</v>
      </c>
      <c r="AA305">
        <f>IF(OR(B305="",N('Исходные данные'!$B$19)=0),0,-SUMIFS('Исходные данные'!$I$6:$I$186,'Исходные данные'!$F$6:$F$186,B305)*N('Исходные данные'!$B$18)/N('Исходные данные'!$B$19))</f>
        <v>0</v>
      </c>
      <c r="AB305">
        <f>IF(OR(B305="",'Исходные данные'!$B$13=""),0,IF(AND(YEAR(B305)=YEAR('Исходные данные'!$B$13),MONTH(B305)=MONTH('Исходные данные'!$B$13)),-N('Исходные данные'!$B$11),0))</f>
        <v>0</v>
      </c>
      <c r="AC305">
        <f>IF(A305=1,-N('Исходные данные'!$B$19)*N('Исходные данные'!$B$72),0)</f>
        <v>0</v>
      </c>
      <c r="AD305">
        <f>IF(OR(B305="",'Исходные данные'!$B$22&lt;&gt;"Да",'Исходные данные'!$B$26=""),0,IF(AND(YEAR(B305)=YEAR('Исходные данные'!$B$26),MONTH(B305)=MONTH('Исходные данные'!$B$26)),N('Исходные данные'!$B$23),0))</f>
        <v>0</v>
      </c>
      <c r="AE305">
        <f t="shared" si="152"/>
        <v>0</v>
      </c>
      <c r="AF305">
        <f>IF(OR('Исходные данные'!$B$22&lt;&gt;"Да",'Исходные данные'!$B$26="",C305&lt;'Исходные данные'!$B$26),0,DATEDIF(DATE(YEAR('Исходные данные'!$B$26),MONTH('Исходные данные'!$B$26),1),B305,"m")+1)</f>
        <v>0</v>
      </c>
      <c r="AG305">
        <f>IF(OR(AF305&lt;1,AF305&gt;N('Исходные данные'!$B$25),AE305+AD305&lt;=0),0,-(AE305+AD305)*N('Исходные данные'!$B$24)*IF(AF305=1,C305-'Исходные данные'!$B$26+1,DAY(C305))/365)</f>
        <v>0</v>
      </c>
      <c r="AH305">
        <f>IF(OR(AF305&lt;1,AF305&gt;N('Исходные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данные'!$B$25)-AG305))</f>
        <v>0</v>
      </c>
      <c r="AI305">
        <f>IF(OR('Исходные данные'!$B$22&lt;&gt;"Да",AE305+AD305&lt;=0),0,IF(AND('Исходные данные'!$B$91&lt;&gt;"",B305&lt;&gt;"",YEAR(B305)=YEAR('Исходные данные'!$B$91),MONTH(B305)=MONTH('Исходные данные'!$B$91)),-(AE305+AD305),IF(OR(AF305&lt;1,AF305&gt;N('Исходные данные'!$B$25)),0,IF('Исходные данные'!$B$27="Равными долями",-MIN(AE305+AD305,N('Исходные данные'!$B$23)/N('Исходные данные'!$B$25)),-MIN(AE305+AD305,IF(AF305=N('Исходные данные'!$B$25),AE305+AD305,MAX(0,AH305+AG305)))))))</f>
        <v>0</v>
      </c>
      <c r="AJ305">
        <f t="shared" si="170"/>
        <v>0</v>
      </c>
      <c r="AK305">
        <f t="shared" si="153"/>
        <v>0</v>
      </c>
      <c r="AL305">
        <f>IF(OR(B305="",'Исходные данные'!$B$51&lt;&gt;"Да",'Исходные данные'!$B$61=""),0,IF(AND(YEAR(B305)=YEAR('Исходные данные'!$B$61),MONTH(B305)=MONTH('Исходные данные'!$B$61)),N('Исходные данные'!$B$18)*N('Исходные данные'!$B$62),0))</f>
        <v>0</v>
      </c>
      <c r="AM305">
        <f t="shared" si="154"/>
        <v>0</v>
      </c>
      <c r="AN305">
        <f t="shared" si="155"/>
        <v>0</v>
      </c>
      <c r="AO305">
        <f t="shared" si="156"/>
        <v>0</v>
      </c>
      <c r="AP305">
        <f>IF('Исходные данные'!$B$51="Да",-MAX(0,AN305-AO305-AM305),0)</f>
        <v>0</v>
      </c>
      <c r="AQ305">
        <f>IF('Исходные данные'!$B$51="Да",MAX(0,AM305+AO305-AN305),0)</f>
        <v>0</v>
      </c>
      <c r="AR305">
        <f>IF('Исходные данные'!$B$53="Выручка",MAX(0,L305+(Q305-R305)+(U305-V305)),IF('Исходные данные'!$B$53="Прибыль до налога",MAX(0,L305+(Q305-R305)+(U305-V305)+N('Исходные данные'!$B$54)*((O305+P305)+(S305+T305)+W305+X305)+IF('Исходные данные'!$B$55="Да",AG305,0)-N('Исходные данные'!$B$56)/12),IF('Исходные данные'!$B$53="Пользовательская база",MAX(0,N('Исходные данные'!$B$57)/12),0)))</f>
        <v>0</v>
      </c>
      <c r="AS305">
        <f>IF(E305=1,-AR305*N('Исходные данные'!$B$50),0)</f>
        <v>0</v>
      </c>
      <c r="AT305">
        <f t="shared" si="157"/>
        <v>0</v>
      </c>
      <c r="AU305">
        <f>IF(OR(B305="",N('Исходные данные'!$B$80)&lt;=0,'Исходные данные'!$B$88=""),0,MAX(0,IF('Исходные данные'!$B$88="Последние 12 месяцев",SUMIFS($Y$2:$Y$194,$B$2:$B$194,"&gt;="&amp;EDATE(B305,-11),$B$2:$B$194,"&lt;="&amp;B305),IF('Исходные данные'!$B$88="Пользовательский NOI",N('Исходные данные'!$B$89),AT305))/N('Исходные данные'!$B$80)*(1+N('Исходные данные'!$B$81))))</f>
        <v>0</v>
      </c>
      <c r="AV305">
        <f>IF(OR(E305&lt;&gt;1,B305="",'Исходные данные'!$B$91=""),0,IF(AND(YEAR(B305)=YEAR('Исходные данные'!$B$91),MONTH(B305)=MONTH('Исходные данные'!$B$91)),AU305,0))</f>
        <v>0</v>
      </c>
      <c r="AW305">
        <f>-AV305*N('Исходные данные'!$B$73)</f>
        <v>0</v>
      </c>
      <c r="AX305">
        <f>IF(AV305=0,0,-N('Исходные данные'!$B$87)-IF('Исходные данные'!$B$82="Да",IF('Исходные данные'!$B$84="С выручки",AV305,IF('Исходные данные'!$B$84="С прибыли",MAX(0,AV305+AW305-IF('Исходные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05">
        <f t="shared" si="171"/>
        <v>0</v>
      </c>
      <c r="AZ305">
        <f t="shared" si="158"/>
        <v>0</v>
      </c>
      <c r="BA305">
        <f t="shared" si="172"/>
        <v>0</v>
      </c>
      <c r="BB305" t="str">
        <f t="shared" si="159"/>
        <v/>
      </c>
      <c r="BC305">
        <f>IF(OR(E305=0,'Исходные данные'!$B$9="",'Исходные данные'!$B$90=""),0,BA305/(1+'Исходные данные'!$B$90)^((D305-'Исходные данные'!$B$9)/365))</f>
        <v>0</v>
      </c>
      <c r="BD305">
        <f>IF(AND(E305=1,BB305&gt;=0,BB304&lt;0,MIN($BB$2:BB305)&lt;0),1,0)</f>
        <v>0</v>
      </c>
      <c r="BE305">
        <f t="shared" si="160"/>
        <v>0</v>
      </c>
      <c r="BF305">
        <f t="shared" si="161"/>
        <v>0</v>
      </c>
      <c r="BG305">
        <f t="shared" si="162"/>
        <v>0</v>
      </c>
      <c r="BH305">
        <f t="shared" si="163"/>
        <v>1</v>
      </c>
      <c r="BI305">
        <f>AZ305+N305+AP305-AR305*N('Исходные данные'!$B$50)</f>
        <v>0</v>
      </c>
      <c r="BJ305">
        <f t="shared" si="164"/>
        <v>0</v>
      </c>
      <c r="BK305">
        <f>IF(AND(BJ305&gt;=0,BJ304&lt;0,MIN($BJ$2:BJ305)&lt;0),1,0)</f>
        <v>0</v>
      </c>
    </row>
    <row r="306" spans="1:63" x14ac:dyDescent="0.2">
      <c r="A306">
        <v>305</v>
      </c>
      <c r="B306" t="str">
        <f>IF('Исходные данные'!$B$9="","",EDATE(DATE(YEAR('Исходные данные'!$B$9),MONTH('Исходные данные'!$B$9),1),A306-1))</f>
        <v/>
      </c>
      <c r="C306" t="str">
        <f t="shared" si="165"/>
        <v/>
      </c>
      <c r="D306" t="str">
        <f>IF(B306="","",IF('Исходные данные'!$B$91&lt;&gt;"",IF(AND(YEAR(B306)=YEAR('Исходные данные'!$B$91),MONTH(B306)=MONTH('Исходные данные'!$B$91)),'Исходные данные'!$B$91,IF('Исходные данные'!$B$13&lt;&gt;"",IF(AND(YEAR(B306)=YEAR('Исходные данные'!$B$13),MONTH(B306)=MONTH('Исходные данные'!$B$13)),'Исходные данные'!$B$13,IF('Исходные данные'!$B$26&lt;&gt;"",IF(AND(YEAR(B306)=YEAR('Исходные данные'!$B$26),MONTH(B306)=MONTH('Исходные данные'!$B$26)),'Исходные данные'!$B$26,IF(A306=1,'Исходные данные'!$B$9,C306)),IF(A306=1,'Исходные данные'!$B$9,C306))),IF('Исходные данные'!$B$26&lt;&gt;"",IF(AND(YEAR(B306)=YEAR('Исходные данные'!$B$26),MONTH(B306)=MONTH('Исходные данные'!$B$26)),'Исходные данные'!$B$26,IF(A306=1,'Исходные данные'!$B$9,C306)),IF(A306=1,'Исходные данные'!$B$9,C306)))),IF('Исходные данные'!$B$13&lt;&gt;"",IF(AND(YEAR(B306)=YEAR('Исходные данные'!$B$13),MONTH(B306)=MONTH('Исходные данные'!$B$13)),'Исходные данные'!$B$13,IF('Исходные данные'!$B$26&lt;&gt;"",IF(AND(YEAR(B306)=YEAR('Исходные данные'!$B$26),MONTH(B306)=MONTH('Исходные данные'!$B$26)),'Исходные данные'!$B$26,IF(A306=1,'Исходные данные'!$B$9,C306)),IF(A306=1,'Исходные данные'!$B$9,C306))),IF('Исходные данные'!$B$26&lt;&gt;"",IF(AND(YEAR(B306)=YEAR('Исходные данные'!$B$26),MONTH(B306)=MONTH('Исходные данные'!$B$26)),'Исходные данные'!$B$26,IF(A306=1,'Исходные данные'!$B$9,C306)),IF(A306=1,'Исходные данные'!$B$9,C306)))))</f>
        <v/>
      </c>
      <c r="E306">
        <f>IF(OR(B306="",'Исходные данные'!$B$91=""),0,--(B306&lt;=DATE(YEAR('Исходные данные'!$B$91),MONTH('Исходные данные'!$B$91),1)))</f>
        <v>0</v>
      </c>
      <c r="F306">
        <f>IF(OR(B306="",'Исходные данные'!$B$30="",C306&lt;'Исходные данные'!$B$30),0,DATEDIF(DATE(YEAR('Исходные данные'!$B$30),MONTH('Исходные данные'!$B$30),1),B306,"m")+1)</f>
        <v>0</v>
      </c>
      <c r="G306">
        <f t="shared" si="166"/>
        <v>0</v>
      </c>
      <c r="H306">
        <f>IF(F306=0,0,IF(G306=1,N('Исходные данные'!$B$31),IF(G306=2,N('Исходные данные'!$B$32),IF(G306=3,N('Исходные данные'!$B$33),N('Исходные данные'!$B$33)*(1+N('Исходные данные'!$B$34))^(G306-3)))))</f>
        <v>0</v>
      </c>
      <c r="I306">
        <f>IF(OR(F306=0,N('Исходные данные'!$B$5)=0,H306=0),0,'Исходные данные'!$B$5*H306*IF(AND(B306&lt;='Исходные данные'!$B$30,C306&gt;='Исходные данные'!$B$30),(C306-'Исходные данные'!$B$30+1)/DAY(C306),1))</f>
        <v>0</v>
      </c>
      <c r="J306">
        <f>IF(AND(F306&gt;0,F306&lt;=N('Исходные данные'!$B$37)),-I306,0)</f>
        <v>0</v>
      </c>
      <c r="K306">
        <f>IF(OR(F306=0,F306&lt;=N('Исходные данные'!$B$37)),0,-(I306+J306)*N('Исходные данные'!$B$38))</f>
        <v>0</v>
      </c>
      <c r="L306">
        <f t="shared" si="167"/>
        <v>0</v>
      </c>
      <c r="M306">
        <f>IF('Исходные данные'!$B$51="Да",L306*N('Исходные данные'!$B$52),0)</f>
        <v>0</v>
      </c>
      <c r="N306">
        <f t="shared" si="168"/>
        <v>0</v>
      </c>
      <c r="O306">
        <f>IF(OR(B306="",IF('Исходные данные'!$B$45="",'Исходные данные'!$B$10,'Исходные данные'!$B$45)="",C306&lt;IF('Исходные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данные'!$B$45)),1),B306,"m")/12))*IF(AND(B306&lt;=IF('Исходные данные'!$B$45="",'Исходные данные'!$B$10,'Исходные данные'!$B$45),C306&gt;=IF('Исходные данные'!$B$45="",'Исходные данные'!$B$10,'Исходные данные'!$B$45)),(C306-IF('Исходные данные'!$B$45="",'Исходные данные'!$B$10,'Исходные данные'!$B$45)+1)/DAY(C306),1)*IF('Исходные данные'!$B$43="Без НДС",1+N('Исходные данные'!$B$44),1))</f>
        <v>0</v>
      </c>
      <c r="P306">
        <f>IF('Исходные данные'!$B$51="Да",-O306*N('Исходные данные'!$B$44)/(1+N('Исходные данные'!$B$44)),0)</f>
        <v>0</v>
      </c>
      <c r="Q306">
        <f>IF('Исходные данные'!$B$35="Да",-O306,0)</f>
        <v>0</v>
      </c>
      <c r="R306">
        <f>IF(AND('Исходные данные'!$B$51="Да",Q306&gt;0),Q306*N('Исходные данные'!$B$52)/(1+N('Исходные данные'!$B$52)),0)</f>
        <v>0</v>
      </c>
      <c r="S306">
        <f>IF(OR(B306="",IF('Исходные данные'!$B$45="",'Исходные данные'!$B$10,'Исходные данные'!$B$45)="",C306&lt;IF('Исходные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данные'!$B$45)),1),B306,"m")/12))*IF(AND(B306&lt;=IF('Исходные данные'!$B$45="",'Исходные данные'!$B$10,'Исходные данные'!$B$45),C306&gt;=IF('Исходные данные'!$B$45="",'Исходные данные'!$B$10,'Исходные данные'!$B$45)),(C306-IF('Исходные данные'!$B$45="",'Исходные данные'!$B$10,'Исходные данные'!$B$45)+1)/DAY(C306),1)*IF('Исходные данные'!$B$43="Без НДС",1+N('Исходные данные'!$B$44),1))</f>
        <v>0</v>
      </c>
      <c r="T306">
        <f>IF('Исходные данные'!$B$51="Да",-S306*N('Исходные данные'!$B$44)/(1+N('Исходные данные'!$B$44)),0)</f>
        <v>0</v>
      </c>
      <c r="U306">
        <f>IF('Исходные данные'!$B$36="Да",-S306,0)</f>
        <v>0</v>
      </c>
      <c r="V306">
        <f>IF(AND('Исходные данные'!$B$51="Да",U306&gt;0),U306*N('Исходные данные'!$B$52)/(1+N('Исходные данные'!$B$52)),0)</f>
        <v>0</v>
      </c>
      <c r="W306">
        <f>IF(OR(B306="",IF('Исходные данные'!$B$69="",'Исходные данные'!$B$10,'Исходные данные'!$B$69)="",C306&lt;IF('Исходные данные'!$B$69="",'Исходные данные'!$B$10,'Исходные данные'!$B$69)),0,-N('Исходные данные'!$B$16)*N('Исходные данные'!$B$68)*N('Исходные данные'!$B$67)/12*IF(AND(B306&lt;=IF('Исходные данные'!$B$69="",'Исходные данные'!$B$10,'Исходные данные'!$B$69),C306&gt;=IF('Исходные данные'!$B$69="",'Исходные данные'!$B$10,'Исходные данные'!$B$69)),(C306-IF('Исходные данные'!$B$69="",'Исходные данные'!$B$10,'Исходные данные'!$B$69)+1)/DAY(C306),1))</f>
        <v>0</v>
      </c>
      <c r="X306">
        <f>IF(OR(B306="",IF('Исходные данные'!$B$76="",'Исходные данные'!$B$10,'Исходные данные'!$B$76)="",C306&lt;IF('Исходные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данные'!$B$76)),1),B306,"m")/12))*IF(AND(B306&lt;=IF('Исходные данные'!$B$76="",'Исходные данные'!$B$10,'Исходные данные'!$B$76),C306&gt;=IF('Исходные данные'!$B$76="",'Исходные данные'!$B$10,'Исходные данные'!$B$76)),(C306-IF('Исходные данные'!$B$76="",'Исходные данные'!$B$10,'Исходные данные'!$B$76)+1)/DAY(C306),1))</f>
        <v>0</v>
      </c>
      <c r="Y306">
        <f t="shared" si="169"/>
        <v>0</v>
      </c>
      <c r="Z306">
        <f>IF(OR(B306="",N('Исходные данные'!$B$19)=0),0,-SUMIFS('Исходные данные'!$I$6:$I$186,'Исходные данные'!$F$6:$F$186,B306)*N('Исходные данные'!$B$17)/N('Исходные данные'!$B$19))</f>
        <v>0</v>
      </c>
      <c r="AA306">
        <f>IF(OR(B306="",N('Исходные данные'!$B$19)=0),0,-SUMIFS('Исходные данные'!$I$6:$I$186,'Исходные данные'!$F$6:$F$186,B306)*N('Исходные данные'!$B$18)/N('Исходные данные'!$B$19))</f>
        <v>0</v>
      </c>
      <c r="AB306">
        <f>IF(OR(B306="",'Исходные данные'!$B$13=""),0,IF(AND(YEAR(B306)=YEAR('Исходные данные'!$B$13),MONTH(B306)=MONTH('Исходные данные'!$B$13)),-N('Исходные данные'!$B$11),0))</f>
        <v>0</v>
      </c>
      <c r="AC306">
        <f>IF(A306=1,-N('Исходные данные'!$B$19)*N('Исходные данные'!$B$72),0)</f>
        <v>0</v>
      </c>
      <c r="AD306">
        <f>IF(OR(B306="",'Исходные данные'!$B$22&lt;&gt;"Да",'Исходные данные'!$B$26=""),0,IF(AND(YEAR(B306)=YEAR('Исходные данные'!$B$26),MONTH(B306)=MONTH('Исходные данные'!$B$26)),N('Исходные данные'!$B$23),0))</f>
        <v>0</v>
      </c>
      <c r="AE306">
        <f t="shared" si="152"/>
        <v>0</v>
      </c>
      <c r="AF306">
        <f>IF(OR('Исходные данные'!$B$22&lt;&gt;"Да",'Исходные данные'!$B$26="",C306&lt;'Исходные данные'!$B$26),0,DATEDIF(DATE(YEAR('Исходные данные'!$B$26),MONTH('Исходные данные'!$B$26),1),B306,"m")+1)</f>
        <v>0</v>
      </c>
      <c r="AG306">
        <f>IF(OR(AF306&lt;1,AF306&gt;N('Исходные данные'!$B$25),AE306+AD306&lt;=0),0,-(AE306+AD306)*N('Исходные данные'!$B$24)*IF(AF306=1,C306-'Исходные данные'!$B$26+1,DAY(C306))/365)</f>
        <v>0</v>
      </c>
      <c r="AH306">
        <f>IF(OR(AF306&lt;1,AF306&gt;N('Исходные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данные'!$B$25)-AG306))</f>
        <v>0</v>
      </c>
      <c r="AI306">
        <f>IF(OR('Исходные данные'!$B$22&lt;&gt;"Да",AE306+AD306&lt;=0),0,IF(AND('Исходные данные'!$B$91&lt;&gt;"",B306&lt;&gt;"",YEAR(B306)=YEAR('Исходные данные'!$B$91),MONTH(B306)=MONTH('Исходные данные'!$B$91)),-(AE306+AD306),IF(OR(AF306&lt;1,AF306&gt;N('Исходные данные'!$B$25)),0,IF('Исходные данные'!$B$27="Равными долями",-MIN(AE306+AD306,N('Исходные данные'!$B$23)/N('Исходные данные'!$B$25)),-MIN(AE306+AD306,IF(AF306=N('Исходные данные'!$B$25),AE306+AD306,MAX(0,AH306+AG306)))))))</f>
        <v>0</v>
      </c>
      <c r="AJ306">
        <f t="shared" si="170"/>
        <v>0</v>
      </c>
      <c r="AK306">
        <f t="shared" si="153"/>
        <v>0</v>
      </c>
      <c r="AL306">
        <f>IF(OR(B306="",'Исходные данные'!$B$51&lt;&gt;"Да",'Исходные данные'!$B$61=""),0,IF(AND(YEAR(B306)=YEAR('Исходные данные'!$B$61),MONTH(B306)=MONTH('Исходные данные'!$B$61)),N('Исходные данные'!$B$18)*N('Исходные данные'!$B$62),0))</f>
        <v>0</v>
      </c>
      <c r="AM306">
        <f t="shared" si="154"/>
        <v>0</v>
      </c>
      <c r="AN306">
        <f t="shared" si="155"/>
        <v>0</v>
      </c>
      <c r="AO306">
        <f t="shared" si="156"/>
        <v>0</v>
      </c>
      <c r="AP306">
        <f>IF('Исходные данные'!$B$51="Да",-MAX(0,AN306-AO306-AM306),0)</f>
        <v>0</v>
      </c>
      <c r="AQ306">
        <f>IF('Исходные данные'!$B$51="Да",MAX(0,AM306+AO306-AN306),0)</f>
        <v>0</v>
      </c>
      <c r="AR306">
        <f>IF('Исходные данные'!$B$53="Выручка",MAX(0,L306+(Q306-R306)+(U306-V306)),IF('Исходные данные'!$B$53="Прибыль до налога",MAX(0,L306+(Q306-R306)+(U306-V306)+N('Исходные данные'!$B$54)*((O306+P306)+(S306+T306)+W306+X306)+IF('Исходные данные'!$B$55="Да",AG306,0)-N('Исходные данные'!$B$56)/12),IF('Исходные данные'!$B$53="Пользовательская база",MAX(0,N('Исходные данные'!$B$57)/12),0)))</f>
        <v>0</v>
      </c>
      <c r="AS306">
        <f>IF(E306=1,-AR306*N('Исходные данные'!$B$50),0)</f>
        <v>0</v>
      </c>
      <c r="AT306">
        <f t="shared" si="157"/>
        <v>0</v>
      </c>
      <c r="AU306">
        <f>IF(OR(B306="",N('Исходные данные'!$B$80)&lt;=0,'Исходные данные'!$B$88=""),0,MAX(0,IF('Исходные данные'!$B$88="Последние 12 месяцев",SUMIFS($Y$2:$Y$194,$B$2:$B$194,"&gt;="&amp;EDATE(B306,-11),$B$2:$B$194,"&lt;="&amp;B306),IF('Исходные данные'!$B$88="Пользовательский NOI",N('Исходные данные'!$B$89),AT306))/N('Исходные данные'!$B$80)*(1+N('Исходные данные'!$B$81))))</f>
        <v>0</v>
      </c>
      <c r="AV306">
        <f>IF(OR(E306&lt;&gt;1,B306="",'Исходные данные'!$B$91=""),0,IF(AND(YEAR(B306)=YEAR('Исходные данные'!$B$91),MONTH(B306)=MONTH('Исходные данные'!$B$91)),AU306,0))</f>
        <v>0</v>
      </c>
      <c r="AW306">
        <f>-AV306*N('Исходные данные'!$B$73)</f>
        <v>0</v>
      </c>
      <c r="AX306">
        <f>IF(AV306=0,0,-N('Исходные данные'!$B$87)-IF('Исходные данные'!$B$82="Да",IF('Исходные данные'!$B$84="С выручки",AV306,IF('Исходные данные'!$B$84="С прибыли",MAX(0,AV306+AW306-IF('Исходные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06">
        <f t="shared" si="171"/>
        <v>0</v>
      </c>
      <c r="AZ306">
        <f t="shared" si="158"/>
        <v>0</v>
      </c>
      <c r="BA306">
        <f t="shared" si="172"/>
        <v>0</v>
      </c>
      <c r="BB306" t="str">
        <f t="shared" si="159"/>
        <v/>
      </c>
      <c r="BC306">
        <f>IF(OR(E306=0,'Исходные данные'!$B$9="",'Исходные данные'!$B$90=""),0,BA306/(1+'Исходные данные'!$B$90)^((D306-'Исходные данные'!$B$9)/365))</f>
        <v>0</v>
      </c>
      <c r="BD306">
        <f>IF(AND(E306=1,BB306&gt;=0,BB305&lt;0,MIN($BB$2:BB306)&lt;0),1,0)</f>
        <v>0</v>
      </c>
      <c r="BE306">
        <f t="shared" si="160"/>
        <v>0</v>
      </c>
      <c r="BF306">
        <f t="shared" si="161"/>
        <v>0</v>
      </c>
      <c r="BG306">
        <f t="shared" si="162"/>
        <v>0</v>
      </c>
      <c r="BH306">
        <f t="shared" si="163"/>
        <v>1</v>
      </c>
      <c r="BI306">
        <f>AZ306+N306+AP306-AR306*N('Исходные данные'!$B$50)</f>
        <v>0</v>
      </c>
      <c r="BJ306">
        <f t="shared" si="164"/>
        <v>0</v>
      </c>
      <c r="BK306">
        <f>IF(AND(BJ306&gt;=0,BJ305&lt;0,MIN($BJ$2:BJ306)&lt;0),1,0)</f>
        <v>0</v>
      </c>
    </row>
    <row r="307" spans="1:63" x14ac:dyDescent="0.2">
      <c r="A307">
        <v>306</v>
      </c>
      <c r="B307" t="str">
        <f>IF('Исходные данные'!$B$9="","",EDATE(DATE(YEAR('Исходные данные'!$B$9),MONTH('Исходные данные'!$B$9),1),A307-1))</f>
        <v/>
      </c>
      <c r="C307" t="str">
        <f t="shared" si="165"/>
        <v/>
      </c>
      <c r="D307" t="str">
        <f>IF(B307="","",IF('Исходные данные'!$B$91&lt;&gt;"",IF(AND(YEAR(B307)=YEAR('Исходные данные'!$B$91),MONTH(B307)=MONTH('Исходные данные'!$B$91)),'Исходные данные'!$B$91,IF('Исходные данные'!$B$13&lt;&gt;"",IF(AND(YEAR(B307)=YEAR('Исходные данные'!$B$13),MONTH(B307)=MONTH('Исходные данные'!$B$13)),'Исходные данные'!$B$13,IF('Исходные данные'!$B$26&lt;&gt;"",IF(AND(YEAR(B307)=YEAR('Исходные данные'!$B$26),MONTH(B307)=MONTH('Исходные данные'!$B$26)),'Исходные данные'!$B$26,IF(A307=1,'Исходные данные'!$B$9,C307)),IF(A307=1,'Исходные данные'!$B$9,C307))),IF('Исходные данные'!$B$26&lt;&gt;"",IF(AND(YEAR(B307)=YEAR('Исходные данные'!$B$26),MONTH(B307)=MONTH('Исходные данные'!$B$26)),'Исходные данные'!$B$26,IF(A307=1,'Исходные данные'!$B$9,C307)),IF(A307=1,'Исходные данные'!$B$9,C307)))),IF('Исходные данные'!$B$13&lt;&gt;"",IF(AND(YEAR(B307)=YEAR('Исходные данные'!$B$13),MONTH(B307)=MONTH('Исходные данные'!$B$13)),'Исходные данные'!$B$13,IF('Исходные данные'!$B$26&lt;&gt;"",IF(AND(YEAR(B307)=YEAR('Исходные данные'!$B$26),MONTH(B307)=MONTH('Исходные данные'!$B$26)),'Исходные данные'!$B$26,IF(A307=1,'Исходные данные'!$B$9,C307)),IF(A307=1,'Исходные данные'!$B$9,C307))),IF('Исходные данные'!$B$26&lt;&gt;"",IF(AND(YEAR(B307)=YEAR('Исходные данные'!$B$26),MONTH(B307)=MONTH('Исходные данные'!$B$26)),'Исходные данные'!$B$26,IF(A307=1,'Исходные данные'!$B$9,C307)),IF(A307=1,'Исходные данные'!$B$9,C307)))))</f>
        <v/>
      </c>
      <c r="E307">
        <f>IF(OR(B307="",'Исходные данные'!$B$91=""),0,--(B307&lt;=DATE(YEAR('Исходные данные'!$B$91),MONTH('Исходные данные'!$B$91),1)))</f>
        <v>0</v>
      </c>
      <c r="F307">
        <f>IF(OR(B307="",'Исходные данные'!$B$30="",C307&lt;'Исходные данные'!$B$30),0,DATEDIF(DATE(YEAR('Исходные данные'!$B$30),MONTH('Исходные данные'!$B$30),1),B307,"m")+1)</f>
        <v>0</v>
      </c>
      <c r="G307">
        <f t="shared" si="166"/>
        <v>0</v>
      </c>
      <c r="H307">
        <f>IF(F307=0,0,IF(G307=1,N('Исходные данные'!$B$31),IF(G307=2,N('Исходные данные'!$B$32),IF(G307=3,N('Исходные данные'!$B$33),N('Исходные данные'!$B$33)*(1+N('Исходные данные'!$B$34))^(G307-3)))))</f>
        <v>0</v>
      </c>
      <c r="I307">
        <f>IF(OR(F307=0,N('Исходные данные'!$B$5)=0,H307=0),0,'Исходные данные'!$B$5*H307*IF(AND(B307&lt;='Исходные данные'!$B$30,C307&gt;='Исходные данные'!$B$30),(C307-'Исходные данные'!$B$30+1)/DAY(C307),1))</f>
        <v>0</v>
      </c>
      <c r="J307">
        <f>IF(AND(F307&gt;0,F307&lt;=N('Исходные данные'!$B$37)),-I307,0)</f>
        <v>0</v>
      </c>
      <c r="K307">
        <f>IF(OR(F307=0,F307&lt;=N('Исходные данные'!$B$37)),0,-(I307+J307)*N('Исходные данные'!$B$38))</f>
        <v>0</v>
      </c>
      <c r="L307">
        <f t="shared" si="167"/>
        <v>0</v>
      </c>
      <c r="M307">
        <f>IF('Исходные данные'!$B$51="Да",L307*N('Исходные данные'!$B$52),0)</f>
        <v>0</v>
      </c>
      <c r="N307">
        <f t="shared" si="168"/>
        <v>0</v>
      </c>
      <c r="O307">
        <f>IF(OR(B307="",IF('Исходные данные'!$B$45="",'Исходные данные'!$B$10,'Исходные данные'!$B$45)="",C307&lt;IF('Исходные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данные'!$B$45)),1),B307,"m")/12))*IF(AND(B307&lt;=IF('Исходные данные'!$B$45="",'Исходные данные'!$B$10,'Исходные данные'!$B$45),C307&gt;=IF('Исходные данные'!$B$45="",'Исходные данные'!$B$10,'Исходные данные'!$B$45)),(C307-IF('Исходные данные'!$B$45="",'Исходные данные'!$B$10,'Исходные данные'!$B$45)+1)/DAY(C307),1)*IF('Исходные данные'!$B$43="Без НДС",1+N('Исходные данные'!$B$44),1))</f>
        <v>0</v>
      </c>
      <c r="P307">
        <f>IF('Исходные данные'!$B$51="Да",-O307*N('Исходные данные'!$B$44)/(1+N('Исходные данные'!$B$44)),0)</f>
        <v>0</v>
      </c>
      <c r="Q307">
        <f>IF('Исходные данные'!$B$35="Да",-O307,0)</f>
        <v>0</v>
      </c>
      <c r="R307">
        <f>IF(AND('Исходные данные'!$B$51="Да",Q307&gt;0),Q307*N('Исходные данные'!$B$52)/(1+N('Исходные данные'!$B$52)),0)</f>
        <v>0</v>
      </c>
      <c r="S307">
        <f>IF(OR(B307="",IF('Исходные данные'!$B$45="",'Исходные данные'!$B$10,'Исходные данные'!$B$45)="",C307&lt;IF('Исходные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данные'!$B$45)),1),B307,"m")/12))*IF(AND(B307&lt;=IF('Исходные данные'!$B$45="",'Исходные данные'!$B$10,'Исходные данные'!$B$45),C307&gt;=IF('Исходные данные'!$B$45="",'Исходные данные'!$B$10,'Исходные данные'!$B$45)),(C307-IF('Исходные данные'!$B$45="",'Исходные данные'!$B$10,'Исходные данные'!$B$45)+1)/DAY(C307),1)*IF('Исходные данные'!$B$43="Без НДС",1+N('Исходные данные'!$B$44),1))</f>
        <v>0</v>
      </c>
      <c r="T307">
        <f>IF('Исходные данные'!$B$51="Да",-S307*N('Исходные данные'!$B$44)/(1+N('Исходные данные'!$B$44)),0)</f>
        <v>0</v>
      </c>
      <c r="U307">
        <f>IF('Исходные данные'!$B$36="Да",-S307,0)</f>
        <v>0</v>
      </c>
      <c r="V307">
        <f>IF(AND('Исходные данные'!$B$51="Да",U307&gt;0),U307*N('Исходные данные'!$B$52)/(1+N('Исходные данные'!$B$52)),0)</f>
        <v>0</v>
      </c>
      <c r="W307">
        <f>IF(OR(B307="",IF('Исходные данные'!$B$69="",'Исходные данные'!$B$10,'Исходные данные'!$B$69)="",C307&lt;IF('Исходные данные'!$B$69="",'Исходные данные'!$B$10,'Исходные данные'!$B$69)),0,-N('Исходные данные'!$B$16)*N('Исходные данные'!$B$68)*N('Исходные данные'!$B$67)/12*IF(AND(B307&lt;=IF('Исходные данные'!$B$69="",'Исходные данные'!$B$10,'Исходные данные'!$B$69),C307&gt;=IF('Исходные данные'!$B$69="",'Исходные данные'!$B$10,'Исходные данные'!$B$69)),(C307-IF('Исходные данные'!$B$69="",'Исходные данные'!$B$10,'Исходные данные'!$B$69)+1)/DAY(C307),1))</f>
        <v>0</v>
      </c>
      <c r="X307">
        <f>IF(OR(B307="",IF('Исходные данные'!$B$76="",'Исходные данные'!$B$10,'Исходные данные'!$B$76)="",C307&lt;IF('Исходные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данные'!$B$76)),1),B307,"m")/12))*IF(AND(B307&lt;=IF('Исходные данные'!$B$76="",'Исходные данные'!$B$10,'Исходные данные'!$B$76),C307&gt;=IF('Исходные данные'!$B$76="",'Исходные данные'!$B$10,'Исходные данные'!$B$76)),(C307-IF('Исходные данные'!$B$76="",'Исходные данные'!$B$10,'Исходные данные'!$B$76)+1)/DAY(C307),1))</f>
        <v>0</v>
      </c>
      <c r="Y307">
        <f t="shared" si="169"/>
        <v>0</v>
      </c>
      <c r="Z307">
        <f>IF(OR(B307="",N('Исходные данные'!$B$19)=0),0,-SUMIFS('Исходные данные'!$I$6:$I$186,'Исходные данные'!$F$6:$F$186,B307)*N('Исходные данные'!$B$17)/N('Исходные данные'!$B$19))</f>
        <v>0</v>
      </c>
      <c r="AA307">
        <f>IF(OR(B307="",N('Исходные данные'!$B$19)=0),0,-SUMIFS('Исходные данные'!$I$6:$I$186,'Исходные данные'!$F$6:$F$186,B307)*N('Исходные данные'!$B$18)/N('Исходные данные'!$B$19))</f>
        <v>0</v>
      </c>
      <c r="AB307">
        <f>IF(OR(B307="",'Исходные данные'!$B$13=""),0,IF(AND(YEAR(B307)=YEAR('Исходные данные'!$B$13),MONTH(B307)=MONTH('Исходные данные'!$B$13)),-N('Исходные данные'!$B$11),0))</f>
        <v>0</v>
      </c>
      <c r="AC307">
        <f>IF(A307=1,-N('Исходные данные'!$B$19)*N('Исходные данные'!$B$72),0)</f>
        <v>0</v>
      </c>
      <c r="AD307">
        <f>IF(OR(B307="",'Исходные данные'!$B$22&lt;&gt;"Да",'Исходные данные'!$B$26=""),0,IF(AND(YEAR(B307)=YEAR('Исходные данные'!$B$26),MONTH(B307)=MONTH('Исходные данные'!$B$26)),N('Исходные данные'!$B$23),0))</f>
        <v>0</v>
      </c>
      <c r="AE307">
        <f t="shared" si="152"/>
        <v>0</v>
      </c>
      <c r="AF307">
        <f>IF(OR('Исходные данные'!$B$22&lt;&gt;"Да",'Исходные данные'!$B$26="",C307&lt;'Исходные данные'!$B$26),0,DATEDIF(DATE(YEAR('Исходные данные'!$B$26),MONTH('Исходные данные'!$B$26),1),B307,"m")+1)</f>
        <v>0</v>
      </c>
      <c r="AG307">
        <f>IF(OR(AF307&lt;1,AF307&gt;N('Исходные данные'!$B$25),AE307+AD307&lt;=0),0,-(AE307+AD307)*N('Исходные данные'!$B$24)*IF(AF307=1,C307-'Исходные данные'!$B$26+1,DAY(C307))/365)</f>
        <v>0</v>
      </c>
      <c r="AH307">
        <f>IF(OR(AF307&lt;1,AF307&gt;N('Исходные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данные'!$B$25)-AG307))</f>
        <v>0</v>
      </c>
      <c r="AI307">
        <f>IF(OR('Исходные данные'!$B$22&lt;&gt;"Да",AE307+AD307&lt;=0),0,IF(AND('Исходные данные'!$B$91&lt;&gt;"",B307&lt;&gt;"",YEAR(B307)=YEAR('Исходные данные'!$B$91),MONTH(B307)=MONTH('Исходные данные'!$B$91)),-(AE307+AD307),IF(OR(AF307&lt;1,AF307&gt;N('Исходные данные'!$B$25)),0,IF('Исходные данные'!$B$27="Равными долями",-MIN(AE307+AD307,N('Исходные данные'!$B$23)/N('Исходные данные'!$B$25)),-MIN(AE307+AD307,IF(AF307=N('Исходные данные'!$B$25),AE307+AD307,MAX(0,AH307+AG307)))))))</f>
        <v>0</v>
      </c>
      <c r="AJ307">
        <f t="shared" si="170"/>
        <v>0</v>
      </c>
      <c r="AK307">
        <f t="shared" si="153"/>
        <v>0</v>
      </c>
      <c r="AL307">
        <f>IF(OR(B307="",'Исходные данные'!$B$51&lt;&gt;"Да",'Исходные данные'!$B$61=""),0,IF(AND(YEAR(B307)=YEAR('Исходные данные'!$B$61),MONTH(B307)=MONTH('Исходные данные'!$B$61)),N('Исходные данные'!$B$18)*N('Исходные данные'!$B$62),0))</f>
        <v>0</v>
      </c>
      <c r="AM307">
        <f t="shared" si="154"/>
        <v>0</v>
      </c>
      <c r="AN307">
        <f t="shared" si="155"/>
        <v>0</v>
      </c>
      <c r="AO307">
        <f t="shared" si="156"/>
        <v>0</v>
      </c>
      <c r="AP307">
        <f>IF('Исходные данные'!$B$51="Да",-MAX(0,AN307-AO307-AM307),0)</f>
        <v>0</v>
      </c>
      <c r="AQ307">
        <f>IF('Исходные данные'!$B$51="Да",MAX(0,AM307+AO307-AN307),0)</f>
        <v>0</v>
      </c>
      <c r="AR307">
        <f>IF('Исходные данные'!$B$53="Выручка",MAX(0,L307+(Q307-R307)+(U307-V307)),IF('Исходные данные'!$B$53="Прибыль до налога",MAX(0,L307+(Q307-R307)+(U307-V307)+N('Исходные данные'!$B$54)*((O307+P307)+(S307+T307)+W307+X307)+IF('Исходные данные'!$B$55="Да",AG307,0)-N('Исходные данные'!$B$56)/12),IF('Исходные данные'!$B$53="Пользовательская база",MAX(0,N('Исходные данные'!$B$57)/12),0)))</f>
        <v>0</v>
      </c>
      <c r="AS307">
        <f>IF(E307=1,-AR307*N('Исходные данные'!$B$50),0)</f>
        <v>0</v>
      </c>
      <c r="AT307">
        <f t="shared" si="157"/>
        <v>0</v>
      </c>
      <c r="AU307">
        <f>IF(OR(B307="",N('Исходные данные'!$B$80)&lt;=0,'Исходные данные'!$B$88=""),0,MAX(0,IF('Исходные данные'!$B$88="Последние 12 месяцев",SUMIFS($Y$2:$Y$194,$B$2:$B$194,"&gt;="&amp;EDATE(B307,-11),$B$2:$B$194,"&lt;="&amp;B307),IF('Исходные данные'!$B$88="Пользовательский NOI",N('Исходные данные'!$B$89),AT307))/N('Исходные данные'!$B$80)*(1+N('Исходные данные'!$B$81))))</f>
        <v>0</v>
      </c>
      <c r="AV307">
        <f>IF(OR(E307&lt;&gt;1,B307="",'Исходные данные'!$B$91=""),0,IF(AND(YEAR(B307)=YEAR('Исходные данные'!$B$91),MONTH(B307)=MONTH('Исходные данные'!$B$91)),AU307,0))</f>
        <v>0</v>
      </c>
      <c r="AW307">
        <f>-AV307*N('Исходные данные'!$B$73)</f>
        <v>0</v>
      </c>
      <c r="AX307">
        <f>IF(AV307=0,0,-N('Исходные данные'!$B$87)-IF('Исходные данные'!$B$82="Да",IF('Исходные данные'!$B$84="С выручки",AV307,IF('Исходные данные'!$B$84="С прибыли",MAX(0,AV307+AW307-IF('Исходные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07">
        <f t="shared" si="171"/>
        <v>0</v>
      </c>
      <c r="AZ307">
        <f t="shared" si="158"/>
        <v>0</v>
      </c>
      <c r="BA307">
        <f t="shared" si="172"/>
        <v>0</v>
      </c>
      <c r="BB307" t="str">
        <f t="shared" si="159"/>
        <v/>
      </c>
      <c r="BC307">
        <f>IF(OR(E307=0,'Исходные данные'!$B$9="",'Исходные данные'!$B$90=""),0,BA307/(1+'Исходные данные'!$B$90)^((D307-'Исходные данные'!$B$9)/365))</f>
        <v>0</v>
      </c>
      <c r="BD307">
        <f>IF(AND(E307=1,BB307&gt;=0,BB306&lt;0,MIN($BB$2:BB307)&lt;0),1,0)</f>
        <v>0</v>
      </c>
      <c r="BE307">
        <f t="shared" si="160"/>
        <v>0</v>
      </c>
      <c r="BF307">
        <f t="shared" si="161"/>
        <v>0</v>
      </c>
      <c r="BG307">
        <f t="shared" si="162"/>
        <v>0</v>
      </c>
      <c r="BH307">
        <f t="shared" si="163"/>
        <v>1</v>
      </c>
      <c r="BI307">
        <f>AZ307+N307+AP307-AR307*N('Исходные данные'!$B$50)</f>
        <v>0</v>
      </c>
      <c r="BJ307">
        <f t="shared" si="164"/>
        <v>0</v>
      </c>
      <c r="BK307">
        <f>IF(AND(BJ307&gt;=0,BJ306&lt;0,MIN($BJ$2:BJ307)&lt;0),1,0)</f>
        <v>0</v>
      </c>
    </row>
    <row r="308" spans="1:63" x14ac:dyDescent="0.2">
      <c r="A308">
        <v>307</v>
      </c>
      <c r="B308" t="str">
        <f>IF('Исходные данные'!$B$9="","",EDATE(DATE(YEAR('Исходные данные'!$B$9),MONTH('Исходные данные'!$B$9),1),A308-1))</f>
        <v/>
      </c>
      <c r="C308" t="str">
        <f t="shared" si="165"/>
        <v/>
      </c>
      <c r="D308" t="str">
        <f>IF(B308="","",IF('Исходные данные'!$B$91&lt;&gt;"",IF(AND(YEAR(B308)=YEAR('Исходные данные'!$B$91),MONTH(B308)=MONTH('Исходные данные'!$B$91)),'Исходные данные'!$B$91,IF('Исходные данные'!$B$13&lt;&gt;"",IF(AND(YEAR(B308)=YEAR('Исходные данные'!$B$13),MONTH(B308)=MONTH('Исходные данные'!$B$13)),'Исходные данные'!$B$13,IF('Исходные данные'!$B$26&lt;&gt;"",IF(AND(YEAR(B308)=YEAR('Исходные данные'!$B$26),MONTH(B308)=MONTH('Исходные данные'!$B$26)),'Исходные данные'!$B$26,IF(A308=1,'Исходные данные'!$B$9,C308)),IF(A308=1,'Исходные данные'!$B$9,C308))),IF('Исходные данные'!$B$26&lt;&gt;"",IF(AND(YEAR(B308)=YEAR('Исходные данные'!$B$26),MONTH(B308)=MONTH('Исходные данные'!$B$26)),'Исходные данные'!$B$26,IF(A308=1,'Исходные данные'!$B$9,C308)),IF(A308=1,'Исходные данные'!$B$9,C308)))),IF('Исходные данные'!$B$13&lt;&gt;"",IF(AND(YEAR(B308)=YEAR('Исходные данные'!$B$13),MONTH(B308)=MONTH('Исходные данные'!$B$13)),'Исходные данные'!$B$13,IF('Исходные данные'!$B$26&lt;&gt;"",IF(AND(YEAR(B308)=YEAR('Исходные данные'!$B$26),MONTH(B308)=MONTH('Исходные данные'!$B$26)),'Исходные данные'!$B$26,IF(A308=1,'Исходные данные'!$B$9,C308)),IF(A308=1,'Исходные данные'!$B$9,C308))),IF('Исходные данные'!$B$26&lt;&gt;"",IF(AND(YEAR(B308)=YEAR('Исходные данные'!$B$26),MONTH(B308)=MONTH('Исходные данные'!$B$26)),'Исходные данные'!$B$26,IF(A308=1,'Исходные данные'!$B$9,C308)),IF(A308=1,'Исходные данные'!$B$9,C308)))))</f>
        <v/>
      </c>
      <c r="E308">
        <f>IF(OR(B308="",'Исходные данные'!$B$91=""),0,--(B308&lt;=DATE(YEAR('Исходные данные'!$B$91),MONTH('Исходные данные'!$B$91),1)))</f>
        <v>0</v>
      </c>
      <c r="F308">
        <f>IF(OR(B308="",'Исходные данные'!$B$30="",C308&lt;'Исходные данные'!$B$30),0,DATEDIF(DATE(YEAR('Исходные данные'!$B$30),MONTH('Исходные данные'!$B$30),1),B308,"m")+1)</f>
        <v>0</v>
      </c>
      <c r="G308">
        <f t="shared" si="166"/>
        <v>0</v>
      </c>
      <c r="H308">
        <f>IF(F308=0,0,IF(G308=1,N('Исходные данные'!$B$31),IF(G308=2,N('Исходные данные'!$B$32),IF(G308=3,N('Исходные данные'!$B$33),N('Исходные данные'!$B$33)*(1+N('Исходные данные'!$B$34))^(G308-3)))))</f>
        <v>0</v>
      </c>
      <c r="I308">
        <f>IF(OR(F308=0,N('Исходные данные'!$B$5)=0,H308=0),0,'Исходные данные'!$B$5*H308*IF(AND(B308&lt;='Исходные данные'!$B$30,C308&gt;='Исходные данные'!$B$30),(C308-'Исходные данные'!$B$30+1)/DAY(C308),1))</f>
        <v>0</v>
      </c>
      <c r="J308">
        <f>IF(AND(F308&gt;0,F308&lt;=N('Исходные данные'!$B$37)),-I308,0)</f>
        <v>0</v>
      </c>
      <c r="K308">
        <f>IF(OR(F308=0,F308&lt;=N('Исходные данные'!$B$37)),0,-(I308+J308)*N('Исходные данные'!$B$38))</f>
        <v>0</v>
      </c>
      <c r="L308">
        <f t="shared" si="167"/>
        <v>0</v>
      </c>
      <c r="M308">
        <f>IF('Исходные данные'!$B$51="Да",L308*N('Исходные данные'!$B$52),0)</f>
        <v>0</v>
      </c>
      <c r="N308">
        <f t="shared" si="168"/>
        <v>0</v>
      </c>
      <c r="O308">
        <f>IF(OR(B308="",IF('Исходные данные'!$B$45="",'Исходные данные'!$B$10,'Исходные данные'!$B$45)="",C308&lt;IF('Исходные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данные'!$B$45)),1),B308,"m")/12))*IF(AND(B308&lt;=IF('Исходные данные'!$B$45="",'Исходные данные'!$B$10,'Исходные данные'!$B$45),C308&gt;=IF('Исходные данные'!$B$45="",'Исходные данные'!$B$10,'Исходные данные'!$B$45)),(C308-IF('Исходные данные'!$B$45="",'Исходные данные'!$B$10,'Исходные данные'!$B$45)+1)/DAY(C308),1)*IF('Исходные данные'!$B$43="Без НДС",1+N('Исходные данные'!$B$44),1))</f>
        <v>0</v>
      </c>
      <c r="P308">
        <f>IF('Исходные данные'!$B$51="Да",-O308*N('Исходные данные'!$B$44)/(1+N('Исходные данные'!$B$44)),0)</f>
        <v>0</v>
      </c>
      <c r="Q308">
        <f>IF('Исходные данные'!$B$35="Да",-O308,0)</f>
        <v>0</v>
      </c>
      <c r="R308">
        <f>IF(AND('Исходные данные'!$B$51="Да",Q308&gt;0),Q308*N('Исходные данные'!$B$52)/(1+N('Исходные данные'!$B$52)),0)</f>
        <v>0</v>
      </c>
      <c r="S308">
        <f>IF(OR(B308="",IF('Исходные данные'!$B$45="",'Исходные данные'!$B$10,'Исходные данные'!$B$45)="",C308&lt;IF('Исходные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данные'!$B$45)),1),B308,"m")/12))*IF(AND(B308&lt;=IF('Исходные данные'!$B$45="",'Исходные данные'!$B$10,'Исходные данные'!$B$45),C308&gt;=IF('Исходные данные'!$B$45="",'Исходные данные'!$B$10,'Исходные данные'!$B$45)),(C308-IF('Исходные данные'!$B$45="",'Исходные данные'!$B$10,'Исходные данные'!$B$45)+1)/DAY(C308),1)*IF('Исходные данные'!$B$43="Без НДС",1+N('Исходные данные'!$B$44),1))</f>
        <v>0</v>
      </c>
      <c r="T308">
        <f>IF('Исходные данные'!$B$51="Да",-S308*N('Исходные данные'!$B$44)/(1+N('Исходные данные'!$B$44)),0)</f>
        <v>0</v>
      </c>
      <c r="U308">
        <f>IF('Исходные данные'!$B$36="Да",-S308,0)</f>
        <v>0</v>
      </c>
      <c r="V308">
        <f>IF(AND('Исходные данные'!$B$51="Да",U308&gt;0),U308*N('Исходные данные'!$B$52)/(1+N('Исходные данные'!$B$52)),0)</f>
        <v>0</v>
      </c>
      <c r="W308">
        <f>IF(OR(B308="",IF('Исходные данные'!$B$69="",'Исходные данные'!$B$10,'Исходные данные'!$B$69)="",C308&lt;IF('Исходные данные'!$B$69="",'Исходные данные'!$B$10,'Исходные данные'!$B$69)),0,-N('Исходные данные'!$B$16)*N('Исходные данные'!$B$68)*N('Исходные данные'!$B$67)/12*IF(AND(B308&lt;=IF('Исходные данные'!$B$69="",'Исходные данные'!$B$10,'Исходные данные'!$B$69),C308&gt;=IF('Исходные данные'!$B$69="",'Исходные данные'!$B$10,'Исходные данные'!$B$69)),(C308-IF('Исходные данные'!$B$69="",'Исходные данные'!$B$10,'Исходные данные'!$B$69)+1)/DAY(C308),1))</f>
        <v>0</v>
      </c>
      <c r="X308">
        <f>IF(OR(B308="",IF('Исходные данные'!$B$76="",'Исходные данные'!$B$10,'Исходные данные'!$B$76)="",C308&lt;IF('Исходные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данные'!$B$76)),1),B308,"m")/12))*IF(AND(B308&lt;=IF('Исходные данные'!$B$76="",'Исходные данные'!$B$10,'Исходные данные'!$B$76),C308&gt;=IF('Исходные данные'!$B$76="",'Исходные данные'!$B$10,'Исходные данные'!$B$76)),(C308-IF('Исходные данные'!$B$76="",'Исходные данные'!$B$10,'Исходные данные'!$B$76)+1)/DAY(C308),1))</f>
        <v>0</v>
      </c>
      <c r="Y308">
        <f t="shared" si="169"/>
        <v>0</v>
      </c>
      <c r="Z308">
        <f>IF(OR(B308="",N('Исходные данные'!$B$19)=0),0,-SUMIFS('Исходные данные'!$I$6:$I$186,'Исходные данные'!$F$6:$F$186,B308)*N('Исходные данные'!$B$17)/N('Исходные данные'!$B$19))</f>
        <v>0</v>
      </c>
      <c r="AA308">
        <f>IF(OR(B308="",N('Исходные данные'!$B$19)=0),0,-SUMIFS('Исходные данные'!$I$6:$I$186,'Исходные данные'!$F$6:$F$186,B308)*N('Исходные данные'!$B$18)/N('Исходные данные'!$B$19))</f>
        <v>0</v>
      </c>
      <c r="AB308">
        <f>IF(OR(B308="",'Исходные данные'!$B$13=""),0,IF(AND(YEAR(B308)=YEAR('Исходные данные'!$B$13),MONTH(B308)=MONTH('Исходные данные'!$B$13)),-N('Исходные данные'!$B$11),0))</f>
        <v>0</v>
      </c>
      <c r="AC308">
        <f>IF(A308=1,-N('Исходные данные'!$B$19)*N('Исходные данные'!$B$72),0)</f>
        <v>0</v>
      </c>
      <c r="AD308">
        <f>IF(OR(B308="",'Исходные данные'!$B$22&lt;&gt;"Да",'Исходные данные'!$B$26=""),0,IF(AND(YEAR(B308)=YEAR('Исходные данные'!$B$26),MONTH(B308)=MONTH('Исходные данные'!$B$26)),N('Исходные данные'!$B$23),0))</f>
        <v>0</v>
      </c>
      <c r="AE308">
        <f t="shared" si="152"/>
        <v>0</v>
      </c>
      <c r="AF308">
        <f>IF(OR('Исходные данные'!$B$22&lt;&gt;"Да",'Исходные данные'!$B$26="",C308&lt;'Исходные данные'!$B$26),0,DATEDIF(DATE(YEAR('Исходные данные'!$B$26),MONTH('Исходные данные'!$B$26),1),B308,"m")+1)</f>
        <v>0</v>
      </c>
      <c r="AG308">
        <f>IF(OR(AF308&lt;1,AF308&gt;N('Исходные данные'!$B$25),AE308+AD308&lt;=0),0,-(AE308+AD308)*N('Исходные данные'!$B$24)*IF(AF308=1,C308-'Исходные данные'!$B$26+1,DAY(C308))/365)</f>
        <v>0</v>
      </c>
      <c r="AH308">
        <f>IF(OR(AF308&lt;1,AF308&gt;N('Исходные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данные'!$B$25)-AG308))</f>
        <v>0</v>
      </c>
      <c r="AI308">
        <f>IF(OR('Исходные данные'!$B$22&lt;&gt;"Да",AE308+AD308&lt;=0),0,IF(AND('Исходные данные'!$B$91&lt;&gt;"",B308&lt;&gt;"",YEAR(B308)=YEAR('Исходные данные'!$B$91),MONTH(B308)=MONTH('Исходные данные'!$B$91)),-(AE308+AD308),IF(OR(AF308&lt;1,AF308&gt;N('Исходные данные'!$B$25)),0,IF('Исходные данные'!$B$27="Равными долями",-MIN(AE308+AD308,N('Исходные данные'!$B$23)/N('Исходные данные'!$B$25)),-MIN(AE308+AD308,IF(AF308=N('Исходные данные'!$B$25),AE308+AD308,MAX(0,AH308+AG308)))))))</f>
        <v>0</v>
      </c>
      <c r="AJ308">
        <f t="shared" si="170"/>
        <v>0</v>
      </c>
      <c r="AK308">
        <f t="shared" si="153"/>
        <v>0</v>
      </c>
      <c r="AL308">
        <f>IF(OR(B308="",'Исходные данные'!$B$51&lt;&gt;"Да",'Исходные данные'!$B$61=""),0,IF(AND(YEAR(B308)=YEAR('Исходные данные'!$B$61),MONTH(B308)=MONTH('Исходные данные'!$B$61)),N('Исходные данные'!$B$18)*N('Исходные данные'!$B$62),0))</f>
        <v>0</v>
      </c>
      <c r="AM308">
        <f t="shared" si="154"/>
        <v>0</v>
      </c>
      <c r="AN308">
        <f t="shared" si="155"/>
        <v>0</v>
      </c>
      <c r="AO308">
        <f t="shared" si="156"/>
        <v>0</v>
      </c>
      <c r="AP308">
        <f>IF('Исходные данные'!$B$51="Да",-MAX(0,AN308-AO308-AM308),0)</f>
        <v>0</v>
      </c>
      <c r="AQ308">
        <f>IF('Исходные данные'!$B$51="Да",MAX(0,AM308+AO308-AN308),0)</f>
        <v>0</v>
      </c>
      <c r="AR308">
        <f>IF('Исходные данные'!$B$53="Выручка",MAX(0,L308+(Q308-R308)+(U308-V308)),IF('Исходные данные'!$B$53="Прибыль до налога",MAX(0,L308+(Q308-R308)+(U308-V308)+N('Исходные данные'!$B$54)*((O308+P308)+(S308+T308)+W308+X308)+IF('Исходные данные'!$B$55="Да",AG308,0)-N('Исходные данные'!$B$56)/12),IF('Исходные данные'!$B$53="Пользовательская база",MAX(0,N('Исходные данные'!$B$57)/12),0)))</f>
        <v>0</v>
      </c>
      <c r="AS308">
        <f>IF(E308=1,-AR308*N('Исходные данные'!$B$50),0)</f>
        <v>0</v>
      </c>
      <c r="AT308">
        <f t="shared" si="157"/>
        <v>0</v>
      </c>
      <c r="AU308">
        <f>IF(OR(B308="",N('Исходные данные'!$B$80)&lt;=0,'Исходные данные'!$B$88=""),0,MAX(0,IF('Исходные данные'!$B$88="Последние 12 месяцев",SUMIFS($Y$2:$Y$194,$B$2:$B$194,"&gt;="&amp;EDATE(B308,-11),$B$2:$B$194,"&lt;="&amp;B308),IF('Исходные данные'!$B$88="Пользовательский NOI",N('Исходные данные'!$B$89),AT308))/N('Исходные данные'!$B$80)*(1+N('Исходные данные'!$B$81))))</f>
        <v>0</v>
      </c>
      <c r="AV308">
        <f>IF(OR(E308&lt;&gt;1,B308="",'Исходные данные'!$B$91=""),0,IF(AND(YEAR(B308)=YEAR('Исходные данные'!$B$91),MONTH(B308)=MONTH('Исходные данные'!$B$91)),AU308,0))</f>
        <v>0</v>
      </c>
      <c r="AW308">
        <f>-AV308*N('Исходные данные'!$B$73)</f>
        <v>0</v>
      </c>
      <c r="AX308">
        <f>IF(AV308=0,0,-N('Исходные данные'!$B$87)-IF('Исходные данные'!$B$82="Да",IF('Исходные данные'!$B$84="С выручки",AV308,IF('Исходные данные'!$B$84="С прибыли",MAX(0,AV308+AW308-IF('Исходные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08">
        <f t="shared" si="171"/>
        <v>0</v>
      </c>
      <c r="AZ308">
        <f t="shared" si="158"/>
        <v>0</v>
      </c>
      <c r="BA308">
        <f t="shared" si="172"/>
        <v>0</v>
      </c>
      <c r="BB308" t="str">
        <f t="shared" si="159"/>
        <v/>
      </c>
      <c r="BC308">
        <f>IF(OR(E308=0,'Исходные данные'!$B$9="",'Исходные данные'!$B$90=""),0,BA308/(1+'Исходные данные'!$B$90)^((D308-'Исходные данные'!$B$9)/365))</f>
        <v>0</v>
      </c>
      <c r="BD308">
        <f>IF(AND(E308=1,BB308&gt;=0,BB307&lt;0,MIN($BB$2:BB308)&lt;0),1,0)</f>
        <v>0</v>
      </c>
      <c r="BE308">
        <f t="shared" si="160"/>
        <v>0</v>
      </c>
      <c r="BF308">
        <f t="shared" si="161"/>
        <v>0</v>
      </c>
      <c r="BG308">
        <f t="shared" si="162"/>
        <v>0</v>
      </c>
      <c r="BH308">
        <f t="shared" si="163"/>
        <v>1</v>
      </c>
      <c r="BI308">
        <f>AZ308+N308+AP308-AR308*N('Исходные данные'!$B$50)</f>
        <v>0</v>
      </c>
      <c r="BJ308">
        <f t="shared" si="164"/>
        <v>0</v>
      </c>
      <c r="BK308">
        <f>IF(AND(BJ308&gt;=0,BJ307&lt;0,MIN($BJ$2:BJ308)&lt;0),1,0)</f>
        <v>0</v>
      </c>
    </row>
    <row r="309" spans="1:63" x14ac:dyDescent="0.2">
      <c r="A309">
        <v>308</v>
      </c>
      <c r="B309" t="str">
        <f>IF('Исходные данные'!$B$9="","",EDATE(DATE(YEAR('Исходные данные'!$B$9),MONTH('Исходные данные'!$B$9),1),A309-1))</f>
        <v/>
      </c>
      <c r="C309" t="str">
        <f t="shared" si="165"/>
        <v/>
      </c>
      <c r="D309" t="str">
        <f>IF(B309="","",IF('Исходные данные'!$B$91&lt;&gt;"",IF(AND(YEAR(B309)=YEAR('Исходные данные'!$B$91),MONTH(B309)=MONTH('Исходные данные'!$B$91)),'Исходные данные'!$B$91,IF('Исходные данные'!$B$13&lt;&gt;"",IF(AND(YEAR(B309)=YEAR('Исходные данные'!$B$13),MONTH(B309)=MONTH('Исходные данные'!$B$13)),'Исходные данные'!$B$13,IF('Исходные данные'!$B$26&lt;&gt;"",IF(AND(YEAR(B309)=YEAR('Исходные данные'!$B$26),MONTH(B309)=MONTH('Исходные данные'!$B$26)),'Исходные данные'!$B$26,IF(A309=1,'Исходные данные'!$B$9,C309)),IF(A309=1,'Исходные данные'!$B$9,C309))),IF('Исходные данные'!$B$26&lt;&gt;"",IF(AND(YEAR(B309)=YEAR('Исходные данные'!$B$26),MONTH(B309)=MONTH('Исходные данные'!$B$26)),'Исходные данные'!$B$26,IF(A309=1,'Исходные данные'!$B$9,C309)),IF(A309=1,'Исходные данные'!$B$9,C309)))),IF('Исходные данные'!$B$13&lt;&gt;"",IF(AND(YEAR(B309)=YEAR('Исходные данные'!$B$13),MONTH(B309)=MONTH('Исходные данные'!$B$13)),'Исходные данные'!$B$13,IF('Исходные данные'!$B$26&lt;&gt;"",IF(AND(YEAR(B309)=YEAR('Исходные данные'!$B$26),MONTH(B309)=MONTH('Исходные данные'!$B$26)),'Исходные данные'!$B$26,IF(A309=1,'Исходные данные'!$B$9,C309)),IF(A309=1,'Исходные данные'!$B$9,C309))),IF('Исходные данные'!$B$26&lt;&gt;"",IF(AND(YEAR(B309)=YEAR('Исходные данные'!$B$26),MONTH(B309)=MONTH('Исходные данные'!$B$26)),'Исходные данные'!$B$26,IF(A309=1,'Исходные данные'!$B$9,C309)),IF(A309=1,'Исходные данные'!$B$9,C309)))))</f>
        <v/>
      </c>
      <c r="E309">
        <f>IF(OR(B309="",'Исходные данные'!$B$91=""),0,--(B309&lt;=DATE(YEAR('Исходные данные'!$B$91),MONTH('Исходные данные'!$B$91),1)))</f>
        <v>0</v>
      </c>
      <c r="F309">
        <f>IF(OR(B309="",'Исходные данные'!$B$30="",C309&lt;'Исходные данные'!$B$30),0,DATEDIF(DATE(YEAR('Исходные данные'!$B$30),MONTH('Исходные данные'!$B$30),1),B309,"m")+1)</f>
        <v>0</v>
      </c>
      <c r="G309">
        <f t="shared" si="166"/>
        <v>0</v>
      </c>
      <c r="H309">
        <f>IF(F309=0,0,IF(G309=1,N('Исходные данные'!$B$31),IF(G309=2,N('Исходные данные'!$B$32),IF(G309=3,N('Исходные данные'!$B$33),N('Исходные данные'!$B$33)*(1+N('Исходные данные'!$B$34))^(G309-3)))))</f>
        <v>0</v>
      </c>
      <c r="I309">
        <f>IF(OR(F309=0,N('Исходные данные'!$B$5)=0,H309=0),0,'Исходные данные'!$B$5*H309*IF(AND(B309&lt;='Исходные данные'!$B$30,C309&gt;='Исходные данные'!$B$30),(C309-'Исходные данные'!$B$30+1)/DAY(C309),1))</f>
        <v>0</v>
      </c>
      <c r="J309">
        <f>IF(AND(F309&gt;0,F309&lt;=N('Исходные данные'!$B$37)),-I309,0)</f>
        <v>0</v>
      </c>
      <c r="K309">
        <f>IF(OR(F309=0,F309&lt;=N('Исходные данные'!$B$37)),0,-(I309+J309)*N('Исходные данные'!$B$38))</f>
        <v>0</v>
      </c>
      <c r="L309">
        <f t="shared" si="167"/>
        <v>0</v>
      </c>
      <c r="M309">
        <f>IF('Исходные данные'!$B$51="Да",L309*N('Исходные данные'!$B$52),0)</f>
        <v>0</v>
      </c>
      <c r="N309">
        <f t="shared" si="168"/>
        <v>0</v>
      </c>
      <c r="O309">
        <f>IF(OR(B309="",IF('Исходные данные'!$B$45="",'Исходные данные'!$B$10,'Исходные данные'!$B$45)="",C309&lt;IF('Исходные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данные'!$B$45)),1),B309,"m")/12))*IF(AND(B309&lt;=IF('Исходные данные'!$B$45="",'Исходные данные'!$B$10,'Исходные данные'!$B$45),C309&gt;=IF('Исходные данные'!$B$45="",'Исходные данные'!$B$10,'Исходные данные'!$B$45)),(C309-IF('Исходные данные'!$B$45="",'Исходные данные'!$B$10,'Исходные данные'!$B$45)+1)/DAY(C309),1)*IF('Исходные данные'!$B$43="Без НДС",1+N('Исходные данные'!$B$44),1))</f>
        <v>0</v>
      </c>
      <c r="P309">
        <f>IF('Исходные данные'!$B$51="Да",-O309*N('Исходные данные'!$B$44)/(1+N('Исходные данные'!$B$44)),0)</f>
        <v>0</v>
      </c>
      <c r="Q309">
        <f>IF('Исходные данные'!$B$35="Да",-O309,0)</f>
        <v>0</v>
      </c>
      <c r="R309">
        <f>IF(AND('Исходные данные'!$B$51="Да",Q309&gt;0),Q309*N('Исходные данные'!$B$52)/(1+N('Исходные данные'!$B$52)),0)</f>
        <v>0</v>
      </c>
      <c r="S309">
        <f>IF(OR(B309="",IF('Исходные данные'!$B$45="",'Исходные данные'!$B$10,'Исходные данные'!$B$45)="",C309&lt;IF('Исходные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данные'!$B$45)),1),B309,"m")/12))*IF(AND(B309&lt;=IF('Исходные данные'!$B$45="",'Исходные данные'!$B$10,'Исходные данные'!$B$45),C309&gt;=IF('Исходные данные'!$B$45="",'Исходные данные'!$B$10,'Исходные данные'!$B$45)),(C309-IF('Исходные данные'!$B$45="",'Исходные данные'!$B$10,'Исходные данные'!$B$45)+1)/DAY(C309),1)*IF('Исходные данные'!$B$43="Без НДС",1+N('Исходные данные'!$B$44),1))</f>
        <v>0</v>
      </c>
      <c r="T309">
        <f>IF('Исходные данные'!$B$51="Да",-S309*N('Исходные данные'!$B$44)/(1+N('Исходные данные'!$B$44)),0)</f>
        <v>0</v>
      </c>
      <c r="U309">
        <f>IF('Исходные данные'!$B$36="Да",-S309,0)</f>
        <v>0</v>
      </c>
      <c r="V309">
        <f>IF(AND('Исходные данные'!$B$51="Да",U309&gt;0),U309*N('Исходные данные'!$B$52)/(1+N('Исходные данные'!$B$52)),0)</f>
        <v>0</v>
      </c>
      <c r="W309">
        <f>IF(OR(B309="",IF('Исходные данные'!$B$69="",'Исходные данные'!$B$10,'Исходные данные'!$B$69)="",C309&lt;IF('Исходные данные'!$B$69="",'Исходные данные'!$B$10,'Исходные данные'!$B$69)),0,-N('Исходные данные'!$B$16)*N('Исходные данные'!$B$68)*N('Исходные данные'!$B$67)/12*IF(AND(B309&lt;=IF('Исходные данные'!$B$69="",'Исходные данные'!$B$10,'Исходные данные'!$B$69),C309&gt;=IF('Исходные данные'!$B$69="",'Исходные данные'!$B$10,'Исходные данные'!$B$69)),(C309-IF('Исходные данные'!$B$69="",'Исходные данные'!$B$10,'Исходные данные'!$B$69)+1)/DAY(C309),1))</f>
        <v>0</v>
      </c>
      <c r="X309">
        <f>IF(OR(B309="",IF('Исходные данные'!$B$76="",'Исходные данные'!$B$10,'Исходные данные'!$B$76)="",C309&lt;IF('Исходные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данные'!$B$76)),1),B309,"m")/12))*IF(AND(B309&lt;=IF('Исходные данные'!$B$76="",'Исходные данные'!$B$10,'Исходные данные'!$B$76),C309&gt;=IF('Исходные данные'!$B$76="",'Исходные данные'!$B$10,'Исходные данные'!$B$76)),(C309-IF('Исходные данные'!$B$76="",'Исходные данные'!$B$10,'Исходные данные'!$B$76)+1)/DAY(C309),1))</f>
        <v>0</v>
      </c>
      <c r="Y309">
        <f t="shared" si="169"/>
        <v>0</v>
      </c>
      <c r="Z309">
        <f>IF(OR(B309="",N('Исходные данные'!$B$19)=0),0,-SUMIFS('Исходные данные'!$I$6:$I$186,'Исходные данные'!$F$6:$F$186,B309)*N('Исходные данные'!$B$17)/N('Исходные данные'!$B$19))</f>
        <v>0</v>
      </c>
      <c r="AA309">
        <f>IF(OR(B309="",N('Исходные данные'!$B$19)=0),0,-SUMIFS('Исходные данные'!$I$6:$I$186,'Исходные данные'!$F$6:$F$186,B309)*N('Исходные данные'!$B$18)/N('Исходные данные'!$B$19))</f>
        <v>0</v>
      </c>
      <c r="AB309">
        <f>IF(OR(B309="",'Исходные данные'!$B$13=""),0,IF(AND(YEAR(B309)=YEAR('Исходные данные'!$B$13),MONTH(B309)=MONTH('Исходные данные'!$B$13)),-N('Исходные данные'!$B$11),0))</f>
        <v>0</v>
      </c>
      <c r="AC309">
        <f>IF(A309=1,-N('Исходные данные'!$B$19)*N('Исходные данные'!$B$72),0)</f>
        <v>0</v>
      </c>
      <c r="AD309">
        <f>IF(OR(B309="",'Исходные данные'!$B$22&lt;&gt;"Да",'Исходные данные'!$B$26=""),0,IF(AND(YEAR(B309)=YEAR('Исходные данные'!$B$26),MONTH(B309)=MONTH('Исходные данные'!$B$26)),N('Исходные данные'!$B$23),0))</f>
        <v>0</v>
      </c>
      <c r="AE309">
        <f t="shared" si="152"/>
        <v>0</v>
      </c>
      <c r="AF309">
        <f>IF(OR('Исходные данные'!$B$22&lt;&gt;"Да",'Исходные данные'!$B$26="",C309&lt;'Исходные данные'!$B$26),0,DATEDIF(DATE(YEAR('Исходные данные'!$B$26),MONTH('Исходные данные'!$B$26),1),B309,"m")+1)</f>
        <v>0</v>
      </c>
      <c r="AG309">
        <f>IF(OR(AF309&lt;1,AF309&gt;N('Исходные данные'!$B$25),AE309+AD309&lt;=0),0,-(AE309+AD309)*N('Исходные данные'!$B$24)*IF(AF309=1,C309-'Исходные данные'!$B$26+1,DAY(C309))/365)</f>
        <v>0</v>
      </c>
      <c r="AH309">
        <f>IF(OR(AF309&lt;1,AF309&gt;N('Исходные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данные'!$B$25)-AG309))</f>
        <v>0</v>
      </c>
      <c r="AI309">
        <f>IF(OR('Исходные данные'!$B$22&lt;&gt;"Да",AE309+AD309&lt;=0),0,IF(AND('Исходные данные'!$B$91&lt;&gt;"",B309&lt;&gt;"",YEAR(B309)=YEAR('Исходные данные'!$B$91),MONTH(B309)=MONTH('Исходные данные'!$B$91)),-(AE309+AD309),IF(OR(AF309&lt;1,AF309&gt;N('Исходные данные'!$B$25)),0,IF('Исходные данные'!$B$27="Равными долями",-MIN(AE309+AD309,N('Исходные данные'!$B$23)/N('Исходные данные'!$B$25)),-MIN(AE309+AD309,IF(AF309=N('Исходные данные'!$B$25),AE309+AD309,MAX(0,AH309+AG309)))))))</f>
        <v>0</v>
      </c>
      <c r="AJ309">
        <f t="shared" si="170"/>
        <v>0</v>
      </c>
      <c r="AK309">
        <f t="shared" si="153"/>
        <v>0</v>
      </c>
      <c r="AL309">
        <f>IF(OR(B309="",'Исходные данные'!$B$51&lt;&gt;"Да",'Исходные данные'!$B$61=""),0,IF(AND(YEAR(B309)=YEAR('Исходные данные'!$B$61),MONTH(B309)=MONTH('Исходные данные'!$B$61)),N('Исходные данные'!$B$18)*N('Исходные данные'!$B$62),0))</f>
        <v>0</v>
      </c>
      <c r="AM309">
        <f t="shared" si="154"/>
        <v>0</v>
      </c>
      <c r="AN309">
        <f t="shared" si="155"/>
        <v>0</v>
      </c>
      <c r="AO309">
        <f t="shared" si="156"/>
        <v>0</v>
      </c>
      <c r="AP309">
        <f>IF('Исходные данные'!$B$51="Да",-MAX(0,AN309-AO309-AM309),0)</f>
        <v>0</v>
      </c>
      <c r="AQ309">
        <f>IF('Исходные данные'!$B$51="Да",MAX(0,AM309+AO309-AN309),0)</f>
        <v>0</v>
      </c>
      <c r="AR309">
        <f>IF('Исходные данные'!$B$53="Выручка",MAX(0,L309+(Q309-R309)+(U309-V309)),IF('Исходные данные'!$B$53="Прибыль до налога",MAX(0,L309+(Q309-R309)+(U309-V309)+N('Исходные данные'!$B$54)*((O309+P309)+(S309+T309)+W309+X309)+IF('Исходные данные'!$B$55="Да",AG309,0)-N('Исходные данные'!$B$56)/12),IF('Исходные данные'!$B$53="Пользовательская база",MAX(0,N('Исходные данные'!$B$57)/12),0)))</f>
        <v>0</v>
      </c>
      <c r="AS309">
        <f>IF(E309=1,-AR309*N('Исходные данные'!$B$50),0)</f>
        <v>0</v>
      </c>
      <c r="AT309">
        <f t="shared" si="157"/>
        <v>0</v>
      </c>
      <c r="AU309">
        <f>IF(OR(B309="",N('Исходные данные'!$B$80)&lt;=0,'Исходные данные'!$B$88=""),0,MAX(0,IF('Исходные данные'!$B$88="Последние 12 месяцев",SUMIFS($Y$2:$Y$194,$B$2:$B$194,"&gt;="&amp;EDATE(B309,-11),$B$2:$B$194,"&lt;="&amp;B309),IF('Исходные данные'!$B$88="Пользовательский NOI",N('Исходные данные'!$B$89),AT309))/N('Исходные данные'!$B$80)*(1+N('Исходные данные'!$B$81))))</f>
        <v>0</v>
      </c>
      <c r="AV309">
        <f>IF(OR(E309&lt;&gt;1,B309="",'Исходные данные'!$B$91=""),0,IF(AND(YEAR(B309)=YEAR('Исходные данные'!$B$91),MONTH(B309)=MONTH('Исходные данные'!$B$91)),AU309,0))</f>
        <v>0</v>
      </c>
      <c r="AW309">
        <f>-AV309*N('Исходные данные'!$B$73)</f>
        <v>0</v>
      </c>
      <c r="AX309">
        <f>IF(AV309=0,0,-N('Исходные данные'!$B$87)-IF('Исходные данные'!$B$82="Да",IF('Исходные данные'!$B$84="С выручки",AV309,IF('Исходные данные'!$B$84="С прибыли",MAX(0,AV309+AW309-IF('Исходные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09">
        <f t="shared" si="171"/>
        <v>0</v>
      </c>
      <c r="AZ309">
        <f t="shared" si="158"/>
        <v>0</v>
      </c>
      <c r="BA309">
        <f t="shared" si="172"/>
        <v>0</v>
      </c>
      <c r="BB309" t="str">
        <f t="shared" si="159"/>
        <v/>
      </c>
      <c r="BC309">
        <f>IF(OR(E309=0,'Исходные данные'!$B$9="",'Исходные данные'!$B$90=""),0,BA309/(1+'Исходные данные'!$B$90)^((D309-'Исходные данные'!$B$9)/365))</f>
        <v>0</v>
      </c>
      <c r="BD309">
        <f>IF(AND(E309=1,BB309&gt;=0,BB308&lt;0,MIN($BB$2:BB309)&lt;0),1,0)</f>
        <v>0</v>
      </c>
      <c r="BE309">
        <f t="shared" si="160"/>
        <v>0</v>
      </c>
      <c r="BF309">
        <f t="shared" si="161"/>
        <v>0</v>
      </c>
      <c r="BG309">
        <f t="shared" si="162"/>
        <v>0</v>
      </c>
      <c r="BH309">
        <f t="shared" si="163"/>
        <v>1</v>
      </c>
      <c r="BI309">
        <f>AZ309+N309+AP309-AR309*N('Исходные данные'!$B$50)</f>
        <v>0</v>
      </c>
      <c r="BJ309">
        <f t="shared" si="164"/>
        <v>0</v>
      </c>
      <c r="BK309">
        <f>IF(AND(BJ309&gt;=0,BJ308&lt;0,MIN($BJ$2:BJ309)&lt;0),1,0)</f>
        <v>0</v>
      </c>
    </row>
    <row r="310" spans="1:63" x14ac:dyDescent="0.2">
      <c r="A310">
        <v>309</v>
      </c>
      <c r="B310" t="str">
        <f>IF('Исходные данные'!$B$9="","",EDATE(DATE(YEAR('Исходные данные'!$B$9),MONTH('Исходные данные'!$B$9),1),A310-1))</f>
        <v/>
      </c>
      <c r="C310" t="str">
        <f t="shared" si="165"/>
        <v/>
      </c>
      <c r="D310" t="str">
        <f>IF(B310="","",IF('Исходные данные'!$B$91&lt;&gt;"",IF(AND(YEAR(B310)=YEAR('Исходные данные'!$B$91),MONTH(B310)=MONTH('Исходные данные'!$B$91)),'Исходные данные'!$B$91,IF('Исходные данные'!$B$13&lt;&gt;"",IF(AND(YEAR(B310)=YEAR('Исходные данные'!$B$13),MONTH(B310)=MONTH('Исходные данные'!$B$13)),'Исходные данные'!$B$13,IF('Исходные данные'!$B$26&lt;&gt;"",IF(AND(YEAR(B310)=YEAR('Исходные данные'!$B$26),MONTH(B310)=MONTH('Исходные данные'!$B$26)),'Исходные данные'!$B$26,IF(A310=1,'Исходные данные'!$B$9,C310)),IF(A310=1,'Исходные данные'!$B$9,C310))),IF('Исходные данные'!$B$26&lt;&gt;"",IF(AND(YEAR(B310)=YEAR('Исходные данные'!$B$26),MONTH(B310)=MONTH('Исходные данные'!$B$26)),'Исходные данные'!$B$26,IF(A310=1,'Исходные данные'!$B$9,C310)),IF(A310=1,'Исходные данные'!$B$9,C310)))),IF('Исходные данные'!$B$13&lt;&gt;"",IF(AND(YEAR(B310)=YEAR('Исходные данные'!$B$13),MONTH(B310)=MONTH('Исходные данные'!$B$13)),'Исходные данные'!$B$13,IF('Исходные данные'!$B$26&lt;&gt;"",IF(AND(YEAR(B310)=YEAR('Исходные данные'!$B$26),MONTH(B310)=MONTH('Исходные данные'!$B$26)),'Исходные данные'!$B$26,IF(A310=1,'Исходные данные'!$B$9,C310)),IF(A310=1,'Исходные данные'!$B$9,C310))),IF('Исходные данные'!$B$26&lt;&gt;"",IF(AND(YEAR(B310)=YEAR('Исходные данные'!$B$26),MONTH(B310)=MONTH('Исходные данные'!$B$26)),'Исходные данные'!$B$26,IF(A310=1,'Исходные данные'!$B$9,C310)),IF(A310=1,'Исходные данные'!$B$9,C310)))))</f>
        <v/>
      </c>
      <c r="E310">
        <f>IF(OR(B310="",'Исходные данные'!$B$91=""),0,--(B310&lt;=DATE(YEAR('Исходные данные'!$B$91),MONTH('Исходные данные'!$B$91),1)))</f>
        <v>0</v>
      </c>
      <c r="F310">
        <f>IF(OR(B310="",'Исходные данные'!$B$30="",C310&lt;'Исходные данные'!$B$30),0,DATEDIF(DATE(YEAR('Исходные данные'!$B$30),MONTH('Исходные данные'!$B$30),1),B310,"m")+1)</f>
        <v>0</v>
      </c>
      <c r="G310">
        <f t="shared" si="166"/>
        <v>0</v>
      </c>
      <c r="H310">
        <f>IF(F310=0,0,IF(G310=1,N('Исходные данные'!$B$31),IF(G310=2,N('Исходные данные'!$B$32),IF(G310=3,N('Исходные данные'!$B$33),N('Исходные данные'!$B$33)*(1+N('Исходные данные'!$B$34))^(G310-3)))))</f>
        <v>0</v>
      </c>
      <c r="I310">
        <f>IF(OR(F310=0,N('Исходные данные'!$B$5)=0,H310=0),0,'Исходные данные'!$B$5*H310*IF(AND(B310&lt;='Исходные данные'!$B$30,C310&gt;='Исходные данные'!$B$30),(C310-'Исходные данные'!$B$30+1)/DAY(C310),1))</f>
        <v>0</v>
      </c>
      <c r="J310">
        <f>IF(AND(F310&gt;0,F310&lt;=N('Исходные данные'!$B$37)),-I310,0)</f>
        <v>0</v>
      </c>
      <c r="K310">
        <f>IF(OR(F310=0,F310&lt;=N('Исходные данные'!$B$37)),0,-(I310+J310)*N('Исходные данные'!$B$38))</f>
        <v>0</v>
      </c>
      <c r="L310">
        <f t="shared" si="167"/>
        <v>0</v>
      </c>
      <c r="M310">
        <f>IF('Исходные данные'!$B$51="Да",L310*N('Исходные данные'!$B$52),0)</f>
        <v>0</v>
      </c>
      <c r="N310">
        <f t="shared" si="168"/>
        <v>0</v>
      </c>
      <c r="O310">
        <f>IF(OR(B310="",IF('Исходные данные'!$B$45="",'Исходные данные'!$B$10,'Исходные данные'!$B$45)="",C310&lt;IF('Исходные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данные'!$B$45)),1),B310,"m")/12))*IF(AND(B310&lt;=IF('Исходные данные'!$B$45="",'Исходные данные'!$B$10,'Исходные данные'!$B$45),C310&gt;=IF('Исходные данные'!$B$45="",'Исходные данные'!$B$10,'Исходные данные'!$B$45)),(C310-IF('Исходные данные'!$B$45="",'Исходные данные'!$B$10,'Исходные данные'!$B$45)+1)/DAY(C310),1)*IF('Исходные данные'!$B$43="Без НДС",1+N('Исходные данные'!$B$44),1))</f>
        <v>0</v>
      </c>
      <c r="P310">
        <f>IF('Исходные данные'!$B$51="Да",-O310*N('Исходные данные'!$B$44)/(1+N('Исходные данные'!$B$44)),0)</f>
        <v>0</v>
      </c>
      <c r="Q310">
        <f>IF('Исходные данные'!$B$35="Да",-O310,0)</f>
        <v>0</v>
      </c>
      <c r="R310">
        <f>IF(AND('Исходные данные'!$B$51="Да",Q310&gt;0),Q310*N('Исходные данные'!$B$52)/(1+N('Исходные данные'!$B$52)),0)</f>
        <v>0</v>
      </c>
      <c r="S310">
        <f>IF(OR(B310="",IF('Исходные данные'!$B$45="",'Исходные данные'!$B$10,'Исходные данные'!$B$45)="",C310&lt;IF('Исходные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данные'!$B$45)),1),B310,"m")/12))*IF(AND(B310&lt;=IF('Исходные данные'!$B$45="",'Исходные данные'!$B$10,'Исходные данные'!$B$45),C310&gt;=IF('Исходные данные'!$B$45="",'Исходные данные'!$B$10,'Исходные данные'!$B$45)),(C310-IF('Исходные данные'!$B$45="",'Исходные данные'!$B$10,'Исходные данные'!$B$45)+1)/DAY(C310),1)*IF('Исходные данные'!$B$43="Без НДС",1+N('Исходные данные'!$B$44),1))</f>
        <v>0</v>
      </c>
      <c r="T310">
        <f>IF('Исходные данные'!$B$51="Да",-S310*N('Исходные данные'!$B$44)/(1+N('Исходные данные'!$B$44)),0)</f>
        <v>0</v>
      </c>
      <c r="U310">
        <f>IF('Исходные данные'!$B$36="Да",-S310,0)</f>
        <v>0</v>
      </c>
      <c r="V310">
        <f>IF(AND('Исходные данные'!$B$51="Да",U310&gt;0),U310*N('Исходные данные'!$B$52)/(1+N('Исходные данные'!$B$52)),0)</f>
        <v>0</v>
      </c>
      <c r="W310">
        <f>IF(OR(B310="",IF('Исходные данные'!$B$69="",'Исходные данные'!$B$10,'Исходные данные'!$B$69)="",C310&lt;IF('Исходные данные'!$B$69="",'Исходные данные'!$B$10,'Исходные данные'!$B$69)),0,-N('Исходные данные'!$B$16)*N('Исходные данные'!$B$68)*N('Исходные данные'!$B$67)/12*IF(AND(B310&lt;=IF('Исходные данные'!$B$69="",'Исходные данные'!$B$10,'Исходные данные'!$B$69),C310&gt;=IF('Исходные данные'!$B$69="",'Исходные данные'!$B$10,'Исходные данные'!$B$69)),(C310-IF('Исходные данные'!$B$69="",'Исходные данные'!$B$10,'Исходные данные'!$B$69)+1)/DAY(C310),1))</f>
        <v>0</v>
      </c>
      <c r="X310">
        <f>IF(OR(B310="",IF('Исходные данные'!$B$76="",'Исходные данные'!$B$10,'Исходные данные'!$B$76)="",C310&lt;IF('Исходные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данные'!$B$76)),1),B310,"m")/12))*IF(AND(B310&lt;=IF('Исходные данные'!$B$76="",'Исходные данные'!$B$10,'Исходные данные'!$B$76),C310&gt;=IF('Исходные данные'!$B$76="",'Исходные данные'!$B$10,'Исходные данные'!$B$76)),(C310-IF('Исходные данные'!$B$76="",'Исходные данные'!$B$10,'Исходные данные'!$B$76)+1)/DAY(C310),1))</f>
        <v>0</v>
      </c>
      <c r="Y310">
        <f t="shared" si="169"/>
        <v>0</v>
      </c>
      <c r="Z310">
        <f>IF(OR(B310="",N('Исходные данные'!$B$19)=0),0,-SUMIFS('Исходные данные'!$I$6:$I$186,'Исходные данные'!$F$6:$F$186,B310)*N('Исходные данные'!$B$17)/N('Исходные данные'!$B$19))</f>
        <v>0</v>
      </c>
      <c r="AA310">
        <f>IF(OR(B310="",N('Исходные данные'!$B$19)=0),0,-SUMIFS('Исходные данные'!$I$6:$I$186,'Исходные данные'!$F$6:$F$186,B310)*N('Исходные данные'!$B$18)/N('Исходные данные'!$B$19))</f>
        <v>0</v>
      </c>
      <c r="AB310">
        <f>IF(OR(B310="",'Исходные данные'!$B$13=""),0,IF(AND(YEAR(B310)=YEAR('Исходные данные'!$B$13),MONTH(B310)=MONTH('Исходные данные'!$B$13)),-N('Исходные данные'!$B$11),0))</f>
        <v>0</v>
      </c>
      <c r="AC310">
        <f>IF(A310=1,-N('Исходные данные'!$B$19)*N('Исходные данные'!$B$72),0)</f>
        <v>0</v>
      </c>
      <c r="AD310">
        <f>IF(OR(B310="",'Исходные данные'!$B$22&lt;&gt;"Да",'Исходные данные'!$B$26=""),0,IF(AND(YEAR(B310)=YEAR('Исходные данные'!$B$26),MONTH(B310)=MONTH('Исходные данные'!$B$26)),N('Исходные данные'!$B$23),0))</f>
        <v>0</v>
      </c>
      <c r="AE310">
        <f t="shared" si="152"/>
        <v>0</v>
      </c>
      <c r="AF310">
        <f>IF(OR('Исходные данные'!$B$22&lt;&gt;"Да",'Исходные данные'!$B$26="",C310&lt;'Исходные данные'!$B$26),0,DATEDIF(DATE(YEAR('Исходные данные'!$B$26),MONTH('Исходные данные'!$B$26),1),B310,"m")+1)</f>
        <v>0</v>
      </c>
      <c r="AG310">
        <f>IF(OR(AF310&lt;1,AF310&gt;N('Исходные данные'!$B$25),AE310+AD310&lt;=0),0,-(AE310+AD310)*N('Исходные данные'!$B$24)*IF(AF310=1,C310-'Исходные данные'!$B$26+1,DAY(C310))/365)</f>
        <v>0</v>
      </c>
      <c r="AH310">
        <f>IF(OR(AF310&lt;1,AF310&gt;N('Исходные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данные'!$B$25)-AG310))</f>
        <v>0</v>
      </c>
      <c r="AI310">
        <f>IF(OR('Исходные данные'!$B$22&lt;&gt;"Да",AE310+AD310&lt;=0),0,IF(AND('Исходные данные'!$B$91&lt;&gt;"",B310&lt;&gt;"",YEAR(B310)=YEAR('Исходные данные'!$B$91),MONTH(B310)=MONTH('Исходные данные'!$B$91)),-(AE310+AD310),IF(OR(AF310&lt;1,AF310&gt;N('Исходные данные'!$B$25)),0,IF('Исходные данные'!$B$27="Равными долями",-MIN(AE310+AD310,N('Исходные данные'!$B$23)/N('Исходные данные'!$B$25)),-MIN(AE310+AD310,IF(AF310=N('Исходные данные'!$B$25),AE310+AD310,MAX(0,AH310+AG310)))))))</f>
        <v>0</v>
      </c>
      <c r="AJ310">
        <f t="shared" si="170"/>
        <v>0</v>
      </c>
      <c r="AK310">
        <f t="shared" si="153"/>
        <v>0</v>
      </c>
      <c r="AL310">
        <f>IF(OR(B310="",'Исходные данные'!$B$51&lt;&gt;"Да",'Исходные данные'!$B$61=""),0,IF(AND(YEAR(B310)=YEAR('Исходные данные'!$B$61),MONTH(B310)=MONTH('Исходные данные'!$B$61)),N('Исходные данные'!$B$18)*N('Исходные данные'!$B$62),0))</f>
        <v>0</v>
      </c>
      <c r="AM310">
        <f t="shared" si="154"/>
        <v>0</v>
      </c>
      <c r="AN310">
        <f t="shared" si="155"/>
        <v>0</v>
      </c>
      <c r="AO310">
        <f t="shared" si="156"/>
        <v>0</v>
      </c>
      <c r="AP310">
        <f>IF('Исходные данные'!$B$51="Да",-MAX(0,AN310-AO310-AM310),0)</f>
        <v>0</v>
      </c>
      <c r="AQ310">
        <f>IF('Исходные данные'!$B$51="Да",MAX(0,AM310+AO310-AN310),0)</f>
        <v>0</v>
      </c>
      <c r="AR310">
        <f>IF('Исходные данные'!$B$53="Выручка",MAX(0,L310+(Q310-R310)+(U310-V310)),IF('Исходные данные'!$B$53="Прибыль до налога",MAX(0,L310+(Q310-R310)+(U310-V310)+N('Исходные данные'!$B$54)*((O310+P310)+(S310+T310)+W310+X310)+IF('Исходные данные'!$B$55="Да",AG310,0)-N('Исходные данные'!$B$56)/12),IF('Исходные данные'!$B$53="Пользовательская база",MAX(0,N('Исходные данные'!$B$57)/12),0)))</f>
        <v>0</v>
      </c>
      <c r="AS310">
        <f>IF(E310=1,-AR310*N('Исходные данные'!$B$50),0)</f>
        <v>0</v>
      </c>
      <c r="AT310">
        <f t="shared" si="157"/>
        <v>0</v>
      </c>
      <c r="AU310">
        <f>IF(OR(B310="",N('Исходные данные'!$B$80)&lt;=0,'Исходные данные'!$B$88=""),0,MAX(0,IF('Исходные данные'!$B$88="Последние 12 месяцев",SUMIFS($Y$2:$Y$194,$B$2:$B$194,"&gt;="&amp;EDATE(B310,-11),$B$2:$B$194,"&lt;="&amp;B310),IF('Исходные данные'!$B$88="Пользовательский NOI",N('Исходные данные'!$B$89),AT310))/N('Исходные данные'!$B$80)*(1+N('Исходные данные'!$B$81))))</f>
        <v>0</v>
      </c>
      <c r="AV310">
        <f>IF(OR(E310&lt;&gt;1,B310="",'Исходные данные'!$B$91=""),0,IF(AND(YEAR(B310)=YEAR('Исходные данные'!$B$91),MONTH(B310)=MONTH('Исходные данные'!$B$91)),AU310,0))</f>
        <v>0</v>
      </c>
      <c r="AW310">
        <f>-AV310*N('Исходные данные'!$B$73)</f>
        <v>0</v>
      </c>
      <c r="AX310">
        <f>IF(AV310=0,0,-N('Исходные данные'!$B$87)-IF('Исходные данные'!$B$82="Да",IF('Исходные данные'!$B$84="С выручки",AV310,IF('Исходные данные'!$B$84="С прибыли",MAX(0,AV310+AW310-IF('Исходные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10">
        <f t="shared" si="171"/>
        <v>0</v>
      </c>
      <c r="AZ310">
        <f t="shared" si="158"/>
        <v>0</v>
      </c>
      <c r="BA310">
        <f t="shared" si="172"/>
        <v>0</v>
      </c>
      <c r="BB310" t="str">
        <f t="shared" si="159"/>
        <v/>
      </c>
      <c r="BC310">
        <f>IF(OR(E310=0,'Исходные данные'!$B$9="",'Исходные данные'!$B$90=""),0,BA310/(1+'Исходные данные'!$B$90)^((D310-'Исходные данные'!$B$9)/365))</f>
        <v>0</v>
      </c>
      <c r="BD310">
        <f>IF(AND(E310=1,BB310&gt;=0,BB309&lt;0,MIN($BB$2:BB310)&lt;0),1,0)</f>
        <v>0</v>
      </c>
      <c r="BE310">
        <f t="shared" si="160"/>
        <v>0</v>
      </c>
      <c r="BF310">
        <f t="shared" si="161"/>
        <v>0</v>
      </c>
      <c r="BG310">
        <f t="shared" si="162"/>
        <v>0</v>
      </c>
      <c r="BH310">
        <f t="shared" si="163"/>
        <v>1</v>
      </c>
      <c r="BI310">
        <f>AZ310+N310+AP310-AR310*N('Исходные данные'!$B$50)</f>
        <v>0</v>
      </c>
      <c r="BJ310">
        <f t="shared" si="164"/>
        <v>0</v>
      </c>
      <c r="BK310">
        <f>IF(AND(BJ310&gt;=0,BJ309&lt;0,MIN($BJ$2:BJ310)&lt;0),1,0)</f>
        <v>0</v>
      </c>
    </row>
    <row r="311" spans="1:63" x14ac:dyDescent="0.2">
      <c r="A311">
        <v>310</v>
      </c>
      <c r="B311" t="str">
        <f>IF('Исходные данные'!$B$9="","",EDATE(DATE(YEAR('Исходные данные'!$B$9),MONTH('Исходные данные'!$B$9),1),A311-1))</f>
        <v/>
      </c>
      <c r="C311" t="str">
        <f t="shared" si="165"/>
        <v/>
      </c>
      <c r="D311" t="str">
        <f>IF(B311="","",IF('Исходные данные'!$B$91&lt;&gt;"",IF(AND(YEAR(B311)=YEAR('Исходные данные'!$B$91),MONTH(B311)=MONTH('Исходные данные'!$B$91)),'Исходные данные'!$B$91,IF('Исходные данные'!$B$13&lt;&gt;"",IF(AND(YEAR(B311)=YEAR('Исходные данные'!$B$13),MONTH(B311)=MONTH('Исходные данные'!$B$13)),'Исходные данные'!$B$13,IF('Исходные данные'!$B$26&lt;&gt;"",IF(AND(YEAR(B311)=YEAR('Исходные данные'!$B$26),MONTH(B311)=MONTH('Исходные данные'!$B$26)),'Исходные данные'!$B$26,IF(A311=1,'Исходные данные'!$B$9,C311)),IF(A311=1,'Исходные данные'!$B$9,C311))),IF('Исходные данные'!$B$26&lt;&gt;"",IF(AND(YEAR(B311)=YEAR('Исходные данные'!$B$26),MONTH(B311)=MONTH('Исходные данные'!$B$26)),'Исходные данные'!$B$26,IF(A311=1,'Исходные данные'!$B$9,C311)),IF(A311=1,'Исходные данные'!$B$9,C311)))),IF('Исходные данные'!$B$13&lt;&gt;"",IF(AND(YEAR(B311)=YEAR('Исходные данные'!$B$13),MONTH(B311)=MONTH('Исходные данные'!$B$13)),'Исходные данные'!$B$13,IF('Исходные данные'!$B$26&lt;&gt;"",IF(AND(YEAR(B311)=YEAR('Исходные данные'!$B$26),MONTH(B311)=MONTH('Исходные данные'!$B$26)),'Исходные данные'!$B$26,IF(A311=1,'Исходные данные'!$B$9,C311)),IF(A311=1,'Исходные данные'!$B$9,C311))),IF('Исходные данные'!$B$26&lt;&gt;"",IF(AND(YEAR(B311)=YEAR('Исходные данные'!$B$26),MONTH(B311)=MONTH('Исходные данные'!$B$26)),'Исходные данные'!$B$26,IF(A311=1,'Исходные данные'!$B$9,C311)),IF(A311=1,'Исходные данные'!$B$9,C311)))))</f>
        <v/>
      </c>
      <c r="E311">
        <f>IF(OR(B311="",'Исходные данные'!$B$91=""),0,--(B311&lt;=DATE(YEAR('Исходные данные'!$B$91),MONTH('Исходные данные'!$B$91),1)))</f>
        <v>0</v>
      </c>
      <c r="F311">
        <f>IF(OR(B311="",'Исходные данные'!$B$30="",C311&lt;'Исходные данные'!$B$30),0,DATEDIF(DATE(YEAR('Исходные данные'!$B$30),MONTH('Исходные данные'!$B$30),1),B311,"m")+1)</f>
        <v>0</v>
      </c>
      <c r="G311">
        <f t="shared" si="166"/>
        <v>0</v>
      </c>
      <c r="H311">
        <f>IF(F311=0,0,IF(G311=1,N('Исходные данные'!$B$31),IF(G311=2,N('Исходные данные'!$B$32),IF(G311=3,N('Исходные данные'!$B$33),N('Исходные данные'!$B$33)*(1+N('Исходные данные'!$B$34))^(G311-3)))))</f>
        <v>0</v>
      </c>
      <c r="I311">
        <f>IF(OR(F311=0,N('Исходные данные'!$B$5)=0,H311=0),0,'Исходные данные'!$B$5*H311*IF(AND(B311&lt;='Исходные данные'!$B$30,C311&gt;='Исходные данные'!$B$30),(C311-'Исходные данные'!$B$30+1)/DAY(C311),1))</f>
        <v>0</v>
      </c>
      <c r="J311">
        <f>IF(AND(F311&gt;0,F311&lt;=N('Исходные данные'!$B$37)),-I311,0)</f>
        <v>0</v>
      </c>
      <c r="K311">
        <f>IF(OR(F311=0,F311&lt;=N('Исходные данные'!$B$37)),0,-(I311+J311)*N('Исходные данные'!$B$38))</f>
        <v>0</v>
      </c>
      <c r="L311">
        <f t="shared" si="167"/>
        <v>0</v>
      </c>
      <c r="M311">
        <f>IF('Исходные данные'!$B$51="Да",L311*N('Исходные данные'!$B$52),0)</f>
        <v>0</v>
      </c>
      <c r="N311">
        <f t="shared" si="168"/>
        <v>0</v>
      </c>
      <c r="O311">
        <f>IF(OR(B311="",IF('Исходные данные'!$B$45="",'Исходные данные'!$B$10,'Исходные данные'!$B$45)="",C311&lt;IF('Исходные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данные'!$B$45)),1),B311,"m")/12))*IF(AND(B311&lt;=IF('Исходные данные'!$B$45="",'Исходные данные'!$B$10,'Исходные данные'!$B$45),C311&gt;=IF('Исходные данные'!$B$45="",'Исходные данные'!$B$10,'Исходные данные'!$B$45)),(C311-IF('Исходные данные'!$B$45="",'Исходные данные'!$B$10,'Исходные данные'!$B$45)+1)/DAY(C311),1)*IF('Исходные данные'!$B$43="Без НДС",1+N('Исходные данные'!$B$44),1))</f>
        <v>0</v>
      </c>
      <c r="P311">
        <f>IF('Исходные данные'!$B$51="Да",-O311*N('Исходные данные'!$B$44)/(1+N('Исходные данные'!$B$44)),0)</f>
        <v>0</v>
      </c>
      <c r="Q311">
        <f>IF('Исходные данные'!$B$35="Да",-O311,0)</f>
        <v>0</v>
      </c>
      <c r="R311">
        <f>IF(AND('Исходные данные'!$B$51="Да",Q311&gt;0),Q311*N('Исходные данные'!$B$52)/(1+N('Исходные данные'!$B$52)),0)</f>
        <v>0</v>
      </c>
      <c r="S311">
        <f>IF(OR(B311="",IF('Исходные данные'!$B$45="",'Исходные данные'!$B$10,'Исходные данные'!$B$45)="",C311&lt;IF('Исходные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данные'!$B$45)),1),B311,"m")/12))*IF(AND(B311&lt;=IF('Исходные данные'!$B$45="",'Исходные данные'!$B$10,'Исходные данные'!$B$45),C311&gt;=IF('Исходные данные'!$B$45="",'Исходные данные'!$B$10,'Исходные данные'!$B$45)),(C311-IF('Исходные данные'!$B$45="",'Исходные данные'!$B$10,'Исходные данные'!$B$45)+1)/DAY(C311),1)*IF('Исходные данные'!$B$43="Без НДС",1+N('Исходные данные'!$B$44),1))</f>
        <v>0</v>
      </c>
      <c r="T311">
        <f>IF('Исходные данные'!$B$51="Да",-S311*N('Исходные данные'!$B$44)/(1+N('Исходные данные'!$B$44)),0)</f>
        <v>0</v>
      </c>
      <c r="U311">
        <f>IF('Исходные данные'!$B$36="Да",-S311,0)</f>
        <v>0</v>
      </c>
      <c r="V311">
        <f>IF(AND('Исходные данные'!$B$51="Да",U311&gt;0),U311*N('Исходные данные'!$B$52)/(1+N('Исходные данные'!$B$52)),0)</f>
        <v>0</v>
      </c>
      <c r="W311">
        <f>IF(OR(B311="",IF('Исходные данные'!$B$69="",'Исходные данные'!$B$10,'Исходные данные'!$B$69)="",C311&lt;IF('Исходные данные'!$B$69="",'Исходные данные'!$B$10,'Исходные данные'!$B$69)),0,-N('Исходные данные'!$B$16)*N('Исходные данные'!$B$68)*N('Исходные данные'!$B$67)/12*IF(AND(B311&lt;=IF('Исходные данные'!$B$69="",'Исходные данные'!$B$10,'Исходные данные'!$B$69),C311&gt;=IF('Исходные данные'!$B$69="",'Исходные данные'!$B$10,'Исходные данные'!$B$69)),(C311-IF('Исходные данные'!$B$69="",'Исходные данные'!$B$10,'Исходные данные'!$B$69)+1)/DAY(C311),1))</f>
        <v>0</v>
      </c>
      <c r="X311">
        <f>IF(OR(B311="",IF('Исходные данные'!$B$76="",'Исходные данные'!$B$10,'Исходные данные'!$B$76)="",C311&lt;IF('Исходные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данные'!$B$76)),1),B311,"m")/12))*IF(AND(B311&lt;=IF('Исходные данные'!$B$76="",'Исходные данные'!$B$10,'Исходные данные'!$B$76),C311&gt;=IF('Исходные данные'!$B$76="",'Исходные данные'!$B$10,'Исходные данные'!$B$76)),(C311-IF('Исходные данные'!$B$76="",'Исходные данные'!$B$10,'Исходные данные'!$B$76)+1)/DAY(C311),1))</f>
        <v>0</v>
      </c>
      <c r="Y311">
        <f t="shared" si="169"/>
        <v>0</v>
      </c>
      <c r="Z311">
        <f>IF(OR(B311="",N('Исходные данные'!$B$19)=0),0,-SUMIFS('Исходные данные'!$I$6:$I$186,'Исходные данные'!$F$6:$F$186,B311)*N('Исходные данные'!$B$17)/N('Исходные данные'!$B$19))</f>
        <v>0</v>
      </c>
      <c r="AA311">
        <f>IF(OR(B311="",N('Исходные данные'!$B$19)=0),0,-SUMIFS('Исходные данные'!$I$6:$I$186,'Исходные данные'!$F$6:$F$186,B311)*N('Исходные данные'!$B$18)/N('Исходные данные'!$B$19))</f>
        <v>0</v>
      </c>
      <c r="AB311">
        <f>IF(OR(B311="",'Исходные данные'!$B$13=""),0,IF(AND(YEAR(B311)=YEAR('Исходные данные'!$B$13),MONTH(B311)=MONTH('Исходные данные'!$B$13)),-N('Исходные данные'!$B$11),0))</f>
        <v>0</v>
      </c>
      <c r="AC311">
        <f>IF(A311=1,-N('Исходные данные'!$B$19)*N('Исходные данные'!$B$72),0)</f>
        <v>0</v>
      </c>
      <c r="AD311">
        <f>IF(OR(B311="",'Исходные данные'!$B$22&lt;&gt;"Да",'Исходные данные'!$B$26=""),0,IF(AND(YEAR(B311)=YEAR('Исходные данные'!$B$26),MONTH(B311)=MONTH('Исходные данные'!$B$26)),N('Исходные данные'!$B$23),0))</f>
        <v>0</v>
      </c>
      <c r="AE311">
        <f t="shared" si="152"/>
        <v>0</v>
      </c>
      <c r="AF311">
        <f>IF(OR('Исходные данные'!$B$22&lt;&gt;"Да",'Исходные данные'!$B$26="",C311&lt;'Исходные данные'!$B$26),0,DATEDIF(DATE(YEAR('Исходные данные'!$B$26),MONTH('Исходные данные'!$B$26),1),B311,"m")+1)</f>
        <v>0</v>
      </c>
      <c r="AG311">
        <f>IF(OR(AF311&lt;1,AF311&gt;N('Исходные данные'!$B$25),AE311+AD311&lt;=0),0,-(AE311+AD311)*N('Исходные данные'!$B$24)*IF(AF311=1,C311-'Исходные данные'!$B$26+1,DAY(C311))/365)</f>
        <v>0</v>
      </c>
      <c r="AH311">
        <f>IF(OR(AF311&lt;1,AF311&gt;N('Исходные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данные'!$B$25)-AG311))</f>
        <v>0</v>
      </c>
      <c r="AI311">
        <f>IF(OR('Исходные данные'!$B$22&lt;&gt;"Да",AE311+AD311&lt;=0),0,IF(AND('Исходные данные'!$B$91&lt;&gt;"",B311&lt;&gt;"",YEAR(B311)=YEAR('Исходные данные'!$B$91),MONTH(B311)=MONTH('Исходные данные'!$B$91)),-(AE311+AD311),IF(OR(AF311&lt;1,AF311&gt;N('Исходные данные'!$B$25)),0,IF('Исходные данные'!$B$27="Равными долями",-MIN(AE311+AD311,N('Исходные данные'!$B$23)/N('Исходные данные'!$B$25)),-MIN(AE311+AD311,IF(AF311=N('Исходные данные'!$B$25),AE311+AD311,MAX(0,AH311+AG311)))))))</f>
        <v>0</v>
      </c>
      <c r="AJ311">
        <f t="shared" si="170"/>
        <v>0</v>
      </c>
      <c r="AK311">
        <f t="shared" si="153"/>
        <v>0</v>
      </c>
      <c r="AL311">
        <f>IF(OR(B311="",'Исходные данные'!$B$51&lt;&gt;"Да",'Исходные данные'!$B$61=""),0,IF(AND(YEAR(B311)=YEAR('Исходные данные'!$B$61),MONTH(B311)=MONTH('Исходные данные'!$B$61)),N('Исходные данные'!$B$18)*N('Исходные данные'!$B$62),0))</f>
        <v>0</v>
      </c>
      <c r="AM311">
        <f t="shared" si="154"/>
        <v>0</v>
      </c>
      <c r="AN311">
        <f t="shared" si="155"/>
        <v>0</v>
      </c>
      <c r="AO311">
        <f t="shared" si="156"/>
        <v>0</v>
      </c>
      <c r="AP311">
        <f>IF('Исходные данные'!$B$51="Да",-MAX(0,AN311-AO311-AM311),0)</f>
        <v>0</v>
      </c>
      <c r="AQ311">
        <f>IF('Исходные данные'!$B$51="Да",MAX(0,AM311+AO311-AN311),0)</f>
        <v>0</v>
      </c>
      <c r="AR311">
        <f>IF('Исходные данные'!$B$53="Выручка",MAX(0,L311+(Q311-R311)+(U311-V311)),IF('Исходные данные'!$B$53="Прибыль до налога",MAX(0,L311+(Q311-R311)+(U311-V311)+N('Исходные данные'!$B$54)*((O311+P311)+(S311+T311)+W311+X311)+IF('Исходные данные'!$B$55="Да",AG311,0)-N('Исходные данные'!$B$56)/12),IF('Исходные данные'!$B$53="Пользовательская база",MAX(0,N('Исходные данные'!$B$57)/12),0)))</f>
        <v>0</v>
      </c>
      <c r="AS311">
        <f>IF(E311=1,-AR311*N('Исходные данные'!$B$50),0)</f>
        <v>0</v>
      </c>
      <c r="AT311">
        <f t="shared" si="157"/>
        <v>0</v>
      </c>
      <c r="AU311">
        <f>IF(OR(B311="",N('Исходные данные'!$B$80)&lt;=0,'Исходные данные'!$B$88=""),0,MAX(0,IF('Исходные данные'!$B$88="Последние 12 месяцев",SUMIFS($Y$2:$Y$194,$B$2:$B$194,"&gt;="&amp;EDATE(B311,-11),$B$2:$B$194,"&lt;="&amp;B311),IF('Исходные данные'!$B$88="Пользовательский NOI",N('Исходные данные'!$B$89),AT311))/N('Исходные данные'!$B$80)*(1+N('Исходные данные'!$B$81))))</f>
        <v>0</v>
      </c>
      <c r="AV311">
        <f>IF(OR(E311&lt;&gt;1,B311="",'Исходные данные'!$B$91=""),0,IF(AND(YEAR(B311)=YEAR('Исходные данные'!$B$91),MONTH(B311)=MONTH('Исходные данные'!$B$91)),AU311,0))</f>
        <v>0</v>
      </c>
      <c r="AW311">
        <f>-AV311*N('Исходные данные'!$B$73)</f>
        <v>0</v>
      </c>
      <c r="AX311">
        <f>IF(AV311=0,0,-N('Исходные данные'!$B$87)-IF('Исходные данные'!$B$82="Да",IF('Исходные данные'!$B$84="С выручки",AV311,IF('Исходные данные'!$B$84="С прибыли",MAX(0,AV311+AW311-IF('Исходные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11">
        <f t="shared" si="171"/>
        <v>0</v>
      </c>
      <c r="AZ311">
        <f t="shared" si="158"/>
        <v>0</v>
      </c>
      <c r="BA311">
        <f t="shared" si="172"/>
        <v>0</v>
      </c>
      <c r="BB311" t="str">
        <f t="shared" si="159"/>
        <v/>
      </c>
      <c r="BC311">
        <f>IF(OR(E311=0,'Исходные данные'!$B$9="",'Исходные данные'!$B$90=""),0,BA311/(1+'Исходные данные'!$B$90)^((D311-'Исходные данные'!$B$9)/365))</f>
        <v>0</v>
      </c>
      <c r="BD311">
        <f>IF(AND(E311=1,BB311&gt;=0,BB310&lt;0,MIN($BB$2:BB311)&lt;0),1,0)</f>
        <v>0</v>
      </c>
      <c r="BE311">
        <f t="shared" si="160"/>
        <v>0</v>
      </c>
      <c r="BF311">
        <f t="shared" si="161"/>
        <v>0</v>
      </c>
      <c r="BG311">
        <f t="shared" si="162"/>
        <v>0</v>
      </c>
      <c r="BH311">
        <f t="shared" si="163"/>
        <v>1</v>
      </c>
      <c r="BI311">
        <f>AZ311+N311+AP311-AR311*N('Исходные данные'!$B$50)</f>
        <v>0</v>
      </c>
      <c r="BJ311">
        <f t="shared" si="164"/>
        <v>0</v>
      </c>
      <c r="BK311">
        <f>IF(AND(BJ311&gt;=0,BJ310&lt;0,MIN($BJ$2:BJ311)&lt;0),1,0)</f>
        <v>0</v>
      </c>
    </row>
    <row r="312" spans="1:63" x14ac:dyDescent="0.2">
      <c r="A312">
        <v>311</v>
      </c>
      <c r="B312" t="str">
        <f>IF('Исходные данные'!$B$9="","",EDATE(DATE(YEAR('Исходные данные'!$B$9),MONTH('Исходные данные'!$B$9),1),A312-1))</f>
        <v/>
      </c>
      <c r="C312" t="str">
        <f t="shared" si="165"/>
        <v/>
      </c>
      <c r="D312" t="str">
        <f>IF(B312="","",IF('Исходные данные'!$B$91&lt;&gt;"",IF(AND(YEAR(B312)=YEAR('Исходные данные'!$B$91),MONTH(B312)=MONTH('Исходные данные'!$B$91)),'Исходные данные'!$B$91,IF('Исходные данные'!$B$13&lt;&gt;"",IF(AND(YEAR(B312)=YEAR('Исходные данные'!$B$13),MONTH(B312)=MONTH('Исходные данные'!$B$13)),'Исходные данные'!$B$13,IF('Исходные данные'!$B$26&lt;&gt;"",IF(AND(YEAR(B312)=YEAR('Исходные данные'!$B$26),MONTH(B312)=MONTH('Исходные данные'!$B$26)),'Исходные данные'!$B$26,IF(A312=1,'Исходные данные'!$B$9,C312)),IF(A312=1,'Исходные данные'!$B$9,C312))),IF('Исходные данные'!$B$26&lt;&gt;"",IF(AND(YEAR(B312)=YEAR('Исходные данные'!$B$26),MONTH(B312)=MONTH('Исходные данные'!$B$26)),'Исходные данные'!$B$26,IF(A312=1,'Исходные данные'!$B$9,C312)),IF(A312=1,'Исходные данные'!$B$9,C312)))),IF('Исходные данные'!$B$13&lt;&gt;"",IF(AND(YEAR(B312)=YEAR('Исходные данные'!$B$13),MONTH(B312)=MONTH('Исходные данные'!$B$13)),'Исходные данные'!$B$13,IF('Исходные данные'!$B$26&lt;&gt;"",IF(AND(YEAR(B312)=YEAR('Исходные данные'!$B$26),MONTH(B312)=MONTH('Исходные данные'!$B$26)),'Исходные данные'!$B$26,IF(A312=1,'Исходные данные'!$B$9,C312)),IF(A312=1,'Исходные данные'!$B$9,C312))),IF('Исходные данные'!$B$26&lt;&gt;"",IF(AND(YEAR(B312)=YEAR('Исходные данные'!$B$26),MONTH(B312)=MONTH('Исходные данные'!$B$26)),'Исходные данные'!$B$26,IF(A312=1,'Исходные данные'!$B$9,C312)),IF(A312=1,'Исходные данные'!$B$9,C312)))))</f>
        <v/>
      </c>
      <c r="E312">
        <f>IF(OR(B312="",'Исходные данные'!$B$91=""),0,--(B312&lt;=DATE(YEAR('Исходные данные'!$B$91),MONTH('Исходные данные'!$B$91),1)))</f>
        <v>0</v>
      </c>
      <c r="F312">
        <f>IF(OR(B312="",'Исходные данные'!$B$30="",C312&lt;'Исходные данные'!$B$30),0,DATEDIF(DATE(YEAR('Исходные данные'!$B$30),MONTH('Исходные данные'!$B$30),1),B312,"m")+1)</f>
        <v>0</v>
      </c>
      <c r="G312">
        <f t="shared" si="166"/>
        <v>0</v>
      </c>
      <c r="H312">
        <f>IF(F312=0,0,IF(G312=1,N('Исходные данные'!$B$31),IF(G312=2,N('Исходные данные'!$B$32),IF(G312=3,N('Исходные данные'!$B$33),N('Исходные данные'!$B$33)*(1+N('Исходные данные'!$B$34))^(G312-3)))))</f>
        <v>0</v>
      </c>
      <c r="I312">
        <f>IF(OR(F312=0,N('Исходные данные'!$B$5)=0,H312=0),0,'Исходные данные'!$B$5*H312*IF(AND(B312&lt;='Исходные данные'!$B$30,C312&gt;='Исходные данные'!$B$30),(C312-'Исходные данные'!$B$30+1)/DAY(C312),1))</f>
        <v>0</v>
      </c>
      <c r="J312">
        <f>IF(AND(F312&gt;0,F312&lt;=N('Исходные данные'!$B$37)),-I312,0)</f>
        <v>0</v>
      </c>
      <c r="K312">
        <f>IF(OR(F312=0,F312&lt;=N('Исходные данные'!$B$37)),0,-(I312+J312)*N('Исходные данные'!$B$38))</f>
        <v>0</v>
      </c>
      <c r="L312">
        <f t="shared" si="167"/>
        <v>0</v>
      </c>
      <c r="M312">
        <f>IF('Исходные данные'!$B$51="Да",L312*N('Исходные данные'!$B$52),0)</f>
        <v>0</v>
      </c>
      <c r="N312">
        <f t="shared" si="168"/>
        <v>0</v>
      </c>
      <c r="O312">
        <f>IF(OR(B312="",IF('Исходные данные'!$B$45="",'Исходные данные'!$B$10,'Исходные данные'!$B$45)="",C312&lt;IF('Исходные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данные'!$B$45)),1),B312,"m")/12))*IF(AND(B312&lt;=IF('Исходные данные'!$B$45="",'Исходные данные'!$B$10,'Исходные данные'!$B$45),C312&gt;=IF('Исходные данные'!$B$45="",'Исходные данные'!$B$10,'Исходные данные'!$B$45)),(C312-IF('Исходные данные'!$B$45="",'Исходные данные'!$B$10,'Исходные данные'!$B$45)+1)/DAY(C312),1)*IF('Исходные данные'!$B$43="Без НДС",1+N('Исходные данные'!$B$44),1))</f>
        <v>0</v>
      </c>
      <c r="P312">
        <f>IF('Исходные данные'!$B$51="Да",-O312*N('Исходные данные'!$B$44)/(1+N('Исходные данные'!$B$44)),0)</f>
        <v>0</v>
      </c>
      <c r="Q312">
        <f>IF('Исходные данные'!$B$35="Да",-O312,0)</f>
        <v>0</v>
      </c>
      <c r="R312">
        <f>IF(AND('Исходные данные'!$B$51="Да",Q312&gt;0),Q312*N('Исходные данные'!$B$52)/(1+N('Исходные данные'!$B$52)),0)</f>
        <v>0</v>
      </c>
      <c r="S312">
        <f>IF(OR(B312="",IF('Исходные данные'!$B$45="",'Исходные данные'!$B$10,'Исходные данные'!$B$45)="",C312&lt;IF('Исходные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данные'!$B$45)),1),B312,"m")/12))*IF(AND(B312&lt;=IF('Исходные данные'!$B$45="",'Исходные данные'!$B$10,'Исходные данные'!$B$45),C312&gt;=IF('Исходные данные'!$B$45="",'Исходные данные'!$B$10,'Исходные данные'!$B$45)),(C312-IF('Исходные данные'!$B$45="",'Исходные данные'!$B$10,'Исходные данные'!$B$45)+1)/DAY(C312),1)*IF('Исходные данные'!$B$43="Без НДС",1+N('Исходные данные'!$B$44),1))</f>
        <v>0</v>
      </c>
      <c r="T312">
        <f>IF('Исходные данные'!$B$51="Да",-S312*N('Исходные данные'!$B$44)/(1+N('Исходные данные'!$B$44)),0)</f>
        <v>0</v>
      </c>
      <c r="U312">
        <f>IF('Исходные данные'!$B$36="Да",-S312,0)</f>
        <v>0</v>
      </c>
      <c r="V312">
        <f>IF(AND('Исходные данные'!$B$51="Да",U312&gt;0),U312*N('Исходные данные'!$B$52)/(1+N('Исходные данные'!$B$52)),0)</f>
        <v>0</v>
      </c>
      <c r="W312">
        <f>IF(OR(B312="",IF('Исходные данные'!$B$69="",'Исходные данные'!$B$10,'Исходные данные'!$B$69)="",C312&lt;IF('Исходные данные'!$B$69="",'Исходные данные'!$B$10,'Исходные данные'!$B$69)),0,-N('Исходные данные'!$B$16)*N('Исходные данные'!$B$68)*N('Исходные данные'!$B$67)/12*IF(AND(B312&lt;=IF('Исходные данные'!$B$69="",'Исходные данные'!$B$10,'Исходные данные'!$B$69),C312&gt;=IF('Исходные данные'!$B$69="",'Исходные данные'!$B$10,'Исходные данные'!$B$69)),(C312-IF('Исходные данные'!$B$69="",'Исходные данные'!$B$10,'Исходные данные'!$B$69)+1)/DAY(C312),1))</f>
        <v>0</v>
      </c>
      <c r="X312">
        <f>IF(OR(B312="",IF('Исходные данные'!$B$76="",'Исходные данные'!$B$10,'Исходные данные'!$B$76)="",C312&lt;IF('Исходные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данные'!$B$76)),1),B312,"m")/12))*IF(AND(B312&lt;=IF('Исходные данные'!$B$76="",'Исходные данные'!$B$10,'Исходные данные'!$B$76),C312&gt;=IF('Исходные данные'!$B$76="",'Исходные данные'!$B$10,'Исходные данные'!$B$76)),(C312-IF('Исходные данные'!$B$76="",'Исходные данные'!$B$10,'Исходные данные'!$B$76)+1)/DAY(C312),1))</f>
        <v>0</v>
      </c>
      <c r="Y312">
        <f t="shared" si="169"/>
        <v>0</v>
      </c>
      <c r="Z312">
        <f>IF(OR(B312="",N('Исходные данные'!$B$19)=0),0,-SUMIFS('Исходные данные'!$I$6:$I$186,'Исходные данные'!$F$6:$F$186,B312)*N('Исходные данные'!$B$17)/N('Исходные данные'!$B$19))</f>
        <v>0</v>
      </c>
      <c r="AA312">
        <f>IF(OR(B312="",N('Исходные данные'!$B$19)=0),0,-SUMIFS('Исходные данные'!$I$6:$I$186,'Исходные данные'!$F$6:$F$186,B312)*N('Исходные данные'!$B$18)/N('Исходные данные'!$B$19))</f>
        <v>0</v>
      </c>
      <c r="AB312">
        <f>IF(OR(B312="",'Исходные данные'!$B$13=""),0,IF(AND(YEAR(B312)=YEAR('Исходные данные'!$B$13),MONTH(B312)=MONTH('Исходные данные'!$B$13)),-N('Исходные данные'!$B$11),0))</f>
        <v>0</v>
      </c>
      <c r="AC312">
        <f>IF(A312=1,-N('Исходные данные'!$B$19)*N('Исходные данные'!$B$72),0)</f>
        <v>0</v>
      </c>
      <c r="AD312">
        <f>IF(OR(B312="",'Исходные данные'!$B$22&lt;&gt;"Да",'Исходные данные'!$B$26=""),0,IF(AND(YEAR(B312)=YEAR('Исходные данные'!$B$26),MONTH(B312)=MONTH('Исходные данные'!$B$26)),N('Исходные данные'!$B$23),0))</f>
        <v>0</v>
      </c>
      <c r="AE312">
        <f t="shared" si="152"/>
        <v>0</v>
      </c>
      <c r="AF312">
        <f>IF(OR('Исходные данные'!$B$22&lt;&gt;"Да",'Исходные данные'!$B$26="",C312&lt;'Исходные данные'!$B$26),0,DATEDIF(DATE(YEAR('Исходные данные'!$B$26),MONTH('Исходные данные'!$B$26),1),B312,"m")+1)</f>
        <v>0</v>
      </c>
      <c r="AG312">
        <f>IF(OR(AF312&lt;1,AF312&gt;N('Исходные данные'!$B$25),AE312+AD312&lt;=0),0,-(AE312+AD312)*N('Исходные данные'!$B$24)*IF(AF312=1,C312-'Исходные данные'!$B$26+1,DAY(C312))/365)</f>
        <v>0</v>
      </c>
      <c r="AH312">
        <f>IF(OR(AF312&lt;1,AF312&gt;N('Исходные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данные'!$B$25)-AG312))</f>
        <v>0</v>
      </c>
      <c r="AI312">
        <f>IF(OR('Исходные данные'!$B$22&lt;&gt;"Да",AE312+AD312&lt;=0),0,IF(AND('Исходные данные'!$B$91&lt;&gt;"",B312&lt;&gt;"",YEAR(B312)=YEAR('Исходные данные'!$B$91),MONTH(B312)=MONTH('Исходные данные'!$B$91)),-(AE312+AD312),IF(OR(AF312&lt;1,AF312&gt;N('Исходные данные'!$B$25)),0,IF('Исходные данные'!$B$27="Равными долями",-MIN(AE312+AD312,N('Исходные данные'!$B$23)/N('Исходные данные'!$B$25)),-MIN(AE312+AD312,IF(AF312=N('Исходные данные'!$B$25),AE312+AD312,MAX(0,AH312+AG312)))))))</f>
        <v>0</v>
      </c>
      <c r="AJ312">
        <f t="shared" si="170"/>
        <v>0</v>
      </c>
      <c r="AK312">
        <f t="shared" si="153"/>
        <v>0</v>
      </c>
      <c r="AL312">
        <f>IF(OR(B312="",'Исходные данные'!$B$51&lt;&gt;"Да",'Исходные данные'!$B$61=""),0,IF(AND(YEAR(B312)=YEAR('Исходные данные'!$B$61),MONTH(B312)=MONTH('Исходные данные'!$B$61)),N('Исходные данные'!$B$18)*N('Исходные данные'!$B$62),0))</f>
        <v>0</v>
      </c>
      <c r="AM312">
        <f t="shared" si="154"/>
        <v>0</v>
      </c>
      <c r="AN312">
        <f t="shared" si="155"/>
        <v>0</v>
      </c>
      <c r="AO312">
        <f t="shared" si="156"/>
        <v>0</v>
      </c>
      <c r="AP312">
        <f>IF('Исходные данные'!$B$51="Да",-MAX(0,AN312-AO312-AM312),0)</f>
        <v>0</v>
      </c>
      <c r="AQ312">
        <f>IF('Исходные данные'!$B$51="Да",MAX(0,AM312+AO312-AN312),0)</f>
        <v>0</v>
      </c>
      <c r="AR312">
        <f>IF('Исходные данные'!$B$53="Выручка",MAX(0,L312+(Q312-R312)+(U312-V312)),IF('Исходные данные'!$B$53="Прибыль до налога",MAX(0,L312+(Q312-R312)+(U312-V312)+N('Исходные данные'!$B$54)*((O312+P312)+(S312+T312)+W312+X312)+IF('Исходные данные'!$B$55="Да",AG312,0)-N('Исходные данные'!$B$56)/12),IF('Исходные данные'!$B$53="Пользовательская база",MAX(0,N('Исходные данные'!$B$57)/12),0)))</f>
        <v>0</v>
      </c>
      <c r="AS312">
        <f>IF(E312=1,-AR312*N('Исходные данные'!$B$50),0)</f>
        <v>0</v>
      </c>
      <c r="AT312">
        <f t="shared" si="157"/>
        <v>0</v>
      </c>
      <c r="AU312">
        <f>IF(OR(B312="",N('Исходные данные'!$B$80)&lt;=0,'Исходные данные'!$B$88=""),0,MAX(0,IF('Исходные данные'!$B$88="Последние 12 месяцев",SUMIFS($Y$2:$Y$194,$B$2:$B$194,"&gt;="&amp;EDATE(B312,-11),$B$2:$B$194,"&lt;="&amp;B312),IF('Исходные данные'!$B$88="Пользовательский NOI",N('Исходные данные'!$B$89),AT312))/N('Исходные данные'!$B$80)*(1+N('Исходные данные'!$B$81))))</f>
        <v>0</v>
      </c>
      <c r="AV312">
        <f>IF(OR(E312&lt;&gt;1,B312="",'Исходные данные'!$B$91=""),0,IF(AND(YEAR(B312)=YEAR('Исходные данные'!$B$91),MONTH(B312)=MONTH('Исходные данные'!$B$91)),AU312,0))</f>
        <v>0</v>
      </c>
      <c r="AW312">
        <f>-AV312*N('Исходные данные'!$B$73)</f>
        <v>0</v>
      </c>
      <c r="AX312">
        <f>IF(AV312=0,0,-N('Исходные данные'!$B$87)-IF('Исходные данные'!$B$82="Да",IF('Исходные данные'!$B$84="С выручки",AV312,IF('Исходные данные'!$B$84="С прибыли",MAX(0,AV312+AW312-IF('Исходные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12">
        <f t="shared" si="171"/>
        <v>0</v>
      </c>
      <c r="AZ312">
        <f t="shared" si="158"/>
        <v>0</v>
      </c>
      <c r="BA312">
        <f t="shared" si="172"/>
        <v>0</v>
      </c>
      <c r="BB312" t="str">
        <f t="shared" si="159"/>
        <v/>
      </c>
      <c r="BC312">
        <f>IF(OR(E312=0,'Исходные данные'!$B$9="",'Исходные данные'!$B$90=""),0,BA312/(1+'Исходные данные'!$B$90)^((D312-'Исходные данные'!$B$9)/365))</f>
        <v>0</v>
      </c>
      <c r="BD312">
        <f>IF(AND(E312=1,BB312&gt;=0,BB311&lt;0,MIN($BB$2:BB312)&lt;0),1,0)</f>
        <v>0</v>
      </c>
      <c r="BE312">
        <f t="shared" si="160"/>
        <v>0</v>
      </c>
      <c r="BF312">
        <f t="shared" si="161"/>
        <v>0</v>
      </c>
      <c r="BG312">
        <f t="shared" si="162"/>
        <v>0</v>
      </c>
      <c r="BH312">
        <f t="shared" si="163"/>
        <v>1</v>
      </c>
      <c r="BI312">
        <f>AZ312+N312+AP312-AR312*N('Исходные данные'!$B$50)</f>
        <v>0</v>
      </c>
      <c r="BJ312">
        <f t="shared" si="164"/>
        <v>0</v>
      </c>
      <c r="BK312">
        <f>IF(AND(BJ312&gt;=0,BJ311&lt;0,MIN($BJ$2:BJ312)&lt;0),1,0)</f>
        <v>0</v>
      </c>
    </row>
    <row r="313" spans="1:63" x14ac:dyDescent="0.2">
      <c r="A313">
        <v>312</v>
      </c>
      <c r="B313" t="str">
        <f>IF('Исходные данные'!$B$9="","",EDATE(DATE(YEAR('Исходные данные'!$B$9),MONTH('Исходные данные'!$B$9),1),A313-1))</f>
        <v/>
      </c>
      <c r="C313" t="str">
        <f t="shared" si="165"/>
        <v/>
      </c>
      <c r="D313" t="str">
        <f>IF(B313="","",IF('Исходные данные'!$B$91&lt;&gt;"",IF(AND(YEAR(B313)=YEAR('Исходные данные'!$B$91),MONTH(B313)=MONTH('Исходные данные'!$B$91)),'Исходные данные'!$B$91,IF('Исходные данные'!$B$13&lt;&gt;"",IF(AND(YEAR(B313)=YEAR('Исходные данные'!$B$13),MONTH(B313)=MONTH('Исходные данные'!$B$13)),'Исходные данные'!$B$13,IF('Исходные данные'!$B$26&lt;&gt;"",IF(AND(YEAR(B313)=YEAR('Исходные данные'!$B$26),MONTH(B313)=MONTH('Исходные данные'!$B$26)),'Исходные данные'!$B$26,IF(A313=1,'Исходные данные'!$B$9,C313)),IF(A313=1,'Исходные данные'!$B$9,C313))),IF('Исходные данные'!$B$26&lt;&gt;"",IF(AND(YEAR(B313)=YEAR('Исходные данные'!$B$26),MONTH(B313)=MONTH('Исходные данные'!$B$26)),'Исходные данные'!$B$26,IF(A313=1,'Исходные данные'!$B$9,C313)),IF(A313=1,'Исходные данные'!$B$9,C313)))),IF('Исходные данные'!$B$13&lt;&gt;"",IF(AND(YEAR(B313)=YEAR('Исходные данные'!$B$13),MONTH(B313)=MONTH('Исходные данные'!$B$13)),'Исходные данные'!$B$13,IF('Исходные данные'!$B$26&lt;&gt;"",IF(AND(YEAR(B313)=YEAR('Исходные данные'!$B$26),MONTH(B313)=MONTH('Исходные данные'!$B$26)),'Исходные данные'!$B$26,IF(A313=1,'Исходные данные'!$B$9,C313)),IF(A313=1,'Исходные данные'!$B$9,C313))),IF('Исходные данные'!$B$26&lt;&gt;"",IF(AND(YEAR(B313)=YEAR('Исходные данные'!$B$26),MONTH(B313)=MONTH('Исходные данные'!$B$26)),'Исходные данные'!$B$26,IF(A313=1,'Исходные данные'!$B$9,C313)),IF(A313=1,'Исходные данные'!$B$9,C313)))))</f>
        <v/>
      </c>
      <c r="E313">
        <f>IF(OR(B313="",'Исходные данные'!$B$91=""),0,--(B313&lt;=DATE(YEAR('Исходные данные'!$B$91),MONTH('Исходные данные'!$B$91),1)))</f>
        <v>0</v>
      </c>
      <c r="F313">
        <f>IF(OR(B313="",'Исходные данные'!$B$30="",C313&lt;'Исходные данные'!$B$30),0,DATEDIF(DATE(YEAR('Исходные данные'!$B$30),MONTH('Исходные данные'!$B$30),1),B313,"m")+1)</f>
        <v>0</v>
      </c>
      <c r="G313">
        <f t="shared" si="166"/>
        <v>0</v>
      </c>
      <c r="H313">
        <f>IF(F313=0,0,IF(G313=1,N('Исходные данные'!$B$31),IF(G313=2,N('Исходные данные'!$B$32),IF(G313=3,N('Исходные данные'!$B$33),N('Исходные данные'!$B$33)*(1+N('Исходные данные'!$B$34))^(G313-3)))))</f>
        <v>0</v>
      </c>
      <c r="I313">
        <f>IF(OR(F313=0,N('Исходные данные'!$B$5)=0,H313=0),0,'Исходные данные'!$B$5*H313*IF(AND(B313&lt;='Исходные данные'!$B$30,C313&gt;='Исходные данные'!$B$30),(C313-'Исходные данные'!$B$30+1)/DAY(C313),1))</f>
        <v>0</v>
      </c>
      <c r="J313">
        <f>IF(AND(F313&gt;0,F313&lt;=N('Исходные данные'!$B$37)),-I313,0)</f>
        <v>0</v>
      </c>
      <c r="K313">
        <f>IF(OR(F313=0,F313&lt;=N('Исходные данные'!$B$37)),0,-(I313+J313)*N('Исходные данные'!$B$38))</f>
        <v>0</v>
      </c>
      <c r="L313">
        <f t="shared" si="167"/>
        <v>0</v>
      </c>
      <c r="M313">
        <f>IF('Исходные данные'!$B$51="Да",L313*N('Исходные данные'!$B$52),0)</f>
        <v>0</v>
      </c>
      <c r="N313">
        <f t="shared" si="168"/>
        <v>0</v>
      </c>
      <c r="O313">
        <f>IF(OR(B313="",IF('Исходные данные'!$B$45="",'Исходные данные'!$B$10,'Исходные данные'!$B$45)="",C313&lt;IF('Исходные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данные'!$B$45)),1),B313,"m")/12))*IF(AND(B313&lt;=IF('Исходные данные'!$B$45="",'Исходные данные'!$B$10,'Исходные данные'!$B$45),C313&gt;=IF('Исходные данные'!$B$45="",'Исходные данные'!$B$10,'Исходные данные'!$B$45)),(C313-IF('Исходные данные'!$B$45="",'Исходные данные'!$B$10,'Исходные данные'!$B$45)+1)/DAY(C313),1)*IF('Исходные данные'!$B$43="Без НДС",1+N('Исходные данные'!$B$44),1))</f>
        <v>0</v>
      </c>
      <c r="P313">
        <f>IF('Исходные данные'!$B$51="Да",-O313*N('Исходные данные'!$B$44)/(1+N('Исходные данные'!$B$44)),0)</f>
        <v>0</v>
      </c>
      <c r="Q313">
        <f>IF('Исходные данные'!$B$35="Да",-O313,0)</f>
        <v>0</v>
      </c>
      <c r="R313">
        <f>IF(AND('Исходные данные'!$B$51="Да",Q313&gt;0),Q313*N('Исходные данные'!$B$52)/(1+N('Исходные данные'!$B$52)),0)</f>
        <v>0</v>
      </c>
      <c r="S313">
        <f>IF(OR(B313="",IF('Исходные данные'!$B$45="",'Исходные данные'!$B$10,'Исходные данные'!$B$45)="",C313&lt;IF('Исходные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данные'!$B$45)),1),B313,"m")/12))*IF(AND(B313&lt;=IF('Исходные данные'!$B$45="",'Исходные данные'!$B$10,'Исходные данные'!$B$45),C313&gt;=IF('Исходные данные'!$B$45="",'Исходные данные'!$B$10,'Исходные данные'!$B$45)),(C313-IF('Исходные данные'!$B$45="",'Исходные данные'!$B$10,'Исходные данные'!$B$45)+1)/DAY(C313),1)*IF('Исходные данные'!$B$43="Без НДС",1+N('Исходные данные'!$B$44),1))</f>
        <v>0</v>
      </c>
      <c r="T313">
        <f>IF('Исходные данные'!$B$51="Да",-S313*N('Исходные данные'!$B$44)/(1+N('Исходные данные'!$B$44)),0)</f>
        <v>0</v>
      </c>
      <c r="U313">
        <f>IF('Исходные данные'!$B$36="Да",-S313,0)</f>
        <v>0</v>
      </c>
      <c r="V313">
        <f>IF(AND('Исходные данные'!$B$51="Да",U313&gt;0),U313*N('Исходные данные'!$B$52)/(1+N('Исходные данные'!$B$52)),0)</f>
        <v>0</v>
      </c>
      <c r="W313">
        <f>IF(OR(B313="",IF('Исходные данные'!$B$69="",'Исходные данные'!$B$10,'Исходные данные'!$B$69)="",C313&lt;IF('Исходные данные'!$B$69="",'Исходные данные'!$B$10,'Исходные данные'!$B$69)),0,-N('Исходные данные'!$B$16)*N('Исходные данные'!$B$68)*N('Исходные данные'!$B$67)/12*IF(AND(B313&lt;=IF('Исходные данные'!$B$69="",'Исходные данные'!$B$10,'Исходные данные'!$B$69),C313&gt;=IF('Исходные данные'!$B$69="",'Исходные данные'!$B$10,'Исходные данные'!$B$69)),(C313-IF('Исходные данные'!$B$69="",'Исходные данные'!$B$10,'Исходные данные'!$B$69)+1)/DAY(C313),1))</f>
        <v>0</v>
      </c>
      <c r="X313">
        <f>IF(OR(B313="",IF('Исходные данные'!$B$76="",'Исходные данные'!$B$10,'Исходные данные'!$B$76)="",C313&lt;IF('Исходные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данные'!$B$76)),1),B313,"m")/12))*IF(AND(B313&lt;=IF('Исходные данные'!$B$76="",'Исходные данные'!$B$10,'Исходные данные'!$B$76),C313&gt;=IF('Исходные данные'!$B$76="",'Исходные данные'!$B$10,'Исходные данные'!$B$76)),(C313-IF('Исходные данные'!$B$76="",'Исходные данные'!$B$10,'Исходные данные'!$B$76)+1)/DAY(C313),1))</f>
        <v>0</v>
      </c>
      <c r="Y313">
        <f t="shared" si="169"/>
        <v>0</v>
      </c>
      <c r="Z313">
        <f>IF(OR(B313="",N('Исходные данные'!$B$19)=0),0,-SUMIFS('Исходные данные'!$I$6:$I$186,'Исходные данные'!$F$6:$F$186,B313)*N('Исходные данные'!$B$17)/N('Исходные данные'!$B$19))</f>
        <v>0</v>
      </c>
      <c r="AA313">
        <f>IF(OR(B313="",N('Исходные данные'!$B$19)=0),0,-SUMIFS('Исходные данные'!$I$6:$I$186,'Исходные данные'!$F$6:$F$186,B313)*N('Исходные данные'!$B$18)/N('Исходные данные'!$B$19))</f>
        <v>0</v>
      </c>
      <c r="AB313">
        <f>IF(OR(B313="",'Исходные данные'!$B$13=""),0,IF(AND(YEAR(B313)=YEAR('Исходные данные'!$B$13),MONTH(B313)=MONTH('Исходные данные'!$B$13)),-N('Исходные данные'!$B$11),0))</f>
        <v>0</v>
      </c>
      <c r="AC313">
        <f>IF(A313=1,-N('Исходные данные'!$B$19)*N('Исходные данные'!$B$72),0)</f>
        <v>0</v>
      </c>
      <c r="AD313">
        <f>IF(OR(B313="",'Исходные данные'!$B$22&lt;&gt;"Да",'Исходные данные'!$B$26=""),0,IF(AND(YEAR(B313)=YEAR('Исходные данные'!$B$26),MONTH(B313)=MONTH('Исходные данные'!$B$26)),N('Исходные данные'!$B$23),0))</f>
        <v>0</v>
      </c>
      <c r="AE313">
        <f t="shared" si="152"/>
        <v>0</v>
      </c>
      <c r="AF313">
        <f>IF(OR('Исходные данные'!$B$22&lt;&gt;"Да",'Исходные данные'!$B$26="",C313&lt;'Исходные данные'!$B$26),0,DATEDIF(DATE(YEAR('Исходные данные'!$B$26),MONTH('Исходные данные'!$B$26),1),B313,"m")+1)</f>
        <v>0</v>
      </c>
      <c r="AG313">
        <f>IF(OR(AF313&lt;1,AF313&gt;N('Исходные данные'!$B$25),AE313+AD313&lt;=0),0,-(AE313+AD313)*N('Исходные данные'!$B$24)*IF(AF313=1,C313-'Исходные данные'!$B$26+1,DAY(C313))/365)</f>
        <v>0</v>
      </c>
      <c r="AH313">
        <f>IF(OR(AF313&lt;1,AF313&gt;N('Исходные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данные'!$B$25)-AG313))</f>
        <v>0</v>
      </c>
      <c r="AI313">
        <f>IF(OR('Исходные данные'!$B$22&lt;&gt;"Да",AE313+AD313&lt;=0),0,IF(AND('Исходные данные'!$B$91&lt;&gt;"",B313&lt;&gt;"",YEAR(B313)=YEAR('Исходные данные'!$B$91),MONTH(B313)=MONTH('Исходные данные'!$B$91)),-(AE313+AD313),IF(OR(AF313&lt;1,AF313&gt;N('Исходные данные'!$B$25)),0,IF('Исходные данные'!$B$27="Равными долями",-MIN(AE313+AD313,N('Исходные данные'!$B$23)/N('Исходные данные'!$B$25)),-MIN(AE313+AD313,IF(AF313=N('Исходные данные'!$B$25),AE313+AD313,MAX(0,AH313+AG313)))))))</f>
        <v>0</v>
      </c>
      <c r="AJ313">
        <f t="shared" si="170"/>
        <v>0</v>
      </c>
      <c r="AK313">
        <f t="shared" si="153"/>
        <v>0</v>
      </c>
      <c r="AL313">
        <f>IF(OR(B313="",'Исходные данные'!$B$51&lt;&gt;"Да",'Исходные данные'!$B$61=""),0,IF(AND(YEAR(B313)=YEAR('Исходные данные'!$B$61),MONTH(B313)=MONTH('Исходные данные'!$B$61)),N('Исходные данные'!$B$18)*N('Исходные данные'!$B$62),0))</f>
        <v>0</v>
      </c>
      <c r="AM313">
        <f t="shared" si="154"/>
        <v>0</v>
      </c>
      <c r="AN313">
        <f t="shared" si="155"/>
        <v>0</v>
      </c>
      <c r="AO313">
        <f t="shared" si="156"/>
        <v>0</v>
      </c>
      <c r="AP313">
        <f>IF('Исходные данные'!$B$51="Да",-MAX(0,AN313-AO313-AM313),0)</f>
        <v>0</v>
      </c>
      <c r="AQ313">
        <f>IF('Исходные данные'!$B$51="Да",MAX(0,AM313+AO313-AN313),0)</f>
        <v>0</v>
      </c>
      <c r="AR313">
        <f>IF('Исходные данные'!$B$53="Выручка",MAX(0,L313+(Q313-R313)+(U313-V313)),IF('Исходные данные'!$B$53="Прибыль до налога",MAX(0,L313+(Q313-R313)+(U313-V313)+N('Исходные данные'!$B$54)*((O313+P313)+(S313+T313)+W313+X313)+IF('Исходные данные'!$B$55="Да",AG313,0)-N('Исходные данные'!$B$56)/12),IF('Исходные данные'!$B$53="Пользовательская база",MAX(0,N('Исходные данные'!$B$57)/12),0)))</f>
        <v>0</v>
      </c>
      <c r="AS313">
        <f>IF(E313=1,-AR313*N('Исходные данные'!$B$50),0)</f>
        <v>0</v>
      </c>
      <c r="AT313">
        <f t="shared" si="157"/>
        <v>0</v>
      </c>
      <c r="AU313">
        <f>IF(OR(B313="",N('Исходные данные'!$B$80)&lt;=0,'Исходные данные'!$B$88=""),0,MAX(0,IF('Исходные данные'!$B$88="Последние 12 месяцев",SUMIFS($Y$2:$Y$194,$B$2:$B$194,"&gt;="&amp;EDATE(B313,-11),$B$2:$B$194,"&lt;="&amp;B313),IF('Исходные данные'!$B$88="Пользовательский NOI",N('Исходные данные'!$B$89),AT313))/N('Исходные данные'!$B$80)*(1+N('Исходные данные'!$B$81))))</f>
        <v>0</v>
      </c>
      <c r="AV313">
        <f>IF(OR(E313&lt;&gt;1,B313="",'Исходные данные'!$B$91=""),0,IF(AND(YEAR(B313)=YEAR('Исходные данные'!$B$91),MONTH(B313)=MONTH('Исходные данные'!$B$91)),AU313,0))</f>
        <v>0</v>
      </c>
      <c r="AW313">
        <f>-AV313*N('Исходные данные'!$B$73)</f>
        <v>0</v>
      </c>
      <c r="AX313">
        <f>IF(AV313=0,0,-N('Исходные данные'!$B$87)-IF('Исходные данные'!$B$82="Да",IF('Исходные данные'!$B$84="С выручки",AV313,IF('Исходные данные'!$B$84="С прибыли",MAX(0,AV313+AW313-IF('Исходные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13">
        <f t="shared" si="171"/>
        <v>0</v>
      </c>
      <c r="AZ313">
        <f t="shared" si="158"/>
        <v>0</v>
      </c>
      <c r="BA313">
        <f t="shared" si="172"/>
        <v>0</v>
      </c>
      <c r="BB313" t="str">
        <f t="shared" si="159"/>
        <v/>
      </c>
      <c r="BC313">
        <f>IF(OR(E313=0,'Исходные данные'!$B$9="",'Исходные данные'!$B$90=""),0,BA313/(1+'Исходные данные'!$B$90)^((D313-'Исходные данные'!$B$9)/365))</f>
        <v>0</v>
      </c>
      <c r="BD313">
        <f>IF(AND(E313=1,BB313&gt;=0,BB312&lt;0,MIN($BB$2:BB313)&lt;0),1,0)</f>
        <v>0</v>
      </c>
      <c r="BE313">
        <f t="shared" si="160"/>
        <v>0</v>
      </c>
      <c r="BF313">
        <f t="shared" si="161"/>
        <v>0</v>
      </c>
      <c r="BG313">
        <f t="shared" si="162"/>
        <v>0</v>
      </c>
      <c r="BH313">
        <f t="shared" si="163"/>
        <v>1</v>
      </c>
      <c r="BI313">
        <f>AZ313+N313+AP313-AR313*N('Исходные данные'!$B$50)</f>
        <v>0</v>
      </c>
      <c r="BJ313">
        <f t="shared" si="164"/>
        <v>0</v>
      </c>
      <c r="BK313">
        <f>IF(AND(BJ313&gt;=0,BJ312&lt;0,MIN($BJ$2:BJ313)&lt;0),1,0)</f>
        <v>0</v>
      </c>
    </row>
    <row r="314" spans="1:63" x14ac:dyDescent="0.2">
      <c r="A314">
        <v>313</v>
      </c>
      <c r="B314" t="str">
        <f>IF('Исходные данные'!$B$9="","",EDATE(DATE(YEAR('Исходные данные'!$B$9),MONTH('Исходные данные'!$B$9),1),A314-1))</f>
        <v/>
      </c>
      <c r="C314" t="str">
        <f t="shared" si="165"/>
        <v/>
      </c>
      <c r="D314" t="str">
        <f>IF(B314="","",IF('Исходные данные'!$B$91&lt;&gt;"",IF(AND(YEAR(B314)=YEAR('Исходные данные'!$B$91),MONTH(B314)=MONTH('Исходные данные'!$B$91)),'Исходные данные'!$B$91,IF('Исходные данные'!$B$13&lt;&gt;"",IF(AND(YEAR(B314)=YEAR('Исходные данные'!$B$13),MONTH(B314)=MONTH('Исходные данные'!$B$13)),'Исходные данные'!$B$13,IF('Исходные данные'!$B$26&lt;&gt;"",IF(AND(YEAR(B314)=YEAR('Исходные данные'!$B$26),MONTH(B314)=MONTH('Исходные данные'!$B$26)),'Исходные данные'!$B$26,IF(A314=1,'Исходные данные'!$B$9,C314)),IF(A314=1,'Исходные данные'!$B$9,C314))),IF('Исходные данные'!$B$26&lt;&gt;"",IF(AND(YEAR(B314)=YEAR('Исходные данные'!$B$26),MONTH(B314)=MONTH('Исходные данные'!$B$26)),'Исходные данные'!$B$26,IF(A314=1,'Исходные данные'!$B$9,C314)),IF(A314=1,'Исходные данные'!$B$9,C314)))),IF('Исходные данные'!$B$13&lt;&gt;"",IF(AND(YEAR(B314)=YEAR('Исходные данные'!$B$13),MONTH(B314)=MONTH('Исходные данные'!$B$13)),'Исходные данные'!$B$13,IF('Исходные данные'!$B$26&lt;&gt;"",IF(AND(YEAR(B314)=YEAR('Исходные данные'!$B$26),MONTH(B314)=MONTH('Исходные данные'!$B$26)),'Исходные данные'!$B$26,IF(A314=1,'Исходные данные'!$B$9,C314)),IF(A314=1,'Исходные данные'!$B$9,C314))),IF('Исходные данные'!$B$26&lt;&gt;"",IF(AND(YEAR(B314)=YEAR('Исходные данные'!$B$26),MONTH(B314)=MONTH('Исходные данные'!$B$26)),'Исходные данные'!$B$26,IF(A314=1,'Исходные данные'!$B$9,C314)),IF(A314=1,'Исходные данные'!$B$9,C314)))))</f>
        <v/>
      </c>
      <c r="E314">
        <f>IF(OR(B314="",'Исходные данные'!$B$91=""),0,--(B314&lt;=DATE(YEAR('Исходные данные'!$B$91),MONTH('Исходные данные'!$B$91),1)))</f>
        <v>0</v>
      </c>
      <c r="F314">
        <f>IF(OR(B314="",'Исходные данные'!$B$30="",C314&lt;'Исходные данные'!$B$30),0,DATEDIF(DATE(YEAR('Исходные данные'!$B$30),MONTH('Исходные данные'!$B$30),1),B314,"m")+1)</f>
        <v>0</v>
      </c>
      <c r="G314">
        <f t="shared" si="166"/>
        <v>0</v>
      </c>
      <c r="H314">
        <f>IF(F314=0,0,IF(G314=1,N('Исходные данные'!$B$31),IF(G314=2,N('Исходные данные'!$B$32),IF(G314=3,N('Исходные данные'!$B$33),N('Исходные данные'!$B$33)*(1+N('Исходные данные'!$B$34))^(G314-3)))))</f>
        <v>0</v>
      </c>
      <c r="I314">
        <f>IF(OR(F314=0,N('Исходные данные'!$B$5)=0,H314=0),0,'Исходные данные'!$B$5*H314*IF(AND(B314&lt;='Исходные данные'!$B$30,C314&gt;='Исходные данные'!$B$30),(C314-'Исходные данные'!$B$30+1)/DAY(C314),1))</f>
        <v>0</v>
      </c>
      <c r="J314">
        <f>IF(AND(F314&gt;0,F314&lt;=N('Исходные данные'!$B$37)),-I314,0)</f>
        <v>0</v>
      </c>
      <c r="K314">
        <f>IF(OR(F314=0,F314&lt;=N('Исходные данные'!$B$37)),0,-(I314+J314)*N('Исходные данные'!$B$38))</f>
        <v>0</v>
      </c>
      <c r="L314">
        <f t="shared" si="167"/>
        <v>0</v>
      </c>
      <c r="M314">
        <f>IF('Исходные данные'!$B$51="Да",L314*N('Исходные данные'!$B$52),0)</f>
        <v>0</v>
      </c>
      <c r="N314">
        <f t="shared" si="168"/>
        <v>0</v>
      </c>
      <c r="O314">
        <f>IF(OR(B314="",IF('Исходные данные'!$B$45="",'Исходные данные'!$B$10,'Исходные данные'!$B$45)="",C314&lt;IF('Исходные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данные'!$B$45)),1),B314,"m")/12))*IF(AND(B314&lt;=IF('Исходные данные'!$B$45="",'Исходные данные'!$B$10,'Исходные данные'!$B$45),C314&gt;=IF('Исходные данные'!$B$45="",'Исходные данные'!$B$10,'Исходные данные'!$B$45)),(C314-IF('Исходные данные'!$B$45="",'Исходные данные'!$B$10,'Исходные данные'!$B$45)+1)/DAY(C314),1)*IF('Исходные данные'!$B$43="Без НДС",1+N('Исходные данные'!$B$44),1))</f>
        <v>0</v>
      </c>
      <c r="P314">
        <f>IF('Исходные данные'!$B$51="Да",-O314*N('Исходные данные'!$B$44)/(1+N('Исходные данные'!$B$44)),0)</f>
        <v>0</v>
      </c>
      <c r="Q314">
        <f>IF('Исходные данные'!$B$35="Да",-O314,0)</f>
        <v>0</v>
      </c>
      <c r="R314">
        <f>IF(AND('Исходные данные'!$B$51="Да",Q314&gt;0),Q314*N('Исходные данные'!$B$52)/(1+N('Исходные данные'!$B$52)),0)</f>
        <v>0</v>
      </c>
      <c r="S314">
        <f>IF(OR(B314="",IF('Исходные данные'!$B$45="",'Исходные данные'!$B$10,'Исходные данные'!$B$45)="",C314&lt;IF('Исходные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данные'!$B$45)),1),B314,"m")/12))*IF(AND(B314&lt;=IF('Исходные данные'!$B$45="",'Исходные данные'!$B$10,'Исходные данные'!$B$45),C314&gt;=IF('Исходные данные'!$B$45="",'Исходные данные'!$B$10,'Исходные данные'!$B$45)),(C314-IF('Исходные данные'!$B$45="",'Исходные данные'!$B$10,'Исходные данные'!$B$45)+1)/DAY(C314),1)*IF('Исходные данные'!$B$43="Без НДС",1+N('Исходные данные'!$B$44),1))</f>
        <v>0</v>
      </c>
      <c r="T314">
        <f>IF('Исходные данные'!$B$51="Да",-S314*N('Исходные данные'!$B$44)/(1+N('Исходные данные'!$B$44)),0)</f>
        <v>0</v>
      </c>
      <c r="U314">
        <f>IF('Исходные данные'!$B$36="Да",-S314,0)</f>
        <v>0</v>
      </c>
      <c r="V314">
        <f>IF(AND('Исходные данные'!$B$51="Да",U314&gt;0),U314*N('Исходные данные'!$B$52)/(1+N('Исходные данные'!$B$52)),0)</f>
        <v>0</v>
      </c>
      <c r="W314">
        <f>IF(OR(B314="",IF('Исходные данные'!$B$69="",'Исходные данные'!$B$10,'Исходные данные'!$B$69)="",C314&lt;IF('Исходные данные'!$B$69="",'Исходные данные'!$B$10,'Исходные данные'!$B$69)),0,-N('Исходные данные'!$B$16)*N('Исходные данные'!$B$68)*N('Исходные данные'!$B$67)/12*IF(AND(B314&lt;=IF('Исходные данные'!$B$69="",'Исходные данные'!$B$10,'Исходные данные'!$B$69),C314&gt;=IF('Исходные данные'!$B$69="",'Исходные данные'!$B$10,'Исходные данные'!$B$69)),(C314-IF('Исходные данные'!$B$69="",'Исходные данные'!$B$10,'Исходные данные'!$B$69)+1)/DAY(C314),1))</f>
        <v>0</v>
      </c>
      <c r="X314">
        <f>IF(OR(B314="",IF('Исходные данные'!$B$76="",'Исходные данные'!$B$10,'Исходные данные'!$B$76)="",C314&lt;IF('Исходные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данные'!$B$76)),1),B314,"m")/12))*IF(AND(B314&lt;=IF('Исходные данные'!$B$76="",'Исходные данные'!$B$10,'Исходные данные'!$B$76),C314&gt;=IF('Исходные данные'!$B$76="",'Исходные данные'!$B$10,'Исходные данные'!$B$76)),(C314-IF('Исходные данные'!$B$76="",'Исходные данные'!$B$10,'Исходные данные'!$B$76)+1)/DAY(C314),1))</f>
        <v>0</v>
      </c>
      <c r="Y314">
        <f t="shared" si="169"/>
        <v>0</v>
      </c>
      <c r="Z314">
        <f>IF(OR(B314="",N('Исходные данные'!$B$19)=0),0,-SUMIFS('Исходные данные'!$I$6:$I$186,'Исходные данные'!$F$6:$F$186,B314)*N('Исходные данные'!$B$17)/N('Исходные данные'!$B$19))</f>
        <v>0</v>
      </c>
      <c r="AA314">
        <f>IF(OR(B314="",N('Исходные данные'!$B$19)=0),0,-SUMIFS('Исходные данные'!$I$6:$I$186,'Исходные данные'!$F$6:$F$186,B314)*N('Исходные данные'!$B$18)/N('Исходные данные'!$B$19))</f>
        <v>0</v>
      </c>
      <c r="AB314">
        <f>IF(OR(B314="",'Исходные данные'!$B$13=""),0,IF(AND(YEAR(B314)=YEAR('Исходные данные'!$B$13),MONTH(B314)=MONTH('Исходные данные'!$B$13)),-N('Исходные данные'!$B$11),0))</f>
        <v>0</v>
      </c>
      <c r="AC314">
        <f>IF(A314=1,-N('Исходные данные'!$B$19)*N('Исходные данные'!$B$72),0)</f>
        <v>0</v>
      </c>
      <c r="AD314">
        <f>IF(OR(B314="",'Исходные данные'!$B$22&lt;&gt;"Да",'Исходные данные'!$B$26=""),0,IF(AND(YEAR(B314)=YEAR('Исходные данные'!$B$26),MONTH(B314)=MONTH('Исходные данные'!$B$26)),N('Исходные данные'!$B$23),0))</f>
        <v>0</v>
      </c>
      <c r="AE314">
        <f t="shared" si="152"/>
        <v>0</v>
      </c>
      <c r="AF314">
        <f>IF(OR('Исходные данные'!$B$22&lt;&gt;"Да",'Исходные данные'!$B$26="",C314&lt;'Исходные данные'!$B$26),0,DATEDIF(DATE(YEAR('Исходные данные'!$B$26),MONTH('Исходные данные'!$B$26),1),B314,"m")+1)</f>
        <v>0</v>
      </c>
      <c r="AG314">
        <f>IF(OR(AF314&lt;1,AF314&gt;N('Исходные данные'!$B$25),AE314+AD314&lt;=0),0,-(AE314+AD314)*N('Исходные данные'!$B$24)*IF(AF314=1,C314-'Исходные данные'!$B$26+1,DAY(C314))/365)</f>
        <v>0</v>
      </c>
      <c r="AH314">
        <f>IF(OR(AF314&lt;1,AF314&gt;N('Исходные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данные'!$B$25)-AG314))</f>
        <v>0</v>
      </c>
      <c r="AI314">
        <f>IF(OR('Исходные данные'!$B$22&lt;&gt;"Да",AE314+AD314&lt;=0),0,IF(AND('Исходные данные'!$B$91&lt;&gt;"",B314&lt;&gt;"",YEAR(B314)=YEAR('Исходные данные'!$B$91),MONTH(B314)=MONTH('Исходные данные'!$B$91)),-(AE314+AD314),IF(OR(AF314&lt;1,AF314&gt;N('Исходные данные'!$B$25)),0,IF('Исходные данные'!$B$27="Равными долями",-MIN(AE314+AD314,N('Исходные данные'!$B$23)/N('Исходные данные'!$B$25)),-MIN(AE314+AD314,IF(AF314=N('Исходные данные'!$B$25),AE314+AD314,MAX(0,AH314+AG314)))))))</f>
        <v>0</v>
      </c>
      <c r="AJ314">
        <f t="shared" si="170"/>
        <v>0</v>
      </c>
      <c r="AK314">
        <f t="shared" si="153"/>
        <v>0</v>
      </c>
      <c r="AL314">
        <f>IF(OR(B314="",'Исходные данные'!$B$51&lt;&gt;"Да",'Исходные данные'!$B$61=""),0,IF(AND(YEAR(B314)=YEAR('Исходные данные'!$B$61),MONTH(B314)=MONTH('Исходные данные'!$B$61)),N('Исходные данные'!$B$18)*N('Исходные данные'!$B$62),0))</f>
        <v>0</v>
      </c>
      <c r="AM314">
        <f t="shared" si="154"/>
        <v>0</v>
      </c>
      <c r="AN314">
        <f t="shared" si="155"/>
        <v>0</v>
      </c>
      <c r="AO314">
        <f t="shared" si="156"/>
        <v>0</v>
      </c>
      <c r="AP314">
        <f>IF('Исходные данные'!$B$51="Да",-MAX(0,AN314-AO314-AM314),0)</f>
        <v>0</v>
      </c>
      <c r="AQ314">
        <f>IF('Исходные данные'!$B$51="Да",MAX(0,AM314+AO314-AN314),0)</f>
        <v>0</v>
      </c>
      <c r="AR314">
        <f>IF('Исходные данные'!$B$53="Выручка",MAX(0,L314+(Q314-R314)+(U314-V314)),IF('Исходные данные'!$B$53="Прибыль до налога",MAX(0,L314+(Q314-R314)+(U314-V314)+N('Исходные данные'!$B$54)*((O314+P314)+(S314+T314)+W314+X314)+IF('Исходные данные'!$B$55="Да",AG314,0)-N('Исходные данные'!$B$56)/12),IF('Исходные данные'!$B$53="Пользовательская база",MAX(0,N('Исходные данные'!$B$57)/12),0)))</f>
        <v>0</v>
      </c>
      <c r="AS314">
        <f>IF(E314=1,-AR314*N('Исходные данные'!$B$50),0)</f>
        <v>0</v>
      </c>
      <c r="AT314">
        <f t="shared" si="157"/>
        <v>0</v>
      </c>
      <c r="AU314">
        <f>IF(OR(B314="",N('Исходные данные'!$B$80)&lt;=0,'Исходные данные'!$B$88=""),0,MAX(0,IF('Исходные данные'!$B$88="Последние 12 месяцев",SUMIFS($Y$2:$Y$194,$B$2:$B$194,"&gt;="&amp;EDATE(B314,-11),$B$2:$B$194,"&lt;="&amp;B314),IF('Исходные данные'!$B$88="Пользовательский NOI",N('Исходные данные'!$B$89),AT314))/N('Исходные данные'!$B$80)*(1+N('Исходные данные'!$B$81))))</f>
        <v>0</v>
      </c>
      <c r="AV314">
        <f>IF(OR(E314&lt;&gt;1,B314="",'Исходные данные'!$B$91=""),0,IF(AND(YEAR(B314)=YEAR('Исходные данные'!$B$91),MONTH(B314)=MONTH('Исходные данные'!$B$91)),AU314,0))</f>
        <v>0</v>
      </c>
      <c r="AW314">
        <f>-AV314*N('Исходные данные'!$B$73)</f>
        <v>0</v>
      </c>
      <c r="AX314">
        <f>IF(AV314=0,0,-N('Исходные данные'!$B$87)-IF('Исходные данные'!$B$82="Да",IF('Исходные данные'!$B$84="С выручки",AV314,IF('Исходные данные'!$B$84="С прибыли",MAX(0,AV314+AW314-IF('Исходные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14">
        <f t="shared" si="171"/>
        <v>0</v>
      </c>
      <c r="AZ314">
        <f t="shared" si="158"/>
        <v>0</v>
      </c>
      <c r="BA314">
        <f t="shared" si="172"/>
        <v>0</v>
      </c>
      <c r="BB314" t="str">
        <f t="shared" si="159"/>
        <v/>
      </c>
      <c r="BC314">
        <f>IF(OR(E314=0,'Исходные данные'!$B$9="",'Исходные данные'!$B$90=""),0,BA314/(1+'Исходные данные'!$B$90)^((D314-'Исходные данные'!$B$9)/365))</f>
        <v>0</v>
      </c>
      <c r="BD314">
        <f>IF(AND(E314=1,BB314&gt;=0,BB313&lt;0,MIN($BB$2:BB314)&lt;0),1,0)</f>
        <v>0</v>
      </c>
      <c r="BE314">
        <f t="shared" si="160"/>
        <v>0</v>
      </c>
      <c r="BF314">
        <f t="shared" si="161"/>
        <v>0</v>
      </c>
      <c r="BG314">
        <f t="shared" si="162"/>
        <v>0</v>
      </c>
      <c r="BH314">
        <f t="shared" si="163"/>
        <v>1</v>
      </c>
      <c r="BI314">
        <f>AZ314+N314+AP314-AR314*N('Исходные данные'!$B$50)</f>
        <v>0</v>
      </c>
      <c r="BJ314">
        <f t="shared" si="164"/>
        <v>0</v>
      </c>
      <c r="BK314">
        <f>IF(AND(BJ314&gt;=0,BJ313&lt;0,MIN($BJ$2:BJ314)&lt;0),1,0)</f>
        <v>0</v>
      </c>
    </row>
    <row r="315" spans="1:63" x14ac:dyDescent="0.2">
      <c r="A315">
        <v>314</v>
      </c>
      <c r="B315" t="str">
        <f>IF('Исходные данные'!$B$9="","",EDATE(DATE(YEAR('Исходные данные'!$B$9),MONTH('Исходные данные'!$B$9),1),A315-1))</f>
        <v/>
      </c>
      <c r="C315" t="str">
        <f t="shared" si="165"/>
        <v/>
      </c>
      <c r="D315" t="str">
        <f>IF(B315="","",IF('Исходные данные'!$B$91&lt;&gt;"",IF(AND(YEAR(B315)=YEAR('Исходные данные'!$B$91),MONTH(B315)=MONTH('Исходные данные'!$B$91)),'Исходные данные'!$B$91,IF('Исходные данные'!$B$13&lt;&gt;"",IF(AND(YEAR(B315)=YEAR('Исходные данные'!$B$13),MONTH(B315)=MONTH('Исходные данные'!$B$13)),'Исходные данные'!$B$13,IF('Исходные данные'!$B$26&lt;&gt;"",IF(AND(YEAR(B315)=YEAR('Исходные данные'!$B$26),MONTH(B315)=MONTH('Исходные данные'!$B$26)),'Исходные данные'!$B$26,IF(A315=1,'Исходные данные'!$B$9,C315)),IF(A315=1,'Исходные данные'!$B$9,C315))),IF('Исходные данные'!$B$26&lt;&gt;"",IF(AND(YEAR(B315)=YEAR('Исходные данные'!$B$26),MONTH(B315)=MONTH('Исходные данные'!$B$26)),'Исходные данные'!$B$26,IF(A315=1,'Исходные данные'!$B$9,C315)),IF(A315=1,'Исходные данные'!$B$9,C315)))),IF('Исходные данные'!$B$13&lt;&gt;"",IF(AND(YEAR(B315)=YEAR('Исходные данные'!$B$13),MONTH(B315)=MONTH('Исходные данные'!$B$13)),'Исходные данные'!$B$13,IF('Исходные данные'!$B$26&lt;&gt;"",IF(AND(YEAR(B315)=YEAR('Исходные данные'!$B$26),MONTH(B315)=MONTH('Исходные данные'!$B$26)),'Исходные данные'!$B$26,IF(A315=1,'Исходные данные'!$B$9,C315)),IF(A315=1,'Исходные данные'!$B$9,C315))),IF('Исходные данные'!$B$26&lt;&gt;"",IF(AND(YEAR(B315)=YEAR('Исходные данные'!$B$26),MONTH(B315)=MONTH('Исходные данные'!$B$26)),'Исходные данные'!$B$26,IF(A315=1,'Исходные данные'!$B$9,C315)),IF(A315=1,'Исходные данные'!$B$9,C315)))))</f>
        <v/>
      </c>
      <c r="E315">
        <f>IF(OR(B315="",'Исходные данные'!$B$91=""),0,--(B315&lt;=DATE(YEAR('Исходные данные'!$B$91),MONTH('Исходные данные'!$B$91),1)))</f>
        <v>0</v>
      </c>
      <c r="F315">
        <f>IF(OR(B315="",'Исходные данные'!$B$30="",C315&lt;'Исходные данные'!$B$30),0,DATEDIF(DATE(YEAR('Исходные данные'!$B$30),MONTH('Исходные данные'!$B$30),1),B315,"m")+1)</f>
        <v>0</v>
      </c>
      <c r="G315">
        <f t="shared" si="166"/>
        <v>0</v>
      </c>
      <c r="H315">
        <f>IF(F315=0,0,IF(G315=1,N('Исходные данные'!$B$31),IF(G315=2,N('Исходные данные'!$B$32),IF(G315=3,N('Исходные данные'!$B$33),N('Исходные данные'!$B$33)*(1+N('Исходные данные'!$B$34))^(G315-3)))))</f>
        <v>0</v>
      </c>
      <c r="I315">
        <f>IF(OR(F315=0,N('Исходные данные'!$B$5)=0,H315=0),0,'Исходные данные'!$B$5*H315*IF(AND(B315&lt;='Исходные данные'!$B$30,C315&gt;='Исходные данные'!$B$30),(C315-'Исходные данные'!$B$30+1)/DAY(C315),1))</f>
        <v>0</v>
      </c>
      <c r="J315">
        <f>IF(AND(F315&gt;0,F315&lt;=N('Исходные данные'!$B$37)),-I315,0)</f>
        <v>0</v>
      </c>
      <c r="K315">
        <f>IF(OR(F315=0,F315&lt;=N('Исходные данные'!$B$37)),0,-(I315+J315)*N('Исходные данные'!$B$38))</f>
        <v>0</v>
      </c>
      <c r="L315">
        <f t="shared" si="167"/>
        <v>0</v>
      </c>
      <c r="M315">
        <f>IF('Исходные данные'!$B$51="Да",L315*N('Исходные данные'!$B$52),0)</f>
        <v>0</v>
      </c>
      <c r="N315">
        <f t="shared" si="168"/>
        <v>0</v>
      </c>
      <c r="O315">
        <f>IF(OR(B315="",IF('Исходные данные'!$B$45="",'Исходные данные'!$B$10,'Исходные данные'!$B$45)="",C315&lt;IF('Исходные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данные'!$B$45)),1),B315,"m")/12))*IF(AND(B315&lt;=IF('Исходные данные'!$B$45="",'Исходные данные'!$B$10,'Исходные данные'!$B$45),C315&gt;=IF('Исходные данные'!$B$45="",'Исходные данные'!$B$10,'Исходные данные'!$B$45)),(C315-IF('Исходные данные'!$B$45="",'Исходные данные'!$B$10,'Исходные данные'!$B$45)+1)/DAY(C315),1)*IF('Исходные данные'!$B$43="Без НДС",1+N('Исходные данные'!$B$44),1))</f>
        <v>0</v>
      </c>
      <c r="P315">
        <f>IF('Исходные данные'!$B$51="Да",-O315*N('Исходные данные'!$B$44)/(1+N('Исходные данные'!$B$44)),0)</f>
        <v>0</v>
      </c>
      <c r="Q315">
        <f>IF('Исходные данные'!$B$35="Да",-O315,0)</f>
        <v>0</v>
      </c>
      <c r="R315">
        <f>IF(AND('Исходные данные'!$B$51="Да",Q315&gt;0),Q315*N('Исходные данные'!$B$52)/(1+N('Исходные данные'!$B$52)),0)</f>
        <v>0</v>
      </c>
      <c r="S315">
        <f>IF(OR(B315="",IF('Исходные данные'!$B$45="",'Исходные данные'!$B$10,'Исходные данные'!$B$45)="",C315&lt;IF('Исходные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данные'!$B$45)),1),B315,"m")/12))*IF(AND(B315&lt;=IF('Исходные данные'!$B$45="",'Исходные данные'!$B$10,'Исходные данные'!$B$45),C315&gt;=IF('Исходные данные'!$B$45="",'Исходные данные'!$B$10,'Исходные данные'!$B$45)),(C315-IF('Исходные данные'!$B$45="",'Исходные данные'!$B$10,'Исходные данные'!$B$45)+1)/DAY(C315),1)*IF('Исходные данные'!$B$43="Без НДС",1+N('Исходные данные'!$B$44),1))</f>
        <v>0</v>
      </c>
      <c r="T315">
        <f>IF('Исходные данные'!$B$51="Да",-S315*N('Исходные данные'!$B$44)/(1+N('Исходные данные'!$B$44)),0)</f>
        <v>0</v>
      </c>
      <c r="U315">
        <f>IF('Исходные данные'!$B$36="Да",-S315,0)</f>
        <v>0</v>
      </c>
      <c r="V315">
        <f>IF(AND('Исходные данные'!$B$51="Да",U315&gt;0),U315*N('Исходные данные'!$B$52)/(1+N('Исходные данные'!$B$52)),0)</f>
        <v>0</v>
      </c>
      <c r="W315">
        <f>IF(OR(B315="",IF('Исходные данные'!$B$69="",'Исходные данные'!$B$10,'Исходные данные'!$B$69)="",C315&lt;IF('Исходные данные'!$B$69="",'Исходные данные'!$B$10,'Исходные данные'!$B$69)),0,-N('Исходные данные'!$B$16)*N('Исходные данные'!$B$68)*N('Исходные данные'!$B$67)/12*IF(AND(B315&lt;=IF('Исходные данные'!$B$69="",'Исходные данные'!$B$10,'Исходные данные'!$B$69),C315&gt;=IF('Исходные данные'!$B$69="",'Исходные данные'!$B$10,'Исходные данные'!$B$69)),(C315-IF('Исходные данные'!$B$69="",'Исходные данные'!$B$10,'Исходные данные'!$B$69)+1)/DAY(C315),1))</f>
        <v>0</v>
      </c>
      <c r="X315">
        <f>IF(OR(B315="",IF('Исходные данные'!$B$76="",'Исходные данные'!$B$10,'Исходные данные'!$B$76)="",C315&lt;IF('Исходные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данные'!$B$76)),1),B315,"m")/12))*IF(AND(B315&lt;=IF('Исходные данные'!$B$76="",'Исходные данные'!$B$10,'Исходные данные'!$B$76),C315&gt;=IF('Исходные данные'!$B$76="",'Исходные данные'!$B$10,'Исходные данные'!$B$76)),(C315-IF('Исходные данные'!$B$76="",'Исходные данные'!$B$10,'Исходные данные'!$B$76)+1)/DAY(C315),1))</f>
        <v>0</v>
      </c>
      <c r="Y315">
        <f t="shared" si="169"/>
        <v>0</v>
      </c>
      <c r="Z315">
        <f>IF(OR(B315="",N('Исходные данные'!$B$19)=0),0,-SUMIFS('Исходные данные'!$I$6:$I$186,'Исходные данные'!$F$6:$F$186,B315)*N('Исходные данные'!$B$17)/N('Исходные данные'!$B$19))</f>
        <v>0</v>
      </c>
      <c r="AA315">
        <f>IF(OR(B315="",N('Исходные данные'!$B$19)=0),0,-SUMIFS('Исходные данные'!$I$6:$I$186,'Исходные данные'!$F$6:$F$186,B315)*N('Исходные данные'!$B$18)/N('Исходные данные'!$B$19))</f>
        <v>0</v>
      </c>
      <c r="AB315">
        <f>IF(OR(B315="",'Исходные данные'!$B$13=""),0,IF(AND(YEAR(B315)=YEAR('Исходные данные'!$B$13),MONTH(B315)=MONTH('Исходные данные'!$B$13)),-N('Исходные данные'!$B$11),0))</f>
        <v>0</v>
      </c>
      <c r="AC315">
        <f>IF(A315=1,-N('Исходные данные'!$B$19)*N('Исходные данные'!$B$72),0)</f>
        <v>0</v>
      </c>
      <c r="AD315">
        <f>IF(OR(B315="",'Исходные данные'!$B$22&lt;&gt;"Да",'Исходные данные'!$B$26=""),0,IF(AND(YEAR(B315)=YEAR('Исходные данные'!$B$26),MONTH(B315)=MONTH('Исходные данные'!$B$26)),N('Исходные данные'!$B$23),0))</f>
        <v>0</v>
      </c>
      <c r="AE315">
        <f t="shared" si="152"/>
        <v>0</v>
      </c>
      <c r="AF315">
        <f>IF(OR('Исходные данные'!$B$22&lt;&gt;"Да",'Исходные данные'!$B$26="",C315&lt;'Исходные данные'!$B$26),0,DATEDIF(DATE(YEAR('Исходные данные'!$B$26),MONTH('Исходные данные'!$B$26),1),B315,"m")+1)</f>
        <v>0</v>
      </c>
      <c r="AG315">
        <f>IF(OR(AF315&lt;1,AF315&gt;N('Исходные данные'!$B$25),AE315+AD315&lt;=0),0,-(AE315+AD315)*N('Исходные данные'!$B$24)*IF(AF315=1,C315-'Исходные данные'!$B$26+1,DAY(C315))/365)</f>
        <v>0</v>
      </c>
      <c r="AH315">
        <f>IF(OR(AF315&lt;1,AF315&gt;N('Исходные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данные'!$B$25)-AG315))</f>
        <v>0</v>
      </c>
      <c r="AI315">
        <f>IF(OR('Исходные данные'!$B$22&lt;&gt;"Да",AE315+AD315&lt;=0),0,IF(AND('Исходные данные'!$B$91&lt;&gt;"",B315&lt;&gt;"",YEAR(B315)=YEAR('Исходные данные'!$B$91),MONTH(B315)=MONTH('Исходные данные'!$B$91)),-(AE315+AD315),IF(OR(AF315&lt;1,AF315&gt;N('Исходные данные'!$B$25)),0,IF('Исходные данные'!$B$27="Равными долями",-MIN(AE315+AD315,N('Исходные данные'!$B$23)/N('Исходные данные'!$B$25)),-MIN(AE315+AD315,IF(AF315=N('Исходные данные'!$B$25),AE315+AD315,MAX(0,AH315+AG315)))))))</f>
        <v>0</v>
      </c>
      <c r="AJ315">
        <f t="shared" si="170"/>
        <v>0</v>
      </c>
      <c r="AK315">
        <f t="shared" si="153"/>
        <v>0</v>
      </c>
      <c r="AL315">
        <f>IF(OR(B315="",'Исходные данные'!$B$51&lt;&gt;"Да",'Исходные данные'!$B$61=""),0,IF(AND(YEAR(B315)=YEAR('Исходные данные'!$B$61),MONTH(B315)=MONTH('Исходные данные'!$B$61)),N('Исходные данные'!$B$18)*N('Исходные данные'!$B$62),0))</f>
        <v>0</v>
      </c>
      <c r="AM315">
        <f t="shared" si="154"/>
        <v>0</v>
      </c>
      <c r="AN315">
        <f t="shared" si="155"/>
        <v>0</v>
      </c>
      <c r="AO315">
        <f t="shared" si="156"/>
        <v>0</v>
      </c>
      <c r="AP315">
        <f>IF('Исходные данные'!$B$51="Да",-MAX(0,AN315-AO315-AM315),0)</f>
        <v>0</v>
      </c>
      <c r="AQ315">
        <f>IF('Исходные данные'!$B$51="Да",MAX(0,AM315+AO315-AN315),0)</f>
        <v>0</v>
      </c>
      <c r="AR315">
        <f>IF('Исходные данные'!$B$53="Выручка",MAX(0,L315+(Q315-R315)+(U315-V315)),IF('Исходные данные'!$B$53="Прибыль до налога",MAX(0,L315+(Q315-R315)+(U315-V315)+N('Исходные данные'!$B$54)*((O315+P315)+(S315+T315)+W315+X315)+IF('Исходные данные'!$B$55="Да",AG315,0)-N('Исходные данные'!$B$56)/12),IF('Исходные данные'!$B$53="Пользовательская база",MAX(0,N('Исходные данные'!$B$57)/12),0)))</f>
        <v>0</v>
      </c>
      <c r="AS315">
        <f>IF(E315=1,-AR315*N('Исходные данные'!$B$50),0)</f>
        <v>0</v>
      </c>
      <c r="AT315">
        <f t="shared" si="157"/>
        <v>0</v>
      </c>
      <c r="AU315">
        <f>IF(OR(B315="",N('Исходные данные'!$B$80)&lt;=0,'Исходные данные'!$B$88=""),0,MAX(0,IF('Исходные данные'!$B$88="Последние 12 месяцев",SUMIFS($Y$2:$Y$194,$B$2:$B$194,"&gt;="&amp;EDATE(B315,-11),$B$2:$B$194,"&lt;="&amp;B315),IF('Исходные данные'!$B$88="Пользовательский NOI",N('Исходные данные'!$B$89),AT315))/N('Исходные данные'!$B$80)*(1+N('Исходные данные'!$B$81))))</f>
        <v>0</v>
      </c>
      <c r="AV315">
        <f>IF(OR(E315&lt;&gt;1,B315="",'Исходные данные'!$B$91=""),0,IF(AND(YEAR(B315)=YEAR('Исходные данные'!$B$91),MONTH(B315)=MONTH('Исходные данные'!$B$91)),AU315,0))</f>
        <v>0</v>
      </c>
      <c r="AW315">
        <f>-AV315*N('Исходные данные'!$B$73)</f>
        <v>0</v>
      </c>
      <c r="AX315">
        <f>IF(AV315=0,0,-N('Исходные данные'!$B$87)-IF('Исходные данные'!$B$82="Да",IF('Исходные данные'!$B$84="С выручки",AV315,IF('Исходные данные'!$B$84="С прибыли",MAX(0,AV315+AW315-IF('Исходные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15">
        <f t="shared" si="171"/>
        <v>0</v>
      </c>
      <c r="AZ315">
        <f t="shared" si="158"/>
        <v>0</v>
      </c>
      <c r="BA315">
        <f t="shared" si="172"/>
        <v>0</v>
      </c>
      <c r="BB315" t="str">
        <f t="shared" si="159"/>
        <v/>
      </c>
      <c r="BC315">
        <f>IF(OR(E315=0,'Исходные данные'!$B$9="",'Исходные данные'!$B$90=""),0,BA315/(1+'Исходные данные'!$B$90)^((D315-'Исходные данные'!$B$9)/365))</f>
        <v>0</v>
      </c>
      <c r="BD315">
        <f>IF(AND(E315=1,BB315&gt;=0,BB314&lt;0,MIN($BB$2:BB315)&lt;0),1,0)</f>
        <v>0</v>
      </c>
      <c r="BE315">
        <f t="shared" si="160"/>
        <v>0</v>
      </c>
      <c r="BF315">
        <f t="shared" si="161"/>
        <v>0</v>
      </c>
      <c r="BG315">
        <f t="shared" si="162"/>
        <v>0</v>
      </c>
      <c r="BH315">
        <f t="shared" si="163"/>
        <v>1</v>
      </c>
      <c r="BI315">
        <f>AZ315+N315+AP315-AR315*N('Исходные данные'!$B$50)</f>
        <v>0</v>
      </c>
      <c r="BJ315">
        <f t="shared" si="164"/>
        <v>0</v>
      </c>
      <c r="BK315">
        <f>IF(AND(BJ315&gt;=0,BJ314&lt;0,MIN($BJ$2:BJ315)&lt;0),1,0)</f>
        <v>0</v>
      </c>
    </row>
    <row r="316" spans="1:63" x14ac:dyDescent="0.2">
      <c r="A316">
        <v>315</v>
      </c>
      <c r="B316" t="str">
        <f>IF('Исходные данные'!$B$9="","",EDATE(DATE(YEAR('Исходные данные'!$B$9),MONTH('Исходные данные'!$B$9),1),A316-1))</f>
        <v/>
      </c>
      <c r="C316" t="str">
        <f t="shared" si="165"/>
        <v/>
      </c>
      <c r="D316" t="str">
        <f>IF(B316="","",IF('Исходные данные'!$B$91&lt;&gt;"",IF(AND(YEAR(B316)=YEAR('Исходные данные'!$B$91),MONTH(B316)=MONTH('Исходные данные'!$B$91)),'Исходные данные'!$B$91,IF('Исходные данные'!$B$13&lt;&gt;"",IF(AND(YEAR(B316)=YEAR('Исходные данные'!$B$13),MONTH(B316)=MONTH('Исходные данные'!$B$13)),'Исходные данные'!$B$13,IF('Исходные данные'!$B$26&lt;&gt;"",IF(AND(YEAR(B316)=YEAR('Исходные данные'!$B$26),MONTH(B316)=MONTH('Исходные данные'!$B$26)),'Исходные данные'!$B$26,IF(A316=1,'Исходные данные'!$B$9,C316)),IF(A316=1,'Исходные данные'!$B$9,C316))),IF('Исходные данные'!$B$26&lt;&gt;"",IF(AND(YEAR(B316)=YEAR('Исходные данные'!$B$26),MONTH(B316)=MONTH('Исходные данные'!$B$26)),'Исходные данные'!$B$26,IF(A316=1,'Исходные данные'!$B$9,C316)),IF(A316=1,'Исходные данные'!$B$9,C316)))),IF('Исходные данные'!$B$13&lt;&gt;"",IF(AND(YEAR(B316)=YEAR('Исходные данные'!$B$13),MONTH(B316)=MONTH('Исходные данные'!$B$13)),'Исходные данные'!$B$13,IF('Исходные данные'!$B$26&lt;&gt;"",IF(AND(YEAR(B316)=YEAR('Исходные данные'!$B$26),MONTH(B316)=MONTH('Исходные данные'!$B$26)),'Исходные данные'!$B$26,IF(A316=1,'Исходные данные'!$B$9,C316)),IF(A316=1,'Исходные данные'!$B$9,C316))),IF('Исходные данные'!$B$26&lt;&gt;"",IF(AND(YEAR(B316)=YEAR('Исходные данные'!$B$26),MONTH(B316)=MONTH('Исходные данные'!$B$26)),'Исходные данные'!$B$26,IF(A316=1,'Исходные данные'!$B$9,C316)),IF(A316=1,'Исходные данные'!$B$9,C316)))))</f>
        <v/>
      </c>
      <c r="E316">
        <f>IF(OR(B316="",'Исходные данные'!$B$91=""),0,--(B316&lt;=DATE(YEAR('Исходные данные'!$B$91),MONTH('Исходные данные'!$B$91),1)))</f>
        <v>0</v>
      </c>
      <c r="F316">
        <f>IF(OR(B316="",'Исходные данные'!$B$30="",C316&lt;'Исходные данные'!$B$30),0,DATEDIF(DATE(YEAR('Исходные данные'!$B$30),MONTH('Исходные данные'!$B$30),1),B316,"m")+1)</f>
        <v>0</v>
      </c>
      <c r="G316">
        <f t="shared" si="166"/>
        <v>0</v>
      </c>
      <c r="H316">
        <f>IF(F316=0,0,IF(G316=1,N('Исходные данные'!$B$31),IF(G316=2,N('Исходные данные'!$B$32),IF(G316=3,N('Исходные данные'!$B$33),N('Исходные данные'!$B$33)*(1+N('Исходные данные'!$B$34))^(G316-3)))))</f>
        <v>0</v>
      </c>
      <c r="I316">
        <f>IF(OR(F316=0,N('Исходные данные'!$B$5)=0,H316=0),0,'Исходные данные'!$B$5*H316*IF(AND(B316&lt;='Исходные данные'!$B$30,C316&gt;='Исходные данные'!$B$30),(C316-'Исходные данные'!$B$30+1)/DAY(C316),1))</f>
        <v>0</v>
      </c>
      <c r="J316">
        <f>IF(AND(F316&gt;0,F316&lt;=N('Исходные данные'!$B$37)),-I316,0)</f>
        <v>0</v>
      </c>
      <c r="K316">
        <f>IF(OR(F316=0,F316&lt;=N('Исходные данные'!$B$37)),0,-(I316+J316)*N('Исходные данные'!$B$38))</f>
        <v>0</v>
      </c>
      <c r="L316">
        <f t="shared" si="167"/>
        <v>0</v>
      </c>
      <c r="M316">
        <f>IF('Исходные данные'!$B$51="Да",L316*N('Исходные данные'!$B$52),0)</f>
        <v>0</v>
      </c>
      <c r="N316">
        <f t="shared" si="168"/>
        <v>0</v>
      </c>
      <c r="O316">
        <f>IF(OR(B316="",IF('Исходные данные'!$B$45="",'Исходные данные'!$B$10,'Исходные данные'!$B$45)="",C316&lt;IF('Исходные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данные'!$B$45)),1),B316,"m")/12))*IF(AND(B316&lt;=IF('Исходные данные'!$B$45="",'Исходные данные'!$B$10,'Исходные данные'!$B$45),C316&gt;=IF('Исходные данные'!$B$45="",'Исходные данные'!$B$10,'Исходные данные'!$B$45)),(C316-IF('Исходные данные'!$B$45="",'Исходные данные'!$B$10,'Исходные данные'!$B$45)+1)/DAY(C316),1)*IF('Исходные данные'!$B$43="Без НДС",1+N('Исходные данные'!$B$44),1))</f>
        <v>0</v>
      </c>
      <c r="P316">
        <f>IF('Исходные данные'!$B$51="Да",-O316*N('Исходные данные'!$B$44)/(1+N('Исходные данные'!$B$44)),0)</f>
        <v>0</v>
      </c>
      <c r="Q316">
        <f>IF('Исходные данные'!$B$35="Да",-O316,0)</f>
        <v>0</v>
      </c>
      <c r="R316">
        <f>IF(AND('Исходные данные'!$B$51="Да",Q316&gt;0),Q316*N('Исходные данные'!$B$52)/(1+N('Исходные данные'!$B$52)),0)</f>
        <v>0</v>
      </c>
      <c r="S316">
        <f>IF(OR(B316="",IF('Исходные данные'!$B$45="",'Исходные данные'!$B$10,'Исходные данные'!$B$45)="",C316&lt;IF('Исходные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данные'!$B$45)),1),B316,"m")/12))*IF(AND(B316&lt;=IF('Исходные данные'!$B$45="",'Исходные данные'!$B$10,'Исходные данные'!$B$45),C316&gt;=IF('Исходные данные'!$B$45="",'Исходные данные'!$B$10,'Исходные данные'!$B$45)),(C316-IF('Исходные данные'!$B$45="",'Исходные данные'!$B$10,'Исходные данные'!$B$45)+1)/DAY(C316),1)*IF('Исходные данные'!$B$43="Без НДС",1+N('Исходные данные'!$B$44),1))</f>
        <v>0</v>
      </c>
      <c r="T316">
        <f>IF('Исходные данные'!$B$51="Да",-S316*N('Исходные данные'!$B$44)/(1+N('Исходные данные'!$B$44)),0)</f>
        <v>0</v>
      </c>
      <c r="U316">
        <f>IF('Исходные данные'!$B$36="Да",-S316,0)</f>
        <v>0</v>
      </c>
      <c r="V316">
        <f>IF(AND('Исходные данные'!$B$51="Да",U316&gt;0),U316*N('Исходные данные'!$B$52)/(1+N('Исходные данные'!$B$52)),0)</f>
        <v>0</v>
      </c>
      <c r="W316">
        <f>IF(OR(B316="",IF('Исходные данные'!$B$69="",'Исходные данные'!$B$10,'Исходные данные'!$B$69)="",C316&lt;IF('Исходные данные'!$B$69="",'Исходные данные'!$B$10,'Исходные данные'!$B$69)),0,-N('Исходные данные'!$B$16)*N('Исходные данные'!$B$68)*N('Исходные данные'!$B$67)/12*IF(AND(B316&lt;=IF('Исходные данные'!$B$69="",'Исходные данные'!$B$10,'Исходные данные'!$B$69),C316&gt;=IF('Исходные данные'!$B$69="",'Исходные данные'!$B$10,'Исходные данные'!$B$69)),(C316-IF('Исходные данные'!$B$69="",'Исходные данные'!$B$10,'Исходные данные'!$B$69)+1)/DAY(C316),1))</f>
        <v>0</v>
      </c>
      <c r="X316">
        <f>IF(OR(B316="",IF('Исходные данные'!$B$76="",'Исходные данные'!$B$10,'Исходные данные'!$B$76)="",C316&lt;IF('Исходные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данные'!$B$76)),1),B316,"m")/12))*IF(AND(B316&lt;=IF('Исходные данные'!$B$76="",'Исходные данные'!$B$10,'Исходные данные'!$B$76),C316&gt;=IF('Исходные данные'!$B$76="",'Исходные данные'!$B$10,'Исходные данные'!$B$76)),(C316-IF('Исходные данные'!$B$76="",'Исходные данные'!$B$10,'Исходные данные'!$B$76)+1)/DAY(C316),1))</f>
        <v>0</v>
      </c>
      <c r="Y316">
        <f t="shared" si="169"/>
        <v>0</v>
      </c>
      <c r="Z316">
        <f>IF(OR(B316="",N('Исходные данные'!$B$19)=0),0,-SUMIFS('Исходные данные'!$I$6:$I$186,'Исходные данные'!$F$6:$F$186,B316)*N('Исходные данные'!$B$17)/N('Исходные данные'!$B$19))</f>
        <v>0</v>
      </c>
      <c r="AA316">
        <f>IF(OR(B316="",N('Исходные данные'!$B$19)=0),0,-SUMIFS('Исходные данные'!$I$6:$I$186,'Исходные данные'!$F$6:$F$186,B316)*N('Исходные данные'!$B$18)/N('Исходные данные'!$B$19))</f>
        <v>0</v>
      </c>
      <c r="AB316">
        <f>IF(OR(B316="",'Исходные данные'!$B$13=""),0,IF(AND(YEAR(B316)=YEAR('Исходные данные'!$B$13),MONTH(B316)=MONTH('Исходные данные'!$B$13)),-N('Исходные данные'!$B$11),0))</f>
        <v>0</v>
      </c>
      <c r="AC316">
        <f>IF(A316=1,-N('Исходные данные'!$B$19)*N('Исходные данные'!$B$72),0)</f>
        <v>0</v>
      </c>
      <c r="AD316">
        <f>IF(OR(B316="",'Исходные данные'!$B$22&lt;&gt;"Да",'Исходные данные'!$B$26=""),0,IF(AND(YEAR(B316)=YEAR('Исходные данные'!$B$26),MONTH(B316)=MONTH('Исходные данные'!$B$26)),N('Исходные данные'!$B$23),0))</f>
        <v>0</v>
      </c>
      <c r="AE316">
        <f t="shared" si="152"/>
        <v>0</v>
      </c>
      <c r="AF316">
        <f>IF(OR('Исходные данные'!$B$22&lt;&gt;"Да",'Исходные данные'!$B$26="",C316&lt;'Исходные данные'!$B$26),0,DATEDIF(DATE(YEAR('Исходные данные'!$B$26),MONTH('Исходные данные'!$B$26),1),B316,"m")+1)</f>
        <v>0</v>
      </c>
      <c r="AG316">
        <f>IF(OR(AF316&lt;1,AF316&gt;N('Исходные данные'!$B$25),AE316+AD316&lt;=0),0,-(AE316+AD316)*N('Исходные данные'!$B$24)*IF(AF316=1,C316-'Исходные данные'!$B$26+1,DAY(C316))/365)</f>
        <v>0</v>
      </c>
      <c r="AH316">
        <f>IF(OR(AF316&lt;1,AF316&gt;N('Исходные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данные'!$B$25)-AG316))</f>
        <v>0</v>
      </c>
      <c r="AI316">
        <f>IF(OR('Исходные данные'!$B$22&lt;&gt;"Да",AE316+AD316&lt;=0),0,IF(AND('Исходные данные'!$B$91&lt;&gt;"",B316&lt;&gt;"",YEAR(B316)=YEAR('Исходные данные'!$B$91),MONTH(B316)=MONTH('Исходные данные'!$B$91)),-(AE316+AD316),IF(OR(AF316&lt;1,AF316&gt;N('Исходные данные'!$B$25)),0,IF('Исходные данные'!$B$27="Равными долями",-MIN(AE316+AD316,N('Исходные данные'!$B$23)/N('Исходные данные'!$B$25)),-MIN(AE316+AD316,IF(AF316=N('Исходные данные'!$B$25),AE316+AD316,MAX(0,AH316+AG316)))))))</f>
        <v>0</v>
      </c>
      <c r="AJ316">
        <f t="shared" si="170"/>
        <v>0</v>
      </c>
      <c r="AK316">
        <f t="shared" si="153"/>
        <v>0</v>
      </c>
      <c r="AL316">
        <f>IF(OR(B316="",'Исходные данные'!$B$51&lt;&gt;"Да",'Исходные данные'!$B$61=""),0,IF(AND(YEAR(B316)=YEAR('Исходные данные'!$B$61),MONTH(B316)=MONTH('Исходные данные'!$B$61)),N('Исходные данные'!$B$18)*N('Исходные данные'!$B$62),0))</f>
        <v>0</v>
      </c>
      <c r="AM316">
        <f t="shared" si="154"/>
        <v>0</v>
      </c>
      <c r="AN316">
        <f t="shared" si="155"/>
        <v>0</v>
      </c>
      <c r="AO316">
        <f t="shared" si="156"/>
        <v>0</v>
      </c>
      <c r="AP316">
        <f>IF('Исходные данные'!$B$51="Да",-MAX(0,AN316-AO316-AM316),0)</f>
        <v>0</v>
      </c>
      <c r="AQ316">
        <f>IF('Исходные данные'!$B$51="Да",MAX(0,AM316+AO316-AN316),0)</f>
        <v>0</v>
      </c>
      <c r="AR316">
        <f>IF('Исходные данные'!$B$53="Выручка",MAX(0,L316+(Q316-R316)+(U316-V316)),IF('Исходные данные'!$B$53="Прибыль до налога",MAX(0,L316+(Q316-R316)+(U316-V316)+N('Исходные данные'!$B$54)*((O316+P316)+(S316+T316)+W316+X316)+IF('Исходные данные'!$B$55="Да",AG316,0)-N('Исходные данные'!$B$56)/12),IF('Исходные данные'!$B$53="Пользовательская база",MAX(0,N('Исходные данные'!$B$57)/12),0)))</f>
        <v>0</v>
      </c>
      <c r="AS316">
        <f>IF(E316=1,-AR316*N('Исходные данные'!$B$50),0)</f>
        <v>0</v>
      </c>
      <c r="AT316">
        <f t="shared" si="157"/>
        <v>0</v>
      </c>
      <c r="AU316">
        <f>IF(OR(B316="",N('Исходные данные'!$B$80)&lt;=0,'Исходные данные'!$B$88=""),0,MAX(0,IF('Исходные данные'!$B$88="Последние 12 месяцев",SUMIFS($Y$2:$Y$194,$B$2:$B$194,"&gt;="&amp;EDATE(B316,-11),$B$2:$B$194,"&lt;="&amp;B316),IF('Исходные данные'!$B$88="Пользовательский NOI",N('Исходные данные'!$B$89),AT316))/N('Исходные данные'!$B$80)*(1+N('Исходные данные'!$B$81))))</f>
        <v>0</v>
      </c>
      <c r="AV316">
        <f>IF(OR(E316&lt;&gt;1,B316="",'Исходные данные'!$B$91=""),0,IF(AND(YEAR(B316)=YEAR('Исходные данные'!$B$91),MONTH(B316)=MONTH('Исходные данные'!$B$91)),AU316,0))</f>
        <v>0</v>
      </c>
      <c r="AW316">
        <f>-AV316*N('Исходные данные'!$B$73)</f>
        <v>0</v>
      </c>
      <c r="AX316">
        <f>IF(AV316=0,0,-N('Исходные данные'!$B$87)-IF('Исходные данные'!$B$82="Да",IF('Исходные данные'!$B$84="С выручки",AV316,IF('Исходные данные'!$B$84="С прибыли",MAX(0,AV316+AW316-IF('Исходные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16">
        <f t="shared" si="171"/>
        <v>0</v>
      </c>
      <c r="AZ316">
        <f t="shared" si="158"/>
        <v>0</v>
      </c>
      <c r="BA316">
        <f t="shared" si="172"/>
        <v>0</v>
      </c>
      <c r="BB316" t="str">
        <f t="shared" si="159"/>
        <v/>
      </c>
      <c r="BC316">
        <f>IF(OR(E316=0,'Исходные данные'!$B$9="",'Исходные данные'!$B$90=""),0,BA316/(1+'Исходные данные'!$B$90)^((D316-'Исходные данные'!$B$9)/365))</f>
        <v>0</v>
      </c>
      <c r="BD316">
        <f>IF(AND(E316=1,BB316&gt;=0,BB315&lt;0,MIN($BB$2:BB316)&lt;0),1,0)</f>
        <v>0</v>
      </c>
      <c r="BE316">
        <f t="shared" si="160"/>
        <v>0</v>
      </c>
      <c r="BF316">
        <f t="shared" si="161"/>
        <v>0</v>
      </c>
      <c r="BG316">
        <f t="shared" si="162"/>
        <v>0</v>
      </c>
      <c r="BH316">
        <f t="shared" si="163"/>
        <v>1</v>
      </c>
      <c r="BI316">
        <f>AZ316+N316+AP316-AR316*N('Исходные данные'!$B$50)</f>
        <v>0</v>
      </c>
      <c r="BJ316">
        <f t="shared" si="164"/>
        <v>0</v>
      </c>
      <c r="BK316">
        <f>IF(AND(BJ316&gt;=0,BJ315&lt;0,MIN($BJ$2:BJ316)&lt;0),1,0)</f>
        <v>0</v>
      </c>
    </row>
    <row r="317" spans="1:63" x14ac:dyDescent="0.2">
      <c r="A317">
        <v>316</v>
      </c>
      <c r="B317" t="str">
        <f>IF('Исходные данные'!$B$9="","",EDATE(DATE(YEAR('Исходные данные'!$B$9),MONTH('Исходные данные'!$B$9),1),A317-1))</f>
        <v/>
      </c>
      <c r="C317" t="str">
        <f t="shared" si="165"/>
        <v/>
      </c>
      <c r="D317" t="str">
        <f>IF(B317="","",IF('Исходные данные'!$B$91&lt;&gt;"",IF(AND(YEAR(B317)=YEAR('Исходные данные'!$B$91),MONTH(B317)=MONTH('Исходные данные'!$B$91)),'Исходные данные'!$B$91,IF('Исходные данные'!$B$13&lt;&gt;"",IF(AND(YEAR(B317)=YEAR('Исходные данные'!$B$13),MONTH(B317)=MONTH('Исходные данные'!$B$13)),'Исходные данные'!$B$13,IF('Исходные данные'!$B$26&lt;&gt;"",IF(AND(YEAR(B317)=YEAR('Исходные данные'!$B$26),MONTH(B317)=MONTH('Исходные данные'!$B$26)),'Исходные данные'!$B$26,IF(A317=1,'Исходные данные'!$B$9,C317)),IF(A317=1,'Исходные данные'!$B$9,C317))),IF('Исходные данные'!$B$26&lt;&gt;"",IF(AND(YEAR(B317)=YEAR('Исходные данные'!$B$26),MONTH(B317)=MONTH('Исходные данные'!$B$26)),'Исходные данные'!$B$26,IF(A317=1,'Исходные данные'!$B$9,C317)),IF(A317=1,'Исходные данные'!$B$9,C317)))),IF('Исходные данные'!$B$13&lt;&gt;"",IF(AND(YEAR(B317)=YEAR('Исходные данные'!$B$13),MONTH(B317)=MONTH('Исходные данные'!$B$13)),'Исходные данные'!$B$13,IF('Исходные данные'!$B$26&lt;&gt;"",IF(AND(YEAR(B317)=YEAR('Исходные данные'!$B$26),MONTH(B317)=MONTH('Исходные данные'!$B$26)),'Исходные данные'!$B$26,IF(A317=1,'Исходные данные'!$B$9,C317)),IF(A317=1,'Исходные данные'!$B$9,C317))),IF('Исходные данные'!$B$26&lt;&gt;"",IF(AND(YEAR(B317)=YEAR('Исходные данные'!$B$26),MONTH(B317)=MONTH('Исходные данные'!$B$26)),'Исходные данные'!$B$26,IF(A317=1,'Исходные данные'!$B$9,C317)),IF(A317=1,'Исходные данные'!$B$9,C317)))))</f>
        <v/>
      </c>
      <c r="E317">
        <f>IF(OR(B317="",'Исходные данные'!$B$91=""),0,--(B317&lt;=DATE(YEAR('Исходные данные'!$B$91),MONTH('Исходные данные'!$B$91),1)))</f>
        <v>0</v>
      </c>
      <c r="F317">
        <f>IF(OR(B317="",'Исходные данные'!$B$30="",C317&lt;'Исходные данные'!$B$30),0,DATEDIF(DATE(YEAR('Исходные данные'!$B$30),MONTH('Исходные данные'!$B$30),1),B317,"m")+1)</f>
        <v>0</v>
      </c>
      <c r="G317">
        <f t="shared" si="166"/>
        <v>0</v>
      </c>
      <c r="H317">
        <f>IF(F317=0,0,IF(G317=1,N('Исходные данные'!$B$31),IF(G317=2,N('Исходные данные'!$B$32),IF(G317=3,N('Исходные данные'!$B$33),N('Исходные данные'!$B$33)*(1+N('Исходные данные'!$B$34))^(G317-3)))))</f>
        <v>0</v>
      </c>
      <c r="I317">
        <f>IF(OR(F317=0,N('Исходные данные'!$B$5)=0,H317=0),0,'Исходные данные'!$B$5*H317*IF(AND(B317&lt;='Исходные данные'!$B$30,C317&gt;='Исходные данные'!$B$30),(C317-'Исходные данные'!$B$30+1)/DAY(C317),1))</f>
        <v>0</v>
      </c>
      <c r="J317">
        <f>IF(AND(F317&gt;0,F317&lt;=N('Исходные данные'!$B$37)),-I317,0)</f>
        <v>0</v>
      </c>
      <c r="K317">
        <f>IF(OR(F317=0,F317&lt;=N('Исходные данные'!$B$37)),0,-(I317+J317)*N('Исходные данные'!$B$38))</f>
        <v>0</v>
      </c>
      <c r="L317">
        <f t="shared" si="167"/>
        <v>0</v>
      </c>
      <c r="M317">
        <f>IF('Исходные данные'!$B$51="Да",L317*N('Исходные данные'!$B$52),0)</f>
        <v>0</v>
      </c>
      <c r="N317">
        <f t="shared" si="168"/>
        <v>0</v>
      </c>
      <c r="O317">
        <f>IF(OR(B317="",IF('Исходные данные'!$B$45="",'Исходные данные'!$B$10,'Исходные данные'!$B$45)="",C317&lt;IF('Исходные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данные'!$B$45)),1),B317,"m")/12))*IF(AND(B317&lt;=IF('Исходные данные'!$B$45="",'Исходные данные'!$B$10,'Исходные данные'!$B$45),C317&gt;=IF('Исходные данные'!$B$45="",'Исходные данные'!$B$10,'Исходные данные'!$B$45)),(C317-IF('Исходные данные'!$B$45="",'Исходные данные'!$B$10,'Исходные данные'!$B$45)+1)/DAY(C317),1)*IF('Исходные данные'!$B$43="Без НДС",1+N('Исходные данные'!$B$44),1))</f>
        <v>0</v>
      </c>
      <c r="P317">
        <f>IF('Исходные данные'!$B$51="Да",-O317*N('Исходные данные'!$B$44)/(1+N('Исходные данные'!$B$44)),0)</f>
        <v>0</v>
      </c>
      <c r="Q317">
        <f>IF('Исходные данные'!$B$35="Да",-O317,0)</f>
        <v>0</v>
      </c>
      <c r="R317">
        <f>IF(AND('Исходные данные'!$B$51="Да",Q317&gt;0),Q317*N('Исходные данные'!$B$52)/(1+N('Исходные данные'!$B$52)),0)</f>
        <v>0</v>
      </c>
      <c r="S317">
        <f>IF(OR(B317="",IF('Исходные данные'!$B$45="",'Исходные данные'!$B$10,'Исходные данные'!$B$45)="",C317&lt;IF('Исходные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данные'!$B$45)),1),B317,"m")/12))*IF(AND(B317&lt;=IF('Исходные данные'!$B$45="",'Исходные данные'!$B$10,'Исходные данные'!$B$45),C317&gt;=IF('Исходные данные'!$B$45="",'Исходные данные'!$B$10,'Исходные данные'!$B$45)),(C317-IF('Исходные данные'!$B$45="",'Исходные данные'!$B$10,'Исходные данные'!$B$45)+1)/DAY(C317),1)*IF('Исходные данные'!$B$43="Без НДС",1+N('Исходные данные'!$B$44),1))</f>
        <v>0</v>
      </c>
      <c r="T317">
        <f>IF('Исходные данные'!$B$51="Да",-S317*N('Исходные данные'!$B$44)/(1+N('Исходные данные'!$B$44)),0)</f>
        <v>0</v>
      </c>
      <c r="U317">
        <f>IF('Исходные данные'!$B$36="Да",-S317,0)</f>
        <v>0</v>
      </c>
      <c r="V317">
        <f>IF(AND('Исходные данные'!$B$51="Да",U317&gt;0),U317*N('Исходные данные'!$B$52)/(1+N('Исходные данные'!$B$52)),0)</f>
        <v>0</v>
      </c>
      <c r="W317">
        <f>IF(OR(B317="",IF('Исходные данные'!$B$69="",'Исходные данные'!$B$10,'Исходные данные'!$B$69)="",C317&lt;IF('Исходные данные'!$B$69="",'Исходные данные'!$B$10,'Исходные данные'!$B$69)),0,-N('Исходные данные'!$B$16)*N('Исходные данные'!$B$68)*N('Исходные данные'!$B$67)/12*IF(AND(B317&lt;=IF('Исходные данные'!$B$69="",'Исходные данные'!$B$10,'Исходные данные'!$B$69),C317&gt;=IF('Исходные данные'!$B$69="",'Исходные данные'!$B$10,'Исходные данные'!$B$69)),(C317-IF('Исходные данные'!$B$69="",'Исходные данные'!$B$10,'Исходные данные'!$B$69)+1)/DAY(C317),1))</f>
        <v>0</v>
      </c>
      <c r="X317">
        <f>IF(OR(B317="",IF('Исходные данные'!$B$76="",'Исходные данные'!$B$10,'Исходные данные'!$B$76)="",C317&lt;IF('Исходные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данные'!$B$76)),1),B317,"m")/12))*IF(AND(B317&lt;=IF('Исходные данные'!$B$76="",'Исходные данные'!$B$10,'Исходные данные'!$B$76),C317&gt;=IF('Исходные данные'!$B$76="",'Исходные данные'!$B$10,'Исходные данные'!$B$76)),(C317-IF('Исходные данные'!$B$76="",'Исходные данные'!$B$10,'Исходные данные'!$B$76)+1)/DAY(C317),1))</f>
        <v>0</v>
      </c>
      <c r="Y317">
        <f t="shared" si="169"/>
        <v>0</v>
      </c>
      <c r="Z317">
        <f>IF(OR(B317="",N('Исходные данные'!$B$19)=0),0,-SUMIFS('Исходные данные'!$I$6:$I$186,'Исходные данные'!$F$6:$F$186,B317)*N('Исходные данные'!$B$17)/N('Исходные данные'!$B$19))</f>
        <v>0</v>
      </c>
      <c r="AA317">
        <f>IF(OR(B317="",N('Исходные данные'!$B$19)=0),0,-SUMIFS('Исходные данные'!$I$6:$I$186,'Исходные данные'!$F$6:$F$186,B317)*N('Исходные данные'!$B$18)/N('Исходные данные'!$B$19))</f>
        <v>0</v>
      </c>
      <c r="AB317">
        <f>IF(OR(B317="",'Исходные данные'!$B$13=""),0,IF(AND(YEAR(B317)=YEAR('Исходные данные'!$B$13),MONTH(B317)=MONTH('Исходные данные'!$B$13)),-N('Исходные данные'!$B$11),0))</f>
        <v>0</v>
      </c>
      <c r="AC317">
        <f>IF(A317=1,-N('Исходные данные'!$B$19)*N('Исходные данные'!$B$72),0)</f>
        <v>0</v>
      </c>
      <c r="AD317">
        <f>IF(OR(B317="",'Исходные данные'!$B$22&lt;&gt;"Да",'Исходные данные'!$B$26=""),0,IF(AND(YEAR(B317)=YEAR('Исходные данные'!$B$26),MONTH(B317)=MONTH('Исходные данные'!$B$26)),N('Исходные данные'!$B$23),0))</f>
        <v>0</v>
      </c>
      <c r="AE317">
        <f t="shared" si="152"/>
        <v>0</v>
      </c>
      <c r="AF317">
        <f>IF(OR('Исходные данные'!$B$22&lt;&gt;"Да",'Исходные данные'!$B$26="",C317&lt;'Исходные данные'!$B$26),0,DATEDIF(DATE(YEAR('Исходные данные'!$B$26),MONTH('Исходные данные'!$B$26),1),B317,"m")+1)</f>
        <v>0</v>
      </c>
      <c r="AG317">
        <f>IF(OR(AF317&lt;1,AF317&gt;N('Исходные данные'!$B$25),AE317+AD317&lt;=0),0,-(AE317+AD317)*N('Исходные данные'!$B$24)*IF(AF317=1,C317-'Исходные данные'!$B$26+1,DAY(C317))/365)</f>
        <v>0</v>
      </c>
      <c r="AH317">
        <f>IF(OR(AF317&lt;1,AF317&gt;N('Исходные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данные'!$B$25)-AG317))</f>
        <v>0</v>
      </c>
      <c r="AI317">
        <f>IF(OR('Исходные данные'!$B$22&lt;&gt;"Да",AE317+AD317&lt;=0),0,IF(AND('Исходные данные'!$B$91&lt;&gt;"",B317&lt;&gt;"",YEAR(B317)=YEAR('Исходные данные'!$B$91),MONTH(B317)=MONTH('Исходные данные'!$B$91)),-(AE317+AD317),IF(OR(AF317&lt;1,AF317&gt;N('Исходные данные'!$B$25)),0,IF('Исходные данные'!$B$27="Равными долями",-MIN(AE317+AD317,N('Исходные данные'!$B$23)/N('Исходные данные'!$B$25)),-MIN(AE317+AD317,IF(AF317=N('Исходные данные'!$B$25),AE317+AD317,MAX(0,AH317+AG317)))))))</f>
        <v>0</v>
      </c>
      <c r="AJ317">
        <f t="shared" si="170"/>
        <v>0</v>
      </c>
      <c r="AK317">
        <f t="shared" si="153"/>
        <v>0</v>
      </c>
      <c r="AL317">
        <f>IF(OR(B317="",'Исходные данные'!$B$51&lt;&gt;"Да",'Исходные данные'!$B$61=""),0,IF(AND(YEAR(B317)=YEAR('Исходные данные'!$B$61),MONTH(B317)=MONTH('Исходные данные'!$B$61)),N('Исходные данные'!$B$18)*N('Исходные данные'!$B$62),0))</f>
        <v>0</v>
      </c>
      <c r="AM317">
        <f t="shared" si="154"/>
        <v>0</v>
      </c>
      <c r="AN317">
        <f t="shared" si="155"/>
        <v>0</v>
      </c>
      <c r="AO317">
        <f t="shared" si="156"/>
        <v>0</v>
      </c>
      <c r="AP317">
        <f>IF('Исходные данные'!$B$51="Да",-MAX(0,AN317-AO317-AM317),0)</f>
        <v>0</v>
      </c>
      <c r="AQ317">
        <f>IF('Исходные данные'!$B$51="Да",MAX(0,AM317+AO317-AN317),0)</f>
        <v>0</v>
      </c>
      <c r="AR317">
        <f>IF('Исходные данные'!$B$53="Выручка",MAX(0,L317+(Q317-R317)+(U317-V317)),IF('Исходные данные'!$B$53="Прибыль до налога",MAX(0,L317+(Q317-R317)+(U317-V317)+N('Исходные данные'!$B$54)*((O317+P317)+(S317+T317)+W317+X317)+IF('Исходные данные'!$B$55="Да",AG317,0)-N('Исходные данные'!$B$56)/12),IF('Исходные данные'!$B$53="Пользовательская база",MAX(0,N('Исходные данные'!$B$57)/12),0)))</f>
        <v>0</v>
      </c>
      <c r="AS317">
        <f>IF(E317=1,-AR317*N('Исходные данные'!$B$50),0)</f>
        <v>0</v>
      </c>
      <c r="AT317">
        <f t="shared" si="157"/>
        <v>0</v>
      </c>
      <c r="AU317">
        <f>IF(OR(B317="",N('Исходные данные'!$B$80)&lt;=0,'Исходные данные'!$B$88=""),0,MAX(0,IF('Исходные данные'!$B$88="Последние 12 месяцев",SUMIFS($Y$2:$Y$194,$B$2:$B$194,"&gt;="&amp;EDATE(B317,-11),$B$2:$B$194,"&lt;="&amp;B317),IF('Исходные данные'!$B$88="Пользовательский NOI",N('Исходные данные'!$B$89),AT317))/N('Исходные данные'!$B$80)*(1+N('Исходные данные'!$B$81))))</f>
        <v>0</v>
      </c>
      <c r="AV317">
        <f>IF(OR(E317&lt;&gt;1,B317="",'Исходные данные'!$B$91=""),0,IF(AND(YEAR(B317)=YEAR('Исходные данные'!$B$91),MONTH(B317)=MONTH('Исходные данные'!$B$91)),AU317,0))</f>
        <v>0</v>
      </c>
      <c r="AW317">
        <f>-AV317*N('Исходные данные'!$B$73)</f>
        <v>0</v>
      </c>
      <c r="AX317">
        <f>IF(AV317=0,0,-N('Исходные данные'!$B$87)-IF('Исходные данные'!$B$82="Да",IF('Исходные данные'!$B$84="С выручки",AV317,IF('Исходные данные'!$B$84="С прибыли",MAX(0,AV317+AW317-IF('Исходные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17">
        <f t="shared" si="171"/>
        <v>0</v>
      </c>
      <c r="AZ317">
        <f t="shared" si="158"/>
        <v>0</v>
      </c>
      <c r="BA317">
        <f t="shared" si="172"/>
        <v>0</v>
      </c>
      <c r="BB317" t="str">
        <f t="shared" si="159"/>
        <v/>
      </c>
      <c r="BC317">
        <f>IF(OR(E317=0,'Исходные данные'!$B$9="",'Исходные данные'!$B$90=""),0,BA317/(1+'Исходные данные'!$B$90)^((D317-'Исходные данные'!$B$9)/365))</f>
        <v>0</v>
      </c>
      <c r="BD317">
        <f>IF(AND(E317=1,BB317&gt;=0,BB316&lt;0,MIN($BB$2:BB317)&lt;0),1,0)</f>
        <v>0</v>
      </c>
      <c r="BE317">
        <f t="shared" si="160"/>
        <v>0</v>
      </c>
      <c r="BF317">
        <f t="shared" si="161"/>
        <v>0</v>
      </c>
      <c r="BG317">
        <f t="shared" si="162"/>
        <v>0</v>
      </c>
      <c r="BH317">
        <f t="shared" si="163"/>
        <v>1</v>
      </c>
      <c r="BI317">
        <f>AZ317+N317+AP317-AR317*N('Исходные данные'!$B$50)</f>
        <v>0</v>
      </c>
      <c r="BJ317">
        <f t="shared" si="164"/>
        <v>0</v>
      </c>
      <c r="BK317">
        <f>IF(AND(BJ317&gt;=0,BJ316&lt;0,MIN($BJ$2:BJ317)&lt;0),1,0)</f>
        <v>0</v>
      </c>
    </row>
    <row r="318" spans="1:63" x14ac:dyDescent="0.2">
      <c r="A318">
        <v>317</v>
      </c>
      <c r="B318" t="str">
        <f>IF('Исходные данные'!$B$9="","",EDATE(DATE(YEAR('Исходные данные'!$B$9),MONTH('Исходные данные'!$B$9),1),A318-1))</f>
        <v/>
      </c>
      <c r="C318" t="str">
        <f t="shared" si="165"/>
        <v/>
      </c>
      <c r="D318" t="str">
        <f>IF(B318="","",IF('Исходные данные'!$B$91&lt;&gt;"",IF(AND(YEAR(B318)=YEAR('Исходные данные'!$B$91),MONTH(B318)=MONTH('Исходные данные'!$B$91)),'Исходные данные'!$B$91,IF('Исходные данные'!$B$13&lt;&gt;"",IF(AND(YEAR(B318)=YEAR('Исходные данные'!$B$13),MONTH(B318)=MONTH('Исходные данные'!$B$13)),'Исходные данные'!$B$13,IF('Исходные данные'!$B$26&lt;&gt;"",IF(AND(YEAR(B318)=YEAR('Исходные данные'!$B$26),MONTH(B318)=MONTH('Исходные данные'!$B$26)),'Исходные данные'!$B$26,IF(A318=1,'Исходные данные'!$B$9,C318)),IF(A318=1,'Исходные данные'!$B$9,C318))),IF('Исходные данные'!$B$26&lt;&gt;"",IF(AND(YEAR(B318)=YEAR('Исходные данные'!$B$26),MONTH(B318)=MONTH('Исходные данные'!$B$26)),'Исходные данные'!$B$26,IF(A318=1,'Исходные данные'!$B$9,C318)),IF(A318=1,'Исходные данные'!$B$9,C318)))),IF('Исходные данные'!$B$13&lt;&gt;"",IF(AND(YEAR(B318)=YEAR('Исходные данные'!$B$13),MONTH(B318)=MONTH('Исходные данные'!$B$13)),'Исходные данные'!$B$13,IF('Исходные данные'!$B$26&lt;&gt;"",IF(AND(YEAR(B318)=YEAR('Исходные данные'!$B$26),MONTH(B318)=MONTH('Исходные данные'!$B$26)),'Исходные данные'!$B$26,IF(A318=1,'Исходные данные'!$B$9,C318)),IF(A318=1,'Исходные данные'!$B$9,C318))),IF('Исходные данные'!$B$26&lt;&gt;"",IF(AND(YEAR(B318)=YEAR('Исходные данные'!$B$26),MONTH(B318)=MONTH('Исходные данные'!$B$26)),'Исходные данные'!$B$26,IF(A318=1,'Исходные данные'!$B$9,C318)),IF(A318=1,'Исходные данные'!$B$9,C318)))))</f>
        <v/>
      </c>
      <c r="E318">
        <f>IF(OR(B318="",'Исходные данные'!$B$91=""),0,--(B318&lt;=DATE(YEAR('Исходные данные'!$B$91),MONTH('Исходные данные'!$B$91),1)))</f>
        <v>0</v>
      </c>
      <c r="F318">
        <f>IF(OR(B318="",'Исходные данные'!$B$30="",C318&lt;'Исходные данные'!$B$30),0,DATEDIF(DATE(YEAR('Исходные данные'!$B$30),MONTH('Исходные данные'!$B$30),1),B318,"m")+1)</f>
        <v>0</v>
      </c>
      <c r="G318">
        <f t="shared" si="166"/>
        <v>0</v>
      </c>
      <c r="H318">
        <f>IF(F318=0,0,IF(G318=1,N('Исходные данные'!$B$31),IF(G318=2,N('Исходные данные'!$B$32),IF(G318=3,N('Исходные данные'!$B$33),N('Исходные данные'!$B$33)*(1+N('Исходные данные'!$B$34))^(G318-3)))))</f>
        <v>0</v>
      </c>
      <c r="I318">
        <f>IF(OR(F318=0,N('Исходные данные'!$B$5)=0,H318=0),0,'Исходные данные'!$B$5*H318*IF(AND(B318&lt;='Исходные данные'!$B$30,C318&gt;='Исходные данные'!$B$30),(C318-'Исходные данные'!$B$30+1)/DAY(C318),1))</f>
        <v>0</v>
      </c>
      <c r="J318">
        <f>IF(AND(F318&gt;0,F318&lt;=N('Исходные данные'!$B$37)),-I318,0)</f>
        <v>0</v>
      </c>
      <c r="K318">
        <f>IF(OR(F318=0,F318&lt;=N('Исходные данные'!$B$37)),0,-(I318+J318)*N('Исходные данные'!$B$38))</f>
        <v>0</v>
      </c>
      <c r="L318">
        <f t="shared" si="167"/>
        <v>0</v>
      </c>
      <c r="M318">
        <f>IF('Исходные данные'!$B$51="Да",L318*N('Исходные данные'!$B$52),0)</f>
        <v>0</v>
      </c>
      <c r="N318">
        <f t="shared" si="168"/>
        <v>0</v>
      </c>
      <c r="O318">
        <f>IF(OR(B318="",IF('Исходные данные'!$B$45="",'Исходные данные'!$B$10,'Исходные данные'!$B$45)="",C318&lt;IF('Исходные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данные'!$B$45)),1),B318,"m")/12))*IF(AND(B318&lt;=IF('Исходные данные'!$B$45="",'Исходные данные'!$B$10,'Исходные данные'!$B$45),C318&gt;=IF('Исходные данные'!$B$45="",'Исходные данные'!$B$10,'Исходные данные'!$B$45)),(C318-IF('Исходные данные'!$B$45="",'Исходные данные'!$B$10,'Исходные данные'!$B$45)+1)/DAY(C318),1)*IF('Исходные данные'!$B$43="Без НДС",1+N('Исходные данные'!$B$44),1))</f>
        <v>0</v>
      </c>
      <c r="P318">
        <f>IF('Исходные данные'!$B$51="Да",-O318*N('Исходные данные'!$B$44)/(1+N('Исходные данные'!$B$44)),0)</f>
        <v>0</v>
      </c>
      <c r="Q318">
        <f>IF('Исходные данные'!$B$35="Да",-O318,0)</f>
        <v>0</v>
      </c>
      <c r="R318">
        <f>IF(AND('Исходные данные'!$B$51="Да",Q318&gt;0),Q318*N('Исходные данные'!$B$52)/(1+N('Исходные данные'!$B$52)),0)</f>
        <v>0</v>
      </c>
      <c r="S318">
        <f>IF(OR(B318="",IF('Исходные данные'!$B$45="",'Исходные данные'!$B$10,'Исходные данные'!$B$45)="",C318&lt;IF('Исходные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данные'!$B$45)),1),B318,"m")/12))*IF(AND(B318&lt;=IF('Исходные данные'!$B$45="",'Исходные данные'!$B$10,'Исходные данные'!$B$45),C318&gt;=IF('Исходные данные'!$B$45="",'Исходные данные'!$B$10,'Исходные данные'!$B$45)),(C318-IF('Исходные данные'!$B$45="",'Исходные данные'!$B$10,'Исходные данные'!$B$45)+1)/DAY(C318),1)*IF('Исходные данные'!$B$43="Без НДС",1+N('Исходные данные'!$B$44),1))</f>
        <v>0</v>
      </c>
      <c r="T318">
        <f>IF('Исходные данные'!$B$51="Да",-S318*N('Исходные данные'!$B$44)/(1+N('Исходные данные'!$B$44)),0)</f>
        <v>0</v>
      </c>
      <c r="U318">
        <f>IF('Исходные данные'!$B$36="Да",-S318,0)</f>
        <v>0</v>
      </c>
      <c r="V318">
        <f>IF(AND('Исходные данные'!$B$51="Да",U318&gt;0),U318*N('Исходные данные'!$B$52)/(1+N('Исходные данные'!$B$52)),0)</f>
        <v>0</v>
      </c>
      <c r="W318">
        <f>IF(OR(B318="",IF('Исходные данные'!$B$69="",'Исходные данные'!$B$10,'Исходные данные'!$B$69)="",C318&lt;IF('Исходные данные'!$B$69="",'Исходные данные'!$B$10,'Исходные данные'!$B$69)),0,-N('Исходные данные'!$B$16)*N('Исходные данные'!$B$68)*N('Исходные данные'!$B$67)/12*IF(AND(B318&lt;=IF('Исходные данные'!$B$69="",'Исходные данные'!$B$10,'Исходные данные'!$B$69),C318&gt;=IF('Исходные данные'!$B$69="",'Исходные данные'!$B$10,'Исходные данные'!$B$69)),(C318-IF('Исходные данные'!$B$69="",'Исходные данные'!$B$10,'Исходные данные'!$B$69)+1)/DAY(C318),1))</f>
        <v>0</v>
      </c>
      <c r="X318">
        <f>IF(OR(B318="",IF('Исходные данные'!$B$76="",'Исходные данные'!$B$10,'Исходные данные'!$B$76)="",C318&lt;IF('Исходные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данные'!$B$76)),1),B318,"m")/12))*IF(AND(B318&lt;=IF('Исходные данные'!$B$76="",'Исходные данные'!$B$10,'Исходные данные'!$B$76),C318&gt;=IF('Исходные данные'!$B$76="",'Исходные данные'!$B$10,'Исходные данные'!$B$76)),(C318-IF('Исходные данные'!$B$76="",'Исходные данные'!$B$10,'Исходные данные'!$B$76)+1)/DAY(C318),1))</f>
        <v>0</v>
      </c>
      <c r="Y318">
        <f t="shared" si="169"/>
        <v>0</v>
      </c>
      <c r="Z318">
        <f>IF(OR(B318="",N('Исходные данные'!$B$19)=0),0,-SUMIFS('Исходные данные'!$I$6:$I$186,'Исходные данные'!$F$6:$F$186,B318)*N('Исходные данные'!$B$17)/N('Исходные данные'!$B$19))</f>
        <v>0</v>
      </c>
      <c r="AA318">
        <f>IF(OR(B318="",N('Исходные данные'!$B$19)=0),0,-SUMIFS('Исходные данные'!$I$6:$I$186,'Исходные данные'!$F$6:$F$186,B318)*N('Исходные данные'!$B$18)/N('Исходные данные'!$B$19))</f>
        <v>0</v>
      </c>
      <c r="AB318">
        <f>IF(OR(B318="",'Исходные данные'!$B$13=""),0,IF(AND(YEAR(B318)=YEAR('Исходные данные'!$B$13),MONTH(B318)=MONTH('Исходные данные'!$B$13)),-N('Исходные данные'!$B$11),0))</f>
        <v>0</v>
      </c>
      <c r="AC318">
        <f>IF(A318=1,-N('Исходные данные'!$B$19)*N('Исходные данные'!$B$72),0)</f>
        <v>0</v>
      </c>
      <c r="AD318">
        <f>IF(OR(B318="",'Исходные данные'!$B$22&lt;&gt;"Да",'Исходные данные'!$B$26=""),0,IF(AND(YEAR(B318)=YEAR('Исходные данные'!$B$26),MONTH(B318)=MONTH('Исходные данные'!$B$26)),N('Исходные данные'!$B$23),0))</f>
        <v>0</v>
      </c>
      <c r="AE318">
        <f t="shared" si="152"/>
        <v>0</v>
      </c>
      <c r="AF318">
        <f>IF(OR('Исходные данные'!$B$22&lt;&gt;"Да",'Исходные данные'!$B$26="",C318&lt;'Исходные данные'!$B$26),0,DATEDIF(DATE(YEAR('Исходные данные'!$B$26),MONTH('Исходные данные'!$B$26),1),B318,"m")+1)</f>
        <v>0</v>
      </c>
      <c r="AG318">
        <f>IF(OR(AF318&lt;1,AF318&gt;N('Исходные данные'!$B$25),AE318+AD318&lt;=0),0,-(AE318+AD318)*N('Исходные данные'!$B$24)*IF(AF318=1,C318-'Исходные данные'!$B$26+1,DAY(C318))/365)</f>
        <v>0</v>
      </c>
      <c r="AH318">
        <f>IF(OR(AF318&lt;1,AF318&gt;N('Исходные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данные'!$B$25)-AG318))</f>
        <v>0</v>
      </c>
      <c r="AI318">
        <f>IF(OR('Исходные данные'!$B$22&lt;&gt;"Да",AE318+AD318&lt;=0),0,IF(AND('Исходные данные'!$B$91&lt;&gt;"",B318&lt;&gt;"",YEAR(B318)=YEAR('Исходные данные'!$B$91),MONTH(B318)=MONTH('Исходные данные'!$B$91)),-(AE318+AD318),IF(OR(AF318&lt;1,AF318&gt;N('Исходные данные'!$B$25)),0,IF('Исходные данные'!$B$27="Равными долями",-MIN(AE318+AD318,N('Исходные данные'!$B$23)/N('Исходные данные'!$B$25)),-MIN(AE318+AD318,IF(AF318=N('Исходные данные'!$B$25),AE318+AD318,MAX(0,AH318+AG318)))))))</f>
        <v>0</v>
      </c>
      <c r="AJ318">
        <f t="shared" si="170"/>
        <v>0</v>
      </c>
      <c r="AK318">
        <f t="shared" si="153"/>
        <v>0</v>
      </c>
      <c r="AL318">
        <f>IF(OR(B318="",'Исходные данные'!$B$51&lt;&gt;"Да",'Исходные данные'!$B$61=""),0,IF(AND(YEAR(B318)=YEAR('Исходные данные'!$B$61),MONTH(B318)=MONTH('Исходные данные'!$B$61)),N('Исходные данные'!$B$18)*N('Исходные данные'!$B$62),0))</f>
        <v>0</v>
      </c>
      <c r="AM318">
        <f t="shared" si="154"/>
        <v>0</v>
      </c>
      <c r="AN318">
        <f t="shared" si="155"/>
        <v>0</v>
      </c>
      <c r="AO318">
        <f t="shared" si="156"/>
        <v>0</v>
      </c>
      <c r="AP318">
        <f>IF('Исходные данные'!$B$51="Да",-MAX(0,AN318-AO318-AM318),0)</f>
        <v>0</v>
      </c>
      <c r="AQ318">
        <f>IF('Исходные данные'!$B$51="Да",MAX(0,AM318+AO318-AN318),0)</f>
        <v>0</v>
      </c>
      <c r="AR318">
        <f>IF('Исходные данные'!$B$53="Выручка",MAX(0,L318+(Q318-R318)+(U318-V318)),IF('Исходные данные'!$B$53="Прибыль до налога",MAX(0,L318+(Q318-R318)+(U318-V318)+N('Исходные данные'!$B$54)*((O318+P318)+(S318+T318)+W318+X318)+IF('Исходные данные'!$B$55="Да",AG318,0)-N('Исходные данные'!$B$56)/12),IF('Исходные данные'!$B$53="Пользовательская база",MAX(0,N('Исходные данные'!$B$57)/12),0)))</f>
        <v>0</v>
      </c>
      <c r="AS318">
        <f>IF(E318=1,-AR318*N('Исходные данные'!$B$50),0)</f>
        <v>0</v>
      </c>
      <c r="AT318">
        <f t="shared" si="157"/>
        <v>0</v>
      </c>
      <c r="AU318">
        <f>IF(OR(B318="",N('Исходные данные'!$B$80)&lt;=0,'Исходные данные'!$B$88=""),0,MAX(0,IF('Исходные данные'!$B$88="Последние 12 месяцев",SUMIFS($Y$2:$Y$194,$B$2:$B$194,"&gt;="&amp;EDATE(B318,-11),$B$2:$B$194,"&lt;="&amp;B318),IF('Исходные данные'!$B$88="Пользовательский NOI",N('Исходные данные'!$B$89),AT318))/N('Исходные данные'!$B$80)*(1+N('Исходные данные'!$B$81))))</f>
        <v>0</v>
      </c>
      <c r="AV318">
        <f>IF(OR(E318&lt;&gt;1,B318="",'Исходные данные'!$B$91=""),0,IF(AND(YEAR(B318)=YEAR('Исходные данные'!$B$91),MONTH(B318)=MONTH('Исходные данные'!$B$91)),AU318,0))</f>
        <v>0</v>
      </c>
      <c r="AW318">
        <f>-AV318*N('Исходные данные'!$B$73)</f>
        <v>0</v>
      </c>
      <c r="AX318">
        <f>IF(AV318=0,0,-N('Исходные данные'!$B$87)-IF('Исходные данные'!$B$82="Да",IF('Исходные данные'!$B$84="С выручки",AV318,IF('Исходные данные'!$B$84="С прибыли",MAX(0,AV318+AW318-IF('Исходные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18">
        <f t="shared" si="171"/>
        <v>0</v>
      </c>
      <c r="AZ318">
        <f t="shared" si="158"/>
        <v>0</v>
      </c>
      <c r="BA318">
        <f t="shared" si="172"/>
        <v>0</v>
      </c>
      <c r="BB318" t="str">
        <f t="shared" si="159"/>
        <v/>
      </c>
      <c r="BC318">
        <f>IF(OR(E318=0,'Исходные данные'!$B$9="",'Исходные данные'!$B$90=""),0,BA318/(1+'Исходные данные'!$B$90)^((D318-'Исходные данные'!$B$9)/365))</f>
        <v>0</v>
      </c>
      <c r="BD318">
        <f>IF(AND(E318=1,BB318&gt;=0,BB317&lt;0,MIN($BB$2:BB318)&lt;0),1,0)</f>
        <v>0</v>
      </c>
      <c r="BE318">
        <f t="shared" si="160"/>
        <v>0</v>
      </c>
      <c r="BF318">
        <f t="shared" si="161"/>
        <v>0</v>
      </c>
      <c r="BG318">
        <f t="shared" si="162"/>
        <v>0</v>
      </c>
      <c r="BH318">
        <f t="shared" si="163"/>
        <v>1</v>
      </c>
      <c r="BI318">
        <f>AZ318+N318+AP318-AR318*N('Исходные данные'!$B$50)</f>
        <v>0</v>
      </c>
      <c r="BJ318">
        <f t="shared" si="164"/>
        <v>0</v>
      </c>
      <c r="BK318">
        <f>IF(AND(BJ318&gt;=0,BJ317&lt;0,MIN($BJ$2:BJ318)&lt;0),1,0)</f>
        <v>0</v>
      </c>
    </row>
    <row r="319" spans="1:63" x14ac:dyDescent="0.2">
      <c r="A319">
        <v>318</v>
      </c>
      <c r="B319" t="str">
        <f>IF('Исходные данные'!$B$9="","",EDATE(DATE(YEAR('Исходные данные'!$B$9),MONTH('Исходные данные'!$B$9),1),A319-1))</f>
        <v/>
      </c>
      <c r="C319" t="str">
        <f t="shared" si="165"/>
        <v/>
      </c>
      <c r="D319" t="str">
        <f>IF(B319="","",IF('Исходные данные'!$B$91&lt;&gt;"",IF(AND(YEAR(B319)=YEAR('Исходные данные'!$B$91),MONTH(B319)=MONTH('Исходные данные'!$B$91)),'Исходные данные'!$B$91,IF('Исходные данные'!$B$13&lt;&gt;"",IF(AND(YEAR(B319)=YEAR('Исходные данные'!$B$13),MONTH(B319)=MONTH('Исходные данные'!$B$13)),'Исходные данные'!$B$13,IF('Исходные данные'!$B$26&lt;&gt;"",IF(AND(YEAR(B319)=YEAR('Исходные данные'!$B$26),MONTH(B319)=MONTH('Исходные данные'!$B$26)),'Исходные данные'!$B$26,IF(A319=1,'Исходные данные'!$B$9,C319)),IF(A319=1,'Исходные данные'!$B$9,C319))),IF('Исходные данные'!$B$26&lt;&gt;"",IF(AND(YEAR(B319)=YEAR('Исходные данные'!$B$26),MONTH(B319)=MONTH('Исходные данные'!$B$26)),'Исходные данные'!$B$26,IF(A319=1,'Исходные данные'!$B$9,C319)),IF(A319=1,'Исходные данные'!$B$9,C319)))),IF('Исходные данные'!$B$13&lt;&gt;"",IF(AND(YEAR(B319)=YEAR('Исходные данные'!$B$13),MONTH(B319)=MONTH('Исходные данные'!$B$13)),'Исходные данные'!$B$13,IF('Исходные данные'!$B$26&lt;&gt;"",IF(AND(YEAR(B319)=YEAR('Исходные данные'!$B$26),MONTH(B319)=MONTH('Исходные данные'!$B$26)),'Исходные данные'!$B$26,IF(A319=1,'Исходные данные'!$B$9,C319)),IF(A319=1,'Исходные данные'!$B$9,C319))),IF('Исходные данные'!$B$26&lt;&gt;"",IF(AND(YEAR(B319)=YEAR('Исходные данные'!$B$26),MONTH(B319)=MONTH('Исходные данные'!$B$26)),'Исходные данные'!$B$26,IF(A319=1,'Исходные данные'!$B$9,C319)),IF(A319=1,'Исходные данные'!$B$9,C319)))))</f>
        <v/>
      </c>
      <c r="E319">
        <f>IF(OR(B319="",'Исходные данные'!$B$91=""),0,--(B319&lt;=DATE(YEAR('Исходные данные'!$B$91),MONTH('Исходные данные'!$B$91),1)))</f>
        <v>0</v>
      </c>
      <c r="F319">
        <f>IF(OR(B319="",'Исходные данные'!$B$30="",C319&lt;'Исходные данные'!$B$30),0,DATEDIF(DATE(YEAR('Исходные данные'!$B$30),MONTH('Исходные данные'!$B$30),1),B319,"m")+1)</f>
        <v>0</v>
      </c>
      <c r="G319">
        <f t="shared" si="166"/>
        <v>0</v>
      </c>
      <c r="H319">
        <f>IF(F319=0,0,IF(G319=1,N('Исходные данные'!$B$31),IF(G319=2,N('Исходные данные'!$B$32),IF(G319=3,N('Исходные данные'!$B$33),N('Исходные данные'!$B$33)*(1+N('Исходные данные'!$B$34))^(G319-3)))))</f>
        <v>0</v>
      </c>
      <c r="I319">
        <f>IF(OR(F319=0,N('Исходные данные'!$B$5)=0,H319=0),0,'Исходные данные'!$B$5*H319*IF(AND(B319&lt;='Исходные данные'!$B$30,C319&gt;='Исходные данные'!$B$30),(C319-'Исходные данные'!$B$30+1)/DAY(C319),1))</f>
        <v>0</v>
      </c>
      <c r="J319">
        <f>IF(AND(F319&gt;0,F319&lt;=N('Исходные данные'!$B$37)),-I319,0)</f>
        <v>0</v>
      </c>
      <c r="K319">
        <f>IF(OR(F319=0,F319&lt;=N('Исходные данные'!$B$37)),0,-(I319+J319)*N('Исходные данные'!$B$38))</f>
        <v>0</v>
      </c>
      <c r="L319">
        <f t="shared" si="167"/>
        <v>0</v>
      </c>
      <c r="M319">
        <f>IF('Исходные данные'!$B$51="Да",L319*N('Исходные данные'!$B$52),0)</f>
        <v>0</v>
      </c>
      <c r="N319">
        <f t="shared" si="168"/>
        <v>0</v>
      </c>
      <c r="O319">
        <f>IF(OR(B319="",IF('Исходные данные'!$B$45="",'Исходные данные'!$B$10,'Исходные данные'!$B$45)="",C319&lt;IF('Исходные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данные'!$B$45)),1),B319,"m")/12))*IF(AND(B319&lt;=IF('Исходные данные'!$B$45="",'Исходные данные'!$B$10,'Исходные данные'!$B$45),C319&gt;=IF('Исходные данные'!$B$45="",'Исходные данные'!$B$10,'Исходные данные'!$B$45)),(C319-IF('Исходные данные'!$B$45="",'Исходные данные'!$B$10,'Исходные данные'!$B$45)+1)/DAY(C319),1)*IF('Исходные данные'!$B$43="Без НДС",1+N('Исходные данные'!$B$44),1))</f>
        <v>0</v>
      </c>
      <c r="P319">
        <f>IF('Исходные данные'!$B$51="Да",-O319*N('Исходные данные'!$B$44)/(1+N('Исходные данные'!$B$44)),0)</f>
        <v>0</v>
      </c>
      <c r="Q319">
        <f>IF('Исходные данные'!$B$35="Да",-O319,0)</f>
        <v>0</v>
      </c>
      <c r="R319">
        <f>IF(AND('Исходные данные'!$B$51="Да",Q319&gt;0),Q319*N('Исходные данные'!$B$52)/(1+N('Исходные данные'!$B$52)),0)</f>
        <v>0</v>
      </c>
      <c r="S319">
        <f>IF(OR(B319="",IF('Исходные данные'!$B$45="",'Исходные данные'!$B$10,'Исходные данные'!$B$45)="",C319&lt;IF('Исходные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данные'!$B$45)),1),B319,"m")/12))*IF(AND(B319&lt;=IF('Исходные данные'!$B$45="",'Исходные данные'!$B$10,'Исходные данные'!$B$45),C319&gt;=IF('Исходные данные'!$B$45="",'Исходные данные'!$B$10,'Исходные данные'!$B$45)),(C319-IF('Исходные данные'!$B$45="",'Исходные данные'!$B$10,'Исходные данные'!$B$45)+1)/DAY(C319),1)*IF('Исходные данные'!$B$43="Без НДС",1+N('Исходные данные'!$B$44),1))</f>
        <v>0</v>
      </c>
      <c r="T319">
        <f>IF('Исходные данные'!$B$51="Да",-S319*N('Исходные данные'!$B$44)/(1+N('Исходные данные'!$B$44)),0)</f>
        <v>0</v>
      </c>
      <c r="U319">
        <f>IF('Исходные данные'!$B$36="Да",-S319,0)</f>
        <v>0</v>
      </c>
      <c r="V319">
        <f>IF(AND('Исходные данные'!$B$51="Да",U319&gt;0),U319*N('Исходные данные'!$B$52)/(1+N('Исходные данные'!$B$52)),0)</f>
        <v>0</v>
      </c>
      <c r="W319">
        <f>IF(OR(B319="",IF('Исходные данные'!$B$69="",'Исходные данные'!$B$10,'Исходные данные'!$B$69)="",C319&lt;IF('Исходные данные'!$B$69="",'Исходные данные'!$B$10,'Исходные данные'!$B$69)),0,-N('Исходные данные'!$B$16)*N('Исходные данные'!$B$68)*N('Исходные данные'!$B$67)/12*IF(AND(B319&lt;=IF('Исходные данные'!$B$69="",'Исходные данные'!$B$10,'Исходные данные'!$B$69),C319&gt;=IF('Исходные данные'!$B$69="",'Исходные данные'!$B$10,'Исходные данные'!$B$69)),(C319-IF('Исходные данные'!$B$69="",'Исходные данные'!$B$10,'Исходные данные'!$B$69)+1)/DAY(C319),1))</f>
        <v>0</v>
      </c>
      <c r="X319">
        <f>IF(OR(B319="",IF('Исходные данные'!$B$76="",'Исходные данные'!$B$10,'Исходные данные'!$B$76)="",C319&lt;IF('Исходные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данные'!$B$76)),1),B319,"m")/12))*IF(AND(B319&lt;=IF('Исходные данные'!$B$76="",'Исходные данные'!$B$10,'Исходные данные'!$B$76),C319&gt;=IF('Исходные данные'!$B$76="",'Исходные данные'!$B$10,'Исходные данные'!$B$76)),(C319-IF('Исходные данные'!$B$76="",'Исходные данные'!$B$10,'Исходные данные'!$B$76)+1)/DAY(C319),1))</f>
        <v>0</v>
      </c>
      <c r="Y319">
        <f t="shared" si="169"/>
        <v>0</v>
      </c>
      <c r="Z319">
        <f>IF(OR(B319="",N('Исходные данные'!$B$19)=0),0,-SUMIFS('Исходные данные'!$I$6:$I$186,'Исходные данные'!$F$6:$F$186,B319)*N('Исходные данные'!$B$17)/N('Исходные данные'!$B$19))</f>
        <v>0</v>
      </c>
      <c r="AA319">
        <f>IF(OR(B319="",N('Исходные данные'!$B$19)=0),0,-SUMIFS('Исходные данные'!$I$6:$I$186,'Исходные данные'!$F$6:$F$186,B319)*N('Исходные данные'!$B$18)/N('Исходные данные'!$B$19))</f>
        <v>0</v>
      </c>
      <c r="AB319">
        <f>IF(OR(B319="",'Исходные данные'!$B$13=""),0,IF(AND(YEAR(B319)=YEAR('Исходные данные'!$B$13),MONTH(B319)=MONTH('Исходные данные'!$B$13)),-N('Исходные данные'!$B$11),0))</f>
        <v>0</v>
      </c>
      <c r="AC319">
        <f>IF(A319=1,-N('Исходные данные'!$B$19)*N('Исходные данные'!$B$72),0)</f>
        <v>0</v>
      </c>
      <c r="AD319">
        <f>IF(OR(B319="",'Исходные данные'!$B$22&lt;&gt;"Да",'Исходные данные'!$B$26=""),0,IF(AND(YEAR(B319)=YEAR('Исходные данные'!$B$26),MONTH(B319)=MONTH('Исходные данные'!$B$26)),N('Исходные данные'!$B$23),0))</f>
        <v>0</v>
      </c>
      <c r="AE319">
        <f t="shared" si="152"/>
        <v>0</v>
      </c>
      <c r="AF319">
        <f>IF(OR('Исходные данные'!$B$22&lt;&gt;"Да",'Исходные данные'!$B$26="",C319&lt;'Исходные данные'!$B$26),0,DATEDIF(DATE(YEAR('Исходные данные'!$B$26),MONTH('Исходные данные'!$B$26),1),B319,"m")+1)</f>
        <v>0</v>
      </c>
      <c r="AG319">
        <f>IF(OR(AF319&lt;1,AF319&gt;N('Исходные данные'!$B$25),AE319+AD319&lt;=0),0,-(AE319+AD319)*N('Исходные данные'!$B$24)*IF(AF319=1,C319-'Исходные данные'!$B$26+1,DAY(C319))/365)</f>
        <v>0</v>
      </c>
      <c r="AH319">
        <f>IF(OR(AF319&lt;1,AF319&gt;N('Исходные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данные'!$B$25)-AG319))</f>
        <v>0</v>
      </c>
      <c r="AI319">
        <f>IF(OR('Исходные данные'!$B$22&lt;&gt;"Да",AE319+AD319&lt;=0),0,IF(AND('Исходные данные'!$B$91&lt;&gt;"",B319&lt;&gt;"",YEAR(B319)=YEAR('Исходные данные'!$B$91),MONTH(B319)=MONTH('Исходные данные'!$B$91)),-(AE319+AD319),IF(OR(AF319&lt;1,AF319&gt;N('Исходные данные'!$B$25)),0,IF('Исходные данные'!$B$27="Равными долями",-MIN(AE319+AD319,N('Исходные данные'!$B$23)/N('Исходные данные'!$B$25)),-MIN(AE319+AD319,IF(AF319=N('Исходные данные'!$B$25),AE319+AD319,MAX(0,AH319+AG319)))))))</f>
        <v>0</v>
      </c>
      <c r="AJ319">
        <f t="shared" si="170"/>
        <v>0</v>
      </c>
      <c r="AK319">
        <f t="shared" si="153"/>
        <v>0</v>
      </c>
      <c r="AL319">
        <f>IF(OR(B319="",'Исходные данные'!$B$51&lt;&gt;"Да",'Исходные данные'!$B$61=""),0,IF(AND(YEAR(B319)=YEAR('Исходные данные'!$B$61),MONTH(B319)=MONTH('Исходные данные'!$B$61)),N('Исходные данные'!$B$18)*N('Исходные данные'!$B$62),0))</f>
        <v>0</v>
      </c>
      <c r="AM319">
        <f t="shared" si="154"/>
        <v>0</v>
      </c>
      <c r="AN319">
        <f t="shared" si="155"/>
        <v>0</v>
      </c>
      <c r="AO319">
        <f t="shared" si="156"/>
        <v>0</v>
      </c>
      <c r="AP319">
        <f>IF('Исходные данные'!$B$51="Да",-MAX(0,AN319-AO319-AM319),0)</f>
        <v>0</v>
      </c>
      <c r="AQ319">
        <f>IF('Исходные данные'!$B$51="Да",MAX(0,AM319+AO319-AN319),0)</f>
        <v>0</v>
      </c>
      <c r="AR319">
        <f>IF('Исходные данные'!$B$53="Выручка",MAX(0,L319+(Q319-R319)+(U319-V319)),IF('Исходные данные'!$B$53="Прибыль до налога",MAX(0,L319+(Q319-R319)+(U319-V319)+N('Исходные данные'!$B$54)*((O319+P319)+(S319+T319)+W319+X319)+IF('Исходные данные'!$B$55="Да",AG319,0)-N('Исходные данные'!$B$56)/12),IF('Исходные данные'!$B$53="Пользовательская база",MAX(0,N('Исходные данные'!$B$57)/12),0)))</f>
        <v>0</v>
      </c>
      <c r="AS319">
        <f>IF(E319=1,-AR319*N('Исходные данные'!$B$50),0)</f>
        <v>0</v>
      </c>
      <c r="AT319">
        <f t="shared" si="157"/>
        <v>0</v>
      </c>
      <c r="AU319">
        <f>IF(OR(B319="",N('Исходные данные'!$B$80)&lt;=0,'Исходные данные'!$B$88=""),0,MAX(0,IF('Исходные данные'!$B$88="Последние 12 месяцев",SUMIFS($Y$2:$Y$194,$B$2:$B$194,"&gt;="&amp;EDATE(B319,-11),$B$2:$B$194,"&lt;="&amp;B319),IF('Исходные данные'!$B$88="Пользовательский NOI",N('Исходные данные'!$B$89),AT319))/N('Исходные данные'!$B$80)*(1+N('Исходные данные'!$B$81))))</f>
        <v>0</v>
      </c>
      <c r="AV319">
        <f>IF(OR(E319&lt;&gt;1,B319="",'Исходные данные'!$B$91=""),0,IF(AND(YEAR(B319)=YEAR('Исходные данные'!$B$91),MONTH(B319)=MONTH('Исходные данные'!$B$91)),AU319,0))</f>
        <v>0</v>
      </c>
      <c r="AW319">
        <f>-AV319*N('Исходные данные'!$B$73)</f>
        <v>0</v>
      </c>
      <c r="AX319">
        <f>IF(AV319=0,0,-N('Исходные данные'!$B$87)-IF('Исходные данные'!$B$82="Да",IF('Исходные данные'!$B$84="С выручки",AV319,IF('Исходные данные'!$B$84="С прибыли",MAX(0,AV319+AW319-IF('Исходные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19">
        <f t="shared" si="171"/>
        <v>0</v>
      </c>
      <c r="AZ319">
        <f t="shared" si="158"/>
        <v>0</v>
      </c>
      <c r="BA319">
        <f t="shared" si="172"/>
        <v>0</v>
      </c>
      <c r="BB319" t="str">
        <f t="shared" si="159"/>
        <v/>
      </c>
      <c r="BC319">
        <f>IF(OR(E319=0,'Исходные данные'!$B$9="",'Исходные данные'!$B$90=""),0,BA319/(1+'Исходные данные'!$B$90)^((D319-'Исходные данные'!$B$9)/365))</f>
        <v>0</v>
      </c>
      <c r="BD319">
        <f>IF(AND(E319=1,BB319&gt;=0,BB318&lt;0,MIN($BB$2:BB319)&lt;0),1,0)</f>
        <v>0</v>
      </c>
      <c r="BE319">
        <f t="shared" si="160"/>
        <v>0</v>
      </c>
      <c r="BF319">
        <f t="shared" si="161"/>
        <v>0</v>
      </c>
      <c r="BG319">
        <f t="shared" si="162"/>
        <v>0</v>
      </c>
      <c r="BH319">
        <f t="shared" si="163"/>
        <v>1</v>
      </c>
      <c r="BI319">
        <f>AZ319+N319+AP319-AR319*N('Исходные данные'!$B$50)</f>
        <v>0</v>
      </c>
      <c r="BJ319">
        <f t="shared" si="164"/>
        <v>0</v>
      </c>
      <c r="BK319">
        <f>IF(AND(BJ319&gt;=0,BJ318&lt;0,MIN($BJ$2:BJ319)&lt;0),1,0)</f>
        <v>0</v>
      </c>
    </row>
    <row r="320" spans="1:63" x14ac:dyDescent="0.2">
      <c r="A320">
        <v>319</v>
      </c>
      <c r="B320" t="str">
        <f>IF('Исходные данные'!$B$9="","",EDATE(DATE(YEAR('Исходные данные'!$B$9),MONTH('Исходные данные'!$B$9),1),A320-1))</f>
        <v/>
      </c>
      <c r="C320" t="str">
        <f t="shared" si="165"/>
        <v/>
      </c>
      <c r="D320" t="str">
        <f>IF(B320="","",IF('Исходные данные'!$B$91&lt;&gt;"",IF(AND(YEAR(B320)=YEAR('Исходные данные'!$B$91),MONTH(B320)=MONTH('Исходные данные'!$B$91)),'Исходные данные'!$B$91,IF('Исходные данные'!$B$13&lt;&gt;"",IF(AND(YEAR(B320)=YEAR('Исходные данные'!$B$13),MONTH(B320)=MONTH('Исходные данные'!$B$13)),'Исходные данные'!$B$13,IF('Исходные данные'!$B$26&lt;&gt;"",IF(AND(YEAR(B320)=YEAR('Исходные данные'!$B$26),MONTH(B320)=MONTH('Исходные данные'!$B$26)),'Исходные данные'!$B$26,IF(A320=1,'Исходные данные'!$B$9,C320)),IF(A320=1,'Исходные данные'!$B$9,C320))),IF('Исходные данные'!$B$26&lt;&gt;"",IF(AND(YEAR(B320)=YEAR('Исходные данные'!$B$26),MONTH(B320)=MONTH('Исходные данные'!$B$26)),'Исходные данные'!$B$26,IF(A320=1,'Исходные данные'!$B$9,C320)),IF(A320=1,'Исходные данные'!$B$9,C320)))),IF('Исходные данные'!$B$13&lt;&gt;"",IF(AND(YEAR(B320)=YEAR('Исходные данные'!$B$13),MONTH(B320)=MONTH('Исходные данные'!$B$13)),'Исходные данные'!$B$13,IF('Исходные данные'!$B$26&lt;&gt;"",IF(AND(YEAR(B320)=YEAR('Исходные данные'!$B$26),MONTH(B320)=MONTH('Исходные данные'!$B$26)),'Исходные данные'!$B$26,IF(A320=1,'Исходные данные'!$B$9,C320)),IF(A320=1,'Исходные данные'!$B$9,C320))),IF('Исходные данные'!$B$26&lt;&gt;"",IF(AND(YEAR(B320)=YEAR('Исходные данные'!$B$26),MONTH(B320)=MONTH('Исходные данные'!$B$26)),'Исходные данные'!$B$26,IF(A320=1,'Исходные данные'!$B$9,C320)),IF(A320=1,'Исходные данные'!$B$9,C320)))))</f>
        <v/>
      </c>
      <c r="E320">
        <f>IF(OR(B320="",'Исходные данные'!$B$91=""),0,--(B320&lt;=DATE(YEAR('Исходные данные'!$B$91),MONTH('Исходные данные'!$B$91),1)))</f>
        <v>0</v>
      </c>
      <c r="F320">
        <f>IF(OR(B320="",'Исходные данные'!$B$30="",C320&lt;'Исходные данные'!$B$30),0,DATEDIF(DATE(YEAR('Исходные данные'!$B$30),MONTH('Исходные данные'!$B$30),1),B320,"m")+1)</f>
        <v>0</v>
      </c>
      <c r="G320">
        <f t="shared" si="166"/>
        <v>0</v>
      </c>
      <c r="H320">
        <f>IF(F320=0,0,IF(G320=1,N('Исходные данные'!$B$31),IF(G320=2,N('Исходные данные'!$B$32),IF(G320=3,N('Исходные данные'!$B$33),N('Исходные данные'!$B$33)*(1+N('Исходные данные'!$B$34))^(G320-3)))))</f>
        <v>0</v>
      </c>
      <c r="I320">
        <f>IF(OR(F320=0,N('Исходные данные'!$B$5)=0,H320=0),0,'Исходные данные'!$B$5*H320*IF(AND(B320&lt;='Исходные данные'!$B$30,C320&gt;='Исходные данные'!$B$30),(C320-'Исходные данные'!$B$30+1)/DAY(C320),1))</f>
        <v>0</v>
      </c>
      <c r="J320">
        <f>IF(AND(F320&gt;0,F320&lt;=N('Исходные данные'!$B$37)),-I320,0)</f>
        <v>0</v>
      </c>
      <c r="K320">
        <f>IF(OR(F320=0,F320&lt;=N('Исходные данные'!$B$37)),0,-(I320+J320)*N('Исходные данные'!$B$38))</f>
        <v>0</v>
      </c>
      <c r="L320">
        <f t="shared" si="167"/>
        <v>0</v>
      </c>
      <c r="M320">
        <f>IF('Исходные данные'!$B$51="Да",L320*N('Исходные данные'!$B$52),0)</f>
        <v>0</v>
      </c>
      <c r="N320">
        <f t="shared" si="168"/>
        <v>0</v>
      </c>
      <c r="O320">
        <f>IF(OR(B320="",IF('Исходные данные'!$B$45="",'Исходные данные'!$B$10,'Исходные данные'!$B$45)="",C320&lt;IF('Исходные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данные'!$B$45)),1),B320,"m")/12))*IF(AND(B320&lt;=IF('Исходные данные'!$B$45="",'Исходные данные'!$B$10,'Исходные данные'!$B$45),C320&gt;=IF('Исходные данные'!$B$45="",'Исходные данные'!$B$10,'Исходные данные'!$B$45)),(C320-IF('Исходные данные'!$B$45="",'Исходные данные'!$B$10,'Исходные данные'!$B$45)+1)/DAY(C320),1)*IF('Исходные данные'!$B$43="Без НДС",1+N('Исходные данные'!$B$44),1))</f>
        <v>0</v>
      </c>
      <c r="P320">
        <f>IF('Исходные данные'!$B$51="Да",-O320*N('Исходные данные'!$B$44)/(1+N('Исходные данные'!$B$44)),0)</f>
        <v>0</v>
      </c>
      <c r="Q320">
        <f>IF('Исходные данные'!$B$35="Да",-O320,0)</f>
        <v>0</v>
      </c>
      <c r="R320">
        <f>IF(AND('Исходные данные'!$B$51="Да",Q320&gt;0),Q320*N('Исходные данные'!$B$52)/(1+N('Исходные данные'!$B$52)),0)</f>
        <v>0</v>
      </c>
      <c r="S320">
        <f>IF(OR(B320="",IF('Исходные данные'!$B$45="",'Исходные данные'!$B$10,'Исходные данные'!$B$45)="",C320&lt;IF('Исходные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данные'!$B$45)),1),B320,"m")/12))*IF(AND(B320&lt;=IF('Исходные данные'!$B$45="",'Исходные данные'!$B$10,'Исходные данные'!$B$45),C320&gt;=IF('Исходные данные'!$B$45="",'Исходные данные'!$B$10,'Исходные данные'!$B$45)),(C320-IF('Исходные данные'!$B$45="",'Исходные данные'!$B$10,'Исходные данные'!$B$45)+1)/DAY(C320),1)*IF('Исходные данные'!$B$43="Без НДС",1+N('Исходные данные'!$B$44),1))</f>
        <v>0</v>
      </c>
      <c r="T320">
        <f>IF('Исходные данные'!$B$51="Да",-S320*N('Исходные данные'!$B$44)/(1+N('Исходные данные'!$B$44)),0)</f>
        <v>0</v>
      </c>
      <c r="U320">
        <f>IF('Исходные данные'!$B$36="Да",-S320,0)</f>
        <v>0</v>
      </c>
      <c r="V320">
        <f>IF(AND('Исходные данные'!$B$51="Да",U320&gt;0),U320*N('Исходные данные'!$B$52)/(1+N('Исходные данные'!$B$52)),0)</f>
        <v>0</v>
      </c>
      <c r="W320">
        <f>IF(OR(B320="",IF('Исходные данные'!$B$69="",'Исходные данные'!$B$10,'Исходные данные'!$B$69)="",C320&lt;IF('Исходные данные'!$B$69="",'Исходные данные'!$B$10,'Исходные данные'!$B$69)),0,-N('Исходные данные'!$B$16)*N('Исходные данные'!$B$68)*N('Исходные данные'!$B$67)/12*IF(AND(B320&lt;=IF('Исходные данные'!$B$69="",'Исходные данные'!$B$10,'Исходные данные'!$B$69),C320&gt;=IF('Исходные данные'!$B$69="",'Исходные данные'!$B$10,'Исходные данные'!$B$69)),(C320-IF('Исходные данные'!$B$69="",'Исходные данные'!$B$10,'Исходные данные'!$B$69)+1)/DAY(C320),1))</f>
        <v>0</v>
      </c>
      <c r="X320">
        <f>IF(OR(B320="",IF('Исходные данные'!$B$76="",'Исходные данные'!$B$10,'Исходные данные'!$B$76)="",C320&lt;IF('Исходные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данные'!$B$76)),1),B320,"m")/12))*IF(AND(B320&lt;=IF('Исходные данные'!$B$76="",'Исходные данные'!$B$10,'Исходные данные'!$B$76),C320&gt;=IF('Исходные данные'!$B$76="",'Исходные данные'!$B$10,'Исходные данные'!$B$76)),(C320-IF('Исходные данные'!$B$76="",'Исходные данные'!$B$10,'Исходные данные'!$B$76)+1)/DAY(C320),1))</f>
        <v>0</v>
      </c>
      <c r="Y320">
        <f t="shared" si="169"/>
        <v>0</v>
      </c>
      <c r="Z320">
        <f>IF(OR(B320="",N('Исходные данные'!$B$19)=0),0,-SUMIFS('Исходные данные'!$I$6:$I$186,'Исходные данные'!$F$6:$F$186,B320)*N('Исходные данные'!$B$17)/N('Исходные данные'!$B$19))</f>
        <v>0</v>
      </c>
      <c r="AA320">
        <f>IF(OR(B320="",N('Исходные данные'!$B$19)=0),0,-SUMIFS('Исходные данные'!$I$6:$I$186,'Исходные данные'!$F$6:$F$186,B320)*N('Исходные данные'!$B$18)/N('Исходные данные'!$B$19))</f>
        <v>0</v>
      </c>
      <c r="AB320">
        <f>IF(OR(B320="",'Исходные данные'!$B$13=""),0,IF(AND(YEAR(B320)=YEAR('Исходные данные'!$B$13),MONTH(B320)=MONTH('Исходные данные'!$B$13)),-N('Исходные данные'!$B$11),0))</f>
        <v>0</v>
      </c>
      <c r="AC320">
        <f>IF(A320=1,-N('Исходные данные'!$B$19)*N('Исходные данные'!$B$72),0)</f>
        <v>0</v>
      </c>
      <c r="AD320">
        <f>IF(OR(B320="",'Исходные данные'!$B$22&lt;&gt;"Да",'Исходные данные'!$B$26=""),0,IF(AND(YEAR(B320)=YEAR('Исходные данные'!$B$26),MONTH(B320)=MONTH('Исходные данные'!$B$26)),N('Исходные данные'!$B$23),0))</f>
        <v>0</v>
      </c>
      <c r="AE320">
        <f t="shared" si="152"/>
        <v>0</v>
      </c>
      <c r="AF320">
        <f>IF(OR('Исходные данные'!$B$22&lt;&gt;"Да",'Исходные данные'!$B$26="",C320&lt;'Исходные данные'!$B$26),0,DATEDIF(DATE(YEAR('Исходные данные'!$B$26),MONTH('Исходные данные'!$B$26),1),B320,"m")+1)</f>
        <v>0</v>
      </c>
      <c r="AG320">
        <f>IF(OR(AF320&lt;1,AF320&gt;N('Исходные данные'!$B$25),AE320+AD320&lt;=0),0,-(AE320+AD320)*N('Исходные данные'!$B$24)*IF(AF320=1,C320-'Исходные данные'!$B$26+1,DAY(C320))/365)</f>
        <v>0</v>
      </c>
      <c r="AH320">
        <f>IF(OR(AF320&lt;1,AF320&gt;N('Исходные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данные'!$B$25)-AG320))</f>
        <v>0</v>
      </c>
      <c r="AI320">
        <f>IF(OR('Исходные данные'!$B$22&lt;&gt;"Да",AE320+AD320&lt;=0),0,IF(AND('Исходные данные'!$B$91&lt;&gt;"",B320&lt;&gt;"",YEAR(B320)=YEAR('Исходные данные'!$B$91),MONTH(B320)=MONTH('Исходные данные'!$B$91)),-(AE320+AD320),IF(OR(AF320&lt;1,AF320&gt;N('Исходные данные'!$B$25)),0,IF('Исходные данные'!$B$27="Равными долями",-MIN(AE320+AD320,N('Исходные данные'!$B$23)/N('Исходные данные'!$B$25)),-MIN(AE320+AD320,IF(AF320=N('Исходные данные'!$B$25),AE320+AD320,MAX(0,AH320+AG320)))))))</f>
        <v>0</v>
      </c>
      <c r="AJ320">
        <f t="shared" si="170"/>
        <v>0</v>
      </c>
      <c r="AK320">
        <f t="shared" si="153"/>
        <v>0</v>
      </c>
      <c r="AL320">
        <f>IF(OR(B320="",'Исходные данные'!$B$51&lt;&gt;"Да",'Исходные данные'!$B$61=""),0,IF(AND(YEAR(B320)=YEAR('Исходные данные'!$B$61),MONTH(B320)=MONTH('Исходные данные'!$B$61)),N('Исходные данные'!$B$18)*N('Исходные данные'!$B$62),0))</f>
        <v>0</v>
      </c>
      <c r="AM320">
        <f t="shared" si="154"/>
        <v>0</v>
      </c>
      <c r="AN320">
        <f t="shared" si="155"/>
        <v>0</v>
      </c>
      <c r="AO320">
        <f t="shared" si="156"/>
        <v>0</v>
      </c>
      <c r="AP320">
        <f>IF('Исходные данные'!$B$51="Да",-MAX(0,AN320-AO320-AM320),0)</f>
        <v>0</v>
      </c>
      <c r="AQ320">
        <f>IF('Исходные данные'!$B$51="Да",MAX(0,AM320+AO320-AN320),0)</f>
        <v>0</v>
      </c>
      <c r="AR320">
        <f>IF('Исходные данные'!$B$53="Выручка",MAX(0,L320+(Q320-R320)+(U320-V320)),IF('Исходные данные'!$B$53="Прибыль до налога",MAX(0,L320+(Q320-R320)+(U320-V320)+N('Исходные данные'!$B$54)*((O320+P320)+(S320+T320)+W320+X320)+IF('Исходные данные'!$B$55="Да",AG320,0)-N('Исходные данные'!$B$56)/12),IF('Исходные данные'!$B$53="Пользовательская база",MAX(0,N('Исходные данные'!$B$57)/12),0)))</f>
        <v>0</v>
      </c>
      <c r="AS320">
        <f>IF(E320=1,-AR320*N('Исходные данные'!$B$50),0)</f>
        <v>0</v>
      </c>
      <c r="AT320">
        <f t="shared" si="157"/>
        <v>0</v>
      </c>
      <c r="AU320">
        <f>IF(OR(B320="",N('Исходные данные'!$B$80)&lt;=0,'Исходные данные'!$B$88=""),0,MAX(0,IF('Исходные данные'!$B$88="Последние 12 месяцев",SUMIFS($Y$2:$Y$194,$B$2:$B$194,"&gt;="&amp;EDATE(B320,-11),$B$2:$B$194,"&lt;="&amp;B320),IF('Исходные данные'!$B$88="Пользовательский NOI",N('Исходные данные'!$B$89),AT320))/N('Исходные данные'!$B$80)*(1+N('Исходные данные'!$B$81))))</f>
        <v>0</v>
      </c>
      <c r="AV320">
        <f>IF(OR(E320&lt;&gt;1,B320="",'Исходные данные'!$B$91=""),0,IF(AND(YEAR(B320)=YEAR('Исходные данные'!$B$91),MONTH(B320)=MONTH('Исходные данные'!$B$91)),AU320,0))</f>
        <v>0</v>
      </c>
      <c r="AW320">
        <f>-AV320*N('Исходные данные'!$B$73)</f>
        <v>0</v>
      </c>
      <c r="AX320">
        <f>IF(AV320=0,0,-N('Исходные данные'!$B$87)-IF('Исходные данные'!$B$82="Да",IF('Исходные данные'!$B$84="С выручки",AV320,IF('Исходные данные'!$B$84="С прибыли",MAX(0,AV320+AW320-IF('Исходные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20">
        <f t="shared" si="171"/>
        <v>0</v>
      </c>
      <c r="AZ320">
        <f t="shared" si="158"/>
        <v>0</v>
      </c>
      <c r="BA320">
        <f t="shared" si="172"/>
        <v>0</v>
      </c>
      <c r="BB320" t="str">
        <f t="shared" si="159"/>
        <v/>
      </c>
      <c r="BC320">
        <f>IF(OR(E320=0,'Исходные данные'!$B$9="",'Исходные данные'!$B$90=""),0,BA320/(1+'Исходные данные'!$B$90)^((D320-'Исходные данные'!$B$9)/365))</f>
        <v>0</v>
      </c>
      <c r="BD320">
        <f>IF(AND(E320=1,BB320&gt;=0,BB319&lt;0,MIN($BB$2:BB320)&lt;0),1,0)</f>
        <v>0</v>
      </c>
      <c r="BE320">
        <f t="shared" si="160"/>
        <v>0</v>
      </c>
      <c r="BF320">
        <f t="shared" si="161"/>
        <v>0</v>
      </c>
      <c r="BG320">
        <f t="shared" si="162"/>
        <v>0</v>
      </c>
      <c r="BH320">
        <f t="shared" si="163"/>
        <v>1</v>
      </c>
      <c r="BI320">
        <f>AZ320+N320+AP320-AR320*N('Исходные данные'!$B$50)</f>
        <v>0</v>
      </c>
      <c r="BJ320">
        <f t="shared" si="164"/>
        <v>0</v>
      </c>
      <c r="BK320">
        <f>IF(AND(BJ320&gt;=0,BJ319&lt;0,MIN($BJ$2:BJ320)&lt;0),1,0)</f>
        <v>0</v>
      </c>
    </row>
    <row r="321" spans="1:63" x14ac:dyDescent="0.2">
      <c r="A321">
        <v>320</v>
      </c>
      <c r="B321" t="str">
        <f>IF('Исходные данные'!$B$9="","",EDATE(DATE(YEAR('Исходные данные'!$B$9),MONTH('Исходные данные'!$B$9),1),A321-1))</f>
        <v/>
      </c>
      <c r="C321" t="str">
        <f t="shared" si="165"/>
        <v/>
      </c>
      <c r="D321" t="str">
        <f>IF(B321="","",IF('Исходные данные'!$B$91&lt;&gt;"",IF(AND(YEAR(B321)=YEAR('Исходные данные'!$B$91),MONTH(B321)=MONTH('Исходные данные'!$B$91)),'Исходные данные'!$B$91,IF('Исходные данные'!$B$13&lt;&gt;"",IF(AND(YEAR(B321)=YEAR('Исходные данные'!$B$13),MONTH(B321)=MONTH('Исходные данные'!$B$13)),'Исходные данные'!$B$13,IF('Исходные данные'!$B$26&lt;&gt;"",IF(AND(YEAR(B321)=YEAR('Исходные данные'!$B$26),MONTH(B321)=MONTH('Исходные данные'!$B$26)),'Исходные данные'!$B$26,IF(A321=1,'Исходные данные'!$B$9,C321)),IF(A321=1,'Исходные данные'!$B$9,C321))),IF('Исходные данные'!$B$26&lt;&gt;"",IF(AND(YEAR(B321)=YEAR('Исходные данные'!$B$26),MONTH(B321)=MONTH('Исходные данные'!$B$26)),'Исходные данные'!$B$26,IF(A321=1,'Исходные данные'!$B$9,C321)),IF(A321=1,'Исходные данные'!$B$9,C321)))),IF('Исходные данные'!$B$13&lt;&gt;"",IF(AND(YEAR(B321)=YEAR('Исходные данные'!$B$13),MONTH(B321)=MONTH('Исходные данные'!$B$13)),'Исходные данные'!$B$13,IF('Исходные данные'!$B$26&lt;&gt;"",IF(AND(YEAR(B321)=YEAR('Исходные данные'!$B$26),MONTH(B321)=MONTH('Исходные данные'!$B$26)),'Исходные данные'!$B$26,IF(A321=1,'Исходные данные'!$B$9,C321)),IF(A321=1,'Исходные данные'!$B$9,C321))),IF('Исходные данные'!$B$26&lt;&gt;"",IF(AND(YEAR(B321)=YEAR('Исходные данные'!$B$26),MONTH(B321)=MONTH('Исходные данные'!$B$26)),'Исходные данные'!$B$26,IF(A321=1,'Исходные данные'!$B$9,C321)),IF(A321=1,'Исходные данные'!$B$9,C321)))))</f>
        <v/>
      </c>
      <c r="E321">
        <f>IF(OR(B321="",'Исходные данные'!$B$91=""),0,--(B321&lt;=DATE(YEAR('Исходные данные'!$B$91),MONTH('Исходные данные'!$B$91),1)))</f>
        <v>0</v>
      </c>
      <c r="F321">
        <f>IF(OR(B321="",'Исходные данные'!$B$30="",C321&lt;'Исходные данные'!$B$30),0,DATEDIF(DATE(YEAR('Исходные данные'!$B$30),MONTH('Исходные данные'!$B$30),1),B321,"m")+1)</f>
        <v>0</v>
      </c>
      <c r="G321">
        <f t="shared" si="166"/>
        <v>0</v>
      </c>
      <c r="H321">
        <f>IF(F321=0,0,IF(G321=1,N('Исходные данные'!$B$31),IF(G321=2,N('Исходные данные'!$B$32),IF(G321=3,N('Исходные данные'!$B$33),N('Исходные данные'!$B$33)*(1+N('Исходные данные'!$B$34))^(G321-3)))))</f>
        <v>0</v>
      </c>
      <c r="I321">
        <f>IF(OR(F321=0,N('Исходные данные'!$B$5)=0,H321=0),0,'Исходные данные'!$B$5*H321*IF(AND(B321&lt;='Исходные данные'!$B$30,C321&gt;='Исходные данные'!$B$30),(C321-'Исходные данные'!$B$30+1)/DAY(C321),1))</f>
        <v>0</v>
      </c>
      <c r="J321">
        <f>IF(AND(F321&gt;0,F321&lt;=N('Исходные данные'!$B$37)),-I321,0)</f>
        <v>0</v>
      </c>
      <c r="K321">
        <f>IF(OR(F321=0,F321&lt;=N('Исходные данные'!$B$37)),0,-(I321+J321)*N('Исходные данные'!$B$38))</f>
        <v>0</v>
      </c>
      <c r="L321">
        <f t="shared" si="167"/>
        <v>0</v>
      </c>
      <c r="M321">
        <f>IF('Исходные данные'!$B$51="Да",L321*N('Исходные данные'!$B$52),0)</f>
        <v>0</v>
      </c>
      <c r="N321">
        <f t="shared" si="168"/>
        <v>0</v>
      </c>
      <c r="O321">
        <f>IF(OR(B321="",IF('Исходные данные'!$B$45="",'Исходные данные'!$B$10,'Исходные данные'!$B$45)="",C321&lt;IF('Исходные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данные'!$B$45)),1),B321,"m")/12))*IF(AND(B321&lt;=IF('Исходные данные'!$B$45="",'Исходные данные'!$B$10,'Исходные данные'!$B$45),C321&gt;=IF('Исходные данные'!$B$45="",'Исходные данные'!$B$10,'Исходные данные'!$B$45)),(C321-IF('Исходные данные'!$B$45="",'Исходные данные'!$B$10,'Исходные данные'!$B$45)+1)/DAY(C321),1)*IF('Исходные данные'!$B$43="Без НДС",1+N('Исходные данные'!$B$44),1))</f>
        <v>0</v>
      </c>
      <c r="P321">
        <f>IF('Исходные данные'!$B$51="Да",-O321*N('Исходные данные'!$B$44)/(1+N('Исходные данные'!$B$44)),0)</f>
        <v>0</v>
      </c>
      <c r="Q321">
        <f>IF('Исходные данные'!$B$35="Да",-O321,0)</f>
        <v>0</v>
      </c>
      <c r="R321">
        <f>IF(AND('Исходные данные'!$B$51="Да",Q321&gt;0),Q321*N('Исходные данные'!$B$52)/(1+N('Исходные данные'!$B$52)),0)</f>
        <v>0</v>
      </c>
      <c r="S321">
        <f>IF(OR(B321="",IF('Исходные данные'!$B$45="",'Исходные данные'!$B$10,'Исходные данные'!$B$45)="",C321&lt;IF('Исходные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данные'!$B$45)),1),B321,"m")/12))*IF(AND(B321&lt;=IF('Исходные данные'!$B$45="",'Исходные данные'!$B$10,'Исходные данные'!$B$45),C321&gt;=IF('Исходные данные'!$B$45="",'Исходные данные'!$B$10,'Исходные данные'!$B$45)),(C321-IF('Исходные данные'!$B$45="",'Исходные данные'!$B$10,'Исходные данные'!$B$45)+1)/DAY(C321),1)*IF('Исходные данные'!$B$43="Без НДС",1+N('Исходные данные'!$B$44),1))</f>
        <v>0</v>
      </c>
      <c r="T321">
        <f>IF('Исходные данные'!$B$51="Да",-S321*N('Исходные данные'!$B$44)/(1+N('Исходные данные'!$B$44)),0)</f>
        <v>0</v>
      </c>
      <c r="U321">
        <f>IF('Исходные данные'!$B$36="Да",-S321,0)</f>
        <v>0</v>
      </c>
      <c r="V321">
        <f>IF(AND('Исходные данные'!$B$51="Да",U321&gt;0),U321*N('Исходные данные'!$B$52)/(1+N('Исходные данные'!$B$52)),0)</f>
        <v>0</v>
      </c>
      <c r="W321">
        <f>IF(OR(B321="",IF('Исходные данные'!$B$69="",'Исходные данные'!$B$10,'Исходные данные'!$B$69)="",C321&lt;IF('Исходные данные'!$B$69="",'Исходные данные'!$B$10,'Исходные данные'!$B$69)),0,-N('Исходные данные'!$B$16)*N('Исходные данные'!$B$68)*N('Исходные данные'!$B$67)/12*IF(AND(B321&lt;=IF('Исходные данные'!$B$69="",'Исходные данные'!$B$10,'Исходные данные'!$B$69),C321&gt;=IF('Исходные данные'!$B$69="",'Исходные данные'!$B$10,'Исходные данные'!$B$69)),(C321-IF('Исходные данные'!$B$69="",'Исходные данные'!$B$10,'Исходные данные'!$B$69)+1)/DAY(C321),1))</f>
        <v>0</v>
      </c>
      <c r="X321">
        <f>IF(OR(B321="",IF('Исходные данные'!$B$76="",'Исходные данные'!$B$10,'Исходные данные'!$B$76)="",C321&lt;IF('Исходные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данные'!$B$76)),1),B321,"m")/12))*IF(AND(B321&lt;=IF('Исходные данные'!$B$76="",'Исходные данные'!$B$10,'Исходные данные'!$B$76),C321&gt;=IF('Исходные данные'!$B$76="",'Исходные данные'!$B$10,'Исходные данные'!$B$76)),(C321-IF('Исходные данные'!$B$76="",'Исходные данные'!$B$10,'Исходные данные'!$B$76)+1)/DAY(C321),1))</f>
        <v>0</v>
      </c>
      <c r="Y321">
        <f t="shared" si="169"/>
        <v>0</v>
      </c>
      <c r="Z321">
        <f>IF(OR(B321="",N('Исходные данные'!$B$19)=0),0,-SUMIFS('Исходные данные'!$I$6:$I$186,'Исходные данные'!$F$6:$F$186,B321)*N('Исходные данные'!$B$17)/N('Исходные данные'!$B$19))</f>
        <v>0</v>
      </c>
      <c r="AA321">
        <f>IF(OR(B321="",N('Исходные данные'!$B$19)=0),0,-SUMIFS('Исходные данные'!$I$6:$I$186,'Исходные данные'!$F$6:$F$186,B321)*N('Исходные данные'!$B$18)/N('Исходные данные'!$B$19))</f>
        <v>0</v>
      </c>
      <c r="AB321">
        <f>IF(OR(B321="",'Исходные данные'!$B$13=""),0,IF(AND(YEAR(B321)=YEAR('Исходные данные'!$B$13),MONTH(B321)=MONTH('Исходные данные'!$B$13)),-N('Исходные данные'!$B$11),0))</f>
        <v>0</v>
      </c>
      <c r="AC321">
        <f>IF(A321=1,-N('Исходные данные'!$B$19)*N('Исходные данные'!$B$72),0)</f>
        <v>0</v>
      </c>
      <c r="AD321">
        <f>IF(OR(B321="",'Исходные данные'!$B$22&lt;&gt;"Да",'Исходные данные'!$B$26=""),0,IF(AND(YEAR(B321)=YEAR('Исходные данные'!$B$26),MONTH(B321)=MONTH('Исходные данные'!$B$26)),N('Исходные данные'!$B$23),0))</f>
        <v>0</v>
      </c>
      <c r="AE321">
        <f t="shared" si="152"/>
        <v>0</v>
      </c>
      <c r="AF321">
        <f>IF(OR('Исходные данные'!$B$22&lt;&gt;"Да",'Исходные данные'!$B$26="",C321&lt;'Исходные данные'!$B$26),0,DATEDIF(DATE(YEAR('Исходные данные'!$B$26),MONTH('Исходные данные'!$B$26),1),B321,"m")+1)</f>
        <v>0</v>
      </c>
      <c r="AG321">
        <f>IF(OR(AF321&lt;1,AF321&gt;N('Исходные данные'!$B$25),AE321+AD321&lt;=0),0,-(AE321+AD321)*N('Исходные данные'!$B$24)*IF(AF321=1,C321-'Исходные данные'!$B$26+1,DAY(C321))/365)</f>
        <v>0</v>
      </c>
      <c r="AH321">
        <f>IF(OR(AF321&lt;1,AF321&gt;N('Исходные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данные'!$B$25)-AG321))</f>
        <v>0</v>
      </c>
      <c r="AI321">
        <f>IF(OR('Исходные данные'!$B$22&lt;&gt;"Да",AE321+AD321&lt;=0),0,IF(AND('Исходные данные'!$B$91&lt;&gt;"",B321&lt;&gt;"",YEAR(B321)=YEAR('Исходные данные'!$B$91),MONTH(B321)=MONTH('Исходные данные'!$B$91)),-(AE321+AD321),IF(OR(AF321&lt;1,AF321&gt;N('Исходные данные'!$B$25)),0,IF('Исходные данные'!$B$27="Равными долями",-MIN(AE321+AD321,N('Исходные данные'!$B$23)/N('Исходные данные'!$B$25)),-MIN(AE321+AD321,IF(AF321=N('Исходные данные'!$B$25),AE321+AD321,MAX(0,AH321+AG321)))))))</f>
        <v>0</v>
      </c>
      <c r="AJ321">
        <f t="shared" si="170"/>
        <v>0</v>
      </c>
      <c r="AK321">
        <f t="shared" si="153"/>
        <v>0</v>
      </c>
      <c r="AL321">
        <f>IF(OR(B321="",'Исходные данные'!$B$51&lt;&gt;"Да",'Исходные данные'!$B$61=""),0,IF(AND(YEAR(B321)=YEAR('Исходные данные'!$B$61),MONTH(B321)=MONTH('Исходные данные'!$B$61)),N('Исходные данные'!$B$18)*N('Исходные данные'!$B$62),0))</f>
        <v>0</v>
      </c>
      <c r="AM321">
        <f t="shared" si="154"/>
        <v>0</v>
      </c>
      <c r="AN321">
        <f t="shared" si="155"/>
        <v>0</v>
      </c>
      <c r="AO321">
        <f t="shared" si="156"/>
        <v>0</v>
      </c>
      <c r="AP321">
        <f>IF('Исходные данные'!$B$51="Да",-MAX(0,AN321-AO321-AM321),0)</f>
        <v>0</v>
      </c>
      <c r="AQ321">
        <f>IF('Исходные данные'!$B$51="Да",MAX(0,AM321+AO321-AN321),0)</f>
        <v>0</v>
      </c>
      <c r="AR321">
        <f>IF('Исходные данные'!$B$53="Выручка",MAX(0,L321+(Q321-R321)+(U321-V321)),IF('Исходные данные'!$B$53="Прибыль до налога",MAX(0,L321+(Q321-R321)+(U321-V321)+N('Исходные данные'!$B$54)*((O321+P321)+(S321+T321)+W321+X321)+IF('Исходные данные'!$B$55="Да",AG321,0)-N('Исходные данные'!$B$56)/12),IF('Исходные данные'!$B$53="Пользовательская база",MAX(0,N('Исходные данные'!$B$57)/12),0)))</f>
        <v>0</v>
      </c>
      <c r="AS321">
        <f>IF(E321=1,-AR321*N('Исходные данные'!$B$50),0)</f>
        <v>0</v>
      </c>
      <c r="AT321">
        <f t="shared" si="157"/>
        <v>0</v>
      </c>
      <c r="AU321">
        <f>IF(OR(B321="",N('Исходные данные'!$B$80)&lt;=0,'Исходные данные'!$B$88=""),0,MAX(0,IF('Исходные данные'!$B$88="Последние 12 месяцев",SUMIFS($Y$2:$Y$194,$B$2:$B$194,"&gt;="&amp;EDATE(B321,-11),$B$2:$B$194,"&lt;="&amp;B321),IF('Исходные данные'!$B$88="Пользовательский NOI",N('Исходные данные'!$B$89),AT321))/N('Исходные данные'!$B$80)*(1+N('Исходные данные'!$B$81))))</f>
        <v>0</v>
      </c>
      <c r="AV321">
        <f>IF(OR(E321&lt;&gt;1,B321="",'Исходные данные'!$B$91=""),0,IF(AND(YEAR(B321)=YEAR('Исходные данные'!$B$91),MONTH(B321)=MONTH('Исходные данные'!$B$91)),AU321,0))</f>
        <v>0</v>
      </c>
      <c r="AW321">
        <f>-AV321*N('Исходные данные'!$B$73)</f>
        <v>0</v>
      </c>
      <c r="AX321">
        <f>IF(AV321=0,0,-N('Исходные данные'!$B$87)-IF('Исходные данные'!$B$82="Да",IF('Исходные данные'!$B$84="С выручки",AV321,IF('Исходные данные'!$B$84="С прибыли",MAX(0,AV321+AW321-IF('Исходные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21">
        <f t="shared" si="171"/>
        <v>0</v>
      </c>
      <c r="AZ321">
        <f t="shared" si="158"/>
        <v>0</v>
      </c>
      <c r="BA321">
        <f t="shared" si="172"/>
        <v>0</v>
      </c>
      <c r="BB321" t="str">
        <f t="shared" si="159"/>
        <v/>
      </c>
      <c r="BC321">
        <f>IF(OR(E321=0,'Исходные данные'!$B$9="",'Исходные данные'!$B$90=""),0,BA321/(1+'Исходные данные'!$B$90)^((D321-'Исходные данные'!$B$9)/365))</f>
        <v>0</v>
      </c>
      <c r="BD321">
        <f>IF(AND(E321=1,BB321&gt;=0,BB320&lt;0,MIN($BB$2:BB321)&lt;0),1,0)</f>
        <v>0</v>
      </c>
      <c r="BE321">
        <f t="shared" si="160"/>
        <v>0</v>
      </c>
      <c r="BF321">
        <f t="shared" si="161"/>
        <v>0</v>
      </c>
      <c r="BG321">
        <f t="shared" si="162"/>
        <v>0</v>
      </c>
      <c r="BH321">
        <f t="shared" si="163"/>
        <v>1</v>
      </c>
      <c r="BI321">
        <f>AZ321+N321+AP321-AR321*N('Исходные данные'!$B$50)</f>
        <v>0</v>
      </c>
      <c r="BJ321">
        <f t="shared" si="164"/>
        <v>0</v>
      </c>
      <c r="BK321">
        <f>IF(AND(BJ321&gt;=0,BJ320&lt;0,MIN($BJ$2:BJ321)&lt;0),1,0)</f>
        <v>0</v>
      </c>
    </row>
    <row r="322" spans="1:63" x14ac:dyDescent="0.2">
      <c r="A322">
        <v>321</v>
      </c>
      <c r="B322" t="str">
        <f>IF('Исходные данные'!$B$9="","",EDATE(DATE(YEAR('Исходные данные'!$B$9),MONTH('Исходные данные'!$B$9),1),A322-1))</f>
        <v/>
      </c>
      <c r="C322" t="str">
        <f t="shared" si="165"/>
        <v/>
      </c>
      <c r="D322" t="str">
        <f>IF(B322="","",IF('Исходные данные'!$B$91&lt;&gt;"",IF(AND(YEAR(B322)=YEAR('Исходные данные'!$B$91),MONTH(B322)=MONTH('Исходные данные'!$B$91)),'Исходные данные'!$B$91,IF('Исходные данные'!$B$13&lt;&gt;"",IF(AND(YEAR(B322)=YEAR('Исходные данные'!$B$13),MONTH(B322)=MONTH('Исходные данные'!$B$13)),'Исходные данные'!$B$13,IF('Исходные данные'!$B$26&lt;&gt;"",IF(AND(YEAR(B322)=YEAR('Исходные данные'!$B$26),MONTH(B322)=MONTH('Исходные данные'!$B$26)),'Исходные данные'!$B$26,IF(A322=1,'Исходные данные'!$B$9,C322)),IF(A322=1,'Исходные данные'!$B$9,C322))),IF('Исходные данные'!$B$26&lt;&gt;"",IF(AND(YEAR(B322)=YEAR('Исходные данные'!$B$26),MONTH(B322)=MONTH('Исходные данные'!$B$26)),'Исходные данные'!$B$26,IF(A322=1,'Исходные данные'!$B$9,C322)),IF(A322=1,'Исходные данные'!$B$9,C322)))),IF('Исходные данные'!$B$13&lt;&gt;"",IF(AND(YEAR(B322)=YEAR('Исходные данные'!$B$13),MONTH(B322)=MONTH('Исходные данные'!$B$13)),'Исходные данные'!$B$13,IF('Исходные данные'!$B$26&lt;&gt;"",IF(AND(YEAR(B322)=YEAR('Исходные данные'!$B$26),MONTH(B322)=MONTH('Исходные данные'!$B$26)),'Исходные данные'!$B$26,IF(A322=1,'Исходные данные'!$B$9,C322)),IF(A322=1,'Исходные данные'!$B$9,C322))),IF('Исходные данные'!$B$26&lt;&gt;"",IF(AND(YEAR(B322)=YEAR('Исходные данные'!$B$26),MONTH(B322)=MONTH('Исходные данные'!$B$26)),'Исходные данные'!$B$26,IF(A322=1,'Исходные данные'!$B$9,C322)),IF(A322=1,'Исходные данные'!$B$9,C322)))))</f>
        <v/>
      </c>
      <c r="E322">
        <f>IF(OR(B322="",'Исходные данные'!$B$91=""),0,--(B322&lt;=DATE(YEAR('Исходные данные'!$B$91),MONTH('Исходные данные'!$B$91),1)))</f>
        <v>0</v>
      </c>
      <c r="F322">
        <f>IF(OR(B322="",'Исходные данные'!$B$30="",C322&lt;'Исходные данные'!$B$30),0,DATEDIF(DATE(YEAR('Исходные данные'!$B$30),MONTH('Исходные данные'!$B$30),1),B322,"m")+1)</f>
        <v>0</v>
      </c>
      <c r="G322">
        <f t="shared" si="166"/>
        <v>0</v>
      </c>
      <c r="H322">
        <f>IF(F322=0,0,IF(G322=1,N('Исходные данные'!$B$31),IF(G322=2,N('Исходные данные'!$B$32),IF(G322=3,N('Исходные данные'!$B$33),N('Исходные данные'!$B$33)*(1+N('Исходные данные'!$B$34))^(G322-3)))))</f>
        <v>0</v>
      </c>
      <c r="I322">
        <f>IF(OR(F322=0,N('Исходные данные'!$B$5)=0,H322=0),0,'Исходные данные'!$B$5*H322*IF(AND(B322&lt;='Исходные данные'!$B$30,C322&gt;='Исходные данные'!$B$30),(C322-'Исходные данные'!$B$30+1)/DAY(C322),1))</f>
        <v>0</v>
      </c>
      <c r="J322">
        <f>IF(AND(F322&gt;0,F322&lt;=N('Исходные данные'!$B$37)),-I322,0)</f>
        <v>0</v>
      </c>
      <c r="K322">
        <f>IF(OR(F322=0,F322&lt;=N('Исходные данные'!$B$37)),0,-(I322+J322)*N('Исходные данные'!$B$38))</f>
        <v>0</v>
      </c>
      <c r="L322">
        <f t="shared" si="167"/>
        <v>0</v>
      </c>
      <c r="M322">
        <f>IF('Исходные данные'!$B$51="Да",L322*N('Исходные данные'!$B$52),0)</f>
        <v>0</v>
      </c>
      <c r="N322">
        <f t="shared" si="168"/>
        <v>0</v>
      </c>
      <c r="O322">
        <f>IF(OR(B322="",IF('Исходные данные'!$B$45="",'Исходные данные'!$B$10,'Исходные данные'!$B$45)="",C322&lt;IF('Исходные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данные'!$B$45)),1),B322,"m")/12))*IF(AND(B322&lt;=IF('Исходные данные'!$B$45="",'Исходные данные'!$B$10,'Исходные данные'!$B$45),C322&gt;=IF('Исходные данные'!$B$45="",'Исходные данные'!$B$10,'Исходные данные'!$B$45)),(C322-IF('Исходные данные'!$B$45="",'Исходные данные'!$B$10,'Исходные данные'!$B$45)+1)/DAY(C322),1)*IF('Исходные данные'!$B$43="Без НДС",1+N('Исходные данные'!$B$44),1))</f>
        <v>0</v>
      </c>
      <c r="P322">
        <f>IF('Исходные данные'!$B$51="Да",-O322*N('Исходные данные'!$B$44)/(1+N('Исходные данные'!$B$44)),0)</f>
        <v>0</v>
      </c>
      <c r="Q322">
        <f>IF('Исходные данные'!$B$35="Да",-O322,0)</f>
        <v>0</v>
      </c>
      <c r="R322">
        <f>IF(AND('Исходные данные'!$B$51="Да",Q322&gt;0),Q322*N('Исходные данные'!$B$52)/(1+N('Исходные данные'!$B$52)),0)</f>
        <v>0</v>
      </c>
      <c r="S322">
        <f>IF(OR(B322="",IF('Исходные данные'!$B$45="",'Исходные данные'!$B$10,'Исходные данные'!$B$45)="",C322&lt;IF('Исходные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данные'!$B$45)),1),B322,"m")/12))*IF(AND(B322&lt;=IF('Исходные данные'!$B$45="",'Исходные данные'!$B$10,'Исходные данные'!$B$45),C322&gt;=IF('Исходные данные'!$B$45="",'Исходные данные'!$B$10,'Исходные данные'!$B$45)),(C322-IF('Исходные данные'!$B$45="",'Исходные данные'!$B$10,'Исходные данные'!$B$45)+1)/DAY(C322),1)*IF('Исходные данные'!$B$43="Без НДС",1+N('Исходные данные'!$B$44),1))</f>
        <v>0</v>
      </c>
      <c r="T322">
        <f>IF('Исходные данные'!$B$51="Да",-S322*N('Исходные данные'!$B$44)/(1+N('Исходные данные'!$B$44)),0)</f>
        <v>0</v>
      </c>
      <c r="U322">
        <f>IF('Исходные данные'!$B$36="Да",-S322,0)</f>
        <v>0</v>
      </c>
      <c r="V322">
        <f>IF(AND('Исходные данные'!$B$51="Да",U322&gt;0),U322*N('Исходные данные'!$B$52)/(1+N('Исходные данные'!$B$52)),0)</f>
        <v>0</v>
      </c>
      <c r="W322">
        <f>IF(OR(B322="",IF('Исходные данные'!$B$69="",'Исходные данные'!$B$10,'Исходные данные'!$B$69)="",C322&lt;IF('Исходные данные'!$B$69="",'Исходные данные'!$B$10,'Исходные данные'!$B$69)),0,-N('Исходные данные'!$B$16)*N('Исходные данные'!$B$68)*N('Исходные данные'!$B$67)/12*IF(AND(B322&lt;=IF('Исходные данные'!$B$69="",'Исходные данные'!$B$10,'Исходные данные'!$B$69),C322&gt;=IF('Исходные данные'!$B$69="",'Исходные данные'!$B$10,'Исходные данные'!$B$69)),(C322-IF('Исходные данные'!$B$69="",'Исходные данные'!$B$10,'Исходные данные'!$B$69)+1)/DAY(C322),1))</f>
        <v>0</v>
      </c>
      <c r="X322">
        <f>IF(OR(B322="",IF('Исходные данные'!$B$76="",'Исходные данные'!$B$10,'Исходные данные'!$B$76)="",C322&lt;IF('Исходные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данные'!$B$76)),1),B322,"m")/12))*IF(AND(B322&lt;=IF('Исходные данные'!$B$76="",'Исходные данные'!$B$10,'Исходные данные'!$B$76),C322&gt;=IF('Исходные данные'!$B$76="",'Исходные данные'!$B$10,'Исходные данные'!$B$76)),(C322-IF('Исходные данные'!$B$76="",'Исходные данные'!$B$10,'Исходные данные'!$B$76)+1)/DAY(C322),1))</f>
        <v>0</v>
      </c>
      <c r="Y322">
        <f t="shared" si="169"/>
        <v>0</v>
      </c>
      <c r="Z322">
        <f>IF(OR(B322="",N('Исходные данные'!$B$19)=0),0,-SUMIFS('Исходные данные'!$I$6:$I$186,'Исходные данные'!$F$6:$F$186,B322)*N('Исходные данные'!$B$17)/N('Исходные данные'!$B$19))</f>
        <v>0</v>
      </c>
      <c r="AA322">
        <f>IF(OR(B322="",N('Исходные данные'!$B$19)=0),0,-SUMIFS('Исходные данные'!$I$6:$I$186,'Исходные данные'!$F$6:$F$186,B322)*N('Исходные данные'!$B$18)/N('Исходные данные'!$B$19))</f>
        <v>0</v>
      </c>
      <c r="AB322">
        <f>IF(OR(B322="",'Исходные данные'!$B$13=""),0,IF(AND(YEAR(B322)=YEAR('Исходные данные'!$B$13),MONTH(B322)=MONTH('Исходные данные'!$B$13)),-N('Исходные данные'!$B$11),0))</f>
        <v>0</v>
      </c>
      <c r="AC322">
        <f>IF(A322=1,-N('Исходные данные'!$B$19)*N('Исходные данные'!$B$72),0)</f>
        <v>0</v>
      </c>
      <c r="AD322">
        <f>IF(OR(B322="",'Исходные данные'!$B$22&lt;&gt;"Да",'Исходные данные'!$B$26=""),0,IF(AND(YEAR(B322)=YEAR('Исходные данные'!$B$26),MONTH(B322)=MONTH('Исходные данные'!$B$26)),N('Исходные данные'!$B$23),0))</f>
        <v>0</v>
      </c>
      <c r="AE322">
        <f t="shared" si="152"/>
        <v>0</v>
      </c>
      <c r="AF322">
        <f>IF(OR('Исходные данные'!$B$22&lt;&gt;"Да",'Исходные данные'!$B$26="",C322&lt;'Исходные данные'!$B$26),0,DATEDIF(DATE(YEAR('Исходные данные'!$B$26),MONTH('Исходные данные'!$B$26),1),B322,"m")+1)</f>
        <v>0</v>
      </c>
      <c r="AG322">
        <f>IF(OR(AF322&lt;1,AF322&gt;N('Исходные данные'!$B$25),AE322+AD322&lt;=0),0,-(AE322+AD322)*N('Исходные данные'!$B$24)*IF(AF322=1,C322-'Исходные данные'!$B$26+1,DAY(C322))/365)</f>
        <v>0</v>
      </c>
      <c r="AH322">
        <f>IF(OR(AF322&lt;1,AF322&gt;N('Исходные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данные'!$B$25)-AG322))</f>
        <v>0</v>
      </c>
      <c r="AI322">
        <f>IF(OR('Исходные данные'!$B$22&lt;&gt;"Да",AE322+AD322&lt;=0),0,IF(AND('Исходные данные'!$B$91&lt;&gt;"",B322&lt;&gt;"",YEAR(B322)=YEAR('Исходные данные'!$B$91),MONTH(B322)=MONTH('Исходные данные'!$B$91)),-(AE322+AD322),IF(OR(AF322&lt;1,AF322&gt;N('Исходные данные'!$B$25)),0,IF('Исходные данные'!$B$27="Равными долями",-MIN(AE322+AD322,N('Исходные данные'!$B$23)/N('Исходные данные'!$B$25)),-MIN(AE322+AD322,IF(AF322=N('Исходные данные'!$B$25),AE322+AD322,MAX(0,AH322+AG322)))))))</f>
        <v>0</v>
      </c>
      <c r="AJ322">
        <f t="shared" si="170"/>
        <v>0</v>
      </c>
      <c r="AK322">
        <f t="shared" si="153"/>
        <v>0</v>
      </c>
      <c r="AL322">
        <f>IF(OR(B322="",'Исходные данные'!$B$51&lt;&gt;"Да",'Исходные данные'!$B$61=""),0,IF(AND(YEAR(B322)=YEAR('Исходные данные'!$B$61),MONTH(B322)=MONTH('Исходные данные'!$B$61)),N('Исходные данные'!$B$18)*N('Исходные данные'!$B$62),0))</f>
        <v>0</v>
      </c>
      <c r="AM322">
        <f t="shared" si="154"/>
        <v>0</v>
      </c>
      <c r="AN322">
        <f t="shared" si="155"/>
        <v>0</v>
      </c>
      <c r="AO322">
        <f t="shared" si="156"/>
        <v>0</v>
      </c>
      <c r="AP322">
        <f>IF('Исходные данные'!$B$51="Да",-MAX(0,AN322-AO322-AM322),0)</f>
        <v>0</v>
      </c>
      <c r="AQ322">
        <f>IF('Исходные данные'!$B$51="Да",MAX(0,AM322+AO322-AN322),0)</f>
        <v>0</v>
      </c>
      <c r="AR322">
        <f>IF('Исходные данные'!$B$53="Выручка",MAX(0,L322+(Q322-R322)+(U322-V322)),IF('Исходные данные'!$B$53="Прибыль до налога",MAX(0,L322+(Q322-R322)+(U322-V322)+N('Исходные данные'!$B$54)*((O322+P322)+(S322+T322)+W322+X322)+IF('Исходные данные'!$B$55="Да",AG322,0)-N('Исходные данные'!$B$56)/12),IF('Исходные данные'!$B$53="Пользовательская база",MAX(0,N('Исходные данные'!$B$57)/12),0)))</f>
        <v>0</v>
      </c>
      <c r="AS322">
        <f>IF(E322=1,-AR322*N('Исходные данные'!$B$50),0)</f>
        <v>0</v>
      </c>
      <c r="AT322">
        <f t="shared" si="157"/>
        <v>0</v>
      </c>
      <c r="AU322">
        <f>IF(OR(B322="",N('Исходные данные'!$B$80)&lt;=0,'Исходные данные'!$B$88=""),0,MAX(0,IF('Исходные данные'!$B$88="Последние 12 месяцев",SUMIFS($Y$2:$Y$194,$B$2:$B$194,"&gt;="&amp;EDATE(B322,-11),$B$2:$B$194,"&lt;="&amp;B322),IF('Исходные данные'!$B$88="Пользовательский NOI",N('Исходные данные'!$B$89),AT322))/N('Исходные данные'!$B$80)*(1+N('Исходные данные'!$B$81))))</f>
        <v>0</v>
      </c>
      <c r="AV322">
        <f>IF(OR(E322&lt;&gt;1,B322="",'Исходные данные'!$B$91=""),0,IF(AND(YEAR(B322)=YEAR('Исходные данные'!$B$91),MONTH(B322)=MONTH('Исходные данные'!$B$91)),AU322,0))</f>
        <v>0</v>
      </c>
      <c r="AW322">
        <f>-AV322*N('Исходные данные'!$B$73)</f>
        <v>0</v>
      </c>
      <c r="AX322">
        <f>IF(AV322=0,0,-N('Исходные данные'!$B$87)-IF('Исходные данные'!$B$82="Да",IF('Исходные данные'!$B$84="С выручки",AV322,IF('Исходные данные'!$B$84="С прибыли",MAX(0,AV322+AW322-IF('Исходные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22">
        <f t="shared" si="171"/>
        <v>0</v>
      </c>
      <c r="AZ322">
        <f t="shared" si="158"/>
        <v>0</v>
      </c>
      <c r="BA322">
        <f t="shared" si="172"/>
        <v>0</v>
      </c>
      <c r="BB322" t="str">
        <f t="shared" si="159"/>
        <v/>
      </c>
      <c r="BC322">
        <f>IF(OR(E322=0,'Исходные данные'!$B$9="",'Исходные данные'!$B$90=""),0,BA322/(1+'Исходные данные'!$B$90)^((D322-'Исходные данные'!$B$9)/365))</f>
        <v>0</v>
      </c>
      <c r="BD322">
        <f>IF(AND(E322=1,BB322&gt;=0,BB321&lt;0,MIN($BB$2:BB322)&lt;0),1,0)</f>
        <v>0</v>
      </c>
      <c r="BE322">
        <f t="shared" si="160"/>
        <v>0</v>
      </c>
      <c r="BF322">
        <f t="shared" si="161"/>
        <v>0</v>
      </c>
      <c r="BG322">
        <f t="shared" si="162"/>
        <v>0</v>
      </c>
      <c r="BH322">
        <f t="shared" si="163"/>
        <v>1</v>
      </c>
      <c r="BI322">
        <f>AZ322+N322+AP322-AR322*N('Исходные данные'!$B$50)</f>
        <v>0</v>
      </c>
      <c r="BJ322">
        <f t="shared" si="164"/>
        <v>0</v>
      </c>
      <c r="BK322">
        <f>IF(AND(BJ322&gt;=0,BJ321&lt;0,MIN($BJ$2:BJ322)&lt;0),1,0)</f>
        <v>0</v>
      </c>
    </row>
    <row r="323" spans="1:63" x14ac:dyDescent="0.2">
      <c r="A323">
        <v>322</v>
      </c>
      <c r="B323" t="str">
        <f>IF('Исходные данные'!$B$9="","",EDATE(DATE(YEAR('Исходные данные'!$B$9),MONTH('Исходные данные'!$B$9),1),A323-1))</f>
        <v/>
      </c>
      <c r="C323" t="str">
        <f t="shared" si="165"/>
        <v/>
      </c>
      <c r="D323" t="str">
        <f>IF(B323="","",IF('Исходные данные'!$B$91&lt;&gt;"",IF(AND(YEAR(B323)=YEAR('Исходные данные'!$B$91),MONTH(B323)=MONTH('Исходные данные'!$B$91)),'Исходные данные'!$B$91,IF('Исходные данные'!$B$13&lt;&gt;"",IF(AND(YEAR(B323)=YEAR('Исходные данные'!$B$13),MONTH(B323)=MONTH('Исходные данные'!$B$13)),'Исходные данные'!$B$13,IF('Исходные данные'!$B$26&lt;&gt;"",IF(AND(YEAR(B323)=YEAR('Исходные данные'!$B$26),MONTH(B323)=MONTH('Исходные данные'!$B$26)),'Исходные данные'!$B$26,IF(A323=1,'Исходные данные'!$B$9,C323)),IF(A323=1,'Исходные данные'!$B$9,C323))),IF('Исходные данные'!$B$26&lt;&gt;"",IF(AND(YEAR(B323)=YEAR('Исходные данные'!$B$26),MONTH(B323)=MONTH('Исходные данные'!$B$26)),'Исходные данные'!$B$26,IF(A323=1,'Исходные данные'!$B$9,C323)),IF(A323=1,'Исходные данные'!$B$9,C323)))),IF('Исходные данные'!$B$13&lt;&gt;"",IF(AND(YEAR(B323)=YEAR('Исходные данные'!$B$13),MONTH(B323)=MONTH('Исходные данные'!$B$13)),'Исходные данные'!$B$13,IF('Исходные данные'!$B$26&lt;&gt;"",IF(AND(YEAR(B323)=YEAR('Исходные данные'!$B$26),MONTH(B323)=MONTH('Исходные данные'!$B$26)),'Исходные данные'!$B$26,IF(A323=1,'Исходные данные'!$B$9,C323)),IF(A323=1,'Исходные данные'!$B$9,C323))),IF('Исходные данные'!$B$26&lt;&gt;"",IF(AND(YEAR(B323)=YEAR('Исходные данные'!$B$26),MONTH(B323)=MONTH('Исходные данные'!$B$26)),'Исходные данные'!$B$26,IF(A323=1,'Исходные данные'!$B$9,C323)),IF(A323=1,'Исходные данные'!$B$9,C323)))))</f>
        <v/>
      </c>
      <c r="E323">
        <f>IF(OR(B323="",'Исходные данные'!$B$91=""),0,--(B323&lt;=DATE(YEAR('Исходные данные'!$B$91),MONTH('Исходные данные'!$B$91),1)))</f>
        <v>0</v>
      </c>
      <c r="F323">
        <f>IF(OR(B323="",'Исходные данные'!$B$30="",C323&lt;'Исходные данные'!$B$30),0,DATEDIF(DATE(YEAR('Исходные данные'!$B$30),MONTH('Исходные данные'!$B$30),1),B323,"m")+1)</f>
        <v>0</v>
      </c>
      <c r="G323">
        <f t="shared" si="166"/>
        <v>0</v>
      </c>
      <c r="H323">
        <f>IF(F323=0,0,IF(G323=1,N('Исходные данные'!$B$31),IF(G323=2,N('Исходные данные'!$B$32),IF(G323=3,N('Исходные данные'!$B$33),N('Исходные данные'!$B$33)*(1+N('Исходные данные'!$B$34))^(G323-3)))))</f>
        <v>0</v>
      </c>
      <c r="I323">
        <f>IF(OR(F323=0,N('Исходные данные'!$B$5)=0,H323=0),0,'Исходные данные'!$B$5*H323*IF(AND(B323&lt;='Исходные данные'!$B$30,C323&gt;='Исходные данные'!$B$30),(C323-'Исходные данные'!$B$30+1)/DAY(C323),1))</f>
        <v>0</v>
      </c>
      <c r="J323">
        <f>IF(AND(F323&gt;0,F323&lt;=N('Исходные данные'!$B$37)),-I323,0)</f>
        <v>0</v>
      </c>
      <c r="K323">
        <f>IF(OR(F323=0,F323&lt;=N('Исходные данные'!$B$37)),0,-(I323+J323)*N('Исходные данные'!$B$38))</f>
        <v>0</v>
      </c>
      <c r="L323">
        <f t="shared" si="167"/>
        <v>0</v>
      </c>
      <c r="M323">
        <f>IF('Исходные данные'!$B$51="Да",L323*N('Исходные данные'!$B$52),0)</f>
        <v>0</v>
      </c>
      <c r="N323">
        <f t="shared" si="168"/>
        <v>0</v>
      </c>
      <c r="O323">
        <f>IF(OR(B323="",IF('Исходные данные'!$B$45="",'Исходные данные'!$B$10,'Исходные данные'!$B$45)="",C323&lt;IF('Исходные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данные'!$B$45)),1),B323,"m")/12))*IF(AND(B323&lt;=IF('Исходные данные'!$B$45="",'Исходные данные'!$B$10,'Исходные данные'!$B$45),C323&gt;=IF('Исходные данные'!$B$45="",'Исходные данные'!$B$10,'Исходные данные'!$B$45)),(C323-IF('Исходные данные'!$B$45="",'Исходные данные'!$B$10,'Исходные данные'!$B$45)+1)/DAY(C323),1)*IF('Исходные данные'!$B$43="Без НДС",1+N('Исходные данные'!$B$44),1))</f>
        <v>0</v>
      </c>
      <c r="P323">
        <f>IF('Исходные данные'!$B$51="Да",-O323*N('Исходные данные'!$B$44)/(1+N('Исходные данные'!$B$44)),0)</f>
        <v>0</v>
      </c>
      <c r="Q323">
        <f>IF('Исходные данные'!$B$35="Да",-O323,0)</f>
        <v>0</v>
      </c>
      <c r="R323">
        <f>IF(AND('Исходные данные'!$B$51="Да",Q323&gt;0),Q323*N('Исходные данные'!$B$52)/(1+N('Исходные данные'!$B$52)),0)</f>
        <v>0</v>
      </c>
      <c r="S323">
        <f>IF(OR(B323="",IF('Исходные данные'!$B$45="",'Исходные данные'!$B$10,'Исходные данные'!$B$45)="",C323&lt;IF('Исходные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данные'!$B$45)),1),B323,"m")/12))*IF(AND(B323&lt;=IF('Исходные данные'!$B$45="",'Исходные данные'!$B$10,'Исходные данные'!$B$45),C323&gt;=IF('Исходные данные'!$B$45="",'Исходные данные'!$B$10,'Исходные данные'!$B$45)),(C323-IF('Исходные данные'!$B$45="",'Исходные данные'!$B$10,'Исходные данные'!$B$45)+1)/DAY(C323),1)*IF('Исходные данные'!$B$43="Без НДС",1+N('Исходные данные'!$B$44),1))</f>
        <v>0</v>
      </c>
      <c r="T323">
        <f>IF('Исходные данные'!$B$51="Да",-S323*N('Исходные данные'!$B$44)/(1+N('Исходные данные'!$B$44)),0)</f>
        <v>0</v>
      </c>
      <c r="U323">
        <f>IF('Исходные данные'!$B$36="Да",-S323,0)</f>
        <v>0</v>
      </c>
      <c r="V323">
        <f>IF(AND('Исходные данные'!$B$51="Да",U323&gt;0),U323*N('Исходные данные'!$B$52)/(1+N('Исходные данные'!$B$52)),0)</f>
        <v>0</v>
      </c>
      <c r="W323">
        <f>IF(OR(B323="",IF('Исходные данные'!$B$69="",'Исходные данные'!$B$10,'Исходные данные'!$B$69)="",C323&lt;IF('Исходные данные'!$B$69="",'Исходные данные'!$B$10,'Исходные данные'!$B$69)),0,-N('Исходные данные'!$B$16)*N('Исходные данные'!$B$68)*N('Исходные данные'!$B$67)/12*IF(AND(B323&lt;=IF('Исходные данные'!$B$69="",'Исходные данные'!$B$10,'Исходные данные'!$B$69),C323&gt;=IF('Исходные данные'!$B$69="",'Исходные данные'!$B$10,'Исходные данные'!$B$69)),(C323-IF('Исходные данные'!$B$69="",'Исходные данные'!$B$10,'Исходные данные'!$B$69)+1)/DAY(C323),1))</f>
        <v>0</v>
      </c>
      <c r="X323">
        <f>IF(OR(B323="",IF('Исходные данные'!$B$76="",'Исходные данные'!$B$10,'Исходные данные'!$B$76)="",C323&lt;IF('Исходные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данные'!$B$76)),1),B323,"m")/12))*IF(AND(B323&lt;=IF('Исходные данные'!$B$76="",'Исходные данные'!$B$10,'Исходные данные'!$B$76),C323&gt;=IF('Исходные данные'!$B$76="",'Исходные данные'!$B$10,'Исходные данные'!$B$76)),(C323-IF('Исходные данные'!$B$76="",'Исходные данные'!$B$10,'Исходные данные'!$B$76)+1)/DAY(C323),1))</f>
        <v>0</v>
      </c>
      <c r="Y323">
        <f t="shared" si="169"/>
        <v>0</v>
      </c>
      <c r="Z323">
        <f>IF(OR(B323="",N('Исходные данные'!$B$19)=0),0,-SUMIFS('Исходные данные'!$I$6:$I$186,'Исходные данные'!$F$6:$F$186,B323)*N('Исходные данные'!$B$17)/N('Исходные данные'!$B$19))</f>
        <v>0</v>
      </c>
      <c r="AA323">
        <f>IF(OR(B323="",N('Исходные данные'!$B$19)=0),0,-SUMIFS('Исходные данные'!$I$6:$I$186,'Исходные данные'!$F$6:$F$186,B323)*N('Исходные данные'!$B$18)/N('Исходные данные'!$B$19))</f>
        <v>0</v>
      </c>
      <c r="AB323">
        <f>IF(OR(B323="",'Исходные данные'!$B$13=""),0,IF(AND(YEAR(B323)=YEAR('Исходные данные'!$B$13),MONTH(B323)=MONTH('Исходные данные'!$B$13)),-N('Исходные данные'!$B$11),0))</f>
        <v>0</v>
      </c>
      <c r="AC323">
        <f>IF(A323=1,-N('Исходные данные'!$B$19)*N('Исходные данные'!$B$72),0)</f>
        <v>0</v>
      </c>
      <c r="AD323">
        <f>IF(OR(B323="",'Исходные данные'!$B$22&lt;&gt;"Да",'Исходные данные'!$B$26=""),0,IF(AND(YEAR(B323)=YEAR('Исходные данные'!$B$26),MONTH(B323)=MONTH('Исходные данные'!$B$26)),N('Исходные данные'!$B$23),0))</f>
        <v>0</v>
      </c>
      <c r="AE323">
        <f t="shared" ref="AE323:AE361" si="173">AK322</f>
        <v>0</v>
      </c>
      <c r="AF323">
        <f>IF(OR('Исходные данные'!$B$22&lt;&gt;"Да",'Исходные данные'!$B$26="",C323&lt;'Исходные данные'!$B$26),0,DATEDIF(DATE(YEAR('Исходные данные'!$B$26),MONTH('Исходные данные'!$B$26),1),B323,"m")+1)</f>
        <v>0</v>
      </c>
      <c r="AG323">
        <f>IF(OR(AF323&lt;1,AF323&gt;N('Исходные данные'!$B$25),AE323+AD323&lt;=0),0,-(AE323+AD323)*N('Исходные данные'!$B$24)*IF(AF323=1,C323-'Исходные данные'!$B$26+1,DAY(C323))/365)</f>
        <v>0</v>
      </c>
      <c r="AH323">
        <f>IF(OR(AF323&lt;1,AF323&gt;N('Исходные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данные'!$B$25)-AG323))</f>
        <v>0</v>
      </c>
      <c r="AI323">
        <f>IF(OR('Исходные данные'!$B$22&lt;&gt;"Да",AE323+AD323&lt;=0),0,IF(AND('Исходные данные'!$B$91&lt;&gt;"",B323&lt;&gt;"",YEAR(B323)=YEAR('Исходные данные'!$B$91),MONTH(B323)=MONTH('Исходные данные'!$B$91)),-(AE323+AD323),IF(OR(AF323&lt;1,AF323&gt;N('Исходные данные'!$B$25)),0,IF('Исходные данные'!$B$27="Равными долями",-MIN(AE323+AD323,N('Исходные данные'!$B$23)/N('Исходные данные'!$B$25)),-MIN(AE323+AD323,IF(AF323=N('Исходные данные'!$B$25),AE323+AD323,MAX(0,AH323+AG323)))))))</f>
        <v>0</v>
      </c>
      <c r="AJ323">
        <f t="shared" si="170"/>
        <v>0</v>
      </c>
      <c r="AK323">
        <f t="shared" ref="AK323:AK361" si="174">MAX(0,AE323+AD323+AI323)</f>
        <v>0</v>
      </c>
      <c r="AL323">
        <f>IF(OR(B323="",'Исходные данные'!$B$51&lt;&gt;"Да",'Исходные данные'!$B$61=""),0,IF(AND(YEAR(B323)=YEAR('Исходные данные'!$B$61),MONTH(B323)=MONTH('Исходные данные'!$B$61)),N('Исходные данные'!$B$18)*N('Исходные данные'!$B$62),0))</f>
        <v>0</v>
      </c>
      <c r="AM323">
        <f t="shared" ref="AM323:AM361" si="175">AQ322</f>
        <v>0</v>
      </c>
      <c r="AN323">
        <f t="shared" ref="AN323:AN361" si="176">M323+R323+V323</f>
        <v>0</v>
      </c>
      <c r="AO323">
        <f t="shared" ref="AO323:AO361" si="177">P323+T323</f>
        <v>0</v>
      </c>
      <c r="AP323">
        <f>IF('Исходные данные'!$B$51="Да",-MAX(0,AN323-AO323-AM323),0)</f>
        <v>0</v>
      </c>
      <c r="AQ323">
        <f>IF('Исходные данные'!$B$51="Да",MAX(0,AM323+AO323-AN323),0)</f>
        <v>0</v>
      </c>
      <c r="AR323">
        <f>IF('Исходные данные'!$B$53="Выручка",MAX(0,L323+(Q323-R323)+(U323-V323)),IF('Исходные данные'!$B$53="Прибыль до налога",MAX(0,L323+(Q323-R323)+(U323-V323)+N('Исходные данные'!$B$54)*((O323+P323)+(S323+T323)+W323+X323)+IF('Исходные данные'!$B$55="Да",AG323,0)-N('Исходные данные'!$B$56)/12),IF('Исходные данные'!$B$53="Пользовательская база",MAX(0,N('Исходные данные'!$B$57)/12),0)))</f>
        <v>0</v>
      </c>
      <c r="AS323">
        <f>IF(E323=1,-AR323*N('Исходные данные'!$B$50),0)</f>
        <v>0</v>
      </c>
      <c r="AT323">
        <f t="shared" ref="AT323:AT361" si="178">IF(B323="",0,SUMIFS($Y$2:$Y$194,$B$2:$B$194,"&gt;"&amp;B323,$B$2:$B$194,"&lt;="&amp;EDATE(B323,12)))</f>
        <v>0</v>
      </c>
      <c r="AU323">
        <f>IF(OR(B323="",N('Исходные данные'!$B$80)&lt;=0,'Исходные данные'!$B$88=""),0,MAX(0,IF('Исходные данные'!$B$88="Последние 12 месяцев",SUMIFS($Y$2:$Y$194,$B$2:$B$194,"&gt;="&amp;EDATE(B323,-11),$B$2:$B$194,"&lt;="&amp;B323),IF('Исходные данные'!$B$88="Пользовательский NOI",N('Исходные данные'!$B$89),AT323))/N('Исходные данные'!$B$80)*(1+N('Исходные данные'!$B$81))))</f>
        <v>0</v>
      </c>
      <c r="AV323">
        <f>IF(OR(E323&lt;&gt;1,B323="",'Исходные данные'!$B$91=""),0,IF(AND(YEAR(B323)=YEAR('Исходные данные'!$B$91),MONTH(B323)=MONTH('Исходные данные'!$B$91)),AU323,0))</f>
        <v>0</v>
      </c>
      <c r="AW323">
        <f>-AV323*N('Исходные данные'!$B$73)</f>
        <v>0</v>
      </c>
      <c r="AX323">
        <f>IF(AV323=0,0,-N('Исходные данные'!$B$87)-IF('Исходные данные'!$B$82="Да",IF('Исходные данные'!$B$84="С выручки",AV323,IF('Исходные данные'!$B$84="С прибыли",MAX(0,AV323+AW323-IF('Исходные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23">
        <f t="shared" si="171"/>
        <v>0</v>
      </c>
      <c r="AZ323">
        <f t="shared" ref="AZ323:AZ361" si="179">Z323+AA323+AB323+AC323+AD323+AI323+AG323+O323+Q323+S323+U323+W323+X323+AL323</f>
        <v>0</v>
      </c>
      <c r="BA323">
        <f t="shared" si="172"/>
        <v>0</v>
      </c>
      <c r="BB323" t="str">
        <f t="shared" ref="BB323:BB361" si="180">IF(E323=1,BB322+BA323,"")</f>
        <v/>
      </c>
      <c r="BC323">
        <f>IF(OR(E323=0,'Исходные данные'!$B$9="",'Исходные данные'!$B$90=""),0,BA323/(1+'Исходные данные'!$B$90)^((D323-'Исходные данные'!$B$9)/365))</f>
        <v>0</v>
      </c>
      <c r="BD323">
        <f>IF(AND(E323=1,BB323&gt;=0,BB322&lt;0,MIN($BB$2:BB323)&lt;0),1,0)</f>
        <v>0</v>
      </c>
      <c r="BE323">
        <f t="shared" ref="BE323:BE361" si="181">IF(E323=1,N323+O323+Q323+S323+U323+W323+X323+AP323+AS323,0)</f>
        <v>0</v>
      </c>
      <c r="BF323">
        <f t="shared" ref="BF323:BF361" si="182">Y323</f>
        <v>0</v>
      </c>
      <c r="BG323">
        <f t="shared" ref="BG323:BG361" si="183">IF(E323=1,Y323+AG323+AS323+Z323+AA323+AB323+AC323+AL323+AY323,0)</f>
        <v>0</v>
      </c>
      <c r="BH323">
        <f t="shared" ref="BH323:BH361" si="184">--AND(Z323&lt;=0,AA323&lt;=0,AB323&lt;=0,AC323&lt;=0,AD323&gt;=0,AI323&lt;=0,AG323&lt;=0,O323&lt;=0,Q323&gt;=0,S323&lt;=0,U323&gt;=0,W323&lt;=0,X323&lt;=0,AL323&gt;=0,AP323&lt;=0,AS323&lt;=0,AV323&gt;=0,AW323&lt;=0,AX323&lt;=0,AK323&gt;=-0.01)</f>
        <v>1</v>
      </c>
      <c r="BI323">
        <f>AZ323+N323+AP323-AR323*N('Исходные данные'!$B$50)</f>
        <v>0</v>
      </c>
      <c r="BJ323">
        <f t="shared" ref="BJ323:BJ361" si="185">BJ322+BI323</f>
        <v>0</v>
      </c>
      <c r="BK323">
        <f>IF(AND(BJ323&gt;=0,BJ322&lt;0,MIN($BJ$2:BJ323)&lt;0),1,0)</f>
        <v>0</v>
      </c>
    </row>
    <row r="324" spans="1:63" x14ac:dyDescent="0.2">
      <c r="A324">
        <v>323</v>
      </c>
      <c r="B324" t="str">
        <f>IF('Исходные данные'!$B$9="","",EDATE(DATE(YEAR('Исходные данные'!$B$9),MONTH('Исходные данные'!$B$9),1),A324-1))</f>
        <v/>
      </c>
      <c r="C324" t="str">
        <f t="shared" ref="C324:C361" si="186">IF(B324="","",EOMONTH(B324,0))</f>
        <v/>
      </c>
      <c r="D324" t="str">
        <f>IF(B324="","",IF('Исходные данные'!$B$91&lt;&gt;"",IF(AND(YEAR(B324)=YEAR('Исходные данные'!$B$91),MONTH(B324)=MONTH('Исходные данные'!$B$91)),'Исходные данные'!$B$91,IF('Исходные данные'!$B$13&lt;&gt;"",IF(AND(YEAR(B324)=YEAR('Исходные данные'!$B$13),MONTH(B324)=MONTH('Исходные данные'!$B$13)),'Исходные данные'!$B$13,IF('Исходные данные'!$B$26&lt;&gt;"",IF(AND(YEAR(B324)=YEAR('Исходные данные'!$B$26),MONTH(B324)=MONTH('Исходные данные'!$B$26)),'Исходные данные'!$B$26,IF(A324=1,'Исходные данные'!$B$9,C324)),IF(A324=1,'Исходные данные'!$B$9,C324))),IF('Исходные данные'!$B$26&lt;&gt;"",IF(AND(YEAR(B324)=YEAR('Исходные данные'!$B$26),MONTH(B324)=MONTH('Исходные данные'!$B$26)),'Исходные данные'!$B$26,IF(A324=1,'Исходные данные'!$B$9,C324)),IF(A324=1,'Исходные данные'!$B$9,C324)))),IF('Исходные данные'!$B$13&lt;&gt;"",IF(AND(YEAR(B324)=YEAR('Исходные данные'!$B$13),MONTH(B324)=MONTH('Исходные данные'!$B$13)),'Исходные данные'!$B$13,IF('Исходные данные'!$B$26&lt;&gt;"",IF(AND(YEAR(B324)=YEAR('Исходные данные'!$B$26),MONTH(B324)=MONTH('Исходные данные'!$B$26)),'Исходные данные'!$B$26,IF(A324=1,'Исходные данные'!$B$9,C324)),IF(A324=1,'Исходные данные'!$B$9,C324))),IF('Исходные данные'!$B$26&lt;&gt;"",IF(AND(YEAR(B324)=YEAR('Исходные данные'!$B$26),MONTH(B324)=MONTH('Исходные данные'!$B$26)),'Исходные данные'!$B$26,IF(A324=1,'Исходные данные'!$B$9,C324)),IF(A324=1,'Исходные данные'!$B$9,C324)))))</f>
        <v/>
      </c>
      <c r="E324">
        <f>IF(OR(B324="",'Исходные данные'!$B$91=""),0,--(B324&lt;=DATE(YEAR('Исходные данные'!$B$91),MONTH('Исходные данные'!$B$91),1)))</f>
        <v>0</v>
      </c>
      <c r="F324">
        <f>IF(OR(B324="",'Исходные данные'!$B$30="",C324&lt;'Исходные данные'!$B$30),0,DATEDIF(DATE(YEAR('Исходные данные'!$B$30),MONTH('Исходные данные'!$B$30),1),B324,"m")+1)</f>
        <v>0</v>
      </c>
      <c r="G324">
        <f t="shared" ref="G324:G361" si="187">IF(F324=0,0,1+INT((F324-1)/12))</f>
        <v>0</v>
      </c>
      <c r="H324">
        <f>IF(F324=0,0,IF(G324=1,N('Исходные данные'!$B$31),IF(G324=2,N('Исходные данные'!$B$32),IF(G324=3,N('Исходные данные'!$B$33),N('Исходные данные'!$B$33)*(1+N('Исходные данные'!$B$34))^(G324-3)))))</f>
        <v>0</v>
      </c>
      <c r="I324">
        <f>IF(OR(F324=0,N('Исходные данные'!$B$5)=0,H324=0),0,'Исходные данные'!$B$5*H324*IF(AND(B324&lt;='Исходные данные'!$B$30,C324&gt;='Исходные данные'!$B$30),(C324-'Исходные данные'!$B$30+1)/DAY(C324),1))</f>
        <v>0</v>
      </c>
      <c r="J324">
        <f>IF(AND(F324&gt;0,F324&lt;=N('Исходные данные'!$B$37)),-I324,0)</f>
        <v>0</v>
      </c>
      <c r="K324">
        <f>IF(OR(F324=0,F324&lt;=N('Исходные данные'!$B$37)),0,-(I324+J324)*N('Исходные данные'!$B$38))</f>
        <v>0</v>
      </c>
      <c r="L324">
        <f t="shared" ref="L324:L361" si="188">I324+J324+K324</f>
        <v>0</v>
      </c>
      <c r="M324">
        <f>IF('Исходные данные'!$B$51="Да",L324*N('Исходные данные'!$B$52),0)</f>
        <v>0</v>
      </c>
      <c r="N324">
        <f t="shared" ref="N324:N361" si="189">L324+M324</f>
        <v>0</v>
      </c>
      <c r="O324">
        <f>IF(OR(B324="",IF('Исходные данные'!$B$45="",'Исходные данные'!$B$10,'Исходные данные'!$B$45)="",C324&lt;IF('Исходные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данные'!$B$45)),1),B324,"m")/12))*IF(AND(B324&lt;=IF('Исходные данные'!$B$45="",'Исходные данные'!$B$10,'Исходные данные'!$B$45),C324&gt;=IF('Исходные данные'!$B$45="",'Исходные данные'!$B$10,'Исходные данные'!$B$45)),(C324-IF('Исходные данные'!$B$45="",'Исходные данные'!$B$10,'Исходные данные'!$B$45)+1)/DAY(C324),1)*IF('Исходные данные'!$B$43="Без НДС",1+N('Исходные данные'!$B$44),1))</f>
        <v>0</v>
      </c>
      <c r="P324">
        <f>IF('Исходные данные'!$B$51="Да",-O324*N('Исходные данные'!$B$44)/(1+N('Исходные данные'!$B$44)),0)</f>
        <v>0</v>
      </c>
      <c r="Q324">
        <f>IF('Исходные данные'!$B$35="Да",-O324,0)</f>
        <v>0</v>
      </c>
      <c r="R324">
        <f>IF(AND('Исходные данные'!$B$51="Да",Q324&gt;0),Q324*N('Исходные данные'!$B$52)/(1+N('Исходные данные'!$B$52)),0)</f>
        <v>0</v>
      </c>
      <c r="S324">
        <f>IF(OR(B324="",IF('Исходные данные'!$B$45="",'Исходные данные'!$B$10,'Исходные данные'!$B$45)="",C324&lt;IF('Исходные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данные'!$B$45)),1),B324,"m")/12))*IF(AND(B324&lt;=IF('Исходные данные'!$B$45="",'Исходные данные'!$B$10,'Исходные данные'!$B$45),C324&gt;=IF('Исходные данные'!$B$45="",'Исходные данные'!$B$10,'Исходные данные'!$B$45)),(C324-IF('Исходные данные'!$B$45="",'Исходные данные'!$B$10,'Исходные данные'!$B$45)+1)/DAY(C324),1)*IF('Исходные данные'!$B$43="Без НДС",1+N('Исходные данные'!$B$44),1))</f>
        <v>0</v>
      </c>
      <c r="T324">
        <f>IF('Исходные данные'!$B$51="Да",-S324*N('Исходные данные'!$B$44)/(1+N('Исходные данные'!$B$44)),0)</f>
        <v>0</v>
      </c>
      <c r="U324">
        <f>IF('Исходные данные'!$B$36="Да",-S324,0)</f>
        <v>0</v>
      </c>
      <c r="V324">
        <f>IF(AND('Исходные данные'!$B$51="Да",U324&gt;0),U324*N('Исходные данные'!$B$52)/(1+N('Исходные данные'!$B$52)),0)</f>
        <v>0</v>
      </c>
      <c r="W324">
        <f>IF(OR(B324="",IF('Исходные данные'!$B$69="",'Исходные данные'!$B$10,'Исходные данные'!$B$69)="",C324&lt;IF('Исходные данные'!$B$69="",'Исходные данные'!$B$10,'Исходные данные'!$B$69)),0,-N('Исходные данные'!$B$16)*N('Исходные данные'!$B$68)*N('Исходные данные'!$B$67)/12*IF(AND(B324&lt;=IF('Исходные данные'!$B$69="",'Исходные данные'!$B$10,'Исходные данные'!$B$69),C324&gt;=IF('Исходные данные'!$B$69="",'Исходные данные'!$B$10,'Исходные данные'!$B$69)),(C324-IF('Исходные данные'!$B$69="",'Исходные данные'!$B$10,'Исходные данные'!$B$69)+1)/DAY(C324),1))</f>
        <v>0</v>
      </c>
      <c r="X324">
        <f>IF(OR(B324="",IF('Исходные данные'!$B$76="",'Исходные данные'!$B$10,'Исходные данные'!$B$76)="",C324&lt;IF('Исходные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данные'!$B$76)),1),B324,"m")/12))*IF(AND(B324&lt;=IF('Исходные данные'!$B$76="",'Исходные данные'!$B$10,'Исходные данные'!$B$76),C324&gt;=IF('Исходные данные'!$B$76="",'Исходные данные'!$B$10,'Исходные данные'!$B$76)),(C324-IF('Исходные данные'!$B$76="",'Исходные данные'!$B$10,'Исходные данные'!$B$76)+1)/DAY(C324),1))</f>
        <v>0</v>
      </c>
      <c r="Y324">
        <f t="shared" ref="Y324:Y361" si="190">L324+(Q324-R324)+(U324-V324)+(O324+P324)+(S324+T324)+W324+X324</f>
        <v>0</v>
      </c>
      <c r="Z324">
        <f>IF(OR(B324="",N('Исходные данные'!$B$19)=0),0,-SUMIFS('Исходные данные'!$I$6:$I$186,'Исходные данные'!$F$6:$F$186,B324)*N('Исходные данные'!$B$17)/N('Исходные данные'!$B$19))</f>
        <v>0</v>
      </c>
      <c r="AA324">
        <f>IF(OR(B324="",N('Исходные данные'!$B$19)=0),0,-SUMIFS('Исходные данные'!$I$6:$I$186,'Исходные данные'!$F$6:$F$186,B324)*N('Исходные данные'!$B$18)/N('Исходные данные'!$B$19))</f>
        <v>0</v>
      </c>
      <c r="AB324">
        <f>IF(OR(B324="",'Исходные данные'!$B$13=""),0,IF(AND(YEAR(B324)=YEAR('Исходные данные'!$B$13),MONTH(B324)=MONTH('Исходные данные'!$B$13)),-N('Исходные данные'!$B$11),0))</f>
        <v>0</v>
      </c>
      <c r="AC324">
        <f>IF(A324=1,-N('Исходные данные'!$B$19)*N('Исходные данные'!$B$72),0)</f>
        <v>0</v>
      </c>
      <c r="AD324">
        <f>IF(OR(B324="",'Исходные данные'!$B$22&lt;&gt;"Да",'Исходные данные'!$B$26=""),0,IF(AND(YEAR(B324)=YEAR('Исходные данные'!$B$26),MONTH(B324)=MONTH('Исходные данные'!$B$26)),N('Исходные данные'!$B$23),0))</f>
        <v>0</v>
      </c>
      <c r="AE324">
        <f t="shared" si="173"/>
        <v>0</v>
      </c>
      <c r="AF324">
        <f>IF(OR('Исходные данные'!$B$22&lt;&gt;"Да",'Исходные данные'!$B$26="",C324&lt;'Исходные данные'!$B$26),0,DATEDIF(DATE(YEAR('Исходные данные'!$B$26),MONTH('Исходные данные'!$B$26),1),B324,"m")+1)</f>
        <v>0</v>
      </c>
      <c r="AG324">
        <f>IF(OR(AF324&lt;1,AF324&gt;N('Исходные данные'!$B$25),AE324+AD324&lt;=0),0,-(AE324+AD324)*N('Исходные данные'!$B$24)*IF(AF324=1,C324-'Исходные данные'!$B$26+1,DAY(C324))/365)</f>
        <v>0</v>
      </c>
      <c r="AH324">
        <f>IF(OR(AF324&lt;1,AF324&gt;N('Исходные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данные'!$B$25)-AG324))</f>
        <v>0</v>
      </c>
      <c r="AI324">
        <f>IF(OR('Исходные данные'!$B$22&lt;&gt;"Да",AE324+AD324&lt;=0),0,IF(AND('Исходные данные'!$B$91&lt;&gt;"",B324&lt;&gt;"",YEAR(B324)=YEAR('Исходные данные'!$B$91),MONTH(B324)=MONTH('Исходные данные'!$B$91)),-(AE324+AD324),IF(OR(AF324&lt;1,AF324&gt;N('Исходные данные'!$B$25)),0,IF('Исходные данные'!$B$27="Равными долями",-MIN(AE324+AD324,N('Исходные данные'!$B$23)/N('Исходные данные'!$B$25)),-MIN(AE324+AD324,IF(AF324=N('Исходные данные'!$B$25),AE324+AD324,MAX(0,AH324+AG324)))))))</f>
        <v>0</v>
      </c>
      <c r="AJ324">
        <f t="shared" ref="AJ324:AJ361" si="191">AG324+AI324</f>
        <v>0</v>
      </c>
      <c r="AK324">
        <f t="shared" si="174"/>
        <v>0</v>
      </c>
      <c r="AL324">
        <f>IF(OR(B324="",'Исходные данные'!$B$51&lt;&gt;"Да",'Исходные данные'!$B$61=""),0,IF(AND(YEAR(B324)=YEAR('Исходные данные'!$B$61),MONTH(B324)=MONTH('Исходные данные'!$B$61)),N('Исходные данные'!$B$18)*N('Исходные данные'!$B$62),0))</f>
        <v>0</v>
      </c>
      <c r="AM324">
        <f t="shared" si="175"/>
        <v>0</v>
      </c>
      <c r="AN324">
        <f t="shared" si="176"/>
        <v>0</v>
      </c>
      <c r="AO324">
        <f t="shared" si="177"/>
        <v>0</v>
      </c>
      <c r="AP324">
        <f>IF('Исходные данные'!$B$51="Да",-MAX(0,AN324-AO324-AM324),0)</f>
        <v>0</v>
      </c>
      <c r="AQ324">
        <f>IF('Исходные данные'!$B$51="Да",MAX(0,AM324+AO324-AN324),0)</f>
        <v>0</v>
      </c>
      <c r="AR324">
        <f>IF('Исходные данные'!$B$53="Выручка",MAX(0,L324+(Q324-R324)+(U324-V324)),IF('Исходные данные'!$B$53="Прибыль до налога",MAX(0,L324+(Q324-R324)+(U324-V324)+N('Исходные данные'!$B$54)*((O324+P324)+(S324+T324)+W324+X324)+IF('Исходные данные'!$B$55="Да",AG324,0)-N('Исходные данные'!$B$56)/12),IF('Исходные данные'!$B$53="Пользовательская база",MAX(0,N('Исходные данные'!$B$57)/12),0)))</f>
        <v>0</v>
      </c>
      <c r="AS324">
        <f>IF(E324=1,-AR324*N('Исходные данные'!$B$50),0)</f>
        <v>0</v>
      </c>
      <c r="AT324">
        <f t="shared" si="178"/>
        <v>0</v>
      </c>
      <c r="AU324">
        <f>IF(OR(B324="",N('Исходные данные'!$B$80)&lt;=0,'Исходные данные'!$B$88=""),0,MAX(0,IF('Исходные данные'!$B$88="Последние 12 месяцев",SUMIFS($Y$2:$Y$194,$B$2:$B$194,"&gt;="&amp;EDATE(B324,-11),$B$2:$B$194,"&lt;="&amp;B324),IF('Исходные данные'!$B$88="Пользовательский NOI",N('Исходные данные'!$B$89),AT324))/N('Исходные данные'!$B$80)*(1+N('Исходные данные'!$B$81))))</f>
        <v>0</v>
      </c>
      <c r="AV324">
        <f>IF(OR(E324&lt;&gt;1,B324="",'Исходные данные'!$B$91=""),0,IF(AND(YEAR(B324)=YEAR('Исходные данные'!$B$91),MONTH(B324)=MONTH('Исходные данные'!$B$91)),AU324,0))</f>
        <v>0</v>
      </c>
      <c r="AW324">
        <f>-AV324*N('Исходные данные'!$B$73)</f>
        <v>0</v>
      </c>
      <c r="AX324">
        <f>IF(AV324=0,0,-N('Исходные данные'!$B$87)-IF('Исходные данные'!$B$82="Да",IF('Исходные данные'!$B$84="С выручки",AV324,IF('Исходные данные'!$B$84="С прибыли",MAX(0,AV324+AW324-IF('Исходные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24">
        <f t="shared" ref="AY324:AY361" si="192">AV324+AW324+AX324</f>
        <v>0</v>
      </c>
      <c r="AZ324">
        <f t="shared" si="179"/>
        <v>0</v>
      </c>
      <c r="BA324">
        <f t="shared" ref="BA324:BA361" si="193">IF(E324=1,AZ324+N324+AP324+AS324+AY324,0)</f>
        <v>0</v>
      </c>
      <c r="BB324" t="str">
        <f t="shared" si="180"/>
        <v/>
      </c>
      <c r="BC324">
        <f>IF(OR(E324=0,'Исходные данные'!$B$9="",'Исходные данные'!$B$90=""),0,BA324/(1+'Исходные данные'!$B$90)^((D324-'Исходные данные'!$B$9)/365))</f>
        <v>0</v>
      </c>
      <c r="BD324">
        <f>IF(AND(E324=1,BB324&gt;=0,BB323&lt;0,MIN($BB$2:BB324)&lt;0),1,0)</f>
        <v>0</v>
      </c>
      <c r="BE324">
        <f t="shared" si="181"/>
        <v>0</v>
      </c>
      <c r="BF324">
        <f t="shared" si="182"/>
        <v>0</v>
      </c>
      <c r="BG324">
        <f t="shared" si="183"/>
        <v>0</v>
      </c>
      <c r="BH324">
        <f t="shared" si="184"/>
        <v>1</v>
      </c>
      <c r="BI324">
        <f>AZ324+N324+AP324-AR324*N('Исходные данные'!$B$50)</f>
        <v>0</v>
      </c>
      <c r="BJ324">
        <f t="shared" si="185"/>
        <v>0</v>
      </c>
      <c r="BK324">
        <f>IF(AND(BJ324&gt;=0,BJ323&lt;0,MIN($BJ$2:BJ324)&lt;0),1,0)</f>
        <v>0</v>
      </c>
    </row>
    <row r="325" spans="1:63" x14ac:dyDescent="0.2">
      <c r="A325">
        <v>324</v>
      </c>
      <c r="B325" t="str">
        <f>IF('Исходные данные'!$B$9="","",EDATE(DATE(YEAR('Исходные данные'!$B$9),MONTH('Исходные данные'!$B$9),1),A325-1))</f>
        <v/>
      </c>
      <c r="C325" t="str">
        <f t="shared" si="186"/>
        <v/>
      </c>
      <c r="D325" t="str">
        <f>IF(B325="","",IF('Исходные данные'!$B$91&lt;&gt;"",IF(AND(YEAR(B325)=YEAR('Исходные данные'!$B$91),MONTH(B325)=MONTH('Исходные данные'!$B$91)),'Исходные данные'!$B$91,IF('Исходные данные'!$B$13&lt;&gt;"",IF(AND(YEAR(B325)=YEAR('Исходные данные'!$B$13),MONTH(B325)=MONTH('Исходные данные'!$B$13)),'Исходные данные'!$B$13,IF('Исходные данные'!$B$26&lt;&gt;"",IF(AND(YEAR(B325)=YEAR('Исходные данные'!$B$26),MONTH(B325)=MONTH('Исходные данные'!$B$26)),'Исходные данные'!$B$26,IF(A325=1,'Исходные данные'!$B$9,C325)),IF(A325=1,'Исходные данные'!$B$9,C325))),IF('Исходные данные'!$B$26&lt;&gt;"",IF(AND(YEAR(B325)=YEAR('Исходные данные'!$B$26),MONTH(B325)=MONTH('Исходные данные'!$B$26)),'Исходные данные'!$B$26,IF(A325=1,'Исходные данные'!$B$9,C325)),IF(A325=1,'Исходные данные'!$B$9,C325)))),IF('Исходные данные'!$B$13&lt;&gt;"",IF(AND(YEAR(B325)=YEAR('Исходные данные'!$B$13),MONTH(B325)=MONTH('Исходные данные'!$B$13)),'Исходные данные'!$B$13,IF('Исходные данные'!$B$26&lt;&gt;"",IF(AND(YEAR(B325)=YEAR('Исходные данные'!$B$26),MONTH(B325)=MONTH('Исходные данные'!$B$26)),'Исходные данные'!$B$26,IF(A325=1,'Исходные данные'!$B$9,C325)),IF(A325=1,'Исходные данные'!$B$9,C325))),IF('Исходные данные'!$B$26&lt;&gt;"",IF(AND(YEAR(B325)=YEAR('Исходные данные'!$B$26),MONTH(B325)=MONTH('Исходные данные'!$B$26)),'Исходные данные'!$B$26,IF(A325=1,'Исходные данные'!$B$9,C325)),IF(A325=1,'Исходные данные'!$B$9,C325)))))</f>
        <v/>
      </c>
      <c r="E325">
        <f>IF(OR(B325="",'Исходные данные'!$B$91=""),0,--(B325&lt;=DATE(YEAR('Исходные данные'!$B$91),MONTH('Исходные данные'!$B$91),1)))</f>
        <v>0</v>
      </c>
      <c r="F325">
        <f>IF(OR(B325="",'Исходные данные'!$B$30="",C325&lt;'Исходные данные'!$B$30),0,DATEDIF(DATE(YEAR('Исходные данные'!$B$30),MONTH('Исходные данные'!$B$30),1),B325,"m")+1)</f>
        <v>0</v>
      </c>
      <c r="G325">
        <f t="shared" si="187"/>
        <v>0</v>
      </c>
      <c r="H325">
        <f>IF(F325=0,0,IF(G325=1,N('Исходные данные'!$B$31),IF(G325=2,N('Исходные данные'!$B$32),IF(G325=3,N('Исходные данные'!$B$33),N('Исходные данные'!$B$33)*(1+N('Исходные данные'!$B$34))^(G325-3)))))</f>
        <v>0</v>
      </c>
      <c r="I325">
        <f>IF(OR(F325=0,N('Исходные данные'!$B$5)=0,H325=0),0,'Исходные данные'!$B$5*H325*IF(AND(B325&lt;='Исходные данные'!$B$30,C325&gt;='Исходные данные'!$B$30),(C325-'Исходные данные'!$B$30+1)/DAY(C325),1))</f>
        <v>0</v>
      </c>
      <c r="J325">
        <f>IF(AND(F325&gt;0,F325&lt;=N('Исходные данные'!$B$37)),-I325,0)</f>
        <v>0</v>
      </c>
      <c r="K325">
        <f>IF(OR(F325=0,F325&lt;=N('Исходные данные'!$B$37)),0,-(I325+J325)*N('Исходные данные'!$B$38))</f>
        <v>0</v>
      </c>
      <c r="L325">
        <f t="shared" si="188"/>
        <v>0</v>
      </c>
      <c r="M325">
        <f>IF('Исходные данные'!$B$51="Да",L325*N('Исходные данные'!$B$52),0)</f>
        <v>0</v>
      </c>
      <c r="N325">
        <f t="shared" si="189"/>
        <v>0</v>
      </c>
      <c r="O325">
        <f>IF(OR(B325="",IF('Исходные данные'!$B$45="",'Исходные данные'!$B$10,'Исходные данные'!$B$45)="",C325&lt;IF('Исходные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данные'!$B$45)),1),B325,"m")/12))*IF(AND(B325&lt;=IF('Исходные данные'!$B$45="",'Исходные данные'!$B$10,'Исходные данные'!$B$45),C325&gt;=IF('Исходные данные'!$B$45="",'Исходные данные'!$B$10,'Исходные данные'!$B$45)),(C325-IF('Исходные данные'!$B$45="",'Исходные данные'!$B$10,'Исходные данные'!$B$45)+1)/DAY(C325),1)*IF('Исходные данные'!$B$43="Без НДС",1+N('Исходные данные'!$B$44),1))</f>
        <v>0</v>
      </c>
      <c r="P325">
        <f>IF('Исходные данные'!$B$51="Да",-O325*N('Исходные данные'!$B$44)/(1+N('Исходные данные'!$B$44)),0)</f>
        <v>0</v>
      </c>
      <c r="Q325">
        <f>IF('Исходные данные'!$B$35="Да",-O325,0)</f>
        <v>0</v>
      </c>
      <c r="R325">
        <f>IF(AND('Исходные данные'!$B$51="Да",Q325&gt;0),Q325*N('Исходные данные'!$B$52)/(1+N('Исходные данные'!$B$52)),0)</f>
        <v>0</v>
      </c>
      <c r="S325">
        <f>IF(OR(B325="",IF('Исходные данные'!$B$45="",'Исходные данные'!$B$10,'Исходные данные'!$B$45)="",C325&lt;IF('Исходные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данные'!$B$45)),1),B325,"m")/12))*IF(AND(B325&lt;=IF('Исходные данные'!$B$45="",'Исходные данные'!$B$10,'Исходные данные'!$B$45),C325&gt;=IF('Исходные данные'!$B$45="",'Исходные данные'!$B$10,'Исходные данные'!$B$45)),(C325-IF('Исходные данные'!$B$45="",'Исходные данные'!$B$10,'Исходные данные'!$B$45)+1)/DAY(C325),1)*IF('Исходные данные'!$B$43="Без НДС",1+N('Исходные данные'!$B$44),1))</f>
        <v>0</v>
      </c>
      <c r="T325">
        <f>IF('Исходные данные'!$B$51="Да",-S325*N('Исходные данные'!$B$44)/(1+N('Исходные данные'!$B$44)),0)</f>
        <v>0</v>
      </c>
      <c r="U325">
        <f>IF('Исходные данные'!$B$36="Да",-S325,0)</f>
        <v>0</v>
      </c>
      <c r="V325">
        <f>IF(AND('Исходные данные'!$B$51="Да",U325&gt;0),U325*N('Исходные данные'!$B$52)/(1+N('Исходные данные'!$B$52)),0)</f>
        <v>0</v>
      </c>
      <c r="W325">
        <f>IF(OR(B325="",IF('Исходные данные'!$B$69="",'Исходные данные'!$B$10,'Исходные данные'!$B$69)="",C325&lt;IF('Исходные данные'!$B$69="",'Исходные данные'!$B$10,'Исходные данные'!$B$69)),0,-N('Исходные данные'!$B$16)*N('Исходные данные'!$B$68)*N('Исходные данные'!$B$67)/12*IF(AND(B325&lt;=IF('Исходные данные'!$B$69="",'Исходные данные'!$B$10,'Исходные данные'!$B$69),C325&gt;=IF('Исходные данные'!$B$69="",'Исходные данные'!$B$10,'Исходные данные'!$B$69)),(C325-IF('Исходные данные'!$B$69="",'Исходные данные'!$B$10,'Исходные данные'!$B$69)+1)/DAY(C325),1))</f>
        <v>0</v>
      </c>
      <c r="X325">
        <f>IF(OR(B325="",IF('Исходные данные'!$B$76="",'Исходные данные'!$B$10,'Исходные данные'!$B$76)="",C325&lt;IF('Исходные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данные'!$B$76)),1),B325,"m")/12))*IF(AND(B325&lt;=IF('Исходные данные'!$B$76="",'Исходные данные'!$B$10,'Исходные данные'!$B$76),C325&gt;=IF('Исходные данные'!$B$76="",'Исходные данные'!$B$10,'Исходные данные'!$B$76)),(C325-IF('Исходные данные'!$B$76="",'Исходные данные'!$B$10,'Исходные данные'!$B$76)+1)/DAY(C325),1))</f>
        <v>0</v>
      </c>
      <c r="Y325">
        <f t="shared" si="190"/>
        <v>0</v>
      </c>
      <c r="Z325">
        <f>IF(OR(B325="",N('Исходные данные'!$B$19)=0),0,-SUMIFS('Исходные данные'!$I$6:$I$186,'Исходные данные'!$F$6:$F$186,B325)*N('Исходные данные'!$B$17)/N('Исходные данные'!$B$19))</f>
        <v>0</v>
      </c>
      <c r="AA325">
        <f>IF(OR(B325="",N('Исходные данные'!$B$19)=0),0,-SUMIFS('Исходные данные'!$I$6:$I$186,'Исходные данные'!$F$6:$F$186,B325)*N('Исходные данные'!$B$18)/N('Исходные данные'!$B$19))</f>
        <v>0</v>
      </c>
      <c r="AB325">
        <f>IF(OR(B325="",'Исходные данные'!$B$13=""),0,IF(AND(YEAR(B325)=YEAR('Исходные данные'!$B$13),MONTH(B325)=MONTH('Исходные данные'!$B$13)),-N('Исходные данные'!$B$11),0))</f>
        <v>0</v>
      </c>
      <c r="AC325">
        <f>IF(A325=1,-N('Исходные данные'!$B$19)*N('Исходные данные'!$B$72),0)</f>
        <v>0</v>
      </c>
      <c r="AD325">
        <f>IF(OR(B325="",'Исходные данные'!$B$22&lt;&gt;"Да",'Исходные данные'!$B$26=""),0,IF(AND(YEAR(B325)=YEAR('Исходные данные'!$B$26),MONTH(B325)=MONTH('Исходные данные'!$B$26)),N('Исходные данные'!$B$23),0))</f>
        <v>0</v>
      </c>
      <c r="AE325">
        <f t="shared" si="173"/>
        <v>0</v>
      </c>
      <c r="AF325">
        <f>IF(OR('Исходные данные'!$B$22&lt;&gt;"Да",'Исходные данные'!$B$26="",C325&lt;'Исходные данные'!$B$26),0,DATEDIF(DATE(YEAR('Исходные данные'!$B$26),MONTH('Исходные данные'!$B$26),1),B325,"m")+1)</f>
        <v>0</v>
      </c>
      <c r="AG325">
        <f>IF(OR(AF325&lt;1,AF325&gt;N('Исходные данные'!$B$25),AE325+AD325&lt;=0),0,-(AE325+AD325)*N('Исходные данные'!$B$24)*IF(AF325=1,C325-'Исходные данные'!$B$26+1,DAY(C325))/365)</f>
        <v>0</v>
      </c>
      <c r="AH325">
        <f>IF(OR(AF325&lt;1,AF325&gt;N('Исходные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данные'!$B$25)-AG325))</f>
        <v>0</v>
      </c>
      <c r="AI325">
        <f>IF(OR('Исходные данные'!$B$22&lt;&gt;"Да",AE325+AD325&lt;=0),0,IF(AND('Исходные данные'!$B$91&lt;&gt;"",B325&lt;&gt;"",YEAR(B325)=YEAR('Исходные данные'!$B$91),MONTH(B325)=MONTH('Исходные данные'!$B$91)),-(AE325+AD325),IF(OR(AF325&lt;1,AF325&gt;N('Исходные данные'!$B$25)),0,IF('Исходные данные'!$B$27="Равными долями",-MIN(AE325+AD325,N('Исходные данные'!$B$23)/N('Исходные данные'!$B$25)),-MIN(AE325+AD325,IF(AF325=N('Исходные данные'!$B$25),AE325+AD325,MAX(0,AH325+AG325)))))))</f>
        <v>0</v>
      </c>
      <c r="AJ325">
        <f t="shared" si="191"/>
        <v>0</v>
      </c>
      <c r="AK325">
        <f t="shared" si="174"/>
        <v>0</v>
      </c>
      <c r="AL325">
        <f>IF(OR(B325="",'Исходные данные'!$B$51&lt;&gt;"Да",'Исходные данные'!$B$61=""),0,IF(AND(YEAR(B325)=YEAR('Исходные данные'!$B$61),MONTH(B325)=MONTH('Исходные данные'!$B$61)),N('Исходные данные'!$B$18)*N('Исходные данные'!$B$62),0))</f>
        <v>0</v>
      </c>
      <c r="AM325">
        <f t="shared" si="175"/>
        <v>0</v>
      </c>
      <c r="AN325">
        <f t="shared" si="176"/>
        <v>0</v>
      </c>
      <c r="AO325">
        <f t="shared" si="177"/>
        <v>0</v>
      </c>
      <c r="AP325">
        <f>IF('Исходные данные'!$B$51="Да",-MAX(0,AN325-AO325-AM325),0)</f>
        <v>0</v>
      </c>
      <c r="AQ325">
        <f>IF('Исходные данные'!$B$51="Да",MAX(0,AM325+AO325-AN325),0)</f>
        <v>0</v>
      </c>
      <c r="AR325">
        <f>IF('Исходные данные'!$B$53="Выручка",MAX(0,L325+(Q325-R325)+(U325-V325)),IF('Исходные данные'!$B$53="Прибыль до налога",MAX(0,L325+(Q325-R325)+(U325-V325)+N('Исходные данные'!$B$54)*((O325+P325)+(S325+T325)+W325+X325)+IF('Исходные данные'!$B$55="Да",AG325,0)-N('Исходные данные'!$B$56)/12),IF('Исходные данные'!$B$53="Пользовательская база",MAX(0,N('Исходные данные'!$B$57)/12),0)))</f>
        <v>0</v>
      </c>
      <c r="AS325">
        <f>IF(E325=1,-AR325*N('Исходные данные'!$B$50),0)</f>
        <v>0</v>
      </c>
      <c r="AT325">
        <f t="shared" si="178"/>
        <v>0</v>
      </c>
      <c r="AU325">
        <f>IF(OR(B325="",N('Исходные данные'!$B$80)&lt;=0,'Исходные данные'!$B$88=""),0,MAX(0,IF('Исходные данные'!$B$88="Последние 12 месяцев",SUMIFS($Y$2:$Y$194,$B$2:$B$194,"&gt;="&amp;EDATE(B325,-11),$B$2:$B$194,"&lt;="&amp;B325),IF('Исходные данные'!$B$88="Пользовательский NOI",N('Исходные данные'!$B$89),AT325))/N('Исходные данные'!$B$80)*(1+N('Исходные данные'!$B$81))))</f>
        <v>0</v>
      </c>
      <c r="AV325">
        <f>IF(OR(E325&lt;&gt;1,B325="",'Исходные данные'!$B$91=""),0,IF(AND(YEAR(B325)=YEAR('Исходные данные'!$B$91),MONTH(B325)=MONTH('Исходные данные'!$B$91)),AU325,0))</f>
        <v>0</v>
      </c>
      <c r="AW325">
        <f>-AV325*N('Исходные данные'!$B$73)</f>
        <v>0</v>
      </c>
      <c r="AX325">
        <f>IF(AV325=0,0,-N('Исходные данные'!$B$87)-IF('Исходные данные'!$B$82="Да",IF('Исходные данные'!$B$84="С выручки",AV325,IF('Исходные данные'!$B$84="С прибыли",MAX(0,AV325+AW325-IF('Исходные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25">
        <f t="shared" si="192"/>
        <v>0</v>
      </c>
      <c r="AZ325">
        <f t="shared" si="179"/>
        <v>0</v>
      </c>
      <c r="BA325">
        <f t="shared" si="193"/>
        <v>0</v>
      </c>
      <c r="BB325" t="str">
        <f t="shared" si="180"/>
        <v/>
      </c>
      <c r="BC325">
        <f>IF(OR(E325=0,'Исходные данные'!$B$9="",'Исходные данные'!$B$90=""),0,BA325/(1+'Исходные данные'!$B$90)^((D325-'Исходные данные'!$B$9)/365))</f>
        <v>0</v>
      </c>
      <c r="BD325">
        <f>IF(AND(E325=1,BB325&gt;=0,BB324&lt;0,MIN($BB$2:BB325)&lt;0),1,0)</f>
        <v>0</v>
      </c>
      <c r="BE325">
        <f t="shared" si="181"/>
        <v>0</v>
      </c>
      <c r="BF325">
        <f t="shared" si="182"/>
        <v>0</v>
      </c>
      <c r="BG325">
        <f t="shared" si="183"/>
        <v>0</v>
      </c>
      <c r="BH325">
        <f t="shared" si="184"/>
        <v>1</v>
      </c>
      <c r="BI325">
        <f>AZ325+N325+AP325-AR325*N('Исходные данные'!$B$50)</f>
        <v>0</v>
      </c>
      <c r="BJ325">
        <f t="shared" si="185"/>
        <v>0</v>
      </c>
      <c r="BK325">
        <f>IF(AND(BJ325&gt;=0,BJ324&lt;0,MIN($BJ$2:BJ325)&lt;0),1,0)</f>
        <v>0</v>
      </c>
    </row>
    <row r="326" spans="1:63" x14ac:dyDescent="0.2">
      <c r="A326">
        <v>325</v>
      </c>
      <c r="B326" t="str">
        <f>IF('Исходные данные'!$B$9="","",EDATE(DATE(YEAR('Исходные данные'!$B$9),MONTH('Исходные данные'!$B$9),1),A326-1))</f>
        <v/>
      </c>
      <c r="C326" t="str">
        <f t="shared" si="186"/>
        <v/>
      </c>
      <c r="D326" t="str">
        <f>IF(B326="","",IF('Исходные данные'!$B$91&lt;&gt;"",IF(AND(YEAR(B326)=YEAR('Исходные данные'!$B$91),MONTH(B326)=MONTH('Исходные данные'!$B$91)),'Исходные данные'!$B$91,IF('Исходные данные'!$B$13&lt;&gt;"",IF(AND(YEAR(B326)=YEAR('Исходные данные'!$B$13),MONTH(B326)=MONTH('Исходные данные'!$B$13)),'Исходные данные'!$B$13,IF('Исходные данные'!$B$26&lt;&gt;"",IF(AND(YEAR(B326)=YEAR('Исходные данные'!$B$26),MONTH(B326)=MONTH('Исходные данные'!$B$26)),'Исходные данные'!$B$26,IF(A326=1,'Исходные данные'!$B$9,C326)),IF(A326=1,'Исходные данные'!$B$9,C326))),IF('Исходные данные'!$B$26&lt;&gt;"",IF(AND(YEAR(B326)=YEAR('Исходные данные'!$B$26),MONTH(B326)=MONTH('Исходные данные'!$B$26)),'Исходные данные'!$B$26,IF(A326=1,'Исходные данные'!$B$9,C326)),IF(A326=1,'Исходные данные'!$B$9,C326)))),IF('Исходные данные'!$B$13&lt;&gt;"",IF(AND(YEAR(B326)=YEAR('Исходные данные'!$B$13),MONTH(B326)=MONTH('Исходные данные'!$B$13)),'Исходные данные'!$B$13,IF('Исходные данные'!$B$26&lt;&gt;"",IF(AND(YEAR(B326)=YEAR('Исходные данные'!$B$26),MONTH(B326)=MONTH('Исходные данные'!$B$26)),'Исходные данные'!$B$26,IF(A326=1,'Исходные данные'!$B$9,C326)),IF(A326=1,'Исходные данные'!$B$9,C326))),IF('Исходные данные'!$B$26&lt;&gt;"",IF(AND(YEAR(B326)=YEAR('Исходные данные'!$B$26),MONTH(B326)=MONTH('Исходные данные'!$B$26)),'Исходные данные'!$B$26,IF(A326=1,'Исходные данные'!$B$9,C326)),IF(A326=1,'Исходные данные'!$B$9,C326)))))</f>
        <v/>
      </c>
      <c r="E326">
        <f>IF(OR(B326="",'Исходные данные'!$B$91=""),0,--(B326&lt;=DATE(YEAR('Исходные данные'!$B$91),MONTH('Исходные данные'!$B$91),1)))</f>
        <v>0</v>
      </c>
      <c r="F326">
        <f>IF(OR(B326="",'Исходные данные'!$B$30="",C326&lt;'Исходные данные'!$B$30),0,DATEDIF(DATE(YEAR('Исходные данные'!$B$30),MONTH('Исходные данные'!$B$30),1),B326,"m")+1)</f>
        <v>0</v>
      </c>
      <c r="G326">
        <f t="shared" si="187"/>
        <v>0</v>
      </c>
      <c r="H326">
        <f>IF(F326=0,0,IF(G326=1,N('Исходные данные'!$B$31),IF(G326=2,N('Исходные данные'!$B$32),IF(G326=3,N('Исходные данные'!$B$33),N('Исходные данные'!$B$33)*(1+N('Исходные данные'!$B$34))^(G326-3)))))</f>
        <v>0</v>
      </c>
      <c r="I326">
        <f>IF(OR(F326=0,N('Исходные данные'!$B$5)=0,H326=0),0,'Исходные данные'!$B$5*H326*IF(AND(B326&lt;='Исходные данные'!$B$30,C326&gt;='Исходные данные'!$B$30),(C326-'Исходные данные'!$B$30+1)/DAY(C326),1))</f>
        <v>0</v>
      </c>
      <c r="J326">
        <f>IF(AND(F326&gt;0,F326&lt;=N('Исходные данные'!$B$37)),-I326,0)</f>
        <v>0</v>
      </c>
      <c r="K326">
        <f>IF(OR(F326=0,F326&lt;=N('Исходные данные'!$B$37)),0,-(I326+J326)*N('Исходные данные'!$B$38))</f>
        <v>0</v>
      </c>
      <c r="L326">
        <f t="shared" si="188"/>
        <v>0</v>
      </c>
      <c r="M326">
        <f>IF('Исходные данные'!$B$51="Да",L326*N('Исходные данные'!$B$52),0)</f>
        <v>0</v>
      </c>
      <c r="N326">
        <f t="shared" si="189"/>
        <v>0</v>
      </c>
      <c r="O326">
        <f>IF(OR(B326="",IF('Исходные данные'!$B$45="",'Исходные данные'!$B$10,'Исходные данные'!$B$45)="",C326&lt;IF('Исходные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данные'!$B$45)),1),B326,"m")/12))*IF(AND(B326&lt;=IF('Исходные данные'!$B$45="",'Исходные данные'!$B$10,'Исходные данные'!$B$45),C326&gt;=IF('Исходные данные'!$B$45="",'Исходные данные'!$B$10,'Исходные данные'!$B$45)),(C326-IF('Исходные данные'!$B$45="",'Исходные данные'!$B$10,'Исходные данные'!$B$45)+1)/DAY(C326),1)*IF('Исходные данные'!$B$43="Без НДС",1+N('Исходные данные'!$B$44),1))</f>
        <v>0</v>
      </c>
      <c r="P326">
        <f>IF('Исходные данные'!$B$51="Да",-O326*N('Исходные данные'!$B$44)/(1+N('Исходные данные'!$B$44)),0)</f>
        <v>0</v>
      </c>
      <c r="Q326">
        <f>IF('Исходные данные'!$B$35="Да",-O326,0)</f>
        <v>0</v>
      </c>
      <c r="R326">
        <f>IF(AND('Исходные данные'!$B$51="Да",Q326&gt;0),Q326*N('Исходные данные'!$B$52)/(1+N('Исходные данные'!$B$52)),0)</f>
        <v>0</v>
      </c>
      <c r="S326">
        <f>IF(OR(B326="",IF('Исходные данные'!$B$45="",'Исходные данные'!$B$10,'Исходные данные'!$B$45)="",C326&lt;IF('Исходные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данные'!$B$45)),1),B326,"m")/12))*IF(AND(B326&lt;=IF('Исходные данные'!$B$45="",'Исходные данные'!$B$10,'Исходные данные'!$B$45),C326&gt;=IF('Исходные данные'!$B$45="",'Исходные данные'!$B$10,'Исходные данные'!$B$45)),(C326-IF('Исходные данные'!$B$45="",'Исходные данные'!$B$10,'Исходные данные'!$B$45)+1)/DAY(C326),1)*IF('Исходные данные'!$B$43="Без НДС",1+N('Исходные данные'!$B$44),1))</f>
        <v>0</v>
      </c>
      <c r="T326">
        <f>IF('Исходные данные'!$B$51="Да",-S326*N('Исходные данные'!$B$44)/(1+N('Исходные данные'!$B$44)),0)</f>
        <v>0</v>
      </c>
      <c r="U326">
        <f>IF('Исходные данные'!$B$36="Да",-S326,0)</f>
        <v>0</v>
      </c>
      <c r="V326">
        <f>IF(AND('Исходные данные'!$B$51="Да",U326&gt;0),U326*N('Исходные данные'!$B$52)/(1+N('Исходные данные'!$B$52)),0)</f>
        <v>0</v>
      </c>
      <c r="W326">
        <f>IF(OR(B326="",IF('Исходные данные'!$B$69="",'Исходные данные'!$B$10,'Исходные данные'!$B$69)="",C326&lt;IF('Исходные данные'!$B$69="",'Исходные данные'!$B$10,'Исходные данные'!$B$69)),0,-N('Исходные данные'!$B$16)*N('Исходные данные'!$B$68)*N('Исходные данные'!$B$67)/12*IF(AND(B326&lt;=IF('Исходные данные'!$B$69="",'Исходные данные'!$B$10,'Исходные данные'!$B$69),C326&gt;=IF('Исходные данные'!$B$69="",'Исходные данные'!$B$10,'Исходные данные'!$B$69)),(C326-IF('Исходные данные'!$B$69="",'Исходные данные'!$B$10,'Исходные данные'!$B$69)+1)/DAY(C326),1))</f>
        <v>0</v>
      </c>
      <c r="X326">
        <f>IF(OR(B326="",IF('Исходные данные'!$B$76="",'Исходные данные'!$B$10,'Исходные данные'!$B$76)="",C326&lt;IF('Исходные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данные'!$B$76)),1),B326,"m")/12))*IF(AND(B326&lt;=IF('Исходные данные'!$B$76="",'Исходные данные'!$B$10,'Исходные данные'!$B$76),C326&gt;=IF('Исходные данные'!$B$76="",'Исходные данные'!$B$10,'Исходные данные'!$B$76)),(C326-IF('Исходные данные'!$B$76="",'Исходные данные'!$B$10,'Исходные данные'!$B$76)+1)/DAY(C326),1))</f>
        <v>0</v>
      </c>
      <c r="Y326">
        <f t="shared" si="190"/>
        <v>0</v>
      </c>
      <c r="Z326">
        <f>IF(OR(B326="",N('Исходные данные'!$B$19)=0),0,-SUMIFS('Исходные данные'!$I$6:$I$186,'Исходные данные'!$F$6:$F$186,B326)*N('Исходные данные'!$B$17)/N('Исходные данные'!$B$19))</f>
        <v>0</v>
      </c>
      <c r="AA326">
        <f>IF(OR(B326="",N('Исходные данные'!$B$19)=0),0,-SUMIFS('Исходные данные'!$I$6:$I$186,'Исходные данные'!$F$6:$F$186,B326)*N('Исходные данные'!$B$18)/N('Исходные данные'!$B$19))</f>
        <v>0</v>
      </c>
      <c r="AB326">
        <f>IF(OR(B326="",'Исходные данные'!$B$13=""),0,IF(AND(YEAR(B326)=YEAR('Исходные данные'!$B$13),MONTH(B326)=MONTH('Исходные данные'!$B$13)),-N('Исходные данные'!$B$11),0))</f>
        <v>0</v>
      </c>
      <c r="AC326">
        <f>IF(A326=1,-N('Исходные данные'!$B$19)*N('Исходные данные'!$B$72),0)</f>
        <v>0</v>
      </c>
      <c r="AD326">
        <f>IF(OR(B326="",'Исходные данные'!$B$22&lt;&gt;"Да",'Исходные данные'!$B$26=""),0,IF(AND(YEAR(B326)=YEAR('Исходные данные'!$B$26),MONTH(B326)=MONTH('Исходные данные'!$B$26)),N('Исходные данные'!$B$23),0))</f>
        <v>0</v>
      </c>
      <c r="AE326">
        <f t="shared" si="173"/>
        <v>0</v>
      </c>
      <c r="AF326">
        <f>IF(OR('Исходные данные'!$B$22&lt;&gt;"Да",'Исходные данные'!$B$26="",C326&lt;'Исходные данные'!$B$26),0,DATEDIF(DATE(YEAR('Исходные данные'!$B$26),MONTH('Исходные данные'!$B$26),1),B326,"m")+1)</f>
        <v>0</v>
      </c>
      <c r="AG326">
        <f>IF(OR(AF326&lt;1,AF326&gt;N('Исходные данные'!$B$25),AE326+AD326&lt;=0),0,-(AE326+AD326)*N('Исходные данные'!$B$24)*IF(AF326=1,C326-'Исходные данные'!$B$26+1,DAY(C326))/365)</f>
        <v>0</v>
      </c>
      <c r="AH326">
        <f>IF(OR(AF326&lt;1,AF326&gt;N('Исходные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данные'!$B$25)-AG326))</f>
        <v>0</v>
      </c>
      <c r="AI326">
        <f>IF(OR('Исходные данные'!$B$22&lt;&gt;"Да",AE326+AD326&lt;=0),0,IF(AND('Исходные данные'!$B$91&lt;&gt;"",B326&lt;&gt;"",YEAR(B326)=YEAR('Исходные данные'!$B$91),MONTH(B326)=MONTH('Исходные данные'!$B$91)),-(AE326+AD326),IF(OR(AF326&lt;1,AF326&gt;N('Исходные данные'!$B$25)),0,IF('Исходные данные'!$B$27="Равными долями",-MIN(AE326+AD326,N('Исходные данные'!$B$23)/N('Исходные данные'!$B$25)),-MIN(AE326+AD326,IF(AF326=N('Исходные данные'!$B$25),AE326+AD326,MAX(0,AH326+AG326)))))))</f>
        <v>0</v>
      </c>
      <c r="AJ326">
        <f t="shared" si="191"/>
        <v>0</v>
      </c>
      <c r="AK326">
        <f t="shared" si="174"/>
        <v>0</v>
      </c>
      <c r="AL326">
        <f>IF(OR(B326="",'Исходные данные'!$B$51&lt;&gt;"Да",'Исходные данные'!$B$61=""),0,IF(AND(YEAR(B326)=YEAR('Исходные данные'!$B$61),MONTH(B326)=MONTH('Исходные данные'!$B$61)),N('Исходные данные'!$B$18)*N('Исходные данные'!$B$62),0))</f>
        <v>0</v>
      </c>
      <c r="AM326">
        <f t="shared" si="175"/>
        <v>0</v>
      </c>
      <c r="AN326">
        <f t="shared" si="176"/>
        <v>0</v>
      </c>
      <c r="AO326">
        <f t="shared" si="177"/>
        <v>0</v>
      </c>
      <c r="AP326">
        <f>IF('Исходные данные'!$B$51="Да",-MAX(0,AN326-AO326-AM326),0)</f>
        <v>0</v>
      </c>
      <c r="AQ326">
        <f>IF('Исходные данные'!$B$51="Да",MAX(0,AM326+AO326-AN326),0)</f>
        <v>0</v>
      </c>
      <c r="AR326">
        <f>IF('Исходные данные'!$B$53="Выручка",MAX(0,L326+(Q326-R326)+(U326-V326)),IF('Исходные данные'!$B$53="Прибыль до налога",MAX(0,L326+(Q326-R326)+(U326-V326)+N('Исходные данные'!$B$54)*((O326+P326)+(S326+T326)+W326+X326)+IF('Исходные данные'!$B$55="Да",AG326,0)-N('Исходные данные'!$B$56)/12),IF('Исходные данные'!$B$53="Пользовательская база",MAX(0,N('Исходные данные'!$B$57)/12),0)))</f>
        <v>0</v>
      </c>
      <c r="AS326">
        <f>IF(E326=1,-AR326*N('Исходные данные'!$B$50),0)</f>
        <v>0</v>
      </c>
      <c r="AT326">
        <f t="shared" si="178"/>
        <v>0</v>
      </c>
      <c r="AU326">
        <f>IF(OR(B326="",N('Исходные данные'!$B$80)&lt;=0,'Исходные данные'!$B$88=""),0,MAX(0,IF('Исходные данные'!$B$88="Последние 12 месяцев",SUMIFS($Y$2:$Y$194,$B$2:$B$194,"&gt;="&amp;EDATE(B326,-11),$B$2:$B$194,"&lt;="&amp;B326),IF('Исходные данные'!$B$88="Пользовательский NOI",N('Исходные данные'!$B$89),AT326))/N('Исходные данные'!$B$80)*(1+N('Исходные данные'!$B$81))))</f>
        <v>0</v>
      </c>
      <c r="AV326">
        <f>IF(OR(E326&lt;&gt;1,B326="",'Исходные данные'!$B$91=""),0,IF(AND(YEAR(B326)=YEAR('Исходные данные'!$B$91),MONTH(B326)=MONTH('Исходные данные'!$B$91)),AU326,0))</f>
        <v>0</v>
      </c>
      <c r="AW326">
        <f>-AV326*N('Исходные данные'!$B$73)</f>
        <v>0</v>
      </c>
      <c r="AX326">
        <f>IF(AV326=0,0,-N('Исходные данные'!$B$87)-IF('Исходные данные'!$B$82="Да",IF('Исходные данные'!$B$84="С выручки",AV326,IF('Исходные данные'!$B$84="С прибыли",MAX(0,AV326+AW326-IF('Исходные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26">
        <f t="shared" si="192"/>
        <v>0</v>
      </c>
      <c r="AZ326">
        <f t="shared" si="179"/>
        <v>0</v>
      </c>
      <c r="BA326">
        <f t="shared" si="193"/>
        <v>0</v>
      </c>
      <c r="BB326" t="str">
        <f t="shared" si="180"/>
        <v/>
      </c>
      <c r="BC326">
        <f>IF(OR(E326=0,'Исходные данные'!$B$9="",'Исходные данные'!$B$90=""),0,BA326/(1+'Исходные данные'!$B$90)^((D326-'Исходные данные'!$B$9)/365))</f>
        <v>0</v>
      </c>
      <c r="BD326">
        <f>IF(AND(E326=1,BB326&gt;=0,BB325&lt;0,MIN($BB$2:BB326)&lt;0),1,0)</f>
        <v>0</v>
      </c>
      <c r="BE326">
        <f t="shared" si="181"/>
        <v>0</v>
      </c>
      <c r="BF326">
        <f t="shared" si="182"/>
        <v>0</v>
      </c>
      <c r="BG326">
        <f t="shared" si="183"/>
        <v>0</v>
      </c>
      <c r="BH326">
        <f t="shared" si="184"/>
        <v>1</v>
      </c>
      <c r="BI326">
        <f>AZ326+N326+AP326-AR326*N('Исходные данные'!$B$50)</f>
        <v>0</v>
      </c>
      <c r="BJ326">
        <f t="shared" si="185"/>
        <v>0</v>
      </c>
      <c r="BK326">
        <f>IF(AND(BJ326&gt;=0,BJ325&lt;0,MIN($BJ$2:BJ326)&lt;0),1,0)</f>
        <v>0</v>
      </c>
    </row>
    <row r="327" spans="1:63" x14ac:dyDescent="0.2">
      <c r="A327">
        <v>326</v>
      </c>
      <c r="B327" t="str">
        <f>IF('Исходные данные'!$B$9="","",EDATE(DATE(YEAR('Исходные данные'!$B$9),MONTH('Исходные данные'!$B$9),1),A327-1))</f>
        <v/>
      </c>
      <c r="C327" t="str">
        <f t="shared" si="186"/>
        <v/>
      </c>
      <c r="D327" t="str">
        <f>IF(B327="","",IF('Исходные данные'!$B$91&lt;&gt;"",IF(AND(YEAR(B327)=YEAR('Исходные данные'!$B$91),MONTH(B327)=MONTH('Исходные данные'!$B$91)),'Исходные данные'!$B$91,IF('Исходные данные'!$B$13&lt;&gt;"",IF(AND(YEAR(B327)=YEAR('Исходные данные'!$B$13),MONTH(B327)=MONTH('Исходные данные'!$B$13)),'Исходные данные'!$B$13,IF('Исходные данные'!$B$26&lt;&gt;"",IF(AND(YEAR(B327)=YEAR('Исходные данные'!$B$26),MONTH(B327)=MONTH('Исходные данные'!$B$26)),'Исходные данные'!$B$26,IF(A327=1,'Исходные данные'!$B$9,C327)),IF(A327=1,'Исходные данные'!$B$9,C327))),IF('Исходные данные'!$B$26&lt;&gt;"",IF(AND(YEAR(B327)=YEAR('Исходные данные'!$B$26),MONTH(B327)=MONTH('Исходные данные'!$B$26)),'Исходные данные'!$B$26,IF(A327=1,'Исходные данные'!$B$9,C327)),IF(A327=1,'Исходные данные'!$B$9,C327)))),IF('Исходные данные'!$B$13&lt;&gt;"",IF(AND(YEAR(B327)=YEAR('Исходные данные'!$B$13),MONTH(B327)=MONTH('Исходные данные'!$B$13)),'Исходные данные'!$B$13,IF('Исходные данные'!$B$26&lt;&gt;"",IF(AND(YEAR(B327)=YEAR('Исходные данные'!$B$26),MONTH(B327)=MONTH('Исходные данные'!$B$26)),'Исходные данные'!$B$26,IF(A327=1,'Исходные данные'!$B$9,C327)),IF(A327=1,'Исходные данные'!$B$9,C327))),IF('Исходные данные'!$B$26&lt;&gt;"",IF(AND(YEAR(B327)=YEAR('Исходные данные'!$B$26),MONTH(B327)=MONTH('Исходные данные'!$B$26)),'Исходные данные'!$B$26,IF(A327=1,'Исходные данные'!$B$9,C327)),IF(A327=1,'Исходные данные'!$B$9,C327)))))</f>
        <v/>
      </c>
      <c r="E327">
        <f>IF(OR(B327="",'Исходные данные'!$B$91=""),0,--(B327&lt;=DATE(YEAR('Исходные данные'!$B$91),MONTH('Исходные данные'!$B$91),1)))</f>
        <v>0</v>
      </c>
      <c r="F327">
        <f>IF(OR(B327="",'Исходные данные'!$B$30="",C327&lt;'Исходные данные'!$B$30),0,DATEDIF(DATE(YEAR('Исходные данные'!$B$30),MONTH('Исходные данные'!$B$30),1),B327,"m")+1)</f>
        <v>0</v>
      </c>
      <c r="G327">
        <f t="shared" si="187"/>
        <v>0</v>
      </c>
      <c r="H327">
        <f>IF(F327=0,0,IF(G327=1,N('Исходные данные'!$B$31),IF(G327=2,N('Исходные данные'!$B$32),IF(G327=3,N('Исходные данные'!$B$33),N('Исходные данные'!$B$33)*(1+N('Исходные данные'!$B$34))^(G327-3)))))</f>
        <v>0</v>
      </c>
      <c r="I327">
        <f>IF(OR(F327=0,N('Исходные данные'!$B$5)=0,H327=0),0,'Исходные данные'!$B$5*H327*IF(AND(B327&lt;='Исходные данные'!$B$30,C327&gt;='Исходные данные'!$B$30),(C327-'Исходные данные'!$B$30+1)/DAY(C327),1))</f>
        <v>0</v>
      </c>
      <c r="J327">
        <f>IF(AND(F327&gt;0,F327&lt;=N('Исходные данные'!$B$37)),-I327,0)</f>
        <v>0</v>
      </c>
      <c r="K327">
        <f>IF(OR(F327=0,F327&lt;=N('Исходные данные'!$B$37)),0,-(I327+J327)*N('Исходные данные'!$B$38))</f>
        <v>0</v>
      </c>
      <c r="L327">
        <f t="shared" si="188"/>
        <v>0</v>
      </c>
      <c r="M327">
        <f>IF('Исходные данные'!$B$51="Да",L327*N('Исходные данные'!$B$52),0)</f>
        <v>0</v>
      </c>
      <c r="N327">
        <f t="shared" si="189"/>
        <v>0</v>
      </c>
      <c r="O327">
        <f>IF(OR(B327="",IF('Исходные данные'!$B$45="",'Исходные данные'!$B$10,'Исходные данные'!$B$45)="",C327&lt;IF('Исходные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данные'!$B$45)),1),B327,"m")/12))*IF(AND(B327&lt;=IF('Исходные данные'!$B$45="",'Исходные данные'!$B$10,'Исходные данные'!$B$45),C327&gt;=IF('Исходные данные'!$B$45="",'Исходные данные'!$B$10,'Исходные данные'!$B$45)),(C327-IF('Исходные данные'!$B$45="",'Исходные данные'!$B$10,'Исходные данные'!$B$45)+1)/DAY(C327),1)*IF('Исходные данные'!$B$43="Без НДС",1+N('Исходные данные'!$B$44),1))</f>
        <v>0</v>
      </c>
      <c r="P327">
        <f>IF('Исходные данные'!$B$51="Да",-O327*N('Исходные данные'!$B$44)/(1+N('Исходные данные'!$B$44)),0)</f>
        <v>0</v>
      </c>
      <c r="Q327">
        <f>IF('Исходные данные'!$B$35="Да",-O327,0)</f>
        <v>0</v>
      </c>
      <c r="R327">
        <f>IF(AND('Исходные данные'!$B$51="Да",Q327&gt;0),Q327*N('Исходные данные'!$B$52)/(1+N('Исходные данные'!$B$52)),0)</f>
        <v>0</v>
      </c>
      <c r="S327">
        <f>IF(OR(B327="",IF('Исходные данные'!$B$45="",'Исходные данные'!$B$10,'Исходные данные'!$B$45)="",C327&lt;IF('Исходные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данные'!$B$45)),1),B327,"m")/12))*IF(AND(B327&lt;=IF('Исходные данные'!$B$45="",'Исходные данные'!$B$10,'Исходные данные'!$B$45),C327&gt;=IF('Исходные данные'!$B$45="",'Исходные данные'!$B$10,'Исходные данные'!$B$45)),(C327-IF('Исходные данные'!$B$45="",'Исходные данные'!$B$10,'Исходные данные'!$B$45)+1)/DAY(C327),1)*IF('Исходные данные'!$B$43="Без НДС",1+N('Исходные данные'!$B$44),1))</f>
        <v>0</v>
      </c>
      <c r="T327">
        <f>IF('Исходные данные'!$B$51="Да",-S327*N('Исходные данные'!$B$44)/(1+N('Исходные данные'!$B$44)),0)</f>
        <v>0</v>
      </c>
      <c r="U327">
        <f>IF('Исходные данные'!$B$36="Да",-S327,0)</f>
        <v>0</v>
      </c>
      <c r="V327">
        <f>IF(AND('Исходные данные'!$B$51="Да",U327&gt;0),U327*N('Исходные данные'!$B$52)/(1+N('Исходные данные'!$B$52)),0)</f>
        <v>0</v>
      </c>
      <c r="W327">
        <f>IF(OR(B327="",IF('Исходные данные'!$B$69="",'Исходные данные'!$B$10,'Исходные данные'!$B$69)="",C327&lt;IF('Исходные данные'!$B$69="",'Исходные данные'!$B$10,'Исходные данные'!$B$69)),0,-N('Исходные данные'!$B$16)*N('Исходные данные'!$B$68)*N('Исходные данные'!$B$67)/12*IF(AND(B327&lt;=IF('Исходные данные'!$B$69="",'Исходные данные'!$B$10,'Исходные данные'!$B$69),C327&gt;=IF('Исходные данные'!$B$69="",'Исходные данные'!$B$10,'Исходные данные'!$B$69)),(C327-IF('Исходные данные'!$B$69="",'Исходные данные'!$B$10,'Исходные данные'!$B$69)+1)/DAY(C327),1))</f>
        <v>0</v>
      </c>
      <c r="X327">
        <f>IF(OR(B327="",IF('Исходные данные'!$B$76="",'Исходные данные'!$B$10,'Исходные данные'!$B$76)="",C327&lt;IF('Исходные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данные'!$B$76)),1),B327,"m")/12))*IF(AND(B327&lt;=IF('Исходные данные'!$B$76="",'Исходные данные'!$B$10,'Исходные данные'!$B$76),C327&gt;=IF('Исходные данные'!$B$76="",'Исходные данные'!$B$10,'Исходные данные'!$B$76)),(C327-IF('Исходные данные'!$B$76="",'Исходные данные'!$B$10,'Исходные данные'!$B$76)+1)/DAY(C327),1))</f>
        <v>0</v>
      </c>
      <c r="Y327">
        <f t="shared" si="190"/>
        <v>0</v>
      </c>
      <c r="Z327">
        <f>IF(OR(B327="",N('Исходные данные'!$B$19)=0),0,-SUMIFS('Исходные данные'!$I$6:$I$186,'Исходные данные'!$F$6:$F$186,B327)*N('Исходные данные'!$B$17)/N('Исходные данные'!$B$19))</f>
        <v>0</v>
      </c>
      <c r="AA327">
        <f>IF(OR(B327="",N('Исходные данные'!$B$19)=0),0,-SUMIFS('Исходные данные'!$I$6:$I$186,'Исходные данные'!$F$6:$F$186,B327)*N('Исходные данные'!$B$18)/N('Исходные данные'!$B$19))</f>
        <v>0</v>
      </c>
      <c r="AB327">
        <f>IF(OR(B327="",'Исходные данные'!$B$13=""),0,IF(AND(YEAR(B327)=YEAR('Исходные данные'!$B$13),MONTH(B327)=MONTH('Исходные данные'!$B$13)),-N('Исходные данные'!$B$11),0))</f>
        <v>0</v>
      </c>
      <c r="AC327">
        <f>IF(A327=1,-N('Исходные данные'!$B$19)*N('Исходные данные'!$B$72),0)</f>
        <v>0</v>
      </c>
      <c r="AD327">
        <f>IF(OR(B327="",'Исходные данные'!$B$22&lt;&gt;"Да",'Исходные данные'!$B$26=""),0,IF(AND(YEAR(B327)=YEAR('Исходные данные'!$B$26),MONTH(B327)=MONTH('Исходные данные'!$B$26)),N('Исходные данные'!$B$23),0))</f>
        <v>0</v>
      </c>
      <c r="AE327">
        <f t="shared" si="173"/>
        <v>0</v>
      </c>
      <c r="AF327">
        <f>IF(OR('Исходные данные'!$B$22&lt;&gt;"Да",'Исходные данные'!$B$26="",C327&lt;'Исходные данные'!$B$26),0,DATEDIF(DATE(YEAR('Исходные данные'!$B$26),MONTH('Исходные данные'!$B$26),1),B327,"m")+1)</f>
        <v>0</v>
      </c>
      <c r="AG327">
        <f>IF(OR(AF327&lt;1,AF327&gt;N('Исходные данные'!$B$25),AE327+AD327&lt;=0),0,-(AE327+AD327)*N('Исходные данные'!$B$24)*IF(AF327=1,C327-'Исходные данные'!$B$26+1,DAY(C327))/365)</f>
        <v>0</v>
      </c>
      <c r="AH327">
        <f>IF(OR(AF327&lt;1,AF327&gt;N('Исходные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данные'!$B$25)-AG327))</f>
        <v>0</v>
      </c>
      <c r="AI327">
        <f>IF(OR('Исходные данные'!$B$22&lt;&gt;"Да",AE327+AD327&lt;=0),0,IF(AND('Исходные данные'!$B$91&lt;&gt;"",B327&lt;&gt;"",YEAR(B327)=YEAR('Исходные данные'!$B$91),MONTH(B327)=MONTH('Исходные данные'!$B$91)),-(AE327+AD327),IF(OR(AF327&lt;1,AF327&gt;N('Исходные данные'!$B$25)),0,IF('Исходные данные'!$B$27="Равными долями",-MIN(AE327+AD327,N('Исходные данные'!$B$23)/N('Исходные данные'!$B$25)),-MIN(AE327+AD327,IF(AF327=N('Исходные данные'!$B$25),AE327+AD327,MAX(0,AH327+AG327)))))))</f>
        <v>0</v>
      </c>
      <c r="AJ327">
        <f t="shared" si="191"/>
        <v>0</v>
      </c>
      <c r="AK327">
        <f t="shared" si="174"/>
        <v>0</v>
      </c>
      <c r="AL327">
        <f>IF(OR(B327="",'Исходные данные'!$B$51&lt;&gt;"Да",'Исходные данные'!$B$61=""),0,IF(AND(YEAR(B327)=YEAR('Исходные данные'!$B$61),MONTH(B327)=MONTH('Исходные данные'!$B$61)),N('Исходные данные'!$B$18)*N('Исходные данные'!$B$62),0))</f>
        <v>0</v>
      </c>
      <c r="AM327">
        <f t="shared" si="175"/>
        <v>0</v>
      </c>
      <c r="AN327">
        <f t="shared" si="176"/>
        <v>0</v>
      </c>
      <c r="AO327">
        <f t="shared" si="177"/>
        <v>0</v>
      </c>
      <c r="AP327">
        <f>IF('Исходные данные'!$B$51="Да",-MAX(0,AN327-AO327-AM327),0)</f>
        <v>0</v>
      </c>
      <c r="AQ327">
        <f>IF('Исходные данные'!$B$51="Да",MAX(0,AM327+AO327-AN327),0)</f>
        <v>0</v>
      </c>
      <c r="AR327">
        <f>IF('Исходные данные'!$B$53="Выручка",MAX(0,L327+(Q327-R327)+(U327-V327)),IF('Исходные данные'!$B$53="Прибыль до налога",MAX(0,L327+(Q327-R327)+(U327-V327)+N('Исходные данные'!$B$54)*((O327+P327)+(S327+T327)+W327+X327)+IF('Исходные данные'!$B$55="Да",AG327,0)-N('Исходные данные'!$B$56)/12),IF('Исходные данные'!$B$53="Пользовательская база",MAX(0,N('Исходные данные'!$B$57)/12),0)))</f>
        <v>0</v>
      </c>
      <c r="AS327">
        <f>IF(E327=1,-AR327*N('Исходные данные'!$B$50),0)</f>
        <v>0</v>
      </c>
      <c r="AT327">
        <f t="shared" si="178"/>
        <v>0</v>
      </c>
      <c r="AU327">
        <f>IF(OR(B327="",N('Исходные данные'!$B$80)&lt;=0,'Исходные данные'!$B$88=""),0,MAX(0,IF('Исходные данные'!$B$88="Последние 12 месяцев",SUMIFS($Y$2:$Y$194,$B$2:$B$194,"&gt;="&amp;EDATE(B327,-11),$B$2:$B$194,"&lt;="&amp;B327),IF('Исходные данные'!$B$88="Пользовательский NOI",N('Исходные данные'!$B$89),AT327))/N('Исходные данные'!$B$80)*(1+N('Исходные данные'!$B$81))))</f>
        <v>0</v>
      </c>
      <c r="AV327">
        <f>IF(OR(E327&lt;&gt;1,B327="",'Исходные данные'!$B$91=""),0,IF(AND(YEAR(B327)=YEAR('Исходные данные'!$B$91),MONTH(B327)=MONTH('Исходные данные'!$B$91)),AU327,0))</f>
        <v>0</v>
      </c>
      <c r="AW327">
        <f>-AV327*N('Исходные данные'!$B$73)</f>
        <v>0</v>
      </c>
      <c r="AX327">
        <f>IF(AV327=0,0,-N('Исходные данные'!$B$87)-IF('Исходные данные'!$B$82="Да",IF('Исходные данные'!$B$84="С выручки",AV327,IF('Исходные данные'!$B$84="С прибыли",MAX(0,AV327+AW327-IF('Исходные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27">
        <f t="shared" si="192"/>
        <v>0</v>
      </c>
      <c r="AZ327">
        <f t="shared" si="179"/>
        <v>0</v>
      </c>
      <c r="BA327">
        <f t="shared" si="193"/>
        <v>0</v>
      </c>
      <c r="BB327" t="str">
        <f t="shared" si="180"/>
        <v/>
      </c>
      <c r="BC327">
        <f>IF(OR(E327=0,'Исходные данные'!$B$9="",'Исходные данные'!$B$90=""),0,BA327/(1+'Исходные данные'!$B$90)^((D327-'Исходные данные'!$B$9)/365))</f>
        <v>0</v>
      </c>
      <c r="BD327">
        <f>IF(AND(E327=1,BB327&gt;=0,BB326&lt;0,MIN($BB$2:BB327)&lt;0),1,0)</f>
        <v>0</v>
      </c>
      <c r="BE327">
        <f t="shared" si="181"/>
        <v>0</v>
      </c>
      <c r="BF327">
        <f t="shared" si="182"/>
        <v>0</v>
      </c>
      <c r="BG327">
        <f t="shared" si="183"/>
        <v>0</v>
      </c>
      <c r="BH327">
        <f t="shared" si="184"/>
        <v>1</v>
      </c>
      <c r="BI327">
        <f>AZ327+N327+AP327-AR327*N('Исходные данные'!$B$50)</f>
        <v>0</v>
      </c>
      <c r="BJ327">
        <f t="shared" si="185"/>
        <v>0</v>
      </c>
      <c r="BK327">
        <f>IF(AND(BJ327&gt;=0,BJ326&lt;0,MIN($BJ$2:BJ327)&lt;0),1,0)</f>
        <v>0</v>
      </c>
    </row>
    <row r="328" spans="1:63" x14ac:dyDescent="0.2">
      <c r="A328">
        <v>327</v>
      </c>
      <c r="B328" t="str">
        <f>IF('Исходные данные'!$B$9="","",EDATE(DATE(YEAR('Исходные данные'!$B$9),MONTH('Исходные данные'!$B$9),1),A328-1))</f>
        <v/>
      </c>
      <c r="C328" t="str">
        <f t="shared" si="186"/>
        <v/>
      </c>
      <c r="D328" t="str">
        <f>IF(B328="","",IF('Исходные данные'!$B$91&lt;&gt;"",IF(AND(YEAR(B328)=YEAR('Исходные данные'!$B$91),MONTH(B328)=MONTH('Исходные данные'!$B$91)),'Исходные данные'!$B$91,IF('Исходные данные'!$B$13&lt;&gt;"",IF(AND(YEAR(B328)=YEAR('Исходные данные'!$B$13),MONTH(B328)=MONTH('Исходные данные'!$B$13)),'Исходные данные'!$B$13,IF('Исходные данные'!$B$26&lt;&gt;"",IF(AND(YEAR(B328)=YEAR('Исходные данные'!$B$26),MONTH(B328)=MONTH('Исходные данные'!$B$26)),'Исходные данные'!$B$26,IF(A328=1,'Исходные данные'!$B$9,C328)),IF(A328=1,'Исходные данные'!$B$9,C328))),IF('Исходные данные'!$B$26&lt;&gt;"",IF(AND(YEAR(B328)=YEAR('Исходные данные'!$B$26),MONTH(B328)=MONTH('Исходные данные'!$B$26)),'Исходные данные'!$B$26,IF(A328=1,'Исходные данные'!$B$9,C328)),IF(A328=1,'Исходные данные'!$B$9,C328)))),IF('Исходные данные'!$B$13&lt;&gt;"",IF(AND(YEAR(B328)=YEAR('Исходные данные'!$B$13),MONTH(B328)=MONTH('Исходные данные'!$B$13)),'Исходные данные'!$B$13,IF('Исходные данные'!$B$26&lt;&gt;"",IF(AND(YEAR(B328)=YEAR('Исходные данные'!$B$26),MONTH(B328)=MONTH('Исходные данные'!$B$26)),'Исходные данные'!$B$26,IF(A328=1,'Исходные данные'!$B$9,C328)),IF(A328=1,'Исходные данные'!$B$9,C328))),IF('Исходные данные'!$B$26&lt;&gt;"",IF(AND(YEAR(B328)=YEAR('Исходные данные'!$B$26),MONTH(B328)=MONTH('Исходные данные'!$B$26)),'Исходные данные'!$B$26,IF(A328=1,'Исходные данные'!$B$9,C328)),IF(A328=1,'Исходные данные'!$B$9,C328)))))</f>
        <v/>
      </c>
      <c r="E328">
        <f>IF(OR(B328="",'Исходные данные'!$B$91=""),0,--(B328&lt;=DATE(YEAR('Исходные данные'!$B$91),MONTH('Исходные данные'!$B$91),1)))</f>
        <v>0</v>
      </c>
      <c r="F328">
        <f>IF(OR(B328="",'Исходные данные'!$B$30="",C328&lt;'Исходные данные'!$B$30),0,DATEDIF(DATE(YEAR('Исходные данные'!$B$30),MONTH('Исходные данные'!$B$30),1),B328,"m")+1)</f>
        <v>0</v>
      </c>
      <c r="G328">
        <f t="shared" si="187"/>
        <v>0</v>
      </c>
      <c r="H328">
        <f>IF(F328=0,0,IF(G328=1,N('Исходные данные'!$B$31),IF(G328=2,N('Исходные данные'!$B$32),IF(G328=3,N('Исходные данные'!$B$33),N('Исходные данные'!$B$33)*(1+N('Исходные данные'!$B$34))^(G328-3)))))</f>
        <v>0</v>
      </c>
      <c r="I328">
        <f>IF(OR(F328=0,N('Исходные данные'!$B$5)=0,H328=0),0,'Исходные данные'!$B$5*H328*IF(AND(B328&lt;='Исходные данные'!$B$30,C328&gt;='Исходные данные'!$B$30),(C328-'Исходные данные'!$B$30+1)/DAY(C328),1))</f>
        <v>0</v>
      </c>
      <c r="J328">
        <f>IF(AND(F328&gt;0,F328&lt;=N('Исходные данные'!$B$37)),-I328,0)</f>
        <v>0</v>
      </c>
      <c r="K328">
        <f>IF(OR(F328=0,F328&lt;=N('Исходные данные'!$B$37)),0,-(I328+J328)*N('Исходные данные'!$B$38))</f>
        <v>0</v>
      </c>
      <c r="L328">
        <f t="shared" si="188"/>
        <v>0</v>
      </c>
      <c r="M328">
        <f>IF('Исходные данные'!$B$51="Да",L328*N('Исходные данные'!$B$52),0)</f>
        <v>0</v>
      </c>
      <c r="N328">
        <f t="shared" si="189"/>
        <v>0</v>
      </c>
      <c r="O328">
        <f>IF(OR(B328="",IF('Исходные данные'!$B$45="",'Исходные данные'!$B$10,'Исходные данные'!$B$45)="",C328&lt;IF('Исходные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данные'!$B$45)),1),B328,"m")/12))*IF(AND(B328&lt;=IF('Исходные данные'!$B$45="",'Исходные данные'!$B$10,'Исходные данные'!$B$45),C328&gt;=IF('Исходные данные'!$B$45="",'Исходные данные'!$B$10,'Исходные данные'!$B$45)),(C328-IF('Исходные данные'!$B$45="",'Исходные данные'!$B$10,'Исходные данные'!$B$45)+1)/DAY(C328),1)*IF('Исходные данные'!$B$43="Без НДС",1+N('Исходные данные'!$B$44),1))</f>
        <v>0</v>
      </c>
      <c r="P328">
        <f>IF('Исходные данные'!$B$51="Да",-O328*N('Исходные данные'!$B$44)/(1+N('Исходные данные'!$B$44)),0)</f>
        <v>0</v>
      </c>
      <c r="Q328">
        <f>IF('Исходные данные'!$B$35="Да",-O328,0)</f>
        <v>0</v>
      </c>
      <c r="R328">
        <f>IF(AND('Исходные данные'!$B$51="Да",Q328&gt;0),Q328*N('Исходные данные'!$B$52)/(1+N('Исходные данные'!$B$52)),0)</f>
        <v>0</v>
      </c>
      <c r="S328">
        <f>IF(OR(B328="",IF('Исходные данные'!$B$45="",'Исходные данные'!$B$10,'Исходные данные'!$B$45)="",C328&lt;IF('Исходные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данные'!$B$45)),1),B328,"m")/12))*IF(AND(B328&lt;=IF('Исходные данные'!$B$45="",'Исходные данные'!$B$10,'Исходные данные'!$B$45),C328&gt;=IF('Исходные данные'!$B$45="",'Исходные данные'!$B$10,'Исходные данные'!$B$45)),(C328-IF('Исходные данные'!$B$45="",'Исходные данные'!$B$10,'Исходные данные'!$B$45)+1)/DAY(C328),1)*IF('Исходные данные'!$B$43="Без НДС",1+N('Исходные данные'!$B$44),1))</f>
        <v>0</v>
      </c>
      <c r="T328">
        <f>IF('Исходные данные'!$B$51="Да",-S328*N('Исходные данные'!$B$44)/(1+N('Исходные данные'!$B$44)),0)</f>
        <v>0</v>
      </c>
      <c r="U328">
        <f>IF('Исходные данные'!$B$36="Да",-S328,0)</f>
        <v>0</v>
      </c>
      <c r="V328">
        <f>IF(AND('Исходные данные'!$B$51="Да",U328&gt;0),U328*N('Исходные данные'!$B$52)/(1+N('Исходные данные'!$B$52)),0)</f>
        <v>0</v>
      </c>
      <c r="W328">
        <f>IF(OR(B328="",IF('Исходные данные'!$B$69="",'Исходные данные'!$B$10,'Исходные данные'!$B$69)="",C328&lt;IF('Исходные данные'!$B$69="",'Исходные данные'!$B$10,'Исходные данные'!$B$69)),0,-N('Исходные данные'!$B$16)*N('Исходные данные'!$B$68)*N('Исходные данные'!$B$67)/12*IF(AND(B328&lt;=IF('Исходные данные'!$B$69="",'Исходные данные'!$B$10,'Исходные данные'!$B$69),C328&gt;=IF('Исходные данные'!$B$69="",'Исходные данные'!$B$10,'Исходные данные'!$B$69)),(C328-IF('Исходные данные'!$B$69="",'Исходные данные'!$B$10,'Исходные данные'!$B$69)+1)/DAY(C328),1))</f>
        <v>0</v>
      </c>
      <c r="X328">
        <f>IF(OR(B328="",IF('Исходные данные'!$B$76="",'Исходные данные'!$B$10,'Исходные данные'!$B$76)="",C328&lt;IF('Исходные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данные'!$B$76)),1),B328,"m")/12))*IF(AND(B328&lt;=IF('Исходные данные'!$B$76="",'Исходные данные'!$B$10,'Исходные данные'!$B$76),C328&gt;=IF('Исходные данные'!$B$76="",'Исходные данные'!$B$10,'Исходные данные'!$B$76)),(C328-IF('Исходные данные'!$B$76="",'Исходные данные'!$B$10,'Исходные данные'!$B$76)+1)/DAY(C328),1))</f>
        <v>0</v>
      </c>
      <c r="Y328">
        <f t="shared" si="190"/>
        <v>0</v>
      </c>
      <c r="Z328">
        <f>IF(OR(B328="",N('Исходные данные'!$B$19)=0),0,-SUMIFS('Исходные данные'!$I$6:$I$186,'Исходные данные'!$F$6:$F$186,B328)*N('Исходные данные'!$B$17)/N('Исходные данные'!$B$19))</f>
        <v>0</v>
      </c>
      <c r="AA328">
        <f>IF(OR(B328="",N('Исходные данные'!$B$19)=0),0,-SUMIFS('Исходные данные'!$I$6:$I$186,'Исходные данные'!$F$6:$F$186,B328)*N('Исходные данные'!$B$18)/N('Исходные данные'!$B$19))</f>
        <v>0</v>
      </c>
      <c r="AB328">
        <f>IF(OR(B328="",'Исходные данные'!$B$13=""),0,IF(AND(YEAR(B328)=YEAR('Исходные данные'!$B$13),MONTH(B328)=MONTH('Исходные данные'!$B$13)),-N('Исходные данные'!$B$11),0))</f>
        <v>0</v>
      </c>
      <c r="AC328">
        <f>IF(A328=1,-N('Исходные данные'!$B$19)*N('Исходные данные'!$B$72),0)</f>
        <v>0</v>
      </c>
      <c r="AD328">
        <f>IF(OR(B328="",'Исходные данные'!$B$22&lt;&gt;"Да",'Исходные данные'!$B$26=""),0,IF(AND(YEAR(B328)=YEAR('Исходные данные'!$B$26),MONTH(B328)=MONTH('Исходные данные'!$B$26)),N('Исходные данные'!$B$23),0))</f>
        <v>0</v>
      </c>
      <c r="AE328">
        <f t="shared" si="173"/>
        <v>0</v>
      </c>
      <c r="AF328">
        <f>IF(OR('Исходные данные'!$B$22&lt;&gt;"Да",'Исходные данные'!$B$26="",C328&lt;'Исходные данные'!$B$26),0,DATEDIF(DATE(YEAR('Исходные данные'!$B$26),MONTH('Исходные данные'!$B$26),1),B328,"m")+1)</f>
        <v>0</v>
      </c>
      <c r="AG328">
        <f>IF(OR(AF328&lt;1,AF328&gt;N('Исходные данные'!$B$25),AE328+AD328&lt;=0),0,-(AE328+AD328)*N('Исходные данные'!$B$24)*IF(AF328=1,C328-'Исходные данные'!$B$26+1,DAY(C328))/365)</f>
        <v>0</v>
      </c>
      <c r="AH328">
        <f>IF(OR(AF328&lt;1,AF328&gt;N('Исходные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данные'!$B$25)-AG328))</f>
        <v>0</v>
      </c>
      <c r="AI328">
        <f>IF(OR('Исходные данные'!$B$22&lt;&gt;"Да",AE328+AD328&lt;=0),0,IF(AND('Исходные данные'!$B$91&lt;&gt;"",B328&lt;&gt;"",YEAR(B328)=YEAR('Исходные данные'!$B$91),MONTH(B328)=MONTH('Исходные данные'!$B$91)),-(AE328+AD328),IF(OR(AF328&lt;1,AF328&gt;N('Исходные данные'!$B$25)),0,IF('Исходные данные'!$B$27="Равными долями",-MIN(AE328+AD328,N('Исходные данные'!$B$23)/N('Исходные данные'!$B$25)),-MIN(AE328+AD328,IF(AF328=N('Исходные данные'!$B$25),AE328+AD328,MAX(0,AH328+AG328)))))))</f>
        <v>0</v>
      </c>
      <c r="AJ328">
        <f t="shared" si="191"/>
        <v>0</v>
      </c>
      <c r="AK328">
        <f t="shared" si="174"/>
        <v>0</v>
      </c>
      <c r="AL328">
        <f>IF(OR(B328="",'Исходные данные'!$B$51&lt;&gt;"Да",'Исходные данные'!$B$61=""),0,IF(AND(YEAR(B328)=YEAR('Исходные данные'!$B$61),MONTH(B328)=MONTH('Исходные данные'!$B$61)),N('Исходные данные'!$B$18)*N('Исходные данные'!$B$62),0))</f>
        <v>0</v>
      </c>
      <c r="AM328">
        <f t="shared" si="175"/>
        <v>0</v>
      </c>
      <c r="AN328">
        <f t="shared" si="176"/>
        <v>0</v>
      </c>
      <c r="AO328">
        <f t="shared" si="177"/>
        <v>0</v>
      </c>
      <c r="AP328">
        <f>IF('Исходные данные'!$B$51="Да",-MAX(0,AN328-AO328-AM328),0)</f>
        <v>0</v>
      </c>
      <c r="AQ328">
        <f>IF('Исходные данные'!$B$51="Да",MAX(0,AM328+AO328-AN328),0)</f>
        <v>0</v>
      </c>
      <c r="AR328">
        <f>IF('Исходные данные'!$B$53="Выручка",MAX(0,L328+(Q328-R328)+(U328-V328)),IF('Исходные данные'!$B$53="Прибыль до налога",MAX(0,L328+(Q328-R328)+(U328-V328)+N('Исходные данные'!$B$54)*((O328+P328)+(S328+T328)+W328+X328)+IF('Исходные данные'!$B$55="Да",AG328,0)-N('Исходные данные'!$B$56)/12),IF('Исходные данные'!$B$53="Пользовательская база",MAX(0,N('Исходные данные'!$B$57)/12),0)))</f>
        <v>0</v>
      </c>
      <c r="AS328">
        <f>IF(E328=1,-AR328*N('Исходные данные'!$B$50),0)</f>
        <v>0</v>
      </c>
      <c r="AT328">
        <f t="shared" si="178"/>
        <v>0</v>
      </c>
      <c r="AU328">
        <f>IF(OR(B328="",N('Исходные данные'!$B$80)&lt;=0,'Исходные данные'!$B$88=""),0,MAX(0,IF('Исходные данные'!$B$88="Последние 12 месяцев",SUMIFS($Y$2:$Y$194,$B$2:$B$194,"&gt;="&amp;EDATE(B328,-11),$B$2:$B$194,"&lt;="&amp;B328),IF('Исходные данные'!$B$88="Пользовательский NOI",N('Исходные данные'!$B$89),AT328))/N('Исходные данные'!$B$80)*(1+N('Исходные данные'!$B$81))))</f>
        <v>0</v>
      </c>
      <c r="AV328">
        <f>IF(OR(E328&lt;&gt;1,B328="",'Исходные данные'!$B$91=""),0,IF(AND(YEAR(B328)=YEAR('Исходные данные'!$B$91),MONTH(B328)=MONTH('Исходные данные'!$B$91)),AU328,0))</f>
        <v>0</v>
      </c>
      <c r="AW328">
        <f>-AV328*N('Исходные данные'!$B$73)</f>
        <v>0</v>
      </c>
      <c r="AX328">
        <f>IF(AV328=0,0,-N('Исходные данные'!$B$87)-IF('Исходные данные'!$B$82="Да",IF('Исходные данные'!$B$84="С выручки",AV328,IF('Исходные данные'!$B$84="С прибыли",MAX(0,AV328+AW328-IF('Исходные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28">
        <f t="shared" si="192"/>
        <v>0</v>
      </c>
      <c r="AZ328">
        <f t="shared" si="179"/>
        <v>0</v>
      </c>
      <c r="BA328">
        <f t="shared" si="193"/>
        <v>0</v>
      </c>
      <c r="BB328" t="str">
        <f t="shared" si="180"/>
        <v/>
      </c>
      <c r="BC328">
        <f>IF(OR(E328=0,'Исходные данные'!$B$9="",'Исходные данные'!$B$90=""),0,BA328/(1+'Исходные данные'!$B$90)^((D328-'Исходные данные'!$B$9)/365))</f>
        <v>0</v>
      </c>
      <c r="BD328">
        <f>IF(AND(E328=1,BB328&gt;=0,BB327&lt;0,MIN($BB$2:BB328)&lt;0),1,0)</f>
        <v>0</v>
      </c>
      <c r="BE328">
        <f t="shared" si="181"/>
        <v>0</v>
      </c>
      <c r="BF328">
        <f t="shared" si="182"/>
        <v>0</v>
      </c>
      <c r="BG328">
        <f t="shared" si="183"/>
        <v>0</v>
      </c>
      <c r="BH328">
        <f t="shared" si="184"/>
        <v>1</v>
      </c>
      <c r="BI328">
        <f>AZ328+N328+AP328-AR328*N('Исходные данные'!$B$50)</f>
        <v>0</v>
      </c>
      <c r="BJ328">
        <f t="shared" si="185"/>
        <v>0</v>
      </c>
      <c r="BK328">
        <f>IF(AND(BJ328&gt;=0,BJ327&lt;0,MIN($BJ$2:BJ328)&lt;0),1,0)</f>
        <v>0</v>
      </c>
    </row>
    <row r="329" spans="1:63" x14ac:dyDescent="0.2">
      <c r="A329">
        <v>328</v>
      </c>
      <c r="B329" t="str">
        <f>IF('Исходные данные'!$B$9="","",EDATE(DATE(YEAR('Исходные данные'!$B$9),MONTH('Исходные данные'!$B$9),1),A329-1))</f>
        <v/>
      </c>
      <c r="C329" t="str">
        <f t="shared" si="186"/>
        <v/>
      </c>
      <c r="D329" t="str">
        <f>IF(B329="","",IF('Исходные данные'!$B$91&lt;&gt;"",IF(AND(YEAR(B329)=YEAR('Исходные данные'!$B$91),MONTH(B329)=MONTH('Исходные данные'!$B$91)),'Исходные данные'!$B$91,IF('Исходные данные'!$B$13&lt;&gt;"",IF(AND(YEAR(B329)=YEAR('Исходные данные'!$B$13),MONTH(B329)=MONTH('Исходные данные'!$B$13)),'Исходные данные'!$B$13,IF('Исходные данные'!$B$26&lt;&gt;"",IF(AND(YEAR(B329)=YEAR('Исходные данные'!$B$26),MONTH(B329)=MONTH('Исходные данные'!$B$26)),'Исходные данные'!$B$26,IF(A329=1,'Исходные данные'!$B$9,C329)),IF(A329=1,'Исходные данные'!$B$9,C329))),IF('Исходные данные'!$B$26&lt;&gt;"",IF(AND(YEAR(B329)=YEAR('Исходные данные'!$B$26),MONTH(B329)=MONTH('Исходные данные'!$B$26)),'Исходные данные'!$B$26,IF(A329=1,'Исходные данные'!$B$9,C329)),IF(A329=1,'Исходные данные'!$B$9,C329)))),IF('Исходные данные'!$B$13&lt;&gt;"",IF(AND(YEAR(B329)=YEAR('Исходные данные'!$B$13),MONTH(B329)=MONTH('Исходные данные'!$B$13)),'Исходные данные'!$B$13,IF('Исходные данные'!$B$26&lt;&gt;"",IF(AND(YEAR(B329)=YEAR('Исходные данные'!$B$26),MONTH(B329)=MONTH('Исходные данные'!$B$26)),'Исходные данные'!$B$26,IF(A329=1,'Исходные данные'!$B$9,C329)),IF(A329=1,'Исходные данные'!$B$9,C329))),IF('Исходные данные'!$B$26&lt;&gt;"",IF(AND(YEAR(B329)=YEAR('Исходные данные'!$B$26),MONTH(B329)=MONTH('Исходные данные'!$B$26)),'Исходные данные'!$B$26,IF(A329=1,'Исходные данные'!$B$9,C329)),IF(A329=1,'Исходные данные'!$B$9,C329)))))</f>
        <v/>
      </c>
      <c r="E329">
        <f>IF(OR(B329="",'Исходные данные'!$B$91=""),0,--(B329&lt;=DATE(YEAR('Исходные данные'!$B$91),MONTH('Исходные данные'!$B$91),1)))</f>
        <v>0</v>
      </c>
      <c r="F329">
        <f>IF(OR(B329="",'Исходные данные'!$B$30="",C329&lt;'Исходные данные'!$B$30),0,DATEDIF(DATE(YEAR('Исходные данные'!$B$30),MONTH('Исходные данные'!$B$30),1),B329,"m")+1)</f>
        <v>0</v>
      </c>
      <c r="G329">
        <f t="shared" si="187"/>
        <v>0</v>
      </c>
      <c r="H329">
        <f>IF(F329=0,0,IF(G329=1,N('Исходные данные'!$B$31),IF(G329=2,N('Исходные данные'!$B$32),IF(G329=3,N('Исходные данные'!$B$33),N('Исходные данные'!$B$33)*(1+N('Исходные данные'!$B$34))^(G329-3)))))</f>
        <v>0</v>
      </c>
      <c r="I329">
        <f>IF(OR(F329=0,N('Исходные данные'!$B$5)=0,H329=0),0,'Исходные данные'!$B$5*H329*IF(AND(B329&lt;='Исходные данные'!$B$30,C329&gt;='Исходные данные'!$B$30),(C329-'Исходные данные'!$B$30+1)/DAY(C329),1))</f>
        <v>0</v>
      </c>
      <c r="J329">
        <f>IF(AND(F329&gt;0,F329&lt;=N('Исходные данные'!$B$37)),-I329,0)</f>
        <v>0</v>
      </c>
      <c r="K329">
        <f>IF(OR(F329=0,F329&lt;=N('Исходные данные'!$B$37)),0,-(I329+J329)*N('Исходные данные'!$B$38))</f>
        <v>0</v>
      </c>
      <c r="L329">
        <f t="shared" si="188"/>
        <v>0</v>
      </c>
      <c r="M329">
        <f>IF('Исходные данные'!$B$51="Да",L329*N('Исходные данные'!$B$52),0)</f>
        <v>0</v>
      </c>
      <c r="N329">
        <f t="shared" si="189"/>
        <v>0</v>
      </c>
      <c r="O329">
        <f>IF(OR(B329="",IF('Исходные данные'!$B$45="",'Исходные данные'!$B$10,'Исходные данные'!$B$45)="",C329&lt;IF('Исходные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данные'!$B$45)),1),B329,"m")/12))*IF(AND(B329&lt;=IF('Исходные данные'!$B$45="",'Исходные данные'!$B$10,'Исходные данные'!$B$45),C329&gt;=IF('Исходные данные'!$B$45="",'Исходные данные'!$B$10,'Исходные данные'!$B$45)),(C329-IF('Исходные данные'!$B$45="",'Исходные данные'!$B$10,'Исходные данные'!$B$45)+1)/DAY(C329),1)*IF('Исходные данные'!$B$43="Без НДС",1+N('Исходные данные'!$B$44),1))</f>
        <v>0</v>
      </c>
      <c r="P329">
        <f>IF('Исходные данные'!$B$51="Да",-O329*N('Исходные данные'!$B$44)/(1+N('Исходные данные'!$B$44)),0)</f>
        <v>0</v>
      </c>
      <c r="Q329">
        <f>IF('Исходные данные'!$B$35="Да",-O329,0)</f>
        <v>0</v>
      </c>
      <c r="R329">
        <f>IF(AND('Исходные данные'!$B$51="Да",Q329&gt;0),Q329*N('Исходные данные'!$B$52)/(1+N('Исходные данные'!$B$52)),0)</f>
        <v>0</v>
      </c>
      <c r="S329">
        <f>IF(OR(B329="",IF('Исходные данные'!$B$45="",'Исходные данные'!$B$10,'Исходные данные'!$B$45)="",C329&lt;IF('Исходные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данные'!$B$45)),1),B329,"m")/12))*IF(AND(B329&lt;=IF('Исходные данные'!$B$45="",'Исходные данные'!$B$10,'Исходные данные'!$B$45),C329&gt;=IF('Исходные данные'!$B$45="",'Исходные данные'!$B$10,'Исходные данные'!$B$45)),(C329-IF('Исходные данные'!$B$45="",'Исходные данные'!$B$10,'Исходные данные'!$B$45)+1)/DAY(C329),1)*IF('Исходные данные'!$B$43="Без НДС",1+N('Исходные данные'!$B$44),1))</f>
        <v>0</v>
      </c>
      <c r="T329">
        <f>IF('Исходные данные'!$B$51="Да",-S329*N('Исходные данные'!$B$44)/(1+N('Исходные данные'!$B$44)),0)</f>
        <v>0</v>
      </c>
      <c r="U329">
        <f>IF('Исходные данные'!$B$36="Да",-S329,0)</f>
        <v>0</v>
      </c>
      <c r="V329">
        <f>IF(AND('Исходные данные'!$B$51="Да",U329&gt;0),U329*N('Исходные данные'!$B$52)/(1+N('Исходные данные'!$B$52)),0)</f>
        <v>0</v>
      </c>
      <c r="W329">
        <f>IF(OR(B329="",IF('Исходные данные'!$B$69="",'Исходные данные'!$B$10,'Исходные данные'!$B$69)="",C329&lt;IF('Исходные данные'!$B$69="",'Исходные данные'!$B$10,'Исходные данные'!$B$69)),0,-N('Исходные данные'!$B$16)*N('Исходные данные'!$B$68)*N('Исходные данные'!$B$67)/12*IF(AND(B329&lt;=IF('Исходные данные'!$B$69="",'Исходные данные'!$B$10,'Исходные данные'!$B$69),C329&gt;=IF('Исходные данные'!$B$69="",'Исходные данные'!$B$10,'Исходные данные'!$B$69)),(C329-IF('Исходные данные'!$B$69="",'Исходные данные'!$B$10,'Исходные данные'!$B$69)+1)/DAY(C329),1))</f>
        <v>0</v>
      </c>
      <c r="X329">
        <f>IF(OR(B329="",IF('Исходные данные'!$B$76="",'Исходные данные'!$B$10,'Исходные данные'!$B$76)="",C329&lt;IF('Исходные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данные'!$B$76)),1),B329,"m")/12))*IF(AND(B329&lt;=IF('Исходные данные'!$B$76="",'Исходные данные'!$B$10,'Исходные данные'!$B$76),C329&gt;=IF('Исходные данные'!$B$76="",'Исходные данные'!$B$10,'Исходные данные'!$B$76)),(C329-IF('Исходные данные'!$B$76="",'Исходные данные'!$B$10,'Исходные данные'!$B$76)+1)/DAY(C329),1))</f>
        <v>0</v>
      </c>
      <c r="Y329">
        <f t="shared" si="190"/>
        <v>0</v>
      </c>
      <c r="Z329">
        <f>IF(OR(B329="",N('Исходные данные'!$B$19)=0),0,-SUMIFS('Исходные данные'!$I$6:$I$186,'Исходные данные'!$F$6:$F$186,B329)*N('Исходные данные'!$B$17)/N('Исходные данные'!$B$19))</f>
        <v>0</v>
      </c>
      <c r="AA329">
        <f>IF(OR(B329="",N('Исходные данные'!$B$19)=0),0,-SUMIFS('Исходные данные'!$I$6:$I$186,'Исходные данные'!$F$6:$F$186,B329)*N('Исходные данные'!$B$18)/N('Исходные данные'!$B$19))</f>
        <v>0</v>
      </c>
      <c r="AB329">
        <f>IF(OR(B329="",'Исходные данные'!$B$13=""),0,IF(AND(YEAR(B329)=YEAR('Исходные данные'!$B$13),MONTH(B329)=MONTH('Исходные данные'!$B$13)),-N('Исходные данные'!$B$11),0))</f>
        <v>0</v>
      </c>
      <c r="AC329">
        <f>IF(A329=1,-N('Исходные данные'!$B$19)*N('Исходные данные'!$B$72),0)</f>
        <v>0</v>
      </c>
      <c r="AD329">
        <f>IF(OR(B329="",'Исходные данные'!$B$22&lt;&gt;"Да",'Исходные данные'!$B$26=""),0,IF(AND(YEAR(B329)=YEAR('Исходные данные'!$B$26),MONTH(B329)=MONTH('Исходные данные'!$B$26)),N('Исходные данные'!$B$23),0))</f>
        <v>0</v>
      </c>
      <c r="AE329">
        <f t="shared" si="173"/>
        <v>0</v>
      </c>
      <c r="AF329">
        <f>IF(OR('Исходные данные'!$B$22&lt;&gt;"Да",'Исходные данные'!$B$26="",C329&lt;'Исходные данные'!$B$26),0,DATEDIF(DATE(YEAR('Исходные данные'!$B$26),MONTH('Исходные данные'!$B$26),1),B329,"m")+1)</f>
        <v>0</v>
      </c>
      <c r="AG329">
        <f>IF(OR(AF329&lt;1,AF329&gt;N('Исходные данные'!$B$25),AE329+AD329&lt;=0),0,-(AE329+AD329)*N('Исходные данные'!$B$24)*IF(AF329=1,C329-'Исходные данные'!$B$26+1,DAY(C329))/365)</f>
        <v>0</v>
      </c>
      <c r="AH329">
        <f>IF(OR(AF329&lt;1,AF329&gt;N('Исходные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данные'!$B$25)-AG329))</f>
        <v>0</v>
      </c>
      <c r="AI329">
        <f>IF(OR('Исходные данные'!$B$22&lt;&gt;"Да",AE329+AD329&lt;=0),0,IF(AND('Исходные данные'!$B$91&lt;&gt;"",B329&lt;&gt;"",YEAR(B329)=YEAR('Исходные данные'!$B$91),MONTH(B329)=MONTH('Исходные данные'!$B$91)),-(AE329+AD329),IF(OR(AF329&lt;1,AF329&gt;N('Исходные данные'!$B$25)),0,IF('Исходные данные'!$B$27="Равными долями",-MIN(AE329+AD329,N('Исходные данные'!$B$23)/N('Исходные данные'!$B$25)),-MIN(AE329+AD329,IF(AF329=N('Исходные данные'!$B$25),AE329+AD329,MAX(0,AH329+AG329)))))))</f>
        <v>0</v>
      </c>
      <c r="AJ329">
        <f t="shared" si="191"/>
        <v>0</v>
      </c>
      <c r="AK329">
        <f t="shared" si="174"/>
        <v>0</v>
      </c>
      <c r="AL329">
        <f>IF(OR(B329="",'Исходные данные'!$B$51&lt;&gt;"Да",'Исходные данные'!$B$61=""),0,IF(AND(YEAR(B329)=YEAR('Исходные данные'!$B$61),MONTH(B329)=MONTH('Исходные данные'!$B$61)),N('Исходные данные'!$B$18)*N('Исходные данные'!$B$62),0))</f>
        <v>0</v>
      </c>
      <c r="AM329">
        <f t="shared" si="175"/>
        <v>0</v>
      </c>
      <c r="AN329">
        <f t="shared" si="176"/>
        <v>0</v>
      </c>
      <c r="AO329">
        <f t="shared" si="177"/>
        <v>0</v>
      </c>
      <c r="AP329">
        <f>IF('Исходные данные'!$B$51="Да",-MAX(0,AN329-AO329-AM329),0)</f>
        <v>0</v>
      </c>
      <c r="AQ329">
        <f>IF('Исходные данные'!$B$51="Да",MAX(0,AM329+AO329-AN329),0)</f>
        <v>0</v>
      </c>
      <c r="AR329">
        <f>IF('Исходные данные'!$B$53="Выручка",MAX(0,L329+(Q329-R329)+(U329-V329)),IF('Исходные данные'!$B$53="Прибыль до налога",MAX(0,L329+(Q329-R329)+(U329-V329)+N('Исходные данные'!$B$54)*((O329+P329)+(S329+T329)+W329+X329)+IF('Исходные данные'!$B$55="Да",AG329,0)-N('Исходные данные'!$B$56)/12),IF('Исходные данные'!$B$53="Пользовательская база",MAX(0,N('Исходные данные'!$B$57)/12),0)))</f>
        <v>0</v>
      </c>
      <c r="AS329">
        <f>IF(E329=1,-AR329*N('Исходные данные'!$B$50),0)</f>
        <v>0</v>
      </c>
      <c r="AT329">
        <f t="shared" si="178"/>
        <v>0</v>
      </c>
      <c r="AU329">
        <f>IF(OR(B329="",N('Исходные данные'!$B$80)&lt;=0,'Исходные данные'!$B$88=""),0,MAX(0,IF('Исходные данные'!$B$88="Последние 12 месяцев",SUMIFS($Y$2:$Y$194,$B$2:$B$194,"&gt;="&amp;EDATE(B329,-11),$B$2:$B$194,"&lt;="&amp;B329),IF('Исходные данные'!$B$88="Пользовательский NOI",N('Исходные данные'!$B$89),AT329))/N('Исходные данные'!$B$80)*(1+N('Исходные данные'!$B$81))))</f>
        <v>0</v>
      </c>
      <c r="AV329">
        <f>IF(OR(E329&lt;&gt;1,B329="",'Исходные данные'!$B$91=""),0,IF(AND(YEAR(B329)=YEAR('Исходные данные'!$B$91),MONTH(B329)=MONTH('Исходные данные'!$B$91)),AU329,0))</f>
        <v>0</v>
      </c>
      <c r="AW329">
        <f>-AV329*N('Исходные данные'!$B$73)</f>
        <v>0</v>
      </c>
      <c r="AX329">
        <f>IF(AV329=0,0,-N('Исходные данные'!$B$87)-IF('Исходные данные'!$B$82="Да",IF('Исходные данные'!$B$84="С выручки",AV329,IF('Исходные данные'!$B$84="С прибыли",MAX(0,AV329+AW329-IF('Исходные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29">
        <f t="shared" si="192"/>
        <v>0</v>
      </c>
      <c r="AZ329">
        <f t="shared" si="179"/>
        <v>0</v>
      </c>
      <c r="BA329">
        <f t="shared" si="193"/>
        <v>0</v>
      </c>
      <c r="BB329" t="str">
        <f t="shared" si="180"/>
        <v/>
      </c>
      <c r="BC329">
        <f>IF(OR(E329=0,'Исходные данные'!$B$9="",'Исходные данные'!$B$90=""),0,BA329/(1+'Исходные данные'!$B$90)^((D329-'Исходные данные'!$B$9)/365))</f>
        <v>0</v>
      </c>
      <c r="BD329">
        <f>IF(AND(E329=1,BB329&gt;=0,BB328&lt;0,MIN($BB$2:BB329)&lt;0),1,0)</f>
        <v>0</v>
      </c>
      <c r="BE329">
        <f t="shared" si="181"/>
        <v>0</v>
      </c>
      <c r="BF329">
        <f t="shared" si="182"/>
        <v>0</v>
      </c>
      <c r="BG329">
        <f t="shared" si="183"/>
        <v>0</v>
      </c>
      <c r="BH329">
        <f t="shared" si="184"/>
        <v>1</v>
      </c>
      <c r="BI329">
        <f>AZ329+N329+AP329-AR329*N('Исходные данные'!$B$50)</f>
        <v>0</v>
      </c>
      <c r="BJ329">
        <f t="shared" si="185"/>
        <v>0</v>
      </c>
      <c r="BK329">
        <f>IF(AND(BJ329&gt;=0,BJ328&lt;0,MIN($BJ$2:BJ329)&lt;0),1,0)</f>
        <v>0</v>
      </c>
    </row>
    <row r="330" spans="1:63" x14ac:dyDescent="0.2">
      <c r="A330">
        <v>329</v>
      </c>
      <c r="B330" t="str">
        <f>IF('Исходные данные'!$B$9="","",EDATE(DATE(YEAR('Исходные данные'!$B$9),MONTH('Исходные данные'!$B$9),1),A330-1))</f>
        <v/>
      </c>
      <c r="C330" t="str">
        <f t="shared" si="186"/>
        <v/>
      </c>
      <c r="D330" t="str">
        <f>IF(B330="","",IF('Исходные данные'!$B$91&lt;&gt;"",IF(AND(YEAR(B330)=YEAR('Исходные данные'!$B$91),MONTH(B330)=MONTH('Исходные данные'!$B$91)),'Исходные данные'!$B$91,IF('Исходные данные'!$B$13&lt;&gt;"",IF(AND(YEAR(B330)=YEAR('Исходные данные'!$B$13),MONTH(B330)=MONTH('Исходные данные'!$B$13)),'Исходные данные'!$B$13,IF('Исходные данные'!$B$26&lt;&gt;"",IF(AND(YEAR(B330)=YEAR('Исходные данные'!$B$26),MONTH(B330)=MONTH('Исходные данные'!$B$26)),'Исходные данные'!$B$26,IF(A330=1,'Исходные данные'!$B$9,C330)),IF(A330=1,'Исходные данные'!$B$9,C330))),IF('Исходные данные'!$B$26&lt;&gt;"",IF(AND(YEAR(B330)=YEAR('Исходные данные'!$B$26),MONTH(B330)=MONTH('Исходные данные'!$B$26)),'Исходные данные'!$B$26,IF(A330=1,'Исходные данные'!$B$9,C330)),IF(A330=1,'Исходные данные'!$B$9,C330)))),IF('Исходные данные'!$B$13&lt;&gt;"",IF(AND(YEAR(B330)=YEAR('Исходные данные'!$B$13),MONTH(B330)=MONTH('Исходные данные'!$B$13)),'Исходные данные'!$B$13,IF('Исходные данные'!$B$26&lt;&gt;"",IF(AND(YEAR(B330)=YEAR('Исходные данные'!$B$26),MONTH(B330)=MONTH('Исходные данные'!$B$26)),'Исходные данные'!$B$26,IF(A330=1,'Исходные данные'!$B$9,C330)),IF(A330=1,'Исходные данные'!$B$9,C330))),IF('Исходные данные'!$B$26&lt;&gt;"",IF(AND(YEAR(B330)=YEAR('Исходные данные'!$B$26),MONTH(B330)=MONTH('Исходные данные'!$B$26)),'Исходные данные'!$B$26,IF(A330=1,'Исходные данные'!$B$9,C330)),IF(A330=1,'Исходные данные'!$B$9,C330)))))</f>
        <v/>
      </c>
      <c r="E330">
        <f>IF(OR(B330="",'Исходные данные'!$B$91=""),0,--(B330&lt;=DATE(YEAR('Исходные данные'!$B$91),MONTH('Исходные данные'!$B$91),1)))</f>
        <v>0</v>
      </c>
      <c r="F330">
        <f>IF(OR(B330="",'Исходные данные'!$B$30="",C330&lt;'Исходные данные'!$B$30),0,DATEDIF(DATE(YEAR('Исходные данные'!$B$30),MONTH('Исходные данные'!$B$30),1),B330,"m")+1)</f>
        <v>0</v>
      </c>
      <c r="G330">
        <f t="shared" si="187"/>
        <v>0</v>
      </c>
      <c r="H330">
        <f>IF(F330=0,0,IF(G330=1,N('Исходные данные'!$B$31),IF(G330=2,N('Исходные данные'!$B$32),IF(G330=3,N('Исходные данные'!$B$33),N('Исходные данные'!$B$33)*(1+N('Исходные данные'!$B$34))^(G330-3)))))</f>
        <v>0</v>
      </c>
      <c r="I330">
        <f>IF(OR(F330=0,N('Исходные данные'!$B$5)=0,H330=0),0,'Исходные данные'!$B$5*H330*IF(AND(B330&lt;='Исходные данные'!$B$30,C330&gt;='Исходные данные'!$B$30),(C330-'Исходные данные'!$B$30+1)/DAY(C330),1))</f>
        <v>0</v>
      </c>
      <c r="J330">
        <f>IF(AND(F330&gt;0,F330&lt;=N('Исходные данные'!$B$37)),-I330,0)</f>
        <v>0</v>
      </c>
      <c r="K330">
        <f>IF(OR(F330=0,F330&lt;=N('Исходные данные'!$B$37)),0,-(I330+J330)*N('Исходные данные'!$B$38))</f>
        <v>0</v>
      </c>
      <c r="L330">
        <f t="shared" si="188"/>
        <v>0</v>
      </c>
      <c r="M330">
        <f>IF('Исходные данные'!$B$51="Да",L330*N('Исходные данные'!$B$52),0)</f>
        <v>0</v>
      </c>
      <c r="N330">
        <f t="shared" si="189"/>
        <v>0</v>
      </c>
      <c r="O330">
        <f>IF(OR(B330="",IF('Исходные данные'!$B$45="",'Исходные данные'!$B$10,'Исходные данные'!$B$45)="",C330&lt;IF('Исходные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данные'!$B$45)),1),B330,"m")/12))*IF(AND(B330&lt;=IF('Исходные данные'!$B$45="",'Исходные данные'!$B$10,'Исходные данные'!$B$45),C330&gt;=IF('Исходные данные'!$B$45="",'Исходные данные'!$B$10,'Исходные данные'!$B$45)),(C330-IF('Исходные данные'!$B$45="",'Исходные данные'!$B$10,'Исходные данные'!$B$45)+1)/DAY(C330),1)*IF('Исходные данные'!$B$43="Без НДС",1+N('Исходные данные'!$B$44),1))</f>
        <v>0</v>
      </c>
      <c r="P330">
        <f>IF('Исходные данные'!$B$51="Да",-O330*N('Исходные данные'!$B$44)/(1+N('Исходные данные'!$B$44)),0)</f>
        <v>0</v>
      </c>
      <c r="Q330">
        <f>IF('Исходные данные'!$B$35="Да",-O330,0)</f>
        <v>0</v>
      </c>
      <c r="R330">
        <f>IF(AND('Исходные данные'!$B$51="Да",Q330&gt;0),Q330*N('Исходные данные'!$B$52)/(1+N('Исходные данные'!$B$52)),0)</f>
        <v>0</v>
      </c>
      <c r="S330">
        <f>IF(OR(B330="",IF('Исходные данные'!$B$45="",'Исходные данные'!$B$10,'Исходные данные'!$B$45)="",C330&lt;IF('Исходные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данные'!$B$45)),1),B330,"m")/12))*IF(AND(B330&lt;=IF('Исходные данные'!$B$45="",'Исходные данные'!$B$10,'Исходные данные'!$B$45),C330&gt;=IF('Исходные данные'!$B$45="",'Исходные данные'!$B$10,'Исходные данные'!$B$45)),(C330-IF('Исходные данные'!$B$45="",'Исходные данные'!$B$10,'Исходные данные'!$B$45)+1)/DAY(C330),1)*IF('Исходные данные'!$B$43="Без НДС",1+N('Исходные данные'!$B$44),1))</f>
        <v>0</v>
      </c>
      <c r="T330">
        <f>IF('Исходные данные'!$B$51="Да",-S330*N('Исходные данные'!$B$44)/(1+N('Исходные данные'!$B$44)),0)</f>
        <v>0</v>
      </c>
      <c r="U330">
        <f>IF('Исходные данные'!$B$36="Да",-S330,0)</f>
        <v>0</v>
      </c>
      <c r="V330">
        <f>IF(AND('Исходные данные'!$B$51="Да",U330&gt;0),U330*N('Исходные данные'!$B$52)/(1+N('Исходные данные'!$B$52)),0)</f>
        <v>0</v>
      </c>
      <c r="W330">
        <f>IF(OR(B330="",IF('Исходные данные'!$B$69="",'Исходные данные'!$B$10,'Исходные данные'!$B$69)="",C330&lt;IF('Исходные данные'!$B$69="",'Исходные данные'!$B$10,'Исходные данные'!$B$69)),0,-N('Исходные данные'!$B$16)*N('Исходные данные'!$B$68)*N('Исходные данные'!$B$67)/12*IF(AND(B330&lt;=IF('Исходные данные'!$B$69="",'Исходные данные'!$B$10,'Исходные данные'!$B$69),C330&gt;=IF('Исходные данные'!$B$69="",'Исходные данные'!$B$10,'Исходные данные'!$B$69)),(C330-IF('Исходные данные'!$B$69="",'Исходные данные'!$B$10,'Исходные данные'!$B$69)+1)/DAY(C330),1))</f>
        <v>0</v>
      </c>
      <c r="X330">
        <f>IF(OR(B330="",IF('Исходные данные'!$B$76="",'Исходные данные'!$B$10,'Исходные данные'!$B$76)="",C330&lt;IF('Исходные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данные'!$B$76)),1),B330,"m")/12))*IF(AND(B330&lt;=IF('Исходные данные'!$B$76="",'Исходные данные'!$B$10,'Исходные данные'!$B$76),C330&gt;=IF('Исходные данные'!$B$76="",'Исходные данные'!$B$10,'Исходные данные'!$B$76)),(C330-IF('Исходные данные'!$B$76="",'Исходные данные'!$B$10,'Исходные данные'!$B$76)+1)/DAY(C330),1))</f>
        <v>0</v>
      </c>
      <c r="Y330">
        <f t="shared" si="190"/>
        <v>0</v>
      </c>
      <c r="Z330">
        <f>IF(OR(B330="",N('Исходные данные'!$B$19)=0),0,-SUMIFS('Исходные данные'!$I$6:$I$186,'Исходные данные'!$F$6:$F$186,B330)*N('Исходные данные'!$B$17)/N('Исходные данные'!$B$19))</f>
        <v>0</v>
      </c>
      <c r="AA330">
        <f>IF(OR(B330="",N('Исходные данные'!$B$19)=0),0,-SUMIFS('Исходные данные'!$I$6:$I$186,'Исходные данные'!$F$6:$F$186,B330)*N('Исходные данные'!$B$18)/N('Исходные данные'!$B$19))</f>
        <v>0</v>
      </c>
      <c r="AB330">
        <f>IF(OR(B330="",'Исходные данные'!$B$13=""),0,IF(AND(YEAR(B330)=YEAR('Исходные данные'!$B$13),MONTH(B330)=MONTH('Исходные данные'!$B$13)),-N('Исходные данные'!$B$11),0))</f>
        <v>0</v>
      </c>
      <c r="AC330">
        <f>IF(A330=1,-N('Исходные данные'!$B$19)*N('Исходные данные'!$B$72),0)</f>
        <v>0</v>
      </c>
      <c r="AD330">
        <f>IF(OR(B330="",'Исходные данные'!$B$22&lt;&gt;"Да",'Исходные данные'!$B$26=""),0,IF(AND(YEAR(B330)=YEAR('Исходные данные'!$B$26),MONTH(B330)=MONTH('Исходные данные'!$B$26)),N('Исходные данные'!$B$23),0))</f>
        <v>0</v>
      </c>
      <c r="AE330">
        <f t="shared" si="173"/>
        <v>0</v>
      </c>
      <c r="AF330">
        <f>IF(OR('Исходные данные'!$B$22&lt;&gt;"Да",'Исходные данные'!$B$26="",C330&lt;'Исходные данные'!$B$26),0,DATEDIF(DATE(YEAR('Исходные данные'!$B$26),MONTH('Исходные данные'!$B$26),1),B330,"m")+1)</f>
        <v>0</v>
      </c>
      <c r="AG330">
        <f>IF(OR(AF330&lt;1,AF330&gt;N('Исходные данные'!$B$25),AE330+AD330&lt;=0),0,-(AE330+AD330)*N('Исходные данные'!$B$24)*IF(AF330=1,C330-'Исходные данные'!$B$26+1,DAY(C330))/365)</f>
        <v>0</v>
      </c>
      <c r="AH330">
        <f>IF(OR(AF330&lt;1,AF330&gt;N('Исходные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данные'!$B$25)-AG330))</f>
        <v>0</v>
      </c>
      <c r="AI330">
        <f>IF(OR('Исходные данные'!$B$22&lt;&gt;"Да",AE330+AD330&lt;=0),0,IF(AND('Исходные данные'!$B$91&lt;&gt;"",B330&lt;&gt;"",YEAR(B330)=YEAR('Исходные данные'!$B$91),MONTH(B330)=MONTH('Исходные данные'!$B$91)),-(AE330+AD330),IF(OR(AF330&lt;1,AF330&gt;N('Исходные данные'!$B$25)),0,IF('Исходные данные'!$B$27="Равными долями",-MIN(AE330+AD330,N('Исходные данные'!$B$23)/N('Исходные данные'!$B$25)),-MIN(AE330+AD330,IF(AF330=N('Исходные данные'!$B$25),AE330+AD330,MAX(0,AH330+AG330)))))))</f>
        <v>0</v>
      </c>
      <c r="AJ330">
        <f t="shared" si="191"/>
        <v>0</v>
      </c>
      <c r="AK330">
        <f t="shared" si="174"/>
        <v>0</v>
      </c>
      <c r="AL330">
        <f>IF(OR(B330="",'Исходные данные'!$B$51&lt;&gt;"Да",'Исходные данные'!$B$61=""),0,IF(AND(YEAR(B330)=YEAR('Исходные данные'!$B$61),MONTH(B330)=MONTH('Исходные данные'!$B$61)),N('Исходные данные'!$B$18)*N('Исходные данные'!$B$62),0))</f>
        <v>0</v>
      </c>
      <c r="AM330">
        <f t="shared" si="175"/>
        <v>0</v>
      </c>
      <c r="AN330">
        <f t="shared" si="176"/>
        <v>0</v>
      </c>
      <c r="AO330">
        <f t="shared" si="177"/>
        <v>0</v>
      </c>
      <c r="AP330">
        <f>IF('Исходные данные'!$B$51="Да",-MAX(0,AN330-AO330-AM330),0)</f>
        <v>0</v>
      </c>
      <c r="AQ330">
        <f>IF('Исходные данные'!$B$51="Да",MAX(0,AM330+AO330-AN330),0)</f>
        <v>0</v>
      </c>
      <c r="AR330">
        <f>IF('Исходные данные'!$B$53="Выручка",MAX(0,L330+(Q330-R330)+(U330-V330)),IF('Исходные данные'!$B$53="Прибыль до налога",MAX(0,L330+(Q330-R330)+(U330-V330)+N('Исходные данные'!$B$54)*((O330+P330)+(S330+T330)+W330+X330)+IF('Исходные данные'!$B$55="Да",AG330,0)-N('Исходные данные'!$B$56)/12),IF('Исходные данные'!$B$53="Пользовательская база",MAX(0,N('Исходные данные'!$B$57)/12),0)))</f>
        <v>0</v>
      </c>
      <c r="AS330">
        <f>IF(E330=1,-AR330*N('Исходные данные'!$B$50),0)</f>
        <v>0</v>
      </c>
      <c r="AT330">
        <f t="shared" si="178"/>
        <v>0</v>
      </c>
      <c r="AU330">
        <f>IF(OR(B330="",N('Исходные данные'!$B$80)&lt;=0,'Исходные данные'!$B$88=""),0,MAX(0,IF('Исходные данные'!$B$88="Последние 12 месяцев",SUMIFS($Y$2:$Y$194,$B$2:$B$194,"&gt;="&amp;EDATE(B330,-11),$B$2:$B$194,"&lt;="&amp;B330),IF('Исходные данные'!$B$88="Пользовательский NOI",N('Исходные данные'!$B$89),AT330))/N('Исходные данные'!$B$80)*(1+N('Исходные данные'!$B$81))))</f>
        <v>0</v>
      </c>
      <c r="AV330">
        <f>IF(OR(E330&lt;&gt;1,B330="",'Исходные данные'!$B$91=""),0,IF(AND(YEAR(B330)=YEAR('Исходные данные'!$B$91),MONTH(B330)=MONTH('Исходные данные'!$B$91)),AU330,0))</f>
        <v>0</v>
      </c>
      <c r="AW330">
        <f>-AV330*N('Исходные данные'!$B$73)</f>
        <v>0</v>
      </c>
      <c r="AX330">
        <f>IF(AV330=0,0,-N('Исходные данные'!$B$87)-IF('Исходные данные'!$B$82="Да",IF('Исходные данные'!$B$84="С выручки",AV330,IF('Исходные данные'!$B$84="С прибыли",MAX(0,AV330+AW330-IF('Исходные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30">
        <f t="shared" si="192"/>
        <v>0</v>
      </c>
      <c r="AZ330">
        <f t="shared" si="179"/>
        <v>0</v>
      </c>
      <c r="BA330">
        <f t="shared" si="193"/>
        <v>0</v>
      </c>
      <c r="BB330" t="str">
        <f t="shared" si="180"/>
        <v/>
      </c>
      <c r="BC330">
        <f>IF(OR(E330=0,'Исходные данные'!$B$9="",'Исходные данные'!$B$90=""),0,BA330/(1+'Исходные данные'!$B$90)^((D330-'Исходные данные'!$B$9)/365))</f>
        <v>0</v>
      </c>
      <c r="BD330">
        <f>IF(AND(E330=1,BB330&gt;=0,BB329&lt;0,MIN($BB$2:BB330)&lt;0),1,0)</f>
        <v>0</v>
      </c>
      <c r="BE330">
        <f t="shared" si="181"/>
        <v>0</v>
      </c>
      <c r="BF330">
        <f t="shared" si="182"/>
        <v>0</v>
      </c>
      <c r="BG330">
        <f t="shared" si="183"/>
        <v>0</v>
      </c>
      <c r="BH330">
        <f t="shared" si="184"/>
        <v>1</v>
      </c>
      <c r="BI330">
        <f>AZ330+N330+AP330-AR330*N('Исходные данные'!$B$50)</f>
        <v>0</v>
      </c>
      <c r="BJ330">
        <f t="shared" si="185"/>
        <v>0</v>
      </c>
      <c r="BK330">
        <f>IF(AND(BJ330&gt;=0,BJ329&lt;0,MIN($BJ$2:BJ330)&lt;0),1,0)</f>
        <v>0</v>
      </c>
    </row>
    <row r="331" spans="1:63" x14ac:dyDescent="0.2">
      <c r="A331">
        <v>330</v>
      </c>
      <c r="B331" t="str">
        <f>IF('Исходные данные'!$B$9="","",EDATE(DATE(YEAR('Исходные данные'!$B$9),MONTH('Исходные данные'!$B$9),1),A331-1))</f>
        <v/>
      </c>
      <c r="C331" t="str">
        <f t="shared" si="186"/>
        <v/>
      </c>
      <c r="D331" t="str">
        <f>IF(B331="","",IF('Исходные данные'!$B$91&lt;&gt;"",IF(AND(YEAR(B331)=YEAR('Исходные данные'!$B$91),MONTH(B331)=MONTH('Исходные данные'!$B$91)),'Исходные данные'!$B$91,IF('Исходные данные'!$B$13&lt;&gt;"",IF(AND(YEAR(B331)=YEAR('Исходные данные'!$B$13),MONTH(B331)=MONTH('Исходные данные'!$B$13)),'Исходные данные'!$B$13,IF('Исходные данные'!$B$26&lt;&gt;"",IF(AND(YEAR(B331)=YEAR('Исходные данные'!$B$26),MONTH(B331)=MONTH('Исходные данные'!$B$26)),'Исходные данные'!$B$26,IF(A331=1,'Исходные данные'!$B$9,C331)),IF(A331=1,'Исходные данные'!$B$9,C331))),IF('Исходные данные'!$B$26&lt;&gt;"",IF(AND(YEAR(B331)=YEAR('Исходные данные'!$B$26),MONTH(B331)=MONTH('Исходные данные'!$B$26)),'Исходные данные'!$B$26,IF(A331=1,'Исходные данные'!$B$9,C331)),IF(A331=1,'Исходные данные'!$B$9,C331)))),IF('Исходные данные'!$B$13&lt;&gt;"",IF(AND(YEAR(B331)=YEAR('Исходные данные'!$B$13),MONTH(B331)=MONTH('Исходные данные'!$B$13)),'Исходные данные'!$B$13,IF('Исходные данные'!$B$26&lt;&gt;"",IF(AND(YEAR(B331)=YEAR('Исходные данные'!$B$26),MONTH(B331)=MONTH('Исходные данные'!$B$26)),'Исходные данные'!$B$26,IF(A331=1,'Исходные данные'!$B$9,C331)),IF(A331=1,'Исходные данные'!$B$9,C331))),IF('Исходные данные'!$B$26&lt;&gt;"",IF(AND(YEAR(B331)=YEAR('Исходные данные'!$B$26),MONTH(B331)=MONTH('Исходные данные'!$B$26)),'Исходные данные'!$B$26,IF(A331=1,'Исходные данные'!$B$9,C331)),IF(A331=1,'Исходные данные'!$B$9,C331)))))</f>
        <v/>
      </c>
      <c r="E331">
        <f>IF(OR(B331="",'Исходные данные'!$B$91=""),0,--(B331&lt;=DATE(YEAR('Исходные данные'!$B$91),MONTH('Исходные данные'!$B$91),1)))</f>
        <v>0</v>
      </c>
      <c r="F331">
        <f>IF(OR(B331="",'Исходные данные'!$B$30="",C331&lt;'Исходные данные'!$B$30),0,DATEDIF(DATE(YEAR('Исходные данные'!$B$30),MONTH('Исходные данные'!$B$30),1),B331,"m")+1)</f>
        <v>0</v>
      </c>
      <c r="G331">
        <f t="shared" si="187"/>
        <v>0</v>
      </c>
      <c r="H331">
        <f>IF(F331=0,0,IF(G331=1,N('Исходные данные'!$B$31),IF(G331=2,N('Исходные данные'!$B$32),IF(G331=3,N('Исходные данные'!$B$33),N('Исходные данные'!$B$33)*(1+N('Исходные данные'!$B$34))^(G331-3)))))</f>
        <v>0</v>
      </c>
      <c r="I331">
        <f>IF(OR(F331=0,N('Исходные данные'!$B$5)=0,H331=0),0,'Исходные данные'!$B$5*H331*IF(AND(B331&lt;='Исходные данные'!$B$30,C331&gt;='Исходные данные'!$B$30),(C331-'Исходные данные'!$B$30+1)/DAY(C331),1))</f>
        <v>0</v>
      </c>
      <c r="J331">
        <f>IF(AND(F331&gt;0,F331&lt;=N('Исходные данные'!$B$37)),-I331,0)</f>
        <v>0</v>
      </c>
      <c r="K331">
        <f>IF(OR(F331=0,F331&lt;=N('Исходные данные'!$B$37)),0,-(I331+J331)*N('Исходные данные'!$B$38))</f>
        <v>0</v>
      </c>
      <c r="L331">
        <f t="shared" si="188"/>
        <v>0</v>
      </c>
      <c r="M331">
        <f>IF('Исходные данные'!$B$51="Да",L331*N('Исходные данные'!$B$52),0)</f>
        <v>0</v>
      </c>
      <c r="N331">
        <f t="shared" si="189"/>
        <v>0</v>
      </c>
      <c r="O331">
        <f>IF(OR(B331="",IF('Исходные данные'!$B$45="",'Исходные данные'!$B$10,'Исходные данные'!$B$45)="",C331&lt;IF('Исходные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данные'!$B$45)),1),B331,"m")/12))*IF(AND(B331&lt;=IF('Исходные данные'!$B$45="",'Исходные данные'!$B$10,'Исходные данные'!$B$45),C331&gt;=IF('Исходные данные'!$B$45="",'Исходные данные'!$B$10,'Исходные данные'!$B$45)),(C331-IF('Исходные данные'!$B$45="",'Исходные данные'!$B$10,'Исходные данные'!$B$45)+1)/DAY(C331),1)*IF('Исходные данные'!$B$43="Без НДС",1+N('Исходные данные'!$B$44),1))</f>
        <v>0</v>
      </c>
      <c r="P331">
        <f>IF('Исходные данные'!$B$51="Да",-O331*N('Исходные данные'!$B$44)/(1+N('Исходные данные'!$B$44)),0)</f>
        <v>0</v>
      </c>
      <c r="Q331">
        <f>IF('Исходные данные'!$B$35="Да",-O331,0)</f>
        <v>0</v>
      </c>
      <c r="R331">
        <f>IF(AND('Исходные данные'!$B$51="Да",Q331&gt;0),Q331*N('Исходные данные'!$B$52)/(1+N('Исходные данные'!$B$52)),0)</f>
        <v>0</v>
      </c>
      <c r="S331">
        <f>IF(OR(B331="",IF('Исходные данные'!$B$45="",'Исходные данные'!$B$10,'Исходные данные'!$B$45)="",C331&lt;IF('Исходные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данные'!$B$45)),1),B331,"m")/12))*IF(AND(B331&lt;=IF('Исходные данные'!$B$45="",'Исходные данные'!$B$10,'Исходные данные'!$B$45),C331&gt;=IF('Исходные данные'!$B$45="",'Исходные данные'!$B$10,'Исходные данные'!$B$45)),(C331-IF('Исходные данные'!$B$45="",'Исходные данные'!$B$10,'Исходные данные'!$B$45)+1)/DAY(C331),1)*IF('Исходные данные'!$B$43="Без НДС",1+N('Исходные данные'!$B$44),1))</f>
        <v>0</v>
      </c>
      <c r="T331">
        <f>IF('Исходные данные'!$B$51="Да",-S331*N('Исходные данные'!$B$44)/(1+N('Исходные данные'!$B$44)),0)</f>
        <v>0</v>
      </c>
      <c r="U331">
        <f>IF('Исходные данные'!$B$36="Да",-S331,0)</f>
        <v>0</v>
      </c>
      <c r="V331">
        <f>IF(AND('Исходные данные'!$B$51="Да",U331&gt;0),U331*N('Исходные данные'!$B$52)/(1+N('Исходные данные'!$B$52)),0)</f>
        <v>0</v>
      </c>
      <c r="W331">
        <f>IF(OR(B331="",IF('Исходные данные'!$B$69="",'Исходные данные'!$B$10,'Исходные данные'!$B$69)="",C331&lt;IF('Исходные данные'!$B$69="",'Исходные данные'!$B$10,'Исходные данные'!$B$69)),0,-N('Исходные данные'!$B$16)*N('Исходные данные'!$B$68)*N('Исходные данные'!$B$67)/12*IF(AND(B331&lt;=IF('Исходные данные'!$B$69="",'Исходные данные'!$B$10,'Исходные данные'!$B$69),C331&gt;=IF('Исходные данные'!$B$69="",'Исходные данные'!$B$10,'Исходные данные'!$B$69)),(C331-IF('Исходные данные'!$B$69="",'Исходные данные'!$B$10,'Исходные данные'!$B$69)+1)/DAY(C331),1))</f>
        <v>0</v>
      </c>
      <c r="X331">
        <f>IF(OR(B331="",IF('Исходные данные'!$B$76="",'Исходные данные'!$B$10,'Исходные данные'!$B$76)="",C331&lt;IF('Исходные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данные'!$B$76)),1),B331,"m")/12))*IF(AND(B331&lt;=IF('Исходные данные'!$B$76="",'Исходные данные'!$B$10,'Исходные данные'!$B$76),C331&gt;=IF('Исходные данные'!$B$76="",'Исходные данные'!$B$10,'Исходные данные'!$B$76)),(C331-IF('Исходные данные'!$B$76="",'Исходные данные'!$B$10,'Исходные данные'!$B$76)+1)/DAY(C331),1))</f>
        <v>0</v>
      </c>
      <c r="Y331">
        <f t="shared" si="190"/>
        <v>0</v>
      </c>
      <c r="Z331">
        <f>IF(OR(B331="",N('Исходные данные'!$B$19)=0),0,-SUMIFS('Исходные данные'!$I$6:$I$186,'Исходные данные'!$F$6:$F$186,B331)*N('Исходные данные'!$B$17)/N('Исходные данные'!$B$19))</f>
        <v>0</v>
      </c>
      <c r="AA331">
        <f>IF(OR(B331="",N('Исходные данные'!$B$19)=0),0,-SUMIFS('Исходные данные'!$I$6:$I$186,'Исходные данные'!$F$6:$F$186,B331)*N('Исходные данные'!$B$18)/N('Исходные данные'!$B$19))</f>
        <v>0</v>
      </c>
      <c r="AB331">
        <f>IF(OR(B331="",'Исходные данные'!$B$13=""),0,IF(AND(YEAR(B331)=YEAR('Исходные данные'!$B$13),MONTH(B331)=MONTH('Исходные данные'!$B$13)),-N('Исходные данные'!$B$11),0))</f>
        <v>0</v>
      </c>
      <c r="AC331">
        <f>IF(A331=1,-N('Исходные данные'!$B$19)*N('Исходные данные'!$B$72),0)</f>
        <v>0</v>
      </c>
      <c r="AD331">
        <f>IF(OR(B331="",'Исходные данные'!$B$22&lt;&gt;"Да",'Исходные данные'!$B$26=""),0,IF(AND(YEAR(B331)=YEAR('Исходные данные'!$B$26),MONTH(B331)=MONTH('Исходные данные'!$B$26)),N('Исходные данные'!$B$23),0))</f>
        <v>0</v>
      </c>
      <c r="AE331">
        <f t="shared" si="173"/>
        <v>0</v>
      </c>
      <c r="AF331">
        <f>IF(OR('Исходные данные'!$B$22&lt;&gt;"Да",'Исходные данные'!$B$26="",C331&lt;'Исходные данные'!$B$26),0,DATEDIF(DATE(YEAR('Исходные данные'!$B$26),MONTH('Исходные данные'!$B$26),1),B331,"m")+1)</f>
        <v>0</v>
      </c>
      <c r="AG331">
        <f>IF(OR(AF331&lt;1,AF331&gt;N('Исходные данные'!$B$25),AE331+AD331&lt;=0),0,-(AE331+AD331)*N('Исходные данные'!$B$24)*IF(AF331=1,C331-'Исходные данные'!$B$26+1,DAY(C331))/365)</f>
        <v>0</v>
      </c>
      <c r="AH331">
        <f>IF(OR(AF331&lt;1,AF331&gt;N('Исходные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данные'!$B$25)-AG331))</f>
        <v>0</v>
      </c>
      <c r="AI331">
        <f>IF(OR('Исходные данные'!$B$22&lt;&gt;"Да",AE331+AD331&lt;=0),0,IF(AND('Исходные данные'!$B$91&lt;&gt;"",B331&lt;&gt;"",YEAR(B331)=YEAR('Исходные данные'!$B$91),MONTH(B331)=MONTH('Исходные данные'!$B$91)),-(AE331+AD331),IF(OR(AF331&lt;1,AF331&gt;N('Исходные данные'!$B$25)),0,IF('Исходные данные'!$B$27="Равными долями",-MIN(AE331+AD331,N('Исходные данные'!$B$23)/N('Исходные данные'!$B$25)),-MIN(AE331+AD331,IF(AF331=N('Исходные данные'!$B$25),AE331+AD331,MAX(0,AH331+AG331)))))))</f>
        <v>0</v>
      </c>
      <c r="AJ331">
        <f t="shared" si="191"/>
        <v>0</v>
      </c>
      <c r="AK331">
        <f t="shared" si="174"/>
        <v>0</v>
      </c>
      <c r="AL331">
        <f>IF(OR(B331="",'Исходные данные'!$B$51&lt;&gt;"Да",'Исходные данные'!$B$61=""),0,IF(AND(YEAR(B331)=YEAR('Исходные данные'!$B$61),MONTH(B331)=MONTH('Исходные данные'!$B$61)),N('Исходные данные'!$B$18)*N('Исходные данные'!$B$62),0))</f>
        <v>0</v>
      </c>
      <c r="AM331">
        <f t="shared" si="175"/>
        <v>0</v>
      </c>
      <c r="AN331">
        <f t="shared" si="176"/>
        <v>0</v>
      </c>
      <c r="AO331">
        <f t="shared" si="177"/>
        <v>0</v>
      </c>
      <c r="AP331">
        <f>IF('Исходные данные'!$B$51="Да",-MAX(0,AN331-AO331-AM331),0)</f>
        <v>0</v>
      </c>
      <c r="AQ331">
        <f>IF('Исходные данные'!$B$51="Да",MAX(0,AM331+AO331-AN331),0)</f>
        <v>0</v>
      </c>
      <c r="AR331">
        <f>IF('Исходные данные'!$B$53="Выручка",MAX(0,L331+(Q331-R331)+(U331-V331)),IF('Исходные данные'!$B$53="Прибыль до налога",MAX(0,L331+(Q331-R331)+(U331-V331)+N('Исходные данные'!$B$54)*((O331+P331)+(S331+T331)+W331+X331)+IF('Исходные данные'!$B$55="Да",AG331,0)-N('Исходные данные'!$B$56)/12),IF('Исходные данные'!$B$53="Пользовательская база",MAX(0,N('Исходные данные'!$B$57)/12),0)))</f>
        <v>0</v>
      </c>
      <c r="AS331">
        <f>IF(E331=1,-AR331*N('Исходные данные'!$B$50),0)</f>
        <v>0</v>
      </c>
      <c r="AT331">
        <f t="shared" si="178"/>
        <v>0</v>
      </c>
      <c r="AU331">
        <f>IF(OR(B331="",N('Исходные данные'!$B$80)&lt;=0,'Исходные данные'!$B$88=""),0,MAX(0,IF('Исходные данные'!$B$88="Последние 12 месяцев",SUMIFS($Y$2:$Y$194,$B$2:$B$194,"&gt;="&amp;EDATE(B331,-11),$B$2:$B$194,"&lt;="&amp;B331),IF('Исходные данные'!$B$88="Пользовательский NOI",N('Исходные данные'!$B$89),AT331))/N('Исходные данные'!$B$80)*(1+N('Исходные данные'!$B$81))))</f>
        <v>0</v>
      </c>
      <c r="AV331">
        <f>IF(OR(E331&lt;&gt;1,B331="",'Исходные данные'!$B$91=""),0,IF(AND(YEAR(B331)=YEAR('Исходные данные'!$B$91),MONTH(B331)=MONTH('Исходные данные'!$B$91)),AU331,0))</f>
        <v>0</v>
      </c>
      <c r="AW331">
        <f>-AV331*N('Исходные данные'!$B$73)</f>
        <v>0</v>
      </c>
      <c r="AX331">
        <f>IF(AV331=0,0,-N('Исходные данные'!$B$87)-IF('Исходные данные'!$B$82="Да",IF('Исходные данные'!$B$84="С выручки",AV331,IF('Исходные данные'!$B$84="С прибыли",MAX(0,AV331+AW331-IF('Исходные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31">
        <f t="shared" si="192"/>
        <v>0</v>
      </c>
      <c r="AZ331">
        <f t="shared" si="179"/>
        <v>0</v>
      </c>
      <c r="BA331">
        <f t="shared" si="193"/>
        <v>0</v>
      </c>
      <c r="BB331" t="str">
        <f t="shared" si="180"/>
        <v/>
      </c>
      <c r="BC331">
        <f>IF(OR(E331=0,'Исходные данные'!$B$9="",'Исходные данные'!$B$90=""),0,BA331/(1+'Исходные данные'!$B$90)^((D331-'Исходные данные'!$B$9)/365))</f>
        <v>0</v>
      </c>
      <c r="BD331">
        <f>IF(AND(E331=1,BB331&gt;=0,BB330&lt;0,MIN($BB$2:BB331)&lt;0),1,0)</f>
        <v>0</v>
      </c>
      <c r="BE331">
        <f t="shared" si="181"/>
        <v>0</v>
      </c>
      <c r="BF331">
        <f t="shared" si="182"/>
        <v>0</v>
      </c>
      <c r="BG331">
        <f t="shared" si="183"/>
        <v>0</v>
      </c>
      <c r="BH331">
        <f t="shared" si="184"/>
        <v>1</v>
      </c>
      <c r="BI331">
        <f>AZ331+N331+AP331-AR331*N('Исходные данные'!$B$50)</f>
        <v>0</v>
      </c>
      <c r="BJ331">
        <f t="shared" si="185"/>
        <v>0</v>
      </c>
      <c r="BK331">
        <f>IF(AND(BJ331&gt;=0,BJ330&lt;0,MIN($BJ$2:BJ331)&lt;0),1,0)</f>
        <v>0</v>
      </c>
    </row>
    <row r="332" spans="1:63" x14ac:dyDescent="0.2">
      <c r="A332">
        <v>331</v>
      </c>
      <c r="B332" t="str">
        <f>IF('Исходные данные'!$B$9="","",EDATE(DATE(YEAR('Исходные данные'!$B$9),MONTH('Исходные данные'!$B$9),1),A332-1))</f>
        <v/>
      </c>
      <c r="C332" t="str">
        <f t="shared" si="186"/>
        <v/>
      </c>
      <c r="D332" t="str">
        <f>IF(B332="","",IF('Исходные данные'!$B$91&lt;&gt;"",IF(AND(YEAR(B332)=YEAR('Исходные данные'!$B$91),MONTH(B332)=MONTH('Исходные данные'!$B$91)),'Исходные данные'!$B$91,IF('Исходные данные'!$B$13&lt;&gt;"",IF(AND(YEAR(B332)=YEAR('Исходные данные'!$B$13),MONTH(B332)=MONTH('Исходные данные'!$B$13)),'Исходные данные'!$B$13,IF('Исходные данные'!$B$26&lt;&gt;"",IF(AND(YEAR(B332)=YEAR('Исходные данные'!$B$26),MONTH(B332)=MONTH('Исходные данные'!$B$26)),'Исходные данные'!$B$26,IF(A332=1,'Исходные данные'!$B$9,C332)),IF(A332=1,'Исходные данные'!$B$9,C332))),IF('Исходные данные'!$B$26&lt;&gt;"",IF(AND(YEAR(B332)=YEAR('Исходные данные'!$B$26),MONTH(B332)=MONTH('Исходные данные'!$B$26)),'Исходные данные'!$B$26,IF(A332=1,'Исходные данные'!$B$9,C332)),IF(A332=1,'Исходные данные'!$B$9,C332)))),IF('Исходные данные'!$B$13&lt;&gt;"",IF(AND(YEAR(B332)=YEAR('Исходные данные'!$B$13),MONTH(B332)=MONTH('Исходные данные'!$B$13)),'Исходные данные'!$B$13,IF('Исходные данные'!$B$26&lt;&gt;"",IF(AND(YEAR(B332)=YEAR('Исходные данные'!$B$26),MONTH(B332)=MONTH('Исходные данные'!$B$26)),'Исходные данные'!$B$26,IF(A332=1,'Исходные данные'!$B$9,C332)),IF(A332=1,'Исходные данные'!$B$9,C332))),IF('Исходные данные'!$B$26&lt;&gt;"",IF(AND(YEAR(B332)=YEAR('Исходные данные'!$B$26),MONTH(B332)=MONTH('Исходные данные'!$B$26)),'Исходные данные'!$B$26,IF(A332=1,'Исходные данные'!$B$9,C332)),IF(A332=1,'Исходные данные'!$B$9,C332)))))</f>
        <v/>
      </c>
      <c r="E332">
        <f>IF(OR(B332="",'Исходные данные'!$B$91=""),0,--(B332&lt;=DATE(YEAR('Исходные данные'!$B$91),MONTH('Исходные данные'!$B$91),1)))</f>
        <v>0</v>
      </c>
      <c r="F332">
        <f>IF(OR(B332="",'Исходные данные'!$B$30="",C332&lt;'Исходные данные'!$B$30),0,DATEDIF(DATE(YEAR('Исходные данные'!$B$30),MONTH('Исходные данные'!$B$30),1),B332,"m")+1)</f>
        <v>0</v>
      </c>
      <c r="G332">
        <f t="shared" si="187"/>
        <v>0</v>
      </c>
      <c r="H332">
        <f>IF(F332=0,0,IF(G332=1,N('Исходные данные'!$B$31),IF(G332=2,N('Исходные данные'!$B$32),IF(G332=3,N('Исходные данные'!$B$33),N('Исходные данные'!$B$33)*(1+N('Исходные данные'!$B$34))^(G332-3)))))</f>
        <v>0</v>
      </c>
      <c r="I332">
        <f>IF(OR(F332=0,N('Исходные данные'!$B$5)=0,H332=0),0,'Исходные данные'!$B$5*H332*IF(AND(B332&lt;='Исходные данные'!$B$30,C332&gt;='Исходные данные'!$B$30),(C332-'Исходные данные'!$B$30+1)/DAY(C332),1))</f>
        <v>0</v>
      </c>
      <c r="J332">
        <f>IF(AND(F332&gt;0,F332&lt;=N('Исходные данные'!$B$37)),-I332,0)</f>
        <v>0</v>
      </c>
      <c r="K332">
        <f>IF(OR(F332=0,F332&lt;=N('Исходные данные'!$B$37)),0,-(I332+J332)*N('Исходные данные'!$B$38))</f>
        <v>0</v>
      </c>
      <c r="L332">
        <f t="shared" si="188"/>
        <v>0</v>
      </c>
      <c r="M332">
        <f>IF('Исходные данные'!$B$51="Да",L332*N('Исходные данные'!$B$52),0)</f>
        <v>0</v>
      </c>
      <c r="N332">
        <f t="shared" si="189"/>
        <v>0</v>
      </c>
      <c r="O332">
        <f>IF(OR(B332="",IF('Исходные данные'!$B$45="",'Исходные данные'!$B$10,'Исходные данные'!$B$45)="",C332&lt;IF('Исходные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данные'!$B$45)),1),B332,"m")/12))*IF(AND(B332&lt;=IF('Исходные данные'!$B$45="",'Исходные данные'!$B$10,'Исходные данные'!$B$45),C332&gt;=IF('Исходные данные'!$B$45="",'Исходные данные'!$B$10,'Исходные данные'!$B$45)),(C332-IF('Исходные данные'!$B$45="",'Исходные данные'!$B$10,'Исходные данные'!$B$45)+1)/DAY(C332),1)*IF('Исходные данные'!$B$43="Без НДС",1+N('Исходные данные'!$B$44),1))</f>
        <v>0</v>
      </c>
      <c r="P332">
        <f>IF('Исходные данные'!$B$51="Да",-O332*N('Исходные данные'!$B$44)/(1+N('Исходные данные'!$B$44)),0)</f>
        <v>0</v>
      </c>
      <c r="Q332">
        <f>IF('Исходные данные'!$B$35="Да",-O332,0)</f>
        <v>0</v>
      </c>
      <c r="R332">
        <f>IF(AND('Исходные данные'!$B$51="Да",Q332&gt;0),Q332*N('Исходные данные'!$B$52)/(1+N('Исходные данные'!$B$52)),0)</f>
        <v>0</v>
      </c>
      <c r="S332">
        <f>IF(OR(B332="",IF('Исходные данные'!$B$45="",'Исходные данные'!$B$10,'Исходные данные'!$B$45)="",C332&lt;IF('Исходные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данные'!$B$45)),1),B332,"m")/12))*IF(AND(B332&lt;=IF('Исходные данные'!$B$45="",'Исходные данные'!$B$10,'Исходные данные'!$B$45),C332&gt;=IF('Исходные данные'!$B$45="",'Исходные данные'!$B$10,'Исходные данные'!$B$45)),(C332-IF('Исходные данные'!$B$45="",'Исходные данные'!$B$10,'Исходные данные'!$B$45)+1)/DAY(C332),1)*IF('Исходные данные'!$B$43="Без НДС",1+N('Исходные данные'!$B$44),1))</f>
        <v>0</v>
      </c>
      <c r="T332">
        <f>IF('Исходные данные'!$B$51="Да",-S332*N('Исходные данные'!$B$44)/(1+N('Исходные данные'!$B$44)),0)</f>
        <v>0</v>
      </c>
      <c r="U332">
        <f>IF('Исходные данные'!$B$36="Да",-S332,0)</f>
        <v>0</v>
      </c>
      <c r="V332">
        <f>IF(AND('Исходные данные'!$B$51="Да",U332&gt;0),U332*N('Исходные данные'!$B$52)/(1+N('Исходные данные'!$B$52)),0)</f>
        <v>0</v>
      </c>
      <c r="W332">
        <f>IF(OR(B332="",IF('Исходные данные'!$B$69="",'Исходные данные'!$B$10,'Исходные данные'!$B$69)="",C332&lt;IF('Исходные данные'!$B$69="",'Исходные данные'!$B$10,'Исходные данные'!$B$69)),0,-N('Исходные данные'!$B$16)*N('Исходные данные'!$B$68)*N('Исходные данные'!$B$67)/12*IF(AND(B332&lt;=IF('Исходные данные'!$B$69="",'Исходные данные'!$B$10,'Исходные данные'!$B$69),C332&gt;=IF('Исходные данные'!$B$69="",'Исходные данные'!$B$10,'Исходные данные'!$B$69)),(C332-IF('Исходные данные'!$B$69="",'Исходные данные'!$B$10,'Исходные данные'!$B$69)+1)/DAY(C332),1))</f>
        <v>0</v>
      </c>
      <c r="X332">
        <f>IF(OR(B332="",IF('Исходные данные'!$B$76="",'Исходные данные'!$B$10,'Исходные данные'!$B$76)="",C332&lt;IF('Исходные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данные'!$B$76)),1),B332,"m")/12))*IF(AND(B332&lt;=IF('Исходные данные'!$B$76="",'Исходные данные'!$B$10,'Исходные данные'!$B$76),C332&gt;=IF('Исходные данные'!$B$76="",'Исходные данные'!$B$10,'Исходные данные'!$B$76)),(C332-IF('Исходные данные'!$B$76="",'Исходные данные'!$B$10,'Исходные данные'!$B$76)+1)/DAY(C332),1))</f>
        <v>0</v>
      </c>
      <c r="Y332">
        <f t="shared" si="190"/>
        <v>0</v>
      </c>
      <c r="Z332">
        <f>IF(OR(B332="",N('Исходные данные'!$B$19)=0),0,-SUMIFS('Исходные данные'!$I$6:$I$186,'Исходные данные'!$F$6:$F$186,B332)*N('Исходные данные'!$B$17)/N('Исходные данные'!$B$19))</f>
        <v>0</v>
      </c>
      <c r="AA332">
        <f>IF(OR(B332="",N('Исходные данные'!$B$19)=0),0,-SUMIFS('Исходные данные'!$I$6:$I$186,'Исходные данные'!$F$6:$F$186,B332)*N('Исходные данные'!$B$18)/N('Исходные данные'!$B$19))</f>
        <v>0</v>
      </c>
      <c r="AB332">
        <f>IF(OR(B332="",'Исходные данные'!$B$13=""),0,IF(AND(YEAR(B332)=YEAR('Исходные данные'!$B$13),MONTH(B332)=MONTH('Исходные данные'!$B$13)),-N('Исходные данные'!$B$11),0))</f>
        <v>0</v>
      </c>
      <c r="AC332">
        <f>IF(A332=1,-N('Исходные данные'!$B$19)*N('Исходные данные'!$B$72),0)</f>
        <v>0</v>
      </c>
      <c r="AD332">
        <f>IF(OR(B332="",'Исходные данные'!$B$22&lt;&gt;"Да",'Исходные данные'!$B$26=""),0,IF(AND(YEAR(B332)=YEAR('Исходные данные'!$B$26),MONTH(B332)=MONTH('Исходные данные'!$B$26)),N('Исходные данные'!$B$23),0))</f>
        <v>0</v>
      </c>
      <c r="AE332">
        <f t="shared" si="173"/>
        <v>0</v>
      </c>
      <c r="AF332">
        <f>IF(OR('Исходные данные'!$B$22&lt;&gt;"Да",'Исходные данные'!$B$26="",C332&lt;'Исходные данные'!$B$26),0,DATEDIF(DATE(YEAR('Исходные данные'!$B$26),MONTH('Исходные данные'!$B$26),1),B332,"m")+1)</f>
        <v>0</v>
      </c>
      <c r="AG332">
        <f>IF(OR(AF332&lt;1,AF332&gt;N('Исходные данные'!$B$25),AE332+AD332&lt;=0),0,-(AE332+AD332)*N('Исходные данные'!$B$24)*IF(AF332=1,C332-'Исходные данные'!$B$26+1,DAY(C332))/365)</f>
        <v>0</v>
      </c>
      <c r="AH332">
        <f>IF(OR(AF332&lt;1,AF332&gt;N('Исходные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данные'!$B$25)-AG332))</f>
        <v>0</v>
      </c>
      <c r="AI332">
        <f>IF(OR('Исходные данные'!$B$22&lt;&gt;"Да",AE332+AD332&lt;=0),0,IF(AND('Исходные данные'!$B$91&lt;&gt;"",B332&lt;&gt;"",YEAR(B332)=YEAR('Исходные данные'!$B$91),MONTH(B332)=MONTH('Исходные данные'!$B$91)),-(AE332+AD332),IF(OR(AF332&lt;1,AF332&gt;N('Исходные данные'!$B$25)),0,IF('Исходные данные'!$B$27="Равными долями",-MIN(AE332+AD332,N('Исходные данные'!$B$23)/N('Исходные данные'!$B$25)),-MIN(AE332+AD332,IF(AF332=N('Исходные данные'!$B$25),AE332+AD332,MAX(0,AH332+AG332)))))))</f>
        <v>0</v>
      </c>
      <c r="AJ332">
        <f t="shared" si="191"/>
        <v>0</v>
      </c>
      <c r="AK332">
        <f t="shared" si="174"/>
        <v>0</v>
      </c>
      <c r="AL332">
        <f>IF(OR(B332="",'Исходные данные'!$B$51&lt;&gt;"Да",'Исходные данные'!$B$61=""),0,IF(AND(YEAR(B332)=YEAR('Исходные данные'!$B$61),MONTH(B332)=MONTH('Исходные данные'!$B$61)),N('Исходные данные'!$B$18)*N('Исходные данные'!$B$62),0))</f>
        <v>0</v>
      </c>
      <c r="AM332">
        <f t="shared" si="175"/>
        <v>0</v>
      </c>
      <c r="AN332">
        <f t="shared" si="176"/>
        <v>0</v>
      </c>
      <c r="AO332">
        <f t="shared" si="177"/>
        <v>0</v>
      </c>
      <c r="AP332">
        <f>IF('Исходные данные'!$B$51="Да",-MAX(0,AN332-AO332-AM332),0)</f>
        <v>0</v>
      </c>
      <c r="AQ332">
        <f>IF('Исходные данные'!$B$51="Да",MAX(0,AM332+AO332-AN332),0)</f>
        <v>0</v>
      </c>
      <c r="AR332">
        <f>IF('Исходные данные'!$B$53="Выручка",MAX(0,L332+(Q332-R332)+(U332-V332)),IF('Исходные данные'!$B$53="Прибыль до налога",MAX(0,L332+(Q332-R332)+(U332-V332)+N('Исходные данные'!$B$54)*((O332+P332)+(S332+T332)+W332+X332)+IF('Исходные данные'!$B$55="Да",AG332,0)-N('Исходные данные'!$B$56)/12),IF('Исходные данные'!$B$53="Пользовательская база",MAX(0,N('Исходные данные'!$B$57)/12),0)))</f>
        <v>0</v>
      </c>
      <c r="AS332">
        <f>IF(E332=1,-AR332*N('Исходные данные'!$B$50),0)</f>
        <v>0</v>
      </c>
      <c r="AT332">
        <f t="shared" si="178"/>
        <v>0</v>
      </c>
      <c r="AU332">
        <f>IF(OR(B332="",N('Исходные данные'!$B$80)&lt;=0,'Исходные данные'!$B$88=""),0,MAX(0,IF('Исходные данные'!$B$88="Последние 12 месяцев",SUMIFS($Y$2:$Y$194,$B$2:$B$194,"&gt;="&amp;EDATE(B332,-11),$B$2:$B$194,"&lt;="&amp;B332),IF('Исходные данные'!$B$88="Пользовательский NOI",N('Исходные данные'!$B$89),AT332))/N('Исходные данные'!$B$80)*(1+N('Исходные данные'!$B$81))))</f>
        <v>0</v>
      </c>
      <c r="AV332">
        <f>IF(OR(E332&lt;&gt;1,B332="",'Исходные данные'!$B$91=""),0,IF(AND(YEAR(B332)=YEAR('Исходные данные'!$B$91),MONTH(B332)=MONTH('Исходные данные'!$B$91)),AU332,0))</f>
        <v>0</v>
      </c>
      <c r="AW332">
        <f>-AV332*N('Исходные данные'!$B$73)</f>
        <v>0</v>
      </c>
      <c r="AX332">
        <f>IF(AV332=0,0,-N('Исходные данные'!$B$87)-IF('Исходные данные'!$B$82="Да",IF('Исходные данные'!$B$84="С выручки",AV332,IF('Исходные данные'!$B$84="С прибыли",MAX(0,AV332+AW332-IF('Исходные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32">
        <f t="shared" si="192"/>
        <v>0</v>
      </c>
      <c r="AZ332">
        <f t="shared" si="179"/>
        <v>0</v>
      </c>
      <c r="BA332">
        <f t="shared" si="193"/>
        <v>0</v>
      </c>
      <c r="BB332" t="str">
        <f t="shared" si="180"/>
        <v/>
      </c>
      <c r="BC332">
        <f>IF(OR(E332=0,'Исходные данные'!$B$9="",'Исходные данные'!$B$90=""),0,BA332/(1+'Исходные данные'!$B$90)^((D332-'Исходные данные'!$B$9)/365))</f>
        <v>0</v>
      </c>
      <c r="BD332">
        <f>IF(AND(E332=1,BB332&gt;=0,BB331&lt;0,MIN($BB$2:BB332)&lt;0),1,0)</f>
        <v>0</v>
      </c>
      <c r="BE332">
        <f t="shared" si="181"/>
        <v>0</v>
      </c>
      <c r="BF332">
        <f t="shared" si="182"/>
        <v>0</v>
      </c>
      <c r="BG332">
        <f t="shared" si="183"/>
        <v>0</v>
      </c>
      <c r="BH332">
        <f t="shared" si="184"/>
        <v>1</v>
      </c>
      <c r="BI332">
        <f>AZ332+N332+AP332-AR332*N('Исходные данные'!$B$50)</f>
        <v>0</v>
      </c>
      <c r="BJ332">
        <f t="shared" si="185"/>
        <v>0</v>
      </c>
      <c r="BK332">
        <f>IF(AND(BJ332&gt;=0,BJ331&lt;0,MIN($BJ$2:BJ332)&lt;0),1,0)</f>
        <v>0</v>
      </c>
    </row>
    <row r="333" spans="1:63" x14ac:dyDescent="0.2">
      <c r="A333">
        <v>332</v>
      </c>
      <c r="B333" t="str">
        <f>IF('Исходные данные'!$B$9="","",EDATE(DATE(YEAR('Исходные данные'!$B$9),MONTH('Исходные данные'!$B$9),1),A333-1))</f>
        <v/>
      </c>
      <c r="C333" t="str">
        <f t="shared" si="186"/>
        <v/>
      </c>
      <c r="D333" t="str">
        <f>IF(B333="","",IF('Исходные данные'!$B$91&lt;&gt;"",IF(AND(YEAR(B333)=YEAR('Исходные данные'!$B$91),MONTH(B333)=MONTH('Исходные данные'!$B$91)),'Исходные данные'!$B$91,IF('Исходные данные'!$B$13&lt;&gt;"",IF(AND(YEAR(B333)=YEAR('Исходные данные'!$B$13),MONTH(B333)=MONTH('Исходные данные'!$B$13)),'Исходные данные'!$B$13,IF('Исходные данные'!$B$26&lt;&gt;"",IF(AND(YEAR(B333)=YEAR('Исходные данные'!$B$26),MONTH(B333)=MONTH('Исходные данные'!$B$26)),'Исходные данные'!$B$26,IF(A333=1,'Исходные данные'!$B$9,C333)),IF(A333=1,'Исходные данные'!$B$9,C333))),IF('Исходные данные'!$B$26&lt;&gt;"",IF(AND(YEAR(B333)=YEAR('Исходные данные'!$B$26),MONTH(B333)=MONTH('Исходные данные'!$B$26)),'Исходные данные'!$B$26,IF(A333=1,'Исходные данные'!$B$9,C333)),IF(A333=1,'Исходные данные'!$B$9,C333)))),IF('Исходные данные'!$B$13&lt;&gt;"",IF(AND(YEAR(B333)=YEAR('Исходные данные'!$B$13),MONTH(B333)=MONTH('Исходные данные'!$B$13)),'Исходные данные'!$B$13,IF('Исходные данные'!$B$26&lt;&gt;"",IF(AND(YEAR(B333)=YEAR('Исходные данные'!$B$26),MONTH(B333)=MONTH('Исходные данные'!$B$26)),'Исходные данные'!$B$26,IF(A333=1,'Исходные данные'!$B$9,C333)),IF(A333=1,'Исходные данные'!$B$9,C333))),IF('Исходные данные'!$B$26&lt;&gt;"",IF(AND(YEAR(B333)=YEAR('Исходные данные'!$B$26),MONTH(B333)=MONTH('Исходные данные'!$B$26)),'Исходные данные'!$B$26,IF(A333=1,'Исходные данные'!$B$9,C333)),IF(A333=1,'Исходные данные'!$B$9,C333)))))</f>
        <v/>
      </c>
      <c r="E333">
        <f>IF(OR(B333="",'Исходные данные'!$B$91=""),0,--(B333&lt;=DATE(YEAR('Исходные данные'!$B$91),MONTH('Исходные данные'!$B$91),1)))</f>
        <v>0</v>
      </c>
      <c r="F333">
        <f>IF(OR(B333="",'Исходные данные'!$B$30="",C333&lt;'Исходные данные'!$B$30),0,DATEDIF(DATE(YEAR('Исходные данные'!$B$30),MONTH('Исходные данные'!$B$30),1),B333,"m")+1)</f>
        <v>0</v>
      </c>
      <c r="G333">
        <f t="shared" si="187"/>
        <v>0</v>
      </c>
      <c r="H333">
        <f>IF(F333=0,0,IF(G333=1,N('Исходные данные'!$B$31),IF(G333=2,N('Исходные данные'!$B$32),IF(G333=3,N('Исходные данные'!$B$33),N('Исходные данные'!$B$33)*(1+N('Исходные данные'!$B$34))^(G333-3)))))</f>
        <v>0</v>
      </c>
      <c r="I333">
        <f>IF(OR(F333=0,N('Исходные данные'!$B$5)=0,H333=0),0,'Исходные данные'!$B$5*H333*IF(AND(B333&lt;='Исходные данные'!$B$30,C333&gt;='Исходные данные'!$B$30),(C333-'Исходные данные'!$B$30+1)/DAY(C333),1))</f>
        <v>0</v>
      </c>
      <c r="J333">
        <f>IF(AND(F333&gt;0,F333&lt;=N('Исходные данные'!$B$37)),-I333,0)</f>
        <v>0</v>
      </c>
      <c r="K333">
        <f>IF(OR(F333=0,F333&lt;=N('Исходные данные'!$B$37)),0,-(I333+J333)*N('Исходные данные'!$B$38))</f>
        <v>0</v>
      </c>
      <c r="L333">
        <f t="shared" si="188"/>
        <v>0</v>
      </c>
      <c r="M333">
        <f>IF('Исходные данные'!$B$51="Да",L333*N('Исходные данные'!$B$52),0)</f>
        <v>0</v>
      </c>
      <c r="N333">
        <f t="shared" si="189"/>
        <v>0</v>
      </c>
      <c r="O333">
        <f>IF(OR(B333="",IF('Исходные данные'!$B$45="",'Исходные данные'!$B$10,'Исходные данные'!$B$45)="",C333&lt;IF('Исходные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данные'!$B$45)),1),B333,"m")/12))*IF(AND(B333&lt;=IF('Исходные данные'!$B$45="",'Исходные данные'!$B$10,'Исходные данные'!$B$45),C333&gt;=IF('Исходные данные'!$B$45="",'Исходные данные'!$B$10,'Исходные данные'!$B$45)),(C333-IF('Исходные данные'!$B$45="",'Исходные данные'!$B$10,'Исходные данные'!$B$45)+1)/DAY(C333),1)*IF('Исходные данные'!$B$43="Без НДС",1+N('Исходные данные'!$B$44),1))</f>
        <v>0</v>
      </c>
      <c r="P333">
        <f>IF('Исходные данные'!$B$51="Да",-O333*N('Исходные данные'!$B$44)/(1+N('Исходные данные'!$B$44)),0)</f>
        <v>0</v>
      </c>
      <c r="Q333">
        <f>IF('Исходные данные'!$B$35="Да",-O333,0)</f>
        <v>0</v>
      </c>
      <c r="R333">
        <f>IF(AND('Исходные данные'!$B$51="Да",Q333&gt;0),Q333*N('Исходные данные'!$B$52)/(1+N('Исходные данные'!$B$52)),0)</f>
        <v>0</v>
      </c>
      <c r="S333">
        <f>IF(OR(B333="",IF('Исходные данные'!$B$45="",'Исходные данные'!$B$10,'Исходные данные'!$B$45)="",C333&lt;IF('Исходные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данные'!$B$45)),1),B333,"m")/12))*IF(AND(B333&lt;=IF('Исходные данные'!$B$45="",'Исходные данные'!$B$10,'Исходные данные'!$B$45),C333&gt;=IF('Исходные данные'!$B$45="",'Исходные данные'!$B$10,'Исходные данные'!$B$45)),(C333-IF('Исходные данные'!$B$45="",'Исходные данные'!$B$10,'Исходные данные'!$B$45)+1)/DAY(C333),1)*IF('Исходные данные'!$B$43="Без НДС",1+N('Исходные данные'!$B$44),1))</f>
        <v>0</v>
      </c>
      <c r="T333">
        <f>IF('Исходные данные'!$B$51="Да",-S333*N('Исходные данные'!$B$44)/(1+N('Исходные данные'!$B$44)),0)</f>
        <v>0</v>
      </c>
      <c r="U333">
        <f>IF('Исходные данные'!$B$36="Да",-S333,0)</f>
        <v>0</v>
      </c>
      <c r="V333">
        <f>IF(AND('Исходные данные'!$B$51="Да",U333&gt;0),U333*N('Исходные данные'!$B$52)/(1+N('Исходные данные'!$B$52)),0)</f>
        <v>0</v>
      </c>
      <c r="W333">
        <f>IF(OR(B333="",IF('Исходные данные'!$B$69="",'Исходные данные'!$B$10,'Исходные данные'!$B$69)="",C333&lt;IF('Исходные данные'!$B$69="",'Исходные данные'!$B$10,'Исходные данные'!$B$69)),0,-N('Исходные данные'!$B$16)*N('Исходные данные'!$B$68)*N('Исходные данные'!$B$67)/12*IF(AND(B333&lt;=IF('Исходные данные'!$B$69="",'Исходные данные'!$B$10,'Исходные данные'!$B$69),C333&gt;=IF('Исходные данные'!$B$69="",'Исходные данные'!$B$10,'Исходные данные'!$B$69)),(C333-IF('Исходные данные'!$B$69="",'Исходные данные'!$B$10,'Исходные данные'!$B$69)+1)/DAY(C333),1))</f>
        <v>0</v>
      </c>
      <c r="X333">
        <f>IF(OR(B333="",IF('Исходные данные'!$B$76="",'Исходные данные'!$B$10,'Исходные данные'!$B$76)="",C333&lt;IF('Исходные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данные'!$B$76)),1),B333,"m")/12))*IF(AND(B333&lt;=IF('Исходные данные'!$B$76="",'Исходные данные'!$B$10,'Исходные данные'!$B$76),C333&gt;=IF('Исходные данные'!$B$76="",'Исходные данные'!$B$10,'Исходные данные'!$B$76)),(C333-IF('Исходные данные'!$B$76="",'Исходные данные'!$B$10,'Исходные данные'!$B$76)+1)/DAY(C333),1))</f>
        <v>0</v>
      </c>
      <c r="Y333">
        <f t="shared" si="190"/>
        <v>0</v>
      </c>
      <c r="Z333">
        <f>IF(OR(B333="",N('Исходные данные'!$B$19)=0),0,-SUMIFS('Исходные данные'!$I$6:$I$186,'Исходные данные'!$F$6:$F$186,B333)*N('Исходные данные'!$B$17)/N('Исходные данные'!$B$19))</f>
        <v>0</v>
      </c>
      <c r="AA333">
        <f>IF(OR(B333="",N('Исходные данные'!$B$19)=0),0,-SUMIFS('Исходные данные'!$I$6:$I$186,'Исходные данные'!$F$6:$F$186,B333)*N('Исходные данные'!$B$18)/N('Исходные данные'!$B$19))</f>
        <v>0</v>
      </c>
      <c r="AB333">
        <f>IF(OR(B333="",'Исходные данные'!$B$13=""),0,IF(AND(YEAR(B333)=YEAR('Исходные данные'!$B$13),MONTH(B333)=MONTH('Исходные данные'!$B$13)),-N('Исходные данные'!$B$11),0))</f>
        <v>0</v>
      </c>
      <c r="AC333">
        <f>IF(A333=1,-N('Исходные данные'!$B$19)*N('Исходные данные'!$B$72),0)</f>
        <v>0</v>
      </c>
      <c r="AD333">
        <f>IF(OR(B333="",'Исходные данные'!$B$22&lt;&gt;"Да",'Исходные данные'!$B$26=""),0,IF(AND(YEAR(B333)=YEAR('Исходные данные'!$B$26),MONTH(B333)=MONTH('Исходные данные'!$B$26)),N('Исходные данные'!$B$23),0))</f>
        <v>0</v>
      </c>
      <c r="AE333">
        <f t="shared" si="173"/>
        <v>0</v>
      </c>
      <c r="AF333">
        <f>IF(OR('Исходные данные'!$B$22&lt;&gt;"Да",'Исходные данные'!$B$26="",C333&lt;'Исходные данные'!$B$26),0,DATEDIF(DATE(YEAR('Исходные данные'!$B$26),MONTH('Исходные данные'!$B$26),1),B333,"m")+1)</f>
        <v>0</v>
      </c>
      <c r="AG333">
        <f>IF(OR(AF333&lt;1,AF333&gt;N('Исходные данные'!$B$25),AE333+AD333&lt;=0),0,-(AE333+AD333)*N('Исходные данные'!$B$24)*IF(AF333=1,C333-'Исходные данные'!$B$26+1,DAY(C333))/365)</f>
        <v>0</v>
      </c>
      <c r="AH333">
        <f>IF(OR(AF333&lt;1,AF333&gt;N('Исходные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данные'!$B$25)-AG333))</f>
        <v>0</v>
      </c>
      <c r="AI333">
        <f>IF(OR('Исходные данные'!$B$22&lt;&gt;"Да",AE333+AD333&lt;=0),0,IF(AND('Исходные данные'!$B$91&lt;&gt;"",B333&lt;&gt;"",YEAR(B333)=YEAR('Исходные данные'!$B$91),MONTH(B333)=MONTH('Исходные данные'!$B$91)),-(AE333+AD333),IF(OR(AF333&lt;1,AF333&gt;N('Исходные данные'!$B$25)),0,IF('Исходные данные'!$B$27="Равными долями",-MIN(AE333+AD333,N('Исходные данные'!$B$23)/N('Исходные данные'!$B$25)),-MIN(AE333+AD333,IF(AF333=N('Исходные данные'!$B$25),AE333+AD333,MAX(0,AH333+AG333)))))))</f>
        <v>0</v>
      </c>
      <c r="AJ333">
        <f t="shared" si="191"/>
        <v>0</v>
      </c>
      <c r="AK333">
        <f t="shared" si="174"/>
        <v>0</v>
      </c>
      <c r="AL333">
        <f>IF(OR(B333="",'Исходные данные'!$B$51&lt;&gt;"Да",'Исходные данные'!$B$61=""),0,IF(AND(YEAR(B333)=YEAR('Исходные данные'!$B$61),MONTH(B333)=MONTH('Исходные данные'!$B$61)),N('Исходные данные'!$B$18)*N('Исходные данные'!$B$62),0))</f>
        <v>0</v>
      </c>
      <c r="AM333">
        <f t="shared" si="175"/>
        <v>0</v>
      </c>
      <c r="AN333">
        <f t="shared" si="176"/>
        <v>0</v>
      </c>
      <c r="AO333">
        <f t="shared" si="177"/>
        <v>0</v>
      </c>
      <c r="AP333">
        <f>IF('Исходные данные'!$B$51="Да",-MAX(0,AN333-AO333-AM333),0)</f>
        <v>0</v>
      </c>
      <c r="AQ333">
        <f>IF('Исходные данные'!$B$51="Да",MAX(0,AM333+AO333-AN333),0)</f>
        <v>0</v>
      </c>
      <c r="AR333">
        <f>IF('Исходные данные'!$B$53="Выручка",MAX(0,L333+(Q333-R333)+(U333-V333)),IF('Исходные данные'!$B$53="Прибыль до налога",MAX(0,L333+(Q333-R333)+(U333-V333)+N('Исходные данные'!$B$54)*((O333+P333)+(S333+T333)+W333+X333)+IF('Исходные данные'!$B$55="Да",AG333,0)-N('Исходные данные'!$B$56)/12),IF('Исходные данные'!$B$53="Пользовательская база",MAX(0,N('Исходные данные'!$B$57)/12),0)))</f>
        <v>0</v>
      </c>
      <c r="AS333">
        <f>IF(E333=1,-AR333*N('Исходные данные'!$B$50),0)</f>
        <v>0</v>
      </c>
      <c r="AT333">
        <f t="shared" si="178"/>
        <v>0</v>
      </c>
      <c r="AU333">
        <f>IF(OR(B333="",N('Исходные данные'!$B$80)&lt;=0,'Исходные данные'!$B$88=""),0,MAX(0,IF('Исходные данные'!$B$88="Последние 12 месяцев",SUMIFS($Y$2:$Y$194,$B$2:$B$194,"&gt;="&amp;EDATE(B333,-11),$B$2:$B$194,"&lt;="&amp;B333),IF('Исходные данные'!$B$88="Пользовательский NOI",N('Исходные данные'!$B$89),AT333))/N('Исходные данные'!$B$80)*(1+N('Исходные данные'!$B$81))))</f>
        <v>0</v>
      </c>
      <c r="AV333">
        <f>IF(OR(E333&lt;&gt;1,B333="",'Исходные данные'!$B$91=""),0,IF(AND(YEAR(B333)=YEAR('Исходные данные'!$B$91),MONTH(B333)=MONTH('Исходные данные'!$B$91)),AU333,0))</f>
        <v>0</v>
      </c>
      <c r="AW333">
        <f>-AV333*N('Исходные данные'!$B$73)</f>
        <v>0</v>
      </c>
      <c r="AX333">
        <f>IF(AV333=0,0,-N('Исходные данные'!$B$87)-IF('Исходные данные'!$B$82="Да",IF('Исходные данные'!$B$84="С выручки",AV333,IF('Исходные данные'!$B$84="С прибыли",MAX(0,AV333+AW333-IF('Исходные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33">
        <f t="shared" si="192"/>
        <v>0</v>
      </c>
      <c r="AZ333">
        <f t="shared" si="179"/>
        <v>0</v>
      </c>
      <c r="BA333">
        <f t="shared" si="193"/>
        <v>0</v>
      </c>
      <c r="BB333" t="str">
        <f t="shared" si="180"/>
        <v/>
      </c>
      <c r="BC333">
        <f>IF(OR(E333=0,'Исходные данные'!$B$9="",'Исходные данные'!$B$90=""),0,BA333/(1+'Исходные данные'!$B$90)^((D333-'Исходные данные'!$B$9)/365))</f>
        <v>0</v>
      </c>
      <c r="BD333">
        <f>IF(AND(E333=1,BB333&gt;=0,BB332&lt;0,MIN($BB$2:BB333)&lt;0),1,0)</f>
        <v>0</v>
      </c>
      <c r="BE333">
        <f t="shared" si="181"/>
        <v>0</v>
      </c>
      <c r="BF333">
        <f t="shared" si="182"/>
        <v>0</v>
      </c>
      <c r="BG333">
        <f t="shared" si="183"/>
        <v>0</v>
      </c>
      <c r="BH333">
        <f t="shared" si="184"/>
        <v>1</v>
      </c>
      <c r="BI333">
        <f>AZ333+N333+AP333-AR333*N('Исходные данные'!$B$50)</f>
        <v>0</v>
      </c>
      <c r="BJ333">
        <f t="shared" si="185"/>
        <v>0</v>
      </c>
      <c r="BK333">
        <f>IF(AND(BJ333&gt;=0,BJ332&lt;0,MIN($BJ$2:BJ333)&lt;0),1,0)</f>
        <v>0</v>
      </c>
    </row>
    <row r="334" spans="1:63" x14ac:dyDescent="0.2">
      <c r="A334">
        <v>333</v>
      </c>
      <c r="B334" t="str">
        <f>IF('Исходные данные'!$B$9="","",EDATE(DATE(YEAR('Исходные данные'!$B$9),MONTH('Исходные данные'!$B$9),1),A334-1))</f>
        <v/>
      </c>
      <c r="C334" t="str">
        <f t="shared" si="186"/>
        <v/>
      </c>
      <c r="D334" t="str">
        <f>IF(B334="","",IF('Исходные данные'!$B$91&lt;&gt;"",IF(AND(YEAR(B334)=YEAR('Исходные данные'!$B$91),MONTH(B334)=MONTH('Исходные данные'!$B$91)),'Исходные данные'!$B$91,IF('Исходные данные'!$B$13&lt;&gt;"",IF(AND(YEAR(B334)=YEAR('Исходные данные'!$B$13),MONTH(B334)=MONTH('Исходные данные'!$B$13)),'Исходные данные'!$B$13,IF('Исходные данные'!$B$26&lt;&gt;"",IF(AND(YEAR(B334)=YEAR('Исходные данные'!$B$26),MONTH(B334)=MONTH('Исходные данные'!$B$26)),'Исходные данные'!$B$26,IF(A334=1,'Исходные данные'!$B$9,C334)),IF(A334=1,'Исходные данные'!$B$9,C334))),IF('Исходные данные'!$B$26&lt;&gt;"",IF(AND(YEAR(B334)=YEAR('Исходные данные'!$B$26),MONTH(B334)=MONTH('Исходные данные'!$B$26)),'Исходные данные'!$B$26,IF(A334=1,'Исходные данные'!$B$9,C334)),IF(A334=1,'Исходные данные'!$B$9,C334)))),IF('Исходные данные'!$B$13&lt;&gt;"",IF(AND(YEAR(B334)=YEAR('Исходные данные'!$B$13),MONTH(B334)=MONTH('Исходные данные'!$B$13)),'Исходные данные'!$B$13,IF('Исходные данные'!$B$26&lt;&gt;"",IF(AND(YEAR(B334)=YEAR('Исходные данные'!$B$26),MONTH(B334)=MONTH('Исходные данные'!$B$26)),'Исходные данные'!$B$26,IF(A334=1,'Исходные данные'!$B$9,C334)),IF(A334=1,'Исходные данные'!$B$9,C334))),IF('Исходные данные'!$B$26&lt;&gt;"",IF(AND(YEAR(B334)=YEAR('Исходные данные'!$B$26),MONTH(B334)=MONTH('Исходные данные'!$B$26)),'Исходные данные'!$B$26,IF(A334=1,'Исходные данные'!$B$9,C334)),IF(A334=1,'Исходные данные'!$B$9,C334)))))</f>
        <v/>
      </c>
      <c r="E334">
        <f>IF(OR(B334="",'Исходные данные'!$B$91=""),0,--(B334&lt;=DATE(YEAR('Исходные данные'!$B$91),MONTH('Исходные данные'!$B$91),1)))</f>
        <v>0</v>
      </c>
      <c r="F334">
        <f>IF(OR(B334="",'Исходные данные'!$B$30="",C334&lt;'Исходные данные'!$B$30),0,DATEDIF(DATE(YEAR('Исходные данные'!$B$30),MONTH('Исходные данные'!$B$30),1),B334,"m")+1)</f>
        <v>0</v>
      </c>
      <c r="G334">
        <f t="shared" si="187"/>
        <v>0</v>
      </c>
      <c r="H334">
        <f>IF(F334=0,0,IF(G334=1,N('Исходные данные'!$B$31),IF(G334=2,N('Исходные данные'!$B$32),IF(G334=3,N('Исходные данные'!$B$33),N('Исходные данные'!$B$33)*(1+N('Исходные данные'!$B$34))^(G334-3)))))</f>
        <v>0</v>
      </c>
      <c r="I334">
        <f>IF(OR(F334=0,N('Исходные данные'!$B$5)=0,H334=0),0,'Исходные данные'!$B$5*H334*IF(AND(B334&lt;='Исходные данные'!$B$30,C334&gt;='Исходные данные'!$B$30),(C334-'Исходные данные'!$B$30+1)/DAY(C334),1))</f>
        <v>0</v>
      </c>
      <c r="J334">
        <f>IF(AND(F334&gt;0,F334&lt;=N('Исходные данные'!$B$37)),-I334,0)</f>
        <v>0</v>
      </c>
      <c r="K334">
        <f>IF(OR(F334=0,F334&lt;=N('Исходные данные'!$B$37)),0,-(I334+J334)*N('Исходные данные'!$B$38))</f>
        <v>0</v>
      </c>
      <c r="L334">
        <f t="shared" si="188"/>
        <v>0</v>
      </c>
      <c r="M334">
        <f>IF('Исходные данные'!$B$51="Да",L334*N('Исходные данные'!$B$52),0)</f>
        <v>0</v>
      </c>
      <c r="N334">
        <f t="shared" si="189"/>
        <v>0</v>
      </c>
      <c r="O334">
        <f>IF(OR(B334="",IF('Исходные данные'!$B$45="",'Исходные данные'!$B$10,'Исходные данные'!$B$45)="",C334&lt;IF('Исходные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данные'!$B$45)),1),B334,"m")/12))*IF(AND(B334&lt;=IF('Исходные данные'!$B$45="",'Исходные данные'!$B$10,'Исходные данные'!$B$45),C334&gt;=IF('Исходные данные'!$B$45="",'Исходные данные'!$B$10,'Исходные данные'!$B$45)),(C334-IF('Исходные данные'!$B$45="",'Исходные данные'!$B$10,'Исходные данные'!$B$45)+1)/DAY(C334),1)*IF('Исходные данные'!$B$43="Без НДС",1+N('Исходные данные'!$B$44),1))</f>
        <v>0</v>
      </c>
      <c r="P334">
        <f>IF('Исходные данные'!$B$51="Да",-O334*N('Исходные данные'!$B$44)/(1+N('Исходные данные'!$B$44)),0)</f>
        <v>0</v>
      </c>
      <c r="Q334">
        <f>IF('Исходные данные'!$B$35="Да",-O334,0)</f>
        <v>0</v>
      </c>
      <c r="R334">
        <f>IF(AND('Исходные данные'!$B$51="Да",Q334&gt;0),Q334*N('Исходные данные'!$B$52)/(1+N('Исходные данные'!$B$52)),0)</f>
        <v>0</v>
      </c>
      <c r="S334">
        <f>IF(OR(B334="",IF('Исходные данные'!$B$45="",'Исходные данные'!$B$10,'Исходные данные'!$B$45)="",C334&lt;IF('Исходные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данные'!$B$45)),1),B334,"m")/12))*IF(AND(B334&lt;=IF('Исходные данные'!$B$45="",'Исходные данные'!$B$10,'Исходные данные'!$B$45),C334&gt;=IF('Исходные данные'!$B$45="",'Исходные данные'!$B$10,'Исходные данные'!$B$45)),(C334-IF('Исходные данные'!$B$45="",'Исходные данные'!$B$10,'Исходные данные'!$B$45)+1)/DAY(C334),1)*IF('Исходные данные'!$B$43="Без НДС",1+N('Исходные данные'!$B$44),1))</f>
        <v>0</v>
      </c>
      <c r="T334">
        <f>IF('Исходные данные'!$B$51="Да",-S334*N('Исходные данные'!$B$44)/(1+N('Исходные данные'!$B$44)),0)</f>
        <v>0</v>
      </c>
      <c r="U334">
        <f>IF('Исходные данные'!$B$36="Да",-S334,0)</f>
        <v>0</v>
      </c>
      <c r="V334">
        <f>IF(AND('Исходные данные'!$B$51="Да",U334&gt;0),U334*N('Исходные данные'!$B$52)/(1+N('Исходные данные'!$B$52)),0)</f>
        <v>0</v>
      </c>
      <c r="W334">
        <f>IF(OR(B334="",IF('Исходные данные'!$B$69="",'Исходные данные'!$B$10,'Исходные данные'!$B$69)="",C334&lt;IF('Исходные данные'!$B$69="",'Исходные данные'!$B$10,'Исходные данные'!$B$69)),0,-N('Исходные данные'!$B$16)*N('Исходные данные'!$B$68)*N('Исходные данные'!$B$67)/12*IF(AND(B334&lt;=IF('Исходные данные'!$B$69="",'Исходные данные'!$B$10,'Исходные данные'!$B$69),C334&gt;=IF('Исходные данные'!$B$69="",'Исходные данные'!$B$10,'Исходные данные'!$B$69)),(C334-IF('Исходные данные'!$B$69="",'Исходные данные'!$B$10,'Исходные данные'!$B$69)+1)/DAY(C334),1))</f>
        <v>0</v>
      </c>
      <c r="X334">
        <f>IF(OR(B334="",IF('Исходные данные'!$B$76="",'Исходные данные'!$B$10,'Исходные данные'!$B$76)="",C334&lt;IF('Исходные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данные'!$B$76)),1),B334,"m")/12))*IF(AND(B334&lt;=IF('Исходные данные'!$B$76="",'Исходные данные'!$B$10,'Исходные данные'!$B$76),C334&gt;=IF('Исходные данные'!$B$76="",'Исходные данные'!$B$10,'Исходные данные'!$B$76)),(C334-IF('Исходные данные'!$B$76="",'Исходные данные'!$B$10,'Исходные данные'!$B$76)+1)/DAY(C334),1))</f>
        <v>0</v>
      </c>
      <c r="Y334">
        <f t="shared" si="190"/>
        <v>0</v>
      </c>
      <c r="Z334">
        <f>IF(OR(B334="",N('Исходные данные'!$B$19)=0),0,-SUMIFS('Исходные данные'!$I$6:$I$186,'Исходные данные'!$F$6:$F$186,B334)*N('Исходные данные'!$B$17)/N('Исходные данные'!$B$19))</f>
        <v>0</v>
      </c>
      <c r="AA334">
        <f>IF(OR(B334="",N('Исходные данные'!$B$19)=0),0,-SUMIFS('Исходные данные'!$I$6:$I$186,'Исходные данные'!$F$6:$F$186,B334)*N('Исходные данные'!$B$18)/N('Исходные данные'!$B$19))</f>
        <v>0</v>
      </c>
      <c r="AB334">
        <f>IF(OR(B334="",'Исходные данные'!$B$13=""),0,IF(AND(YEAR(B334)=YEAR('Исходные данные'!$B$13),MONTH(B334)=MONTH('Исходные данные'!$B$13)),-N('Исходные данные'!$B$11),0))</f>
        <v>0</v>
      </c>
      <c r="AC334">
        <f>IF(A334=1,-N('Исходные данные'!$B$19)*N('Исходные данные'!$B$72),0)</f>
        <v>0</v>
      </c>
      <c r="AD334">
        <f>IF(OR(B334="",'Исходные данные'!$B$22&lt;&gt;"Да",'Исходные данные'!$B$26=""),0,IF(AND(YEAR(B334)=YEAR('Исходные данные'!$B$26),MONTH(B334)=MONTH('Исходные данные'!$B$26)),N('Исходные данные'!$B$23),0))</f>
        <v>0</v>
      </c>
      <c r="AE334">
        <f t="shared" si="173"/>
        <v>0</v>
      </c>
      <c r="AF334">
        <f>IF(OR('Исходные данные'!$B$22&lt;&gt;"Да",'Исходные данные'!$B$26="",C334&lt;'Исходные данные'!$B$26),0,DATEDIF(DATE(YEAR('Исходные данные'!$B$26),MONTH('Исходные данные'!$B$26),1),B334,"m")+1)</f>
        <v>0</v>
      </c>
      <c r="AG334">
        <f>IF(OR(AF334&lt;1,AF334&gt;N('Исходные данные'!$B$25),AE334+AD334&lt;=0),0,-(AE334+AD334)*N('Исходные данные'!$B$24)*IF(AF334=1,C334-'Исходные данные'!$B$26+1,DAY(C334))/365)</f>
        <v>0</v>
      </c>
      <c r="AH334">
        <f>IF(OR(AF334&lt;1,AF334&gt;N('Исходные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данные'!$B$25)-AG334))</f>
        <v>0</v>
      </c>
      <c r="AI334">
        <f>IF(OR('Исходные данные'!$B$22&lt;&gt;"Да",AE334+AD334&lt;=0),0,IF(AND('Исходные данные'!$B$91&lt;&gt;"",B334&lt;&gt;"",YEAR(B334)=YEAR('Исходные данные'!$B$91),MONTH(B334)=MONTH('Исходные данные'!$B$91)),-(AE334+AD334),IF(OR(AF334&lt;1,AF334&gt;N('Исходные данные'!$B$25)),0,IF('Исходные данные'!$B$27="Равными долями",-MIN(AE334+AD334,N('Исходные данные'!$B$23)/N('Исходные данные'!$B$25)),-MIN(AE334+AD334,IF(AF334=N('Исходные данные'!$B$25),AE334+AD334,MAX(0,AH334+AG334)))))))</f>
        <v>0</v>
      </c>
      <c r="AJ334">
        <f t="shared" si="191"/>
        <v>0</v>
      </c>
      <c r="AK334">
        <f t="shared" si="174"/>
        <v>0</v>
      </c>
      <c r="AL334">
        <f>IF(OR(B334="",'Исходные данные'!$B$51&lt;&gt;"Да",'Исходные данные'!$B$61=""),0,IF(AND(YEAR(B334)=YEAR('Исходные данные'!$B$61),MONTH(B334)=MONTH('Исходные данные'!$B$61)),N('Исходные данные'!$B$18)*N('Исходные данные'!$B$62),0))</f>
        <v>0</v>
      </c>
      <c r="AM334">
        <f t="shared" si="175"/>
        <v>0</v>
      </c>
      <c r="AN334">
        <f t="shared" si="176"/>
        <v>0</v>
      </c>
      <c r="AO334">
        <f t="shared" si="177"/>
        <v>0</v>
      </c>
      <c r="AP334">
        <f>IF('Исходные данные'!$B$51="Да",-MAX(0,AN334-AO334-AM334),0)</f>
        <v>0</v>
      </c>
      <c r="AQ334">
        <f>IF('Исходные данные'!$B$51="Да",MAX(0,AM334+AO334-AN334),0)</f>
        <v>0</v>
      </c>
      <c r="AR334">
        <f>IF('Исходные данные'!$B$53="Выручка",MAX(0,L334+(Q334-R334)+(U334-V334)),IF('Исходные данные'!$B$53="Прибыль до налога",MAX(0,L334+(Q334-R334)+(U334-V334)+N('Исходные данные'!$B$54)*((O334+P334)+(S334+T334)+W334+X334)+IF('Исходные данные'!$B$55="Да",AG334,0)-N('Исходные данные'!$B$56)/12),IF('Исходные данные'!$B$53="Пользовательская база",MAX(0,N('Исходные данные'!$B$57)/12),0)))</f>
        <v>0</v>
      </c>
      <c r="AS334">
        <f>IF(E334=1,-AR334*N('Исходные данные'!$B$50),0)</f>
        <v>0</v>
      </c>
      <c r="AT334">
        <f t="shared" si="178"/>
        <v>0</v>
      </c>
      <c r="AU334">
        <f>IF(OR(B334="",N('Исходные данные'!$B$80)&lt;=0,'Исходные данные'!$B$88=""),0,MAX(0,IF('Исходные данные'!$B$88="Последние 12 месяцев",SUMIFS($Y$2:$Y$194,$B$2:$B$194,"&gt;="&amp;EDATE(B334,-11),$B$2:$B$194,"&lt;="&amp;B334),IF('Исходные данные'!$B$88="Пользовательский NOI",N('Исходные данные'!$B$89),AT334))/N('Исходные данные'!$B$80)*(1+N('Исходные данные'!$B$81))))</f>
        <v>0</v>
      </c>
      <c r="AV334">
        <f>IF(OR(E334&lt;&gt;1,B334="",'Исходные данные'!$B$91=""),0,IF(AND(YEAR(B334)=YEAR('Исходные данные'!$B$91),MONTH(B334)=MONTH('Исходные данные'!$B$91)),AU334,0))</f>
        <v>0</v>
      </c>
      <c r="AW334">
        <f>-AV334*N('Исходные данные'!$B$73)</f>
        <v>0</v>
      </c>
      <c r="AX334">
        <f>IF(AV334=0,0,-N('Исходные данные'!$B$87)-IF('Исходные данные'!$B$82="Да",IF('Исходные данные'!$B$84="С выручки",AV334,IF('Исходные данные'!$B$84="С прибыли",MAX(0,AV334+AW334-IF('Исходные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34">
        <f t="shared" si="192"/>
        <v>0</v>
      </c>
      <c r="AZ334">
        <f t="shared" si="179"/>
        <v>0</v>
      </c>
      <c r="BA334">
        <f t="shared" si="193"/>
        <v>0</v>
      </c>
      <c r="BB334" t="str">
        <f t="shared" si="180"/>
        <v/>
      </c>
      <c r="BC334">
        <f>IF(OR(E334=0,'Исходные данные'!$B$9="",'Исходные данные'!$B$90=""),0,BA334/(1+'Исходные данные'!$B$90)^((D334-'Исходные данные'!$B$9)/365))</f>
        <v>0</v>
      </c>
      <c r="BD334">
        <f>IF(AND(E334=1,BB334&gt;=0,BB333&lt;0,MIN($BB$2:BB334)&lt;0),1,0)</f>
        <v>0</v>
      </c>
      <c r="BE334">
        <f t="shared" si="181"/>
        <v>0</v>
      </c>
      <c r="BF334">
        <f t="shared" si="182"/>
        <v>0</v>
      </c>
      <c r="BG334">
        <f t="shared" si="183"/>
        <v>0</v>
      </c>
      <c r="BH334">
        <f t="shared" si="184"/>
        <v>1</v>
      </c>
      <c r="BI334">
        <f>AZ334+N334+AP334-AR334*N('Исходные данные'!$B$50)</f>
        <v>0</v>
      </c>
      <c r="BJ334">
        <f t="shared" si="185"/>
        <v>0</v>
      </c>
      <c r="BK334">
        <f>IF(AND(BJ334&gt;=0,BJ333&lt;0,MIN($BJ$2:BJ334)&lt;0),1,0)</f>
        <v>0</v>
      </c>
    </row>
    <row r="335" spans="1:63" x14ac:dyDescent="0.2">
      <c r="A335">
        <v>334</v>
      </c>
      <c r="B335" t="str">
        <f>IF('Исходные данные'!$B$9="","",EDATE(DATE(YEAR('Исходные данные'!$B$9),MONTH('Исходные данные'!$B$9),1),A335-1))</f>
        <v/>
      </c>
      <c r="C335" t="str">
        <f t="shared" si="186"/>
        <v/>
      </c>
      <c r="D335" t="str">
        <f>IF(B335="","",IF('Исходные данные'!$B$91&lt;&gt;"",IF(AND(YEAR(B335)=YEAR('Исходные данные'!$B$91),MONTH(B335)=MONTH('Исходные данные'!$B$91)),'Исходные данные'!$B$91,IF('Исходные данные'!$B$13&lt;&gt;"",IF(AND(YEAR(B335)=YEAR('Исходные данные'!$B$13),MONTH(B335)=MONTH('Исходные данные'!$B$13)),'Исходные данные'!$B$13,IF('Исходные данные'!$B$26&lt;&gt;"",IF(AND(YEAR(B335)=YEAR('Исходные данные'!$B$26),MONTH(B335)=MONTH('Исходные данные'!$B$26)),'Исходные данные'!$B$26,IF(A335=1,'Исходные данные'!$B$9,C335)),IF(A335=1,'Исходные данные'!$B$9,C335))),IF('Исходные данные'!$B$26&lt;&gt;"",IF(AND(YEAR(B335)=YEAR('Исходные данные'!$B$26),MONTH(B335)=MONTH('Исходные данные'!$B$26)),'Исходные данные'!$B$26,IF(A335=1,'Исходные данные'!$B$9,C335)),IF(A335=1,'Исходные данные'!$B$9,C335)))),IF('Исходные данные'!$B$13&lt;&gt;"",IF(AND(YEAR(B335)=YEAR('Исходные данные'!$B$13),MONTH(B335)=MONTH('Исходные данные'!$B$13)),'Исходные данные'!$B$13,IF('Исходные данные'!$B$26&lt;&gt;"",IF(AND(YEAR(B335)=YEAR('Исходные данные'!$B$26),MONTH(B335)=MONTH('Исходные данные'!$B$26)),'Исходные данные'!$B$26,IF(A335=1,'Исходные данные'!$B$9,C335)),IF(A335=1,'Исходные данные'!$B$9,C335))),IF('Исходные данные'!$B$26&lt;&gt;"",IF(AND(YEAR(B335)=YEAR('Исходные данные'!$B$26),MONTH(B335)=MONTH('Исходные данные'!$B$26)),'Исходные данные'!$B$26,IF(A335=1,'Исходные данные'!$B$9,C335)),IF(A335=1,'Исходные данные'!$B$9,C335)))))</f>
        <v/>
      </c>
      <c r="E335">
        <f>IF(OR(B335="",'Исходные данные'!$B$91=""),0,--(B335&lt;=DATE(YEAR('Исходные данные'!$B$91),MONTH('Исходные данные'!$B$91),1)))</f>
        <v>0</v>
      </c>
      <c r="F335">
        <f>IF(OR(B335="",'Исходные данные'!$B$30="",C335&lt;'Исходные данные'!$B$30),0,DATEDIF(DATE(YEAR('Исходные данные'!$B$30),MONTH('Исходные данные'!$B$30),1),B335,"m")+1)</f>
        <v>0</v>
      </c>
      <c r="G335">
        <f t="shared" si="187"/>
        <v>0</v>
      </c>
      <c r="H335">
        <f>IF(F335=0,0,IF(G335=1,N('Исходные данные'!$B$31),IF(G335=2,N('Исходные данные'!$B$32),IF(G335=3,N('Исходные данные'!$B$33),N('Исходные данные'!$B$33)*(1+N('Исходные данные'!$B$34))^(G335-3)))))</f>
        <v>0</v>
      </c>
      <c r="I335">
        <f>IF(OR(F335=0,N('Исходные данные'!$B$5)=0,H335=0),0,'Исходные данные'!$B$5*H335*IF(AND(B335&lt;='Исходные данные'!$B$30,C335&gt;='Исходные данные'!$B$30),(C335-'Исходные данные'!$B$30+1)/DAY(C335),1))</f>
        <v>0</v>
      </c>
      <c r="J335">
        <f>IF(AND(F335&gt;0,F335&lt;=N('Исходные данные'!$B$37)),-I335,0)</f>
        <v>0</v>
      </c>
      <c r="K335">
        <f>IF(OR(F335=0,F335&lt;=N('Исходные данные'!$B$37)),0,-(I335+J335)*N('Исходные данные'!$B$38))</f>
        <v>0</v>
      </c>
      <c r="L335">
        <f t="shared" si="188"/>
        <v>0</v>
      </c>
      <c r="M335">
        <f>IF('Исходные данные'!$B$51="Да",L335*N('Исходные данные'!$B$52),0)</f>
        <v>0</v>
      </c>
      <c r="N335">
        <f t="shared" si="189"/>
        <v>0</v>
      </c>
      <c r="O335">
        <f>IF(OR(B335="",IF('Исходные данные'!$B$45="",'Исходные данные'!$B$10,'Исходные данные'!$B$45)="",C335&lt;IF('Исходные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данные'!$B$45)),1),B335,"m")/12))*IF(AND(B335&lt;=IF('Исходные данные'!$B$45="",'Исходные данные'!$B$10,'Исходные данные'!$B$45),C335&gt;=IF('Исходные данные'!$B$45="",'Исходные данные'!$B$10,'Исходные данные'!$B$45)),(C335-IF('Исходные данные'!$B$45="",'Исходные данные'!$B$10,'Исходные данные'!$B$45)+1)/DAY(C335),1)*IF('Исходные данные'!$B$43="Без НДС",1+N('Исходные данные'!$B$44),1))</f>
        <v>0</v>
      </c>
      <c r="P335">
        <f>IF('Исходные данные'!$B$51="Да",-O335*N('Исходные данные'!$B$44)/(1+N('Исходные данные'!$B$44)),0)</f>
        <v>0</v>
      </c>
      <c r="Q335">
        <f>IF('Исходные данные'!$B$35="Да",-O335,0)</f>
        <v>0</v>
      </c>
      <c r="R335">
        <f>IF(AND('Исходные данные'!$B$51="Да",Q335&gt;0),Q335*N('Исходные данные'!$B$52)/(1+N('Исходные данные'!$B$52)),0)</f>
        <v>0</v>
      </c>
      <c r="S335">
        <f>IF(OR(B335="",IF('Исходные данные'!$B$45="",'Исходные данные'!$B$10,'Исходные данные'!$B$45)="",C335&lt;IF('Исходные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данные'!$B$45)),1),B335,"m")/12))*IF(AND(B335&lt;=IF('Исходные данные'!$B$45="",'Исходные данные'!$B$10,'Исходные данные'!$B$45),C335&gt;=IF('Исходные данные'!$B$45="",'Исходные данные'!$B$10,'Исходные данные'!$B$45)),(C335-IF('Исходные данные'!$B$45="",'Исходные данные'!$B$10,'Исходные данные'!$B$45)+1)/DAY(C335),1)*IF('Исходные данные'!$B$43="Без НДС",1+N('Исходные данные'!$B$44),1))</f>
        <v>0</v>
      </c>
      <c r="T335">
        <f>IF('Исходные данные'!$B$51="Да",-S335*N('Исходные данные'!$B$44)/(1+N('Исходные данные'!$B$44)),0)</f>
        <v>0</v>
      </c>
      <c r="U335">
        <f>IF('Исходные данные'!$B$36="Да",-S335,0)</f>
        <v>0</v>
      </c>
      <c r="V335">
        <f>IF(AND('Исходные данные'!$B$51="Да",U335&gt;0),U335*N('Исходные данные'!$B$52)/(1+N('Исходные данные'!$B$52)),0)</f>
        <v>0</v>
      </c>
      <c r="W335">
        <f>IF(OR(B335="",IF('Исходные данные'!$B$69="",'Исходные данные'!$B$10,'Исходные данные'!$B$69)="",C335&lt;IF('Исходные данные'!$B$69="",'Исходные данные'!$B$10,'Исходные данные'!$B$69)),0,-N('Исходные данные'!$B$16)*N('Исходные данные'!$B$68)*N('Исходные данные'!$B$67)/12*IF(AND(B335&lt;=IF('Исходные данные'!$B$69="",'Исходные данные'!$B$10,'Исходные данные'!$B$69),C335&gt;=IF('Исходные данные'!$B$69="",'Исходные данные'!$B$10,'Исходные данные'!$B$69)),(C335-IF('Исходные данные'!$B$69="",'Исходные данные'!$B$10,'Исходные данные'!$B$69)+1)/DAY(C335),1))</f>
        <v>0</v>
      </c>
      <c r="X335">
        <f>IF(OR(B335="",IF('Исходные данные'!$B$76="",'Исходные данные'!$B$10,'Исходные данные'!$B$76)="",C335&lt;IF('Исходные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данные'!$B$76)),1),B335,"m")/12))*IF(AND(B335&lt;=IF('Исходные данные'!$B$76="",'Исходные данные'!$B$10,'Исходные данные'!$B$76),C335&gt;=IF('Исходные данные'!$B$76="",'Исходные данные'!$B$10,'Исходные данные'!$B$76)),(C335-IF('Исходные данные'!$B$76="",'Исходные данные'!$B$10,'Исходные данные'!$B$76)+1)/DAY(C335),1))</f>
        <v>0</v>
      </c>
      <c r="Y335">
        <f t="shared" si="190"/>
        <v>0</v>
      </c>
      <c r="Z335">
        <f>IF(OR(B335="",N('Исходные данные'!$B$19)=0),0,-SUMIFS('Исходные данные'!$I$6:$I$186,'Исходные данные'!$F$6:$F$186,B335)*N('Исходные данные'!$B$17)/N('Исходные данные'!$B$19))</f>
        <v>0</v>
      </c>
      <c r="AA335">
        <f>IF(OR(B335="",N('Исходные данные'!$B$19)=0),0,-SUMIFS('Исходные данные'!$I$6:$I$186,'Исходные данные'!$F$6:$F$186,B335)*N('Исходные данные'!$B$18)/N('Исходные данные'!$B$19))</f>
        <v>0</v>
      </c>
      <c r="AB335">
        <f>IF(OR(B335="",'Исходные данные'!$B$13=""),0,IF(AND(YEAR(B335)=YEAR('Исходные данные'!$B$13),MONTH(B335)=MONTH('Исходные данные'!$B$13)),-N('Исходные данные'!$B$11),0))</f>
        <v>0</v>
      </c>
      <c r="AC335">
        <f>IF(A335=1,-N('Исходные данные'!$B$19)*N('Исходные данные'!$B$72),0)</f>
        <v>0</v>
      </c>
      <c r="AD335">
        <f>IF(OR(B335="",'Исходные данные'!$B$22&lt;&gt;"Да",'Исходные данные'!$B$26=""),0,IF(AND(YEAR(B335)=YEAR('Исходные данные'!$B$26),MONTH(B335)=MONTH('Исходные данные'!$B$26)),N('Исходные данные'!$B$23),0))</f>
        <v>0</v>
      </c>
      <c r="AE335">
        <f t="shared" si="173"/>
        <v>0</v>
      </c>
      <c r="AF335">
        <f>IF(OR('Исходные данные'!$B$22&lt;&gt;"Да",'Исходные данные'!$B$26="",C335&lt;'Исходные данные'!$B$26),0,DATEDIF(DATE(YEAR('Исходные данные'!$B$26),MONTH('Исходные данные'!$B$26),1),B335,"m")+1)</f>
        <v>0</v>
      </c>
      <c r="AG335">
        <f>IF(OR(AF335&lt;1,AF335&gt;N('Исходные данные'!$B$25),AE335+AD335&lt;=0),0,-(AE335+AD335)*N('Исходные данные'!$B$24)*IF(AF335=1,C335-'Исходные данные'!$B$26+1,DAY(C335))/365)</f>
        <v>0</v>
      </c>
      <c r="AH335">
        <f>IF(OR(AF335&lt;1,AF335&gt;N('Исходные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данные'!$B$25)-AG335))</f>
        <v>0</v>
      </c>
      <c r="AI335">
        <f>IF(OR('Исходные данные'!$B$22&lt;&gt;"Да",AE335+AD335&lt;=0),0,IF(AND('Исходные данные'!$B$91&lt;&gt;"",B335&lt;&gt;"",YEAR(B335)=YEAR('Исходные данные'!$B$91),MONTH(B335)=MONTH('Исходные данные'!$B$91)),-(AE335+AD335),IF(OR(AF335&lt;1,AF335&gt;N('Исходные данные'!$B$25)),0,IF('Исходные данные'!$B$27="Равными долями",-MIN(AE335+AD335,N('Исходные данные'!$B$23)/N('Исходные данные'!$B$25)),-MIN(AE335+AD335,IF(AF335=N('Исходные данные'!$B$25),AE335+AD335,MAX(0,AH335+AG335)))))))</f>
        <v>0</v>
      </c>
      <c r="AJ335">
        <f t="shared" si="191"/>
        <v>0</v>
      </c>
      <c r="AK335">
        <f t="shared" si="174"/>
        <v>0</v>
      </c>
      <c r="AL335">
        <f>IF(OR(B335="",'Исходные данные'!$B$51&lt;&gt;"Да",'Исходные данные'!$B$61=""),0,IF(AND(YEAR(B335)=YEAR('Исходные данные'!$B$61),MONTH(B335)=MONTH('Исходные данные'!$B$61)),N('Исходные данные'!$B$18)*N('Исходные данные'!$B$62),0))</f>
        <v>0</v>
      </c>
      <c r="AM335">
        <f t="shared" si="175"/>
        <v>0</v>
      </c>
      <c r="AN335">
        <f t="shared" si="176"/>
        <v>0</v>
      </c>
      <c r="AO335">
        <f t="shared" si="177"/>
        <v>0</v>
      </c>
      <c r="AP335">
        <f>IF('Исходные данные'!$B$51="Да",-MAX(0,AN335-AO335-AM335),0)</f>
        <v>0</v>
      </c>
      <c r="AQ335">
        <f>IF('Исходные данные'!$B$51="Да",MAX(0,AM335+AO335-AN335),0)</f>
        <v>0</v>
      </c>
      <c r="AR335">
        <f>IF('Исходные данные'!$B$53="Выручка",MAX(0,L335+(Q335-R335)+(U335-V335)),IF('Исходные данные'!$B$53="Прибыль до налога",MAX(0,L335+(Q335-R335)+(U335-V335)+N('Исходные данные'!$B$54)*((O335+P335)+(S335+T335)+W335+X335)+IF('Исходные данные'!$B$55="Да",AG335,0)-N('Исходные данные'!$B$56)/12),IF('Исходные данные'!$B$53="Пользовательская база",MAX(0,N('Исходные данные'!$B$57)/12),0)))</f>
        <v>0</v>
      </c>
      <c r="AS335">
        <f>IF(E335=1,-AR335*N('Исходные данные'!$B$50),0)</f>
        <v>0</v>
      </c>
      <c r="AT335">
        <f t="shared" si="178"/>
        <v>0</v>
      </c>
      <c r="AU335">
        <f>IF(OR(B335="",N('Исходные данные'!$B$80)&lt;=0,'Исходные данные'!$B$88=""),0,MAX(0,IF('Исходные данные'!$B$88="Последние 12 месяцев",SUMIFS($Y$2:$Y$194,$B$2:$B$194,"&gt;="&amp;EDATE(B335,-11),$B$2:$B$194,"&lt;="&amp;B335),IF('Исходные данные'!$B$88="Пользовательский NOI",N('Исходные данные'!$B$89),AT335))/N('Исходные данные'!$B$80)*(1+N('Исходные данные'!$B$81))))</f>
        <v>0</v>
      </c>
      <c r="AV335">
        <f>IF(OR(E335&lt;&gt;1,B335="",'Исходные данные'!$B$91=""),0,IF(AND(YEAR(B335)=YEAR('Исходные данные'!$B$91),MONTH(B335)=MONTH('Исходные данные'!$B$91)),AU335,0))</f>
        <v>0</v>
      </c>
      <c r="AW335">
        <f>-AV335*N('Исходные данные'!$B$73)</f>
        <v>0</v>
      </c>
      <c r="AX335">
        <f>IF(AV335=0,0,-N('Исходные данные'!$B$87)-IF('Исходные данные'!$B$82="Да",IF('Исходные данные'!$B$84="С выручки",AV335,IF('Исходные данные'!$B$84="С прибыли",MAX(0,AV335+AW335-IF('Исходные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35">
        <f t="shared" si="192"/>
        <v>0</v>
      </c>
      <c r="AZ335">
        <f t="shared" si="179"/>
        <v>0</v>
      </c>
      <c r="BA335">
        <f t="shared" si="193"/>
        <v>0</v>
      </c>
      <c r="BB335" t="str">
        <f t="shared" si="180"/>
        <v/>
      </c>
      <c r="BC335">
        <f>IF(OR(E335=0,'Исходные данные'!$B$9="",'Исходные данные'!$B$90=""),0,BA335/(1+'Исходные данные'!$B$90)^((D335-'Исходные данные'!$B$9)/365))</f>
        <v>0</v>
      </c>
      <c r="BD335">
        <f>IF(AND(E335=1,BB335&gt;=0,BB334&lt;0,MIN($BB$2:BB335)&lt;0),1,0)</f>
        <v>0</v>
      </c>
      <c r="BE335">
        <f t="shared" si="181"/>
        <v>0</v>
      </c>
      <c r="BF335">
        <f t="shared" si="182"/>
        <v>0</v>
      </c>
      <c r="BG335">
        <f t="shared" si="183"/>
        <v>0</v>
      </c>
      <c r="BH335">
        <f t="shared" si="184"/>
        <v>1</v>
      </c>
      <c r="BI335">
        <f>AZ335+N335+AP335-AR335*N('Исходные данные'!$B$50)</f>
        <v>0</v>
      </c>
      <c r="BJ335">
        <f t="shared" si="185"/>
        <v>0</v>
      </c>
      <c r="BK335">
        <f>IF(AND(BJ335&gt;=0,BJ334&lt;0,MIN($BJ$2:BJ335)&lt;0),1,0)</f>
        <v>0</v>
      </c>
    </row>
    <row r="336" spans="1:63" x14ac:dyDescent="0.2">
      <c r="A336">
        <v>335</v>
      </c>
      <c r="B336" t="str">
        <f>IF('Исходные данные'!$B$9="","",EDATE(DATE(YEAR('Исходные данные'!$B$9),MONTH('Исходные данные'!$B$9),1),A336-1))</f>
        <v/>
      </c>
      <c r="C336" t="str">
        <f t="shared" si="186"/>
        <v/>
      </c>
      <c r="D336" t="str">
        <f>IF(B336="","",IF('Исходные данные'!$B$91&lt;&gt;"",IF(AND(YEAR(B336)=YEAR('Исходные данные'!$B$91),MONTH(B336)=MONTH('Исходные данные'!$B$91)),'Исходные данные'!$B$91,IF('Исходные данные'!$B$13&lt;&gt;"",IF(AND(YEAR(B336)=YEAR('Исходные данные'!$B$13),MONTH(B336)=MONTH('Исходные данные'!$B$13)),'Исходные данные'!$B$13,IF('Исходные данные'!$B$26&lt;&gt;"",IF(AND(YEAR(B336)=YEAR('Исходные данные'!$B$26),MONTH(B336)=MONTH('Исходные данные'!$B$26)),'Исходные данные'!$B$26,IF(A336=1,'Исходные данные'!$B$9,C336)),IF(A336=1,'Исходные данные'!$B$9,C336))),IF('Исходные данные'!$B$26&lt;&gt;"",IF(AND(YEAR(B336)=YEAR('Исходные данные'!$B$26),MONTH(B336)=MONTH('Исходные данные'!$B$26)),'Исходные данные'!$B$26,IF(A336=1,'Исходные данные'!$B$9,C336)),IF(A336=1,'Исходные данные'!$B$9,C336)))),IF('Исходные данные'!$B$13&lt;&gt;"",IF(AND(YEAR(B336)=YEAR('Исходные данные'!$B$13),MONTH(B336)=MONTH('Исходные данные'!$B$13)),'Исходные данные'!$B$13,IF('Исходные данные'!$B$26&lt;&gt;"",IF(AND(YEAR(B336)=YEAR('Исходные данные'!$B$26),MONTH(B336)=MONTH('Исходные данные'!$B$26)),'Исходные данные'!$B$26,IF(A336=1,'Исходные данные'!$B$9,C336)),IF(A336=1,'Исходные данные'!$B$9,C336))),IF('Исходные данные'!$B$26&lt;&gt;"",IF(AND(YEAR(B336)=YEAR('Исходные данные'!$B$26),MONTH(B336)=MONTH('Исходные данные'!$B$26)),'Исходные данные'!$B$26,IF(A336=1,'Исходные данные'!$B$9,C336)),IF(A336=1,'Исходные данные'!$B$9,C336)))))</f>
        <v/>
      </c>
      <c r="E336">
        <f>IF(OR(B336="",'Исходные данные'!$B$91=""),0,--(B336&lt;=DATE(YEAR('Исходные данные'!$B$91),MONTH('Исходные данные'!$B$91),1)))</f>
        <v>0</v>
      </c>
      <c r="F336">
        <f>IF(OR(B336="",'Исходные данные'!$B$30="",C336&lt;'Исходные данные'!$B$30),0,DATEDIF(DATE(YEAR('Исходные данные'!$B$30),MONTH('Исходные данные'!$B$30),1),B336,"m")+1)</f>
        <v>0</v>
      </c>
      <c r="G336">
        <f t="shared" si="187"/>
        <v>0</v>
      </c>
      <c r="H336">
        <f>IF(F336=0,0,IF(G336=1,N('Исходные данные'!$B$31),IF(G336=2,N('Исходные данные'!$B$32),IF(G336=3,N('Исходные данные'!$B$33),N('Исходные данные'!$B$33)*(1+N('Исходные данные'!$B$34))^(G336-3)))))</f>
        <v>0</v>
      </c>
      <c r="I336">
        <f>IF(OR(F336=0,N('Исходные данные'!$B$5)=0,H336=0),0,'Исходные данные'!$B$5*H336*IF(AND(B336&lt;='Исходные данные'!$B$30,C336&gt;='Исходные данные'!$B$30),(C336-'Исходные данные'!$B$30+1)/DAY(C336),1))</f>
        <v>0</v>
      </c>
      <c r="J336">
        <f>IF(AND(F336&gt;0,F336&lt;=N('Исходные данные'!$B$37)),-I336,0)</f>
        <v>0</v>
      </c>
      <c r="K336">
        <f>IF(OR(F336=0,F336&lt;=N('Исходные данные'!$B$37)),0,-(I336+J336)*N('Исходные данные'!$B$38))</f>
        <v>0</v>
      </c>
      <c r="L336">
        <f t="shared" si="188"/>
        <v>0</v>
      </c>
      <c r="M336">
        <f>IF('Исходные данные'!$B$51="Да",L336*N('Исходные данные'!$B$52),0)</f>
        <v>0</v>
      </c>
      <c r="N336">
        <f t="shared" si="189"/>
        <v>0</v>
      </c>
      <c r="O336">
        <f>IF(OR(B336="",IF('Исходные данные'!$B$45="",'Исходные данные'!$B$10,'Исходные данные'!$B$45)="",C336&lt;IF('Исходные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данные'!$B$45)),1),B336,"m")/12))*IF(AND(B336&lt;=IF('Исходные данные'!$B$45="",'Исходные данные'!$B$10,'Исходные данные'!$B$45),C336&gt;=IF('Исходные данные'!$B$45="",'Исходные данные'!$B$10,'Исходные данные'!$B$45)),(C336-IF('Исходные данные'!$B$45="",'Исходные данные'!$B$10,'Исходные данные'!$B$45)+1)/DAY(C336),1)*IF('Исходные данные'!$B$43="Без НДС",1+N('Исходные данные'!$B$44),1))</f>
        <v>0</v>
      </c>
      <c r="P336">
        <f>IF('Исходные данные'!$B$51="Да",-O336*N('Исходные данные'!$B$44)/(1+N('Исходные данные'!$B$44)),0)</f>
        <v>0</v>
      </c>
      <c r="Q336">
        <f>IF('Исходные данные'!$B$35="Да",-O336,0)</f>
        <v>0</v>
      </c>
      <c r="R336">
        <f>IF(AND('Исходные данные'!$B$51="Да",Q336&gt;0),Q336*N('Исходные данные'!$B$52)/(1+N('Исходные данные'!$B$52)),0)</f>
        <v>0</v>
      </c>
      <c r="S336">
        <f>IF(OR(B336="",IF('Исходные данные'!$B$45="",'Исходные данные'!$B$10,'Исходные данные'!$B$45)="",C336&lt;IF('Исходные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данные'!$B$45)),1),B336,"m")/12))*IF(AND(B336&lt;=IF('Исходные данные'!$B$45="",'Исходные данные'!$B$10,'Исходные данные'!$B$45),C336&gt;=IF('Исходные данные'!$B$45="",'Исходные данные'!$B$10,'Исходные данные'!$B$45)),(C336-IF('Исходные данные'!$B$45="",'Исходные данные'!$B$10,'Исходные данные'!$B$45)+1)/DAY(C336),1)*IF('Исходные данные'!$B$43="Без НДС",1+N('Исходные данные'!$B$44),1))</f>
        <v>0</v>
      </c>
      <c r="T336">
        <f>IF('Исходные данные'!$B$51="Да",-S336*N('Исходные данные'!$B$44)/(1+N('Исходные данные'!$B$44)),0)</f>
        <v>0</v>
      </c>
      <c r="U336">
        <f>IF('Исходные данные'!$B$36="Да",-S336,0)</f>
        <v>0</v>
      </c>
      <c r="V336">
        <f>IF(AND('Исходные данные'!$B$51="Да",U336&gt;0),U336*N('Исходные данные'!$B$52)/(1+N('Исходные данные'!$B$52)),0)</f>
        <v>0</v>
      </c>
      <c r="W336">
        <f>IF(OR(B336="",IF('Исходные данные'!$B$69="",'Исходные данные'!$B$10,'Исходные данные'!$B$69)="",C336&lt;IF('Исходные данные'!$B$69="",'Исходные данные'!$B$10,'Исходные данные'!$B$69)),0,-N('Исходные данные'!$B$16)*N('Исходные данные'!$B$68)*N('Исходные данные'!$B$67)/12*IF(AND(B336&lt;=IF('Исходные данные'!$B$69="",'Исходные данные'!$B$10,'Исходные данные'!$B$69),C336&gt;=IF('Исходные данные'!$B$69="",'Исходные данные'!$B$10,'Исходные данные'!$B$69)),(C336-IF('Исходные данные'!$B$69="",'Исходные данные'!$B$10,'Исходные данные'!$B$69)+1)/DAY(C336),1))</f>
        <v>0</v>
      </c>
      <c r="X336">
        <f>IF(OR(B336="",IF('Исходные данные'!$B$76="",'Исходные данные'!$B$10,'Исходные данные'!$B$76)="",C336&lt;IF('Исходные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данные'!$B$76)),1),B336,"m")/12))*IF(AND(B336&lt;=IF('Исходные данные'!$B$76="",'Исходные данные'!$B$10,'Исходные данные'!$B$76),C336&gt;=IF('Исходные данные'!$B$76="",'Исходные данные'!$B$10,'Исходные данные'!$B$76)),(C336-IF('Исходные данные'!$B$76="",'Исходные данные'!$B$10,'Исходные данные'!$B$76)+1)/DAY(C336),1))</f>
        <v>0</v>
      </c>
      <c r="Y336">
        <f t="shared" si="190"/>
        <v>0</v>
      </c>
      <c r="Z336">
        <f>IF(OR(B336="",N('Исходные данные'!$B$19)=0),0,-SUMIFS('Исходные данные'!$I$6:$I$186,'Исходные данные'!$F$6:$F$186,B336)*N('Исходные данные'!$B$17)/N('Исходные данные'!$B$19))</f>
        <v>0</v>
      </c>
      <c r="AA336">
        <f>IF(OR(B336="",N('Исходные данные'!$B$19)=0),0,-SUMIFS('Исходные данные'!$I$6:$I$186,'Исходные данные'!$F$6:$F$186,B336)*N('Исходные данные'!$B$18)/N('Исходные данные'!$B$19))</f>
        <v>0</v>
      </c>
      <c r="AB336">
        <f>IF(OR(B336="",'Исходные данные'!$B$13=""),0,IF(AND(YEAR(B336)=YEAR('Исходные данные'!$B$13),MONTH(B336)=MONTH('Исходные данные'!$B$13)),-N('Исходные данные'!$B$11),0))</f>
        <v>0</v>
      </c>
      <c r="AC336">
        <f>IF(A336=1,-N('Исходные данные'!$B$19)*N('Исходные данные'!$B$72),0)</f>
        <v>0</v>
      </c>
      <c r="AD336">
        <f>IF(OR(B336="",'Исходные данные'!$B$22&lt;&gt;"Да",'Исходные данные'!$B$26=""),0,IF(AND(YEAR(B336)=YEAR('Исходные данные'!$B$26),MONTH(B336)=MONTH('Исходные данные'!$B$26)),N('Исходные данные'!$B$23),0))</f>
        <v>0</v>
      </c>
      <c r="AE336">
        <f t="shared" si="173"/>
        <v>0</v>
      </c>
      <c r="AF336">
        <f>IF(OR('Исходные данные'!$B$22&lt;&gt;"Да",'Исходные данные'!$B$26="",C336&lt;'Исходные данные'!$B$26),0,DATEDIF(DATE(YEAR('Исходные данные'!$B$26),MONTH('Исходные данные'!$B$26),1),B336,"m")+1)</f>
        <v>0</v>
      </c>
      <c r="AG336">
        <f>IF(OR(AF336&lt;1,AF336&gt;N('Исходные данные'!$B$25),AE336+AD336&lt;=0),0,-(AE336+AD336)*N('Исходные данные'!$B$24)*IF(AF336=1,C336-'Исходные данные'!$B$26+1,DAY(C336))/365)</f>
        <v>0</v>
      </c>
      <c r="AH336">
        <f>IF(OR(AF336&lt;1,AF336&gt;N('Исходные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данные'!$B$25)-AG336))</f>
        <v>0</v>
      </c>
      <c r="AI336">
        <f>IF(OR('Исходные данные'!$B$22&lt;&gt;"Да",AE336+AD336&lt;=0),0,IF(AND('Исходные данные'!$B$91&lt;&gt;"",B336&lt;&gt;"",YEAR(B336)=YEAR('Исходные данные'!$B$91),MONTH(B336)=MONTH('Исходные данные'!$B$91)),-(AE336+AD336),IF(OR(AF336&lt;1,AF336&gt;N('Исходные данные'!$B$25)),0,IF('Исходные данные'!$B$27="Равными долями",-MIN(AE336+AD336,N('Исходные данные'!$B$23)/N('Исходные данные'!$B$25)),-MIN(AE336+AD336,IF(AF336=N('Исходные данные'!$B$25),AE336+AD336,MAX(0,AH336+AG336)))))))</f>
        <v>0</v>
      </c>
      <c r="AJ336">
        <f t="shared" si="191"/>
        <v>0</v>
      </c>
      <c r="AK336">
        <f t="shared" si="174"/>
        <v>0</v>
      </c>
      <c r="AL336">
        <f>IF(OR(B336="",'Исходные данные'!$B$51&lt;&gt;"Да",'Исходные данные'!$B$61=""),0,IF(AND(YEAR(B336)=YEAR('Исходные данные'!$B$61),MONTH(B336)=MONTH('Исходные данные'!$B$61)),N('Исходные данные'!$B$18)*N('Исходные данные'!$B$62),0))</f>
        <v>0</v>
      </c>
      <c r="AM336">
        <f t="shared" si="175"/>
        <v>0</v>
      </c>
      <c r="AN336">
        <f t="shared" si="176"/>
        <v>0</v>
      </c>
      <c r="AO336">
        <f t="shared" si="177"/>
        <v>0</v>
      </c>
      <c r="AP336">
        <f>IF('Исходные данные'!$B$51="Да",-MAX(0,AN336-AO336-AM336),0)</f>
        <v>0</v>
      </c>
      <c r="AQ336">
        <f>IF('Исходные данные'!$B$51="Да",MAX(0,AM336+AO336-AN336),0)</f>
        <v>0</v>
      </c>
      <c r="AR336">
        <f>IF('Исходные данные'!$B$53="Выручка",MAX(0,L336+(Q336-R336)+(U336-V336)),IF('Исходные данные'!$B$53="Прибыль до налога",MAX(0,L336+(Q336-R336)+(U336-V336)+N('Исходные данные'!$B$54)*((O336+P336)+(S336+T336)+W336+X336)+IF('Исходные данные'!$B$55="Да",AG336,0)-N('Исходные данные'!$B$56)/12),IF('Исходные данные'!$B$53="Пользовательская база",MAX(0,N('Исходные данные'!$B$57)/12),0)))</f>
        <v>0</v>
      </c>
      <c r="AS336">
        <f>IF(E336=1,-AR336*N('Исходные данные'!$B$50),0)</f>
        <v>0</v>
      </c>
      <c r="AT336">
        <f t="shared" si="178"/>
        <v>0</v>
      </c>
      <c r="AU336">
        <f>IF(OR(B336="",N('Исходные данные'!$B$80)&lt;=0,'Исходные данные'!$B$88=""),0,MAX(0,IF('Исходные данные'!$B$88="Последние 12 месяцев",SUMIFS($Y$2:$Y$194,$B$2:$B$194,"&gt;="&amp;EDATE(B336,-11),$B$2:$B$194,"&lt;="&amp;B336),IF('Исходные данные'!$B$88="Пользовательский NOI",N('Исходные данные'!$B$89),AT336))/N('Исходные данные'!$B$80)*(1+N('Исходные данные'!$B$81))))</f>
        <v>0</v>
      </c>
      <c r="AV336">
        <f>IF(OR(E336&lt;&gt;1,B336="",'Исходные данные'!$B$91=""),0,IF(AND(YEAR(B336)=YEAR('Исходные данные'!$B$91),MONTH(B336)=MONTH('Исходные данные'!$B$91)),AU336,0))</f>
        <v>0</v>
      </c>
      <c r="AW336">
        <f>-AV336*N('Исходные данные'!$B$73)</f>
        <v>0</v>
      </c>
      <c r="AX336">
        <f>IF(AV336=0,0,-N('Исходные данные'!$B$87)-IF('Исходные данные'!$B$82="Да",IF('Исходные данные'!$B$84="С выручки",AV336,IF('Исходные данные'!$B$84="С прибыли",MAX(0,AV336+AW336-IF('Исходные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36">
        <f t="shared" si="192"/>
        <v>0</v>
      </c>
      <c r="AZ336">
        <f t="shared" si="179"/>
        <v>0</v>
      </c>
      <c r="BA336">
        <f t="shared" si="193"/>
        <v>0</v>
      </c>
      <c r="BB336" t="str">
        <f t="shared" si="180"/>
        <v/>
      </c>
      <c r="BC336">
        <f>IF(OR(E336=0,'Исходные данные'!$B$9="",'Исходные данные'!$B$90=""),0,BA336/(1+'Исходные данные'!$B$90)^((D336-'Исходные данные'!$B$9)/365))</f>
        <v>0</v>
      </c>
      <c r="BD336">
        <f>IF(AND(E336=1,BB336&gt;=0,BB335&lt;0,MIN($BB$2:BB336)&lt;0),1,0)</f>
        <v>0</v>
      </c>
      <c r="BE336">
        <f t="shared" si="181"/>
        <v>0</v>
      </c>
      <c r="BF336">
        <f t="shared" si="182"/>
        <v>0</v>
      </c>
      <c r="BG336">
        <f t="shared" si="183"/>
        <v>0</v>
      </c>
      <c r="BH336">
        <f t="shared" si="184"/>
        <v>1</v>
      </c>
      <c r="BI336">
        <f>AZ336+N336+AP336-AR336*N('Исходные данные'!$B$50)</f>
        <v>0</v>
      </c>
      <c r="BJ336">
        <f t="shared" si="185"/>
        <v>0</v>
      </c>
      <c r="BK336">
        <f>IF(AND(BJ336&gt;=0,BJ335&lt;0,MIN($BJ$2:BJ336)&lt;0),1,0)</f>
        <v>0</v>
      </c>
    </row>
    <row r="337" spans="1:63" x14ac:dyDescent="0.2">
      <c r="A337">
        <v>336</v>
      </c>
      <c r="B337" t="str">
        <f>IF('Исходные данные'!$B$9="","",EDATE(DATE(YEAR('Исходные данные'!$B$9),MONTH('Исходные данные'!$B$9),1),A337-1))</f>
        <v/>
      </c>
      <c r="C337" t="str">
        <f t="shared" si="186"/>
        <v/>
      </c>
      <c r="D337" t="str">
        <f>IF(B337="","",IF('Исходные данные'!$B$91&lt;&gt;"",IF(AND(YEAR(B337)=YEAR('Исходные данные'!$B$91),MONTH(B337)=MONTH('Исходные данные'!$B$91)),'Исходные данные'!$B$91,IF('Исходные данные'!$B$13&lt;&gt;"",IF(AND(YEAR(B337)=YEAR('Исходные данные'!$B$13),MONTH(B337)=MONTH('Исходные данные'!$B$13)),'Исходные данные'!$B$13,IF('Исходные данные'!$B$26&lt;&gt;"",IF(AND(YEAR(B337)=YEAR('Исходные данные'!$B$26),MONTH(B337)=MONTH('Исходные данные'!$B$26)),'Исходные данные'!$B$26,IF(A337=1,'Исходные данные'!$B$9,C337)),IF(A337=1,'Исходные данные'!$B$9,C337))),IF('Исходные данные'!$B$26&lt;&gt;"",IF(AND(YEAR(B337)=YEAR('Исходные данные'!$B$26),MONTH(B337)=MONTH('Исходные данные'!$B$26)),'Исходные данные'!$B$26,IF(A337=1,'Исходные данные'!$B$9,C337)),IF(A337=1,'Исходные данные'!$B$9,C337)))),IF('Исходные данные'!$B$13&lt;&gt;"",IF(AND(YEAR(B337)=YEAR('Исходные данные'!$B$13),MONTH(B337)=MONTH('Исходные данные'!$B$13)),'Исходные данные'!$B$13,IF('Исходные данные'!$B$26&lt;&gt;"",IF(AND(YEAR(B337)=YEAR('Исходные данные'!$B$26),MONTH(B337)=MONTH('Исходные данные'!$B$26)),'Исходные данные'!$B$26,IF(A337=1,'Исходные данные'!$B$9,C337)),IF(A337=1,'Исходные данные'!$B$9,C337))),IF('Исходные данные'!$B$26&lt;&gt;"",IF(AND(YEAR(B337)=YEAR('Исходные данные'!$B$26),MONTH(B337)=MONTH('Исходные данные'!$B$26)),'Исходные данные'!$B$26,IF(A337=1,'Исходные данные'!$B$9,C337)),IF(A337=1,'Исходные данные'!$B$9,C337)))))</f>
        <v/>
      </c>
      <c r="E337">
        <f>IF(OR(B337="",'Исходные данные'!$B$91=""),0,--(B337&lt;=DATE(YEAR('Исходные данные'!$B$91),MONTH('Исходные данные'!$B$91),1)))</f>
        <v>0</v>
      </c>
      <c r="F337">
        <f>IF(OR(B337="",'Исходные данные'!$B$30="",C337&lt;'Исходные данные'!$B$30),0,DATEDIF(DATE(YEAR('Исходные данные'!$B$30),MONTH('Исходные данные'!$B$30),1),B337,"m")+1)</f>
        <v>0</v>
      </c>
      <c r="G337">
        <f t="shared" si="187"/>
        <v>0</v>
      </c>
      <c r="H337">
        <f>IF(F337=0,0,IF(G337=1,N('Исходные данные'!$B$31),IF(G337=2,N('Исходные данные'!$B$32),IF(G337=3,N('Исходные данные'!$B$33),N('Исходные данные'!$B$33)*(1+N('Исходные данные'!$B$34))^(G337-3)))))</f>
        <v>0</v>
      </c>
      <c r="I337">
        <f>IF(OR(F337=0,N('Исходные данные'!$B$5)=0,H337=0),0,'Исходные данные'!$B$5*H337*IF(AND(B337&lt;='Исходные данные'!$B$30,C337&gt;='Исходные данные'!$B$30),(C337-'Исходные данные'!$B$30+1)/DAY(C337),1))</f>
        <v>0</v>
      </c>
      <c r="J337">
        <f>IF(AND(F337&gt;0,F337&lt;=N('Исходные данные'!$B$37)),-I337,0)</f>
        <v>0</v>
      </c>
      <c r="K337">
        <f>IF(OR(F337=0,F337&lt;=N('Исходные данные'!$B$37)),0,-(I337+J337)*N('Исходные данные'!$B$38))</f>
        <v>0</v>
      </c>
      <c r="L337">
        <f t="shared" si="188"/>
        <v>0</v>
      </c>
      <c r="M337">
        <f>IF('Исходные данные'!$B$51="Да",L337*N('Исходные данные'!$B$52),0)</f>
        <v>0</v>
      </c>
      <c r="N337">
        <f t="shared" si="189"/>
        <v>0</v>
      </c>
      <c r="O337">
        <f>IF(OR(B337="",IF('Исходные данные'!$B$45="",'Исходные данные'!$B$10,'Исходные данные'!$B$45)="",C337&lt;IF('Исходные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данные'!$B$45)),1),B337,"m")/12))*IF(AND(B337&lt;=IF('Исходные данные'!$B$45="",'Исходные данные'!$B$10,'Исходные данные'!$B$45),C337&gt;=IF('Исходные данные'!$B$45="",'Исходные данные'!$B$10,'Исходные данные'!$B$45)),(C337-IF('Исходные данные'!$B$45="",'Исходные данные'!$B$10,'Исходные данные'!$B$45)+1)/DAY(C337),1)*IF('Исходные данные'!$B$43="Без НДС",1+N('Исходные данные'!$B$44),1))</f>
        <v>0</v>
      </c>
      <c r="P337">
        <f>IF('Исходные данные'!$B$51="Да",-O337*N('Исходные данные'!$B$44)/(1+N('Исходные данные'!$B$44)),0)</f>
        <v>0</v>
      </c>
      <c r="Q337">
        <f>IF('Исходные данные'!$B$35="Да",-O337,0)</f>
        <v>0</v>
      </c>
      <c r="R337">
        <f>IF(AND('Исходные данные'!$B$51="Да",Q337&gt;0),Q337*N('Исходные данные'!$B$52)/(1+N('Исходные данные'!$B$52)),0)</f>
        <v>0</v>
      </c>
      <c r="S337">
        <f>IF(OR(B337="",IF('Исходные данные'!$B$45="",'Исходные данные'!$B$10,'Исходные данные'!$B$45)="",C337&lt;IF('Исходные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данные'!$B$45)),1),B337,"m")/12))*IF(AND(B337&lt;=IF('Исходные данные'!$B$45="",'Исходные данные'!$B$10,'Исходные данные'!$B$45),C337&gt;=IF('Исходные данные'!$B$45="",'Исходные данные'!$B$10,'Исходные данные'!$B$45)),(C337-IF('Исходные данные'!$B$45="",'Исходные данные'!$B$10,'Исходные данные'!$B$45)+1)/DAY(C337),1)*IF('Исходные данные'!$B$43="Без НДС",1+N('Исходные данные'!$B$44),1))</f>
        <v>0</v>
      </c>
      <c r="T337">
        <f>IF('Исходные данные'!$B$51="Да",-S337*N('Исходные данные'!$B$44)/(1+N('Исходные данные'!$B$44)),0)</f>
        <v>0</v>
      </c>
      <c r="U337">
        <f>IF('Исходные данные'!$B$36="Да",-S337,0)</f>
        <v>0</v>
      </c>
      <c r="V337">
        <f>IF(AND('Исходные данные'!$B$51="Да",U337&gt;0),U337*N('Исходные данные'!$B$52)/(1+N('Исходные данные'!$B$52)),0)</f>
        <v>0</v>
      </c>
      <c r="W337">
        <f>IF(OR(B337="",IF('Исходные данные'!$B$69="",'Исходные данные'!$B$10,'Исходные данные'!$B$69)="",C337&lt;IF('Исходные данные'!$B$69="",'Исходные данные'!$B$10,'Исходные данные'!$B$69)),0,-N('Исходные данные'!$B$16)*N('Исходные данные'!$B$68)*N('Исходные данные'!$B$67)/12*IF(AND(B337&lt;=IF('Исходные данные'!$B$69="",'Исходные данные'!$B$10,'Исходные данные'!$B$69),C337&gt;=IF('Исходные данные'!$B$69="",'Исходные данные'!$B$10,'Исходные данные'!$B$69)),(C337-IF('Исходные данные'!$B$69="",'Исходные данные'!$B$10,'Исходные данные'!$B$69)+1)/DAY(C337),1))</f>
        <v>0</v>
      </c>
      <c r="X337">
        <f>IF(OR(B337="",IF('Исходные данные'!$B$76="",'Исходные данные'!$B$10,'Исходные данные'!$B$76)="",C337&lt;IF('Исходные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данные'!$B$76)),1),B337,"m")/12))*IF(AND(B337&lt;=IF('Исходные данные'!$B$76="",'Исходные данные'!$B$10,'Исходные данные'!$B$76),C337&gt;=IF('Исходные данные'!$B$76="",'Исходные данные'!$B$10,'Исходные данные'!$B$76)),(C337-IF('Исходные данные'!$B$76="",'Исходные данные'!$B$10,'Исходные данные'!$B$76)+1)/DAY(C337),1))</f>
        <v>0</v>
      </c>
      <c r="Y337">
        <f t="shared" si="190"/>
        <v>0</v>
      </c>
      <c r="Z337">
        <f>IF(OR(B337="",N('Исходные данные'!$B$19)=0),0,-SUMIFS('Исходные данные'!$I$6:$I$186,'Исходные данные'!$F$6:$F$186,B337)*N('Исходные данные'!$B$17)/N('Исходные данные'!$B$19))</f>
        <v>0</v>
      </c>
      <c r="AA337">
        <f>IF(OR(B337="",N('Исходные данные'!$B$19)=0),0,-SUMIFS('Исходные данные'!$I$6:$I$186,'Исходные данные'!$F$6:$F$186,B337)*N('Исходные данные'!$B$18)/N('Исходные данные'!$B$19))</f>
        <v>0</v>
      </c>
      <c r="AB337">
        <f>IF(OR(B337="",'Исходные данные'!$B$13=""),0,IF(AND(YEAR(B337)=YEAR('Исходные данные'!$B$13),MONTH(B337)=MONTH('Исходные данные'!$B$13)),-N('Исходные данные'!$B$11),0))</f>
        <v>0</v>
      </c>
      <c r="AC337">
        <f>IF(A337=1,-N('Исходные данные'!$B$19)*N('Исходные данные'!$B$72),0)</f>
        <v>0</v>
      </c>
      <c r="AD337">
        <f>IF(OR(B337="",'Исходные данные'!$B$22&lt;&gt;"Да",'Исходные данные'!$B$26=""),0,IF(AND(YEAR(B337)=YEAR('Исходные данные'!$B$26),MONTH(B337)=MONTH('Исходные данные'!$B$26)),N('Исходные данные'!$B$23),0))</f>
        <v>0</v>
      </c>
      <c r="AE337">
        <f t="shared" si="173"/>
        <v>0</v>
      </c>
      <c r="AF337">
        <f>IF(OR('Исходные данные'!$B$22&lt;&gt;"Да",'Исходные данные'!$B$26="",C337&lt;'Исходные данные'!$B$26),0,DATEDIF(DATE(YEAR('Исходные данные'!$B$26),MONTH('Исходные данные'!$B$26),1),B337,"m")+1)</f>
        <v>0</v>
      </c>
      <c r="AG337">
        <f>IF(OR(AF337&lt;1,AF337&gt;N('Исходные данные'!$B$25),AE337+AD337&lt;=0),0,-(AE337+AD337)*N('Исходные данные'!$B$24)*IF(AF337=1,C337-'Исходные данные'!$B$26+1,DAY(C337))/365)</f>
        <v>0</v>
      </c>
      <c r="AH337">
        <f>IF(OR(AF337&lt;1,AF337&gt;N('Исходные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данные'!$B$25)-AG337))</f>
        <v>0</v>
      </c>
      <c r="AI337">
        <f>IF(OR('Исходные данные'!$B$22&lt;&gt;"Да",AE337+AD337&lt;=0),0,IF(AND('Исходные данные'!$B$91&lt;&gt;"",B337&lt;&gt;"",YEAR(B337)=YEAR('Исходные данные'!$B$91),MONTH(B337)=MONTH('Исходные данные'!$B$91)),-(AE337+AD337),IF(OR(AF337&lt;1,AF337&gt;N('Исходные данные'!$B$25)),0,IF('Исходные данные'!$B$27="Равными долями",-MIN(AE337+AD337,N('Исходные данные'!$B$23)/N('Исходные данные'!$B$25)),-MIN(AE337+AD337,IF(AF337=N('Исходные данные'!$B$25),AE337+AD337,MAX(0,AH337+AG337)))))))</f>
        <v>0</v>
      </c>
      <c r="AJ337">
        <f t="shared" si="191"/>
        <v>0</v>
      </c>
      <c r="AK337">
        <f t="shared" si="174"/>
        <v>0</v>
      </c>
      <c r="AL337">
        <f>IF(OR(B337="",'Исходные данные'!$B$51&lt;&gt;"Да",'Исходные данные'!$B$61=""),0,IF(AND(YEAR(B337)=YEAR('Исходные данные'!$B$61),MONTH(B337)=MONTH('Исходные данные'!$B$61)),N('Исходные данные'!$B$18)*N('Исходные данные'!$B$62),0))</f>
        <v>0</v>
      </c>
      <c r="AM337">
        <f t="shared" si="175"/>
        <v>0</v>
      </c>
      <c r="AN337">
        <f t="shared" si="176"/>
        <v>0</v>
      </c>
      <c r="AO337">
        <f t="shared" si="177"/>
        <v>0</v>
      </c>
      <c r="AP337">
        <f>IF('Исходные данные'!$B$51="Да",-MAX(0,AN337-AO337-AM337),0)</f>
        <v>0</v>
      </c>
      <c r="AQ337">
        <f>IF('Исходные данные'!$B$51="Да",MAX(0,AM337+AO337-AN337),0)</f>
        <v>0</v>
      </c>
      <c r="AR337">
        <f>IF('Исходные данные'!$B$53="Выручка",MAX(0,L337+(Q337-R337)+(U337-V337)),IF('Исходные данные'!$B$53="Прибыль до налога",MAX(0,L337+(Q337-R337)+(U337-V337)+N('Исходные данные'!$B$54)*((O337+P337)+(S337+T337)+W337+X337)+IF('Исходные данные'!$B$55="Да",AG337,0)-N('Исходные данные'!$B$56)/12),IF('Исходные данные'!$B$53="Пользовательская база",MAX(0,N('Исходные данные'!$B$57)/12),0)))</f>
        <v>0</v>
      </c>
      <c r="AS337">
        <f>IF(E337=1,-AR337*N('Исходные данные'!$B$50),0)</f>
        <v>0</v>
      </c>
      <c r="AT337">
        <f t="shared" si="178"/>
        <v>0</v>
      </c>
      <c r="AU337">
        <f>IF(OR(B337="",N('Исходные данные'!$B$80)&lt;=0,'Исходные данные'!$B$88=""),0,MAX(0,IF('Исходные данные'!$B$88="Последние 12 месяцев",SUMIFS($Y$2:$Y$194,$B$2:$B$194,"&gt;="&amp;EDATE(B337,-11),$B$2:$B$194,"&lt;="&amp;B337),IF('Исходные данные'!$B$88="Пользовательский NOI",N('Исходные данные'!$B$89),AT337))/N('Исходные данные'!$B$80)*(1+N('Исходные данные'!$B$81))))</f>
        <v>0</v>
      </c>
      <c r="AV337">
        <f>IF(OR(E337&lt;&gt;1,B337="",'Исходные данные'!$B$91=""),0,IF(AND(YEAR(B337)=YEAR('Исходные данные'!$B$91),MONTH(B337)=MONTH('Исходные данные'!$B$91)),AU337,0))</f>
        <v>0</v>
      </c>
      <c r="AW337">
        <f>-AV337*N('Исходные данные'!$B$73)</f>
        <v>0</v>
      </c>
      <c r="AX337">
        <f>IF(AV337=0,0,-N('Исходные данные'!$B$87)-IF('Исходные данные'!$B$82="Да",IF('Исходные данные'!$B$84="С выручки",AV337,IF('Исходные данные'!$B$84="С прибыли",MAX(0,AV337+AW337-IF('Исходные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37">
        <f t="shared" si="192"/>
        <v>0</v>
      </c>
      <c r="AZ337">
        <f t="shared" si="179"/>
        <v>0</v>
      </c>
      <c r="BA337">
        <f t="shared" si="193"/>
        <v>0</v>
      </c>
      <c r="BB337" t="str">
        <f t="shared" si="180"/>
        <v/>
      </c>
      <c r="BC337">
        <f>IF(OR(E337=0,'Исходные данные'!$B$9="",'Исходные данные'!$B$90=""),0,BA337/(1+'Исходные данные'!$B$90)^((D337-'Исходные данные'!$B$9)/365))</f>
        <v>0</v>
      </c>
      <c r="BD337">
        <f>IF(AND(E337=1,BB337&gt;=0,BB336&lt;0,MIN($BB$2:BB337)&lt;0),1,0)</f>
        <v>0</v>
      </c>
      <c r="BE337">
        <f t="shared" si="181"/>
        <v>0</v>
      </c>
      <c r="BF337">
        <f t="shared" si="182"/>
        <v>0</v>
      </c>
      <c r="BG337">
        <f t="shared" si="183"/>
        <v>0</v>
      </c>
      <c r="BH337">
        <f t="shared" si="184"/>
        <v>1</v>
      </c>
      <c r="BI337">
        <f>AZ337+N337+AP337-AR337*N('Исходные данные'!$B$50)</f>
        <v>0</v>
      </c>
      <c r="BJ337">
        <f t="shared" si="185"/>
        <v>0</v>
      </c>
      <c r="BK337">
        <f>IF(AND(BJ337&gt;=0,BJ336&lt;0,MIN($BJ$2:BJ337)&lt;0),1,0)</f>
        <v>0</v>
      </c>
    </row>
    <row r="338" spans="1:63" x14ac:dyDescent="0.2">
      <c r="A338">
        <v>337</v>
      </c>
      <c r="B338" t="str">
        <f>IF('Исходные данные'!$B$9="","",EDATE(DATE(YEAR('Исходные данные'!$B$9),MONTH('Исходные данные'!$B$9),1),A338-1))</f>
        <v/>
      </c>
      <c r="C338" t="str">
        <f t="shared" si="186"/>
        <v/>
      </c>
      <c r="D338" t="str">
        <f>IF(B338="","",IF('Исходные данные'!$B$91&lt;&gt;"",IF(AND(YEAR(B338)=YEAR('Исходные данные'!$B$91),MONTH(B338)=MONTH('Исходные данные'!$B$91)),'Исходные данные'!$B$91,IF('Исходные данные'!$B$13&lt;&gt;"",IF(AND(YEAR(B338)=YEAR('Исходные данные'!$B$13),MONTH(B338)=MONTH('Исходные данные'!$B$13)),'Исходные данные'!$B$13,IF('Исходные данные'!$B$26&lt;&gt;"",IF(AND(YEAR(B338)=YEAR('Исходные данные'!$B$26),MONTH(B338)=MONTH('Исходные данные'!$B$26)),'Исходные данные'!$B$26,IF(A338=1,'Исходные данные'!$B$9,C338)),IF(A338=1,'Исходные данные'!$B$9,C338))),IF('Исходные данные'!$B$26&lt;&gt;"",IF(AND(YEAR(B338)=YEAR('Исходные данные'!$B$26),MONTH(B338)=MONTH('Исходные данные'!$B$26)),'Исходные данные'!$B$26,IF(A338=1,'Исходные данные'!$B$9,C338)),IF(A338=1,'Исходные данные'!$B$9,C338)))),IF('Исходные данные'!$B$13&lt;&gt;"",IF(AND(YEAR(B338)=YEAR('Исходные данные'!$B$13),MONTH(B338)=MONTH('Исходные данные'!$B$13)),'Исходные данные'!$B$13,IF('Исходные данные'!$B$26&lt;&gt;"",IF(AND(YEAR(B338)=YEAR('Исходные данные'!$B$26),MONTH(B338)=MONTH('Исходные данные'!$B$26)),'Исходные данные'!$B$26,IF(A338=1,'Исходные данные'!$B$9,C338)),IF(A338=1,'Исходные данные'!$B$9,C338))),IF('Исходные данные'!$B$26&lt;&gt;"",IF(AND(YEAR(B338)=YEAR('Исходные данные'!$B$26),MONTH(B338)=MONTH('Исходные данные'!$B$26)),'Исходные данные'!$B$26,IF(A338=1,'Исходные данные'!$B$9,C338)),IF(A338=1,'Исходные данные'!$B$9,C338)))))</f>
        <v/>
      </c>
      <c r="E338">
        <f>IF(OR(B338="",'Исходные данные'!$B$91=""),0,--(B338&lt;=DATE(YEAR('Исходные данные'!$B$91),MONTH('Исходные данные'!$B$91),1)))</f>
        <v>0</v>
      </c>
      <c r="F338">
        <f>IF(OR(B338="",'Исходные данные'!$B$30="",C338&lt;'Исходные данные'!$B$30),0,DATEDIF(DATE(YEAR('Исходные данные'!$B$30),MONTH('Исходные данные'!$B$30),1),B338,"m")+1)</f>
        <v>0</v>
      </c>
      <c r="G338">
        <f t="shared" si="187"/>
        <v>0</v>
      </c>
      <c r="H338">
        <f>IF(F338=0,0,IF(G338=1,N('Исходные данные'!$B$31),IF(G338=2,N('Исходные данные'!$B$32),IF(G338=3,N('Исходные данные'!$B$33),N('Исходные данные'!$B$33)*(1+N('Исходные данные'!$B$34))^(G338-3)))))</f>
        <v>0</v>
      </c>
      <c r="I338">
        <f>IF(OR(F338=0,N('Исходные данные'!$B$5)=0,H338=0),0,'Исходные данные'!$B$5*H338*IF(AND(B338&lt;='Исходные данные'!$B$30,C338&gt;='Исходные данные'!$B$30),(C338-'Исходные данные'!$B$30+1)/DAY(C338),1))</f>
        <v>0</v>
      </c>
      <c r="J338">
        <f>IF(AND(F338&gt;0,F338&lt;=N('Исходные данные'!$B$37)),-I338,0)</f>
        <v>0</v>
      </c>
      <c r="K338">
        <f>IF(OR(F338=0,F338&lt;=N('Исходные данные'!$B$37)),0,-(I338+J338)*N('Исходные данные'!$B$38))</f>
        <v>0</v>
      </c>
      <c r="L338">
        <f t="shared" si="188"/>
        <v>0</v>
      </c>
      <c r="M338">
        <f>IF('Исходные данные'!$B$51="Да",L338*N('Исходные данные'!$B$52),0)</f>
        <v>0</v>
      </c>
      <c r="N338">
        <f t="shared" si="189"/>
        <v>0</v>
      </c>
      <c r="O338">
        <f>IF(OR(B338="",IF('Исходные данные'!$B$45="",'Исходные данные'!$B$10,'Исходные данные'!$B$45)="",C338&lt;IF('Исходные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данные'!$B$45)),1),B338,"m")/12))*IF(AND(B338&lt;=IF('Исходные данные'!$B$45="",'Исходные данные'!$B$10,'Исходные данные'!$B$45),C338&gt;=IF('Исходные данные'!$B$45="",'Исходные данные'!$B$10,'Исходные данные'!$B$45)),(C338-IF('Исходные данные'!$B$45="",'Исходные данные'!$B$10,'Исходные данные'!$B$45)+1)/DAY(C338),1)*IF('Исходные данные'!$B$43="Без НДС",1+N('Исходные данные'!$B$44),1))</f>
        <v>0</v>
      </c>
      <c r="P338">
        <f>IF('Исходные данные'!$B$51="Да",-O338*N('Исходные данные'!$B$44)/(1+N('Исходные данные'!$B$44)),0)</f>
        <v>0</v>
      </c>
      <c r="Q338">
        <f>IF('Исходные данные'!$B$35="Да",-O338,0)</f>
        <v>0</v>
      </c>
      <c r="R338">
        <f>IF(AND('Исходные данные'!$B$51="Да",Q338&gt;0),Q338*N('Исходные данные'!$B$52)/(1+N('Исходные данные'!$B$52)),0)</f>
        <v>0</v>
      </c>
      <c r="S338">
        <f>IF(OR(B338="",IF('Исходные данные'!$B$45="",'Исходные данные'!$B$10,'Исходные данные'!$B$45)="",C338&lt;IF('Исходные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данные'!$B$45)),1),B338,"m")/12))*IF(AND(B338&lt;=IF('Исходные данные'!$B$45="",'Исходные данные'!$B$10,'Исходные данные'!$B$45),C338&gt;=IF('Исходные данные'!$B$45="",'Исходные данные'!$B$10,'Исходные данные'!$B$45)),(C338-IF('Исходные данные'!$B$45="",'Исходные данные'!$B$10,'Исходные данные'!$B$45)+1)/DAY(C338),1)*IF('Исходные данные'!$B$43="Без НДС",1+N('Исходные данные'!$B$44),1))</f>
        <v>0</v>
      </c>
      <c r="T338">
        <f>IF('Исходные данные'!$B$51="Да",-S338*N('Исходные данные'!$B$44)/(1+N('Исходные данные'!$B$44)),0)</f>
        <v>0</v>
      </c>
      <c r="U338">
        <f>IF('Исходные данные'!$B$36="Да",-S338,0)</f>
        <v>0</v>
      </c>
      <c r="V338">
        <f>IF(AND('Исходные данные'!$B$51="Да",U338&gt;0),U338*N('Исходные данные'!$B$52)/(1+N('Исходные данные'!$B$52)),0)</f>
        <v>0</v>
      </c>
      <c r="W338">
        <f>IF(OR(B338="",IF('Исходные данные'!$B$69="",'Исходные данные'!$B$10,'Исходные данные'!$B$69)="",C338&lt;IF('Исходные данные'!$B$69="",'Исходные данные'!$B$10,'Исходные данные'!$B$69)),0,-N('Исходные данные'!$B$16)*N('Исходные данные'!$B$68)*N('Исходные данные'!$B$67)/12*IF(AND(B338&lt;=IF('Исходные данные'!$B$69="",'Исходные данные'!$B$10,'Исходные данные'!$B$69),C338&gt;=IF('Исходные данные'!$B$69="",'Исходные данные'!$B$10,'Исходные данные'!$B$69)),(C338-IF('Исходные данные'!$B$69="",'Исходные данные'!$B$10,'Исходные данные'!$B$69)+1)/DAY(C338),1))</f>
        <v>0</v>
      </c>
      <c r="X338">
        <f>IF(OR(B338="",IF('Исходные данные'!$B$76="",'Исходные данные'!$B$10,'Исходные данные'!$B$76)="",C338&lt;IF('Исходные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данные'!$B$76)),1),B338,"m")/12))*IF(AND(B338&lt;=IF('Исходные данные'!$B$76="",'Исходные данные'!$B$10,'Исходные данные'!$B$76),C338&gt;=IF('Исходные данные'!$B$76="",'Исходные данные'!$B$10,'Исходные данные'!$B$76)),(C338-IF('Исходные данные'!$B$76="",'Исходные данные'!$B$10,'Исходные данные'!$B$76)+1)/DAY(C338),1))</f>
        <v>0</v>
      </c>
      <c r="Y338">
        <f t="shared" si="190"/>
        <v>0</v>
      </c>
      <c r="Z338">
        <f>IF(OR(B338="",N('Исходные данные'!$B$19)=0),0,-SUMIFS('Исходные данные'!$I$6:$I$186,'Исходные данные'!$F$6:$F$186,B338)*N('Исходные данные'!$B$17)/N('Исходные данные'!$B$19))</f>
        <v>0</v>
      </c>
      <c r="AA338">
        <f>IF(OR(B338="",N('Исходные данные'!$B$19)=0),0,-SUMIFS('Исходные данные'!$I$6:$I$186,'Исходные данные'!$F$6:$F$186,B338)*N('Исходные данные'!$B$18)/N('Исходные данные'!$B$19))</f>
        <v>0</v>
      </c>
      <c r="AB338">
        <f>IF(OR(B338="",'Исходные данные'!$B$13=""),0,IF(AND(YEAR(B338)=YEAR('Исходные данные'!$B$13),MONTH(B338)=MONTH('Исходные данные'!$B$13)),-N('Исходные данные'!$B$11),0))</f>
        <v>0</v>
      </c>
      <c r="AC338">
        <f>IF(A338=1,-N('Исходные данные'!$B$19)*N('Исходные данные'!$B$72),0)</f>
        <v>0</v>
      </c>
      <c r="AD338">
        <f>IF(OR(B338="",'Исходные данные'!$B$22&lt;&gt;"Да",'Исходные данные'!$B$26=""),0,IF(AND(YEAR(B338)=YEAR('Исходные данные'!$B$26),MONTH(B338)=MONTH('Исходные данные'!$B$26)),N('Исходные данные'!$B$23),0))</f>
        <v>0</v>
      </c>
      <c r="AE338">
        <f t="shared" si="173"/>
        <v>0</v>
      </c>
      <c r="AF338">
        <f>IF(OR('Исходные данные'!$B$22&lt;&gt;"Да",'Исходные данные'!$B$26="",C338&lt;'Исходные данные'!$B$26),0,DATEDIF(DATE(YEAR('Исходные данные'!$B$26),MONTH('Исходные данные'!$B$26),1),B338,"m")+1)</f>
        <v>0</v>
      </c>
      <c r="AG338">
        <f>IF(OR(AF338&lt;1,AF338&gt;N('Исходные данные'!$B$25),AE338+AD338&lt;=0),0,-(AE338+AD338)*N('Исходные данные'!$B$24)*IF(AF338=1,C338-'Исходные данные'!$B$26+1,DAY(C338))/365)</f>
        <v>0</v>
      </c>
      <c r="AH338">
        <f>IF(OR(AF338&lt;1,AF338&gt;N('Исходные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данные'!$B$25)-AG338))</f>
        <v>0</v>
      </c>
      <c r="AI338">
        <f>IF(OR('Исходные данные'!$B$22&lt;&gt;"Да",AE338+AD338&lt;=0),0,IF(AND('Исходные данные'!$B$91&lt;&gt;"",B338&lt;&gt;"",YEAR(B338)=YEAR('Исходные данные'!$B$91),MONTH(B338)=MONTH('Исходные данные'!$B$91)),-(AE338+AD338),IF(OR(AF338&lt;1,AF338&gt;N('Исходные данные'!$B$25)),0,IF('Исходные данные'!$B$27="Равными долями",-MIN(AE338+AD338,N('Исходные данные'!$B$23)/N('Исходные данные'!$B$25)),-MIN(AE338+AD338,IF(AF338=N('Исходные данные'!$B$25),AE338+AD338,MAX(0,AH338+AG338)))))))</f>
        <v>0</v>
      </c>
      <c r="AJ338">
        <f t="shared" si="191"/>
        <v>0</v>
      </c>
      <c r="AK338">
        <f t="shared" si="174"/>
        <v>0</v>
      </c>
      <c r="AL338">
        <f>IF(OR(B338="",'Исходные данные'!$B$51&lt;&gt;"Да",'Исходные данные'!$B$61=""),0,IF(AND(YEAR(B338)=YEAR('Исходные данные'!$B$61),MONTH(B338)=MONTH('Исходные данные'!$B$61)),N('Исходные данные'!$B$18)*N('Исходные данные'!$B$62),0))</f>
        <v>0</v>
      </c>
      <c r="AM338">
        <f t="shared" si="175"/>
        <v>0</v>
      </c>
      <c r="AN338">
        <f t="shared" si="176"/>
        <v>0</v>
      </c>
      <c r="AO338">
        <f t="shared" si="177"/>
        <v>0</v>
      </c>
      <c r="AP338">
        <f>IF('Исходные данные'!$B$51="Да",-MAX(0,AN338-AO338-AM338),0)</f>
        <v>0</v>
      </c>
      <c r="AQ338">
        <f>IF('Исходные данные'!$B$51="Да",MAX(0,AM338+AO338-AN338),0)</f>
        <v>0</v>
      </c>
      <c r="AR338">
        <f>IF('Исходные данные'!$B$53="Выручка",MAX(0,L338+(Q338-R338)+(U338-V338)),IF('Исходные данные'!$B$53="Прибыль до налога",MAX(0,L338+(Q338-R338)+(U338-V338)+N('Исходные данные'!$B$54)*((O338+P338)+(S338+T338)+W338+X338)+IF('Исходные данные'!$B$55="Да",AG338,0)-N('Исходные данные'!$B$56)/12),IF('Исходные данные'!$B$53="Пользовательская база",MAX(0,N('Исходные данные'!$B$57)/12),0)))</f>
        <v>0</v>
      </c>
      <c r="AS338">
        <f>IF(E338=1,-AR338*N('Исходные данные'!$B$50),0)</f>
        <v>0</v>
      </c>
      <c r="AT338">
        <f t="shared" si="178"/>
        <v>0</v>
      </c>
      <c r="AU338">
        <f>IF(OR(B338="",N('Исходные данные'!$B$80)&lt;=0,'Исходные данные'!$B$88=""),0,MAX(0,IF('Исходные данные'!$B$88="Последние 12 месяцев",SUMIFS($Y$2:$Y$194,$B$2:$B$194,"&gt;="&amp;EDATE(B338,-11),$B$2:$B$194,"&lt;="&amp;B338),IF('Исходные данные'!$B$88="Пользовательский NOI",N('Исходные данные'!$B$89),AT338))/N('Исходные данные'!$B$80)*(1+N('Исходные данные'!$B$81))))</f>
        <v>0</v>
      </c>
      <c r="AV338">
        <f>IF(OR(E338&lt;&gt;1,B338="",'Исходные данные'!$B$91=""),0,IF(AND(YEAR(B338)=YEAR('Исходные данные'!$B$91),MONTH(B338)=MONTH('Исходные данные'!$B$91)),AU338,0))</f>
        <v>0</v>
      </c>
      <c r="AW338">
        <f>-AV338*N('Исходные данные'!$B$73)</f>
        <v>0</v>
      </c>
      <c r="AX338">
        <f>IF(AV338=0,0,-N('Исходные данные'!$B$87)-IF('Исходные данные'!$B$82="Да",IF('Исходные данные'!$B$84="С выручки",AV338,IF('Исходные данные'!$B$84="С прибыли",MAX(0,AV338+AW338-IF('Исходные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38">
        <f t="shared" si="192"/>
        <v>0</v>
      </c>
      <c r="AZ338">
        <f t="shared" si="179"/>
        <v>0</v>
      </c>
      <c r="BA338">
        <f t="shared" si="193"/>
        <v>0</v>
      </c>
      <c r="BB338" t="str">
        <f t="shared" si="180"/>
        <v/>
      </c>
      <c r="BC338">
        <f>IF(OR(E338=0,'Исходные данные'!$B$9="",'Исходные данные'!$B$90=""),0,BA338/(1+'Исходные данные'!$B$90)^((D338-'Исходные данные'!$B$9)/365))</f>
        <v>0</v>
      </c>
      <c r="BD338">
        <f>IF(AND(E338=1,BB338&gt;=0,BB337&lt;0,MIN($BB$2:BB338)&lt;0),1,0)</f>
        <v>0</v>
      </c>
      <c r="BE338">
        <f t="shared" si="181"/>
        <v>0</v>
      </c>
      <c r="BF338">
        <f t="shared" si="182"/>
        <v>0</v>
      </c>
      <c r="BG338">
        <f t="shared" si="183"/>
        <v>0</v>
      </c>
      <c r="BH338">
        <f t="shared" si="184"/>
        <v>1</v>
      </c>
      <c r="BI338">
        <f>AZ338+N338+AP338-AR338*N('Исходные данные'!$B$50)</f>
        <v>0</v>
      </c>
      <c r="BJ338">
        <f t="shared" si="185"/>
        <v>0</v>
      </c>
      <c r="BK338">
        <f>IF(AND(BJ338&gt;=0,BJ337&lt;0,MIN($BJ$2:BJ338)&lt;0),1,0)</f>
        <v>0</v>
      </c>
    </row>
    <row r="339" spans="1:63" x14ac:dyDescent="0.2">
      <c r="A339">
        <v>338</v>
      </c>
      <c r="B339" t="str">
        <f>IF('Исходные данные'!$B$9="","",EDATE(DATE(YEAR('Исходные данные'!$B$9),MONTH('Исходные данные'!$B$9),1),A339-1))</f>
        <v/>
      </c>
      <c r="C339" t="str">
        <f t="shared" si="186"/>
        <v/>
      </c>
      <c r="D339" t="str">
        <f>IF(B339="","",IF('Исходные данные'!$B$91&lt;&gt;"",IF(AND(YEAR(B339)=YEAR('Исходные данные'!$B$91),MONTH(B339)=MONTH('Исходные данные'!$B$91)),'Исходные данные'!$B$91,IF('Исходные данные'!$B$13&lt;&gt;"",IF(AND(YEAR(B339)=YEAR('Исходные данные'!$B$13),MONTH(B339)=MONTH('Исходные данные'!$B$13)),'Исходные данные'!$B$13,IF('Исходные данные'!$B$26&lt;&gt;"",IF(AND(YEAR(B339)=YEAR('Исходные данные'!$B$26),MONTH(B339)=MONTH('Исходные данные'!$B$26)),'Исходные данные'!$B$26,IF(A339=1,'Исходные данные'!$B$9,C339)),IF(A339=1,'Исходные данные'!$B$9,C339))),IF('Исходные данные'!$B$26&lt;&gt;"",IF(AND(YEAR(B339)=YEAR('Исходные данные'!$B$26),MONTH(B339)=MONTH('Исходные данные'!$B$26)),'Исходные данные'!$B$26,IF(A339=1,'Исходные данные'!$B$9,C339)),IF(A339=1,'Исходные данные'!$B$9,C339)))),IF('Исходные данные'!$B$13&lt;&gt;"",IF(AND(YEAR(B339)=YEAR('Исходные данные'!$B$13),MONTH(B339)=MONTH('Исходные данные'!$B$13)),'Исходные данные'!$B$13,IF('Исходные данные'!$B$26&lt;&gt;"",IF(AND(YEAR(B339)=YEAR('Исходные данные'!$B$26),MONTH(B339)=MONTH('Исходные данные'!$B$26)),'Исходные данные'!$B$26,IF(A339=1,'Исходные данные'!$B$9,C339)),IF(A339=1,'Исходные данные'!$B$9,C339))),IF('Исходные данные'!$B$26&lt;&gt;"",IF(AND(YEAR(B339)=YEAR('Исходные данные'!$B$26),MONTH(B339)=MONTH('Исходные данные'!$B$26)),'Исходные данные'!$B$26,IF(A339=1,'Исходные данные'!$B$9,C339)),IF(A339=1,'Исходные данные'!$B$9,C339)))))</f>
        <v/>
      </c>
      <c r="E339">
        <f>IF(OR(B339="",'Исходные данные'!$B$91=""),0,--(B339&lt;=DATE(YEAR('Исходные данные'!$B$91),MONTH('Исходные данные'!$B$91),1)))</f>
        <v>0</v>
      </c>
      <c r="F339">
        <f>IF(OR(B339="",'Исходные данные'!$B$30="",C339&lt;'Исходные данные'!$B$30),0,DATEDIF(DATE(YEAR('Исходные данные'!$B$30),MONTH('Исходные данные'!$B$30),1),B339,"m")+1)</f>
        <v>0</v>
      </c>
      <c r="G339">
        <f t="shared" si="187"/>
        <v>0</v>
      </c>
      <c r="H339">
        <f>IF(F339=0,0,IF(G339=1,N('Исходные данные'!$B$31),IF(G339=2,N('Исходные данные'!$B$32),IF(G339=3,N('Исходные данные'!$B$33),N('Исходные данные'!$B$33)*(1+N('Исходные данные'!$B$34))^(G339-3)))))</f>
        <v>0</v>
      </c>
      <c r="I339">
        <f>IF(OR(F339=0,N('Исходные данные'!$B$5)=0,H339=0),0,'Исходные данные'!$B$5*H339*IF(AND(B339&lt;='Исходные данные'!$B$30,C339&gt;='Исходные данные'!$B$30),(C339-'Исходные данные'!$B$30+1)/DAY(C339),1))</f>
        <v>0</v>
      </c>
      <c r="J339">
        <f>IF(AND(F339&gt;0,F339&lt;=N('Исходные данные'!$B$37)),-I339,0)</f>
        <v>0</v>
      </c>
      <c r="K339">
        <f>IF(OR(F339=0,F339&lt;=N('Исходные данные'!$B$37)),0,-(I339+J339)*N('Исходные данные'!$B$38))</f>
        <v>0</v>
      </c>
      <c r="L339">
        <f t="shared" si="188"/>
        <v>0</v>
      </c>
      <c r="M339">
        <f>IF('Исходные данные'!$B$51="Да",L339*N('Исходные данные'!$B$52),0)</f>
        <v>0</v>
      </c>
      <c r="N339">
        <f t="shared" si="189"/>
        <v>0</v>
      </c>
      <c r="O339">
        <f>IF(OR(B339="",IF('Исходные данные'!$B$45="",'Исходные данные'!$B$10,'Исходные данные'!$B$45)="",C339&lt;IF('Исходные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данные'!$B$45)),1),B339,"m")/12))*IF(AND(B339&lt;=IF('Исходные данные'!$B$45="",'Исходные данные'!$B$10,'Исходные данные'!$B$45),C339&gt;=IF('Исходные данные'!$B$45="",'Исходные данные'!$B$10,'Исходные данные'!$B$45)),(C339-IF('Исходные данные'!$B$45="",'Исходные данные'!$B$10,'Исходные данные'!$B$45)+1)/DAY(C339),1)*IF('Исходные данные'!$B$43="Без НДС",1+N('Исходные данные'!$B$44),1))</f>
        <v>0</v>
      </c>
      <c r="P339">
        <f>IF('Исходные данные'!$B$51="Да",-O339*N('Исходные данные'!$B$44)/(1+N('Исходные данные'!$B$44)),0)</f>
        <v>0</v>
      </c>
      <c r="Q339">
        <f>IF('Исходные данные'!$B$35="Да",-O339,0)</f>
        <v>0</v>
      </c>
      <c r="R339">
        <f>IF(AND('Исходные данные'!$B$51="Да",Q339&gt;0),Q339*N('Исходные данные'!$B$52)/(1+N('Исходные данные'!$B$52)),0)</f>
        <v>0</v>
      </c>
      <c r="S339">
        <f>IF(OR(B339="",IF('Исходные данные'!$B$45="",'Исходные данные'!$B$10,'Исходные данные'!$B$45)="",C339&lt;IF('Исходные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данные'!$B$45)),1),B339,"m")/12))*IF(AND(B339&lt;=IF('Исходные данные'!$B$45="",'Исходные данные'!$B$10,'Исходные данные'!$B$45),C339&gt;=IF('Исходные данные'!$B$45="",'Исходные данные'!$B$10,'Исходные данные'!$B$45)),(C339-IF('Исходные данные'!$B$45="",'Исходные данные'!$B$10,'Исходные данные'!$B$45)+1)/DAY(C339),1)*IF('Исходные данные'!$B$43="Без НДС",1+N('Исходные данные'!$B$44),1))</f>
        <v>0</v>
      </c>
      <c r="T339">
        <f>IF('Исходные данные'!$B$51="Да",-S339*N('Исходные данные'!$B$44)/(1+N('Исходные данные'!$B$44)),0)</f>
        <v>0</v>
      </c>
      <c r="U339">
        <f>IF('Исходные данные'!$B$36="Да",-S339,0)</f>
        <v>0</v>
      </c>
      <c r="V339">
        <f>IF(AND('Исходные данные'!$B$51="Да",U339&gt;0),U339*N('Исходные данные'!$B$52)/(1+N('Исходные данные'!$B$52)),0)</f>
        <v>0</v>
      </c>
      <c r="W339">
        <f>IF(OR(B339="",IF('Исходные данные'!$B$69="",'Исходные данные'!$B$10,'Исходные данные'!$B$69)="",C339&lt;IF('Исходные данные'!$B$69="",'Исходные данные'!$B$10,'Исходные данные'!$B$69)),0,-N('Исходные данные'!$B$16)*N('Исходные данные'!$B$68)*N('Исходные данные'!$B$67)/12*IF(AND(B339&lt;=IF('Исходные данные'!$B$69="",'Исходные данные'!$B$10,'Исходные данные'!$B$69),C339&gt;=IF('Исходные данные'!$B$69="",'Исходные данные'!$B$10,'Исходные данные'!$B$69)),(C339-IF('Исходные данные'!$B$69="",'Исходные данные'!$B$10,'Исходные данные'!$B$69)+1)/DAY(C339),1))</f>
        <v>0</v>
      </c>
      <c r="X339">
        <f>IF(OR(B339="",IF('Исходные данные'!$B$76="",'Исходные данные'!$B$10,'Исходные данные'!$B$76)="",C339&lt;IF('Исходные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данные'!$B$76)),1),B339,"m")/12))*IF(AND(B339&lt;=IF('Исходные данные'!$B$76="",'Исходные данные'!$B$10,'Исходные данные'!$B$76),C339&gt;=IF('Исходные данные'!$B$76="",'Исходные данные'!$B$10,'Исходные данные'!$B$76)),(C339-IF('Исходные данные'!$B$76="",'Исходные данные'!$B$10,'Исходные данные'!$B$76)+1)/DAY(C339),1))</f>
        <v>0</v>
      </c>
      <c r="Y339">
        <f t="shared" si="190"/>
        <v>0</v>
      </c>
      <c r="Z339">
        <f>IF(OR(B339="",N('Исходные данные'!$B$19)=0),0,-SUMIFS('Исходные данные'!$I$6:$I$186,'Исходные данные'!$F$6:$F$186,B339)*N('Исходные данные'!$B$17)/N('Исходные данные'!$B$19))</f>
        <v>0</v>
      </c>
      <c r="AA339">
        <f>IF(OR(B339="",N('Исходные данные'!$B$19)=0),0,-SUMIFS('Исходные данные'!$I$6:$I$186,'Исходные данные'!$F$6:$F$186,B339)*N('Исходные данные'!$B$18)/N('Исходные данные'!$B$19))</f>
        <v>0</v>
      </c>
      <c r="AB339">
        <f>IF(OR(B339="",'Исходные данные'!$B$13=""),0,IF(AND(YEAR(B339)=YEAR('Исходные данные'!$B$13),MONTH(B339)=MONTH('Исходные данные'!$B$13)),-N('Исходные данные'!$B$11),0))</f>
        <v>0</v>
      </c>
      <c r="AC339">
        <f>IF(A339=1,-N('Исходные данные'!$B$19)*N('Исходные данные'!$B$72),0)</f>
        <v>0</v>
      </c>
      <c r="AD339">
        <f>IF(OR(B339="",'Исходные данные'!$B$22&lt;&gt;"Да",'Исходные данные'!$B$26=""),0,IF(AND(YEAR(B339)=YEAR('Исходные данные'!$B$26),MONTH(B339)=MONTH('Исходные данные'!$B$26)),N('Исходные данные'!$B$23),0))</f>
        <v>0</v>
      </c>
      <c r="AE339">
        <f t="shared" si="173"/>
        <v>0</v>
      </c>
      <c r="AF339">
        <f>IF(OR('Исходные данные'!$B$22&lt;&gt;"Да",'Исходные данные'!$B$26="",C339&lt;'Исходные данные'!$B$26),0,DATEDIF(DATE(YEAR('Исходные данные'!$B$26),MONTH('Исходные данные'!$B$26),1),B339,"m")+1)</f>
        <v>0</v>
      </c>
      <c r="AG339">
        <f>IF(OR(AF339&lt;1,AF339&gt;N('Исходные данные'!$B$25),AE339+AD339&lt;=0),0,-(AE339+AD339)*N('Исходные данные'!$B$24)*IF(AF339=1,C339-'Исходные данные'!$B$26+1,DAY(C339))/365)</f>
        <v>0</v>
      </c>
      <c r="AH339">
        <f>IF(OR(AF339&lt;1,AF339&gt;N('Исходные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данные'!$B$25)-AG339))</f>
        <v>0</v>
      </c>
      <c r="AI339">
        <f>IF(OR('Исходные данные'!$B$22&lt;&gt;"Да",AE339+AD339&lt;=0),0,IF(AND('Исходные данные'!$B$91&lt;&gt;"",B339&lt;&gt;"",YEAR(B339)=YEAR('Исходные данные'!$B$91),MONTH(B339)=MONTH('Исходные данные'!$B$91)),-(AE339+AD339),IF(OR(AF339&lt;1,AF339&gt;N('Исходные данные'!$B$25)),0,IF('Исходные данные'!$B$27="Равными долями",-MIN(AE339+AD339,N('Исходные данные'!$B$23)/N('Исходные данные'!$B$25)),-MIN(AE339+AD339,IF(AF339=N('Исходные данные'!$B$25),AE339+AD339,MAX(0,AH339+AG339)))))))</f>
        <v>0</v>
      </c>
      <c r="AJ339">
        <f t="shared" si="191"/>
        <v>0</v>
      </c>
      <c r="AK339">
        <f t="shared" si="174"/>
        <v>0</v>
      </c>
      <c r="AL339">
        <f>IF(OR(B339="",'Исходные данные'!$B$51&lt;&gt;"Да",'Исходные данные'!$B$61=""),0,IF(AND(YEAR(B339)=YEAR('Исходные данные'!$B$61),MONTH(B339)=MONTH('Исходные данные'!$B$61)),N('Исходные данные'!$B$18)*N('Исходные данные'!$B$62),0))</f>
        <v>0</v>
      </c>
      <c r="AM339">
        <f t="shared" si="175"/>
        <v>0</v>
      </c>
      <c r="AN339">
        <f t="shared" si="176"/>
        <v>0</v>
      </c>
      <c r="AO339">
        <f t="shared" si="177"/>
        <v>0</v>
      </c>
      <c r="AP339">
        <f>IF('Исходные данные'!$B$51="Да",-MAX(0,AN339-AO339-AM339),0)</f>
        <v>0</v>
      </c>
      <c r="AQ339">
        <f>IF('Исходные данные'!$B$51="Да",MAX(0,AM339+AO339-AN339),0)</f>
        <v>0</v>
      </c>
      <c r="AR339">
        <f>IF('Исходные данные'!$B$53="Выручка",MAX(0,L339+(Q339-R339)+(U339-V339)),IF('Исходные данные'!$B$53="Прибыль до налога",MAX(0,L339+(Q339-R339)+(U339-V339)+N('Исходные данные'!$B$54)*((O339+P339)+(S339+T339)+W339+X339)+IF('Исходные данные'!$B$55="Да",AG339,0)-N('Исходные данные'!$B$56)/12),IF('Исходные данные'!$B$53="Пользовательская база",MAX(0,N('Исходные данные'!$B$57)/12),0)))</f>
        <v>0</v>
      </c>
      <c r="AS339">
        <f>IF(E339=1,-AR339*N('Исходные данные'!$B$50),0)</f>
        <v>0</v>
      </c>
      <c r="AT339">
        <f t="shared" si="178"/>
        <v>0</v>
      </c>
      <c r="AU339">
        <f>IF(OR(B339="",N('Исходные данные'!$B$80)&lt;=0,'Исходные данные'!$B$88=""),0,MAX(0,IF('Исходные данные'!$B$88="Последние 12 месяцев",SUMIFS($Y$2:$Y$194,$B$2:$B$194,"&gt;="&amp;EDATE(B339,-11),$B$2:$B$194,"&lt;="&amp;B339),IF('Исходные данные'!$B$88="Пользовательский NOI",N('Исходные данные'!$B$89),AT339))/N('Исходные данные'!$B$80)*(1+N('Исходные данные'!$B$81))))</f>
        <v>0</v>
      </c>
      <c r="AV339">
        <f>IF(OR(E339&lt;&gt;1,B339="",'Исходные данные'!$B$91=""),0,IF(AND(YEAR(B339)=YEAR('Исходные данные'!$B$91),MONTH(B339)=MONTH('Исходные данные'!$B$91)),AU339,0))</f>
        <v>0</v>
      </c>
      <c r="AW339">
        <f>-AV339*N('Исходные данные'!$B$73)</f>
        <v>0</v>
      </c>
      <c r="AX339">
        <f>IF(AV339=0,0,-N('Исходные данные'!$B$87)-IF('Исходные данные'!$B$82="Да",IF('Исходные данные'!$B$84="С выручки",AV339,IF('Исходные данные'!$B$84="С прибыли",MAX(0,AV339+AW339-IF('Исходные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39">
        <f t="shared" si="192"/>
        <v>0</v>
      </c>
      <c r="AZ339">
        <f t="shared" si="179"/>
        <v>0</v>
      </c>
      <c r="BA339">
        <f t="shared" si="193"/>
        <v>0</v>
      </c>
      <c r="BB339" t="str">
        <f t="shared" si="180"/>
        <v/>
      </c>
      <c r="BC339">
        <f>IF(OR(E339=0,'Исходные данные'!$B$9="",'Исходные данные'!$B$90=""),0,BA339/(1+'Исходные данные'!$B$90)^((D339-'Исходные данные'!$B$9)/365))</f>
        <v>0</v>
      </c>
      <c r="BD339">
        <f>IF(AND(E339=1,BB339&gt;=0,BB338&lt;0,MIN($BB$2:BB339)&lt;0),1,0)</f>
        <v>0</v>
      </c>
      <c r="BE339">
        <f t="shared" si="181"/>
        <v>0</v>
      </c>
      <c r="BF339">
        <f t="shared" si="182"/>
        <v>0</v>
      </c>
      <c r="BG339">
        <f t="shared" si="183"/>
        <v>0</v>
      </c>
      <c r="BH339">
        <f t="shared" si="184"/>
        <v>1</v>
      </c>
      <c r="BI339">
        <f>AZ339+N339+AP339-AR339*N('Исходные данные'!$B$50)</f>
        <v>0</v>
      </c>
      <c r="BJ339">
        <f t="shared" si="185"/>
        <v>0</v>
      </c>
      <c r="BK339">
        <f>IF(AND(BJ339&gt;=0,BJ338&lt;0,MIN($BJ$2:BJ339)&lt;0),1,0)</f>
        <v>0</v>
      </c>
    </row>
    <row r="340" spans="1:63" x14ac:dyDescent="0.2">
      <c r="A340">
        <v>339</v>
      </c>
      <c r="B340" t="str">
        <f>IF('Исходные данные'!$B$9="","",EDATE(DATE(YEAR('Исходные данные'!$B$9),MONTH('Исходные данные'!$B$9),1),A340-1))</f>
        <v/>
      </c>
      <c r="C340" t="str">
        <f t="shared" si="186"/>
        <v/>
      </c>
      <c r="D340" t="str">
        <f>IF(B340="","",IF('Исходные данные'!$B$91&lt;&gt;"",IF(AND(YEAR(B340)=YEAR('Исходные данные'!$B$91),MONTH(B340)=MONTH('Исходные данные'!$B$91)),'Исходные данные'!$B$91,IF('Исходные данные'!$B$13&lt;&gt;"",IF(AND(YEAR(B340)=YEAR('Исходные данные'!$B$13),MONTH(B340)=MONTH('Исходные данные'!$B$13)),'Исходные данные'!$B$13,IF('Исходные данные'!$B$26&lt;&gt;"",IF(AND(YEAR(B340)=YEAR('Исходные данные'!$B$26),MONTH(B340)=MONTH('Исходные данные'!$B$26)),'Исходные данные'!$B$26,IF(A340=1,'Исходные данные'!$B$9,C340)),IF(A340=1,'Исходные данные'!$B$9,C340))),IF('Исходные данные'!$B$26&lt;&gt;"",IF(AND(YEAR(B340)=YEAR('Исходные данные'!$B$26),MONTH(B340)=MONTH('Исходные данные'!$B$26)),'Исходные данные'!$B$26,IF(A340=1,'Исходные данные'!$B$9,C340)),IF(A340=1,'Исходные данные'!$B$9,C340)))),IF('Исходные данные'!$B$13&lt;&gt;"",IF(AND(YEAR(B340)=YEAR('Исходные данные'!$B$13),MONTH(B340)=MONTH('Исходные данные'!$B$13)),'Исходные данные'!$B$13,IF('Исходные данные'!$B$26&lt;&gt;"",IF(AND(YEAR(B340)=YEAR('Исходные данные'!$B$26),MONTH(B340)=MONTH('Исходные данные'!$B$26)),'Исходные данные'!$B$26,IF(A340=1,'Исходные данные'!$B$9,C340)),IF(A340=1,'Исходные данные'!$B$9,C340))),IF('Исходные данные'!$B$26&lt;&gt;"",IF(AND(YEAR(B340)=YEAR('Исходные данные'!$B$26),MONTH(B340)=MONTH('Исходные данные'!$B$26)),'Исходные данные'!$B$26,IF(A340=1,'Исходные данные'!$B$9,C340)),IF(A340=1,'Исходные данные'!$B$9,C340)))))</f>
        <v/>
      </c>
      <c r="E340">
        <f>IF(OR(B340="",'Исходные данные'!$B$91=""),0,--(B340&lt;=DATE(YEAR('Исходные данные'!$B$91),MONTH('Исходные данные'!$B$91),1)))</f>
        <v>0</v>
      </c>
      <c r="F340">
        <f>IF(OR(B340="",'Исходные данные'!$B$30="",C340&lt;'Исходные данные'!$B$30),0,DATEDIF(DATE(YEAR('Исходные данные'!$B$30),MONTH('Исходные данные'!$B$30),1),B340,"m")+1)</f>
        <v>0</v>
      </c>
      <c r="G340">
        <f t="shared" si="187"/>
        <v>0</v>
      </c>
      <c r="H340">
        <f>IF(F340=0,0,IF(G340=1,N('Исходные данные'!$B$31),IF(G340=2,N('Исходные данные'!$B$32),IF(G340=3,N('Исходные данные'!$B$33),N('Исходные данные'!$B$33)*(1+N('Исходные данные'!$B$34))^(G340-3)))))</f>
        <v>0</v>
      </c>
      <c r="I340">
        <f>IF(OR(F340=0,N('Исходные данные'!$B$5)=0,H340=0),0,'Исходные данные'!$B$5*H340*IF(AND(B340&lt;='Исходные данные'!$B$30,C340&gt;='Исходные данные'!$B$30),(C340-'Исходные данные'!$B$30+1)/DAY(C340),1))</f>
        <v>0</v>
      </c>
      <c r="J340">
        <f>IF(AND(F340&gt;0,F340&lt;=N('Исходные данные'!$B$37)),-I340,0)</f>
        <v>0</v>
      </c>
      <c r="K340">
        <f>IF(OR(F340=0,F340&lt;=N('Исходные данные'!$B$37)),0,-(I340+J340)*N('Исходные данные'!$B$38))</f>
        <v>0</v>
      </c>
      <c r="L340">
        <f t="shared" si="188"/>
        <v>0</v>
      </c>
      <c r="M340">
        <f>IF('Исходные данные'!$B$51="Да",L340*N('Исходные данные'!$B$52),0)</f>
        <v>0</v>
      </c>
      <c r="N340">
        <f t="shared" si="189"/>
        <v>0</v>
      </c>
      <c r="O340">
        <f>IF(OR(B340="",IF('Исходные данные'!$B$45="",'Исходные данные'!$B$10,'Исходные данные'!$B$45)="",C340&lt;IF('Исходные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данные'!$B$45)),1),B340,"m")/12))*IF(AND(B340&lt;=IF('Исходные данные'!$B$45="",'Исходные данные'!$B$10,'Исходные данные'!$B$45),C340&gt;=IF('Исходные данные'!$B$45="",'Исходные данные'!$B$10,'Исходные данные'!$B$45)),(C340-IF('Исходные данные'!$B$45="",'Исходные данные'!$B$10,'Исходные данные'!$B$45)+1)/DAY(C340),1)*IF('Исходные данные'!$B$43="Без НДС",1+N('Исходные данные'!$B$44),1))</f>
        <v>0</v>
      </c>
      <c r="P340">
        <f>IF('Исходные данные'!$B$51="Да",-O340*N('Исходные данные'!$B$44)/(1+N('Исходные данные'!$B$44)),0)</f>
        <v>0</v>
      </c>
      <c r="Q340">
        <f>IF('Исходные данные'!$B$35="Да",-O340,0)</f>
        <v>0</v>
      </c>
      <c r="R340">
        <f>IF(AND('Исходные данные'!$B$51="Да",Q340&gt;0),Q340*N('Исходные данные'!$B$52)/(1+N('Исходные данные'!$B$52)),0)</f>
        <v>0</v>
      </c>
      <c r="S340">
        <f>IF(OR(B340="",IF('Исходные данные'!$B$45="",'Исходные данные'!$B$10,'Исходные данные'!$B$45)="",C340&lt;IF('Исходные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данные'!$B$45)),1),B340,"m")/12))*IF(AND(B340&lt;=IF('Исходные данные'!$B$45="",'Исходные данные'!$B$10,'Исходные данные'!$B$45),C340&gt;=IF('Исходные данные'!$B$45="",'Исходные данные'!$B$10,'Исходные данные'!$B$45)),(C340-IF('Исходные данные'!$B$45="",'Исходные данные'!$B$10,'Исходные данные'!$B$45)+1)/DAY(C340),1)*IF('Исходные данные'!$B$43="Без НДС",1+N('Исходные данные'!$B$44),1))</f>
        <v>0</v>
      </c>
      <c r="T340">
        <f>IF('Исходные данные'!$B$51="Да",-S340*N('Исходные данные'!$B$44)/(1+N('Исходные данные'!$B$44)),0)</f>
        <v>0</v>
      </c>
      <c r="U340">
        <f>IF('Исходные данные'!$B$36="Да",-S340,0)</f>
        <v>0</v>
      </c>
      <c r="V340">
        <f>IF(AND('Исходные данные'!$B$51="Да",U340&gt;0),U340*N('Исходные данные'!$B$52)/(1+N('Исходные данные'!$B$52)),0)</f>
        <v>0</v>
      </c>
      <c r="W340">
        <f>IF(OR(B340="",IF('Исходные данные'!$B$69="",'Исходные данные'!$B$10,'Исходные данные'!$B$69)="",C340&lt;IF('Исходные данные'!$B$69="",'Исходные данные'!$B$10,'Исходные данные'!$B$69)),0,-N('Исходные данные'!$B$16)*N('Исходные данные'!$B$68)*N('Исходные данные'!$B$67)/12*IF(AND(B340&lt;=IF('Исходные данные'!$B$69="",'Исходные данные'!$B$10,'Исходные данные'!$B$69),C340&gt;=IF('Исходные данные'!$B$69="",'Исходные данные'!$B$10,'Исходные данные'!$B$69)),(C340-IF('Исходные данные'!$B$69="",'Исходные данные'!$B$10,'Исходные данные'!$B$69)+1)/DAY(C340),1))</f>
        <v>0</v>
      </c>
      <c r="X340">
        <f>IF(OR(B340="",IF('Исходные данные'!$B$76="",'Исходные данные'!$B$10,'Исходные данные'!$B$76)="",C340&lt;IF('Исходные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данные'!$B$76)),1),B340,"m")/12))*IF(AND(B340&lt;=IF('Исходные данные'!$B$76="",'Исходные данные'!$B$10,'Исходные данные'!$B$76),C340&gt;=IF('Исходные данные'!$B$76="",'Исходные данные'!$B$10,'Исходные данные'!$B$76)),(C340-IF('Исходные данные'!$B$76="",'Исходные данные'!$B$10,'Исходные данные'!$B$76)+1)/DAY(C340),1))</f>
        <v>0</v>
      </c>
      <c r="Y340">
        <f t="shared" si="190"/>
        <v>0</v>
      </c>
      <c r="Z340">
        <f>IF(OR(B340="",N('Исходные данные'!$B$19)=0),0,-SUMIFS('Исходные данные'!$I$6:$I$186,'Исходные данные'!$F$6:$F$186,B340)*N('Исходные данные'!$B$17)/N('Исходные данные'!$B$19))</f>
        <v>0</v>
      </c>
      <c r="AA340">
        <f>IF(OR(B340="",N('Исходные данные'!$B$19)=0),0,-SUMIFS('Исходные данные'!$I$6:$I$186,'Исходные данные'!$F$6:$F$186,B340)*N('Исходные данные'!$B$18)/N('Исходные данные'!$B$19))</f>
        <v>0</v>
      </c>
      <c r="AB340">
        <f>IF(OR(B340="",'Исходные данные'!$B$13=""),0,IF(AND(YEAR(B340)=YEAR('Исходные данные'!$B$13),MONTH(B340)=MONTH('Исходные данные'!$B$13)),-N('Исходные данные'!$B$11),0))</f>
        <v>0</v>
      </c>
      <c r="AC340">
        <f>IF(A340=1,-N('Исходные данные'!$B$19)*N('Исходные данные'!$B$72),0)</f>
        <v>0</v>
      </c>
      <c r="AD340">
        <f>IF(OR(B340="",'Исходные данные'!$B$22&lt;&gt;"Да",'Исходные данные'!$B$26=""),0,IF(AND(YEAR(B340)=YEAR('Исходные данные'!$B$26),MONTH(B340)=MONTH('Исходные данные'!$B$26)),N('Исходные данные'!$B$23),0))</f>
        <v>0</v>
      </c>
      <c r="AE340">
        <f t="shared" si="173"/>
        <v>0</v>
      </c>
      <c r="AF340">
        <f>IF(OR('Исходные данные'!$B$22&lt;&gt;"Да",'Исходные данные'!$B$26="",C340&lt;'Исходные данные'!$B$26),0,DATEDIF(DATE(YEAR('Исходные данные'!$B$26),MONTH('Исходные данные'!$B$26),1),B340,"m")+1)</f>
        <v>0</v>
      </c>
      <c r="AG340">
        <f>IF(OR(AF340&lt;1,AF340&gt;N('Исходные данные'!$B$25),AE340+AD340&lt;=0),0,-(AE340+AD340)*N('Исходные данные'!$B$24)*IF(AF340=1,C340-'Исходные данные'!$B$26+1,DAY(C340))/365)</f>
        <v>0</v>
      </c>
      <c r="AH340">
        <f>IF(OR(AF340&lt;1,AF340&gt;N('Исходные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данные'!$B$25)-AG340))</f>
        <v>0</v>
      </c>
      <c r="AI340">
        <f>IF(OR('Исходные данные'!$B$22&lt;&gt;"Да",AE340+AD340&lt;=0),0,IF(AND('Исходные данные'!$B$91&lt;&gt;"",B340&lt;&gt;"",YEAR(B340)=YEAR('Исходные данные'!$B$91),MONTH(B340)=MONTH('Исходные данные'!$B$91)),-(AE340+AD340),IF(OR(AF340&lt;1,AF340&gt;N('Исходные данные'!$B$25)),0,IF('Исходные данные'!$B$27="Равными долями",-MIN(AE340+AD340,N('Исходные данные'!$B$23)/N('Исходные данные'!$B$25)),-MIN(AE340+AD340,IF(AF340=N('Исходные данные'!$B$25),AE340+AD340,MAX(0,AH340+AG340)))))))</f>
        <v>0</v>
      </c>
      <c r="AJ340">
        <f t="shared" si="191"/>
        <v>0</v>
      </c>
      <c r="AK340">
        <f t="shared" si="174"/>
        <v>0</v>
      </c>
      <c r="AL340">
        <f>IF(OR(B340="",'Исходные данные'!$B$51&lt;&gt;"Да",'Исходные данные'!$B$61=""),0,IF(AND(YEAR(B340)=YEAR('Исходные данные'!$B$61),MONTH(B340)=MONTH('Исходные данные'!$B$61)),N('Исходные данные'!$B$18)*N('Исходные данные'!$B$62),0))</f>
        <v>0</v>
      </c>
      <c r="AM340">
        <f t="shared" si="175"/>
        <v>0</v>
      </c>
      <c r="AN340">
        <f t="shared" si="176"/>
        <v>0</v>
      </c>
      <c r="AO340">
        <f t="shared" si="177"/>
        <v>0</v>
      </c>
      <c r="AP340">
        <f>IF('Исходные данные'!$B$51="Да",-MAX(0,AN340-AO340-AM340),0)</f>
        <v>0</v>
      </c>
      <c r="AQ340">
        <f>IF('Исходные данные'!$B$51="Да",MAX(0,AM340+AO340-AN340),0)</f>
        <v>0</v>
      </c>
      <c r="AR340">
        <f>IF('Исходные данные'!$B$53="Выручка",MAX(0,L340+(Q340-R340)+(U340-V340)),IF('Исходные данные'!$B$53="Прибыль до налога",MAX(0,L340+(Q340-R340)+(U340-V340)+N('Исходные данные'!$B$54)*((O340+P340)+(S340+T340)+W340+X340)+IF('Исходные данные'!$B$55="Да",AG340,0)-N('Исходные данные'!$B$56)/12),IF('Исходные данные'!$B$53="Пользовательская база",MAX(0,N('Исходные данные'!$B$57)/12),0)))</f>
        <v>0</v>
      </c>
      <c r="AS340">
        <f>IF(E340=1,-AR340*N('Исходные данные'!$B$50),0)</f>
        <v>0</v>
      </c>
      <c r="AT340">
        <f t="shared" si="178"/>
        <v>0</v>
      </c>
      <c r="AU340">
        <f>IF(OR(B340="",N('Исходные данные'!$B$80)&lt;=0,'Исходные данные'!$B$88=""),0,MAX(0,IF('Исходные данные'!$B$88="Последние 12 месяцев",SUMIFS($Y$2:$Y$194,$B$2:$B$194,"&gt;="&amp;EDATE(B340,-11),$B$2:$B$194,"&lt;="&amp;B340),IF('Исходные данные'!$B$88="Пользовательский NOI",N('Исходные данные'!$B$89),AT340))/N('Исходные данные'!$B$80)*(1+N('Исходные данные'!$B$81))))</f>
        <v>0</v>
      </c>
      <c r="AV340">
        <f>IF(OR(E340&lt;&gt;1,B340="",'Исходные данные'!$B$91=""),0,IF(AND(YEAR(B340)=YEAR('Исходные данные'!$B$91),MONTH(B340)=MONTH('Исходные данные'!$B$91)),AU340,0))</f>
        <v>0</v>
      </c>
      <c r="AW340">
        <f>-AV340*N('Исходные данные'!$B$73)</f>
        <v>0</v>
      </c>
      <c r="AX340">
        <f>IF(AV340=0,0,-N('Исходные данные'!$B$87)-IF('Исходные данные'!$B$82="Да",IF('Исходные данные'!$B$84="С выручки",AV340,IF('Исходные данные'!$B$84="С прибыли",MAX(0,AV340+AW340-IF('Исходные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40">
        <f t="shared" si="192"/>
        <v>0</v>
      </c>
      <c r="AZ340">
        <f t="shared" si="179"/>
        <v>0</v>
      </c>
      <c r="BA340">
        <f t="shared" si="193"/>
        <v>0</v>
      </c>
      <c r="BB340" t="str">
        <f t="shared" si="180"/>
        <v/>
      </c>
      <c r="BC340">
        <f>IF(OR(E340=0,'Исходные данные'!$B$9="",'Исходные данные'!$B$90=""),0,BA340/(1+'Исходные данные'!$B$90)^((D340-'Исходные данные'!$B$9)/365))</f>
        <v>0</v>
      </c>
      <c r="BD340">
        <f>IF(AND(E340=1,BB340&gt;=0,BB339&lt;0,MIN($BB$2:BB340)&lt;0),1,0)</f>
        <v>0</v>
      </c>
      <c r="BE340">
        <f t="shared" si="181"/>
        <v>0</v>
      </c>
      <c r="BF340">
        <f t="shared" si="182"/>
        <v>0</v>
      </c>
      <c r="BG340">
        <f t="shared" si="183"/>
        <v>0</v>
      </c>
      <c r="BH340">
        <f t="shared" si="184"/>
        <v>1</v>
      </c>
      <c r="BI340">
        <f>AZ340+N340+AP340-AR340*N('Исходные данные'!$B$50)</f>
        <v>0</v>
      </c>
      <c r="BJ340">
        <f t="shared" si="185"/>
        <v>0</v>
      </c>
      <c r="BK340">
        <f>IF(AND(BJ340&gt;=0,BJ339&lt;0,MIN($BJ$2:BJ340)&lt;0),1,0)</f>
        <v>0</v>
      </c>
    </row>
    <row r="341" spans="1:63" x14ac:dyDescent="0.2">
      <c r="A341">
        <v>340</v>
      </c>
      <c r="B341" t="str">
        <f>IF('Исходные данные'!$B$9="","",EDATE(DATE(YEAR('Исходные данные'!$B$9),MONTH('Исходные данные'!$B$9),1),A341-1))</f>
        <v/>
      </c>
      <c r="C341" t="str">
        <f t="shared" si="186"/>
        <v/>
      </c>
      <c r="D341" t="str">
        <f>IF(B341="","",IF('Исходные данные'!$B$91&lt;&gt;"",IF(AND(YEAR(B341)=YEAR('Исходные данные'!$B$91),MONTH(B341)=MONTH('Исходные данные'!$B$91)),'Исходные данные'!$B$91,IF('Исходные данные'!$B$13&lt;&gt;"",IF(AND(YEAR(B341)=YEAR('Исходные данные'!$B$13),MONTH(B341)=MONTH('Исходные данные'!$B$13)),'Исходные данные'!$B$13,IF('Исходные данные'!$B$26&lt;&gt;"",IF(AND(YEAR(B341)=YEAR('Исходные данные'!$B$26),MONTH(B341)=MONTH('Исходные данные'!$B$26)),'Исходные данные'!$B$26,IF(A341=1,'Исходные данные'!$B$9,C341)),IF(A341=1,'Исходные данные'!$B$9,C341))),IF('Исходные данные'!$B$26&lt;&gt;"",IF(AND(YEAR(B341)=YEAR('Исходные данные'!$B$26),MONTH(B341)=MONTH('Исходные данные'!$B$26)),'Исходные данные'!$B$26,IF(A341=1,'Исходные данные'!$B$9,C341)),IF(A341=1,'Исходные данные'!$B$9,C341)))),IF('Исходные данные'!$B$13&lt;&gt;"",IF(AND(YEAR(B341)=YEAR('Исходные данные'!$B$13),MONTH(B341)=MONTH('Исходные данные'!$B$13)),'Исходные данные'!$B$13,IF('Исходные данные'!$B$26&lt;&gt;"",IF(AND(YEAR(B341)=YEAR('Исходные данные'!$B$26),MONTH(B341)=MONTH('Исходные данные'!$B$26)),'Исходные данные'!$B$26,IF(A341=1,'Исходные данные'!$B$9,C341)),IF(A341=1,'Исходные данные'!$B$9,C341))),IF('Исходные данные'!$B$26&lt;&gt;"",IF(AND(YEAR(B341)=YEAR('Исходные данные'!$B$26),MONTH(B341)=MONTH('Исходные данные'!$B$26)),'Исходные данные'!$B$26,IF(A341=1,'Исходные данные'!$B$9,C341)),IF(A341=1,'Исходные данные'!$B$9,C341)))))</f>
        <v/>
      </c>
      <c r="E341">
        <f>IF(OR(B341="",'Исходные данные'!$B$91=""),0,--(B341&lt;=DATE(YEAR('Исходные данные'!$B$91),MONTH('Исходные данные'!$B$91),1)))</f>
        <v>0</v>
      </c>
      <c r="F341">
        <f>IF(OR(B341="",'Исходные данные'!$B$30="",C341&lt;'Исходные данные'!$B$30),0,DATEDIF(DATE(YEAR('Исходные данные'!$B$30),MONTH('Исходные данные'!$B$30),1),B341,"m")+1)</f>
        <v>0</v>
      </c>
      <c r="G341">
        <f t="shared" si="187"/>
        <v>0</v>
      </c>
      <c r="H341">
        <f>IF(F341=0,0,IF(G341=1,N('Исходные данные'!$B$31),IF(G341=2,N('Исходные данные'!$B$32),IF(G341=3,N('Исходные данные'!$B$33),N('Исходные данные'!$B$33)*(1+N('Исходные данные'!$B$34))^(G341-3)))))</f>
        <v>0</v>
      </c>
      <c r="I341">
        <f>IF(OR(F341=0,N('Исходные данные'!$B$5)=0,H341=0),0,'Исходные данные'!$B$5*H341*IF(AND(B341&lt;='Исходные данные'!$B$30,C341&gt;='Исходные данные'!$B$30),(C341-'Исходные данные'!$B$30+1)/DAY(C341),1))</f>
        <v>0</v>
      </c>
      <c r="J341">
        <f>IF(AND(F341&gt;0,F341&lt;=N('Исходные данные'!$B$37)),-I341,0)</f>
        <v>0</v>
      </c>
      <c r="K341">
        <f>IF(OR(F341=0,F341&lt;=N('Исходные данные'!$B$37)),0,-(I341+J341)*N('Исходные данные'!$B$38))</f>
        <v>0</v>
      </c>
      <c r="L341">
        <f t="shared" si="188"/>
        <v>0</v>
      </c>
      <c r="M341">
        <f>IF('Исходные данные'!$B$51="Да",L341*N('Исходные данные'!$B$52),0)</f>
        <v>0</v>
      </c>
      <c r="N341">
        <f t="shared" si="189"/>
        <v>0</v>
      </c>
      <c r="O341">
        <f>IF(OR(B341="",IF('Исходные данные'!$B$45="",'Исходные данные'!$B$10,'Исходные данные'!$B$45)="",C341&lt;IF('Исходные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данные'!$B$45)),1),B341,"m")/12))*IF(AND(B341&lt;=IF('Исходные данные'!$B$45="",'Исходные данные'!$B$10,'Исходные данные'!$B$45),C341&gt;=IF('Исходные данные'!$B$45="",'Исходные данные'!$B$10,'Исходные данные'!$B$45)),(C341-IF('Исходные данные'!$B$45="",'Исходные данные'!$B$10,'Исходные данные'!$B$45)+1)/DAY(C341),1)*IF('Исходные данные'!$B$43="Без НДС",1+N('Исходные данные'!$B$44),1))</f>
        <v>0</v>
      </c>
      <c r="P341">
        <f>IF('Исходные данные'!$B$51="Да",-O341*N('Исходные данные'!$B$44)/(1+N('Исходные данные'!$B$44)),0)</f>
        <v>0</v>
      </c>
      <c r="Q341">
        <f>IF('Исходные данные'!$B$35="Да",-O341,0)</f>
        <v>0</v>
      </c>
      <c r="R341">
        <f>IF(AND('Исходные данные'!$B$51="Да",Q341&gt;0),Q341*N('Исходные данные'!$B$52)/(1+N('Исходные данные'!$B$52)),0)</f>
        <v>0</v>
      </c>
      <c r="S341">
        <f>IF(OR(B341="",IF('Исходные данные'!$B$45="",'Исходные данные'!$B$10,'Исходные данные'!$B$45)="",C341&lt;IF('Исходные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данные'!$B$45)),1),B341,"m")/12))*IF(AND(B341&lt;=IF('Исходные данные'!$B$45="",'Исходные данные'!$B$10,'Исходные данные'!$B$45),C341&gt;=IF('Исходные данные'!$B$45="",'Исходные данные'!$B$10,'Исходные данные'!$B$45)),(C341-IF('Исходные данные'!$B$45="",'Исходные данные'!$B$10,'Исходные данные'!$B$45)+1)/DAY(C341),1)*IF('Исходные данные'!$B$43="Без НДС",1+N('Исходные данные'!$B$44),1))</f>
        <v>0</v>
      </c>
      <c r="T341">
        <f>IF('Исходные данные'!$B$51="Да",-S341*N('Исходные данные'!$B$44)/(1+N('Исходные данные'!$B$44)),0)</f>
        <v>0</v>
      </c>
      <c r="U341">
        <f>IF('Исходные данные'!$B$36="Да",-S341,0)</f>
        <v>0</v>
      </c>
      <c r="V341">
        <f>IF(AND('Исходные данные'!$B$51="Да",U341&gt;0),U341*N('Исходные данные'!$B$52)/(1+N('Исходные данные'!$B$52)),0)</f>
        <v>0</v>
      </c>
      <c r="W341">
        <f>IF(OR(B341="",IF('Исходные данные'!$B$69="",'Исходные данные'!$B$10,'Исходные данные'!$B$69)="",C341&lt;IF('Исходные данные'!$B$69="",'Исходные данные'!$B$10,'Исходные данные'!$B$69)),0,-N('Исходные данные'!$B$16)*N('Исходные данные'!$B$68)*N('Исходные данные'!$B$67)/12*IF(AND(B341&lt;=IF('Исходные данные'!$B$69="",'Исходные данные'!$B$10,'Исходные данные'!$B$69),C341&gt;=IF('Исходные данные'!$B$69="",'Исходные данные'!$B$10,'Исходные данные'!$B$69)),(C341-IF('Исходные данные'!$B$69="",'Исходные данные'!$B$10,'Исходные данные'!$B$69)+1)/DAY(C341),1))</f>
        <v>0</v>
      </c>
      <c r="X341">
        <f>IF(OR(B341="",IF('Исходные данные'!$B$76="",'Исходные данные'!$B$10,'Исходные данные'!$B$76)="",C341&lt;IF('Исходные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данные'!$B$76)),1),B341,"m")/12))*IF(AND(B341&lt;=IF('Исходные данные'!$B$76="",'Исходные данные'!$B$10,'Исходные данные'!$B$76),C341&gt;=IF('Исходные данные'!$B$76="",'Исходные данные'!$B$10,'Исходные данные'!$B$76)),(C341-IF('Исходные данные'!$B$76="",'Исходные данные'!$B$10,'Исходные данные'!$B$76)+1)/DAY(C341),1))</f>
        <v>0</v>
      </c>
      <c r="Y341">
        <f t="shared" si="190"/>
        <v>0</v>
      </c>
      <c r="Z341">
        <f>IF(OR(B341="",N('Исходные данные'!$B$19)=0),0,-SUMIFS('Исходные данные'!$I$6:$I$186,'Исходные данные'!$F$6:$F$186,B341)*N('Исходные данные'!$B$17)/N('Исходные данные'!$B$19))</f>
        <v>0</v>
      </c>
      <c r="AA341">
        <f>IF(OR(B341="",N('Исходные данные'!$B$19)=0),0,-SUMIFS('Исходные данные'!$I$6:$I$186,'Исходные данные'!$F$6:$F$186,B341)*N('Исходные данные'!$B$18)/N('Исходные данные'!$B$19))</f>
        <v>0</v>
      </c>
      <c r="AB341">
        <f>IF(OR(B341="",'Исходные данные'!$B$13=""),0,IF(AND(YEAR(B341)=YEAR('Исходные данные'!$B$13),MONTH(B341)=MONTH('Исходные данные'!$B$13)),-N('Исходные данные'!$B$11),0))</f>
        <v>0</v>
      </c>
      <c r="AC341">
        <f>IF(A341=1,-N('Исходные данные'!$B$19)*N('Исходные данные'!$B$72),0)</f>
        <v>0</v>
      </c>
      <c r="AD341">
        <f>IF(OR(B341="",'Исходные данные'!$B$22&lt;&gt;"Да",'Исходные данные'!$B$26=""),0,IF(AND(YEAR(B341)=YEAR('Исходные данные'!$B$26),MONTH(B341)=MONTH('Исходные данные'!$B$26)),N('Исходные данные'!$B$23),0))</f>
        <v>0</v>
      </c>
      <c r="AE341">
        <f t="shared" si="173"/>
        <v>0</v>
      </c>
      <c r="AF341">
        <f>IF(OR('Исходные данные'!$B$22&lt;&gt;"Да",'Исходные данные'!$B$26="",C341&lt;'Исходные данные'!$B$26),0,DATEDIF(DATE(YEAR('Исходные данные'!$B$26),MONTH('Исходные данные'!$B$26),1),B341,"m")+1)</f>
        <v>0</v>
      </c>
      <c r="AG341">
        <f>IF(OR(AF341&lt;1,AF341&gt;N('Исходные данные'!$B$25),AE341+AD341&lt;=0),0,-(AE341+AD341)*N('Исходные данные'!$B$24)*IF(AF341=1,C341-'Исходные данные'!$B$26+1,DAY(C341))/365)</f>
        <v>0</v>
      </c>
      <c r="AH341">
        <f>IF(OR(AF341&lt;1,AF341&gt;N('Исходные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данные'!$B$25)-AG341))</f>
        <v>0</v>
      </c>
      <c r="AI341">
        <f>IF(OR('Исходные данные'!$B$22&lt;&gt;"Да",AE341+AD341&lt;=0),0,IF(AND('Исходные данные'!$B$91&lt;&gt;"",B341&lt;&gt;"",YEAR(B341)=YEAR('Исходные данные'!$B$91),MONTH(B341)=MONTH('Исходные данные'!$B$91)),-(AE341+AD341),IF(OR(AF341&lt;1,AF341&gt;N('Исходные данные'!$B$25)),0,IF('Исходные данные'!$B$27="Равными долями",-MIN(AE341+AD341,N('Исходные данные'!$B$23)/N('Исходные данные'!$B$25)),-MIN(AE341+AD341,IF(AF341=N('Исходные данные'!$B$25),AE341+AD341,MAX(0,AH341+AG341)))))))</f>
        <v>0</v>
      </c>
      <c r="AJ341">
        <f t="shared" si="191"/>
        <v>0</v>
      </c>
      <c r="AK341">
        <f t="shared" si="174"/>
        <v>0</v>
      </c>
      <c r="AL341">
        <f>IF(OR(B341="",'Исходные данные'!$B$51&lt;&gt;"Да",'Исходные данные'!$B$61=""),0,IF(AND(YEAR(B341)=YEAR('Исходные данные'!$B$61),MONTH(B341)=MONTH('Исходные данные'!$B$61)),N('Исходные данные'!$B$18)*N('Исходные данные'!$B$62),0))</f>
        <v>0</v>
      </c>
      <c r="AM341">
        <f t="shared" si="175"/>
        <v>0</v>
      </c>
      <c r="AN341">
        <f t="shared" si="176"/>
        <v>0</v>
      </c>
      <c r="AO341">
        <f t="shared" si="177"/>
        <v>0</v>
      </c>
      <c r="AP341">
        <f>IF('Исходные данные'!$B$51="Да",-MAX(0,AN341-AO341-AM341),0)</f>
        <v>0</v>
      </c>
      <c r="AQ341">
        <f>IF('Исходные данные'!$B$51="Да",MAX(0,AM341+AO341-AN341),0)</f>
        <v>0</v>
      </c>
      <c r="AR341">
        <f>IF('Исходные данные'!$B$53="Выручка",MAX(0,L341+(Q341-R341)+(U341-V341)),IF('Исходные данные'!$B$53="Прибыль до налога",MAX(0,L341+(Q341-R341)+(U341-V341)+N('Исходные данные'!$B$54)*((O341+P341)+(S341+T341)+W341+X341)+IF('Исходные данные'!$B$55="Да",AG341,0)-N('Исходные данные'!$B$56)/12),IF('Исходные данные'!$B$53="Пользовательская база",MAX(0,N('Исходные данные'!$B$57)/12),0)))</f>
        <v>0</v>
      </c>
      <c r="AS341">
        <f>IF(E341=1,-AR341*N('Исходные данные'!$B$50),0)</f>
        <v>0</v>
      </c>
      <c r="AT341">
        <f t="shared" si="178"/>
        <v>0</v>
      </c>
      <c r="AU341">
        <f>IF(OR(B341="",N('Исходные данные'!$B$80)&lt;=0,'Исходные данные'!$B$88=""),0,MAX(0,IF('Исходные данные'!$B$88="Последние 12 месяцев",SUMIFS($Y$2:$Y$194,$B$2:$B$194,"&gt;="&amp;EDATE(B341,-11),$B$2:$B$194,"&lt;="&amp;B341),IF('Исходные данные'!$B$88="Пользовательский NOI",N('Исходные данные'!$B$89),AT341))/N('Исходные данные'!$B$80)*(1+N('Исходные данные'!$B$81))))</f>
        <v>0</v>
      </c>
      <c r="AV341">
        <f>IF(OR(E341&lt;&gt;1,B341="",'Исходные данные'!$B$91=""),0,IF(AND(YEAR(B341)=YEAR('Исходные данные'!$B$91),MONTH(B341)=MONTH('Исходные данные'!$B$91)),AU341,0))</f>
        <v>0</v>
      </c>
      <c r="AW341">
        <f>-AV341*N('Исходные данные'!$B$73)</f>
        <v>0</v>
      </c>
      <c r="AX341">
        <f>IF(AV341=0,0,-N('Исходные данные'!$B$87)-IF('Исходные данные'!$B$82="Да",IF('Исходные данные'!$B$84="С выручки",AV341,IF('Исходные данные'!$B$84="С прибыли",MAX(0,AV341+AW341-IF('Исходные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41">
        <f t="shared" si="192"/>
        <v>0</v>
      </c>
      <c r="AZ341">
        <f t="shared" si="179"/>
        <v>0</v>
      </c>
      <c r="BA341">
        <f t="shared" si="193"/>
        <v>0</v>
      </c>
      <c r="BB341" t="str">
        <f t="shared" si="180"/>
        <v/>
      </c>
      <c r="BC341">
        <f>IF(OR(E341=0,'Исходные данные'!$B$9="",'Исходные данные'!$B$90=""),0,BA341/(1+'Исходные данные'!$B$90)^((D341-'Исходные данные'!$B$9)/365))</f>
        <v>0</v>
      </c>
      <c r="BD341">
        <f>IF(AND(E341=1,BB341&gt;=0,BB340&lt;0,MIN($BB$2:BB341)&lt;0),1,0)</f>
        <v>0</v>
      </c>
      <c r="BE341">
        <f t="shared" si="181"/>
        <v>0</v>
      </c>
      <c r="BF341">
        <f t="shared" si="182"/>
        <v>0</v>
      </c>
      <c r="BG341">
        <f t="shared" si="183"/>
        <v>0</v>
      </c>
      <c r="BH341">
        <f t="shared" si="184"/>
        <v>1</v>
      </c>
      <c r="BI341">
        <f>AZ341+N341+AP341-AR341*N('Исходные данные'!$B$50)</f>
        <v>0</v>
      </c>
      <c r="BJ341">
        <f t="shared" si="185"/>
        <v>0</v>
      </c>
      <c r="BK341">
        <f>IF(AND(BJ341&gt;=0,BJ340&lt;0,MIN($BJ$2:BJ341)&lt;0),1,0)</f>
        <v>0</v>
      </c>
    </row>
    <row r="342" spans="1:63" x14ac:dyDescent="0.2">
      <c r="A342">
        <v>341</v>
      </c>
      <c r="B342" t="str">
        <f>IF('Исходные данные'!$B$9="","",EDATE(DATE(YEAR('Исходные данные'!$B$9),MONTH('Исходные данные'!$B$9),1),A342-1))</f>
        <v/>
      </c>
      <c r="C342" t="str">
        <f t="shared" si="186"/>
        <v/>
      </c>
      <c r="D342" t="str">
        <f>IF(B342="","",IF('Исходные данные'!$B$91&lt;&gt;"",IF(AND(YEAR(B342)=YEAR('Исходные данные'!$B$91),MONTH(B342)=MONTH('Исходные данные'!$B$91)),'Исходные данные'!$B$91,IF('Исходные данные'!$B$13&lt;&gt;"",IF(AND(YEAR(B342)=YEAR('Исходные данные'!$B$13),MONTH(B342)=MONTH('Исходные данные'!$B$13)),'Исходные данные'!$B$13,IF('Исходные данные'!$B$26&lt;&gt;"",IF(AND(YEAR(B342)=YEAR('Исходные данные'!$B$26),MONTH(B342)=MONTH('Исходные данные'!$B$26)),'Исходные данные'!$B$26,IF(A342=1,'Исходные данные'!$B$9,C342)),IF(A342=1,'Исходные данные'!$B$9,C342))),IF('Исходные данные'!$B$26&lt;&gt;"",IF(AND(YEAR(B342)=YEAR('Исходные данные'!$B$26),MONTH(B342)=MONTH('Исходные данные'!$B$26)),'Исходные данные'!$B$26,IF(A342=1,'Исходные данные'!$B$9,C342)),IF(A342=1,'Исходные данные'!$B$9,C342)))),IF('Исходные данные'!$B$13&lt;&gt;"",IF(AND(YEAR(B342)=YEAR('Исходные данные'!$B$13),MONTH(B342)=MONTH('Исходные данные'!$B$13)),'Исходные данные'!$B$13,IF('Исходные данные'!$B$26&lt;&gt;"",IF(AND(YEAR(B342)=YEAR('Исходные данные'!$B$26),MONTH(B342)=MONTH('Исходные данные'!$B$26)),'Исходные данные'!$B$26,IF(A342=1,'Исходные данные'!$B$9,C342)),IF(A342=1,'Исходные данные'!$B$9,C342))),IF('Исходные данные'!$B$26&lt;&gt;"",IF(AND(YEAR(B342)=YEAR('Исходные данные'!$B$26),MONTH(B342)=MONTH('Исходные данные'!$B$26)),'Исходные данные'!$B$26,IF(A342=1,'Исходные данные'!$B$9,C342)),IF(A342=1,'Исходные данные'!$B$9,C342)))))</f>
        <v/>
      </c>
      <c r="E342">
        <f>IF(OR(B342="",'Исходные данные'!$B$91=""),0,--(B342&lt;=DATE(YEAR('Исходные данные'!$B$91),MONTH('Исходные данные'!$B$91),1)))</f>
        <v>0</v>
      </c>
      <c r="F342">
        <f>IF(OR(B342="",'Исходные данные'!$B$30="",C342&lt;'Исходные данные'!$B$30),0,DATEDIF(DATE(YEAR('Исходные данные'!$B$30),MONTH('Исходные данные'!$B$30),1),B342,"m")+1)</f>
        <v>0</v>
      </c>
      <c r="G342">
        <f t="shared" si="187"/>
        <v>0</v>
      </c>
      <c r="H342">
        <f>IF(F342=0,0,IF(G342=1,N('Исходные данные'!$B$31),IF(G342=2,N('Исходные данные'!$B$32),IF(G342=3,N('Исходные данные'!$B$33),N('Исходные данные'!$B$33)*(1+N('Исходные данные'!$B$34))^(G342-3)))))</f>
        <v>0</v>
      </c>
      <c r="I342">
        <f>IF(OR(F342=0,N('Исходные данные'!$B$5)=0,H342=0),0,'Исходные данные'!$B$5*H342*IF(AND(B342&lt;='Исходные данные'!$B$30,C342&gt;='Исходные данные'!$B$30),(C342-'Исходные данные'!$B$30+1)/DAY(C342),1))</f>
        <v>0</v>
      </c>
      <c r="J342">
        <f>IF(AND(F342&gt;0,F342&lt;=N('Исходные данные'!$B$37)),-I342,0)</f>
        <v>0</v>
      </c>
      <c r="K342">
        <f>IF(OR(F342=0,F342&lt;=N('Исходные данные'!$B$37)),0,-(I342+J342)*N('Исходные данные'!$B$38))</f>
        <v>0</v>
      </c>
      <c r="L342">
        <f t="shared" si="188"/>
        <v>0</v>
      </c>
      <c r="M342">
        <f>IF('Исходные данные'!$B$51="Да",L342*N('Исходные данные'!$B$52),0)</f>
        <v>0</v>
      </c>
      <c r="N342">
        <f t="shared" si="189"/>
        <v>0</v>
      </c>
      <c r="O342">
        <f>IF(OR(B342="",IF('Исходные данные'!$B$45="",'Исходные данные'!$B$10,'Исходные данные'!$B$45)="",C342&lt;IF('Исходные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данные'!$B$45)),1),B342,"m")/12))*IF(AND(B342&lt;=IF('Исходные данные'!$B$45="",'Исходные данные'!$B$10,'Исходные данные'!$B$45),C342&gt;=IF('Исходные данные'!$B$45="",'Исходные данные'!$B$10,'Исходные данные'!$B$45)),(C342-IF('Исходные данные'!$B$45="",'Исходные данные'!$B$10,'Исходные данные'!$B$45)+1)/DAY(C342),1)*IF('Исходные данные'!$B$43="Без НДС",1+N('Исходные данные'!$B$44),1))</f>
        <v>0</v>
      </c>
      <c r="P342">
        <f>IF('Исходные данные'!$B$51="Да",-O342*N('Исходные данные'!$B$44)/(1+N('Исходные данные'!$B$44)),0)</f>
        <v>0</v>
      </c>
      <c r="Q342">
        <f>IF('Исходные данные'!$B$35="Да",-O342,0)</f>
        <v>0</v>
      </c>
      <c r="R342">
        <f>IF(AND('Исходные данные'!$B$51="Да",Q342&gt;0),Q342*N('Исходные данные'!$B$52)/(1+N('Исходные данные'!$B$52)),0)</f>
        <v>0</v>
      </c>
      <c r="S342">
        <f>IF(OR(B342="",IF('Исходные данные'!$B$45="",'Исходные данные'!$B$10,'Исходные данные'!$B$45)="",C342&lt;IF('Исходные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данные'!$B$45)),1),B342,"m")/12))*IF(AND(B342&lt;=IF('Исходные данные'!$B$45="",'Исходные данные'!$B$10,'Исходные данные'!$B$45),C342&gt;=IF('Исходные данные'!$B$45="",'Исходные данные'!$B$10,'Исходные данные'!$B$45)),(C342-IF('Исходные данные'!$B$45="",'Исходные данные'!$B$10,'Исходные данные'!$B$45)+1)/DAY(C342),1)*IF('Исходные данные'!$B$43="Без НДС",1+N('Исходные данные'!$B$44),1))</f>
        <v>0</v>
      </c>
      <c r="T342">
        <f>IF('Исходные данные'!$B$51="Да",-S342*N('Исходные данные'!$B$44)/(1+N('Исходные данные'!$B$44)),0)</f>
        <v>0</v>
      </c>
      <c r="U342">
        <f>IF('Исходные данные'!$B$36="Да",-S342,0)</f>
        <v>0</v>
      </c>
      <c r="V342">
        <f>IF(AND('Исходные данные'!$B$51="Да",U342&gt;0),U342*N('Исходные данные'!$B$52)/(1+N('Исходные данные'!$B$52)),0)</f>
        <v>0</v>
      </c>
      <c r="W342">
        <f>IF(OR(B342="",IF('Исходные данные'!$B$69="",'Исходные данные'!$B$10,'Исходные данные'!$B$69)="",C342&lt;IF('Исходные данные'!$B$69="",'Исходные данные'!$B$10,'Исходные данные'!$B$69)),0,-N('Исходные данные'!$B$16)*N('Исходные данные'!$B$68)*N('Исходные данные'!$B$67)/12*IF(AND(B342&lt;=IF('Исходные данные'!$B$69="",'Исходные данные'!$B$10,'Исходные данные'!$B$69),C342&gt;=IF('Исходные данные'!$B$69="",'Исходные данные'!$B$10,'Исходные данные'!$B$69)),(C342-IF('Исходные данные'!$B$69="",'Исходные данные'!$B$10,'Исходные данные'!$B$69)+1)/DAY(C342),1))</f>
        <v>0</v>
      </c>
      <c r="X342">
        <f>IF(OR(B342="",IF('Исходные данные'!$B$76="",'Исходные данные'!$B$10,'Исходные данные'!$B$76)="",C342&lt;IF('Исходные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данные'!$B$76)),1),B342,"m")/12))*IF(AND(B342&lt;=IF('Исходные данные'!$B$76="",'Исходные данные'!$B$10,'Исходные данные'!$B$76),C342&gt;=IF('Исходные данные'!$B$76="",'Исходные данные'!$B$10,'Исходные данные'!$B$76)),(C342-IF('Исходные данные'!$B$76="",'Исходные данные'!$B$10,'Исходные данные'!$B$76)+1)/DAY(C342),1))</f>
        <v>0</v>
      </c>
      <c r="Y342">
        <f t="shared" si="190"/>
        <v>0</v>
      </c>
      <c r="Z342">
        <f>IF(OR(B342="",N('Исходные данные'!$B$19)=0),0,-SUMIFS('Исходные данные'!$I$6:$I$186,'Исходные данные'!$F$6:$F$186,B342)*N('Исходные данные'!$B$17)/N('Исходные данные'!$B$19))</f>
        <v>0</v>
      </c>
      <c r="AA342">
        <f>IF(OR(B342="",N('Исходные данные'!$B$19)=0),0,-SUMIFS('Исходные данные'!$I$6:$I$186,'Исходные данные'!$F$6:$F$186,B342)*N('Исходные данные'!$B$18)/N('Исходные данные'!$B$19))</f>
        <v>0</v>
      </c>
      <c r="AB342">
        <f>IF(OR(B342="",'Исходные данные'!$B$13=""),0,IF(AND(YEAR(B342)=YEAR('Исходные данные'!$B$13),MONTH(B342)=MONTH('Исходные данные'!$B$13)),-N('Исходные данные'!$B$11),0))</f>
        <v>0</v>
      </c>
      <c r="AC342">
        <f>IF(A342=1,-N('Исходные данные'!$B$19)*N('Исходные данные'!$B$72),0)</f>
        <v>0</v>
      </c>
      <c r="AD342">
        <f>IF(OR(B342="",'Исходные данные'!$B$22&lt;&gt;"Да",'Исходные данные'!$B$26=""),0,IF(AND(YEAR(B342)=YEAR('Исходные данные'!$B$26),MONTH(B342)=MONTH('Исходные данные'!$B$26)),N('Исходные данные'!$B$23),0))</f>
        <v>0</v>
      </c>
      <c r="AE342">
        <f t="shared" si="173"/>
        <v>0</v>
      </c>
      <c r="AF342">
        <f>IF(OR('Исходные данные'!$B$22&lt;&gt;"Да",'Исходные данные'!$B$26="",C342&lt;'Исходные данные'!$B$26),0,DATEDIF(DATE(YEAR('Исходные данные'!$B$26),MONTH('Исходные данные'!$B$26),1),B342,"m")+1)</f>
        <v>0</v>
      </c>
      <c r="AG342">
        <f>IF(OR(AF342&lt;1,AF342&gt;N('Исходные данные'!$B$25),AE342+AD342&lt;=0),0,-(AE342+AD342)*N('Исходные данные'!$B$24)*IF(AF342=1,C342-'Исходные данные'!$B$26+1,DAY(C342))/365)</f>
        <v>0</v>
      </c>
      <c r="AH342">
        <f>IF(OR(AF342&lt;1,AF342&gt;N('Исходные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данные'!$B$25)-AG342))</f>
        <v>0</v>
      </c>
      <c r="AI342">
        <f>IF(OR('Исходные данные'!$B$22&lt;&gt;"Да",AE342+AD342&lt;=0),0,IF(AND('Исходные данные'!$B$91&lt;&gt;"",B342&lt;&gt;"",YEAR(B342)=YEAR('Исходные данные'!$B$91),MONTH(B342)=MONTH('Исходные данные'!$B$91)),-(AE342+AD342),IF(OR(AF342&lt;1,AF342&gt;N('Исходные данные'!$B$25)),0,IF('Исходные данные'!$B$27="Равными долями",-MIN(AE342+AD342,N('Исходные данные'!$B$23)/N('Исходные данные'!$B$25)),-MIN(AE342+AD342,IF(AF342=N('Исходные данные'!$B$25),AE342+AD342,MAX(0,AH342+AG342)))))))</f>
        <v>0</v>
      </c>
      <c r="AJ342">
        <f t="shared" si="191"/>
        <v>0</v>
      </c>
      <c r="AK342">
        <f t="shared" si="174"/>
        <v>0</v>
      </c>
      <c r="AL342">
        <f>IF(OR(B342="",'Исходные данные'!$B$51&lt;&gt;"Да",'Исходные данные'!$B$61=""),0,IF(AND(YEAR(B342)=YEAR('Исходные данные'!$B$61),MONTH(B342)=MONTH('Исходные данные'!$B$61)),N('Исходные данные'!$B$18)*N('Исходные данные'!$B$62),0))</f>
        <v>0</v>
      </c>
      <c r="AM342">
        <f t="shared" si="175"/>
        <v>0</v>
      </c>
      <c r="AN342">
        <f t="shared" si="176"/>
        <v>0</v>
      </c>
      <c r="AO342">
        <f t="shared" si="177"/>
        <v>0</v>
      </c>
      <c r="AP342">
        <f>IF('Исходные данные'!$B$51="Да",-MAX(0,AN342-AO342-AM342),0)</f>
        <v>0</v>
      </c>
      <c r="AQ342">
        <f>IF('Исходные данные'!$B$51="Да",MAX(0,AM342+AO342-AN342),0)</f>
        <v>0</v>
      </c>
      <c r="AR342">
        <f>IF('Исходные данные'!$B$53="Выручка",MAX(0,L342+(Q342-R342)+(U342-V342)),IF('Исходные данные'!$B$53="Прибыль до налога",MAX(0,L342+(Q342-R342)+(U342-V342)+N('Исходные данные'!$B$54)*((O342+P342)+(S342+T342)+W342+X342)+IF('Исходные данные'!$B$55="Да",AG342,0)-N('Исходные данные'!$B$56)/12),IF('Исходные данные'!$B$53="Пользовательская база",MAX(0,N('Исходные данные'!$B$57)/12),0)))</f>
        <v>0</v>
      </c>
      <c r="AS342">
        <f>IF(E342=1,-AR342*N('Исходные данные'!$B$50),0)</f>
        <v>0</v>
      </c>
      <c r="AT342">
        <f t="shared" si="178"/>
        <v>0</v>
      </c>
      <c r="AU342">
        <f>IF(OR(B342="",N('Исходные данные'!$B$80)&lt;=0,'Исходные данные'!$B$88=""),0,MAX(0,IF('Исходные данные'!$B$88="Последние 12 месяцев",SUMIFS($Y$2:$Y$194,$B$2:$B$194,"&gt;="&amp;EDATE(B342,-11),$B$2:$B$194,"&lt;="&amp;B342),IF('Исходные данные'!$B$88="Пользовательский NOI",N('Исходные данные'!$B$89),AT342))/N('Исходные данные'!$B$80)*(1+N('Исходные данные'!$B$81))))</f>
        <v>0</v>
      </c>
      <c r="AV342">
        <f>IF(OR(E342&lt;&gt;1,B342="",'Исходные данные'!$B$91=""),0,IF(AND(YEAR(B342)=YEAR('Исходные данные'!$B$91),MONTH(B342)=MONTH('Исходные данные'!$B$91)),AU342,0))</f>
        <v>0</v>
      </c>
      <c r="AW342">
        <f>-AV342*N('Исходные данные'!$B$73)</f>
        <v>0</v>
      </c>
      <c r="AX342">
        <f>IF(AV342=0,0,-N('Исходные данные'!$B$87)-IF('Исходные данные'!$B$82="Да",IF('Исходные данные'!$B$84="С выручки",AV342,IF('Исходные данные'!$B$84="С прибыли",MAX(0,AV342+AW342-IF('Исходные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42">
        <f t="shared" si="192"/>
        <v>0</v>
      </c>
      <c r="AZ342">
        <f t="shared" si="179"/>
        <v>0</v>
      </c>
      <c r="BA342">
        <f t="shared" si="193"/>
        <v>0</v>
      </c>
      <c r="BB342" t="str">
        <f t="shared" si="180"/>
        <v/>
      </c>
      <c r="BC342">
        <f>IF(OR(E342=0,'Исходные данные'!$B$9="",'Исходные данные'!$B$90=""),0,BA342/(1+'Исходные данные'!$B$90)^((D342-'Исходные данные'!$B$9)/365))</f>
        <v>0</v>
      </c>
      <c r="BD342">
        <f>IF(AND(E342=1,BB342&gt;=0,BB341&lt;0,MIN($BB$2:BB342)&lt;0),1,0)</f>
        <v>0</v>
      </c>
      <c r="BE342">
        <f t="shared" si="181"/>
        <v>0</v>
      </c>
      <c r="BF342">
        <f t="shared" si="182"/>
        <v>0</v>
      </c>
      <c r="BG342">
        <f t="shared" si="183"/>
        <v>0</v>
      </c>
      <c r="BH342">
        <f t="shared" si="184"/>
        <v>1</v>
      </c>
      <c r="BI342">
        <f>AZ342+N342+AP342-AR342*N('Исходные данные'!$B$50)</f>
        <v>0</v>
      </c>
      <c r="BJ342">
        <f t="shared" si="185"/>
        <v>0</v>
      </c>
      <c r="BK342">
        <f>IF(AND(BJ342&gt;=0,BJ341&lt;0,MIN($BJ$2:BJ342)&lt;0),1,0)</f>
        <v>0</v>
      </c>
    </row>
    <row r="343" spans="1:63" x14ac:dyDescent="0.2">
      <c r="A343">
        <v>342</v>
      </c>
      <c r="B343" t="str">
        <f>IF('Исходные данные'!$B$9="","",EDATE(DATE(YEAR('Исходные данные'!$B$9),MONTH('Исходные данные'!$B$9),1),A343-1))</f>
        <v/>
      </c>
      <c r="C343" t="str">
        <f t="shared" si="186"/>
        <v/>
      </c>
      <c r="D343" t="str">
        <f>IF(B343="","",IF('Исходные данные'!$B$91&lt;&gt;"",IF(AND(YEAR(B343)=YEAR('Исходные данные'!$B$91),MONTH(B343)=MONTH('Исходные данные'!$B$91)),'Исходные данные'!$B$91,IF('Исходные данные'!$B$13&lt;&gt;"",IF(AND(YEAR(B343)=YEAR('Исходные данные'!$B$13),MONTH(B343)=MONTH('Исходные данные'!$B$13)),'Исходные данные'!$B$13,IF('Исходные данные'!$B$26&lt;&gt;"",IF(AND(YEAR(B343)=YEAR('Исходные данные'!$B$26),MONTH(B343)=MONTH('Исходные данные'!$B$26)),'Исходные данные'!$B$26,IF(A343=1,'Исходные данные'!$B$9,C343)),IF(A343=1,'Исходные данные'!$B$9,C343))),IF('Исходные данные'!$B$26&lt;&gt;"",IF(AND(YEAR(B343)=YEAR('Исходные данные'!$B$26),MONTH(B343)=MONTH('Исходные данные'!$B$26)),'Исходные данные'!$B$26,IF(A343=1,'Исходные данные'!$B$9,C343)),IF(A343=1,'Исходные данные'!$B$9,C343)))),IF('Исходные данные'!$B$13&lt;&gt;"",IF(AND(YEAR(B343)=YEAR('Исходные данные'!$B$13),MONTH(B343)=MONTH('Исходные данные'!$B$13)),'Исходные данные'!$B$13,IF('Исходные данные'!$B$26&lt;&gt;"",IF(AND(YEAR(B343)=YEAR('Исходные данные'!$B$26),MONTH(B343)=MONTH('Исходные данные'!$B$26)),'Исходные данные'!$B$26,IF(A343=1,'Исходные данные'!$B$9,C343)),IF(A343=1,'Исходные данные'!$B$9,C343))),IF('Исходные данные'!$B$26&lt;&gt;"",IF(AND(YEAR(B343)=YEAR('Исходные данные'!$B$26),MONTH(B343)=MONTH('Исходные данные'!$B$26)),'Исходные данные'!$B$26,IF(A343=1,'Исходные данные'!$B$9,C343)),IF(A343=1,'Исходные данные'!$B$9,C343)))))</f>
        <v/>
      </c>
      <c r="E343">
        <f>IF(OR(B343="",'Исходные данные'!$B$91=""),0,--(B343&lt;=DATE(YEAR('Исходные данные'!$B$91),MONTH('Исходные данные'!$B$91),1)))</f>
        <v>0</v>
      </c>
      <c r="F343">
        <f>IF(OR(B343="",'Исходные данные'!$B$30="",C343&lt;'Исходные данные'!$B$30),0,DATEDIF(DATE(YEAR('Исходные данные'!$B$30),MONTH('Исходные данные'!$B$30),1),B343,"m")+1)</f>
        <v>0</v>
      </c>
      <c r="G343">
        <f t="shared" si="187"/>
        <v>0</v>
      </c>
      <c r="H343">
        <f>IF(F343=0,0,IF(G343=1,N('Исходные данные'!$B$31),IF(G343=2,N('Исходные данные'!$B$32),IF(G343=3,N('Исходные данные'!$B$33),N('Исходные данные'!$B$33)*(1+N('Исходные данные'!$B$34))^(G343-3)))))</f>
        <v>0</v>
      </c>
      <c r="I343">
        <f>IF(OR(F343=0,N('Исходные данные'!$B$5)=0,H343=0),0,'Исходные данные'!$B$5*H343*IF(AND(B343&lt;='Исходные данные'!$B$30,C343&gt;='Исходные данные'!$B$30),(C343-'Исходные данные'!$B$30+1)/DAY(C343),1))</f>
        <v>0</v>
      </c>
      <c r="J343">
        <f>IF(AND(F343&gt;0,F343&lt;=N('Исходные данные'!$B$37)),-I343,0)</f>
        <v>0</v>
      </c>
      <c r="K343">
        <f>IF(OR(F343=0,F343&lt;=N('Исходные данные'!$B$37)),0,-(I343+J343)*N('Исходные данные'!$B$38))</f>
        <v>0</v>
      </c>
      <c r="L343">
        <f t="shared" si="188"/>
        <v>0</v>
      </c>
      <c r="M343">
        <f>IF('Исходные данные'!$B$51="Да",L343*N('Исходные данные'!$B$52),0)</f>
        <v>0</v>
      </c>
      <c r="N343">
        <f t="shared" si="189"/>
        <v>0</v>
      </c>
      <c r="O343">
        <f>IF(OR(B343="",IF('Исходные данные'!$B$45="",'Исходные данные'!$B$10,'Исходные данные'!$B$45)="",C343&lt;IF('Исходные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данные'!$B$45)),1),B343,"m")/12))*IF(AND(B343&lt;=IF('Исходные данные'!$B$45="",'Исходные данные'!$B$10,'Исходные данные'!$B$45),C343&gt;=IF('Исходные данные'!$B$45="",'Исходные данные'!$B$10,'Исходные данные'!$B$45)),(C343-IF('Исходные данные'!$B$45="",'Исходные данные'!$B$10,'Исходные данные'!$B$45)+1)/DAY(C343),1)*IF('Исходные данные'!$B$43="Без НДС",1+N('Исходные данные'!$B$44),1))</f>
        <v>0</v>
      </c>
      <c r="P343">
        <f>IF('Исходные данные'!$B$51="Да",-O343*N('Исходные данные'!$B$44)/(1+N('Исходные данные'!$B$44)),0)</f>
        <v>0</v>
      </c>
      <c r="Q343">
        <f>IF('Исходные данные'!$B$35="Да",-O343,0)</f>
        <v>0</v>
      </c>
      <c r="R343">
        <f>IF(AND('Исходные данные'!$B$51="Да",Q343&gt;0),Q343*N('Исходные данные'!$B$52)/(1+N('Исходные данные'!$B$52)),0)</f>
        <v>0</v>
      </c>
      <c r="S343">
        <f>IF(OR(B343="",IF('Исходные данные'!$B$45="",'Исходные данные'!$B$10,'Исходные данные'!$B$45)="",C343&lt;IF('Исходные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данные'!$B$45)),1),B343,"m")/12))*IF(AND(B343&lt;=IF('Исходные данные'!$B$45="",'Исходные данные'!$B$10,'Исходные данные'!$B$45),C343&gt;=IF('Исходные данные'!$B$45="",'Исходные данные'!$B$10,'Исходные данные'!$B$45)),(C343-IF('Исходные данные'!$B$45="",'Исходные данные'!$B$10,'Исходные данные'!$B$45)+1)/DAY(C343),1)*IF('Исходные данные'!$B$43="Без НДС",1+N('Исходные данные'!$B$44),1))</f>
        <v>0</v>
      </c>
      <c r="T343">
        <f>IF('Исходные данные'!$B$51="Да",-S343*N('Исходные данные'!$B$44)/(1+N('Исходные данные'!$B$44)),0)</f>
        <v>0</v>
      </c>
      <c r="U343">
        <f>IF('Исходные данные'!$B$36="Да",-S343,0)</f>
        <v>0</v>
      </c>
      <c r="V343">
        <f>IF(AND('Исходные данные'!$B$51="Да",U343&gt;0),U343*N('Исходные данные'!$B$52)/(1+N('Исходные данные'!$B$52)),0)</f>
        <v>0</v>
      </c>
      <c r="W343">
        <f>IF(OR(B343="",IF('Исходные данные'!$B$69="",'Исходные данные'!$B$10,'Исходные данные'!$B$69)="",C343&lt;IF('Исходные данные'!$B$69="",'Исходные данные'!$B$10,'Исходные данные'!$B$69)),0,-N('Исходные данные'!$B$16)*N('Исходные данные'!$B$68)*N('Исходные данные'!$B$67)/12*IF(AND(B343&lt;=IF('Исходные данные'!$B$69="",'Исходные данные'!$B$10,'Исходные данные'!$B$69),C343&gt;=IF('Исходные данные'!$B$69="",'Исходные данные'!$B$10,'Исходные данные'!$B$69)),(C343-IF('Исходные данные'!$B$69="",'Исходные данные'!$B$10,'Исходные данные'!$B$69)+1)/DAY(C343),1))</f>
        <v>0</v>
      </c>
      <c r="X343">
        <f>IF(OR(B343="",IF('Исходные данные'!$B$76="",'Исходные данные'!$B$10,'Исходные данные'!$B$76)="",C343&lt;IF('Исходные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данные'!$B$76)),1),B343,"m")/12))*IF(AND(B343&lt;=IF('Исходные данные'!$B$76="",'Исходные данные'!$B$10,'Исходные данные'!$B$76),C343&gt;=IF('Исходные данные'!$B$76="",'Исходные данные'!$B$10,'Исходные данные'!$B$76)),(C343-IF('Исходные данные'!$B$76="",'Исходные данные'!$B$10,'Исходные данные'!$B$76)+1)/DAY(C343),1))</f>
        <v>0</v>
      </c>
      <c r="Y343">
        <f t="shared" si="190"/>
        <v>0</v>
      </c>
      <c r="Z343">
        <f>IF(OR(B343="",N('Исходные данные'!$B$19)=0),0,-SUMIFS('Исходные данные'!$I$6:$I$186,'Исходные данные'!$F$6:$F$186,B343)*N('Исходные данные'!$B$17)/N('Исходные данные'!$B$19))</f>
        <v>0</v>
      </c>
      <c r="AA343">
        <f>IF(OR(B343="",N('Исходные данные'!$B$19)=0),0,-SUMIFS('Исходные данные'!$I$6:$I$186,'Исходные данные'!$F$6:$F$186,B343)*N('Исходные данные'!$B$18)/N('Исходные данные'!$B$19))</f>
        <v>0</v>
      </c>
      <c r="AB343">
        <f>IF(OR(B343="",'Исходные данные'!$B$13=""),0,IF(AND(YEAR(B343)=YEAR('Исходные данные'!$B$13),MONTH(B343)=MONTH('Исходные данные'!$B$13)),-N('Исходные данные'!$B$11),0))</f>
        <v>0</v>
      </c>
      <c r="AC343">
        <f>IF(A343=1,-N('Исходные данные'!$B$19)*N('Исходные данные'!$B$72),0)</f>
        <v>0</v>
      </c>
      <c r="AD343">
        <f>IF(OR(B343="",'Исходные данные'!$B$22&lt;&gt;"Да",'Исходные данные'!$B$26=""),0,IF(AND(YEAR(B343)=YEAR('Исходные данные'!$B$26),MONTH(B343)=MONTH('Исходные данные'!$B$26)),N('Исходные данные'!$B$23),0))</f>
        <v>0</v>
      </c>
      <c r="AE343">
        <f t="shared" si="173"/>
        <v>0</v>
      </c>
      <c r="AF343">
        <f>IF(OR('Исходные данные'!$B$22&lt;&gt;"Да",'Исходные данные'!$B$26="",C343&lt;'Исходные данные'!$B$26),0,DATEDIF(DATE(YEAR('Исходные данные'!$B$26),MONTH('Исходные данные'!$B$26),1),B343,"m")+1)</f>
        <v>0</v>
      </c>
      <c r="AG343">
        <f>IF(OR(AF343&lt;1,AF343&gt;N('Исходные данные'!$B$25),AE343+AD343&lt;=0),0,-(AE343+AD343)*N('Исходные данные'!$B$24)*IF(AF343=1,C343-'Исходные данные'!$B$26+1,DAY(C343))/365)</f>
        <v>0</v>
      </c>
      <c r="AH343">
        <f>IF(OR(AF343&lt;1,AF343&gt;N('Исходные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данные'!$B$25)-AG343))</f>
        <v>0</v>
      </c>
      <c r="AI343">
        <f>IF(OR('Исходные данные'!$B$22&lt;&gt;"Да",AE343+AD343&lt;=0),0,IF(AND('Исходные данные'!$B$91&lt;&gt;"",B343&lt;&gt;"",YEAR(B343)=YEAR('Исходные данные'!$B$91),MONTH(B343)=MONTH('Исходные данные'!$B$91)),-(AE343+AD343),IF(OR(AF343&lt;1,AF343&gt;N('Исходные данные'!$B$25)),0,IF('Исходные данные'!$B$27="Равными долями",-MIN(AE343+AD343,N('Исходные данные'!$B$23)/N('Исходные данные'!$B$25)),-MIN(AE343+AD343,IF(AF343=N('Исходные данные'!$B$25),AE343+AD343,MAX(0,AH343+AG343)))))))</f>
        <v>0</v>
      </c>
      <c r="AJ343">
        <f t="shared" si="191"/>
        <v>0</v>
      </c>
      <c r="AK343">
        <f t="shared" si="174"/>
        <v>0</v>
      </c>
      <c r="AL343">
        <f>IF(OR(B343="",'Исходные данные'!$B$51&lt;&gt;"Да",'Исходные данные'!$B$61=""),0,IF(AND(YEAR(B343)=YEAR('Исходные данные'!$B$61),MONTH(B343)=MONTH('Исходные данные'!$B$61)),N('Исходные данные'!$B$18)*N('Исходные данные'!$B$62),0))</f>
        <v>0</v>
      </c>
      <c r="AM343">
        <f t="shared" si="175"/>
        <v>0</v>
      </c>
      <c r="AN343">
        <f t="shared" si="176"/>
        <v>0</v>
      </c>
      <c r="AO343">
        <f t="shared" si="177"/>
        <v>0</v>
      </c>
      <c r="AP343">
        <f>IF('Исходные данные'!$B$51="Да",-MAX(0,AN343-AO343-AM343),0)</f>
        <v>0</v>
      </c>
      <c r="AQ343">
        <f>IF('Исходные данные'!$B$51="Да",MAX(0,AM343+AO343-AN343),0)</f>
        <v>0</v>
      </c>
      <c r="AR343">
        <f>IF('Исходные данные'!$B$53="Выручка",MAX(0,L343+(Q343-R343)+(U343-V343)),IF('Исходные данные'!$B$53="Прибыль до налога",MAX(0,L343+(Q343-R343)+(U343-V343)+N('Исходные данные'!$B$54)*((O343+P343)+(S343+T343)+W343+X343)+IF('Исходные данные'!$B$55="Да",AG343,0)-N('Исходные данные'!$B$56)/12),IF('Исходные данные'!$B$53="Пользовательская база",MAX(0,N('Исходные данные'!$B$57)/12),0)))</f>
        <v>0</v>
      </c>
      <c r="AS343">
        <f>IF(E343=1,-AR343*N('Исходные данные'!$B$50),0)</f>
        <v>0</v>
      </c>
      <c r="AT343">
        <f t="shared" si="178"/>
        <v>0</v>
      </c>
      <c r="AU343">
        <f>IF(OR(B343="",N('Исходные данные'!$B$80)&lt;=0,'Исходные данные'!$B$88=""),0,MAX(0,IF('Исходные данные'!$B$88="Последние 12 месяцев",SUMIFS($Y$2:$Y$194,$B$2:$B$194,"&gt;="&amp;EDATE(B343,-11),$B$2:$B$194,"&lt;="&amp;B343),IF('Исходные данные'!$B$88="Пользовательский NOI",N('Исходные данные'!$B$89),AT343))/N('Исходные данные'!$B$80)*(1+N('Исходные данные'!$B$81))))</f>
        <v>0</v>
      </c>
      <c r="AV343">
        <f>IF(OR(E343&lt;&gt;1,B343="",'Исходные данные'!$B$91=""),0,IF(AND(YEAR(B343)=YEAR('Исходные данные'!$B$91),MONTH(B343)=MONTH('Исходные данные'!$B$91)),AU343,0))</f>
        <v>0</v>
      </c>
      <c r="AW343">
        <f>-AV343*N('Исходные данные'!$B$73)</f>
        <v>0</v>
      </c>
      <c r="AX343">
        <f>IF(AV343=0,0,-N('Исходные данные'!$B$87)-IF('Исходные данные'!$B$82="Да",IF('Исходные данные'!$B$84="С выручки",AV343,IF('Исходные данные'!$B$84="С прибыли",MAX(0,AV343+AW343-IF('Исходные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43">
        <f t="shared" si="192"/>
        <v>0</v>
      </c>
      <c r="AZ343">
        <f t="shared" si="179"/>
        <v>0</v>
      </c>
      <c r="BA343">
        <f t="shared" si="193"/>
        <v>0</v>
      </c>
      <c r="BB343" t="str">
        <f t="shared" si="180"/>
        <v/>
      </c>
      <c r="BC343">
        <f>IF(OR(E343=0,'Исходные данные'!$B$9="",'Исходные данные'!$B$90=""),0,BA343/(1+'Исходные данные'!$B$90)^((D343-'Исходные данные'!$B$9)/365))</f>
        <v>0</v>
      </c>
      <c r="BD343">
        <f>IF(AND(E343=1,BB343&gt;=0,BB342&lt;0,MIN($BB$2:BB343)&lt;0),1,0)</f>
        <v>0</v>
      </c>
      <c r="BE343">
        <f t="shared" si="181"/>
        <v>0</v>
      </c>
      <c r="BF343">
        <f t="shared" si="182"/>
        <v>0</v>
      </c>
      <c r="BG343">
        <f t="shared" si="183"/>
        <v>0</v>
      </c>
      <c r="BH343">
        <f t="shared" si="184"/>
        <v>1</v>
      </c>
      <c r="BI343">
        <f>AZ343+N343+AP343-AR343*N('Исходные данные'!$B$50)</f>
        <v>0</v>
      </c>
      <c r="BJ343">
        <f t="shared" si="185"/>
        <v>0</v>
      </c>
      <c r="BK343">
        <f>IF(AND(BJ343&gt;=0,BJ342&lt;0,MIN($BJ$2:BJ343)&lt;0),1,0)</f>
        <v>0</v>
      </c>
    </row>
    <row r="344" spans="1:63" x14ac:dyDescent="0.2">
      <c r="A344">
        <v>343</v>
      </c>
      <c r="B344" t="str">
        <f>IF('Исходные данные'!$B$9="","",EDATE(DATE(YEAR('Исходные данные'!$B$9),MONTH('Исходные данные'!$B$9),1),A344-1))</f>
        <v/>
      </c>
      <c r="C344" t="str">
        <f t="shared" si="186"/>
        <v/>
      </c>
      <c r="D344" t="str">
        <f>IF(B344="","",IF('Исходные данные'!$B$91&lt;&gt;"",IF(AND(YEAR(B344)=YEAR('Исходные данные'!$B$91),MONTH(B344)=MONTH('Исходные данные'!$B$91)),'Исходные данные'!$B$91,IF('Исходные данные'!$B$13&lt;&gt;"",IF(AND(YEAR(B344)=YEAR('Исходные данные'!$B$13),MONTH(B344)=MONTH('Исходные данные'!$B$13)),'Исходные данные'!$B$13,IF('Исходные данные'!$B$26&lt;&gt;"",IF(AND(YEAR(B344)=YEAR('Исходные данные'!$B$26),MONTH(B344)=MONTH('Исходные данные'!$B$26)),'Исходные данные'!$B$26,IF(A344=1,'Исходные данные'!$B$9,C344)),IF(A344=1,'Исходные данные'!$B$9,C344))),IF('Исходные данные'!$B$26&lt;&gt;"",IF(AND(YEAR(B344)=YEAR('Исходные данные'!$B$26),MONTH(B344)=MONTH('Исходные данные'!$B$26)),'Исходные данные'!$B$26,IF(A344=1,'Исходные данные'!$B$9,C344)),IF(A344=1,'Исходные данные'!$B$9,C344)))),IF('Исходные данные'!$B$13&lt;&gt;"",IF(AND(YEAR(B344)=YEAR('Исходные данные'!$B$13),MONTH(B344)=MONTH('Исходные данные'!$B$13)),'Исходные данные'!$B$13,IF('Исходные данные'!$B$26&lt;&gt;"",IF(AND(YEAR(B344)=YEAR('Исходные данные'!$B$26),MONTH(B344)=MONTH('Исходные данные'!$B$26)),'Исходные данные'!$B$26,IF(A344=1,'Исходные данные'!$B$9,C344)),IF(A344=1,'Исходные данные'!$B$9,C344))),IF('Исходные данные'!$B$26&lt;&gt;"",IF(AND(YEAR(B344)=YEAR('Исходные данные'!$B$26),MONTH(B344)=MONTH('Исходные данные'!$B$26)),'Исходные данные'!$B$26,IF(A344=1,'Исходные данные'!$B$9,C344)),IF(A344=1,'Исходные данные'!$B$9,C344)))))</f>
        <v/>
      </c>
      <c r="E344">
        <f>IF(OR(B344="",'Исходные данные'!$B$91=""),0,--(B344&lt;=DATE(YEAR('Исходные данные'!$B$91),MONTH('Исходные данные'!$B$91),1)))</f>
        <v>0</v>
      </c>
      <c r="F344">
        <f>IF(OR(B344="",'Исходные данные'!$B$30="",C344&lt;'Исходные данные'!$B$30),0,DATEDIF(DATE(YEAR('Исходные данные'!$B$30),MONTH('Исходные данные'!$B$30),1),B344,"m")+1)</f>
        <v>0</v>
      </c>
      <c r="G344">
        <f t="shared" si="187"/>
        <v>0</v>
      </c>
      <c r="H344">
        <f>IF(F344=0,0,IF(G344=1,N('Исходные данные'!$B$31),IF(G344=2,N('Исходные данные'!$B$32),IF(G344=3,N('Исходные данные'!$B$33),N('Исходные данные'!$B$33)*(1+N('Исходные данные'!$B$34))^(G344-3)))))</f>
        <v>0</v>
      </c>
      <c r="I344">
        <f>IF(OR(F344=0,N('Исходные данные'!$B$5)=0,H344=0),0,'Исходные данные'!$B$5*H344*IF(AND(B344&lt;='Исходные данные'!$B$30,C344&gt;='Исходные данные'!$B$30),(C344-'Исходные данные'!$B$30+1)/DAY(C344),1))</f>
        <v>0</v>
      </c>
      <c r="J344">
        <f>IF(AND(F344&gt;0,F344&lt;=N('Исходные данные'!$B$37)),-I344,0)</f>
        <v>0</v>
      </c>
      <c r="K344">
        <f>IF(OR(F344=0,F344&lt;=N('Исходные данные'!$B$37)),0,-(I344+J344)*N('Исходные данные'!$B$38))</f>
        <v>0</v>
      </c>
      <c r="L344">
        <f t="shared" si="188"/>
        <v>0</v>
      </c>
      <c r="M344">
        <f>IF('Исходные данные'!$B$51="Да",L344*N('Исходные данные'!$B$52),0)</f>
        <v>0</v>
      </c>
      <c r="N344">
        <f t="shared" si="189"/>
        <v>0</v>
      </c>
      <c r="O344">
        <f>IF(OR(B344="",IF('Исходные данные'!$B$45="",'Исходные данные'!$B$10,'Исходные данные'!$B$45)="",C344&lt;IF('Исходные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данные'!$B$45)),1),B344,"m")/12))*IF(AND(B344&lt;=IF('Исходные данные'!$B$45="",'Исходные данные'!$B$10,'Исходные данные'!$B$45),C344&gt;=IF('Исходные данные'!$B$45="",'Исходные данные'!$B$10,'Исходные данные'!$B$45)),(C344-IF('Исходные данные'!$B$45="",'Исходные данные'!$B$10,'Исходные данные'!$B$45)+1)/DAY(C344),1)*IF('Исходные данные'!$B$43="Без НДС",1+N('Исходные данные'!$B$44),1))</f>
        <v>0</v>
      </c>
      <c r="P344">
        <f>IF('Исходные данные'!$B$51="Да",-O344*N('Исходные данные'!$B$44)/(1+N('Исходные данные'!$B$44)),0)</f>
        <v>0</v>
      </c>
      <c r="Q344">
        <f>IF('Исходные данные'!$B$35="Да",-O344,0)</f>
        <v>0</v>
      </c>
      <c r="R344">
        <f>IF(AND('Исходные данные'!$B$51="Да",Q344&gt;0),Q344*N('Исходные данные'!$B$52)/(1+N('Исходные данные'!$B$52)),0)</f>
        <v>0</v>
      </c>
      <c r="S344">
        <f>IF(OR(B344="",IF('Исходные данные'!$B$45="",'Исходные данные'!$B$10,'Исходные данные'!$B$45)="",C344&lt;IF('Исходные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данные'!$B$45)),1),B344,"m")/12))*IF(AND(B344&lt;=IF('Исходные данные'!$B$45="",'Исходные данные'!$B$10,'Исходные данные'!$B$45),C344&gt;=IF('Исходные данные'!$B$45="",'Исходные данные'!$B$10,'Исходные данные'!$B$45)),(C344-IF('Исходные данные'!$B$45="",'Исходные данные'!$B$10,'Исходные данные'!$B$45)+1)/DAY(C344),1)*IF('Исходные данные'!$B$43="Без НДС",1+N('Исходные данные'!$B$44),1))</f>
        <v>0</v>
      </c>
      <c r="T344">
        <f>IF('Исходные данные'!$B$51="Да",-S344*N('Исходные данные'!$B$44)/(1+N('Исходные данные'!$B$44)),0)</f>
        <v>0</v>
      </c>
      <c r="U344">
        <f>IF('Исходные данные'!$B$36="Да",-S344,0)</f>
        <v>0</v>
      </c>
      <c r="V344">
        <f>IF(AND('Исходные данные'!$B$51="Да",U344&gt;0),U344*N('Исходные данные'!$B$52)/(1+N('Исходные данные'!$B$52)),0)</f>
        <v>0</v>
      </c>
      <c r="W344">
        <f>IF(OR(B344="",IF('Исходные данные'!$B$69="",'Исходные данные'!$B$10,'Исходные данные'!$B$69)="",C344&lt;IF('Исходные данные'!$B$69="",'Исходные данные'!$B$10,'Исходные данные'!$B$69)),0,-N('Исходные данные'!$B$16)*N('Исходные данные'!$B$68)*N('Исходные данные'!$B$67)/12*IF(AND(B344&lt;=IF('Исходные данные'!$B$69="",'Исходные данные'!$B$10,'Исходные данные'!$B$69),C344&gt;=IF('Исходные данные'!$B$69="",'Исходные данные'!$B$10,'Исходные данные'!$B$69)),(C344-IF('Исходные данные'!$B$69="",'Исходные данные'!$B$10,'Исходные данные'!$B$69)+1)/DAY(C344),1))</f>
        <v>0</v>
      </c>
      <c r="X344">
        <f>IF(OR(B344="",IF('Исходные данные'!$B$76="",'Исходные данные'!$B$10,'Исходные данные'!$B$76)="",C344&lt;IF('Исходные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данные'!$B$76)),1),B344,"m")/12))*IF(AND(B344&lt;=IF('Исходные данные'!$B$76="",'Исходные данные'!$B$10,'Исходные данные'!$B$76),C344&gt;=IF('Исходные данные'!$B$76="",'Исходные данные'!$B$10,'Исходные данные'!$B$76)),(C344-IF('Исходные данные'!$B$76="",'Исходные данные'!$B$10,'Исходные данные'!$B$76)+1)/DAY(C344),1))</f>
        <v>0</v>
      </c>
      <c r="Y344">
        <f t="shared" si="190"/>
        <v>0</v>
      </c>
      <c r="Z344">
        <f>IF(OR(B344="",N('Исходные данные'!$B$19)=0),0,-SUMIFS('Исходные данные'!$I$6:$I$186,'Исходные данные'!$F$6:$F$186,B344)*N('Исходные данные'!$B$17)/N('Исходные данные'!$B$19))</f>
        <v>0</v>
      </c>
      <c r="AA344">
        <f>IF(OR(B344="",N('Исходные данные'!$B$19)=0),0,-SUMIFS('Исходные данные'!$I$6:$I$186,'Исходные данные'!$F$6:$F$186,B344)*N('Исходные данные'!$B$18)/N('Исходные данные'!$B$19))</f>
        <v>0</v>
      </c>
      <c r="AB344">
        <f>IF(OR(B344="",'Исходные данные'!$B$13=""),0,IF(AND(YEAR(B344)=YEAR('Исходные данные'!$B$13),MONTH(B344)=MONTH('Исходные данные'!$B$13)),-N('Исходные данные'!$B$11),0))</f>
        <v>0</v>
      </c>
      <c r="AC344">
        <f>IF(A344=1,-N('Исходные данные'!$B$19)*N('Исходные данные'!$B$72),0)</f>
        <v>0</v>
      </c>
      <c r="AD344">
        <f>IF(OR(B344="",'Исходные данные'!$B$22&lt;&gt;"Да",'Исходные данные'!$B$26=""),0,IF(AND(YEAR(B344)=YEAR('Исходные данные'!$B$26),MONTH(B344)=MONTH('Исходные данные'!$B$26)),N('Исходные данные'!$B$23),0))</f>
        <v>0</v>
      </c>
      <c r="AE344">
        <f t="shared" si="173"/>
        <v>0</v>
      </c>
      <c r="AF344">
        <f>IF(OR('Исходные данные'!$B$22&lt;&gt;"Да",'Исходные данные'!$B$26="",C344&lt;'Исходные данные'!$B$26),0,DATEDIF(DATE(YEAR('Исходные данные'!$B$26),MONTH('Исходные данные'!$B$26),1),B344,"m")+1)</f>
        <v>0</v>
      </c>
      <c r="AG344">
        <f>IF(OR(AF344&lt;1,AF344&gt;N('Исходные данные'!$B$25),AE344+AD344&lt;=0),0,-(AE344+AD344)*N('Исходные данные'!$B$24)*IF(AF344=1,C344-'Исходные данные'!$B$26+1,DAY(C344))/365)</f>
        <v>0</v>
      </c>
      <c r="AH344">
        <f>IF(OR(AF344&lt;1,AF344&gt;N('Исходные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данные'!$B$25)-AG344))</f>
        <v>0</v>
      </c>
      <c r="AI344">
        <f>IF(OR('Исходные данные'!$B$22&lt;&gt;"Да",AE344+AD344&lt;=0),0,IF(AND('Исходные данные'!$B$91&lt;&gt;"",B344&lt;&gt;"",YEAR(B344)=YEAR('Исходные данные'!$B$91),MONTH(B344)=MONTH('Исходные данные'!$B$91)),-(AE344+AD344),IF(OR(AF344&lt;1,AF344&gt;N('Исходные данные'!$B$25)),0,IF('Исходные данные'!$B$27="Равными долями",-MIN(AE344+AD344,N('Исходные данные'!$B$23)/N('Исходные данные'!$B$25)),-MIN(AE344+AD344,IF(AF344=N('Исходные данные'!$B$25),AE344+AD344,MAX(0,AH344+AG344)))))))</f>
        <v>0</v>
      </c>
      <c r="AJ344">
        <f t="shared" si="191"/>
        <v>0</v>
      </c>
      <c r="AK344">
        <f t="shared" si="174"/>
        <v>0</v>
      </c>
      <c r="AL344">
        <f>IF(OR(B344="",'Исходные данные'!$B$51&lt;&gt;"Да",'Исходные данные'!$B$61=""),0,IF(AND(YEAR(B344)=YEAR('Исходные данные'!$B$61),MONTH(B344)=MONTH('Исходные данные'!$B$61)),N('Исходные данные'!$B$18)*N('Исходные данные'!$B$62),0))</f>
        <v>0</v>
      </c>
      <c r="AM344">
        <f t="shared" si="175"/>
        <v>0</v>
      </c>
      <c r="AN344">
        <f t="shared" si="176"/>
        <v>0</v>
      </c>
      <c r="AO344">
        <f t="shared" si="177"/>
        <v>0</v>
      </c>
      <c r="AP344">
        <f>IF('Исходные данные'!$B$51="Да",-MAX(0,AN344-AO344-AM344),0)</f>
        <v>0</v>
      </c>
      <c r="AQ344">
        <f>IF('Исходные данные'!$B$51="Да",MAX(0,AM344+AO344-AN344),0)</f>
        <v>0</v>
      </c>
      <c r="AR344">
        <f>IF('Исходные данные'!$B$53="Выручка",MAX(0,L344+(Q344-R344)+(U344-V344)),IF('Исходные данные'!$B$53="Прибыль до налога",MAX(0,L344+(Q344-R344)+(U344-V344)+N('Исходные данные'!$B$54)*((O344+P344)+(S344+T344)+W344+X344)+IF('Исходные данные'!$B$55="Да",AG344,0)-N('Исходные данные'!$B$56)/12),IF('Исходные данные'!$B$53="Пользовательская база",MAX(0,N('Исходные данные'!$B$57)/12),0)))</f>
        <v>0</v>
      </c>
      <c r="AS344">
        <f>IF(E344=1,-AR344*N('Исходные данные'!$B$50),0)</f>
        <v>0</v>
      </c>
      <c r="AT344">
        <f t="shared" si="178"/>
        <v>0</v>
      </c>
      <c r="AU344">
        <f>IF(OR(B344="",N('Исходные данные'!$B$80)&lt;=0,'Исходные данные'!$B$88=""),0,MAX(0,IF('Исходные данные'!$B$88="Последние 12 месяцев",SUMIFS($Y$2:$Y$194,$B$2:$B$194,"&gt;="&amp;EDATE(B344,-11),$B$2:$B$194,"&lt;="&amp;B344),IF('Исходные данные'!$B$88="Пользовательский NOI",N('Исходные данные'!$B$89),AT344))/N('Исходные данные'!$B$80)*(1+N('Исходные данные'!$B$81))))</f>
        <v>0</v>
      </c>
      <c r="AV344">
        <f>IF(OR(E344&lt;&gt;1,B344="",'Исходные данные'!$B$91=""),0,IF(AND(YEAR(B344)=YEAR('Исходные данные'!$B$91),MONTH(B344)=MONTH('Исходные данные'!$B$91)),AU344,0))</f>
        <v>0</v>
      </c>
      <c r="AW344">
        <f>-AV344*N('Исходные данные'!$B$73)</f>
        <v>0</v>
      </c>
      <c r="AX344">
        <f>IF(AV344=0,0,-N('Исходные данные'!$B$87)-IF('Исходные данные'!$B$82="Да",IF('Исходные данные'!$B$84="С выручки",AV344,IF('Исходные данные'!$B$84="С прибыли",MAX(0,AV344+AW344-IF('Исходные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44">
        <f t="shared" si="192"/>
        <v>0</v>
      </c>
      <c r="AZ344">
        <f t="shared" si="179"/>
        <v>0</v>
      </c>
      <c r="BA344">
        <f t="shared" si="193"/>
        <v>0</v>
      </c>
      <c r="BB344" t="str">
        <f t="shared" si="180"/>
        <v/>
      </c>
      <c r="BC344">
        <f>IF(OR(E344=0,'Исходные данные'!$B$9="",'Исходные данные'!$B$90=""),0,BA344/(1+'Исходные данные'!$B$90)^((D344-'Исходные данные'!$B$9)/365))</f>
        <v>0</v>
      </c>
      <c r="BD344">
        <f>IF(AND(E344=1,BB344&gt;=0,BB343&lt;0,MIN($BB$2:BB344)&lt;0),1,0)</f>
        <v>0</v>
      </c>
      <c r="BE344">
        <f t="shared" si="181"/>
        <v>0</v>
      </c>
      <c r="BF344">
        <f t="shared" si="182"/>
        <v>0</v>
      </c>
      <c r="BG344">
        <f t="shared" si="183"/>
        <v>0</v>
      </c>
      <c r="BH344">
        <f t="shared" si="184"/>
        <v>1</v>
      </c>
      <c r="BI344">
        <f>AZ344+N344+AP344-AR344*N('Исходные данные'!$B$50)</f>
        <v>0</v>
      </c>
      <c r="BJ344">
        <f t="shared" si="185"/>
        <v>0</v>
      </c>
      <c r="BK344">
        <f>IF(AND(BJ344&gt;=0,BJ343&lt;0,MIN($BJ$2:BJ344)&lt;0),1,0)</f>
        <v>0</v>
      </c>
    </row>
    <row r="345" spans="1:63" x14ac:dyDescent="0.2">
      <c r="A345">
        <v>344</v>
      </c>
      <c r="B345" t="str">
        <f>IF('Исходные данные'!$B$9="","",EDATE(DATE(YEAR('Исходные данные'!$B$9),MONTH('Исходные данные'!$B$9),1),A345-1))</f>
        <v/>
      </c>
      <c r="C345" t="str">
        <f t="shared" si="186"/>
        <v/>
      </c>
      <c r="D345" t="str">
        <f>IF(B345="","",IF('Исходные данные'!$B$91&lt;&gt;"",IF(AND(YEAR(B345)=YEAR('Исходные данные'!$B$91),MONTH(B345)=MONTH('Исходные данные'!$B$91)),'Исходные данные'!$B$91,IF('Исходные данные'!$B$13&lt;&gt;"",IF(AND(YEAR(B345)=YEAR('Исходные данные'!$B$13),MONTH(B345)=MONTH('Исходные данные'!$B$13)),'Исходные данные'!$B$13,IF('Исходные данные'!$B$26&lt;&gt;"",IF(AND(YEAR(B345)=YEAR('Исходные данные'!$B$26),MONTH(B345)=MONTH('Исходные данные'!$B$26)),'Исходные данные'!$B$26,IF(A345=1,'Исходные данные'!$B$9,C345)),IF(A345=1,'Исходные данные'!$B$9,C345))),IF('Исходные данные'!$B$26&lt;&gt;"",IF(AND(YEAR(B345)=YEAR('Исходные данные'!$B$26),MONTH(B345)=MONTH('Исходные данные'!$B$26)),'Исходные данные'!$B$26,IF(A345=1,'Исходные данные'!$B$9,C345)),IF(A345=1,'Исходные данные'!$B$9,C345)))),IF('Исходные данные'!$B$13&lt;&gt;"",IF(AND(YEAR(B345)=YEAR('Исходные данные'!$B$13),MONTH(B345)=MONTH('Исходные данные'!$B$13)),'Исходные данные'!$B$13,IF('Исходные данные'!$B$26&lt;&gt;"",IF(AND(YEAR(B345)=YEAR('Исходные данные'!$B$26),MONTH(B345)=MONTH('Исходные данные'!$B$26)),'Исходные данные'!$B$26,IF(A345=1,'Исходные данные'!$B$9,C345)),IF(A345=1,'Исходные данные'!$B$9,C345))),IF('Исходные данные'!$B$26&lt;&gt;"",IF(AND(YEAR(B345)=YEAR('Исходные данные'!$B$26),MONTH(B345)=MONTH('Исходные данные'!$B$26)),'Исходные данные'!$B$26,IF(A345=1,'Исходные данные'!$B$9,C345)),IF(A345=1,'Исходные данные'!$B$9,C345)))))</f>
        <v/>
      </c>
      <c r="E345">
        <f>IF(OR(B345="",'Исходные данные'!$B$91=""),0,--(B345&lt;=DATE(YEAR('Исходные данные'!$B$91),MONTH('Исходные данные'!$B$91),1)))</f>
        <v>0</v>
      </c>
      <c r="F345">
        <f>IF(OR(B345="",'Исходные данные'!$B$30="",C345&lt;'Исходные данные'!$B$30),0,DATEDIF(DATE(YEAR('Исходные данные'!$B$30),MONTH('Исходные данные'!$B$30),1),B345,"m")+1)</f>
        <v>0</v>
      </c>
      <c r="G345">
        <f t="shared" si="187"/>
        <v>0</v>
      </c>
      <c r="H345">
        <f>IF(F345=0,0,IF(G345=1,N('Исходные данные'!$B$31),IF(G345=2,N('Исходные данные'!$B$32),IF(G345=3,N('Исходные данные'!$B$33),N('Исходные данные'!$B$33)*(1+N('Исходные данные'!$B$34))^(G345-3)))))</f>
        <v>0</v>
      </c>
      <c r="I345">
        <f>IF(OR(F345=0,N('Исходные данные'!$B$5)=0,H345=0),0,'Исходные данные'!$B$5*H345*IF(AND(B345&lt;='Исходные данные'!$B$30,C345&gt;='Исходные данные'!$B$30),(C345-'Исходные данные'!$B$30+1)/DAY(C345),1))</f>
        <v>0</v>
      </c>
      <c r="J345">
        <f>IF(AND(F345&gt;0,F345&lt;=N('Исходные данные'!$B$37)),-I345,0)</f>
        <v>0</v>
      </c>
      <c r="K345">
        <f>IF(OR(F345=0,F345&lt;=N('Исходные данные'!$B$37)),0,-(I345+J345)*N('Исходные данные'!$B$38))</f>
        <v>0</v>
      </c>
      <c r="L345">
        <f t="shared" si="188"/>
        <v>0</v>
      </c>
      <c r="M345">
        <f>IF('Исходные данные'!$B$51="Да",L345*N('Исходные данные'!$B$52),0)</f>
        <v>0</v>
      </c>
      <c r="N345">
        <f t="shared" si="189"/>
        <v>0</v>
      </c>
      <c r="O345">
        <f>IF(OR(B345="",IF('Исходные данные'!$B$45="",'Исходные данные'!$B$10,'Исходные данные'!$B$45)="",C345&lt;IF('Исходные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данные'!$B$45)),1),B345,"m")/12))*IF(AND(B345&lt;=IF('Исходные данные'!$B$45="",'Исходные данные'!$B$10,'Исходные данные'!$B$45),C345&gt;=IF('Исходные данные'!$B$45="",'Исходные данные'!$B$10,'Исходные данные'!$B$45)),(C345-IF('Исходные данные'!$B$45="",'Исходные данные'!$B$10,'Исходные данные'!$B$45)+1)/DAY(C345),1)*IF('Исходные данные'!$B$43="Без НДС",1+N('Исходные данные'!$B$44),1))</f>
        <v>0</v>
      </c>
      <c r="P345">
        <f>IF('Исходные данные'!$B$51="Да",-O345*N('Исходные данные'!$B$44)/(1+N('Исходные данные'!$B$44)),0)</f>
        <v>0</v>
      </c>
      <c r="Q345">
        <f>IF('Исходные данные'!$B$35="Да",-O345,0)</f>
        <v>0</v>
      </c>
      <c r="R345">
        <f>IF(AND('Исходные данные'!$B$51="Да",Q345&gt;0),Q345*N('Исходные данные'!$B$52)/(1+N('Исходные данные'!$B$52)),0)</f>
        <v>0</v>
      </c>
      <c r="S345">
        <f>IF(OR(B345="",IF('Исходные данные'!$B$45="",'Исходные данные'!$B$10,'Исходные данные'!$B$45)="",C345&lt;IF('Исходные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данные'!$B$45)),1),B345,"m")/12))*IF(AND(B345&lt;=IF('Исходные данные'!$B$45="",'Исходные данные'!$B$10,'Исходные данные'!$B$45),C345&gt;=IF('Исходные данные'!$B$45="",'Исходные данные'!$B$10,'Исходные данные'!$B$45)),(C345-IF('Исходные данные'!$B$45="",'Исходные данные'!$B$10,'Исходные данные'!$B$45)+1)/DAY(C345),1)*IF('Исходные данные'!$B$43="Без НДС",1+N('Исходные данные'!$B$44),1))</f>
        <v>0</v>
      </c>
      <c r="T345">
        <f>IF('Исходные данные'!$B$51="Да",-S345*N('Исходные данные'!$B$44)/(1+N('Исходные данные'!$B$44)),0)</f>
        <v>0</v>
      </c>
      <c r="U345">
        <f>IF('Исходные данные'!$B$36="Да",-S345,0)</f>
        <v>0</v>
      </c>
      <c r="V345">
        <f>IF(AND('Исходные данные'!$B$51="Да",U345&gt;0),U345*N('Исходные данные'!$B$52)/(1+N('Исходные данные'!$B$52)),0)</f>
        <v>0</v>
      </c>
      <c r="W345">
        <f>IF(OR(B345="",IF('Исходные данные'!$B$69="",'Исходные данные'!$B$10,'Исходные данные'!$B$69)="",C345&lt;IF('Исходные данные'!$B$69="",'Исходные данные'!$B$10,'Исходные данные'!$B$69)),0,-N('Исходные данные'!$B$16)*N('Исходные данные'!$B$68)*N('Исходные данные'!$B$67)/12*IF(AND(B345&lt;=IF('Исходные данные'!$B$69="",'Исходные данные'!$B$10,'Исходные данные'!$B$69),C345&gt;=IF('Исходные данные'!$B$69="",'Исходные данные'!$B$10,'Исходные данные'!$B$69)),(C345-IF('Исходные данные'!$B$69="",'Исходные данные'!$B$10,'Исходные данные'!$B$69)+1)/DAY(C345),1))</f>
        <v>0</v>
      </c>
      <c r="X345">
        <f>IF(OR(B345="",IF('Исходные данные'!$B$76="",'Исходные данные'!$B$10,'Исходные данные'!$B$76)="",C345&lt;IF('Исходные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данные'!$B$76)),1),B345,"m")/12))*IF(AND(B345&lt;=IF('Исходные данные'!$B$76="",'Исходные данные'!$B$10,'Исходные данные'!$B$76),C345&gt;=IF('Исходные данные'!$B$76="",'Исходные данные'!$B$10,'Исходные данные'!$B$76)),(C345-IF('Исходные данные'!$B$76="",'Исходные данные'!$B$10,'Исходные данные'!$B$76)+1)/DAY(C345),1))</f>
        <v>0</v>
      </c>
      <c r="Y345">
        <f t="shared" si="190"/>
        <v>0</v>
      </c>
      <c r="Z345">
        <f>IF(OR(B345="",N('Исходные данные'!$B$19)=0),0,-SUMIFS('Исходные данные'!$I$6:$I$186,'Исходные данные'!$F$6:$F$186,B345)*N('Исходные данные'!$B$17)/N('Исходные данные'!$B$19))</f>
        <v>0</v>
      </c>
      <c r="AA345">
        <f>IF(OR(B345="",N('Исходные данные'!$B$19)=0),0,-SUMIFS('Исходные данные'!$I$6:$I$186,'Исходные данные'!$F$6:$F$186,B345)*N('Исходные данные'!$B$18)/N('Исходные данные'!$B$19))</f>
        <v>0</v>
      </c>
      <c r="AB345">
        <f>IF(OR(B345="",'Исходные данные'!$B$13=""),0,IF(AND(YEAR(B345)=YEAR('Исходные данные'!$B$13),MONTH(B345)=MONTH('Исходные данные'!$B$13)),-N('Исходные данные'!$B$11),0))</f>
        <v>0</v>
      </c>
      <c r="AC345">
        <f>IF(A345=1,-N('Исходные данные'!$B$19)*N('Исходные данные'!$B$72),0)</f>
        <v>0</v>
      </c>
      <c r="AD345">
        <f>IF(OR(B345="",'Исходные данные'!$B$22&lt;&gt;"Да",'Исходные данные'!$B$26=""),0,IF(AND(YEAR(B345)=YEAR('Исходные данные'!$B$26),MONTH(B345)=MONTH('Исходные данные'!$B$26)),N('Исходные данные'!$B$23),0))</f>
        <v>0</v>
      </c>
      <c r="AE345">
        <f t="shared" si="173"/>
        <v>0</v>
      </c>
      <c r="AF345">
        <f>IF(OR('Исходные данные'!$B$22&lt;&gt;"Да",'Исходные данные'!$B$26="",C345&lt;'Исходные данные'!$B$26),0,DATEDIF(DATE(YEAR('Исходные данные'!$B$26),MONTH('Исходные данные'!$B$26),1),B345,"m")+1)</f>
        <v>0</v>
      </c>
      <c r="AG345">
        <f>IF(OR(AF345&lt;1,AF345&gt;N('Исходные данные'!$B$25),AE345+AD345&lt;=0),0,-(AE345+AD345)*N('Исходные данные'!$B$24)*IF(AF345=1,C345-'Исходные данные'!$B$26+1,DAY(C345))/365)</f>
        <v>0</v>
      </c>
      <c r="AH345">
        <f>IF(OR(AF345&lt;1,AF345&gt;N('Исходные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данные'!$B$25)-AG345))</f>
        <v>0</v>
      </c>
      <c r="AI345">
        <f>IF(OR('Исходные данные'!$B$22&lt;&gt;"Да",AE345+AD345&lt;=0),0,IF(AND('Исходные данные'!$B$91&lt;&gt;"",B345&lt;&gt;"",YEAR(B345)=YEAR('Исходные данные'!$B$91),MONTH(B345)=MONTH('Исходные данные'!$B$91)),-(AE345+AD345),IF(OR(AF345&lt;1,AF345&gt;N('Исходные данные'!$B$25)),0,IF('Исходные данные'!$B$27="Равными долями",-MIN(AE345+AD345,N('Исходные данные'!$B$23)/N('Исходные данные'!$B$25)),-MIN(AE345+AD345,IF(AF345=N('Исходные данные'!$B$25),AE345+AD345,MAX(0,AH345+AG345)))))))</f>
        <v>0</v>
      </c>
      <c r="AJ345">
        <f t="shared" si="191"/>
        <v>0</v>
      </c>
      <c r="AK345">
        <f t="shared" si="174"/>
        <v>0</v>
      </c>
      <c r="AL345">
        <f>IF(OR(B345="",'Исходные данные'!$B$51&lt;&gt;"Да",'Исходные данные'!$B$61=""),0,IF(AND(YEAR(B345)=YEAR('Исходные данные'!$B$61),MONTH(B345)=MONTH('Исходные данные'!$B$61)),N('Исходные данные'!$B$18)*N('Исходные данные'!$B$62),0))</f>
        <v>0</v>
      </c>
      <c r="AM345">
        <f t="shared" si="175"/>
        <v>0</v>
      </c>
      <c r="AN345">
        <f t="shared" si="176"/>
        <v>0</v>
      </c>
      <c r="AO345">
        <f t="shared" si="177"/>
        <v>0</v>
      </c>
      <c r="AP345">
        <f>IF('Исходные данные'!$B$51="Да",-MAX(0,AN345-AO345-AM345),0)</f>
        <v>0</v>
      </c>
      <c r="AQ345">
        <f>IF('Исходные данные'!$B$51="Да",MAX(0,AM345+AO345-AN345),0)</f>
        <v>0</v>
      </c>
      <c r="AR345">
        <f>IF('Исходные данные'!$B$53="Выручка",MAX(0,L345+(Q345-R345)+(U345-V345)),IF('Исходные данные'!$B$53="Прибыль до налога",MAX(0,L345+(Q345-R345)+(U345-V345)+N('Исходные данные'!$B$54)*((O345+P345)+(S345+T345)+W345+X345)+IF('Исходные данные'!$B$55="Да",AG345,0)-N('Исходные данные'!$B$56)/12),IF('Исходные данные'!$B$53="Пользовательская база",MAX(0,N('Исходные данные'!$B$57)/12),0)))</f>
        <v>0</v>
      </c>
      <c r="AS345">
        <f>IF(E345=1,-AR345*N('Исходные данные'!$B$50),0)</f>
        <v>0</v>
      </c>
      <c r="AT345">
        <f t="shared" si="178"/>
        <v>0</v>
      </c>
      <c r="AU345">
        <f>IF(OR(B345="",N('Исходные данные'!$B$80)&lt;=0,'Исходные данные'!$B$88=""),0,MAX(0,IF('Исходные данные'!$B$88="Последние 12 месяцев",SUMIFS($Y$2:$Y$194,$B$2:$B$194,"&gt;="&amp;EDATE(B345,-11),$B$2:$B$194,"&lt;="&amp;B345),IF('Исходные данные'!$B$88="Пользовательский NOI",N('Исходные данные'!$B$89),AT345))/N('Исходные данные'!$B$80)*(1+N('Исходные данные'!$B$81))))</f>
        <v>0</v>
      </c>
      <c r="AV345">
        <f>IF(OR(E345&lt;&gt;1,B345="",'Исходные данные'!$B$91=""),0,IF(AND(YEAR(B345)=YEAR('Исходные данные'!$B$91),MONTH(B345)=MONTH('Исходные данные'!$B$91)),AU345,0))</f>
        <v>0</v>
      </c>
      <c r="AW345">
        <f>-AV345*N('Исходные данные'!$B$73)</f>
        <v>0</v>
      </c>
      <c r="AX345">
        <f>IF(AV345=0,0,-N('Исходные данные'!$B$87)-IF('Исходные данные'!$B$82="Да",IF('Исходные данные'!$B$84="С выручки",AV345,IF('Исходные данные'!$B$84="С прибыли",MAX(0,AV345+AW345-IF('Исходные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45">
        <f t="shared" si="192"/>
        <v>0</v>
      </c>
      <c r="AZ345">
        <f t="shared" si="179"/>
        <v>0</v>
      </c>
      <c r="BA345">
        <f t="shared" si="193"/>
        <v>0</v>
      </c>
      <c r="BB345" t="str">
        <f t="shared" si="180"/>
        <v/>
      </c>
      <c r="BC345">
        <f>IF(OR(E345=0,'Исходные данные'!$B$9="",'Исходные данные'!$B$90=""),0,BA345/(1+'Исходные данные'!$B$90)^((D345-'Исходные данные'!$B$9)/365))</f>
        <v>0</v>
      </c>
      <c r="BD345">
        <f>IF(AND(E345=1,BB345&gt;=0,BB344&lt;0,MIN($BB$2:BB345)&lt;0),1,0)</f>
        <v>0</v>
      </c>
      <c r="BE345">
        <f t="shared" si="181"/>
        <v>0</v>
      </c>
      <c r="BF345">
        <f t="shared" si="182"/>
        <v>0</v>
      </c>
      <c r="BG345">
        <f t="shared" si="183"/>
        <v>0</v>
      </c>
      <c r="BH345">
        <f t="shared" si="184"/>
        <v>1</v>
      </c>
      <c r="BI345">
        <f>AZ345+N345+AP345-AR345*N('Исходные данные'!$B$50)</f>
        <v>0</v>
      </c>
      <c r="BJ345">
        <f t="shared" si="185"/>
        <v>0</v>
      </c>
      <c r="BK345">
        <f>IF(AND(BJ345&gt;=0,BJ344&lt;0,MIN($BJ$2:BJ345)&lt;0),1,0)</f>
        <v>0</v>
      </c>
    </row>
    <row r="346" spans="1:63" x14ac:dyDescent="0.2">
      <c r="A346">
        <v>345</v>
      </c>
      <c r="B346" t="str">
        <f>IF('Исходные данные'!$B$9="","",EDATE(DATE(YEAR('Исходные данные'!$B$9),MONTH('Исходные данные'!$B$9),1),A346-1))</f>
        <v/>
      </c>
      <c r="C346" t="str">
        <f t="shared" si="186"/>
        <v/>
      </c>
      <c r="D346" t="str">
        <f>IF(B346="","",IF('Исходные данные'!$B$91&lt;&gt;"",IF(AND(YEAR(B346)=YEAR('Исходные данные'!$B$91),MONTH(B346)=MONTH('Исходные данные'!$B$91)),'Исходные данные'!$B$91,IF('Исходные данные'!$B$13&lt;&gt;"",IF(AND(YEAR(B346)=YEAR('Исходные данные'!$B$13),MONTH(B346)=MONTH('Исходные данные'!$B$13)),'Исходные данные'!$B$13,IF('Исходные данные'!$B$26&lt;&gt;"",IF(AND(YEAR(B346)=YEAR('Исходные данные'!$B$26),MONTH(B346)=MONTH('Исходные данные'!$B$26)),'Исходные данные'!$B$26,IF(A346=1,'Исходные данные'!$B$9,C346)),IF(A346=1,'Исходные данные'!$B$9,C346))),IF('Исходные данные'!$B$26&lt;&gt;"",IF(AND(YEAR(B346)=YEAR('Исходные данные'!$B$26),MONTH(B346)=MONTH('Исходные данные'!$B$26)),'Исходные данные'!$B$26,IF(A346=1,'Исходные данные'!$B$9,C346)),IF(A346=1,'Исходные данные'!$B$9,C346)))),IF('Исходные данные'!$B$13&lt;&gt;"",IF(AND(YEAR(B346)=YEAR('Исходные данные'!$B$13),MONTH(B346)=MONTH('Исходные данные'!$B$13)),'Исходные данные'!$B$13,IF('Исходные данные'!$B$26&lt;&gt;"",IF(AND(YEAR(B346)=YEAR('Исходные данные'!$B$26),MONTH(B346)=MONTH('Исходные данные'!$B$26)),'Исходные данные'!$B$26,IF(A346=1,'Исходные данные'!$B$9,C346)),IF(A346=1,'Исходные данные'!$B$9,C346))),IF('Исходные данные'!$B$26&lt;&gt;"",IF(AND(YEAR(B346)=YEAR('Исходные данные'!$B$26),MONTH(B346)=MONTH('Исходные данные'!$B$26)),'Исходные данные'!$B$26,IF(A346=1,'Исходные данные'!$B$9,C346)),IF(A346=1,'Исходные данные'!$B$9,C346)))))</f>
        <v/>
      </c>
      <c r="E346">
        <f>IF(OR(B346="",'Исходные данные'!$B$91=""),0,--(B346&lt;=DATE(YEAR('Исходные данные'!$B$91),MONTH('Исходные данные'!$B$91),1)))</f>
        <v>0</v>
      </c>
      <c r="F346">
        <f>IF(OR(B346="",'Исходные данные'!$B$30="",C346&lt;'Исходные данные'!$B$30),0,DATEDIF(DATE(YEAR('Исходные данные'!$B$30),MONTH('Исходные данные'!$B$30),1),B346,"m")+1)</f>
        <v>0</v>
      </c>
      <c r="G346">
        <f t="shared" si="187"/>
        <v>0</v>
      </c>
      <c r="H346">
        <f>IF(F346=0,0,IF(G346=1,N('Исходные данные'!$B$31),IF(G346=2,N('Исходные данные'!$B$32),IF(G346=3,N('Исходные данные'!$B$33),N('Исходные данные'!$B$33)*(1+N('Исходные данные'!$B$34))^(G346-3)))))</f>
        <v>0</v>
      </c>
      <c r="I346">
        <f>IF(OR(F346=0,N('Исходные данные'!$B$5)=0,H346=0),0,'Исходные данные'!$B$5*H346*IF(AND(B346&lt;='Исходные данные'!$B$30,C346&gt;='Исходные данные'!$B$30),(C346-'Исходные данные'!$B$30+1)/DAY(C346),1))</f>
        <v>0</v>
      </c>
      <c r="J346">
        <f>IF(AND(F346&gt;0,F346&lt;=N('Исходные данные'!$B$37)),-I346,0)</f>
        <v>0</v>
      </c>
      <c r="K346">
        <f>IF(OR(F346=0,F346&lt;=N('Исходные данные'!$B$37)),0,-(I346+J346)*N('Исходные данные'!$B$38))</f>
        <v>0</v>
      </c>
      <c r="L346">
        <f t="shared" si="188"/>
        <v>0</v>
      </c>
      <c r="M346">
        <f>IF('Исходные данные'!$B$51="Да",L346*N('Исходные данные'!$B$52),0)</f>
        <v>0</v>
      </c>
      <c r="N346">
        <f t="shared" si="189"/>
        <v>0</v>
      </c>
      <c r="O346">
        <f>IF(OR(B346="",IF('Исходные данные'!$B$45="",'Исходные данные'!$B$10,'Исходные данные'!$B$45)="",C346&lt;IF('Исходные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данные'!$B$45)),1),B346,"m")/12))*IF(AND(B346&lt;=IF('Исходные данные'!$B$45="",'Исходные данные'!$B$10,'Исходные данные'!$B$45),C346&gt;=IF('Исходные данные'!$B$45="",'Исходные данные'!$B$10,'Исходные данные'!$B$45)),(C346-IF('Исходные данные'!$B$45="",'Исходные данные'!$B$10,'Исходные данные'!$B$45)+1)/DAY(C346),1)*IF('Исходные данные'!$B$43="Без НДС",1+N('Исходные данные'!$B$44),1))</f>
        <v>0</v>
      </c>
      <c r="P346">
        <f>IF('Исходные данные'!$B$51="Да",-O346*N('Исходные данные'!$B$44)/(1+N('Исходные данные'!$B$44)),0)</f>
        <v>0</v>
      </c>
      <c r="Q346">
        <f>IF('Исходные данные'!$B$35="Да",-O346,0)</f>
        <v>0</v>
      </c>
      <c r="R346">
        <f>IF(AND('Исходные данные'!$B$51="Да",Q346&gt;0),Q346*N('Исходные данные'!$B$52)/(1+N('Исходные данные'!$B$52)),0)</f>
        <v>0</v>
      </c>
      <c r="S346">
        <f>IF(OR(B346="",IF('Исходные данные'!$B$45="",'Исходные данные'!$B$10,'Исходные данные'!$B$45)="",C346&lt;IF('Исходные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данные'!$B$45)),1),B346,"m")/12))*IF(AND(B346&lt;=IF('Исходные данные'!$B$45="",'Исходные данные'!$B$10,'Исходные данные'!$B$45),C346&gt;=IF('Исходные данные'!$B$45="",'Исходные данные'!$B$10,'Исходные данные'!$B$45)),(C346-IF('Исходные данные'!$B$45="",'Исходные данные'!$B$10,'Исходные данные'!$B$45)+1)/DAY(C346),1)*IF('Исходные данные'!$B$43="Без НДС",1+N('Исходные данные'!$B$44),1))</f>
        <v>0</v>
      </c>
      <c r="T346">
        <f>IF('Исходные данные'!$B$51="Да",-S346*N('Исходные данные'!$B$44)/(1+N('Исходные данные'!$B$44)),0)</f>
        <v>0</v>
      </c>
      <c r="U346">
        <f>IF('Исходные данные'!$B$36="Да",-S346,0)</f>
        <v>0</v>
      </c>
      <c r="V346">
        <f>IF(AND('Исходные данные'!$B$51="Да",U346&gt;0),U346*N('Исходные данные'!$B$52)/(1+N('Исходные данные'!$B$52)),0)</f>
        <v>0</v>
      </c>
      <c r="W346">
        <f>IF(OR(B346="",IF('Исходные данные'!$B$69="",'Исходные данные'!$B$10,'Исходные данные'!$B$69)="",C346&lt;IF('Исходные данные'!$B$69="",'Исходные данные'!$B$10,'Исходные данные'!$B$69)),0,-N('Исходные данные'!$B$16)*N('Исходные данные'!$B$68)*N('Исходные данные'!$B$67)/12*IF(AND(B346&lt;=IF('Исходные данные'!$B$69="",'Исходные данные'!$B$10,'Исходные данные'!$B$69),C346&gt;=IF('Исходные данные'!$B$69="",'Исходные данные'!$B$10,'Исходные данные'!$B$69)),(C346-IF('Исходные данные'!$B$69="",'Исходные данные'!$B$10,'Исходные данные'!$B$69)+1)/DAY(C346),1))</f>
        <v>0</v>
      </c>
      <c r="X346">
        <f>IF(OR(B346="",IF('Исходные данные'!$B$76="",'Исходные данные'!$B$10,'Исходные данные'!$B$76)="",C346&lt;IF('Исходные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данные'!$B$76)),1),B346,"m")/12))*IF(AND(B346&lt;=IF('Исходные данные'!$B$76="",'Исходные данные'!$B$10,'Исходные данные'!$B$76),C346&gt;=IF('Исходные данные'!$B$76="",'Исходные данные'!$B$10,'Исходные данные'!$B$76)),(C346-IF('Исходные данные'!$B$76="",'Исходные данные'!$B$10,'Исходные данные'!$B$76)+1)/DAY(C346),1))</f>
        <v>0</v>
      </c>
      <c r="Y346">
        <f t="shared" si="190"/>
        <v>0</v>
      </c>
      <c r="Z346">
        <f>IF(OR(B346="",N('Исходные данные'!$B$19)=0),0,-SUMIFS('Исходные данные'!$I$6:$I$186,'Исходные данные'!$F$6:$F$186,B346)*N('Исходные данные'!$B$17)/N('Исходные данные'!$B$19))</f>
        <v>0</v>
      </c>
      <c r="AA346">
        <f>IF(OR(B346="",N('Исходные данные'!$B$19)=0),0,-SUMIFS('Исходные данные'!$I$6:$I$186,'Исходные данные'!$F$6:$F$186,B346)*N('Исходные данные'!$B$18)/N('Исходные данные'!$B$19))</f>
        <v>0</v>
      </c>
      <c r="AB346">
        <f>IF(OR(B346="",'Исходные данные'!$B$13=""),0,IF(AND(YEAR(B346)=YEAR('Исходные данные'!$B$13),MONTH(B346)=MONTH('Исходные данные'!$B$13)),-N('Исходные данные'!$B$11),0))</f>
        <v>0</v>
      </c>
      <c r="AC346">
        <f>IF(A346=1,-N('Исходные данные'!$B$19)*N('Исходные данные'!$B$72),0)</f>
        <v>0</v>
      </c>
      <c r="AD346">
        <f>IF(OR(B346="",'Исходные данные'!$B$22&lt;&gt;"Да",'Исходные данные'!$B$26=""),0,IF(AND(YEAR(B346)=YEAR('Исходные данные'!$B$26),MONTH(B346)=MONTH('Исходные данные'!$B$26)),N('Исходные данные'!$B$23),0))</f>
        <v>0</v>
      </c>
      <c r="AE346">
        <f t="shared" si="173"/>
        <v>0</v>
      </c>
      <c r="AF346">
        <f>IF(OR('Исходные данные'!$B$22&lt;&gt;"Да",'Исходные данные'!$B$26="",C346&lt;'Исходные данные'!$B$26),0,DATEDIF(DATE(YEAR('Исходные данные'!$B$26),MONTH('Исходные данные'!$B$26),1),B346,"m")+1)</f>
        <v>0</v>
      </c>
      <c r="AG346">
        <f>IF(OR(AF346&lt;1,AF346&gt;N('Исходные данные'!$B$25),AE346+AD346&lt;=0),0,-(AE346+AD346)*N('Исходные данные'!$B$24)*IF(AF346=1,C346-'Исходные данные'!$B$26+1,DAY(C346))/365)</f>
        <v>0</v>
      </c>
      <c r="AH346">
        <f>IF(OR(AF346&lt;1,AF346&gt;N('Исходные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данные'!$B$25)-AG346))</f>
        <v>0</v>
      </c>
      <c r="AI346">
        <f>IF(OR('Исходные данные'!$B$22&lt;&gt;"Да",AE346+AD346&lt;=0),0,IF(AND('Исходные данные'!$B$91&lt;&gt;"",B346&lt;&gt;"",YEAR(B346)=YEAR('Исходные данные'!$B$91),MONTH(B346)=MONTH('Исходные данные'!$B$91)),-(AE346+AD346),IF(OR(AF346&lt;1,AF346&gt;N('Исходные данные'!$B$25)),0,IF('Исходные данные'!$B$27="Равными долями",-MIN(AE346+AD346,N('Исходные данные'!$B$23)/N('Исходные данные'!$B$25)),-MIN(AE346+AD346,IF(AF346=N('Исходные данные'!$B$25),AE346+AD346,MAX(0,AH346+AG346)))))))</f>
        <v>0</v>
      </c>
      <c r="AJ346">
        <f t="shared" si="191"/>
        <v>0</v>
      </c>
      <c r="AK346">
        <f t="shared" si="174"/>
        <v>0</v>
      </c>
      <c r="AL346">
        <f>IF(OR(B346="",'Исходные данные'!$B$51&lt;&gt;"Да",'Исходные данные'!$B$61=""),0,IF(AND(YEAR(B346)=YEAR('Исходные данные'!$B$61),MONTH(B346)=MONTH('Исходные данные'!$B$61)),N('Исходные данные'!$B$18)*N('Исходные данные'!$B$62),0))</f>
        <v>0</v>
      </c>
      <c r="AM346">
        <f t="shared" si="175"/>
        <v>0</v>
      </c>
      <c r="AN346">
        <f t="shared" si="176"/>
        <v>0</v>
      </c>
      <c r="AO346">
        <f t="shared" si="177"/>
        <v>0</v>
      </c>
      <c r="AP346">
        <f>IF('Исходные данные'!$B$51="Да",-MAX(0,AN346-AO346-AM346),0)</f>
        <v>0</v>
      </c>
      <c r="AQ346">
        <f>IF('Исходные данные'!$B$51="Да",MAX(0,AM346+AO346-AN346),0)</f>
        <v>0</v>
      </c>
      <c r="AR346">
        <f>IF('Исходные данные'!$B$53="Выручка",MAX(0,L346+(Q346-R346)+(U346-V346)),IF('Исходные данные'!$B$53="Прибыль до налога",MAX(0,L346+(Q346-R346)+(U346-V346)+N('Исходные данные'!$B$54)*((O346+P346)+(S346+T346)+W346+X346)+IF('Исходные данные'!$B$55="Да",AG346,0)-N('Исходные данные'!$B$56)/12),IF('Исходные данные'!$B$53="Пользовательская база",MAX(0,N('Исходные данные'!$B$57)/12),0)))</f>
        <v>0</v>
      </c>
      <c r="AS346">
        <f>IF(E346=1,-AR346*N('Исходные данные'!$B$50),0)</f>
        <v>0</v>
      </c>
      <c r="AT346">
        <f t="shared" si="178"/>
        <v>0</v>
      </c>
      <c r="AU346">
        <f>IF(OR(B346="",N('Исходные данные'!$B$80)&lt;=0,'Исходные данные'!$B$88=""),0,MAX(0,IF('Исходные данные'!$B$88="Последние 12 месяцев",SUMIFS($Y$2:$Y$194,$B$2:$B$194,"&gt;="&amp;EDATE(B346,-11),$B$2:$B$194,"&lt;="&amp;B346),IF('Исходные данные'!$B$88="Пользовательский NOI",N('Исходные данные'!$B$89),AT346))/N('Исходные данные'!$B$80)*(1+N('Исходные данные'!$B$81))))</f>
        <v>0</v>
      </c>
      <c r="AV346">
        <f>IF(OR(E346&lt;&gt;1,B346="",'Исходные данные'!$B$91=""),0,IF(AND(YEAR(B346)=YEAR('Исходные данные'!$B$91),MONTH(B346)=MONTH('Исходные данные'!$B$91)),AU346,0))</f>
        <v>0</v>
      </c>
      <c r="AW346">
        <f>-AV346*N('Исходные данные'!$B$73)</f>
        <v>0</v>
      </c>
      <c r="AX346">
        <f>IF(AV346=0,0,-N('Исходные данные'!$B$87)-IF('Исходные данные'!$B$82="Да",IF('Исходные данные'!$B$84="С выручки",AV346,IF('Исходные данные'!$B$84="С прибыли",MAX(0,AV346+AW346-IF('Исходные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46">
        <f t="shared" si="192"/>
        <v>0</v>
      </c>
      <c r="AZ346">
        <f t="shared" si="179"/>
        <v>0</v>
      </c>
      <c r="BA346">
        <f t="shared" si="193"/>
        <v>0</v>
      </c>
      <c r="BB346" t="str">
        <f t="shared" si="180"/>
        <v/>
      </c>
      <c r="BC346">
        <f>IF(OR(E346=0,'Исходные данные'!$B$9="",'Исходные данные'!$B$90=""),0,BA346/(1+'Исходные данные'!$B$90)^((D346-'Исходные данные'!$B$9)/365))</f>
        <v>0</v>
      </c>
      <c r="BD346">
        <f>IF(AND(E346=1,BB346&gt;=0,BB345&lt;0,MIN($BB$2:BB346)&lt;0),1,0)</f>
        <v>0</v>
      </c>
      <c r="BE346">
        <f t="shared" si="181"/>
        <v>0</v>
      </c>
      <c r="BF346">
        <f t="shared" si="182"/>
        <v>0</v>
      </c>
      <c r="BG346">
        <f t="shared" si="183"/>
        <v>0</v>
      </c>
      <c r="BH346">
        <f t="shared" si="184"/>
        <v>1</v>
      </c>
      <c r="BI346">
        <f>AZ346+N346+AP346-AR346*N('Исходные данные'!$B$50)</f>
        <v>0</v>
      </c>
      <c r="BJ346">
        <f t="shared" si="185"/>
        <v>0</v>
      </c>
      <c r="BK346">
        <f>IF(AND(BJ346&gt;=0,BJ345&lt;0,MIN($BJ$2:BJ346)&lt;0),1,0)</f>
        <v>0</v>
      </c>
    </row>
    <row r="347" spans="1:63" x14ac:dyDescent="0.2">
      <c r="A347">
        <v>346</v>
      </c>
      <c r="B347" t="str">
        <f>IF('Исходные данные'!$B$9="","",EDATE(DATE(YEAR('Исходные данные'!$B$9),MONTH('Исходные данные'!$B$9),1),A347-1))</f>
        <v/>
      </c>
      <c r="C347" t="str">
        <f t="shared" si="186"/>
        <v/>
      </c>
      <c r="D347" t="str">
        <f>IF(B347="","",IF('Исходные данные'!$B$91&lt;&gt;"",IF(AND(YEAR(B347)=YEAR('Исходные данные'!$B$91),MONTH(B347)=MONTH('Исходные данные'!$B$91)),'Исходные данные'!$B$91,IF('Исходные данные'!$B$13&lt;&gt;"",IF(AND(YEAR(B347)=YEAR('Исходные данные'!$B$13),MONTH(B347)=MONTH('Исходные данные'!$B$13)),'Исходные данные'!$B$13,IF('Исходные данные'!$B$26&lt;&gt;"",IF(AND(YEAR(B347)=YEAR('Исходные данные'!$B$26),MONTH(B347)=MONTH('Исходные данные'!$B$26)),'Исходные данные'!$B$26,IF(A347=1,'Исходные данные'!$B$9,C347)),IF(A347=1,'Исходные данные'!$B$9,C347))),IF('Исходные данные'!$B$26&lt;&gt;"",IF(AND(YEAR(B347)=YEAR('Исходные данные'!$B$26),MONTH(B347)=MONTH('Исходные данные'!$B$26)),'Исходные данные'!$B$26,IF(A347=1,'Исходные данные'!$B$9,C347)),IF(A347=1,'Исходные данные'!$B$9,C347)))),IF('Исходные данные'!$B$13&lt;&gt;"",IF(AND(YEAR(B347)=YEAR('Исходные данные'!$B$13),MONTH(B347)=MONTH('Исходные данные'!$B$13)),'Исходные данные'!$B$13,IF('Исходные данные'!$B$26&lt;&gt;"",IF(AND(YEAR(B347)=YEAR('Исходные данные'!$B$26),MONTH(B347)=MONTH('Исходные данные'!$B$26)),'Исходные данные'!$B$26,IF(A347=1,'Исходные данные'!$B$9,C347)),IF(A347=1,'Исходные данные'!$B$9,C347))),IF('Исходные данные'!$B$26&lt;&gt;"",IF(AND(YEAR(B347)=YEAR('Исходные данные'!$B$26),MONTH(B347)=MONTH('Исходные данные'!$B$26)),'Исходные данные'!$B$26,IF(A347=1,'Исходные данные'!$B$9,C347)),IF(A347=1,'Исходные данные'!$B$9,C347)))))</f>
        <v/>
      </c>
      <c r="E347">
        <f>IF(OR(B347="",'Исходные данные'!$B$91=""),0,--(B347&lt;=DATE(YEAR('Исходные данные'!$B$91),MONTH('Исходные данные'!$B$91),1)))</f>
        <v>0</v>
      </c>
      <c r="F347">
        <f>IF(OR(B347="",'Исходные данные'!$B$30="",C347&lt;'Исходные данные'!$B$30),0,DATEDIF(DATE(YEAR('Исходные данные'!$B$30),MONTH('Исходные данные'!$B$30),1),B347,"m")+1)</f>
        <v>0</v>
      </c>
      <c r="G347">
        <f t="shared" si="187"/>
        <v>0</v>
      </c>
      <c r="H347">
        <f>IF(F347=0,0,IF(G347=1,N('Исходные данные'!$B$31),IF(G347=2,N('Исходные данные'!$B$32),IF(G347=3,N('Исходные данные'!$B$33),N('Исходные данные'!$B$33)*(1+N('Исходные данные'!$B$34))^(G347-3)))))</f>
        <v>0</v>
      </c>
      <c r="I347">
        <f>IF(OR(F347=0,N('Исходные данные'!$B$5)=0,H347=0),0,'Исходные данные'!$B$5*H347*IF(AND(B347&lt;='Исходные данные'!$B$30,C347&gt;='Исходные данные'!$B$30),(C347-'Исходные данные'!$B$30+1)/DAY(C347),1))</f>
        <v>0</v>
      </c>
      <c r="J347">
        <f>IF(AND(F347&gt;0,F347&lt;=N('Исходные данные'!$B$37)),-I347,0)</f>
        <v>0</v>
      </c>
      <c r="K347">
        <f>IF(OR(F347=0,F347&lt;=N('Исходные данные'!$B$37)),0,-(I347+J347)*N('Исходные данные'!$B$38))</f>
        <v>0</v>
      </c>
      <c r="L347">
        <f t="shared" si="188"/>
        <v>0</v>
      </c>
      <c r="M347">
        <f>IF('Исходные данные'!$B$51="Да",L347*N('Исходные данные'!$B$52),0)</f>
        <v>0</v>
      </c>
      <c r="N347">
        <f t="shared" si="189"/>
        <v>0</v>
      </c>
      <c r="O347">
        <f>IF(OR(B347="",IF('Исходные данные'!$B$45="",'Исходные данные'!$B$10,'Исходные данные'!$B$45)="",C347&lt;IF('Исходные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данные'!$B$45)),1),B347,"m")/12))*IF(AND(B347&lt;=IF('Исходные данные'!$B$45="",'Исходные данные'!$B$10,'Исходные данные'!$B$45),C347&gt;=IF('Исходные данные'!$B$45="",'Исходные данные'!$B$10,'Исходные данные'!$B$45)),(C347-IF('Исходные данные'!$B$45="",'Исходные данные'!$B$10,'Исходные данные'!$B$45)+1)/DAY(C347),1)*IF('Исходные данные'!$B$43="Без НДС",1+N('Исходные данные'!$B$44),1))</f>
        <v>0</v>
      </c>
      <c r="P347">
        <f>IF('Исходные данные'!$B$51="Да",-O347*N('Исходные данные'!$B$44)/(1+N('Исходные данные'!$B$44)),0)</f>
        <v>0</v>
      </c>
      <c r="Q347">
        <f>IF('Исходные данные'!$B$35="Да",-O347,0)</f>
        <v>0</v>
      </c>
      <c r="R347">
        <f>IF(AND('Исходные данные'!$B$51="Да",Q347&gt;0),Q347*N('Исходные данные'!$B$52)/(1+N('Исходные данные'!$B$52)),0)</f>
        <v>0</v>
      </c>
      <c r="S347">
        <f>IF(OR(B347="",IF('Исходные данные'!$B$45="",'Исходные данные'!$B$10,'Исходные данные'!$B$45)="",C347&lt;IF('Исходные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данные'!$B$45)),1),B347,"m")/12))*IF(AND(B347&lt;=IF('Исходные данные'!$B$45="",'Исходные данные'!$B$10,'Исходные данные'!$B$45),C347&gt;=IF('Исходные данные'!$B$45="",'Исходные данные'!$B$10,'Исходные данные'!$B$45)),(C347-IF('Исходные данные'!$B$45="",'Исходные данные'!$B$10,'Исходные данные'!$B$45)+1)/DAY(C347),1)*IF('Исходные данные'!$B$43="Без НДС",1+N('Исходные данные'!$B$44),1))</f>
        <v>0</v>
      </c>
      <c r="T347">
        <f>IF('Исходные данные'!$B$51="Да",-S347*N('Исходные данные'!$B$44)/(1+N('Исходные данные'!$B$44)),0)</f>
        <v>0</v>
      </c>
      <c r="U347">
        <f>IF('Исходные данные'!$B$36="Да",-S347,0)</f>
        <v>0</v>
      </c>
      <c r="V347">
        <f>IF(AND('Исходные данные'!$B$51="Да",U347&gt;0),U347*N('Исходные данные'!$B$52)/(1+N('Исходные данные'!$B$52)),0)</f>
        <v>0</v>
      </c>
      <c r="W347">
        <f>IF(OR(B347="",IF('Исходные данные'!$B$69="",'Исходные данные'!$B$10,'Исходные данные'!$B$69)="",C347&lt;IF('Исходные данные'!$B$69="",'Исходные данные'!$B$10,'Исходные данные'!$B$69)),0,-N('Исходные данные'!$B$16)*N('Исходные данные'!$B$68)*N('Исходные данные'!$B$67)/12*IF(AND(B347&lt;=IF('Исходные данные'!$B$69="",'Исходные данные'!$B$10,'Исходные данные'!$B$69),C347&gt;=IF('Исходные данные'!$B$69="",'Исходные данные'!$B$10,'Исходные данные'!$B$69)),(C347-IF('Исходные данные'!$B$69="",'Исходные данные'!$B$10,'Исходные данные'!$B$69)+1)/DAY(C347),1))</f>
        <v>0</v>
      </c>
      <c r="X347">
        <f>IF(OR(B347="",IF('Исходные данные'!$B$76="",'Исходные данные'!$B$10,'Исходные данные'!$B$76)="",C347&lt;IF('Исходные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данные'!$B$76)),1),B347,"m")/12))*IF(AND(B347&lt;=IF('Исходные данные'!$B$76="",'Исходные данные'!$B$10,'Исходные данные'!$B$76),C347&gt;=IF('Исходные данные'!$B$76="",'Исходные данные'!$B$10,'Исходные данные'!$B$76)),(C347-IF('Исходные данные'!$B$76="",'Исходные данные'!$B$10,'Исходные данные'!$B$76)+1)/DAY(C347),1))</f>
        <v>0</v>
      </c>
      <c r="Y347">
        <f t="shared" si="190"/>
        <v>0</v>
      </c>
      <c r="Z347">
        <f>IF(OR(B347="",N('Исходные данные'!$B$19)=0),0,-SUMIFS('Исходные данные'!$I$6:$I$186,'Исходные данные'!$F$6:$F$186,B347)*N('Исходные данные'!$B$17)/N('Исходные данные'!$B$19))</f>
        <v>0</v>
      </c>
      <c r="AA347">
        <f>IF(OR(B347="",N('Исходные данные'!$B$19)=0),0,-SUMIFS('Исходные данные'!$I$6:$I$186,'Исходные данные'!$F$6:$F$186,B347)*N('Исходные данные'!$B$18)/N('Исходные данные'!$B$19))</f>
        <v>0</v>
      </c>
      <c r="AB347">
        <f>IF(OR(B347="",'Исходные данные'!$B$13=""),0,IF(AND(YEAR(B347)=YEAR('Исходные данные'!$B$13),MONTH(B347)=MONTH('Исходные данные'!$B$13)),-N('Исходные данные'!$B$11),0))</f>
        <v>0</v>
      </c>
      <c r="AC347">
        <f>IF(A347=1,-N('Исходные данные'!$B$19)*N('Исходные данные'!$B$72),0)</f>
        <v>0</v>
      </c>
      <c r="AD347">
        <f>IF(OR(B347="",'Исходные данные'!$B$22&lt;&gt;"Да",'Исходные данные'!$B$26=""),0,IF(AND(YEAR(B347)=YEAR('Исходные данные'!$B$26),MONTH(B347)=MONTH('Исходные данные'!$B$26)),N('Исходные данные'!$B$23),0))</f>
        <v>0</v>
      </c>
      <c r="AE347">
        <f t="shared" si="173"/>
        <v>0</v>
      </c>
      <c r="AF347">
        <f>IF(OR('Исходные данные'!$B$22&lt;&gt;"Да",'Исходные данные'!$B$26="",C347&lt;'Исходные данные'!$B$26),0,DATEDIF(DATE(YEAR('Исходные данные'!$B$26),MONTH('Исходные данные'!$B$26),1),B347,"m")+1)</f>
        <v>0</v>
      </c>
      <c r="AG347">
        <f>IF(OR(AF347&lt;1,AF347&gt;N('Исходные данные'!$B$25),AE347+AD347&lt;=0),0,-(AE347+AD347)*N('Исходные данные'!$B$24)*IF(AF347=1,C347-'Исходные данные'!$B$26+1,DAY(C347))/365)</f>
        <v>0</v>
      </c>
      <c r="AH347">
        <f>IF(OR(AF347&lt;1,AF347&gt;N('Исходные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данные'!$B$25)-AG347))</f>
        <v>0</v>
      </c>
      <c r="AI347">
        <f>IF(OR('Исходные данные'!$B$22&lt;&gt;"Да",AE347+AD347&lt;=0),0,IF(AND('Исходные данные'!$B$91&lt;&gt;"",B347&lt;&gt;"",YEAR(B347)=YEAR('Исходные данные'!$B$91),MONTH(B347)=MONTH('Исходные данные'!$B$91)),-(AE347+AD347),IF(OR(AF347&lt;1,AF347&gt;N('Исходные данные'!$B$25)),0,IF('Исходные данные'!$B$27="Равными долями",-MIN(AE347+AD347,N('Исходные данные'!$B$23)/N('Исходные данные'!$B$25)),-MIN(AE347+AD347,IF(AF347=N('Исходные данные'!$B$25),AE347+AD347,MAX(0,AH347+AG347)))))))</f>
        <v>0</v>
      </c>
      <c r="AJ347">
        <f t="shared" si="191"/>
        <v>0</v>
      </c>
      <c r="AK347">
        <f t="shared" si="174"/>
        <v>0</v>
      </c>
      <c r="AL347">
        <f>IF(OR(B347="",'Исходные данные'!$B$51&lt;&gt;"Да",'Исходные данные'!$B$61=""),0,IF(AND(YEAR(B347)=YEAR('Исходные данные'!$B$61),MONTH(B347)=MONTH('Исходные данные'!$B$61)),N('Исходные данные'!$B$18)*N('Исходные данные'!$B$62),0))</f>
        <v>0</v>
      </c>
      <c r="AM347">
        <f t="shared" si="175"/>
        <v>0</v>
      </c>
      <c r="AN347">
        <f t="shared" si="176"/>
        <v>0</v>
      </c>
      <c r="AO347">
        <f t="shared" si="177"/>
        <v>0</v>
      </c>
      <c r="AP347">
        <f>IF('Исходные данные'!$B$51="Да",-MAX(0,AN347-AO347-AM347),0)</f>
        <v>0</v>
      </c>
      <c r="AQ347">
        <f>IF('Исходные данные'!$B$51="Да",MAX(0,AM347+AO347-AN347),0)</f>
        <v>0</v>
      </c>
      <c r="AR347">
        <f>IF('Исходные данные'!$B$53="Выручка",MAX(0,L347+(Q347-R347)+(U347-V347)),IF('Исходные данные'!$B$53="Прибыль до налога",MAX(0,L347+(Q347-R347)+(U347-V347)+N('Исходные данные'!$B$54)*((O347+P347)+(S347+T347)+W347+X347)+IF('Исходные данные'!$B$55="Да",AG347,0)-N('Исходные данные'!$B$56)/12),IF('Исходные данные'!$B$53="Пользовательская база",MAX(0,N('Исходные данные'!$B$57)/12),0)))</f>
        <v>0</v>
      </c>
      <c r="AS347">
        <f>IF(E347=1,-AR347*N('Исходные данные'!$B$50),0)</f>
        <v>0</v>
      </c>
      <c r="AT347">
        <f t="shared" si="178"/>
        <v>0</v>
      </c>
      <c r="AU347">
        <f>IF(OR(B347="",N('Исходные данные'!$B$80)&lt;=0,'Исходные данные'!$B$88=""),0,MAX(0,IF('Исходные данные'!$B$88="Последние 12 месяцев",SUMIFS($Y$2:$Y$194,$B$2:$B$194,"&gt;="&amp;EDATE(B347,-11),$B$2:$B$194,"&lt;="&amp;B347),IF('Исходные данные'!$B$88="Пользовательский NOI",N('Исходные данные'!$B$89),AT347))/N('Исходные данные'!$B$80)*(1+N('Исходные данные'!$B$81))))</f>
        <v>0</v>
      </c>
      <c r="AV347">
        <f>IF(OR(E347&lt;&gt;1,B347="",'Исходные данные'!$B$91=""),0,IF(AND(YEAR(B347)=YEAR('Исходные данные'!$B$91),MONTH(B347)=MONTH('Исходные данные'!$B$91)),AU347,0))</f>
        <v>0</v>
      </c>
      <c r="AW347">
        <f>-AV347*N('Исходные данные'!$B$73)</f>
        <v>0</v>
      </c>
      <c r="AX347">
        <f>IF(AV347=0,0,-N('Исходные данные'!$B$87)-IF('Исходные данные'!$B$82="Да",IF('Исходные данные'!$B$84="С выручки",AV347,IF('Исходные данные'!$B$84="С прибыли",MAX(0,AV347+AW347-IF('Исходные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47">
        <f t="shared" si="192"/>
        <v>0</v>
      </c>
      <c r="AZ347">
        <f t="shared" si="179"/>
        <v>0</v>
      </c>
      <c r="BA347">
        <f t="shared" si="193"/>
        <v>0</v>
      </c>
      <c r="BB347" t="str">
        <f t="shared" si="180"/>
        <v/>
      </c>
      <c r="BC347">
        <f>IF(OR(E347=0,'Исходные данные'!$B$9="",'Исходные данные'!$B$90=""),0,BA347/(1+'Исходные данные'!$B$90)^((D347-'Исходные данные'!$B$9)/365))</f>
        <v>0</v>
      </c>
      <c r="BD347">
        <f>IF(AND(E347=1,BB347&gt;=0,BB346&lt;0,MIN($BB$2:BB347)&lt;0),1,0)</f>
        <v>0</v>
      </c>
      <c r="BE347">
        <f t="shared" si="181"/>
        <v>0</v>
      </c>
      <c r="BF347">
        <f t="shared" si="182"/>
        <v>0</v>
      </c>
      <c r="BG347">
        <f t="shared" si="183"/>
        <v>0</v>
      </c>
      <c r="BH347">
        <f t="shared" si="184"/>
        <v>1</v>
      </c>
      <c r="BI347">
        <f>AZ347+N347+AP347-AR347*N('Исходные данные'!$B$50)</f>
        <v>0</v>
      </c>
      <c r="BJ347">
        <f t="shared" si="185"/>
        <v>0</v>
      </c>
      <c r="BK347">
        <f>IF(AND(BJ347&gt;=0,BJ346&lt;0,MIN($BJ$2:BJ347)&lt;0),1,0)</f>
        <v>0</v>
      </c>
    </row>
    <row r="348" spans="1:63" x14ac:dyDescent="0.2">
      <c r="A348">
        <v>347</v>
      </c>
      <c r="B348" t="str">
        <f>IF('Исходные данные'!$B$9="","",EDATE(DATE(YEAR('Исходные данные'!$B$9),MONTH('Исходные данные'!$B$9),1),A348-1))</f>
        <v/>
      </c>
      <c r="C348" t="str">
        <f t="shared" si="186"/>
        <v/>
      </c>
      <c r="D348" t="str">
        <f>IF(B348="","",IF('Исходные данные'!$B$91&lt;&gt;"",IF(AND(YEAR(B348)=YEAR('Исходные данные'!$B$91),MONTH(B348)=MONTH('Исходные данные'!$B$91)),'Исходные данные'!$B$91,IF('Исходные данные'!$B$13&lt;&gt;"",IF(AND(YEAR(B348)=YEAR('Исходные данные'!$B$13),MONTH(B348)=MONTH('Исходные данные'!$B$13)),'Исходные данные'!$B$13,IF('Исходные данные'!$B$26&lt;&gt;"",IF(AND(YEAR(B348)=YEAR('Исходные данные'!$B$26),MONTH(B348)=MONTH('Исходные данные'!$B$26)),'Исходные данные'!$B$26,IF(A348=1,'Исходные данные'!$B$9,C348)),IF(A348=1,'Исходные данные'!$B$9,C348))),IF('Исходные данные'!$B$26&lt;&gt;"",IF(AND(YEAR(B348)=YEAR('Исходные данные'!$B$26),MONTH(B348)=MONTH('Исходные данные'!$B$26)),'Исходные данные'!$B$26,IF(A348=1,'Исходные данные'!$B$9,C348)),IF(A348=1,'Исходные данные'!$B$9,C348)))),IF('Исходные данные'!$B$13&lt;&gt;"",IF(AND(YEAR(B348)=YEAR('Исходные данные'!$B$13),MONTH(B348)=MONTH('Исходные данные'!$B$13)),'Исходные данные'!$B$13,IF('Исходные данные'!$B$26&lt;&gt;"",IF(AND(YEAR(B348)=YEAR('Исходные данные'!$B$26),MONTH(B348)=MONTH('Исходные данные'!$B$26)),'Исходные данные'!$B$26,IF(A348=1,'Исходные данные'!$B$9,C348)),IF(A348=1,'Исходные данные'!$B$9,C348))),IF('Исходные данные'!$B$26&lt;&gt;"",IF(AND(YEAR(B348)=YEAR('Исходные данные'!$B$26),MONTH(B348)=MONTH('Исходные данные'!$B$26)),'Исходные данные'!$B$26,IF(A348=1,'Исходные данные'!$B$9,C348)),IF(A348=1,'Исходные данные'!$B$9,C348)))))</f>
        <v/>
      </c>
      <c r="E348">
        <f>IF(OR(B348="",'Исходные данные'!$B$91=""),0,--(B348&lt;=DATE(YEAR('Исходные данные'!$B$91),MONTH('Исходные данные'!$B$91),1)))</f>
        <v>0</v>
      </c>
      <c r="F348">
        <f>IF(OR(B348="",'Исходные данные'!$B$30="",C348&lt;'Исходные данные'!$B$30),0,DATEDIF(DATE(YEAR('Исходные данные'!$B$30),MONTH('Исходные данные'!$B$30),1),B348,"m")+1)</f>
        <v>0</v>
      </c>
      <c r="G348">
        <f t="shared" si="187"/>
        <v>0</v>
      </c>
      <c r="H348">
        <f>IF(F348=0,0,IF(G348=1,N('Исходные данные'!$B$31),IF(G348=2,N('Исходные данные'!$B$32),IF(G348=3,N('Исходные данные'!$B$33),N('Исходные данные'!$B$33)*(1+N('Исходные данные'!$B$34))^(G348-3)))))</f>
        <v>0</v>
      </c>
      <c r="I348">
        <f>IF(OR(F348=0,N('Исходные данные'!$B$5)=0,H348=0),0,'Исходные данные'!$B$5*H348*IF(AND(B348&lt;='Исходные данные'!$B$30,C348&gt;='Исходные данные'!$B$30),(C348-'Исходные данные'!$B$30+1)/DAY(C348),1))</f>
        <v>0</v>
      </c>
      <c r="J348">
        <f>IF(AND(F348&gt;0,F348&lt;=N('Исходные данные'!$B$37)),-I348,0)</f>
        <v>0</v>
      </c>
      <c r="K348">
        <f>IF(OR(F348=0,F348&lt;=N('Исходные данные'!$B$37)),0,-(I348+J348)*N('Исходные данные'!$B$38))</f>
        <v>0</v>
      </c>
      <c r="L348">
        <f t="shared" si="188"/>
        <v>0</v>
      </c>
      <c r="M348">
        <f>IF('Исходные данные'!$B$51="Да",L348*N('Исходные данные'!$B$52),0)</f>
        <v>0</v>
      </c>
      <c r="N348">
        <f t="shared" si="189"/>
        <v>0</v>
      </c>
      <c r="O348">
        <f>IF(OR(B348="",IF('Исходные данные'!$B$45="",'Исходные данные'!$B$10,'Исходные данные'!$B$45)="",C348&lt;IF('Исходные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данные'!$B$45)),1),B348,"m")/12))*IF(AND(B348&lt;=IF('Исходные данные'!$B$45="",'Исходные данные'!$B$10,'Исходные данные'!$B$45),C348&gt;=IF('Исходные данные'!$B$45="",'Исходные данные'!$B$10,'Исходные данные'!$B$45)),(C348-IF('Исходные данные'!$B$45="",'Исходные данные'!$B$10,'Исходные данные'!$B$45)+1)/DAY(C348),1)*IF('Исходные данные'!$B$43="Без НДС",1+N('Исходные данные'!$B$44),1))</f>
        <v>0</v>
      </c>
      <c r="P348">
        <f>IF('Исходные данные'!$B$51="Да",-O348*N('Исходные данные'!$B$44)/(1+N('Исходные данные'!$B$44)),0)</f>
        <v>0</v>
      </c>
      <c r="Q348">
        <f>IF('Исходные данные'!$B$35="Да",-O348,0)</f>
        <v>0</v>
      </c>
      <c r="R348">
        <f>IF(AND('Исходные данные'!$B$51="Да",Q348&gt;0),Q348*N('Исходные данные'!$B$52)/(1+N('Исходные данные'!$B$52)),0)</f>
        <v>0</v>
      </c>
      <c r="S348">
        <f>IF(OR(B348="",IF('Исходные данные'!$B$45="",'Исходные данные'!$B$10,'Исходные данные'!$B$45)="",C348&lt;IF('Исходные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данные'!$B$45)),1),B348,"m")/12))*IF(AND(B348&lt;=IF('Исходные данные'!$B$45="",'Исходные данные'!$B$10,'Исходные данные'!$B$45),C348&gt;=IF('Исходные данные'!$B$45="",'Исходные данные'!$B$10,'Исходные данные'!$B$45)),(C348-IF('Исходные данные'!$B$45="",'Исходные данные'!$B$10,'Исходные данные'!$B$45)+1)/DAY(C348),1)*IF('Исходные данные'!$B$43="Без НДС",1+N('Исходные данные'!$B$44),1))</f>
        <v>0</v>
      </c>
      <c r="T348">
        <f>IF('Исходные данные'!$B$51="Да",-S348*N('Исходные данные'!$B$44)/(1+N('Исходные данные'!$B$44)),0)</f>
        <v>0</v>
      </c>
      <c r="U348">
        <f>IF('Исходные данные'!$B$36="Да",-S348,0)</f>
        <v>0</v>
      </c>
      <c r="V348">
        <f>IF(AND('Исходные данные'!$B$51="Да",U348&gt;0),U348*N('Исходные данные'!$B$52)/(1+N('Исходные данные'!$B$52)),0)</f>
        <v>0</v>
      </c>
      <c r="W348">
        <f>IF(OR(B348="",IF('Исходные данные'!$B$69="",'Исходные данные'!$B$10,'Исходные данные'!$B$69)="",C348&lt;IF('Исходные данные'!$B$69="",'Исходные данные'!$B$10,'Исходные данные'!$B$69)),0,-N('Исходные данные'!$B$16)*N('Исходные данные'!$B$68)*N('Исходные данные'!$B$67)/12*IF(AND(B348&lt;=IF('Исходные данные'!$B$69="",'Исходные данные'!$B$10,'Исходные данные'!$B$69),C348&gt;=IF('Исходные данные'!$B$69="",'Исходные данные'!$B$10,'Исходные данные'!$B$69)),(C348-IF('Исходные данные'!$B$69="",'Исходные данные'!$B$10,'Исходные данные'!$B$69)+1)/DAY(C348),1))</f>
        <v>0</v>
      </c>
      <c r="X348">
        <f>IF(OR(B348="",IF('Исходные данные'!$B$76="",'Исходные данные'!$B$10,'Исходные данные'!$B$76)="",C348&lt;IF('Исходные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данные'!$B$76)),1),B348,"m")/12))*IF(AND(B348&lt;=IF('Исходные данные'!$B$76="",'Исходные данные'!$B$10,'Исходные данные'!$B$76),C348&gt;=IF('Исходные данные'!$B$76="",'Исходные данные'!$B$10,'Исходные данные'!$B$76)),(C348-IF('Исходные данные'!$B$76="",'Исходные данные'!$B$10,'Исходные данные'!$B$76)+1)/DAY(C348),1))</f>
        <v>0</v>
      </c>
      <c r="Y348">
        <f t="shared" si="190"/>
        <v>0</v>
      </c>
      <c r="Z348">
        <f>IF(OR(B348="",N('Исходные данные'!$B$19)=0),0,-SUMIFS('Исходные данные'!$I$6:$I$186,'Исходные данные'!$F$6:$F$186,B348)*N('Исходные данные'!$B$17)/N('Исходные данные'!$B$19))</f>
        <v>0</v>
      </c>
      <c r="AA348">
        <f>IF(OR(B348="",N('Исходные данные'!$B$19)=0),0,-SUMIFS('Исходные данные'!$I$6:$I$186,'Исходные данные'!$F$6:$F$186,B348)*N('Исходные данные'!$B$18)/N('Исходные данные'!$B$19))</f>
        <v>0</v>
      </c>
      <c r="AB348">
        <f>IF(OR(B348="",'Исходные данные'!$B$13=""),0,IF(AND(YEAR(B348)=YEAR('Исходные данные'!$B$13),MONTH(B348)=MONTH('Исходные данные'!$B$13)),-N('Исходные данные'!$B$11),0))</f>
        <v>0</v>
      </c>
      <c r="AC348">
        <f>IF(A348=1,-N('Исходные данные'!$B$19)*N('Исходные данные'!$B$72),0)</f>
        <v>0</v>
      </c>
      <c r="AD348">
        <f>IF(OR(B348="",'Исходные данные'!$B$22&lt;&gt;"Да",'Исходные данные'!$B$26=""),0,IF(AND(YEAR(B348)=YEAR('Исходные данные'!$B$26),MONTH(B348)=MONTH('Исходные данные'!$B$26)),N('Исходные данные'!$B$23),0))</f>
        <v>0</v>
      </c>
      <c r="AE348">
        <f t="shared" si="173"/>
        <v>0</v>
      </c>
      <c r="AF348">
        <f>IF(OR('Исходные данные'!$B$22&lt;&gt;"Да",'Исходные данные'!$B$26="",C348&lt;'Исходные данные'!$B$26),0,DATEDIF(DATE(YEAR('Исходные данные'!$B$26),MONTH('Исходные данные'!$B$26),1),B348,"m")+1)</f>
        <v>0</v>
      </c>
      <c r="AG348">
        <f>IF(OR(AF348&lt;1,AF348&gt;N('Исходные данные'!$B$25),AE348+AD348&lt;=0),0,-(AE348+AD348)*N('Исходные данные'!$B$24)*IF(AF348=1,C348-'Исходные данные'!$B$26+1,DAY(C348))/365)</f>
        <v>0</v>
      </c>
      <c r="AH348">
        <f>IF(OR(AF348&lt;1,AF348&gt;N('Исходные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данные'!$B$25)-AG348))</f>
        <v>0</v>
      </c>
      <c r="AI348">
        <f>IF(OR('Исходные данные'!$B$22&lt;&gt;"Да",AE348+AD348&lt;=0),0,IF(AND('Исходные данные'!$B$91&lt;&gt;"",B348&lt;&gt;"",YEAR(B348)=YEAR('Исходные данные'!$B$91),MONTH(B348)=MONTH('Исходные данные'!$B$91)),-(AE348+AD348),IF(OR(AF348&lt;1,AF348&gt;N('Исходные данные'!$B$25)),0,IF('Исходные данные'!$B$27="Равными долями",-MIN(AE348+AD348,N('Исходные данные'!$B$23)/N('Исходные данные'!$B$25)),-MIN(AE348+AD348,IF(AF348=N('Исходные данные'!$B$25),AE348+AD348,MAX(0,AH348+AG348)))))))</f>
        <v>0</v>
      </c>
      <c r="AJ348">
        <f t="shared" si="191"/>
        <v>0</v>
      </c>
      <c r="AK348">
        <f t="shared" si="174"/>
        <v>0</v>
      </c>
      <c r="AL348">
        <f>IF(OR(B348="",'Исходные данные'!$B$51&lt;&gt;"Да",'Исходные данные'!$B$61=""),0,IF(AND(YEAR(B348)=YEAR('Исходные данные'!$B$61),MONTH(B348)=MONTH('Исходные данные'!$B$61)),N('Исходные данные'!$B$18)*N('Исходные данные'!$B$62),0))</f>
        <v>0</v>
      </c>
      <c r="AM348">
        <f t="shared" si="175"/>
        <v>0</v>
      </c>
      <c r="AN348">
        <f t="shared" si="176"/>
        <v>0</v>
      </c>
      <c r="AO348">
        <f t="shared" si="177"/>
        <v>0</v>
      </c>
      <c r="AP348">
        <f>IF('Исходные данные'!$B$51="Да",-MAX(0,AN348-AO348-AM348),0)</f>
        <v>0</v>
      </c>
      <c r="AQ348">
        <f>IF('Исходные данные'!$B$51="Да",MAX(0,AM348+AO348-AN348),0)</f>
        <v>0</v>
      </c>
      <c r="AR348">
        <f>IF('Исходные данные'!$B$53="Выручка",MAX(0,L348+(Q348-R348)+(U348-V348)),IF('Исходные данные'!$B$53="Прибыль до налога",MAX(0,L348+(Q348-R348)+(U348-V348)+N('Исходные данные'!$B$54)*((O348+P348)+(S348+T348)+W348+X348)+IF('Исходные данные'!$B$55="Да",AG348,0)-N('Исходные данные'!$B$56)/12),IF('Исходные данные'!$B$53="Пользовательская база",MAX(0,N('Исходные данные'!$B$57)/12),0)))</f>
        <v>0</v>
      </c>
      <c r="AS348">
        <f>IF(E348=1,-AR348*N('Исходные данные'!$B$50),0)</f>
        <v>0</v>
      </c>
      <c r="AT348">
        <f t="shared" si="178"/>
        <v>0</v>
      </c>
      <c r="AU348">
        <f>IF(OR(B348="",N('Исходные данные'!$B$80)&lt;=0,'Исходные данные'!$B$88=""),0,MAX(0,IF('Исходные данные'!$B$88="Последние 12 месяцев",SUMIFS($Y$2:$Y$194,$B$2:$B$194,"&gt;="&amp;EDATE(B348,-11),$B$2:$B$194,"&lt;="&amp;B348),IF('Исходные данные'!$B$88="Пользовательский NOI",N('Исходные данные'!$B$89),AT348))/N('Исходные данные'!$B$80)*(1+N('Исходные данные'!$B$81))))</f>
        <v>0</v>
      </c>
      <c r="AV348">
        <f>IF(OR(E348&lt;&gt;1,B348="",'Исходные данные'!$B$91=""),0,IF(AND(YEAR(B348)=YEAR('Исходные данные'!$B$91),MONTH(B348)=MONTH('Исходные данные'!$B$91)),AU348,0))</f>
        <v>0</v>
      </c>
      <c r="AW348">
        <f>-AV348*N('Исходные данные'!$B$73)</f>
        <v>0</v>
      </c>
      <c r="AX348">
        <f>IF(AV348=0,0,-N('Исходные данные'!$B$87)-IF('Исходные данные'!$B$82="Да",IF('Исходные данные'!$B$84="С выручки",AV348,IF('Исходные данные'!$B$84="С прибыли",MAX(0,AV348+AW348-IF('Исходные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48">
        <f t="shared" si="192"/>
        <v>0</v>
      </c>
      <c r="AZ348">
        <f t="shared" si="179"/>
        <v>0</v>
      </c>
      <c r="BA348">
        <f t="shared" si="193"/>
        <v>0</v>
      </c>
      <c r="BB348" t="str">
        <f t="shared" si="180"/>
        <v/>
      </c>
      <c r="BC348">
        <f>IF(OR(E348=0,'Исходные данные'!$B$9="",'Исходные данные'!$B$90=""),0,BA348/(1+'Исходные данные'!$B$90)^((D348-'Исходные данные'!$B$9)/365))</f>
        <v>0</v>
      </c>
      <c r="BD348">
        <f>IF(AND(E348=1,BB348&gt;=0,BB347&lt;0,MIN($BB$2:BB348)&lt;0),1,0)</f>
        <v>0</v>
      </c>
      <c r="BE348">
        <f t="shared" si="181"/>
        <v>0</v>
      </c>
      <c r="BF348">
        <f t="shared" si="182"/>
        <v>0</v>
      </c>
      <c r="BG348">
        <f t="shared" si="183"/>
        <v>0</v>
      </c>
      <c r="BH348">
        <f t="shared" si="184"/>
        <v>1</v>
      </c>
      <c r="BI348">
        <f>AZ348+N348+AP348-AR348*N('Исходные данные'!$B$50)</f>
        <v>0</v>
      </c>
      <c r="BJ348">
        <f t="shared" si="185"/>
        <v>0</v>
      </c>
      <c r="BK348">
        <f>IF(AND(BJ348&gt;=0,BJ347&lt;0,MIN($BJ$2:BJ348)&lt;0),1,0)</f>
        <v>0</v>
      </c>
    </row>
    <row r="349" spans="1:63" x14ac:dyDescent="0.2">
      <c r="A349">
        <v>348</v>
      </c>
      <c r="B349" t="str">
        <f>IF('Исходные данные'!$B$9="","",EDATE(DATE(YEAR('Исходные данные'!$B$9),MONTH('Исходные данные'!$B$9),1),A349-1))</f>
        <v/>
      </c>
      <c r="C349" t="str">
        <f t="shared" si="186"/>
        <v/>
      </c>
      <c r="D349" t="str">
        <f>IF(B349="","",IF('Исходные данные'!$B$91&lt;&gt;"",IF(AND(YEAR(B349)=YEAR('Исходные данные'!$B$91),MONTH(B349)=MONTH('Исходные данные'!$B$91)),'Исходные данные'!$B$91,IF('Исходные данные'!$B$13&lt;&gt;"",IF(AND(YEAR(B349)=YEAR('Исходные данные'!$B$13),MONTH(B349)=MONTH('Исходные данные'!$B$13)),'Исходные данные'!$B$13,IF('Исходные данные'!$B$26&lt;&gt;"",IF(AND(YEAR(B349)=YEAR('Исходные данные'!$B$26),MONTH(B349)=MONTH('Исходные данные'!$B$26)),'Исходные данные'!$B$26,IF(A349=1,'Исходные данные'!$B$9,C349)),IF(A349=1,'Исходные данные'!$B$9,C349))),IF('Исходные данные'!$B$26&lt;&gt;"",IF(AND(YEAR(B349)=YEAR('Исходные данные'!$B$26),MONTH(B349)=MONTH('Исходные данные'!$B$26)),'Исходные данные'!$B$26,IF(A349=1,'Исходные данные'!$B$9,C349)),IF(A349=1,'Исходные данные'!$B$9,C349)))),IF('Исходные данные'!$B$13&lt;&gt;"",IF(AND(YEAR(B349)=YEAR('Исходные данные'!$B$13),MONTH(B349)=MONTH('Исходные данные'!$B$13)),'Исходные данные'!$B$13,IF('Исходные данные'!$B$26&lt;&gt;"",IF(AND(YEAR(B349)=YEAR('Исходные данные'!$B$26),MONTH(B349)=MONTH('Исходные данные'!$B$26)),'Исходные данные'!$B$26,IF(A349=1,'Исходные данные'!$B$9,C349)),IF(A349=1,'Исходные данные'!$B$9,C349))),IF('Исходные данные'!$B$26&lt;&gt;"",IF(AND(YEAR(B349)=YEAR('Исходные данные'!$B$26),MONTH(B349)=MONTH('Исходные данные'!$B$26)),'Исходные данные'!$B$26,IF(A349=1,'Исходные данные'!$B$9,C349)),IF(A349=1,'Исходные данные'!$B$9,C349)))))</f>
        <v/>
      </c>
      <c r="E349">
        <f>IF(OR(B349="",'Исходные данные'!$B$91=""),0,--(B349&lt;=DATE(YEAR('Исходные данные'!$B$91),MONTH('Исходные данные'!$B$91),1)))</f>
        <v>0</v>
      </c>
      <c r="F349">
        <f>IF(OR(B349="",'Исходные данные'!$B$30="",C349&lt;'Исходные данные'!$B$30),0,DATEDIF(DATE(YEAR('Исходные данные'!$B$30),MONTH('Исходные данные'!$B$30),1),B349,"m")+1)</f>
        <v>0</v>
      </c>
      <c r="G349">
        <f t="shared" si="187"/>
        <v>0</v>
      </c>
      <c r="H349">
        <f>IF(F349=0,0,IF(G349=1,N('Исходные данные'!$B$31),IF(G349=2,N('Исходные данные'!$B$32),IF(G349=3,N('Исходные данные'!$B$33),N('Исходные данные'!$B$33)*(1+N('Исходные данные'!$B$34))^(G349-3)))))</f>
        <v>0</v>
      </c>
      <c r="I349">
        <f>IF(OR(F349=0,N('Исходные данные'!$B$5)=0,H349=0),0,'Исходные данные'!$B$5*H349*IF(AND(B349&lt;='Исходные данные'!$B$30,C349&gt;='Исходные данные'!$B$30),(C349-'Исходные данные'!$B$30+1)/DAY(C349),1))</f>
        <v>0</v>
      </c>
      <c r="J349">
        <f>IF(AND(F349&gt;0,F349&lt;=N('Исходные данные'!$B$37)),-I349,0)</f>
        <v>0</v>
      </c>
      <c r="K349">
        <f>IF(OR(F349=0,F349&lt;=N('Исходные данные'!$B$37)),0,-(I349+J349)*N('Исходные данные'!$B$38))</f>
        <v>0</v>
      </c>
      <c r="L349">
        <f t="shared" si="188"/>
        <v>0</v>
      </c>
      <c r="M349">
        <f>IF('Исходные данные'!$B$51="Да",L349*N('Исходные данные'!$B$52),0)</f>
        <v>0</v>
      </c>
      <c r="N349">
        <f t="shared" si="189"/>
        <v>0</v>
      </c>
      <c r="O349">
        <f>IF(OR(B349="",IF('Исходные данные'!$B$45="",'Исходные данные'!$B$10,'Исходные данные'!$B$45)="",C349&lt;IF('Исходные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данные'!$B$45)),1),B349,"m")/12))*IF(AND(B349&lt;=IF('Исходные данные'!$B$45="",'Исходные данные'!$B$10,'Исходные данные'!$B$45),C349&gt;=IF('Исходные данные'!$B$45="",'Исходные данные'!$B$10,'Исходные данные'!$B$45)),(C349-IF('Исходные данные'!$B$45="",'Исходные данные'!$B$10,'Исходные данные'!$B$45)+1)/DAY(C349),1)*IF('Исходные данные'!$B$43="Без НДС",1+N('Исходные данные'!$B$44),1))</f>
        <v>0</v>
      </c>
      <c r="P349">
        <f>IF('Исходные данные'!$B$51="Да",-O349*N('Исходные данные'!$B$44)/(1+N('Исходные данные'!$B$44)),0)</f>
        <v>0</v>
      </c>
      <c r="Q349">
        <f>IF('Исходные данные'!$B$35="Да",-O349,0)</f>
        <v>0</v>
      </c>
      <c r="R349">
        <f>IF(AND('Исходные данные'!$B$51="Да",Q349&gt;0),Q349*N('Исходные данные'!$B$52)/(1+N('Исходные данные'!$B$52)),0)</f>
        <v>0</v>
      </c>
      <c r="S349">
        <f>IF(OR(B349="",IF('Исходные данные'!$B$45="",'Исходные данные'!$B$10,'Исходные данные'!$B$45)="",C349&lt;IF('Исходные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данные'!$B$45)),1),B349,"m")/12))*IF(AND(B349&lt;=IF('Исходные данные'!$B$45="",'Исходные данные'!$B$10,'Исходные данные'!$B$45),C349&gt;=IF('Исходные данные'!$B$45="",'Исходные данные'!$B$10,'Исходные данные'!$B$45)),(C349-IF('Исходные данные'!$B$45="",'Исходные данные'!$B$10,'Исходные данные'!$B$45)+1)/DAY(C349),1)*IF('Исходные данные'!$B$43="Без НДС",1+N('Исходные данные'!$B$44),1))</f>
        <v>0</v>
      </c>
      <c r="T349">
        <f>IF('Исходные данные'!$B$51="Да",-S349*N('Исходные данные'!$B$44)/(1+N('Исходные данные'!$B$44)),0)</f>
        <v>0</v>
      </c>
      <c r="U349">
        <f>IF('Исходные данные'!$B$36="Да",-S349,0)</f>
        <v>0</v>
      </c>
      <c r="V349">
        <f>IF(AND('Исходные данные'!$B$51="Да",U349&gt;0),U349*N('Исходные данные'!$B$52)/(1+N('Исходные данные'!$B$52)),0)</f>
        <v>0</v>
      </c>
      <c r="W349">
        <f>IF(OR(B349="",IF('Исходные данные'!$B$69="",'Исходные данные'!$B$10,'Исходные данные'!$B$69)="",C349&lt;IF('Исходные данные'!$B$69="",'Исходные данные'!$B$10,'Исходные данные'!$B$69)),0,-N('Исходные данные'!$B$16)*N('Исходные данные'!$B$68)*N('Исходные данные'!$B$67)/12*IF(AND(B349&lt;=IF('Исходные данные'!$B$69="",'Исходные данные'!$B$10,'Исходные данные'!$B$69),C349&gt;=IF('Исходные данные'!$B$69="",'Исходные данные'!$B$10,'Исходные данные'!$B$69)),(C349-IF('Исходные данные'!$B$69="",'Исходные данные'!$B$10,'Исходные данные'!$B$69)+1)/DAY(C349),1))</f>
        <v>0</v>
      </c>
      <c r="X349">
        <f>IF(OR(B349="",IF('Исходные данные'!$B$76="",'Исходные данные'!$B$10,'Исходные данные'!$B$76)="",C349&lt;IF('Исходные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данные'!$B$76)),1),B349,"m")/12))*IF(AND(B349&lt;=IF('Исходные данные'!$B$76="",'Исходные данные'!$B$10,'Исходные данные'!$B$76),C349&gt;=IF('Исходные данные'!$B$76="",'Исходные данные'!$B$10,'Исходные данные'!$B$76)),(C349-IF('Исходные данные'!$B$76="",'Исходные данные'!$B$10,'Исходные данные'!$B$76)+1)/DAY(C349),1))</f>
        <v>0</v>
      </c>
      <c r="Y349">
        <f t="shared" si="190"/>
        <v>0</v>
      </c>
      <c r="Z349">
        <f>IF(OR(B349="",N('Исходные данные'!$B$19)=0),0,-SUMIFS('Исходные данные'!$I$6:$I$186,'Исходные данные'!$F$6:$F$186,B349)*N('Исходные данные'!$B$17)/N('Исходные данные'!$B$19))</f>
        <v>0</v>
      </c>
      <c r="AA349">
        <f>IF(OR(B349="",N('Исходные данные'!$B$19)=0),0,-SUMIFS('Исходные данные'!$I$6:$I$186,'Исходные данные'!$F$6:$F$186,B349)*N('Исходные данные'!$B$18)/N('Исходные данные'!$B$19))</f>
        <v>0</v>
      </c>
      <c r="AB349">
        <f>IF(OR(B349="",'Исходные данные'!$B$13=""),0,IF(AND(YEAR(B349)=YEAR('Исходные данные'!$B$13),MONTH(B349)=MONTH('Исходные данные'!$B$13)),-N('Исходные данные'!$B$11),0))</f>
        <v>0</v>
      </c>
      <c r="AC349">
        <f>IF(A349=1,-N('Исходные данные'!$B$19)*N('Исходные данные'!$B$72),0)</f>
        <v>0</v>
      </c>
      <c r="AD349">
        <f>IF(OR(B349="",'Исходные данные'!$B$22&lt;&gt;"Да",'Исходные данные'!$B$26=""),0,IF(AND(YEAR(B349)=YEAR('Исходные данные'!$B$26),MONTH(B349)=MONTH('Исходные данные'!$B$26)),N('Исходные данные'!$B$23),0))</f>
        <v>0</v>
      </c>
      <c r="AE349">
        <f t="shared" si="173"/>
        <v>0</v>
      </c>
      <c r="AF349">
        <f>IF(OR('Исходные данные'!$B$22&lt;&gt;"Да",'Исходные данные'!$B$26="",C349&lt;'Исходные данные'!$B$26),0,DATEDIF(DATE(YEAR('Исходные данные'!$B$26),MONTH('Исходные данные'!$B$26),1),B349,"m")+1)</f>
        <v>0</v>
      </c>
      <c r="AG349">
        <f>IF(OR(AF349&lt;1,AF349&gt;N('Исходные данные'!$B$25),AE349+AD349&lt;=0),0,-(AE349+AD349)*N('Исходные данные'!$B$24)*IF(AF349=1,C349-'Исходные данные'!$B$26+1,DAY(C349))/365)</f>
        <v>0</v>
      </c>
      <c r="AH349">
        <f>IF(OR(AF349&lt;1,AF349&gt;N('Исходные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данные'!$B$25)-AG349))</f>
        <v>0</v>
      </c>
      <c r="AI349">
        <f>IF(OR('Исходные данные'!$B$22&lt;&gt;"Да",AE349+AD349&lt;=0),0,IF(AND('Исходные данные'!$B$91&lt;&gt;"",B349&lt;&gt;"",YEAR(B349)=YEAR('Исходные данные'!$B$91),MONTH(B349)=MONTH('Исходные данные'!$B$91)),-(AE349+AD349),IF(OR(AF349&lt;1,AF349&gt;N('Исходные данные'!$B$25)),0,IF('Исходные данные'!$B$27="Равными долями",-MIN(AE349+AD349,N('Исходные данные'!$B$23)/N('Исходные данные'!$B$25)),-MIN(AE349+AD349,IF(AF349=N('Исходные данные'!$B$25),AE349+AD349,MAX(0,AH349+AG349)))))))</f>
        <v>0</v>
      </c>
      <c r="AJ349">
        <f t="shared" si="191"/>
        <v>0</v>
      </c>
      <c r="AK349">
        <f t="shared" si="174"/>
        <v>0</v>
      </c>
      <c r="AL349">
        <f>IF(OR(B349="",'Исходные данные'!$B$51&lt;&gt;"Да",'Исходные данные'!$B$61=""),0,IF(AND(YEAR(B349)=YEAR('Исходные данные'!$B$61),MONTH(B349)=MONTH('Исходные данные'!$B$61)),N('Исходные данные'!$B$18)*N('Исходные данные'!$B$62),0))</f>
        <v>0</v>
      </c>
      <c r="AM349">
        <f t="shared" si="175"/>
        <v>0</v>
      </c>
      <c r="AN349">
        <f t="shared" si="176"/>
        <v>0</v>
      </c>
      <c r="AO349">
        <f t="shared" si="177"/>
        <v>0</v>
      </c>
      <c r="AP349">
        <f>IF('Исходные данные'!$B$51="Да",-MAX(0,AN349-AO349-AM349),0)</f>
        <v>0</v>
      </c>
      <c r="AQ349">
        <f>IF('Исходные данные'!$B$51="Да",MAX(0,AM349+AO349-AN349),0)</f>
        <v>0</v>
      </c>
      <c r="AR349">
        <f>IF('Исходные данные'!$B$53="Выручка",MAX(0,L349+(Q349-R349)+(U349-V349)),IF('Исходные данные'!$B$53="Прибыль до налога",MAX(0,L349+(Q349-R349)+(U349-V349)+N('Исходные данные'!$B$54)*((O349+P349)+(S349+T349)+W349+X349)+IF('Исходные данные'!$B$55="Да",AG349,0)-N('Исходные данные'!$B$56)/12),IF('Исходные данные'!$B$53="Пользовательская база",MAX(0,N('Исходные данные'!$B$57)/12),0)))</f>
        <v>0</v>
      </c>
      <c r="AS349">
        <f>IF(E349=1,-AR349*N('Исходные данные'!$B$50),0)</f>
        <v>0</v>
      </c>
      <c r="AT349">
        <f t="shared" si="178"/>
        <v>0</v>
      </c>
      <c r="AU349">
        <f>IF(OR(B349="",N('Исходные данные'!$B$80)&lt;=0,'Исходные данные'!$B$88=""),0,MAX(0,IF('Исходные данные'!$B$88="Последние 12 месяцев",SUMIFS($Y$2:$Y$194,$B$2:$B$194,"&gt;="&amp;EDATE(B349,-11),$B$2:$B$194,"&lt;="&amp;B349),IF('Исходные данные'!$B$88="Пользовательский NOI",N('Исходные данные'!$B$89),AT349))/N('Исходные данные'!$B$80)*(1+N('Исходные данные'!$B$81))))</f>
        <v>0</v>
      </c>
      <c r="AV349">
        <f>IF(OR(E349&lt;&gt;1,B349="",'Исходные данные'!$B$91=""),0,IF(AND(YEAR(B349)=YEAR('Исходные данные'!$B$91),MONTH(B349)=MONTH('Исходные данные'!$B$91)),AU349,0))</f>
        <v>0</v>
      </c>
      <c r="AW349">
        <f>-AV349*N('Исходные данные'!$B$73)</f>
        <v>0</v>
      </c>
      <c r="AX349">
        <f>IF(AV349=0,0,-N('Исходные данные'!$B$87)-IF('Исходные данные'!$B$82="Да",IF('Исходные данные'!$B$84="С выручки",AV349,IF('Исходные данные'!$B$84="С прибыли",MAX(0,AV349+AW349-IF('Исходные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49">
        <f t="shared" si="192"/>
        <v>0</v>
      </c>
      <c r="AZ349">
        <f t="shared" si="179"/>
        <v>0</v>
      </c>
      <c r="BA349">
        <f t="shared" si="193"/>
        <v>0</v>
      </c>
      <c r="BB349" t="str">
        <f t="shared" si="180"/>
        <v/>
      </c>
      <c r="BC349">
        <f>IF(OR(E349=0,'Исходные данные'!$B$9="",'Исходные данные'!$B$90=""),0,BA349/(1+'Исходные данные'!$B$90)^((D349-'Исходные данные'!$B$9)/365))</f>
        <v>0</v>
      </c>
      <c r="BD349">
        <f>IF(AND(E349=1,BB349&gt;=0,BB348&lt;0,MIN($BB$2:BB349)&lt;0),1,0)</f>
        <v>0</v>
      </c>
      <c r="BE349">
        <f t="shared" si="181"/>
        <v>0</v>
      </c>
      <c r="BF349">
        <f t="shared" si="182"/>
        <v>0</v>
      </c>
      <c r="BG349">
        <f t="shared" si="183"/>
        <v>0</v>
      </c>
      <c r="BH349">
        <f t="shared" si="184"/>
        <v>1</v>
      </c>
      <c r="BI349">
        <f>AZ349+N349+AP349-AR349*N('Исходные данные'!$B$50)</f>
        <v>0</v>
      </c>
      <c r="BJ349">
        <f t="shared" si="185"/>
        <v>0</v>
      </c>
      <c r="BK349">
        <f>IF(AND(BJ349&gt;=0,BJ348&lt;0,MIN($BJ$2:BJ349)&lt;0),1,0)</f>
        <v>0</v>
      </c>
    </row>
    <row r="350" spans="1:63" x14ac:dyDescent="0.2">
      <c r="A350">
        <v>349</v>
      </c>
      <c r="B350" t="str">
        <f>IF('Исходные данные'!$B$9="","",EDATE(DATE(YEAR('Исходные данные'!$B$9),MONTH('Исходные данные'!$B$9),1),A350-1))</f>
        <v/>
      </c>
      <c r="C350" t="str">
        <f t="shared" si="186"/>
        <v/>
      </c>
      <c r="D350" t="str">
        <f>IF(B350="","",IF('Исходные данные'!$B$91&lt;&gt;"",IF(AND(YEAR(B350)=YEAR('Исходные данные'!$B$91),MONTH(B350)=MONTH('Исходные данные'!$B$91)),'Исходные данные'!$B$91,IF('Исходные данные'!$B$13&lt;&gt;"",IF(AND(YEAR(B350)=YEAR('Исходные данные'!$B$13),MONTH(B350)=MONTH('Исходные данные'!$B$13)),'Исходные данные'!$B$13,IF('Исходные данные'!$B$26&lt;&gt;"",IF(AND(YEAR(B350)=YEAR('Исходные данные'!$B$26),MONTH(B350)=MONTH('Исходные данные'!$B$26)),'Исходные данные'!$B$26,IF(A350=1,'Исходные данные'!$B$9,C350)),IF(A350=1,'Исходные данные'!$B$9,C350))),IF('Исходные данные'!$B$26&lt;&gt;"",IF(AND(YEAR(B350)=YEAR('Исходные данные'!$B$26),MONTH(B350)=MONTH('Исходные данные'!$B$26)),'Исходные данные'!$B$26,IF(A350=1,'Исходные данные'!$B$9,C350)),IF(A350=1,'Исходные данные'!$B$9,C350)))),IF('Исходные данные'!$B$13&lt;&gt;"",IF(AND(YEAR(B350)=YEAR('Исходные данные'!$B$13),MONTH(B350)=MONTH('Исходные данные'!$B$13)),'Исходные данные'!$B$13,IF('Исходные данные'!$B$26&lt;&gt;"",IF(AND(YEAR(B350)=YEAR('Исходные данные'!$B$26),MONTH(B350)=MONTH('Исходные данные'!$B$26)),'Исходные данные'!$B$26,IF(A350=1,'Исходные данные'!$B$9,C350)),IF(A350=1,'Исходные данные'!$B$9,C350))),IF('Исходные данные'!$B$26&lt;&gt;"",IF(AND(YEAR(B350)=YEAR('Исходные данные'!$B$26),MONTH(B350)=MONTH('Исходные данные'!$B$26)),'Исходные данные'!$B$26,IF(A350=1,'Исходные данные'!$B$9,C350)),IF(A350=1,'Исходные данные'!$B$9,C350)))))</f>
        <v/>
      </c>
      <c r="E350">
        <f>IF(OR(B350="",'Исходные данные'!$B$91=""),0,--(B350&lt;=DATE(YEAR('Исходные данные'!$B$91),MONTH('Исходные данные'!$B$91),1)))</f>
        <v>0</v>
      </c>
      <c r="F350">
        <f>IF(OR(B350="",'Исходные данные'!$B$30="",C350&lt;'Исходные данные'!$B$30),0,DATEDIF(DATE(YEAR('Исходные данные'!$B$30),MONTH('Исходные данные'!$B$30),1),B350,"m")+1)</f>
        <v>0</v>
      </c>
      <c r="G350">
        <f t="shared" si="187"/>
        <v>0</v>
      </c>
      <c r="H350">
        <f>IF(F350=0,0,IF(G350=1,N('Исходные данные'!$B$31),IF(G350=2,N('Исходные данные'!$B$32),IF(G350=3,N('Исходные данные'!$B$33),N('Исходные данные'!$B$33)*(1+N('Исходные данные'!$B$34))^(G350-3)))))</f>
        <v>0</v>
      </c>
      <c r="I350">
        <f>IF(OR(F350=0,N('Исходные данные'!$B$5)=0,H350=0),0,'Исходные данные'!$B$5*H350*IF(AND(B350&lt;='Исходные данные'!$B$30,C350&gt;='Исходные данные'!$B$30),(C350-'Исходные данные'!$B$30+1)/DAY(C350),1))</f>
        <v>0</v>
      </c>
      <c r="J350">
        <f>IF(AND(F350&gt;0,F350&lt;=N('Исходные данные'!$B$37)),-I350,0)</f>
        <v>0</v>
      </c>
      <c r="K350">
        <f>IF(OR(F350=0,F350&lt;=N('Исходные данные'!$B$37)),0,-(I350+J350)*N('Исходные данные'!$B$38))</f>
        <v>0</v>
      </c>
      <c r="L350">
        <f t="shared" si="188"/>
        <v>0</v>
      </c>
      <c r="M350">
        <f>IF('Исходные данные'!$B$51="Да",L350*N('Исходные данные'!$B$52),0)</f>
        <v>0</v>
      </c>
      <c r="N350">
        <f t="shared" si="189"/>
        <v>0</v>
      </c>
      <c r="O350">
        <f>IF(OR(B350="",IF('Исходные данные'!$B$45="",'Исходные данные'!$B$10,'Исходные данные'!$B$45)="",C350&lt;IF('Исходные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данные'!$B$45)),1),B350,"m")/12))*IF(AND(B350&lt;=IF('Исходные данные'!$B$45="",'Исходные данные'!$B$10,'Исходные данные'!$B$45),C350&gt;=IF('Исходные данные'!$B$45="",'Исходные данные'!$B$10,'Исходные данные'!$B$45)),(C350-IF('Исходные данные'!$B$45="",'Исходные данные'!$B$10,'Исходные данные'!$B$45)+1)/DAY(C350),1)*IF('Исходные данные'!$B$43="Без НДС",1+N('Исходные данные'!$B$44),1))</f>
        <v>0</v>
      </c>
      <c r="P350">
        <f>IF('Исходные данные'!$B$51="Да",-O350*N('Исходные данные'!$B$44)/(1+N('Исходные данные'!$B$44)),0)</f>
        <v>0</v>
      </c>
      <c r="Q350">
        <f>IF('Исходные данные'!$B$35="Да",-O350,0)</f>
        <v>0</v>
      </c>
      <c r="R350">
        <f>IF(AND('Исходные данные'!$B$51="Да",Q350&gt;0),Q350*N('Исходные данные'!$B$52)/(1+N('Исходные данные'!$B$52)),0)</f>
        <v>0</v>
      </c>
      <c r="S350">
        <f>IF(OR(B350="",IF('Исходные данные'!$B$45="",'Исходные данные'!$B$10,'Исходные данные'!$B$45)="",C350&lt;IF('Исходные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данные'!$B$45)),1),B350,"m")/12))*IF(AND(B350&lt;=IF('Исходные данные'!$B$45="",'Исходные данные'!$B$10,'Исходные данные'!$B$45),C350&gt;=IF('Исходные данные'!$B$45="",'Исходные данные'!$B$10,'Исходные данные'!$B$45)),(C350-IF('Исходные данные'!$B$45="",'Исходные данные'!$B$10,'Исходные данные'!$B$45)+1)/DAY(C350),1)*IF('Исходные данные'!$B$43="Без НДС",1+N('Исходные данные'!$B$44),1))</f>
        <v>0</v>
      </c>
      <c r="T350">
        <f>IF('Исходные данные'!$B$51="Да",-S350*N('Исходные данные'!$B$44)/(1+N('Исходные данные'!$B$44)),0)</f>
        <v>0</v>
      </c>
      <c r="U350">
        <f>IF('Исходные данные'!$B$36="Да",-S350,0)</f>
        <v>0</v>
      </c>
      <c r="V350">
        <f>IF(AND('Исходные данные'!$B$51="Да",U350&gt;0),U350*N('Исходные данные'!$B$52)/(1+N('Исходные данные'!$B$52)),0)</f>
        <v>0</v>
      </c>
      <c r="W350">
        <f>IF(OR(B350="",IF('Исходные данные'!$B$69="",'Исходные данные'!$B$10,'Исходные данные'!$B$69)="",C350&lt;IF('Исходные данные'!$B$69="",'Исходные данные'!$B$10,'Исходные данные'!$B$69)),0,-N('Исходные данные'!$B$16)*N('Исходные данные'!$B$68)*N('Исходные данные'!$B$67)/12*IF(AND(B350&lt;=IF('Исходные данные'!$B$69="",'Исходные данные'!$B$10,'Исходные данные'!$B$69),C350&gt;=IF('Исходные данные'!$B$69="",'Исходные данные'!$B$10,'Исходные данные'!$B$69)),(C350-IF('Исходные данные'!$B$69="",'Исходные данные'!$B$10,'Исходные данные'!$B$69)+1)/DAY(C350),1))</f>
        <v>0</v>
      </c>
      <c r="X350">
        <f>IF(OR(B350="",IF('Исходные данные'!$B$76="",'Исходные данные'!$B$10,'Исходные данные'!$B$76)="",C350&lt;IF('Исходные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данные'!$B$76)),1),B350,"m")/12))*IF(AND(B350&lt;=IF('Исходные данные'!$B$76="",'Исходные данные'!$B$10,'Исходные данные'!$B$76),C350&gt;=IF('Исходные данные'!$B$76="",'Исходные данные'!$B$10,'Исходные данные'!$B$76)),(C350-IF('Исходные данные'!$B$76="",'Исходные данные'!$B$10,'Исходные данные'!$B$76)+1)/DAY(C350),1))</f>
        <v>0</v>
      </c>
      <c r="Y350">
        <f t="shared" si="190"/>
        <v>0</v>
      </c>
      <c r="Z350">
        <f>IF(OR(B350="",N('Исходные данные'!$B$19)=0),0,-SUMIFS('Исходные данные'!$I$6:$I$186,'Исходные данные'!$F$6:$F$186,B350)*N('Исходные данные'!$B$17)/N('Исходные данные'!$B$19))</f>
        <v>0</v>
      </c>
      <c r="AA350">
        <f>IF(OR(B350="",N('Исходные данные'!$B$19)=0),0,-SUMIFS('Исходные данные'!$I$6:$I$186,'Исходные данные'!$F$6:$F$186,B350)*N('Исходные данные'!$B$18)/N('Исходные данные'!$B$19))</f>
        <v>0</v>
      </c>
      <c r="AB350">
        <f>IF(OR(B350="",'Исходные данные'!$B$13=""),0,IF(AND(YEAR(B350)=YEAR('Исходные данные'!$B$13),MONTH(B350)=MONTH('Исходные данные'!$B$13)),-N('Исходные данные'!$B$11),0))</f>
        <v>0</v>
      </c>
      <c r="AC350">
        <f>IF(A350=1,-N('Исходные данные'!$B$19)*N('Исходные данные'!$B$72),0)</f>
        <v>0</v>
      </c>
      <c r="AD350">
        <f>IF(OR(B350="",'Исходные данные'!$B$22&lt;&gt;"Да",'Исходные данные'!$B$26=""),0,IF(AND(YEAR(B350)=YEAR('Исходные данные'!$B$26),MONTH(B350)=MONTH('Исходные данные'!$B$26)),N('Исходные данные'!$B$23),0))</f>
        <v>0</v>
      </c>
      <c r="AE350">
        <f t="shared" si="173"/>
        <v>0</v>
      </c>
      <c r="AF350">
        <f>IF(OR('Исходные данные'!$B$22&lt;&gt;"Да",'Исходные данные'!$B$26="",C350&lt;'Исходные данные'!$B$26),0,DATEDIF(DATE(YEAR('Исходные данные'!$B$26),MONTH('Исходные данные'!$B$26),1),B350,"m")+1)</f>
        <v>0</v>
      </c>
      <c r="AG350">
        <f>IF(OR(AF350&lt;1,AF350&gt;N('Исходные данные'!$B$25),AE350+AD350&lt;=0),0,-(AE350+AD350)*N('Исходные данные'!$B$24)*IF(AF350=1,C350-'Исходные данные'!$B$26+1,DAY(C350))/365)</f>
        <v>0</v>
      </c>
      <c r="AH350">
        <f>IF(OR(AF350&lt;1,AF350&gt;N('Исходные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данные'!$B$25)-AG350))</f>
        <v>0</v>
      </c>
      <c r="AI350">
        <f>IF(OR('Исходные данные'!$B$22&lt;&gt;"Да",AE350+AD350&lt;=0),0,IF(AND('Исходные данные'!$B$91&lt;&gt;"",B350&lt;&gt;"",YEAR(B350)=YEAR('Исходные данные'!$B$91),MONTH(B350)=MONTH('Исходные данные'!$B$91)),-(AE350+AD350),IF(OR(AF350&lt;1,AF350&gt;N('Исходные данные'!$B$25)),0,IF('Исходные данные'!$B$27="Равными долями",-MIN(AE350+AD350,N('Исходные данные'!$B$23)/N('Исходные данные'!$B$25)),-MIN(AE350+AD350,IF(AF350=N('Исходные данные'!$B$25),AE350+AD350,MAX(0,AH350+AG350)))))))</f>
        <v>0</v>
      </c>
      <c r="AJ350">
        <f t="shared" si="191"/>
        <v>0</v>
      </c>
      <c r="AK350">
        <f t="shared" si="174"/>
        <v>0</v>
      </c>
      <c r="AL350">
        <f>IF(OR(B350="",'Исходные данные'!$B$51&lt;&gt;"Да",'Исходные данные'!$B$61=""),0,IF(AND(YEAR(B350)=YEAR('Исходные данные'!$B$61),MONTH(B350)=MONTH('Исходные данные'!$B$61)),N('Исходные данные'!$B$18)*N('Исходные данные'!$B$62),0))</f>
        <v>0</v>
      </c>
      <c r="AM350">
        <f t="shared" si="175"/>
        <v>0</v>
      </c>
      <c r="AN350">
        <f t="shared" si="176"/>
        <v>0</v>
      </c>
      <c r="AO350">
        <f t="shared" si="177"/>
        <v>0</v>
      </c>
      <c r="AP350">
        <f>IF('Исходные данные'!$B$51="Да",-MAX(0,AN350-AO350-AM350),0)</f>
        <v>0</v>
      </c>
      <c r="AQ350">
        <f>IF('Исходные данные'!$B$51="Да",MAX(0,AM350+AO350-AN350),0)</f>
        <v>0</v>
      </c>
      <c r="AR350">
        <f>IF('Исходные данные'!$B$53="Выручка",MAX(0,L350+(Q350-R350)+(U350-V350)),IF('Исходные данные'!$B$53="Прибыль до налога",MAX(0,L350+(Q350-R350)+(U350-V350)+N('Исходные данные'!$B$54)*((O350+P350)+(S350+T350)+W350+X350)+IF('Исходные данные'!$B$55="Да",AG350,0)-N('Исходные данные'!$B$56)/12),IF('Исходные данные'!$B$53="Пользовательская база",MAX(0,N('Исходные данные'!$B$57)/12),0)))</f>
        <v>0</v>
      </c>
      <c r="AS350">
        <f>IF(E350=1,-AR350*N('Исходные данные'!$B$50),0)</f>
        <v>0</v>
      </c>
      <c r="AT350">
        <f t="shared" si="178"/>
        <v>0</v>
      </c>
      <c r="AU350">
        <f>IF(OR(B350="",N('Исходные данные'!$B$80)&lt;=0,'Исходные данные'!$B$88=""),0,MAX(0,IF('Исходные данные'!$B$88="Последние 12 месяцев",SUMIFS($Y$2:$Y$194,$B$2:$B$194,"&gt;="&amp;EDATE(B350,-11),$B$2:$B$194,"&lt;="&amp;B350),IF('Исходные данные'!$B$88="Пользовательский NOI",N('Исходные данные'!$B$89),AT350))/N('Исходные данные'!$B$80)*(1+N('Исходные данные'!$B$81))))</f>
        <v>0</v>
      </c>
      <c r="AV350">
        <f>IF(OR(E350&lt;&gt;1,B350="",'Исходные данные'!$B$91=""),0,IF(AND(YEAR(B350)=YEAR('Исходные данные'!$B$91),MONTH(B350)=MONTH('Исходные данные'!$B$91)),AU350,0))</f>
        <v>0</v>
      </c>
      <c r="AW350">
        <f>-AV350*N('Исходные данные'!$B$73)</f>
        <v>0</v>
      </c>
      <c r="AX350">
        <f>IF(AV350=0,0,-N('Исходные данные'!$B$87)-IF('Исходные данные'!$B$82="Да",IF('Исходные данные'!$B$84="С выручки",AV350,IF('Исходные данные'!$B$84="С прибыли",MAX(0,AV350+AW350-IF('Исходные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50">
        <f t="shared" si="192"/>
        <v>0</v>
      </c>
      <c r="AZ350">
        <f t="shared" si="179"/>
        <v>0</v>
      </c>
      <c r="BA350">
        <f t="shared" si="193"/>
        <v>0</v>
      </c>
      <c r="BB350" t="str">
        <f t="shared" si="180"/>
        <v/>
      </c>
      <c r="BC350">
        <f>IF(OR(E350=0,'Исходные данные'!$B$9="",'Исходные данные'!$B$90=""),0,BA350/(1+'Исходные данные'!$B$90)^((D350-'Исходные данные'!$B$9)/365))</f>
        <v>0</v>
      </c>
      <c r="BD350">
        <f>IF(AND(E350=1,BB350&gt;=0,BB349&lt;0,MIN($BB$2:BB350)&lt;0),1,0)</f>
        <v>0</v>
      </c>
      <c r="BE350">
        <f t="shared" si="181"/>
        <v>0</v>
      </c>
      <c r="BF350">
        <f t="shared" si="182"/>
        <v>0</v>
      </c>
      <c r="BG350">
        <f t="shared" si="183"/>
        <v>0</v>
      </c>
      <c r="BH350">
        <f t="shared" si="184"/>
        <v>1</v>
      </c>
      <c r="BI350">
        <f>AZ350+N350+AP350-AR350*N('Исходные данные'!$B$50)</f>
        <v>0</v>
      </c>
      <c r="BJ350">
        <f t="shared" si="185"/>
        <v>0</v>
      </c>
      <c r="BK350">
        <f>IF(AND(BJ350&gt;=0,BJ349&lt;0,MIN($BJ$2:BJ350)&lt;0),1,0)</f>
        <v>0</v>
      </c>
    </row>
    <row r="351" spans="1:63" x14ac:dyDescent="0.2">
      <c r="A351">
        <v>350</v>
      </c>
      <c r="B351" t="str">
        <f>IF('Исходные данные'!$B$9="","",EDATE(DATE(YEAR('Исходные данные'!$B$9),MONTH('Исходные данные'!$B$9),1),A351-1))</f>
        <v/>
      </c>
      <c r="C351" t="str">
        <f t="shared" si="186"/>
        <v/>
      </c>
      <c r="D351" t="str">
        <f>IF(B351="","",IF('Исходные данные'!$B$91&lt;&gt;"",IF(AND(YEAR(B351)=YEAR('Исходные данные'!$B$91),MONTH(B351)=MONTH('Исходные данные'!$B$91)),'Исходные данные'!$B$91,IF('Исходные данные'!$B$13&lt;&gt;"",IF(AND(YEAR(B351)=YEAR('Исходные данные'!$B$13),MONTH(B351)=MONTH('Исходные данные'!$B$13)),'Исходные данные'!$B$13,IF('Исходные данные'!$B$26&lt;&gt;"",IF(AND(YEAR(B351)=YEAR('Исходные данные'!$B$26),MONTH(B351)=MONTH('Исходные данные'!$B$26)),'Исходные данные'!$B$26,IF(A351=1,'Исходные данные'!$B$9,C351)),IF(A351=1,'Исходные данные'!$B$9,C351))),IF('Исходные данные'!$B$26&lt;&gt;"",IF(AND(YEAR(B351)=YEAR('Исходные данные'!$B$26),MONTH(B351)=MONTH('Исходные данные'!$B$26)),'Исходные данные'!$B$26,IF(A351=1,'Исходные данные'!$B$9,C351)),IF(A351=1,'Исходные данные'!$B$9,C351)))),IF('Исходные данные'!$B$13&lt;&gt;"",IF(AND(YEAR(B351)=YEAR('Исходные данные'!$B$13),MONTH(B351)=MONTH('Исходные данные'!$B$13)),'Исходные данные'!$B$13,IF('Исходные данные'!$B$26&lt;&gt;"",IF(AND(YEAR(B351)=YEAR('Исходные данные'!$B$26),MONTH(B351)=MONTH('Исходные данные'!$B$26)),'Исходные данные'!$B$26,IF(A351=1,'Исходные данные'!$B$9,C351)),IF(A351=1,'Исходные данные'!$B$9,C351))),IF('Исходные данные'!$B$26&lt;&gt;"",IF(AND(YEAR(B351)=YEAR('Исходные данные'!$B$26),MONTH(B351)=MONTH('Исходные данные'!$B$26)),'Исходные данные'!$B$26,IF(A351=1,'Исходные данные'!$B$9,C351)),IF(A351=1,'Исходные данные'!$B$9,C351)))))</f>
        <v/>
      </c>
      <c r="E351">
        <f>IF(OR(B351="",'Исходные данные'!$B$91=""),0,--(B351&lt;=DATE(YEAR('Исходные данные'!$B$91),MONTH('Исходные данные'!$B$91),1)))</f>
        <v>0</v>
      </c>
      <c r="F351">
        <f>IF(OR(B351="",'Исходные данные'!$B$30="",C351&lt;'Исходные данные'!$B$30),0,DATEDIF(DATE(YEAR('Исходные данные'!$B$30),MONTH('Исходные данные'!$B$30),1),B351,"m")+1)</f>
        <v>0</v>
      </c>
      <c r="G351">
        <f t="shared" si="187"/>
        <v>0</v>
      </c>
      <c r="H351">
        <f>IF(F351=0,0,IF(G351=1,N('Исходные данные'!$B$31),IF(G351=2,N('Исходные данные'!$B$32),IF(G351=3,N('Исходные данные'!$B$33),N('Исходные данные'!$B$33)*(1+N('Исходные данные'!$B$34))^(G351-3)))))</f>
        <v>0</v>
      </c>
      <c r="I351">
        <f>IF(OR(F351=0,N('Исходные данные'!$B$5)=0,H351=0),0,'Исходные данные'!$B$5*H351*IF(AND(B351&lt;='Исходные данные'!$B$30,C351&gt;='Исходные данные'!$B$30),(C351-'Исходные данные'!$B$30+1)/DAY(C351),1))</f>
        <v>0</v>
      </c>
      <c r="J351">
        <f>IF(AND(F351&gt;0,F351&lt;=N('Исходные данные'!$B$37)),-I351,0)</f>
        <v>0</v>
      </c>
      <c r="K351">
        <f>IF(OR(F351=0,F351&lt;=N('Исходные данные'!$B$37)),0,-(I351+J351)*N('Исходные данные'!$B$38))</f>
        <v>0</v>
      </c>
      <c r="L351">
        <f t="shared" si="188"/>
        <v>0</v>
      </c>
      <c r="M351">
        <f>IF('Исходные данные'!$B$51="Да",L351*N('Исходные данные'!$B$52),0)</f>
        <v>0</v>
      </c>
      <c r="N351">
        <f t="shared" si="189"/>
        <v>0</v>
      </c>
      <c r="O351">
        <f>IF(OR(B351="",IF('Исходные данные'!$B$45="",'Исходные данные'!$B$10,'Исходные данные'!$B$45)="",C351&lt;IF('Исходные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данные'!$B$45)),1),B351,"m")/12))*IF(AND(B351&lt;=IF('Исходные данные'!$B$45="",'Исходные данные'!$B$10,'Исходные данные'!$B$45),C351&gt;=IF('Исходные данные'!$B$45="",'Исходные данные'!$B$10,'Исходные данные'!$B$45)),(C351-IF('Исходные данные'!$B$45="",'Исходные данные'!$B$10,'Исходные данные'!$B$45)+1)/DAY(C351),1)*IF('Исходные данные'!$B$43="Без НДС",1+N('Исходные данные'!$B$44),1))</f>
        <v>0</v>
      </c>
      <c r="P351">
        <f>IF('Исходные данные'!$B$51="Да",-O351*N('Исходные данные'!$B$44)/(1+N('Исходные данные'!$B$44)),0)</f>
        <v>0</v>
      </c>
      <c r="Q351">
        <f>IF('Исходные данные'!$B$35="Да",-O351,0)</f>
        <v>0</v>
      </c>
      <c r="R351">
        <f>IF(AND('Исходные данные'!$B$51="Да",Q351&gt;0),Q351*N('Исходные данные'!$B$52)/(1+N('Исходные данные'!$B$52)),0)</f>
        <v>0</v>
      </c>
      <c r="S351">
        <f>IF(OR(B351="",IF('Исходные данные'!$B$45="",'Исходные данные'!$B$10,'Исходные данные'!$B$45)="",C351&lt;IF('Исходные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данные'!$B$45)),1),B351,"m")/12))*IF(AND(B351&lt;=IF('Исходные данные'!$B$45="",'Исходные данные'!$B$10,'Исходные данные'!$B$45),C351&gt;=IF('Исходные данные'!$B$45="",'Исходные данные'!$B$10,'Исходные данные'!$B$45)),(C351-IF('Исходные данные'!$B$45="",'Исходные данные'!$B$10,'Исходные данные'!$B$45)+1)/DAY(C351),1)*IF('Исходные данные'!$B$43="Без НДС",1+N('Исходные данные'!$B$44),1))</f>
        <v>0</v>
      </c>
      <c r="T351">
        <f>IF('Исходные данные'!$B$51="Да",-S351*N('Исходные данные'!$B$44)/(1+N('Исходные данные'!$B$44)),0)</f>
        <v>0</v>
      </c>
      <c r="U351">
        <f>IF('Исходные данные'!$B$36="Да",-S351,0)</f>
        <v>0</v>
      </c>
      <c r="V351">
        <f>IF(AND('Исходные данные'!$B$51="Да",U351&gt;0),U351*N('Исходные данные'!$B$52)/(1+N('Исходные данные'!$B$52)),0)</f>
        <v>0</v>
      </c>
      <c r="W351">
        <f>IF(OR(B351="",IF('Исходные данные'!$B$69="",'Исходные данные'!$B$10,'Исходные данные'!$B$69)="",C351&lt;IF('Исходные данные'!$B$69="",'Исходные данные'!$B$10,'Исходные данные'!$B$69)),0,-N('Исходные данные'!$B$16)*N('Исходные данные'!$B$68)*N('Исходные данные'!$B$67)/12*IF(AND(B351&lt;=IF('Исходные данные'!$B$69="",'Исходные данные'!$B$10,'Исходные данные'!$B$69),C351&gt;=IF('Исходные данные'!$B$69="",'Исходные данные'!$B$10,'Исходные данные'!$B$69)),(C351-IF('Исходные данные'!$B$69="",'Исходные данные'!$B$10,'Исходные данные'!$B$69)+1)/DAY(C351),1))</f>
        <v>0</v>
      </c>
      <c r="X351">
        <f>IF(OR(B351="",IF('Исходные данные'!$B$76="",'Исходные данные'!$B$10,'Исходные данные'!$B$76)="",C351&lt;IF('Исходные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данные'!$B$76)),1),B351,"m")/12))*IF(AND(B351&lt;=IF('Исходные данные'!$B$76="",'Исходные данные'!$B$10,'Исходные данные'!$B$76),C351&gt;=IF('Исходные данные'!$B$76="",'Исходные данные'!$B$10,'Исходные данные'!$B$76)),(C351-IF('Исходные данные'!$B$76="",'Исходные данные'!$B$10,'Исходные данные'!$B$76)+1)/DAY(C351),1))</f>
        <v>0</v>
      </c>
      <c r="Y351">
        <f t="shared" si="190"/>
        <v>0</v>
      </c>
      <c r="Z351">
        <f>IF(OR(B351="",N('Исходные данные'!$B$19)=0),0,-SUMIFS('Исходные данные'!$I$6:$I$186,'Исходные данные'!$F$6:$F$186,B351)*N('Исходные данные'!$B$17)/N('Исходные данные'!$B$19))</f>
        <v>0</v>
      </c>
      <c r="AA351">
        <f>IF(OR(B351="",N('Исходные данные'!$B$19)=0),0,-SUMIFS('Исходные данные'!$I$6:$I$186,'Исходные данные'!$F$6:$F$186,B351)*N('Исходные данные'!$B$18)/N('Исходные данные'!$B$19))</f>
        <v>0</v>
      </c>
      <c r="AB351">
        <f>IF(OR(B351="",'Исходные данные'!$B$13=""),0,IF(AND(YEAR(B351)=YEAR('Исходные данные'!$B$13),MONTH(B351)=MONTH('Исходные данные'!$B$13)),-N('Исходные данные'!$B$11),0))</f>
        <v>0</v>
      </c>
      <c r="AC351">
        <f>IF(A351=1,-N('Исходные данные'!$B$19)*N('Исходные данные'!$B$72),0)</f>
        <v>0</v>
      </c>
      <c r="AD351">
        <f>IF(OR(B351="",'Исходные данные'!$B$22&lt;&gt;"Да",'Исходные данные'!$B$26=""),0,IF(AND(YEAR(B351)=YEAR('Исходные данные'!$B$26),MONTH(B351)=MONTH('Исходные данные'!$B$26)),N('Исходные данные'!$B$23),0))</f>
        <v>0</v>
      </c>
      <c r="AE351">
        <f t="shared" si="173"/>
        <v>0</v>
      </c>
      <c r="AF351">
        <f>IF(OR('Исходные данные'!$B$22&lt;&gt;"Да",'Исходные данные'!$B$26="",C351&lt;'Исходные данные'!$B$26),0,DATEDIF(DATE(YEAR('Исходные данные'!$B$26),MONTH('Исходные данные'!$B$26),1),B351,"m")+1)</f>
        <v>0</v>
      </c>
      <c r="AG351">
        <f>IF(OR(AF351&lt;1,AF351&gt;N('Исходные данные'!$B$25),AE351+AD351&lt;=0),0,-(AE351+AD351)*N('Исходные данные'!$B$24)*IF(AF351=1,C351-'Исходные данные'!$B$26+1,DAY(C351))/365)</f>
        <v>0</v>
      </c>
      <c r="AH351">
        <f>IF(OR(AF351&lt;1,AF351&gt;N('Исходные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данные'!$B$25)-AG351))</f>
        <v>0</v>
      </c>
      <c r="AI351">
        <f>IF(OR('Исходные данные'!$B$22&lt;&gt;"Да",AE351+AD351&lt;=0),0,IF(AND('Исходные данные'!$B$91&lt;&gt;"",B351&lt;&gt;"",YEAR(B351)=YEAR('Исходные данные'!$B$91),MONTH(B351)=MONTH('Исходные данные'!$B$91)),-(AE351+AD351),IF(OR(AF351&lt;1,AF351&gt;N('Исходные данные'!$B$25)),0,IF('Исходные данные'!$B$27="Равными долями",-MIN(AE351+AD351,N('Исходные данные'!$B$23)/N('Исходные данные'!$B$25)),-MIN(AE351+AD351,IF(AF351=N('Исходные данные'!$B$25),AE351+AD351,MAX(0,AH351+AG351)))))))</f>
        <v>0</v>
      </c>
      <c r="AJ351">
        <f t="shared" si="191"/>
        <v>0</v>
      </c>
      <c r="AK351">
        <f t="shared" si="174"/>
        <v>0</v>
      </c>
      <c r="AL351">
        <f>IF(OR(B351="",'Исходные данные'!$B$51&lt;&gt;"Да",'Исходные данные'!$B$61=""),0,IF(AND(YEAR(B351)=YEAR('Исходные данные'!$B$61),MONTH(B351)=MONTH('Исходные данные'!$B$61)),N('Исходные данные'!$B$18)*N('Исходные данные'!$B$62),0))</f>
        <v>0</v>
      </c>
      <c r="AM351">
        <f t="shared" si="175"/>
        <v>0</v>
      </c>
      <c r="AN351">
        <f t="shared" si="176"/>
        <v>0</v>
      </c>
      <c r="AO351">
        <f t="shared" si="177"/>
        <v>0</v>
      </c>
      <c r="AP351">
        <f>IF('Исходные данные'!$B$51="Да",-MAX(0,AN351-AO351-AM351),0)</f>
        <v>0</v>
      </c>
      <c r="AQ351">
        <f>IF('Исходные данные'!$B$51="Да",MAX(0,AM351+AO351-AN351),0)</f>
        <v>0</v>
      </c>
      <c r="AR351">
        <f>IF('Исходные данные'!$B$53="Выручка",MAX(0,L351+(Q351-R351)+(U351-V351)),IF('Исходные данные'!$B$53="Прибыль до налога",MAX(0,L351+(Q351-R351)+(U351-V351)+N('Исходные данные'!$B$54)*((O351+P351)+(S351+T351)+W351+X351)+IF('Исходные данные'!$B$55="Да",AG351,0)-N('Исходные данные'!$B$56)/12),IF('Исходные данные'!$B$53="Пользовательская база",MAX(0,N('Исходные данные'!$B$57)/12),0)))</f>
        <v>0</v>
      </c>
      <c r="AS351">
        <f>IF(E351=1,-AR351*N('Исходные данные'!$B$50),0)</f>
        <v>0</v>
      </c>
      <c r="AT351">
        <f t="shared" si="178"/>
        <v>0</v>
      </c>
      <c r="AU351">
        <f>IF(OR(B351="",N('Исходные данные'!$B$80)&lt;=0,'Исходные данные'!$B$88=""),0,MAX(0,IF('Исходные данные'!$B$88="Последние 12 месяцев",SUMIFS($Y$2:$Y$194,$B$2:$B$194,"&gt;="&amp;EDATE(B351,-11),$B$2:$B$194,"&lt;="&amp;B351),IF('Исходные данные'!$B$88="Пользовательский NOI",N('Исходные данные'!$B$89),AT351))/N('Исходные данные'!$B$80)*(1+N('Исходные данные'!$B$81))))</f>
        <v>0</v>
      </c>
      <c r="AV351">
        <f>IF(OR(E351&lt;&gt;1,B351="",'Исходные данные'!$B$91=""),0,IF(AND(YEAR(B351)=YEAR('Исходные данные'!$B$91),MONTH(B351)=MONTH('Исходные данные'!$B$91)),AU351,0))</f>
        <v>0</v>
      </c>
      <c r="AW351">
        <f>-AV351*N('Исходные данные'!$B$73)</f>
        <v>0</v>
      </c>
      <c r="AX351">
        <f>IF(AV351=0,0,-N('Исходные данные'!$B$87)-IF('Исходные данные'!$B$82="Да",IF('Исходные данные'!$B$84="С выручки",AV351,IF('Исходные данные'!$B$84="С прибыли",MAX(0,AV351+AW351-IF('Исходные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51">
        <f t="shared" si="192"/>
        <v>0</v>
      </c>
      <c r="AZ351">
        <f t="shared" si="179"/>
        <v>0</v>
      </c>
      <c r="BA351">
        <f t="shared" si="193"/>
        <v>0</v>
      </c>
      <c r="BB351" t="str">
        <f t="shared" si="180"/>
        <v/>
      </c>
      <c r="BC351">
        <f>IF(OR(E351=0,'Исходные данные'!$B$9="",'Исходные данные'!$B$90=""),0,BA351/(1+'Исходные данные'!$B$90)^((D351-'Исходные данные'!$B$9)/365))</f>
        <v>0</v>
      </c>
      <c r="BD351">
        <f>IF(AND(E351=1,BB351&gt;=0,BB350&lt;0,MIN($BB$2:BB351)&lt;0),1,0)</f>
        <v>0</v>
      </c>
      <c r="BE351">
        <f t="shared" si="181"/>
        <v>0</v>
      </c>
      <c r="BF351">
        <f t="shared" si="182"/>
        <v>0</v>
      </c>
      <c r="BG351">
        <f t="shared" si="183"/>
        <v>0</v>
      </c>
      <c r="BH351">
        <f t="shared" si="184"/>
        <v>1</v>
      </c>
      <c r="BI351">
        <f>AZ351+N351+AP351-AR351*N('Исходные данные'!$B$50)</f>
        <v>0</v>
      </c>
      <c r="BJ351">
        <f t="shared" si="185"/>
        <v>0</v>
      </c>
      <c r="BK351">
        <f>IF(AND(BJ351&gt;=0,BJ350&lt;0,MIN($BJ$2:BJ351)&lt;0),1,0)</f>
        <v>0</v>
      </c>
    </row>
    <row r="352" spans="1:63" x14ac:dyDescent="0.2">
      <c r="A352">
        <v>351</v>
      </c>
      <c r="B352" t="str">
        <f>IF('Исходные данные'!$B$9="","",EDATE(DATE(YEAR('Исходные данные'!$B$9),MONTH('Исходные данные'!$B$9),1),A352-1))</f>
        <v/>
      </c>
      <c r="C352" t="str">
        <f t="shared" si="186"/>
        <v/>
      </c>
      <c r="D352" t="str">
        <f>IF(B352="","",IF('Исходные данные'!$B$91&lt;&gt;"",IF(AND(YEAR(B352)=YEAR('Исходные данные'!$B$91),MONTH(B352)=MONTH('Исходные данные'!$B$91)),'Исходные данные'!$B$91,IF('Исходные данные'!$B$13&lt;&gt;"",IF(AND(YEAR(B352)=YEAR('Исходные данные'!$B$13),MONTH(B352)=MONTH('Исходные данные'!$B$13)),'Исходные данные'!$B$13,IF('Исходные данные'!$B$26&lt;&gt;"",IF(AND(YEAR(B352)=YEAR('Исходные данные'!$B$26),MONTH(B352)=MONTH('Исходные данные'!$B$26)),'Исходные данные'!$B$26,IF(A352=1,'Исходные данные'!$B$9,C352)),IF(A352=1,'Исходные данные'!$B$9,C352))),IF('Исходные данные'!$B$26&lt;&gt;"",IF(AND(YEAR(B352)=YEAR('Исходные данные'!$B$26),MONTH(B352)=MONTH('Исходные данные'!$B$26)),'Исходные данные'!$B$26,IF(A352=1,'Исходные данные'!$B$9,C352)),IF(A352=1,'Исходные данные'!$B$9,C352)))),IF('Исходные данные'!$B$13&lt;&gt;"",IF(AND(YEAR(B352)=YEAR('Исходные данные'!$B$13),MONTH(B352)=MONTH('Исходные данные'!$B$13)),'Исходные данные'!$B$13,IF('Исходные данные'!$B$26&lt;&gt;"",IF(AND(YEAR(B352)=YEAR('Исходные данные'!$B$26),MONTH(B352)=MONTH('Исходные данные'!$B$26)),'Исходные данные'!$B$26,IF(A352=1,'Исходные данные'!$B$9,C352)),IF(A352=1,'Исходные данные'!$B$9,C352))),IF('Исходные данные'!$B$26&lt;&gt;"",IF(AND(YEAR(B352)=YEAR('Исходные данные'!$B$26),MONTH(B352)=MONTH('Исходные данные'!$B$26)),'Исходные данные'!$B$26,IF(A352=1,'Исходные данные'!$B$9,C352)),IF(A352=1,'Исходные данные'!$B$9,C352)))))</f>
        <v/>
      </c>
      <c r="E352">
        <f>IF(OR(B352="",'Исходные данные'!$B$91=""),0,--(B352&lt;=DATE(YEAR('Исходные данные'!$B$91),MONTH('Исходные данные'!$B$91),1)))</f>
        <v>0</v>
      </c>
      <c r="F352">
        <f>IF(OR(B352="",'Исходные данные'!$B$30="",C352&lt;'Исходные данные'!$B$30),0,DATEDIF(DATE(YEAR('Исходные данные'!$B$30),MONTH('Исходные данные'!$B$30),1),B352,"m")+1)</f>
        <v>0</v>
      </c>
      <c r="G352">
        <f t="shared" si="187"/>
        <v>0</v>
      </c>
      <c r="H352">
        <f>IF(F352=0,0,IF(G352=1,N('Исходные данные'!$B$31),IF(G352=2,N('Исходные данные'!$B$32),IF(G352=3,N('Исходные данные'!$B$33),N('Исходные данные'!$B$33)*(1+N('Исходные данные'!$B$34))^(G352-3)))))</f>
        <v>0</v>
      </c>
      <c r="I352">
        <f>IF(OR(F352=0,N('Исходные данные'!$B$5)=0,H352=0),0,'Исходные данные'!$B$5*H352*IF(AND(B352&lt;='Исходные данные'!$B$30,C352&gt;='Исходные данные'!$B$30),(C352-'Исходные данные'!$B$30+1)/DAY(C352),1))</f>
        <v>0</v>
      </c>
      <c r="J352">
        <f>IF(AND(F352&gt;0,F352&lt;=N('Исходные данные'!$B$37)),-I352,0)</f>
        <v>0</v>
      </c>
      <c r="K352">
        <f>IF(OR(F352=0,F352&lt;=N('Исходные данные'!$B$37)),0,-(I352+J352)*N('Исходные данные'!$B$38))</f>
        <v>0</v>
      </c>
      <c r="L352">
        <f t="shared" si="188"/>
        <v>0</v>
      </c>
      <c r="M352">
        <f>IF('Исходные данные'!$B$51="Да",L352*N('Исходные данные'!$B$52),0)</f>
        <v>0</v>
      </c>
      <c r="N352">
        <f t="shared" si="189"/>
        <v>0</v>
      </c>
      <c r="O352">
        <f>IF(OR(B352="",IF('Исходные данные'!$B$45="",'Исходные данные'!$B$10,'Исходные данные'!$B$45)="",C352&lt;IF('Исходные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данные'!$B$45)),1),B352,"m")/12))*IF(AND(B352&lt;=IF('Исходные данные'!$B$45="",'Исходные данные'!$B$10,'Исходные данные'!$B$45),C352&gt;=IF('Исходные данные'!$B$45="",'Исходные данные'!$B$10,'Исходные данные'!$B$45)),(C352-IF('Исходные данные'!$B$45="",'Исходные данные'!$B$10,'Исходные данные'!$B$45)+1)/DAY(C352),1)*IF('Исходные данные'!$B$43="Без НДС",1+N('Исходные данные'!$B$44),1))</f>
        <v>0</v>
      </c>
      <c r="P352">
        <f>IF('Исходные данные'!$B$51="Да",-O352*N('Исходные данные'!$B$44)/(1+N('Исходные данные'!$B$44)),0)</f>
        <v>0</v>
      </c>
      <c r="Q352">
        <f>IF('Исходные данные'!$B$35="Да",-O352,0)</f>
        <v>0</v>
      </c>
      <c r="R352">
        <f>IF(AND('Исходные данные'!$B$51="Да",Q352&gt;0),Q352*N('Исходные данные'!$B$52)/(1+N('Исходные данные'!$B$52)),0)</f>
        <v>0</v>
      </c>
      <c r="S352">
        <f>IF(OR(B352="",IF('Исходные данные'!$B$45="",'Исходные данные'!$B$10,'Исходные данные'!$B$45)="",C352&lt;IF('Исходные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данные'!$B$45)),1),B352,"m")/12))*IF(AND(B352&lt;=IF('Исходные данные'!$B$45="",'Исходные данные'!$B$10,'Исходные данные'!$B$45),C352&gt;=IF('Исходные данные'!$B$45="",'Исходные данные'!$B$10,'Исходные данные'!$B$45)),(C352-IF('Исходные данные'!$B$45="",'Исходные данные'!$B$10,'Исходные данные'!$B$45)+1)/DAY(C352),1)*IF('Исходные данные'!$B$43="Без НДС",1+N('Исходные данные'!$B$44),1))</f>
        <v>0</v>
      </c>
      <c r="T352">
        <f>IF('Исходные данные'!$B$51="Да",-S352*N('Исходные данные'!$B$44)/(1+N('Исходные данные'!$B$44)),0)</f>
        <v>0</v>
      </c>
      <c r="U352">
        <f>IF('Исходные данные'!$B$36="Да",-S352,0)</f>
        <v>0</v>
      </c>
      <c r="V352">
        <f>IF(AND('Исходные данные'!$B$51="Да",U352&gt;0),U352*N('Исходные данные'!$B$52)/(1+N('Исходные данные'!$B$52)),0)</f>
        <v>0</v>
      </c>
      <c r="W352">
        <f>IF(OR(B352="",IF('Исходные данные'!$B$69="",'Исходные данные'!$B$10,'Исходные данные'!$B$69)="",C352&lt;IF('Исходные данные'!$B$69="",'Исходные данные'!$B$10,'Исходные данные'!$B$69)),0,-N('Исходные данные'!$B$16)*N('Исходные данные'!$B$68)*N('Исходные данные'!$B$67)/12*IF(AND(B352&lt;=IF('Исходные данные'!$B$69="",'Исходные данные'!$B$10,'Исходные данные'!$B$69),C352&gt;=IF('Исходные данные'!$B$69="",'Исходные данные'!$B$10,'Исходные данные'!$B$69)),(C352-IF('Исходные данные'!$B$69="",'Исходные данные'!$B$10,'Исходные данные'!$B$69)+1)/DAY(C352),1))</f>
        <v>0</v>
      </c>
      <c r="X352">
        <f>IF(OR(B352="",IF('Исходные данные'!$B$76="",'Исходные данные'!$B$10,'Исходные данные'!$B$76)="",C352&lt;IF('Исходные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данные'!$B$76)),1),B352,"m")/12))*IF(AND(B352&lt;=IF('Исходные данные'!$B$76="",'Исходные данные'!$B$10,'Исходные данные'!$B$76),C352&gt;=IF('Исходные данные'!$B$76="",'Исходные данные'!$B$10,'Исходные данные'!$B$76)),(C352-IF('Исходные данные'!$B$76="",'Исходные данные'!$B$10,'Исходные данные'!$B$76)+1)/DAY(C352),1))</f>
        <v>0</v>
      </c>
      <c r="Y352">
        <f t="shared" si="190"/>
        <v>0</v>
      </c>
      <c r="Z352">
        <f>IF(OR(B352="",N('Исходные данные'!$B$19)=0),0,-SUMIFS('Исходные данные'!$I$6:$I$186,'Исходные данные'!$F$6:$F$186,B352)*N('Исходные данные'!$B$17)/N('Исходные данные'!$B$19))</f>
        <v>0</v>
      </c>
      <c r="AA352">
        <f>IF(OR(B352="",N('Исходные данные'!$B$19)=0),0,-SUMIFS('Исходные данные'!$I$6:$I$186,'Исходные данные'!$F$6:$F$186,B352)*N('Исходные данные'!$B$18)/N('Исходные данные'!$B$19))</f>
        <v>0</v>
      </c>
      <c r="AB352">
        <f>IF(OR(B352="",'Исходные данные'!$B$13=""),0,IF(AND(YEAR(B352)=YEAR('Исходные данные'!$B$13),MONTH(B352)=MONTH('Исходные данные'!$B$13)),-N('Исходные данные'!$B$11),0))</f>
        <v>0</v>
      </c>
      <c r="AC352">
        <f>IF(A352=1,-N('Исходные данные'!$B$19)*N('Исходные данные'!$B$72),0)</f>
        <v>0</v>
      </c>
      <c r="AD352">
        <f>IF(OR(B352="",'Исходные данные'!$B$22&lt;&gt;"Да",'Исходные данные'!$B$26=""),0,IF(AND(YEAR(B352)=YEAR('Исходные данные'!$B$26),MONTH(B352)=MONTH('Исходные данные'!$B$26)),N('Исходные данные'!$B$23),0))</f>
        <v>0</v>
      </c>
      <c r="AE352">
        <f t="shared" si="173"/>
        <v>0</v>
      </c>
      <c r="AF352">
        <f>IF(OR('Исходные данные'!$B$22&lt;&gt;"Да",'Исходные данные'!$B$26="",C352&lt;'Исходные данные'!$B$26),0,DATEDIF(DATE(YEAR('Исходные данные'!$B$26),MONTH('Исходные данные'!$B$26),1),B352,"m")+1)</f>
        <v>0</v>
      </c>
      <c r="AG352">
        <f>IF(OR(AF352&lt;1,AF352&gt;N('Исходные данные'!$B$25),AE352+AD352&lt;=0),0,-(AE352+AD352)*N('Исходные данные'!$B$24)*IF(AF352=1,C352-'Исходные данные'!$B$26+1,DAY(C352))/365)</f>
        <v>0</v>
      </c>
      <c r="AH352">
        <f>IF(OR(AF352&lt;1,AF352&gt;N('Исходные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данные'!$B$25)-AG352))</f>
        <v>0</v>
      </c>
      <c r="AI352">
        <f>IF(OR('Исходные данные'!$B$22&lt;&gt;"Да",AE352+AD352&lt;=0),0,IF(AND('Исходные данные'!$B$91&lt;&gt;"",B352&lt;&gt;"",YEAR(B352)=YEAR('Исходные данные'!$B$91),MONTH(B352)=MONTH('Исходные данные'!$B$91)),-(AE352+AD352),IF(OR(AF352&lt;1,AF352&gt;N('Исходные данные'!$B$25)),0,IF('Исходные данные'!$B$27="Равными долями",-MIN(AE352+AD352,N('Исходные данные'!$B$23)/N('Исходные данные'!$B$25)),-MIN(AE352+AD352,IF(AF352=N('Исходные данные'!$B$25),AE352+AD352,MAX(0,AH352+AG352)))))))</f>
        <v>0</v>
      </c>
      <c r="AJ352">
        <f t="shared" si="191"/>
        <v>0</v>
      </c>
      <c r="AK352">
        <f t="shared" si="174"/>
        <v>0</v>
      </c>
      <c r="AL352">
        <f>IF(OR(B352="",'Исходные данные'!$B$51&lt;&gt;"Да",'Исходные данные'!$B$61=""),0,IF(AND(YEAR(B352)=YEAR('Исходные данные'!$B$61),MONTH(B352)=MONTH('Исходные данные'!$B$61)),N('Исходные данные'!$B$18)*N('Исходные данные'!$B$62),0))</f>
        <v>0</v>
      </c>
      <c r="AM352">
        <f t="shared" si="175"/>
        <v>0</v>
      </c>
      <c r="AN352">
        <f t="shared" si="176"/>
        <v>0</v>
      </c>
      <c r="AO352">
        <f t="shared" si="177"/>
        <v>0</v>
      </c>
      <c r="AP352">
        <f>IF('Исходные данные'!$B$51="Да",-MAX(0,AN352-AO352-AM352),0)</f>
        <v>0</v>
      </c>
      <c r="AQ352">
        <f>IF('Исходные данные'!$B$51="Да",MAX(0,AM352+AO352-AN352),0)</f>
        <v>0</v>
      </c>
      <c r="AR352">
        <f>IF('Исходные данные'!$B$53="Выручка",MAX(0,L352+(Q352-R352)+(U352-V352)),IF('Исходные данные'!$B$53="Прибыль до налога",MAX(0,L352+(Q352-R352)+(U352-V352)+N('Исходные данные'!$B$54)*((O352+P352)+(S352+T352)+W352+X352)+IF('Исходные данные'!$B$55="Да",AG352,0)-N('Исходные данные'!$B$56)/12),IF('Исходные данные'!$B$53="Пользовательская база",MAX(0,N('Исходные данные'!$B$57)/12),0)))</f>
        <v>0</v>
      </c>
      <c r="AS352">
        <f>IF(E352=1,-AR352*N('Исходные данные'!$B$50),0)</f>
        <v>0</v>
      </c>
      <c r="AT352">
        <f t="shared" si="178"/>
        <v>0</v>
      </c>
      <c r="AU352">
        <f>IF(OR(B352="",N('Исходные данные'!$B$80)&lt;=0,'Исходные данные'!$B$88=""),0,MAX(0,IF('Исходные данные'!$B$88="Последние 12 месяцев",SUMIFS($Y$2:$Y$194,$B$2:$B$194,"&gt;="&amp;EDATE(B352,-11),$B$2:$B$194,"&lt;="&amp;B352),IF('Исходные данные'!$B$88="Пользовательский NOI",N('Исходные данные'!$B$89),AT352))/N('Исходные данные'!$B$80)*(1+N('Исходные данные'!$B$81))))</f>
        <v>0</v>
      </c>
      <c r="AV352">
        <f>IF(OR(E352&lt;&gt;1,B352="",'Исходные данные'!$B$91=""),0,IF(AND(YEAR(B352)=YEAR('Исходные данные'!$B$91),MONTH(B352)=MONTH('Исходные данные'!$B$91)),AU352,0))</f>
        <v>0</v>
      </c>
      <c r="AW352">
        <f>-AV352*N('Исходные данные'!$B$73)</f>
        <v>0</v>
      </c>
      <c r="AX352">
        <f>IF(AV352=0,0,-N('Исходные данные'!$B$87)-IF('Исходные данные'!$B$82="Да",IF('Исходные данные'!$B$84="С выручки",AV352,IF('Исходные данные'!$B$84="С прибыли",MAX(0,AV352+AW352-IF('Исходные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52">
        <f t="shared" si="192"/>
        <v>0</v>
      </c>
      <c r="AZ352">
        <f t="shared" si="179"/>
        <v>0</v>
      </c>
      <c r="BA352">
        <f t="shared" si="193"/>
        <v>0</v>
      </c>
      <c r="BB352" t="str">
        <f t="shared" si="180"/>
        <v/>
      </c>
      <c r="BC352">
        <f>IF(OR(E352=0,'Исходные данные'!$B$9="",'Исходные данные'!$B$90=""),0,BA352/(1+'Исходные данные'!$B$90)^((D352-'Исходные данные'!$B$9)/365))</f>
        <v>0</v>
      </c>
      <c r="BD352">
        <f>IF(AND(E352=1,BB352&gt;=0,BB351&lt;0,MIN($BB$2:BB352)&lt;0),1,0)</f>
        <v>0</v>
      </c>
      <c r="BE352">
        <f t="shared" si="181"/>
        <v>0</v>
      </c>
      <c r="BF352">
        <f t="shared" si="182"/>
        <v>0</v>
      </c>
      <c r="BG352">
        <f t="shared" si="183"/>
        <v>0</v>
      </c>
      <c r="BH352">
        <f t="shared" si="184"/>
        <v>1</v>
      </c>
      <c r="BI352">
        <f>AZ352+N352+AP352-AR352*N('Исходные данные'!$B$50)</f>
        <v>0</v>
      </c>
      <c r="BJ352">
        <f t="shared" si="185"/>
        <v>0</v>
      </c>
      <c r="BK352">
        <f>IF(AND(BJ352&gt;=0,BJ351&lt;0,MIN($BJ$2:BJ352)&lt;0),1,0)</f>
        <v>0</v>
      </c>
    </row>
    <row r="353" spans="1:63" x14ac:dyDescent="0.2">
      <c r="A353">
        <v>352</v>
      </c>
      <c r="B353" t="str">
        <f>IF('Исходные данные'!$B$9="","",EDATE(DATE(YEAR('Исходные данные'!$B$9),MONTH('Исходные данные'!$B$9),1),A353-1))</f>
        <v/>
      </c>
      <c r="C353" t="str">
        <f t="shared" si="186"/>
        <v/>
      </c>
      <c r="D353" t="str">
        <f>IF(B353="","",IF('Исходные данные'!$B$91&lt;&gt;"",IF(AND(YEAR(B353)=YEAR('Исходные данные'!$B$91),MONTH(B353)=MONTH('Исходные данные'!$B$91)),'Исходные данные'!$B$91,IF('Исходные данные'!$B$13&lt;&gt;"",IF(AND(YEAR(B353)=YEAR('Исходные данные'!$B$13),MONTH(B353)=MONTH('Исходные данные'!$B$13)),'Исходные данные'!$B$13,IF('Исходные данные'!$B$26&lt;&gt;"",IF(AND(YEAR(B353)=YEAR('Исходные данные'!$B$26),MONTH(B353)=MONTH('Исходные данные'!$B$26)),'Исходные данные'!$B$26,IF(A353=1,'Исходные данные'!$B$9,C353)),IF(A353=1,'Исходные данные'!$B$9,C353))),IF('Исходные данные'!$B$26&lt;&gt;"",IF(AND(YEAR(B353)=YEAR('Исходные данные'!$B$26),MONTH(B353)=MONTH('Исходные данные'!$B$26)),'Исходные данные'!$B$26,IF(A353=1,'Исходные данные'!$B$9,C353)),IF(A353=1,'Исходные данные'!$B$9,C353)))),IF('Исходные данные'!$B$13&lt;&gt;"",IF(AND(YEAR(B353)=YEAR('Исходные данные'!$B$13),MONTH(B353)=MONTH('Исходные данные'!$B$13)),'Исходные данные'!$B$13,IF('Исходные данные'!$B$26&lt;&gt;"",IF(AND(YEAR(B353)=YEAR('Исходные данные'!$B$26),MONTH(B353)=MONTH('Исходные данные'!$B$26)),'Исходные данные'!$B$26,IF(A353=1,'Исходные данные'!$B$9,C353)),IF(A353=1,'Исходные данные'!$B$9,C353))),IF('Исходные данные'!$B$26&lt;&gt;"",IF(AND(YEAR(B353)=YEAR('Исходные данные'!$B$26),MONTH(B353)=MONTH('Исходные данные'!$B$26)),'Исходные данные'!$B$26,IF(A353=1,'Исходные данные'!$B$9,C353)),IF(A353=1,'Исходные данные'!$B$9,C353)))))</f>
        <v/>
      </c>
      <c r="E353">
        <f>IF(OR(B353="",'Исходные данные'!$B$91=""),0,--(B353&lt;=DATE(YEAR('Исходные данные'!$B$91),MONTH('Исходные данные'!$B$91),1)))</f>
        <v>0</v>
      </c>
      <c r="F353">
        <f>IF(OR(B353="",'Исходные данные'!$B$30="",C353&lt;'Исходные данные'!$B$30),0,DATEDIF(DATE(YEAR('Исходные данные'!$B$30),MONTH('Исходные данные'!$B$30),1),B353,"m")+1)</f>
        <v>0</v>
      </c>
      <c r="G353">
        <f t="shared" si="187"/>
        <v>0</v>
      </c>
      <c r="H353">
        <f>IF(F353=0,0,IF(G353=1,N('Исходные данные'!$B$31),IF(G353=2,N('Исходные данные'!$B$32),IF(G353=3,N('Исходные данные'!$B$33),N('Исходные данные'!$B$33)*(1+N('Исходные данные'!$B$34))^(G353-3)))))</f>
        <v>0</v>
      </c>
      <c r="I353">
        <f>IF(OR(F353=0,N('Исходные данные'!$B$5)=0,H353=0),0,'Исходные данные'!$B$5*H353*IF(AND(B353&lt;='Исходные данные'!$B$30,C353&gt;='Исходные данные'!$B$30),(C353-'Исходные данные'!$B$30+1)/DAY(C353),1))</f>
        <v>0</v>
      </c>
      <c r="J353">
        <f>IF(AND(F353&gt;0,F353&lt;=N('Исходные данные'!$B$37)),-I353,0)</f>
        <v>0</v>
      </c>
      <c r="K353">
        <f>IF(OR(F353=0,F353&lt;=N('Исходные данные'!$B$37)),0,-(I353+J353)*N('Исходные данные'!$B$38))</f>
        <v>0</v>
      </c>
      <c r="L353">
        <f t="shared" si="188"/>
        <v>0</v>
      </c>
      <c r="M353">
        <f>IF('Исходные данные'!$B$51="Да",L353*N('Исходные данные'!$B$52),0)</f>
        <v>0</v>
      </c>
      <c r="N353">
        <f t="shared" si="189"/>
        <v>0</v>
      </c>
      <c r="O353">
        <f>IF(OR(B353="",IF('Исходные данные'!$B$45="",'Исходные данные'!$B$10,'Исходные данные'!$B$45)="",C353&lt;IF('Исходные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данные'!$B$45)),1),B353,"m")/12))*IF(AND(B353&lt;=IF('Исходные данные'!$B$45="",'Исходные данные'!$B$10,'Исходные данные'!$B$45),C353&gt;=IF('Исходные данные'!$B$45="",'Исходные данные'!$B$10,'Исходные данные'!$B$45)),(C353-IF('Исходные данные'!$B$45="",'Исходные данные'!$B$10,'Исходные данные'!$B$45)+1)/DAY(C353),1)*IF('Исходные данные'!$B$43="Без НДС",1+N('Исходные данные'!$B$44),1))</f>
        <v>0</v>
      </c>
      <c r="P353">
        <f>IF('Исходные данные'!$B$51="Да",-O353*N('Исходные данные'!$B$44)/(1+N('Исходные данные'!$B$44)),0)</f>
        <v>0</v>
      </c>
      <c r="Q353">
        <f>IF('Исходные данные'!$B$35="Да",-O353,0)</f>
        <v>0</v>
      </c>
      <c r="R353">
        <f>IF(AND('Исходные данные'!$B$51="Да",Q353&gt;0),Q353*N('Исходные данные'!$B$52)/(1+N('Исходные данные'!$B$52)),0)</f>
        <v>0</v>
      </c>
      <c r="S353">
        <f>IF(OR(B353="",IF('Исходные данные'!$B$45="",'Исходные данные'!$B$10,'Исходные данные'!$B$45)="",C353&lt;IF('Исходные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данные'!$B$45)),1),B353,"m")/12))*IF(AND(B353&lt;=IF('Исходные данные'!$B$45="",'Исходные данные'!$B$10,'Исходные данные'!$B$45),C353&gt;=IF('Исходные данные'!$B$45="",'Исходные данные'!$B$10,'Исходные данные'!$B$45)),(C353-IF('Исходные данные'!$B$45="",'Исходные данные'!$B$10,'Исходные данные'!$B$45)+1)/DAY(C353),1)*IF('Исходные данные'!$B$43="Без НДС",1+N('Исходные данные'!$B$44),1))</f>
        <v>0</v>
      </c>
      <c r="T353">
        <f>IF('Исходные данные'!$B$51="Да",-S353*N('Исходные данные'!$B$44)/(1+N('Исходные данные'!$B$44)),0)</f>
        <v>0</v>
      </c>
      <c r="U353">
        <f>IF('Исходные данные'!$B$36="Да",-S353,0)</f>
        <v>0</v>
      </c>
      <c r="V353">
        <f>IF(AND('Исходные данные'!$B$51="Да",U353&gt;0),U353*N('Исходные данные'!$B$52)/(1+N('Исходные данные'!$B$52)),0)</f>
        <v>0</v>
      </c>
      <c r="W353">
        <f>IF(OR(B353="",IF('Исходные данные'!$B$69="",'Исходные данные'!$B$10,'Исходные данные'!$B$69)="",C353&lt;IF('Исходные данные'!$B$69="",'Исходные данные'!$B$10,'Исходные данные'!$B$69)),0,-N('Исходные данные'!$B$16)*N('Исходные данные'!$B$68)*N('Исходные данные'!$B$67)/12*IF(AND(B353&lt;=IF('Исходные данные'!$B$69="",'Исходные данные'!$B$10,'Исходные данные'!$B$69),C353&gt;=IF('Исходные данные'!$B$69="",'Исходные данные'!$B$10,'Исходные данные'!$B$69)),(C353-IF('Исходные данные'!$B$69="",'Исходные данные'!$B$10,'Исходные данные'!$B$69)+1)/DAY(C353),1))</f>
        <v>0</v>
      </c>
      <c r="X353">
        <f>IF(OR(B353="",IF('Исходные данные'!$B$76="",'Исходные данные'!$B$10,'Исходные данные'!$B$76)="",C353&lt;IF('Исходные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данные'!$B$76)),1),B353,"m")/12))*IF(AND(B353&lt;=IF('Исходные данные'!$B$76="",'Исходные данные'!$B$10,'Исходные данные'!$B$76),C353&gt;=IF('Исходные данные'!$B$76="",'Исходные данные'!$B$10,'Исходные данные'!$B$76)),(C353-IF('Исходные данные'!$B$76="",'Исходные данные'!$B$10,'Исходные данные'!$B$76)+1)/DAY(C353),1))</f>
        <v>0</v>
      </c>
      <c r="Y353">
        <f t="shared" si="190"/>
        <v>0</v>
      </c>
      <c r="Z353">
        <f>IF(OR(B353="",N('Исходные данные'!$B$19)=0),0,-SUMIFS('Исходные данные'!$I$6:$I$186,'Исходные данные'!$F$6:$F$186,B353)*N('Исходные данные'!$B$17)/N('Исходные данные'!$B$19))</f>
        <v>0</v>
      </c>
      <c r="AA353">
        <f>IF(OR(B353="",N('Исходные данные'!$B$19)=0),0,-SUMIFS('Исходные данные'!$I$6:$I$186,'Исходные данные'!$F$6:$F$186,B353)*N('Исходные данные'!$B$18)/N('Исходные данные'!$B$19))</f>
        <v>0</v>
      </c>
      <c r="AB353">
        <f>IF(OR(B353="",'Исходные данные'!$B$13=""),0,IF(AND(YEAR(B353)=YEAR('Исходные данные'!$B$13),MONTH(B353)=MONTH('Исходные данные'!$B$13)),-N('Исходные данные'!$B$11),0))</f>
        <v>0</v>
      </c>
      <c r="AC353">
        <f>IF(A353=1,-N('Исходные данные'!$B$19)*N('Исходные данные'!$B$72),0)</f>
        <v>0</v>
      </c>
      <c r="AD353">
        <f>IF(OR(B353="",'Исходные данные'!$B$22&lt;&gt;"Да",'Исходные данные'!$B$26=""),0,IF(AND(YEAR(B353)=YEAR('Исходные данные'!$B$26),MONTH(B353)=MONTH('Исходные данные'!$B$26)),N('Исходные данные'!$B$23),0))</f>
        <v>0</v>
      </c>
      <c r="AE353">
        <f t="shared" si="173"/>
        <v>0</v>
      </c>
      <c r="AF353">
        <f>IF(OR('Исходные данные'!$B$22&lt;&gt;"Да",'Исходные данные'!$B$26="",C353&lt;'Исходные данные'!$B$26),0,DATEDIF(DATE(YEAR('Исходные данные'!$B$26),MONTH('Исходные данные'!$B$26),1),B353,"m")+1)</f>
        <v>0</v>
      </c>
      <c r="AG353">
        <f>IF(OR(AF353&lt;1,AF353&gt;N('Исходные данные'!$B$25),AE353+AD353&lt;=0),0,-(AE353+AD353)*N('Исходные данные'!$B$24)*IF(AF353=1,C353-'Исходные данные'!$B$26+1,DAY(C353))/365)</f>
        <v>0</v>
      </c>
      <c r="AH353">
        <f>IF(OR(AF353&lt;1,AF353&gt;N('Исходные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данные'!$B$25)-AG353))</f>
        <v>0</v>
      </c>
      <c r="AI353">
        <f>IF(OR('Исходные данные'!$B$22&lt;&gt;"Да",AE353+AD353&lt;=0),0,IF(AND('Исходные данные'!$B$91&lt;&gt;"",B353&lt;&gt;"",YEAR(B353)=YEAR('Исходные данные'!$B$91),MONTH(B353)=MONTH('Исходные данные'!$B$91)),-(AE353+AD353),IF(OR(AF353&lt;1,AF353&gt;N('Исходные данные'!$B$25)),0,IF('Исходные данные'!$B$27="Равными долями",-MIN(AE353+AD353,N('Исходные данные'!$B$23)/N('Исходные данные'!$B$25)),-MIN(AE353+AD353,IF(AF353=N('Исходные данные'!$B$25),AE353+AD353,MAX(0,AH353+AG353)))))))</f>
        <v>0</v>
      </c>
      <c r="AJ353">
        <f t="shared" si="191"/>
        <v>0</v>
      </c>
      <c r="AK353">
        <f t="shared" si="174"/>
        <v>0</v>
      </c>
      <c r="AL353">
        <f>IF(OR(B353="",'Исходные данные'!$B$51&lt;&gt;"Да",'Исходные данные'!$B$61=""),0,IF(AND(YEAR(B353)=YEAR('Исходные данные'!$B$61),MONTH(B353)=MONTH('Исходные данные'!$B$61)),N('Исходные данные'!$B$18)*N('Исходные данные'!$B$62),0))</f>
        <v>0</v>
      </c>
      <c r="AM353">
        <f t="shared" si="175"/>
        <v>0</v>
      </c>
      <c r="AN353">
        <f t="shared" si="176"/>
        <v>0</v>
      </c>
      <c r="AO353">
        <f t="shared" si="177"/>
        <v>0</v>
      </c>
      <c r="AP353">
        <f>IF('Исходные данные'!$B$51="Да",-MAX(0,AN353-AO353-AM353),0)</f>
        <v>0</v>
      </c>
      <c r="AQ353">
        <f>IF('Исходные данные'!$B$51="Да",MAX(0,AM353+AO353-AN353),0)</f>
        <v>0</v>
      </c>
      <c r="AR353">
        <f>IF('Исходные данные'!$B$53="Выручка",MAX(0,L353+(Q353-R353)+(U353-V353)),IF('Исходные данные'!$B$53="Прибыль до налога",MAX(0,L353+(Q353-R353)+(U353-V353)+N('Исходные данные'!$B$54)*((O353+P353)+(S353+T353)+W353+X353)+IF('Исходные данные'!$B$55="Да",AG353,0)-N('Исходные данные'!$B$56)/12),IF('Исходные данные'!$B$53="Пользовательская база",MAX(0,N('Исходные данные'!$B$57)/12),0)))</f>
        <v>0</v>
      </c>
      <c r="AS353">
        <f>IF(E353=1,-AR353*N('Исходные данные'!$B$50),0)</f>
        <v>0</v>
      </c>
      <c r="AT353">
        <f t="shared" si="178"/>
        <v>0</v>
      </c>
      <c r="AU353">
        <f>IF(OR(B353="",N('Исходные данные'!$B$80)&lt;=0,'Исходные данные'!$B$88=""),0,MAX(0,IF('Исходные данные'!$B$88="Последние 12 месяцев",SUMIFS($Y$2:$Y$194,$B$2:$B$194,"&gt;="&amp;EDATE(B353,-11),$B$2:$B$194,"&lt;="&amp;B353),IF('Исходные данные'!$B$88="Пользовательский NOI",N('Исходные данные'!$B$89),AT353))/N('Исходные данные'!$B$80)*(1+N('Исходные данные'!$B$81))))</f>
        <v>0</v>
      </c>
      <c r="AV353">
        <f>IF(OR(E353&lt;&gt;1,B353="",'Исходные данные'!$B$91=""),0,IF(AND(YEAR(B353)=YEAR('Исходные данные'!$B$91),MONTH(B353)=MONTH('Исходные данные'!$B$91)),AU353,0))</f>
        <v>0</v>
      </c>
      <c r="AW353">
        <f>-AV353*N('Исходные данные'!$B$73)</f>
        <v>0</v>
      </c>
      <c r="AX353">
        <f>IF(AV353=0,0,-N('Исходные данные'!$B$87)-IF('Исходные данные'!$B$82="Да",IF('Исходные данные'!$B$84="С выручки",AV353,IF('Исходные данные'!$B$84="С прибыли",MAX(0,AV353+AW353-IF('Исходные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53">
        <f t="shared" si="192"/>
        <v>0</v>
      </c>
      <c r="AZ353">
        <f t="shared" si="179"/>
        <v>0</v>
      </c>
      <c r="BA353">
        <f t="shared" si="193"/>
        <v>0</v>
      </c>
      <c r="BB353" t="str">
        <f t="shared" si="180"/>
        <v/>
      </c>
      <c r="BC353">
        <f>IF(OR(E353=0,'Исходные данные'!$B$9="",'Исходные данные'!$B$90=""),0,BA353/(1+'Исходные данные'!$B$90)^((D353-'Исходные данные'!$B$9)/365))</f>
        <v>0</v>
      </c>
      <c r="BD353">
        <f>IF(AND(E353=1,BB353&gt;=0,BB352&lt;0,MIN($BB$2:BB353)&lt;0),1,0)</f>
        <v>0</v>
      </c>
      <c r="BE353">
        <f t="shared" si="181"/>
        <v>0</v>
      </c>
      <c r="BF353">
        <f t="shared" si="182"/>
        <v>0</v>
      </c>
      <c r="BG353">
        <f t="shared" si="183"/>
        <v>0</v>
      </c>
      <c r="BH353">
        <f t="shared" si="184"/>
        <v>1</v>
      </c>
      <c r="BI353">
        <f>AZ353+N353+AP353-AR353*N('Исходные данные'!$B$50)</f>
        <v>0</v>
      </c>
      <c r="BJ353">
        <f t="shared" si="185"/>
        <v>0</v>
      </c>
      <c r="BK353">
        <f>IF(AND(BJ353&gt;=0,BJ352&lt;0,MIN($BJ$2:BJ353)&lt;0),1,0)</f>
        <v>0</v>
      </c>
    </row>
    <row r="354" spans="1:63" x14ac:dyDescent="0.2">
      <c r="A354">
        <v>353</v>
      </c>
      <c r="B354" t="str">
        <f>IF('Исходные данные'!$B$9="","",EDATE(DATE(YEAR('Исходные данные'!$B$9),MONTH('Исходные данные'!$B$9),1),A354-1))</f>
        <v/>
      </c>
      <c r="C354" t="str">
        <f t="shared" si="186"/>
        <v/>
      </c>
      <c r="D354" t="str">
        <f>IF(B354="","",IF('Исходные данные'!$B$91&lt;&gt;"",IF(AND(YEAR(B354)=YEAR('Исходные данные'!$B$91),MONTH(B354)=MONTH('Исходные данные'!$B$91)),'Исходные данные'!$B$91,IF('Исходные данные'!$B$13&lt;&gt;"",IF(AND(YEAR(B354)=YEAR('Исходные данные'!$B$13),MONTH(B354)=MONTH('Исходные данные'!$B$13)),'Исходные данные'!$B$13,IF('Исходные данные'!$B$26&lt;&gt;"",IF(AND(YEAR(B354)=YEAR('Исходные данные'!$B$26),MONTH(B354)=MONTH('Исходные данные'!$B$26)),'Исходные данные'!$B$26,IF(A354=1,'Исходные данные'!$B$9,C354)),IF(A354=1,'Исходные данные'!$B$9,C354))),IF('Исходные данные'!$B$26&lt;&gt;"",IF(AND(YEAR(B354)=YEAR('Исходные данные'!$B$26),MONTH(B354)=MONTH('Исходные данные'!$B$26)),'Исходные данные'!$B$26,IF(A354=1,'Исходные данные'!$B$9,C354)),IF(A354=1,'Исходные данные'!$B$9,C354)))),IF('Исходные данные'!$B$13&lt;&gt;"",IF(AND(YEAR(B354)=YEAR('Исходные данные'!$B$13),MONTH(B354)=MONTH('Исходные данные'!$B$13)),'Исходные данные'!$B$13,IF('Исходные данные'!$B$26&lt;&gt;"",IF(AND(YEAR(B354)=YEAR('Исходные данные'!$B$26),MONTH(B354)=MONTH('Исходные данные'!$B$26)),'Исходные данные'!$B$26,IF(A354=1,'Исходные данные'!$B$9,C354)),IF(A354=1,'Исходные данные'!$B$9,C354))),IF('Исходные данные'!$B$26&lt;&gt;"",IF(AND(YEAR(B354)=YEAR('Исходные данные'!$B$26),MONTH(B354)=MONTH('Исходные данные'!$B$26)),'Исходные данные'!$B$26,IF(A354=1,'Исходные данные'!$B$9,C354)),IF(A354=1,'Исходные данные'!$B$9,C354)))))</f>
        <v/>
      </c>
      <c r="E354">
        <f>IF(OR(B354="",'Исходные данные'!$B$91=""),0,--(B354&lt;=DATE(YEAR('Исходные данные'!$B$91),MONTH('Исходные данные'!$B$91),1)))</f>
        <v>0</v>
      </c>
      <c r="F354">
        <f>IF(OR(B354="",'Исходные данные'!$B$30="",C354&lt;'Исходные данные'!$B$30),0,DATEDIF(DATE(YEAR('Исходные данные'!$B$30),MONTH('Исходные данные'!$B$30),1),B354,"m")+1)</f>
        <v>0</v>
      </c>
      <c r="G354">
        <f t="shared" si="187"/>
        <v>0</v>
      </c>
      <c r="H354">
        <f>IF(F354=0,0,IF(G354=1,N('Исходные данные'!$B$31),IF(G354=2,N('Исходные данные'!$B$32),IF(G354=3,N('Исходные данные'!$B$33),N('Исходные данные'!$B$33)*(1+N('Исходные данные'!$B$34))^(G354-3)))))</f>
        <v>0</v>
      </c>
      <c r="I354">
        <f>IF(OR(F354=0,N('Исходные данные'!$B$5)=0,H354=0),0,'Исходные данные'!$B$5*H354*IF(AND(B354&lt;='Исходные данные'!$B$30,C354&gt;='Исходные данные'!$B$30),(C354-'Исходные данные'!$B$30+1)/DAY(C354),1))</f>
        <v>0</v>
      </c>
      <c r="J354">
        <f>IF(AND(F354&gt;0,F354&lt;=N('Исходные данные'!$B$37)),-I354,0)</f>
        <v>0</v>
      </c>
      <c r="K354">
        <f>IF(OR(F354=0,F354&lt;=N('Исходные данные'!$B$37)),0,-(I354+J354)*N('Исходные данные'!$B$38))</f>
        <v>0</v>
      </c>
      <c r="L354">
        <f t="shared" si="188"/>
        <v>0</v>
      </c>
      <c r="M354">
        <f>IF('Исходные данные'!$B$51="Да",L354*N('Исходные данные'!$B$52),0)</f>
        <v>0</v>
      </c>
      <c r="N354">
        <f t="shared" si="189"/>
        <v>0</v>
      </c>
      <c r="O354">
        <f>IF(OR(B354="",IF('Исходные данные'!$B$45="",'Исходные данные'!$B$10,'Исходные данные'!$B$45)="",C354&lt;IF('Исходные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данные'!$B$45)),1),B354,"m")/12))*IF(AND(B354&lt;=IF('Исходные данные'!$B$45="",'Исходные данные'!$B$10,'Исходные данные'!$B$45),C354&gt;=IF('Исходные данные'!$B$45="",'Исходные данные'!$B$10,'Исходные данные'!$B$45)),(C354-IF('Исходные данные'!$B$45="",'Исходные данные'!$B$10,'Исходные данные'!$B$45)+1)/DAY(C354),1)*IF('Исходные данные'!$B$43="Без НДС",1+N('Исходные данные'!$B$44),1))</f>
        <v>0</v>
      </c>
      <c r="P354">
        <f>IF('Исходные данные'!$B$51="Да",-O354*N('Исходные данные'!$B$44)/(1+N('Исходные данные'!$B$44)),0)</f>
        <v>0</v>
      </c>
      <c r="Q354">
        <f>IF('Исходные данные'!$B$35="Да",-O354,0)</f>
        <v>0</v>
      </c>
      <c r="R354">
        <f>IF(AND('Исходные данные'!$B$51="Да",Q354&gt;0),Q354*N('Исходные данные'!$B$52)/(1+N('Исходные данные'!$B$52)),0)</f>
        <v>0</v>
      </c>
      <c r="S354">
        <f>IF(OR(B354="",IF('Исходные данные'!$B$45="",'Исходные данные'!$B$10,'Исходные данные'!$B$45)="",C354&lt;IF('Исходные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данные'!$B$45)),1),B354,"m")/12))*IF(AND(B354&lt;=IF('Исходные данные'!$B$45="",'Исходные данные'!$B$10,'Исходные данные'!$B$45),C354&gt;=IF('Исходные данные'!$B$45="",'Исходные данные'!$B$10,'Исходные данные'!$B$45)),(C354-IF('Исходные данные'!$B$45="",'Исходные данные'!$B$10,'Исходные данные'!$B$45)+1)/DAY(C354),1)*IF('Исходные данные'!$B$43="Без НДС",1+N('Исходные данные'!$B$44),1))</f>
        <v>0</v>
      </c>
      <c r="T354">
        <f>IF('Исходные данные'!$B$51="Да",-S354*N('Исходные данные'!$B$44)/(1+N('Исходные данные'!$B$44)),0)</f>
        <v>0</v>
      </c>
      <c r="U354">
        <f>IF('Исходные данные'!$B$36="Да",-S354,0)</f>
        <v>0</v>
      </c>
      <c r="V354">
        <f>IF(AND('Исходные данные'!$B$51="Да",U354&gt;0),U354*N('Исходные данные'!$B$52)/(1+N('Исходные данные'!$B$52)),0)</f>
        <v>0</v>
      </c>
      <c r="W354">
        <f>IF(OR(B354="",IF('Исходные данные'!$B$69="",'Исходные данные'!$B$10,'Исходные данные'!$B$69)="",C354&lt;IF('Исходные данные'!$B$69="",'Исходные данные'!$B$10,'Исходные данные'!$B$69)),0,-N('Исходные данные'!$B$16)*N('Исходные данные'!$B$68)*N('Исходные данные'!$B$67)/12*IF(AND(B354&lt;=IF('Исходные данные'!$B$69="",'Исходные данные'!$B$10,'Исходные данные'!$B$69),C354&gt;=IF('Исходные данные'!$B$69="",'Исходные данные'!$B$10,'Исходные данные'!$B$69)),(C354-IF('Исходные данные'!$B$69="",'Исходные данные'!$B$10,'Исходные данные'!$B$69)+1)/DAY(C354),1))</f>
        <v>0</v>
      </c>
      <c r="X354">
        <f>IF(OR(B354="",IF('Исходные данные'!$B$76="",'Исходные данные'!$B$10,'Исходные данные'!$B$76)="",C354&lt;IF('Исходные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данные'!$B$76)),1),B354,"m")/12))*IF(AND(B354&lt;=IF('Исходные данные'!$B$76="",'Исходные данные'!$B$10,'Исходные данные'!$B$76),C354&gt;=IF('Исходные данные'!$B$76="",'Исходные данные'!$B$10,'Исходные данные'!$B$76)),(C354-IF('Исходные данные'!$B$76="",'Исходные данные'!$B$10,'Исходные данные'!$B$76)+1)/DAY(C354),1))</f>
        <v>0</v>
      </c>
      <c r="Y354">
        <f t="shared" si="190"/>
        <v>0</v>
      </c>
      <c r="Z354">
        <f>IF(OR(B354="",N('Исходные данные'!$B$19)=0),0,-SUMIFS('Исходные данные'!$I$6:$I$186,'Исходные данные'!$F$6:$F$186,B354)*N('Исходные данные'!$B$17)/N('Исходные данные'!$B$19))</f>
        <v>0</v>
      </c>
      <c r="AA354">
        <f>IF(OR(B354="",N('Исходные данные'!$B$19)=0),0,-SUMIFS('Исходные данные'!$I$6:$I$186,'Исходные данные'!$F$6:$F$186,B354)*N('Исходные данные'!$B$18)/N('Исходные данные'!$B$19))</f>
        <v>0</v>
      </c>
      <c r="AB354">
        <f>IF(OR(B354="",'Исходные данные'!$B$13=""),0,IF(AND(YEAR(B354)=YEAR('Исходные данные'!$B$13),MONTH(B354)=MONTH('Исходные данные'!$B$13)),-N('Исходные данные'!$B$11),0))</f>
        <v>0</v>
      </c>
      <c r="AC354">
        <f>IF(A354=1,-N('Исходные данные'!$B$19)*N('Исходные данные'!$B$72),0)</f>
        <v>0</v>
      </c>
      <c r="AD354">
        <f>IF(OR(B354="",'Исходные данные'!$B$22&lt;&gt;"Да",'Исходные данные'!$B$26=""),0,IF(AND(YEAR(B354)=YEAR('Исходные данные'!$B$26),MONTH(B354)=MONTH('Исходные данные'!$B$26)),N('Исходные данные'!$B$23),0))</f>
        <v>0</v>
      </c>
      <c r="AE354">
        <f t="shared" si="173"/>
        <v>0</v>
      </c>
      <c r="AF354">
        <f>IF(OR('Исходные данные'!$B$22&lt;&gt;"Да",'Исходные данные'!$B$26="",C354&lt;'Исходные данные'!$B$26),0,DATEDIF(DATE(YEAR('Исходные данные'!$B$26),MONTH('Исходные данные'!$B$26),1),B354,"m")+1)</f>
        <v>0</v>
      </c>
      <c r="AG354">
        <f>IF(OR(AF354&lt;1,AF354&gt;N('Исходные данные'!$B$25),AE354+AD354&lt;=0),0,-(AE354+AD354)*N('Исходные данные'!$B$24)*IF(AF354=1,C354-'Исходные данные'!$B$26+1,DAY(C354))/365)</f>
        <v>0</v>
      </c>
      <c r="AH354">
        <f>IF(OR(AF354&lt;1,AF354&gt;N('Исходные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данные'!$B$25)-AG354))</f>
        <v>0</v>
      </c>
      <c r="AI354">
        <f>IF(OR('Исходные данные'!$B$22&lt;&gt;"Да",AE354+AD354&lt;=0),0,IF(AND('Исходные данные'!$B$91&lt;&gt;"",B354&lt;&gt;"",YEAR(B354)=YEAR('Исходные данные'!$B$91),MONTH(B354)=MONTH('Исходные данные'!$B$91)),-(AE354+AD354),IF(OR(AF354&lt;1,AF354&gt;N('Исходные данные'!$B$25)),0,IF('Исходные данные'!$B$27="Равными долями",-MIN(AE354+AD354,N('Исходные данные'!$B$23)/N('Исходные данные'!$B$25)),-MIN(AE354+AD354,IF(AF354=N('Исходные данные'!$B$25),AE354+AD354,MAX(0,AH354+AG354)))))))</f>
        <v>0</v>
      </c>
      <c r="AJ354">
        <f t="shared" si="191"/>
        <v>0</v>
      </c>
      <c r="AK354">
        <f t="shared" si="174"/>
        <v>0</v>
      </c>
      <c r="AL354">
        <f>IF(OR(B354="",'Исходные данные'!$B$51&lt;&gt;"Да",'Исходные данные'!$B$61=""),0,IF(AND(YEAR(B354)=YEAR('Исходные данные'!$B$61),MONTH(B354)=MONTH('Исходные данные'!$B$61)),N('Исходные данные'!$B$18)*N('Исходные данные'!$B$62),0))</f>
        <v>0</v>
      </c>
      <c r="AM354">
        <f t="shared" si="175"/>
        <v>0</v>
      </c>
      <c r="AN354">
        <f t="shared" si="176"/>
        <v>0</v>
      </c>
      <c r="AO354">
        <f t="shared" si="177"/>
        <v>0</v>
      </c>
      <c r="AP354">
        <f>IF('Исходные данные'!$B$51="Да",-MAX(0,AN354-AO354-AM354),0)</f>
        <v>0</v>
      </c>
      <c r="AQ354">
        <f>IF('Исходные данные'!$B$51="Да",MAX(0,AM354+AO354-AN354),0)</f>
        <v>0</v>
      </c>
      <c r="AR354">
        <f>IF('Исходные данные'!$B$53="Выручка",MAX(0,L354+(Q354-R354)+(U354-V354)),IF('Исходные данные'!$B$53="Прибыль до налога",MAX(0,L354+(Q354-R354)+(U354-V354)+N('Исходные данные'!$B$54)*((O354+P354)+(S354+T354)+W354+X354)+IF('Исходные данные'!$B$55="Да",AG354,0)-N('Исходные данные'!$B$56)/12),IF('Исходные данные'!$B$53="Пользовательская база",MAX(0,N('Исходные данные'!$B$57)/12),0)))</f>
        <v>0</v>
      </c>
      <c r="AS354">
        <f>IF(E354=1,-AR354*N('Исходные данные'!$B$50),0)</f>
        <v>0</v>
      </c>
      <c r="AT354">
        <f t="shared" si="178"/>
        <v>0</v>
      </c>
      <c r="AU354">
        <f>IF(OR(B354="",N('Исходные данные'!$B$80)&lt;=0,'Исходные данные'!$B$88=""),0,MAX(0,IF('Исходные данные'!$B$88="Последние 12 месяцев",SUMIFS($Y$2:$Y$194,$B$2:$B$194,"&gt;="&amp;EDATE(B354,-11),$B$2:$B$194,"&lt;="&amp;B354),IF('Исходные данные'!$B$88="Пользовательский NOI",N('Исходные данные'!$B$89),AT354))/N('Исходные данные'!$B$80)*(1+N('Исходные данные'!$B$81))))</f>
        <v>0</v>
      </c>
      <c r="AV354">
        <f>IF(OR(E354&lt;&gt;1,B354="",'Исходные данные'!$B$91=""),0,IF(AND(YEAR(B354)=YEAR('Исходные данные'!$B$91),MONTH(B354)=MONTH('Исходные данные'!$B$91)),AU354,0))</f>
        <v>0</v>
      </c>
      <c r="AW354">
        <f>-AV354*N('Исходные данные'!$B$73)</f>
        <v>0</v>
      </c>
      <c r="AX354">
        <f>IF(AV354=0,0,-N('Исходные данные'!$B$87)-IF('Исходные данные'!$B$82="Да",IF('Исходные данные'!$B$84="С выручки",AV354,IF('Исходные данные'!$B$84="С прибыли",MAX(0,AV354+AW354-IF('Исходные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54">
        <f t="shared" si="192"/>
        <v>0</v>
      </c>
      <c r="AZ354">
        <f t="shared" si="179"/>
        <v>0</v>
      </c>
      <c r="BA354">
        <f t="shared" si="193"/>
        <v>0</v>
      </c>
      <c r="BB354" t="str">
        <f t="shared" si="180"/>
        <v/>
      </c>
      <c r="BC354">
        <f>IF(OR(E354=0,'Исходные данные'!$B$9="",'Исходные данные'!$B$90=""),0,BA354/(1+'Исходные данные'!$B$90)^((D354-'Исходные данные'!$B$9)/365))</f>
        <v>0</v>
      </c>
      <c r="BD354">
        <f>IF(AND(E354=1,BB354&gt;=0,BB353&lt;0,MIN($BB$2:BB354)&lt;0),1,0)</f>
        <v>0</v>
      </c>
      <c r="BE354">
        <f t="shared" si="181"/>
        <v>0</v>
      </c>
      <c r="BF354">
        <f t="shared" si="182"/>
        <v>0</v>
      </c>
      <c r="BG354">
        <f t="shared" si="183"/>
        <v>0</v>
      </c>
      <c r="BH354">
        <f t="shared" si="184"/>
        <v>1</v>
      </c>
      <c r="BI354">
        <f>AZ354+N354+AP354-AR354*N('Исходные данные'!$B$50)</f>
        <v>0</v>
      </c>
      <c r="BJ354">
        <f t="shared" si="185"/>
        <v>0</v>
      </c>
      <c r="BK354">
        <f>IF(AND(BJ354&gt;=0,BJ353&lt;0,MIN($BJ$2:BJ354)&lt;0),1,0)</f>
        <v>0</v>
      </c>
    </row>
    <row r="355" spans="1:63" x14ac:dyDescent="0.2">
      <c r="A355">
        <v>354</v>
      </c>
      <c r="B355" t="str">
        <f>IF('Исходные данные'!$B$9="","",EDATE(DATE(YEAR('Исходные данные'!$B$9),MONTH('Исходные данные'!$B$9),1),A355-1))</f>
        <v/>
      </c>
      <c r="C355" t="str">
        <f t="shared" si="186"/>
        <v/>
      </c>
      <c r="D355" t="str">
        <f>IF(B355="","",IF('Исходные данные'!$B$91&lt;&gt;"",IF(AND(YEAR(B355)=YEAR('Исходные данные'!$B$91),MONTH(B355)=MONTH('Исходные данные'!$B$91)),'Исходные данные'!$B$91,IF('Исходные данные'!$B$13&lt;&gt;"",IF(AND(YEAR(B355)=YEAR('Исходные данные'!$B$13),MONTH(B355)=MONTH('Исходные данные'!$B$13)),'Исходные данные'!$B$13,IF('Исходные данные'!$B$26&lt;&gt;"",IF(AND(YEAR(B355)=YEAR('Исходные данные'!$B$26),MONTH(B355)=MONTH('Исходные данные'!$B$26)),'Исходные данные'!$B$26,IF(A355=1,'Исходные данные'!$B$9,C355)),IF(A355=1,'Исходные данные'!$B$9,C355))),IF('Исходные данные'!$B$26&lt;&gt;"",IF(AND(YEAR(B355)=YEAR('Исходные данные'!$B$26),MONTH(B355)=MONTH('Исходные данные'!$B$26)),'Исходные данные'!$B$26,IF(A355=1,'Исходные данные'!$B$9,C355)),IF(A355=1,'Исходные данные'!$B$9,C355)))),IF('Исходные данные'!$B$13&lt;&gt;"",IF(AND(YEAR(B355)=YEAR('Исходные данные'!$B$13),MONTH(B355)=MONTH('Исходные данные'!$B$13)),'Исходные данные'!$B$13,IF('Исходные данные'!$B$26&lt;&gt;"",IF(AND(YEAR(B355)=YEAR('Исходные данные'!$B$26),MONTH(B355)=MONTH('Исходные данные'!$B$26)),'Исходные данные'!$B$26,IF(A355=1,'Исходные данные'!$B$9,C355)),IF(A355=1,'Исходные данные'!$B$9,C355))),IF('Исходные данные'!$B$26&lt;&gt;"",IF(AND(YEAR(B355)=YEAR('Исходные данные'!$B$26),MONTH(B355)=MONTH('Исходные данные'!$B$26)),'Исходные данные'!$B$26,IF(A355=1,'Исходные данные'!$B$9,C355)),IF(A355=1,'Исходные данные'!$B$9,C355)))))</f>
        <v/>
      </c>
      <c r="E355">
        <f>IF(OR(B355="",'Исходные данные'!$B$91=""),0,--(B355&lt;=DATE(YEAR('Исходные данные'!$B$91),MONTH('Исходные данные'!$B$91),1)))</f>
        <v>0</v>
      </c>
      <c r="F355">
        <f>IF(OR(B355="",'Исходные данные'!$B$30="",C355&lt;'Исходные данные'!$B$30),0,DATEDIF(DATE(YEAR('Исходные данные'!$B$30),MONTH('Исходные данные'!$B$30),1),B355,"m")+1)</f>
        <v>0</v>
      </c>
      <c r="G355">
        <f t="shared" si="187"/>
        <v>0</v>
      </c>
      <c r="H355">
        <f>IF(F355=0,0,IF(G355=1,N('Исходные данные'!$B$31),IF(G355=2,N('Исходные данные'!$B$32),IF(G355=3,N('Исходные данные'!$B$33),N('Исходные данные'!$B$33)*(1+N('Исходные данные'!$B$34))^(G355-3)))))</f>
        <v>0</v>
      </c>
      <c r="I355">
        <f>IF(OR(F355=0,N('Исходные данные'!$B$5)=0,H355=0),0,'Исходные данные'!$B$5*H355*IF(AND(B355&lt;='Исходные данные'!$B$30,C355&gt;='Исходные данные'!$B$30),(C355-'Исходные данные'!$B$30+1)/DAY(C355),1))</f>
        <v>0</v>
      </c>
      <c r="J355">
        <f>IF(AND(F355&gt;0,F355&lt;=N('Исходные данные'!$B$37)),-I355,0)</f>
        <v>0</v>
      </c>
      <c r="K355">
        <f>IF(OR(F355=0,F355&lt;=N('Исходные данные'!$B$37)),0,-(I355+J355)*N('Исходные данные'!$B$38))</f>
        <v>0</v>
      </c>
      <c r="L355">
        <f t="shared" si="188"/>
        <v>0</v>
      </c>
      <c r="M355">
        <f>IF('Исходные данные'!$B$51="Да",L355*N('Исходные данные'!$B$52),0)</f>
        <v>0</v>
      </c>
      <c r="N355">
        <f t="shared" si="189"/>
        <v>0</v>
      </c>
      <c r="O355">
        <f>IF(OR(B355="",IF('Исходные данные'!$B$45="",'Исходные данные'!$B$10,'Исходные данные'!$B$45)="",C355&lt;IF('Исходные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данные'!$B$45)),1),B355,"m")/12))*IF(AND(B355&lt;=IF('Исходные данные'!$B$45="",'Исходные данные'!$B$10,'Исходные данные'!$B$45),C355&gt;=IF('Исходные данные'!$B$45="",'Исходные данные'!$B$10,'Исходные данные'!$B$45)),(C355-IF('Исходные данные'!$B$45="",'Исходные данные'!$B$10,'Исходные данные'!$B$45)+1)/DAY(C355),1)*IF('Исходные данные'!$B$43="Без НДС",1+N('Исходные данные'!$B$44),1))</f>
        <v>0</v>
      </c>
      <c r="P355">
        <f>IF('Исходные данные'!$B$51="Да",-O355*N('Исходные данные'!$B$44)/(1+N('Исходные данные'!$B$44)),0)</f>
        <v>0</v>
      </c>
      <c r="Q355">
        <f>IF('Исходные данные'!$B$35="Да",-O355,0)</f>
        <v>0</v>
      </c>
      <c r="R355">
        <f>IF(AND('Исходные данные'!$B$51="Да",Q355&gt;0),Q355*N('Исходные данные'!$B$52)/(1+N('Исходные данные'!$B$52)),0)</f>
        <v>0</v>
      </c>
      <c r="S355">
        <f>IF(OR(B355="",IF('Исходные данные'!$B$45="",'Исходные данные'!$B$10,'Исходные данные'!$B$45)="",C355&lt;IF('Исходные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данные'!$B$45)),1),B355,"m")/12))*IF(AND(B355&lt;=IF('Исходные данные'!$B$45="",'Исходные данные'!$B$10,'Исходные данные'!$B$45),C355&gt;=IF('Исходные данные'!$B$45="",'Исходные данные'!$B$10,'Исходные данные'!$B$45)),(C355-IF('Исходные данные'!$B$45="",'Исходные данные'!$B$10,'Исходные данные'!$B$45)+1)/DAY(C355),1)*IF('Исходные данные'!$B$43="Без НДС",1+N('Исходные данные'!$B$44),1))</f>
        <v>0</v>
      </c>
      <c r="T355">
        <f>IF('Исходные данные'!$B$51="Да",-S355*N('Исходные данные'!$B$44)/(1+N('Исходные данные'!$B$44)),0)</f>
        <v>0</v>
      </c>
      <c r="U355">
        <f>IF('Исходные данные'!$B$36="Да",-S355,0)</f>
        <v>0</v>
      </c>
      <c r="V355">
        <f>IF(AND('Исходные данные'!$B$51="Да",U355&gt;0),U355*N('Исходные данные'!$B$52)/(1+N('Исходные данные'!$B$52)),0)</f>
        <v>0</v>
      </c>
      <c r="W355">
        <f>IF(OR(B355="",IF('Исходные данные'!$B$69="",'Исходные данные'!$B$10,'Исходные данные'!$B$69)="",C355&lt;IF('Исходные данные'!$B$69="",'Исходные данные'!$B$10,'Исходные данные'!$B$69)),0,-N('Исходные данные'!$B$16)*N('Исходные данные'!$B$68)*N('Исходные данные'!$B$67)/12*IF(AND(B355&lt;=IF('Исходные данные'!$B$69="",'Исходные данные'!$B$10,'Исходные данные'!$B$69),C355&gt;=IF('Исходные данные'!$B$69="",'Исходные данные'!$B$10,'Исходные данные'!$B$69)),(C355-IF('Исходные данные'!$B$69="",'Исходные данные'!$B$10,'Исходные данные'!$B$69)+1)/DAY(C355),1))</f>
        <v>0</v>
      </c>
      <c r="X355">
        <f>IF(OR(B355="",IF('Исходные данные'!$B$76="",'Исходные данные'!$B$10,'Исходные данные'!$B$76)="",C355&lt;IF('Исходные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данные'!$B$76)),1),B355,"m")/12))*IF(AND(B355&lt;=IF('Исходные данные'!$B$76="",'Исходные данные'!$B$10,'Исходные данные'!$B$76),C355&gt;=IF('Исходные данные'!$B$76="",'Исходные данные'!$B$10,'Исходные данные'!$B$76)),(C355-IF('Исходные данные'!$B$76="",'Исходные данные'!$B$10,'Исходные данные'!$B$76)+1)/DAY(C355),1))</f>
        <v>0</v>
      </c>
      <c r="Y355">
        <f t="shared" si="190"/>
        <v>0</v>
      </c>
      <c r="Z355">
        <f>IF(OR(B355="",N('Исходные данные'!$B$19)=0),0,-SUMIFS('Исходные данные'!$I$6:$I$186,'Исходные данные'!$F$6:$F$186,B355)*N('Исходные данные'!$B$17)/N('Исходные данные'!$B$19))</f>
        <v>0</v>
      </c>
      <c r="AA355">
        <f>IF(OR(B355="",N('Исходные данные'!$B$19)=0),0,-SUMIFS('Исходные данные'!$I$6:$I$186,'Исходные данные'!$F$6:$F$186,B355)*N('Исходные данные'!$B$18)/N('Исходные данные'!$B$19))</f>
        <v>0</v>
      </c>
      <c r="AB355">
        <f>IF(OR(B355="",'Исходные данные'!$B$13=""),0,IF(AND(YEAR(B355)=YEAR('Исходные данные'!$B$13),MONTH(B355)=MONTH('Исходные данные'!$B$13)),-N('Исходные данные'!$B$11),0))</f>
        <v>0</v>
      </c>
      <c r="AC355">
        <f>IF(A355=1,-N('Исходные данные'!$B$19)*N('Исходные данные'!$B$72),0)</f>
        <v>0</v>
      </c>
      <c r="AD355">
        <f>IF(OR(B355="",'Исходные данные'!$B$22&lt;&gt;"Да",'Исходные данные'!$B$26=""),0,IF(AND(YEAR(B355)=YEAR('Исходные данные'!$B$26),MONTH(B355)=MONTH('Исходные данные'!$B$26)),N('Исходные данные'!$B$23),0))</f>
        <v>0</v>
      </c>
      <c r="AE355">
        <f t="shared" si="173"/>
        <v>0</v>
      </c>
      <c r="AF355">
        <f>IF(OR('Исходные данные'!$B$22&lt;&gt;"Да",'Исходные данные'!$B$26="",C355&lt;'Исходные данные'!$B$26),0,DATEDIF(DATE(YEAR('Исходные данные'!$B$26),MONTH('Исходные данные'!$B$26),1),B355,"m")+1)</f>
        <v>0</v>
      </c>
      <c r="AG355">
        <f>IF(OR(AF355&lt;1,AF355&gt;N('Исходные данные'!$B$25),AE355+AD355&lt;=0),0,-(AE355+AD355)*N('Исходные данные'!$B$24)*IF(AF355=1,C355-'Исходные данные'!$B$26+1,DAY(C355))/365)</f>
        <v>0</v>
      </c>
      <c r="AH355">
        <f>IF(OR(AF355&lt;1,AF355&gt;N('Исходные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данные'!$B$25)-AG355))</f>
        <v>0</v>
      </c>
      <c r="AI355">
        <f>IF(OR('Исходные данные'!$B$22&lt;&gt;"Да",AE355+AD355&lt;=0),0,IF(AND('Исходные данные'!$B$91&lt;&gt;"",B355&lt;&gt;"",YEAR(B355)=YEAR('Исходные данные'!$B$91),MONTH(B355)=MONTH('Исходные данные'!$B$91)),-(AE355+AD355),IF(OR(AF355&lt;1,AF355&gt;N('Исходные данные'!$B$25)),0,IF('Исходные данные'!$B$27="Равными долями",-MIN(AE355+AD355,N('Исходные данные'!$B$23)/N('Исходные данные'!$B$25)),-MIN(AE355+AD355,IF(AF355=N('Исходные данные'!$B$25),AE355+AD355,MAX(0,AH355+AG355)))))))</f>
        <v>0</v>
      </c>
      <c r="AJ355">
        <f t="shared" si="191"/>
        <v>0</v>
      </c>
      <c r="AK355">
        <f t="shared" si="174"/>
        <v>0</v>
      </c>
      <c r="AL355">
        <f>IF(OR(B355="",'Исходные данные'!$B$51&lt;&gt;"Да",'Исходные данные'!$B$61=""),0,IF(AND(YEAR(B355)=YEAR('Исходные данные'!$B$61),MONTH(B355)=MONTH('Исходные данные'!$B$61)),N('Исходные данные'!$B$18)*N('Исходные данные'!$B$62),0))</f>
        <v>0</v>
      </c>
      <c r="AM355">
        <f t="shared" si="175"/>
        <v>0</v>
      </c>
      <c r="AN355">
        <f t="shared" si="176"/>
        <v>0</v>
      </c>
      <c r="AO355">
        <f t="shared" si="177"/>
        <v>0</v>
      </c>
      <c r="AP355">
        <f>IF('Исходные данные'!$B$51="Да",-MAX(0,AN355-AO355-AM355),0)</f>
        <v>0</v>
      </c>
      <c r="AQ355">
        <f>IF('Исходные данные'!$B$51="Да",MAX(0,AM355+AO355-AN355),0)</f>
        <v>0</v>
      </c>
      <c r="AR355">
        <f>IF('Исходные данные'!$B$53="Выручка",MAX(0,L355+(Q355-R355)+(U355-V355)),IF('Исходные данные'!$B$53="Прибыль до налога",MAX(0,L355+(Q355-R355)+(U355-V355)+N('Исходные данные'!$B$54)*((O355+P355)+(S355+T355)+W355+X355)+IF('Исходные данные'!$B$55="Да",AG355,0)-N('Исходные данные'!$B$56)/12),IF('Исходные данные'!$B$53="Пользовательская база",MAX(0,N('Исходные данные'!$B$57)/12),0)))</f>
        <v>0</v>
      </c>
      <c r="AS355">
        <f>IF(E355=1,-AR355*N('Исходные данные'!$B$50),0)</f>
        <v>0</v>
      </c>
      <c r="AT355">
        <f t="shared" si="178"/>
        <v>0</v>
      </c>
      <c r="AU355">
        <f>IF(OR(B355="",N('Исходные данные'!$B$80)&lt;=0,'Исходные данные'!$B$88=""),0,MAX(0,IF('Исходные данные'!$B$88="Последние 12 месяцев",SUMIFS($Y$2:$Y$194,$B$2:$B$194,"&gt;="&amp;EDATE(B355,-11),$B$2:$B$194,"&lt;="&amp;B355),IF('Исходные данные'!$B$88="Пользовательский NOI",N('Исходные данные'!$B$89),AT355))/N('Исходные данные'!$B$80)*(1+N('Исходные данные'!$B$81))))</f>
        <v>0</v>
      </c>
      <c r="AV355">
        <f>IF(OR(E355&lt;&gt;1,B355="",'Исходные данные'!$B$91=""),0,IF(AND(YEAR(B355)=YEAR('Исходные данные'!$B$91),MONTH(B355)=MONTH('Исходные данные'!$B$91)),AU355,0))</f>
        <v>0</v>
      </c>
      <c r="AW355">
        <f>-AV355*N('Исходные данные'!$B$73)</f>
        <v>0</v>
      </c>
      <c r="AX355">
        <f>IF(AV355=0,0,-N('Исходные данные'!$B$87)-IF('Исходные данные'!$B$82="Да",IF('Исходные данные'!$B$84="С выручки",AV355,IF('Исходные данные'!$B$84="С прибыли",MAX(0,AV355+AW355-IF('Исходные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55">
        <f t="shared" si="192"/>
        <v>0</v>
      </c>
      <c r="AZ355">
        <f t="shared" si="179"/>
        <v>0</v>
      </c>
      <c r="BA355">
        <f t="shared" si="193"/>
        <v>0</v>
      </c>
      <c r="BB355" t="str">
        <f t="shared" si="180"/>
        <v/>
      </c>
      <c r="BC355">
        <f>IF(OR(E355=0,'Исходные данные'!$B$9="",'Исходные данные'!$B$90=""),0,BA355/(1+'Исходные данные'!$B$90)^((D355-'Исходные данные'!$B$9)/365))</f>
        <v>0</v>
      </c>
      <c r="BD355">
        <f>IF(AND(E355=1,BB355&gt;=0,BB354&lt;0,MIN($BB$2:BB355)&lt;0),1,0)</f>
        <v>0</v>
      </c>
      <c r="BE355">
        <f t="shared" si="181"/>
        <v>0</v>
      </c>
      <c r="BF355">
        <f t="shared" si="182"/>
        <v>0</v>
      </c>
      <c r="BG355">
        <f t="shared" si="183"/>
        <v>0</v>
      </c>
      <c r="BH355">
        <f t="shared" si="184"/>
        <v>1</v>
      </c>
      <c r="BI355">
        <f>AZ355+N355+AP355-AR355*N('Исходные данные'!$B$50)</f>
        <v>0</v>
      </c>
      <c r="BJ355">
        <f t="shared" si="185"/>
        <v>0</v>
      </c>
      <c r="BK355">
        <f>IF(AND(BJ355&gt;=0,BJ354&lt;0,MIN($BJ$2:BJ355)&lt;0),1,0)</f>
        <v>0</v>
      </c>
    </row>
    <row r="356" spans="1:63" x14ac:dyDescent="0.2">
      <c r="A356">
        <v>355</v>
      </c>
      <c r="B356" t="str">
        <f>IF('Исходные данные'!$B$9="","",EDATE(DATE(YEAR('Исходные данные'!$B$9),MONTH('Исходные данные'!$B$9),1),A356-1))</f>
        <v/>
      </c>
      <c r="C356" t="str">
        <f t="shared" si="186"/>
        <v/>
      </c>
      <c r="D356" t="str">
        <f>IF(B356="","",IF('Исходные данные'!$B$91&lt;&gt;"",IF(AND(YEAR(B356)=YEAR('Исходные данные'!$B$91),MONTH(B356)=MONTH('Исходные данные'!$B$91)),'Исходные данные'!$B$91,IF('Исходные данные'!$B$13&lt;&gt;"",IF(AND(YEAR(B356)=YEAR('Исходные данные'!$B$13),MONTH(B356)=MONTH('Исходные данные'!$B$13)),'Исходные данные'!$B$13,IF('Исходные данные'!$B$26&lt;&gt;"",IF(AND(YEAR(B356)=YEAR('Исходные данные'!$B$26),MONTH(B356)=MONTH('Исходные данные'!$B$26)),'Исходные данные'!$B$26,IF(A356=1,'Исходные данные'!$B$9,C356)),IF(A356=1,'Исходные данные'!$B$9,C356))),IF('Исходные данные'!$B$26&lt;&gt;"",IF(AND(YEAR(B356)=YEAR('Исходные данные'!$B$26),MONTH(B356)=MONTH('Исходные данные'!$B$26)),'Исходные данные'!$B$26,IF(A356=1,'Исходные данные'!$B$9,C356)),IF(A356=1,'Исходные данные'!$B$9,C356)))),IF('Исходные данные'!$B$13&lt;&gt;"",IF(AND(YEAR(B356)=YEAR('Исходные данные'!$B$13),MONTH(B356)=MONTH('Исходные данные'!$B$13)),'Исходные данные'!$B$13,IF('Исходные данные'!$B$26&lt;&gt;"",IF(AND(YEAR(B356)=YEAR('Исходные данные'!$B$26),MONTH(B356)=MONTH('Исходные данные'!$B$26)),'Исходные данные'!$B$26,IF(A356=1,'Исходные данные'!$B$9,C356)),IF(A356=1,'Исходные данные'!$B$9,C356))),IF('Исходные данные'!$B$26&lt;&gt;"",IF(AND(YEAR(B356)=YEAR('Исходные данные'!$B$26),MONTH(B356)=MONTH('Исходные данные'!$B$26)),'Исходные данные'!$B$26,IF(A356=1,'Исходные данные'!$B$9,C356)),IF(A356=1,'Исходные данные'!$B$9,C356)))))</f>
        <v/>
      </c>
      <c r="E356">
        <f>IF(OR(B356="",'Исходные данные'!$B$91=""),0,--(B356&lt;=DATE(YEAR('Исходные данные'!$B$91),MONTH('Исходные данные'!$B$91),1)))</f>
        <v>0</v>
      </c>
      <c r="F356">
        <f>IF(OR(B356="",'Исходные данные'!$B$30="",C356&lt;'Исходные данные'!$B$30),0,DATEDIF(DATE(YEAR('Исходные данные'!$B$30),MONTH('Исходные данные'!$B$30),1),B356,"m")+1)</f>
        <v>0</v>
      </c>
      <c r="G356">
        <f t="shared" si="187"/>
        <v>0</v>
      </c>
      <c r="H356">
        <f>IF(F356=0,0,IF(G356=1,N('Исходные данные'!$B$31),IF(G356=2,N('Исходные данные'!$B$32),IF(G356=3,N('Исходные данные'!$B$33),N('Исходные данные'!$B$33)*(1+N('Исходные данные'!$B$34))^(G356-3)))))</f>
        <v>0</v>
      </c>
      <c r="I356">
        <f>IF(OR(F356=0,N('Исходные данные'!$B$5)=0,H356=0),0,'Исходные данные'!$B$5*H356*IF(AND(B356&lt;='Исходные данные'!$B$30,C356&gt;='Исходные данные'!$B$30),(C356-'Исходные данные'!$B$30+1)/DAY(C356),1))</f>
        <v>0</v>
      </c>
      <c r="J356">
        <f>IF(AND(F356&gt;0,F356&lt;=N('Исходные данные'!$B$37)),-I356,0)</f>
        <v>0</v>
      </c>
      <c r="K356">
        <f>IF(OR(F356=0,F356&lt;=N('Исходные данные'!$B$37)),0,-(I356+J356)*N('Исходные данные'!$B$38))</f>
        <v>0</v>
      </c>
      <c r="L356">
        <f t="shared" si="188"/>
        <v>0</v>
      </c>
      <c r="M356">
        <f>IF('Исходные данные'!$B$51="Да",L356*N('Исходные данные'!$B$52),0)</f>
        <v>0</v>
      </c>
      <c r="N356">
        <f t="shared" si="189"/>
        <v>0</v>
      </c>
      <c r="O356">
        <f>IF(OR(B356="",IF('Исходные данные'!$B$45="",'Исходные данные'!$B$10,'Исходные данные'!$B$45)="",C356&lt;IF('Исходные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данные'!$B$45)),1),B356,"m")/12))*IF(AND(B356&lt;=IF('Исходные данные'!$B$45="",'Исходные данные'!$B$10,'Исходные данные'!$B$45),C356&gt;=IF('Исходные данные'!$B$45="",'Исходные данные'!$B$10,'Исходные данные'!$B$45)),(C356-IF('Исходные данные'!$B$45="",'Исходные данные'!$B$10,'Исходные данные'!$B$45)+1)/DAY(C356),1)*IF('Исходные данные'!$B$43="Без НДС",1+N('Исходные данные'!$B$44),1))</f>
        <v>0</v>
      </c>
      <c r="P356">
        <f>IF('Исходные данные'!$B$51="Да",-O356*N('Исходные данные'!$B$44)/(1+N('Исходные данные'!$B$44)),0)</f>
        <v>0</v>
      </c>
      <c r="Q356">
        <f>IF('Исходные данные'!$B$35="Да",-O356,0)</f>
        <v>0</v>
      </c>
      <c r="R356">
        <f>IF(AND('Исходные данные'!$B$51="Да",Q356&gt;0),Q356*N('Исходные данные'!$B$52)/(1+N('Исходные данные'!$B$52)),0)</f>
        <v>0</v>
      </c>
      <c r="S356">
        <f>IF(OR(B356="",IF('Исходные данные'!$B$45="",'Исходные данные'!$B$10,'Исходные данные'!$B$45)="",C356&lt;IF('Исходные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данные'!$B$45)),1),B356,"m")/12))*IF(AND(B356&lt;=IF('Исходные данные'!$B$45="",'Исходные данные'!$B$10,'Исходные данные'!$B$45),C356&gt;=IF('Исходные данные'!$B$45="",'Исходные данные'!$B$10,'Исходные данные'!$B$45)),(C356-IF('Исходные данные'!$B$45="",'Исходные данные'!$B$10,'Исходные данные'!$B$45)+1)/DAY(C356),1)*IF('Исходные данные'!$B$43="Без НДС",1+N('Исходные данные'!$B$44),1))</f>
        <v>0</v>
      </c>
      <c r="T356">
        <f>IF('Исходные данные'!$B$51="Да",-S356*N('Исходные данные'!$B$44)/(1+N('Исходные данные'!$B$44)),0)</f>
        <v>0</v>
      </c>
      <c r="U356">
        <f>IF('Исходные данные'!$B$36="Да",-S356,0)</f>
        <v>0</v>
      </c>
      <c r="V356">
        <f>IF(AND('Исходные данные'!$B$51="Да",U356&gt;0),U356*N('Исходные данные'!$B$52)/(1+N('Исходные данные'!$B$52)),0)</f>
        <v>0</v>
      </c>
      <c r="W356">
        <f>IF(OR(B356="",IF('Исходные данные'!$B$69="",'Исходные данные'!$B$10,'Исходные данные'!$B$69)="",C356&lt;IF('Исходные данные'!$B$69="",'Исходные данные'!$B$10,'Исходные данные'!$B$69)),0,-N('Исходные данные'!$B$16)*N('Исходные данные'!$B$68)*N('Исходные данные'!$B$67)/12*IF(AND(B356&lt;=IF('Исходные данные'!$B$69="",'Исходные данные'!$B$10,'Исходные данные'!$B$69),C356&gt;=IF('Исходные данные'!$B$69="",'Исходные данные'!$B$10,'Исходные данные'!$B$69)),(C356-IF('Исходные данные'!$B$69="",'Исходные данные'!$B$10,'Исходные данные'!$B$69)+1)/DAY(C356),1))</f>
        <v>0</v>
      </c>
      <c r="X356">
        <f>IF(OR(B356="",IF('Исходные данные'!$B$76="",'Исходные данные'!$B$10,'Исходные данные'!$B$76)="",C356&lt;IF('Исходные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данные'!$B$76)),1),B356,"m")/12))*IF(AND(B356&lt;=IF('Исходные данные'!$B$76="",'Исходные данные'!$B$10,'Исходные данные'!$B$76),C356&gt;=IF('Исходные данные'!$B$76="",'Исходные данные'!$B$10,'Исходные данные'!$B$76)),(C356-IF('Исходные данные'!$B$76="",'Исходные данные'!$B$10,'Исходные данные'!$B$76)+1)/DAY(C356),1))</f>
        <v>0</v>
      </c>
      <c r="Y356">
        <f t="shared" si="190"/>
        <v>0</v>
      </c>
      <c r="Z356">
        <f>IF(OR(B356="",N('Исходные данные'!$B$19)=0),0,-SUMIFS('Исходные данные'!$I$6:$I$186,'Исходные данные'!$F$6:$F$186,B356)*N('Исходные данные'!$B$17)/N('Исходные данные'!$B$19))</f>
        <v>0</v>
      </c>
      <c r="AA356">
        <f>IF(OR(B356="",N('Исходные данные'!$B$19)=0),0,-SUMIFS('Исходные данные'!$I$6:$I$186,'Исходные данные'!$F$6:$F$186,B356)*N('Исходные данные'!$B$18)/N('Исходные данные'!$B$19))</f>
        <v>0</v>
      </c>
      <c r="AB356">
        <f>IF(OR(B356="",'Исходные данные'!$B$13=""),0,IF(AND(YEAR(B356)=YEAR('Исходные данные'!$B$13),MONTH(B356)=MONTH('Исходные данные'!$B$13)),-N('Исходные данные'!$B$11),0))</f>
        <v>0</v>
      </c>
      <c r="AC356">
        <f>IF(A356=1,-N('Исходные данные'!$B$19)*N('Исходные данные'!$B$72),0)</f>
        <v>0</v>
      </c>
      <c r="AD356">
        <f>IF(OR(B356="",'Исходные данные'!$B$22&lt;&gt;"Да",'Исходные данные'!$B$26=""),0,IF(AND(YEAR(B356)=YEAR('Исходные данные'!$B$26),MONTH(B356)=MONTH('Исходные данные'!$B$26)),N('Исходные данные'!$B$23),0))</f>
        <v>0</v>
      </c>
      <c r="AE356">
        <f t="shared" si="173"/>
        <v>0</v>
      </c>
      <c r="AF356">
        <f>IF(OR('Исходные данные'!$B$22&lt;&gt;"Да",'Исходные данные'!$B$26="",C356&lt;'Исходные данные'!$B$26),0,DATEDIF(DATE(YEAR('Исходные данные'!$B$26),MONTH('Исходные данные'!$B$26),1),B356,"m")+1)</f>
        <v>0</v>
      </c>
      <c r="AG356">
        <f>IF(OR(AF356&lt;1,AF356&gt;N('Исходные данные'!$B$25),AE356+AD356&lt;=0),0,-(AE356+AD356)*N('Исходные данные'!$B$24)*IF(AF356=1,C356-'Исходные данные'!$B$26+1,DAY(C356))/365)</f>
        <v>0</v>
      </c>
      <c r="AH356">
        <f>IF(OR(AF356&lt;1,AF356&gt;N('Исходные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данные'!$B$25)-AG356))</f>
        <v>0</v>
      </c>
      <c r="AI356">
        <f>IF(OR('Исходные данные'!$B$22&lt;&gt;"Да",AE356+AD356&lt;=0),0,IF(AND('Исходные данные'!$B$91&lt;&gt;"",B356&lt;&gt;"",YEAR(B356)=YEAR('Исходные данные'!$B$91),MONTH(B356)=MONTH('Исходные данные'!$B$91)),-(AE356+AD356),IF(OR(AF356&lt;1,AF356&gt;N('Исходные данные'!$B$25)),0,IF('Исходные данные'!$B$27="Равными долями",-MIN(AE356+AD356,N('Исходные данные'!$B$23)/N('Исходные данные'!$B$25)),-MIN(AE356+AD356,IF(AF356=N('Исходные данные'!$B$25),AE356+AD356,MAX(0,AH356+AG356)))))))</f>
        <v>0</v>
      </c>
      <c r="AJ356">
        <f t="shared" si="191"/>
        <v>0</v>
      </c>
      <c r="AK356">
        <f t="shared" si="174"/>
        <v>0</v>
      </c>
      <c r="AL356">
        <f>IF(OR(B356="",'Исходные данные'!$B$51&lt;&gt;"Да",'Исходные данные'!$B$61=""),0,IF(AND(YEAR(B356)=YEAR('Исходные данные'!$B$61),MONTH(B356)=MONTH('Исходные данные'!$B$61)),N('Исходные данные'!$B$18)*N('Исходные данные'!$B$62),0))</f>
        <v>0</v>
      </c>
      <c r="AM356">
        <f t="shared" si="175"/>
        <v>0</v>
      </c>
      <c r="AN356">
        <f t="shared" si="176"/>
        <v>0</v>
      </c>
      <c r="AO356">
        <f t="shared" si="177"/>
        <v>0</v>
      </c>
      <c r="AP356">
        <f>IF('Исходные данные'!$B$51="Да",-MAX(0,AN356-AO356-AM356),0)</f>
        <v>0</v>
      </c>
      <c r="AQ356">
        <f>IF('Исходные данные'!$B$51="Да",MAX(0,AM356+AO356-AN356),0)</f>
        <v>0</v>
      </c>
      <c r="AR356">
        <f>IF('Исходные данные'!$B$53="Выручка",MAX(0,L356+(Q356-R356)+(U356-V356)),IF('Исходные данные'!$B$53="Прибыль до налога",MAX(0,L356+(Q356-R356)+(U356-V356)+N('Исходные данные'!$B$54)*((O356+P356)+(S356+T356)+W356+X356)+IF('Исходные данные'!$B$55="Да",AG356,0)-N('Исходные данные'!$B$56)/12),IF('Исходные данные'!$B$53="Пользовательская база",MAX(0,N('Исходные данные'!$B$57)/12),0)))</f>
        <v>0</v>
      </c>
      <c r="AS356">
        <f>IF(E356=1,-AR356*N('Исходные данные'!$B$50),0)</f>
        <v>0</v>
      </c>
      <c r="AT356">
        <f t="shared" si="178"/>
        <v>0</v>
      </c>
      <c r="AU356">
        <f>IF(OR(B356="",N('Исходные данные'!$B$80)&lt;=0,'Исходные данные'!$B$88=""),0,MAX(0,IF('Исходные данные'!$B$88="Последние 12 месяцев",SUMIFS($Y$2:$Y$194,$B$2:$B$194,"&gt;="&amp;EDATE(B356,-11),$B$2:$B$194,"&lt;="&amp;B356),IF('Исходные данные'!$B$88="Пользовательский NOI",N('Исходные данные'!$B$89),AT356))/N('Исходные данные'!$B$80)*(1+N('Исходные данные'!$B$81))))</f>
        <v>0</v>
      </c>
      <c r="AV356">
        <f>IF(OR(E356&lt;&gt;1,B356="",'Исходные данные'!$B$91=""),0,IF(AND(YEAR(B356)=YEAR('Исходные данные'!$B$91),MONTH(B356)=MONTH('Исходные данные'!$B$91)),AU356,0))</f>
        <v>0</v>
      </c>
      <c r="AW356">
        <f>-AV356*N('Исходные данные'!$B$73)</f>
        <v>0</v>
      </c>
      <c r="AX356">
        <f>IF(AV356=0,0,-N('Исходные данные'!$B$87)-IF('Исходные данные'!$B$82="Да",IF('Исходные данные'!$B$84="С выручки",AV356,IF('Исходные данные'!$B$84="С прибыли",MAX(0,AV356+AW356-IF('Исходные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56">
        <f t="shared" si="192"/>
        <v>0</v>
      </c>
      <c r="AZ356">
        <f t="shared" si="179"/>
        <v>0</v>
      </c>
      <c r="BA356">
        <f t="shared" si="193"/>
        <v>0</v>
      </c>
      <c r="BB356" t="str">
        <f t="shared" si="180"/>
        <v/>
      </c>
      <c r="BC356">
        <f>IF(OR(E356=0,'Исходные данные'!$B$9="",'Исходные данные'!$B$90=""),0,BA356/(1+'Исходные данные'!$B$90)^((D356-'Исходные данные'!$B$9)/365))</f>
        <v>0</v>
      </c>
      <c r="BD356">
        <f>IF(AND(E356=1,BB356&gt;=0,BB355&lt;0,MIN($BB$2:BB356)&lt;0),1,0)</f>
        <v>0</v>
      </c>
      <c r="BE356">
        <f t="shared" si="181"/>
        <v>0</v>
      </c>
      <c r="BF356">
        <f t="shared" si="182"/>
        <v>0</v>
      </c>
      <c r="BG356">
        <f t="shared" si="183"/>
        <v>0</v>
      </c>
      <c r="BH356">
        <f t="shared" si="184"/>
        <v>1</v>
      </c>
      <c r="BI356">
        <f>AZ356+N356+AP356-AR356*N('Исходные данные'!$B$50)</f>
        <v>0</v>
      </c>
      <c r="BJ356">
        <f t="shared" si="185"/>
        <v>0</v>
      </c>
      <c r="BK356">
        <f>IF(AND(BJ356&gt;=0,BJ355&lt;0,MIN($BJ$2:BJ356)&lt;0),1,0)</f>
        <v>0</v>
      </c>
    </row>
    <row r="357" spans="1:63" x14ac:dyDescent="0.2">
      <c r="A357">
        <v>356</v>
      </c>
      <c r="B357" t="str">
        <f>IF('Исходные данные'!$B$9="","",EDATE(DATE(YEAR('Исходные данные'!$B$9),MONTH('Исходные данные'!$B$9),1),A357-1))</f>
        <v/>
      </c>
      <c r="C357" t="str">
        <f t="shared" si="186"/>
        <v/>
      </c>
      <c r="D357" t="str">
        <f>IF(B357="","",IF('Исходные данные'!$B$91&lt;&gt;"",IF(AND(YEAR(B357)=YEAR('Исходные данные'!$B$91),MONTH(B357)=MONTH('Исходные данные'!$B$91)),'Исходные данные'!$B$91,IF('Исходные данные'!$B$13&lt;&gt;"",IF(AND(YEAR(B357)=YEAR('Исходные данные'!$B$13),MONTH(B357)=MONTH('Исходные данные'!$B$13)),'Исходные данные'!$B$13,IF('Исходные данные'!$B$26&lt;&gt;"",IF(AND(YEAR(B357)=YEAR('Исходные данные'!$B$26),MONTH(B357)=MONTH('Исходные данные'!$B$26)),'Исходные данные'!$B$26,IF(A357=1,'Исходные данные'!$B$9,C357)),IF(A357=1,'Исходные данные'!$B$9,C357))),IF('Исходные данные'!$B$26&lt;&gt;"",IF(AND(YEAR(B357)=YEAR('Исходные данные'!$B$26),MONTH(B357)=MONTH('Исходные данные'!$B$26)),'Исходные данные'!$B$26,IF(A357=1,'Исходные данные'!$B$9,C357)),IF(A357=1,'Исходные данные'!$B$9,C357)))),IF('Исходные данные'!$B$13&lt;&gt;"",IF(AND(YEAR(B357)=YEAR('Исходные данные'!$B$13),MONTH(B357)=MONTH('Исходные данные'!$B$13)),'Исходные данные'!$B$13,IF('Исходные данные'!$B$26&lt;&gt;"",IF(AND(YEAR(B357)=YEAR('Исходные данные'!$B$26),MONTH(B357)=MONTH('Исходные данные'!$B$26)),'Исходные данные'!$B$26,IF(A357=1,'Исходные данные'!$B$9,C357)),IF(A357=1,'Исходные данные'!$B$9,C357))),IF('Исходные данные'!$B$26&lt;&gt;"",IF(AND(YEAR(B357)=YEAR('Исходные данные'!$B$26),MONTH(B357)=MONTH('Исходные данные'!$B$26)),'Исходные данные'!$B$26,IF(A357=1,'Исходные данные'!$B$9,C357)),IF(A357=1,'Исходные данные'!$B$9,C357)))))</f>
        <v/>
      </c>
      <c r="E357">
        <f>IF(OR(B357="",'Исходные данные'!$B$91=""),0,--(B357&lt;=DATE(YEAR('Исходные данные'!$B$91),MONTH('Исходные данные'!$B$91),1)))</f>
        <v>0</v>
      </c>
      <c r="F357">
        <f>IF(OR(B357="",'Исходные данные'!$B$30="",C357&lt;'Исходные данные'!$B$30),0,DATEDIF(DATE(YEAR('Исходные данные'!$B$30),MONTH('Исходные данные'!$B$30),1),B357,"m")+1)</f>
        <v>0</v>
      </c>
      <c r="G357">
        <f t="shared" si="187"/>
        <v>0</v>
      </c>
      <c r="H357">
        <f>IF(F357=0,0,IF(G357=1,N('Исходные данные'!$B$31),IF(G357=2,N('Исходные данные'!$B$32),IF(G357=3,N('Исходные данные'!$B$33),N('Исходные данные'!$B$33)*(1+N('Исходные данные'!$B$34))^(G357-3)))))</f>
        <v>0</v>
      </c>
      <c r="I357">
        <f>IF(OR(F357=0,N('Исходные данные'!$B$5)=0,H357=0),0,'Исходные данные'!$B$5*H357*IF(AND(B357&lt;='Исходные данные'!$B$30,C357&gt;='Исходные данные'!$B$30),(C357-'Исходные данные'!$B$30+1)/DAY(C357),1))</f>
        <v>0</v>
      </c>
      <c r="J357">
        <f>IF(AND(F357&gt;0,F357&lt;=N('Исходные данные'!$B$37)),-I357,0)</f>
        <v>0</v>
      </c>
      <c r="K357">
        <f>IF(OR(F357=0,F357&lt;=N('Исходные данные'!$B$37)),0,-(I357+J357)*N('Исходные данные'!$B$38))</f>
        <v>0</v>
      </c>
      <c r="L357">
        <f t="shared" si="188"/>
        <v>0</v>
      </c>
      <c r="M357">
        <f>IF('Исходные данные'!$B$51="Да",L357*N('Исходные данные'!$B$52),0)</f>
        <v>0</v>
      </c>
      <c r="N357">
        <f t="shared" si="189"/>
        <v>0</v>
      </c>
      <c r="O357">
        <f>IF(OR(B357="",IF('Исходные данные'!$B$45="",'Исходные данные'!$B$10,'Исходные данные'!$B$45)="",C357&lt;IF('Исходные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данные'!$B$45)),1),B357,"m")/12))*IF(AND(B357&lt;=IF('Исходные данные'!$B$45="",'Исходные данные'!$B$10,'Исходные данные'!$B$45),C357&gt;=IF('Исходные данные'!$B$45="",'Исходные данные'!$B$10,'Исходные данные'!$B$45)),(C357-IF('Исходные данные'!$B$45="",'Исходные данные'!$B$10,'Исходные данные'!$B$45)+1)/DAY(C357),1)*IF('Исходные данные'!$B$43="Без НДС",1+N('Исходные данные'!$B$44),1))</f>
        <v>0</v>
      </c>
      <c r="P357">
        <f>IF('Исходные данные'!$B$51="Да",-O357*N('Исходные данные'!$B$44)/(1+N('Исходные данные'!$B$44)),0)</f>
        <v>0</v>
      </c>
      <c r="Q357">
        <f>IF('Исходные данные'!$B$35="Да",-O357,0)</f>
        <v>0</v>
      </c>
      <c r="R357">
        <f>IF(AND('Исходные данные'!$B$51="Да",Q357&gt;0),Q357*N('Исходные данные'!$B$52)/(1+N('Исходные данные'!$B$52)),0)</f>
        <v>0</v>
      </c>
      <c r="S357">
        <f>IF(OR(B357="",IF('Исходные данные'!$B$45="",'Исходные данные'!$B$10,'Исходные данные'!$B$45)="",C357&lt;IF('Исходные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данные'!$B$45)),1),B357,"m")/12))*IF(AND(B357&lt;=IF('Исходные данные'!$B$45="",'Исходные данные'!$B$10,'Исходные данные'!$B$45),C357&gt;=IF('Исходные данные'!$B$45="",'Исходные данные'!$B$10,'Исходные данные'!$B$45)),(C357-IF('Исходные данные'!$B$45="",'Исходные данные'!$B$10,'Исходные данные'!$B$45)+1)/DAY(C357),1)*IF('Исходные данные'!$B$43="Без НДС",1+N('Исходные данные'!$B$44),1))</f>
        <v>0</v>
      </c>
      <c r="T357">
        <f>IF('Исходные данные'!$B$51="Да",-S357*N('Исходные данные'!$B$44)/(1+N('Исходные данные'!$B$44)),0)</f>
        <v>0</v>
      </c>
      <c r="U357">
        <f>IF('Исходные данные'!$B$36="Да",-S357,0)</f>
        <v>0</v>
      </c>
      <c r="V357">
        <f>IF(AND('Исходные данные'!$B$51="Да",U357&gt;0),U357*N('Исходные данные'!$B$52)/(1+N('Исходные данные'!$B$52)),0)</f>
        <v>0</v>
      </c>
      <c r="W357">
        <f>IF(OR(B357="",IF('Исходные данные'!$B$69="",'Исходные данные'!$B$10,'Исходные данные'!$B$69)="",C357&lt;IF('Исходные данные'!$B$69="",'Исходные данные'!$B$10,'Исходные данные'!$B$69)),0,-N('Исходные данные'!$B$16)*N('Исходные данные'!$B$68)*N('Исходные данные'!$B$67)/12*IF(AND(B357&lt;=IF('Исходные данные'!$B$69="",'Исходные данные'!$B$10,'Исходные данные'!$B$69),C357&gt;=IF('Исходные данные'!$B$69="",'Исходные данные'!$B$10,'Исходные данные'!$B$69)),(C357-IF('Исходные данные'!$B$69="",'Исходные данные'!$B$10,'Исходные данные'!$B$69)+1)/DAY(C357),1))</f>
        <v>0</v>
      </c>
      <c r="X357">
        <f>IF(OR(B357="",IF('Исходные данные'!$B$76="",'Исходные данные'!$B$10,'Исходные данные'!$B$76)="",C357&lt;IF('Исходные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данные'!$B$76)),1),B357,"m")/12))*IF(AND(B357&lt;=IF('Исходные данные'!$B$76="",'Исходные данные'!$B$10,'Исходные данные'!$B$76),C357&gt;=IF('Исходные данные'!$B$76="",'Исходные данные'!$B$10,'Исходные данные'!$B$76)),(C357-IF('Исходные данные'!$B$76="",'Исходные данные'!$B$10,'Исходные данные'!$B$76)+1)/DAY(C357),1))</f>
        <v>0</v>
      </c>
      <c r="Y357">
        <f t="shared" si="190"/>
        <v>0</v>
      </c>
      <c r="Z357">
        <f>IF(OR(B357="",N('Исходные данные'!$B$19)=0),0,-SUMIFS('Исходные данные'!$I$6:$I$186,'Исходные данные'!$F$6:$F$186,B357)*N('Исходные данные'!$B$17)/N('Исходные данные'!$B$19))</f>
        <v>0</v>
      </c>
      <c r="AA357">
        <f>IF(OR(B357="",N('Исходные данные'!$B$19)=0),0,-SUMIFS('Исходные данные'!$I$6:$I$186,'Исходные данные'!$F$6:$F$186,B357)*N('Исходные данные'!$B$18)/N('Исходные данные'!$B$19))</f>
        <v>0</v>
      </c>
      <c r="AB357">
        <f>IF(OR(B357="",'Исходные данные'!$B$13=""),0,IF(AND(YEAR(B357)=YEAR('Исходные данные'!$B$13),MONTH(B357)=MONTH('Исходные данные'!$B$13)),-N('Исходные данные'!$B$11),0))</f>
        <v>0</v>
      </c>
      <c r="AC357">
        <f>IF(A357=1,-N('Исходные данные'!$B$19)*N('Исходные данные'!$B$72),0)</f>
        <v>0</v>
      </c>
      <c r="AD357">
        <f>IF(OR(B357="",'Исходные данные'!$B$22&lt;&gt;"Да",'Исходные данные'!$B$26=""),0,IF(AND(YEAR(B357)=YEAR('Исходные данные'!$B$26),MONTH(B357)=MONTH('Исходные данные'!$B$26)),N('Исходные данные'!$B$23),0))</f>
        <v>0</v>
      </c>
      <c r="AE357">
        <f t="shared" si="173"/>
        <v>0</v>
      </c>
      <c r="AF357">
        <f>IF(OR('Исходные данные'!$B$22&lt;&gt;"Да",'Исходные данные'!$B$26="",C357&lt;'Исходные данные'!$B$26),0,DATEDIF(DATE(YEAR('Исходные данные'!$B$26),MONTH('Исходные данные'!$B$26),1),B357,"m")+1)</f>
        <v>0</v>
      </c>
      <c r="AG357">
        <f>IF(OR(AF357&lt;1,AF357&gt;N('Исходные данные'!$B$25),AE357+AD357&lt;=0),0,-(AE357+AD357)*N('Исходные данные'!$B$24)*IF(AF357=1,C357-'Исходные данные'!$B$26+1,DAY(C357))/365)</f>
        <v>0</v>
      </c>
      <c r="AH357">
        <f>IF(OR(AF357&lt;1,AF357&gt;N('Исходные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данные'!$B$25)-AG357))</f>
        <v>0</v>
      </c>
      <c r="AI357">
        <f>IF(OR('Исходные данные'!$B$22&lt;&gt;"Да",AE357+AD357&lt;=0),0,IF(AND('Исходные данные'!$B$91&lt;&gt;"",B357&lt;&gt;"",YEAR(B357)=YEAR('Исходные данные'!$B$91),MONTH(B357)=MONTH('Исходные данные'!$B$91)),-(AE357+AD357),IF(OR(AF357&lt;1,AF357&gt;N('Исходные данные'!$B$25)),0,IF('Исходные данные'!$B$27="Равными долями",-MIN(AE357+AD357,N('Исходные данные'!$B$23)/N('Исходные данные'!$B$25)),-MIN(AE357+AD357,IF(AF357=N('Исходные данные'!$B$25),AE357+AD357,MAX(0,AH357+AG357)))))))</f>
        <v>0</v>
      </c>
      <c r="AJ357">
        <f t="shared" si="191"/>
        <v>0</v>
      </c>
      <c r="AK357">
        <f t="shared" si="174"/>
        <v>0</v>
      </c>
      <c r="AL357">
        <f>IF(OR(B357="",'Исходные данные'!$B$51&lt;&gt;"Да",'Исходные данные'!$B$61=""),0,IF(AND(YEAR(B357)=YEAR('Исходные данные'!$B$61),MONTH(B357)=MONTH('Исходные данные'!$B$61)),N('Исходные данные'!$B$18)*N('Исходные данные'!$B$62),0))</f>
        <v>0</v>
      </c>
      <c r="AM357">
        <f t="shared" si="175"/>
        <v>0</v>
      </c>
      <c r="AN357">
        <f t="shared" si="176"/>
        <v>0</v>
      </c>
      <c r="AO357">
        <f t="shared" si="177"/>
        <v>0</v>
      </c>
      <c r="AP357">
        <f>IF('Исходные данные'!$B$51="Да",-MAX(0,AN357-AO357-AM357),0)</f>
        <v>0</v>
      </c>
      <c r="AQ357">
        <f>IF('Исходные данные'!$B$51="Да",MAX(0,AM357+AO357-AN357),0)</f>
        <v>0</v>
      </c>
      <c r="AR357">
        <f>IF('Исходные данные'!$B$53="Выручка",MAX(0,L357+(Q357-R357)+(U357-V357)),IF('Исходные данные'!$B$53="Прибыль до налога",MAX(0,L357+(Q357-R357)+(U357-V357)+N('Исходные данные'!$B$54)*((O357+P357)+(S357+T357)+W357+X357)+IF('Исходные данные'!$B$55="Да",AG357,0)-N('Исходные данные'!$B$56)/12),IF('Исходные данные'!$B$53="Пользовательская база",MAX(0,N('Исходные данные'!$B$57)/12),0)))</f>
        <v>0</v>
      </c>
      <c r="AS357">
        <f>IF(E357=1,-AR357*N('Исходные данные'!$B$50),0)</f>
        <v>0</v>
      </c>
      <c r="AT357">
        <f t="shared" si="178"/>
        <v>0</v>
      </c>
      <c r="AU357">
        <f>IF(OR(B357="",N('Исходные данные'!$B$80)&lt;=0,'Исходные данные'!$B$88=""),0,MAX(0,IF('Исходные данные'!$B$88="Последние 12 месяцев",SUMIFS($Y$2:$Y$194,$B$2:$B$194,"&gt;="&amp;EDATE(B357,-11),$B$2:$B$194,"&lt;="&amp;B357),IF('Исходные данные'!$B$88="Пользовательский NOI",N('Исходные данные'!$B$89),AT357))/N('Исходные данные'!$B$80)*(1+N('Исходные данные'!$B$81))))</f>
        <v>0</v>
      </c>
      <c r="AV357">
        <f>IF(OR(E357&lt;&gt;1,B357="",'Исходные данные'!$B$91=""),0,IF(AND(YEAR(B357)=YEAR('Исходные данные'!$B$91),MONTH(B357)=MONTH('Исходные данные'!$B$91)),AU357,0))</f>
        <v>0</v>
      </c>
      <c r="AW357">
        <f>-AV357*N('Исходные данные'!$B$73)</f>
        <v>0</v>
      </c>
      <c r="AX357">
        <f>IF(AV357=0,0,-N('Исходные данные'!$B$87)-IF('Исходные данные'!$B$82="Да",IF('Исходные данные'!$B$84="С выручки",AV357,IF('Исходные данные'!$B$84="С прибыли",MAX(0,AV357+AW357-IF('Исходные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57">
        <f t="shared" si="192"/>
        <v>0</v>
      </c>
      <c r="AZ357">
        <f t="shared" si="179"/>
        <v>0</v>
      </c>
      <c r="BA357">
        <f t="shared" si="193"/>
        <v>0</v>
      </c>
      <c r="BB357" t="str">
        <f t="shared" si="180"/>
        <v/>
      </c>
      <c r="BC357">
        <f>IF(OR(E357=0,'Исходные данные'!$B$9="",'Исходные данные'!$B$90=""),0,BA357/(1+'Исходные данные'!$B$90)^((D357-'Исходные данные'!$B$9)/365))</f>
        <v>0</v>
      </c>
      <c r="BD357">
        <f>IF(AND(E357=1,BB357&gt;=0,BB356&lt;0,MIN($BB$2:BB357)&lt;0),1,0)</f>
        <v>0</v>
      </c>
      <c r="BE357">
        <f t="shared" si="181"/>
        <v>0</v>
      </c>
      <c r="BF357">
        <f t="shared" si="182"/>
        <v>0</v>
      </c>
      <c r="BG357">
        <f t="shared" si="183"/>
        <v>0</v>
      </c>
      <c r="BH357">
        <f t="shared" si="184"/>
        <v>1</v>
      </c>
      <c r="BI357">
        <f>AZ357+N357+AP357-AR357*N('Исходные данные'!$B$50)</f>
        <v>0</v>
      </c>
      <c r="BJ357">
        <f t="shared" si="185"/>
        <v>0</v>
      </c>
      <c r="BK357">
        <f>IF(AND(BJ357&gt;=0,BJ356&lt;0,MIN($BJ$2:BJ357)&lt;0),1,0)</f>
        <v>0</v>
      </c>
    </row>
    <row r="358" spans="1:63" x14ac:dyDescent="0.2">
      <c r="A358">
        <v>357</v>
      </c>
      <c r="B358" t="str">
        <f>IF('Исходные данные'!$B$9="","",EDATE(DATE(YEAR('Исходные данные'!$B$9),MONTH('Исходные данные'!$B$9),1),A358-1))</f>
        <v/>
      </c>
      <c r="C358" t="str">
        <f t="shared" si="186"/>
        <v/>
      </c>
      <c r="D358" t="str">
        <f>IF(B358="","",IF('Исходные данные'!$B$91&lt;&gt;"",IF(AND(YEAR(B358)=YEAR('Исходные данные'!$B$91),MONTH(B358)=MONTH('Исходные данные'!$B$91)),'Исходные данные'!$B$91,IF('Исходные данные'!$B$13&lt;&gt;"",IF(AND(YEAR(B358)=YEAR('Исходные данные'!$B$13),MONTH(B358)=MONTH('Исходные данные'!$B$13)),'Исходные данные'!$B$13,IF('Исходные данные'!$B$26&lt;&gt;"",IF(AND(YEAR(B358)=YEAR('Исходные данные'!$B$26),MONTH(B358)=MONTH('Исходные данные'!$B$26)),'Исходные данные'!$B$26,IF(A358=1,'Исходные данные'!$B$9,C358)),IF(A358=1,'Исходные данные'!$B$9,C358))),IF('Исходные данные'!$B$26&lt;&gt;"",IF(AND(YEAR(B358)=YEAR('Исходные данные'!$B$26),MONTH(B358)=MONTH('Исходные данные'!$B$26)),'Исходные данные'!$B$26,IF(A358=1,'Исходные данные'!$B$9,C358)),IF(A358=1,'Исходные данные'!$B$9,C358)))),IF('Исходные данные'!$B$13&lt;&gt;"",IF(AND(YEAR(B358)=YEAR('Исходные данные'!$B$13),MONTH(B358)=MONTH('Исходные данные'!$B$13)),'Исходные данные'!$B$13,IF('Исходные данные'!$B$26&lt;&gt;"",IF(AND(YEAR(B358)=YEAR('Исходные данные'!$B$26),MONTH(B358)=MONTH('Исходные данные'!$B$26)),'Исходные данные'!$B$26,IF(A358=1,'Исходные данные'!$B$9,C358)),IF(A358=1,'Исходные данные'!$B$9,C358))),IF('Исходные данные'!$B$26&lt;&gt;"",IF(AND(YEAR(B358)=YEAR('Исходные данные'!$B$26),MONTH(B358)=MONTH('Исходные данные'!$B$26)),'Исходные данные'!$B$26,IF(A358=1,'Исходные данные'!$B$9,C358)),IF(A358=1,'Исходные данные'!$B$9,C358)))))</f>
        <v/>
      </c>
      <c r="E358">
        <f>IF(OR(B358="",'Исходные данные'!$B$91=""),0,--(B358&lt;=DATE(YEAR('Исходные данные'!$B$91),MONTH('Исходные данные'!$B$91),1)))</f>
        <v>0</v>
      </c>
      <c r="F358">
        <f>IF(OR(B358="",'Исходные данные'!$B$30="",C358&lt;'Исходные данные'!$B$30),0,DATEDIF(DATE(YEAR('Исходные данные'!$B$30),MONTH('Исходные данные'!$B$30),1),B358,"m")+1)</f>
        <v>0</v>
      </c>
      <c r="G358">
        <f t="shared" si="187"/>
        <v>0</v>
      </c>
      <c r="H358">
        <f>IF(F358=0,0,IF(G358=1,N('Исходные данные'!$B$31),IF(G358=2,N('Исходные данные'!$B$32),IF(G358=3,N('Исходные данные'!$B$33),N('Исходные данные'!$B$33)*(1+N('Исходные данные'!$B$34))^(G358-3)))))</f>
        <v>0</v>
      </c>
      <c r="I358">
        <f>IF(OR(F358=0,N('Исходные данные'!$B$5)=0,H358=0),0,'Исходные данные'!$B$5*H358*IF(AND(B358&lt;='Исходные данные'!$B$30,C358&gt;='Исходные данные'!$B$30),(C358-'Исходные данные'!$B$30+1)/DAY(C358),1))</f>
        <v>0</v>
      </c>
      <c r="J358">
        <f>IF(AND(F358&gt;0,F358&lt;=N('Исходные данные'!$B$37)),-I358,0)</f>
        <v>0</v>
      </c>
      <c r="K358">
        <f>IF(OR(F358=0,F358&lt;=N('Исходные данные'!$B$37)),0,-(I358+J358)*N('Исходные данные'!$B$38))</f>
        <v>0</v>
      </c>
      <c r="L358">
        <f t="shared" si="188"/>
        <v>0</v>
      </c>
      <c r="M358">
        <f>IF('Исходные данные'!$B$51="Да",L358*N('Исходные данные'!$B$52),0)</f>
        <v>0</v>
      </c>
      <c r="N358">
        <f t="shared" si="189"/>
        <v>0</v>
      </c>
      <c r="O358">
        <f>IF(OR(B358="",IF('Исходные данные'!$B$45="",'Исходные данные'!$B$10,'Исходные данные'!$B$45)="",C358&lt;IF('Исходные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данные'!$B$45)),1),B358,"m")/12))*IF(AND(B358&lt;=IF('Исходные данные'!$B$45="",'Исходные данные'!$B$10,'Исходные данные'!$B$45),C358&gt;=IF('Исходные данные'!$B$45="",'Исходные данные'!$B$10,'Исходные данные'!$B$45)),(C358-IF('Исходные данные'!$B$45="",'Исходные данные'!$B$10,'Исходные данные'!$B$45)+1)/DAY(C358),1)*IF('Исходные данные'!$B$43="Без НДС",1+N('Исходные данные'!$B$44),1))</f>
        <v>0</v>
      </c>
      <c r="P358">
        <f>IF('Исходные данные'!$B$51="Да",-O358*N('Исходные данные'!$B$44)/(1+N('Исходные данные'!$B$44)),0)</f>
        <v>0</v>
      </c>
      <c r="Q358">
        <f>IF('Исходные данные'!$B$35="Да",-O358,0)</f>
        <v>0</v>
      </c>
      <c r="R358">
        <f>IF(AND('Исходные данные'!$B$51="Да",Q358&gt;0),Q358*N('Исходные данные'!$B$52)/(1+N('Исходные данные'!$B$52)),0)</f>
        <v>0</v>
      </c>
      <c r="S358">
        <f>IF(OR(B358="",IF('Исходные данные'!$B$45="",'Исходные данные'!$B$10,'Исходные данные'!$B$45)="",C358&lt;IF('Исходные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данные'!$B$45)),1),B358,"m")/12))*IF(AND(B358&lt;=IF('Исходные данные'!$B$45="",'Исходные данные'!$B$10,'Исходные данные'!$B$45),C358&gt;=IF('Исходные данные'!$B$45="",'Исходные данные'!$B$10,'Исходные данные'!$B$45)),(C358-IF('Исходные данные'!$B$45="",'Исходные данные'!$B$10,'Исходные данные'!$B$45)+1)/DAY(C358),1)*IF('Исходные данные'!$B$43="Без НДС",1+N('Исходные данные'!$B$44),1))</f>
        <v>0</v>
      </c>
      <c r="T358">
        <f>IF('Исходные данные'!$B$51="Да",-S358*N('Исходные данные'!$B$44)/(1+N('Исходные данные'!$B$44)),0)</f>
        <v>0</v>
      </c>
      <c r="U358">
        <f>IF('Исходные данные'!$B$36="Да",-S358,0)</f>
        <v>0</v>
      </c>
      <c r="V358">
        <f>IF(AND('Исходные данные'!$B$51="Да",U358&gt;0),U358*N('Исходные данные'!$B$52)/(1+N('Исходные данные'!$B$52)),0)</f>
        <v>0</v>
      </c>
      <c r="W358">
        <f>IF(OR(B358="",IF('Исходные данные'!$B$69="",'Исходные данные'!$B$10,'Исходные данные'!$B$69)="",C358&lt;IF('Исходные данные'!$B$69="",'Исходные данные'!$B$10,'Исходные данные'!$B$69)),0,-N('Исходные данные'!$B$16)*N('Исходные данные'!$B$68)*N('Исходные данные'!$B$67)/12*IF(AND(B358&lt;=IF('Исходные данные'!$B$69="",'Исходные данные'!$B$10,'Исходные данные'!$B$69),C358&gt;=IF('Исходные данные'!$B$69="",'Исходные данные'!$B$10,'Исходные данные'!$B$69)),(C358-IF('Исходные данные'!$B$69="",'Исходные данные'!$B$10,'Исходные данные'!$B$69)+1)/DAY(C358),1))</f>
        <v>0</v>
      </c>
      <c r="X358">
        <f>IF(OR(B358="",IF('Исходные данные'!$B$76="",'Исходные данные'!$B$10,'Исходные данные'!$B$76)="",C358&lt;IF('Исходные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данные'!$B$76)),1),B358,"m")/12))*IF(AND(B358&lt;=IF('Исходные данные'!$B$76="",'Исходные данные'!$B$10,'Исходные данные'!$B$76),C358&gt;=IF('Исходные данные'!$B$76="",'Исходные данные'!$B$10,'Исходные данные'!$B$76)),(C358-IF('Исходные данные'!$B$76="",'Исходные данные'!$B$10,'Исходные данные'!$B$76)+1)/DAY(C358),1))</f>
        <v>0</v>
      </c>
      <c r="Y358">
        <f t="shared" si="190"/>
        <v>0</v>
      </c>
      <c r="Z358">
        <f>IF(OR(B358="",N('Исходные данные'!$B$19)=0),0,-SUMIFS('Исходные данные'!$I$6:$I$186,'Исходные данные'!$F$6:$F$186,B358)*N('Исходные данные'!$B$17)/N('Исходные данные'!$B$19))</f>
        <v>0</v>
      </c>
      <c r="AA358">
        <f>IF(OR(B358="",N('Исходные данные'!$B$19)=0),0,-SUMIFS('Исходные данные'!$I$6:$I$186,'Исходные данные'!$F$6:$F$186,B358)*N('Исходные данные'!$B$18)/N('Исходные данные'!$B$19))</f>
        <v>0</v>
      </c>
      <c r="AB358">
        <f>IF(OR(B358="",'Исходные данные'!$B$13=""),0,IF(AND(YEAR(B358)=YEAR('Исходные данные'!$B$13),MONTH(B358)=MONTH('Исходные данные'!$B$13)),-N('Исходные данные'!$B$11),0))</f>
        <v>0</v>
      </c>
      <c r="AC358">
        <f>IF(A358=1,-N('Исходные данные'!$B$19)*N('Исходные данные'!$B$72),0)</f>
        <v>0</v>
      </c>
      <c r="AD358">
        <f>IF(OR(B358="",'Исходные данные'!$B$22&lt;&gt;"Да",'Исходные данные'!$B$26=""),0,IF(AND(YEAR(B358)=YEAR('Исходные данные'!$B$26),MONTH(B358)=MONTH('Исходные данные'!$B$26)),N('Исходные данные'!$B$23),0))</f>
        <v>0</v>
      </c>
      <c r="AE358">
        <f t="shared" si="173"/>
        <v>0</v>
      </c>
      <c r="AF358">
        <f>IF(OR('Исходные данные'!$B$22&lt;&gt;"Да",'Исходные данные'!$B$26="",C358&lt;'Исходные данные'!$B$26),0,DATEDIF(DATE(YEAR('Исходные данные'!$B$26),MONTH('Исходные данные'!$B$26),1),B358,"m")+1)</f>
        <v>0</v>
      </c>
      <c r="AG358">
        <f>IF(OR(AF358&lt;1,AF358&gt;N('Исходные данные'!$B$25),AE358+AD358&lt;=0),0,-(AE358+AD358)*N('Исходные данные'!$B$24)*IF(AF358=1,C358-'Исходные данные'!$B$26+1,DAY(C358))/365)</f>
        <v>0</v>
      </c>
      <c r="AH358">
        <f>IF(OR(AF358&lt;1,AF358&gt;N('Исходные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данные'!$B$25)-AG358))</f>
        <v>0</v>
      </c>
      <c r="AI358">
        <f>IF(OR('Исходные данные'!$B$22&lt;&gt;"Да",AE358+AD358&lt;=0),0,IF(AND('Исходные данные'!$B$91&lt;&gt;"",B358&lt;&gt;"",YEAR(B358)=YEAR('Исходные данные'!$B$91),MONTH(B358)=MONTH('Исходные данные'!$B$91)),-(AE358+AD358),IF(OR(AF358&lt;1,AF358&gt;N('Исходные данные'!$B$25)),0,IF('Исходные данные'!$B$27="Равными долями",-MIN(AE358+AD358,N('Исходные данные'!$B$23)/N('Исходные данные'!$B$25)),-MIN(AE358+AD358,IF(AF358=N('Исходные данные'!$B$25),AE358+AD358,MAX(0,AH358+AG358)))))))</f>
        <v>0</v>
      </c>
      <c r="AJ358">
        <f t="shared" si="191"/>
        <v>0</v>
      </c>
      <c r="AK358">
        <f t="shared" si="174"/>
        <v>0</v>
      </c>
      <c r="AL358">
        <f>IF(OR(B358="",'Исходные данные'!$B$51&lt;&gt;"Да",'Исходные данные'!$B$61=""),0,IF(AND(YEAR(B358)=YEAR('Исходные данные'!$B$61),MONTH(B358)=MONTH('Исходные данные'!$B$61)),N('Исходные данные'!$B$18)*N('Исходные данные'!$B$62),0))</f>
        <v>0</v>
      </c>
      <c r="AM358">
        <f t="shared" si="175"/>
        <v>0</v>
      </c>
      <c r="AN358">
        <f t="shared" si="176"/>
        <v>0</v>
      </c>
      <c r="AO358">
        <f t="shared" si="177"/>
        <v>0</v>
      </c>
      <c r="AP358">
        <f>IF('Исходные данные'!$B$51="Да",-MAX(0,AN358-AO358-AM358),0)</f>
        <v>0</v>
      </c>
      <c r="AQ358">
        <f>IF('Исходные данные'!$B$51="Да",MAX(0,AM358+AO358-AN358),0)</f>
        <v>0</v>
      </c>
      <c r="AR358">
        <f>IF('Исходные данные'!$B$53="Выручка",MAX(0,L358+(Q358-R358)+(U358-V358)),IF('Исходные данные'!$B$53="Прибыль до налога",MAX(0,L358+(Q358-R358)+(U358-V358)+N('Исходные данные'!$B$54)*((O358+P358)+(S358+T358)+W358+X358)+IF('Исходные данные'!$B$55="Да",AG358,0)-N('Исходные данные'!$B$56)/12),IF('Исходные данные'!$B$53="Пользовательская база",MAX(0,N('Исходные данные'!$B$57)/12),0)))</f>
        <v>0</v>
      </c>
      <c r="AS358">
        <f>IF(E358=1,-AR358*N('Исходные данные'!$B$50),0)</f>
        <v>0</v>
      </c>
      <c r="AT358">
        <f t="shared" si="178"/>
        <v>0</v>
      </c>
      <c r="AU358">
        <f>IF(OR(B358="",N('Исходные данные'!$B$80)&lt;=0,'Исходные данные'!$B$88=""),0,MAX(0,IF('Исходные данные'!$B$88="Последние 12 месяцев",SUMIFS($Y$2:$Y$194,$B$2:$B$194,"&gt;="&amp;EDATE(B358,-11),$B$2:$B$194,"&lt;="&amp;B358),IF('Исходные данные'!$B$88="Пользовательский NOI",N('Исходные данные'!$B$89),AT358))/N('Исходные данные'!$B$80)*(1+N('Исходные данные'!$B$81))))</f>
        <v>0</v>
      </c>
      <c r="AV358">
        <f>IF(OR(E358&lt;&gt;1,B358="",'Исходные данные'!$B$91=""),0,IF(AND(YEAR(B358)=YEAR('Исходные данные'!$B$91),MONTH(B358)=MONTH('Исходные данные'!$B$91)),AU358,0))</f>
        <v>0</v>
      </c>
      <c r="AW358">
        <f>-AV358*N('Исходные данные'!$B$73)</f>
        <v>0</v>
      </c>
      <c r="AX358">
        <f>IF(AV358=0,0,-N('Исходные данные'!$B$87)-IF('Исходные данные'!$B$82="Да",IF('Исходные данные'!$B$84="С выручки",AV358,IF('Исходные данные'!$B$84="С прибыли",MAX(0,AV358+AW358-IF('Исходные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58">
        <f t="shared" si="192"/>
        <v>0</v>
      </c>
      <c r="AZ358">
        <f t="shared" si="179"/>
        <v>0</v>
      </c>
      <c r="BA358">
        <f t="shared" si="193"/>
        <v>0</v>
      </c>
      <c r="BB358" t="str">
        <f t="shared" si="180"/>
        <v/>
      </c>
      <c r="BC358">
        <f>IF(OR(E358=0,'Исходные данные'!$B$9="",'Исходные данные'!$B$90=""),0,BA358/(1+'Исходные данные'!$B$90)^((D358-'Исходные данные'!$B$9)/365))</f>
        <v>0</v>
      </c>
      <c r="BD358">
        <f>IF(AND(E358=1,BB358&gt;=0,BB357&lt;0,MIN($BB$2:BB358)&lt;0),1,0)</f>
        <v>0</v>
      </c>
      <c r="BE358">
        <f t="shared" si="181"/>
        <v>0</v>
      </c>
      <c r="BF358">
        <f t="shared" si="182"/>
        <v>0</v>
      </c>
      <c r="BG358">
        <f t="shared" si="183"/>
        <v>0</v>
      </c>
      <c r="BH358">
        <f t="shared" si="184"/>
        <v>1</v>
      </c>
      <c r="BI358">
        <f>AZ358+N358+AP358-AR358*N('Исходные данные'!$B$50)</f>
        <v>0</v>
      </c>
      <c r="BJ358">
        <f t="shared" si="185"/>
        <v>0</v>
      </c>
      <c r="BK358">
        <f>IF(AND(BJ358&gt;=0,BJ357&lt;0,MIN($BJ$2:BJ358)&lt;0),1,0)</f>
        <v>0</v>
      </c>
    </row>
    <row r="359" spans="1:63" x14ac:dyDescent="0.2">
      <c r="A359">
        <v>358</v>
      </c>
      <c r="B359" t="str">
        <f>IF('Исходные данные'!$B$9="","",EDATE(DATE(YEAR('Исходные данные'!$B$9),MONTH('Исходные данные'!$B$9),1),A359-1))</f>
        <v/>
      </c>
      <c r="C359" t="str">
        <f t="shared" si="186"/>
        <v/>
      </c>
      <c r="D359" t="str">
        <f>IF(B359="","",IF('Исходные данные'!$B$91&lt;&gt;"",IF(AND(YEAR(B359)=YEAR('Исходные данные'!$B$91),MONTH(B359)=MONTH('Исходные данные'!$B$91)),'Исходные данные'!$B$91,IF('Исходные данные'!$B$13&lt;&gt;"",IF(AND(YEAR(B359)=YEAR('Исходные данные'!$B$13),MONTH(B359)=MONTH('Исходные данные'!$B$13)),'Исходные данные'!$B$13,IF('Исходные данные'!$B$26&lt;&gt;"",IF(AND(YEAR(B359)=YEAR('Исходные данные'!$B$26),MONTH(B359)=MONTH('Исходные данные'!$B$26)),'Исходные данные'!$B$26,IF(A359=1,'Исходные данные'!$B$9,C359)),IF(A359=1,'Исходные данные'!$B$9,C359))),IF('Исходные данные'!$B$26&lt;&gt;"",IF(AND(YEAR(B359)=YEAR('Исходные данные'!$B$26),MONTH(B359)=MONTH('Исходные данные'!$B$26)),'Исходные данные'!$B$26,IF(A359=1,'Исходные данные'!$B$9,C359)),IF(A359=1,'Исходные данные'!$B$9,C359)))),IF('Исходные данные'!$B$13&lt;&gt;"",IF(AND(YEAR(B359)=YEAR('Исходные данные'!$B$13),MONTH(B359)=MONTH('Исходные данные'!$B$13)),'Исходные данные'!$B$13,IF('Исходные данные'!$B$26&lt;&gt;"",IF(AND(YEAR(B359)=YEAR('Исходные данные'!$B$26),MONTH(B359)=MONTH('Исходные данные'!$B$26)),'Исходные данные'!$B$26,IF(A359=1,'Исходные данные'!$B$9,C359)),IF(A359=1,'Исходные данные'!$B$9,C359))),IF('Исходные данные'!$B$26&lt;&gt;"",IF(AND(YEAR(B359)=YEAR('Исходные данные'!$B$26),MONTH(B359)=MONTH('Исходные данные'!$B$26)),'Исходные данные'!$B$26,IF(A359=1,'Исходные данные'!$B$9,C359)),IF(A359=1,'Исходные данные'!$B$9,C359)))))</f>
        <v/>
      </c>
      <c r="E359">
        <f>IF(OR(B359="",'Исходные данные'!$B$91=""),0,--(B359&lt;=DATE(YEAR('Исходные данные'!$B$91),MONTH('Исходные данные'!$B$91),1)))</f>
        <v>0</v>
      </c>
      <c r="F359">
        <f>IF(OR(B359="",'Исходные данные'!$B$30="",C359&lt;'Исходные данные'!$B$30),0,DATEDIF(DATE(YEAR('Исходные данные'!$B$30),MONTH('Исходные данные'!$B$30),1),B359,"m")+1)</f>
        <v>0</v>
      </c>
      <c r="G359">
        <f t="shared" si="187"/>
        <v>0</v>
      </c>
      <c r="H359">
        <f>IF(F359=0,0,IF(G359=1,N('Исходные данные'!$B$31),IF(G359=2,N('Исходные данные'!$B$32),IF(G359=3,N('Исходные данные'!$B$33),N('Исходные данные'!$B$33)*(1+N('Исходные данные'!$B$34))^(G359-3)))))</f>
        <v>0</v>
      </c>
      <c r="I359">
        <f>IF(OR(F359=0,N('Исходные данные'!$B$5)=0,H359=0),0,'Исходные данные'!$B$5*H359*IF(AND(B359&lt;='Исходные данные'!$B$30,C359&gt;='Исходные данные'!$B$30),(C359-'Исходные данные'!$B$30+1)/DAY(C359),1))</f>
        <v>0</v>
      </c>
      <c r="J359">
        <f>IF(AND(F359&gt;0,F359&lt;=N('Исходные данные'!$B$37)),-I359,0)</f>
        <v>0</v>
      </c>
      <c r="K359">
        <f>IF(OR(F359=0,F359&lt;=N('Исходные данные'!$B$37)),0,-(I359+J359)*N('Исходные данные'!$B$38))</f>
        <v>0</v>
      </c>
      <c r="L359">
        <f t="shared" si="188"/>
        <v>0</v>
      </c>
      <c r="M359">
        <f>IF('Исходные данные'!$B$51="Да",L359*N('Исходные данные'!$B$52),0)</f>
        <v>0</v>
      </c>
      <c r="N359">
        <f t="shared" si="189"/>
        <v>0</v>
      </c>
      <c r="O359">
        <f>IF(OR(B359="",IF('Исходные данные'!$B$45="",'Исходные данные'!$B$10,'Исходные данные'!$B$45)="",C359&lt;IF('Исходные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данные'!$B$45)),1),B359,"m")/12))*IF(AND(B359&lt;=IF('Исходные данные'!$B$45="",'Исходные данные'!$B$10,'Исходные данные'!$B$45),C359&gt;=IF('Исходные данные'!$B$45="",'Исходные данные'!$B$10,'Исходные данные'!$B$45)),(C359-IF('Исходные данные'!$B$45="",'Исходные данные'!$B$10,'Исходные данные'!$B$45)+1)/DAY(C359),1)*IF('Исходные данные'!$B$43="Без НДС",1+N('Исходные данные'!$B$44),1))</f>
        <v>0</v>
      </c>
      <c r="P359">
        <f>IF('Исходные данные'!$B$51="Да",-O359*N('Исходные данные'!$B$44)/(1+N('Исходные данные'!$B$44)),0)</f>
        <v>0</v>
      </c>
      <c r="Q359">
        <f>IF('Исходные данные'!$B$35="Да",-O359,0)</f>
        <v>0</v>
      </c>
      <c r="R359">
        <f>IF(AND('Исходные данные'!$B$51="Да",Q359&gt;0),Q359*N('Исходные данные'!$B$52)/(1+N('Исходные данные'!$B$52)),0)</f>
        <v>0</v>
      </c>
      <c r="S359">
        <f>IF(OR(B359="",IF('Исходные данные'!$B$45="",'Исходные данные'!$B$10,'Исходные данные'!$B$45)="",C359&lt;IF('Исходные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данные'!$B$45)),1),B359,"m")/12))*IF(AND(B359&lt;=IF('Исходные данные'!$B$45="",'Исходные данные'!$B$10,'Исходные данные'!$B$45),C359&gt;=IF('Исходные данные'!$B$45="",'Исходные данные'!$B$10,'Исходные данные'!$B$45)),(C359-IF('Исходные данные'!$B$45="",'Исходные данные'!$B$10,'Исходные данные'!$B$45)+1)/DAY(C359),1)*IF('Исходные данные'!$B$43="Без НДС",1+N('Исходные данные'!$B$44),1))</f>
        <v>0</v>
      </c>
      <c r="T359">
        <f>IF('Исходные данные'!$B$51="Да",-S359*N('Исходные данные'!$B$44)/(1+N('Исходные данные'!$B$44)),0)</f>
        <v>0</v>
      </c>
      <c r="U359">
        <f>IF('Исходные данные'!$B$36="Да",-S359,0)</f>
        <v>0</v>
      </c>
      <c r="V359">
        <f>IF(AND('Исходные данные'!$B$51="Да",U359&gt;0),U359*N('Исходные данные'!$B$52)/(1+N('Исходные данные'!$B$52)),0)</f>
        <v>0</v>
      </c>
      <c r="W359">
        <f>IF(OR(B359="",IF('Исходные данные'!$B$69="",'Исходные данные'!$B$10,'Исходные данные'!$B$69)="",C359&lt;IF('Исходные данные'!$B$69="",'Исходные данные'!$B$10,'Исходные данные'!$B$69)),0,-N('Исходные данные'!$B$16)*N('Исходные данные'!$B$68)*N('Исходные данные'!$B$67)/12*IF(AND(B359&lt;=IF('Исходные данные'!$B$69="",'Исходные данные'!$B$10,'Исходные данные'!$B$69),C359&gt;=IF('Исходные данные'!$B$69="",'Исходные данные'!$B$10,'Исходные данные'!$B$69)),(C359-IF('Исходные данные'!$B$69="",'Исходные данные'!$B$10,'Исходные данные'!$B$69)+1)/DAY(C359),1))</f>
        <v>0</v>
      </c>
      <c r="X359">
        <f>IF(OR(B359="",IF('Исходные данные'!$B$76="",'Исходные данные'!$B$10,'Исходные данные'!$B$76)="",C359&lt;IF('Исходные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данные'!$B$76)),1),B359,"m")/12))*IF(AND(B359&lt;=IF('Исходные данные'!$B$76="",'Исходные данные'!$B$10,'Исходные данные'!$B$76),C359&gt;=IF('Исходные данные'!$B$76="",'Исходные данные'!$B$10,'Исходные данные'!$B$76)),(C359-IF('Исходные данные'!$B$76="",'Исходные данные'!$B$10,'Исходные данные'!$B$76)+1)/DAY(C359),1))</f>
        <v>0</v>
      </c>
      <c r="Y359">
        <f t="shared" si="190"/>
        <v>0</v>
      </c>
      <c r="Z359">
        <f>IF(OR(B359="",N('Исходные данные'!$B$19)=0),0,-SUMIFS('Исходные данные'!$I$6:$I$186,'Исходные данные'!$F$6:$F$186,B359)*N('Исходные данные'!$B$17)/N('Исходные данные'!$B$19))</f>
        <v>0</v>
      </c>
      <c r="AA359">
        <f>IF(OR(B359="",N('Исходные данные'!$B$19)=0),0,-SUMIFS('Исходные данные'!$I$6:$I$186,'Исходные данные'!$F$6:$F$186,B359)*N('Исходные данные'!$B$18)/N('Исходные данные'!$B$19))</f>
        <v>0</v>
      </c>
      <c r="AB359">
        <f>IF(OR(B359="",'Исходные данные'!$B$13=""),0,IF(AND(YEAR(B359)=YEAR('Исходные данные'!$B$13),MONTH(B359)=MONTH('Исходные данные'!$B$13)),-N('Исходные данные'!$B$11),0))</f>
        <v>0</v>
      </c>
      <c r="AC359">
        <f>IF(A359=1,-N('Исходные данные'!$B$19)*N('Исходные данные'!$B$72),0)</f>
        <v>0</v>
      </c>
      <c r="AD359">
        <f>IF(OR(B359="",'Исходные данные'!$B$22&lt;&gt;"Да",'Исходные данные'!$B$26=""),0,IF(AND(YEAR(B359)=YEAR('Исходные данные'!$B$26),MONTH(B359)=MONTH('Исходные данные'!$B$26)),N('Исходные данные'!$B$23),0))</f>
        <v>0</v>
      </c>
      <c r="AE359">
        <f t="shared" si="173"/>
        <v>0</v>
      </c>
      <c r="AF359">
        <f>IF(OR('Исходные данные'!$B$22&lt;&gt;"Да",'Исходные данные'!$B$26="",C359&lt;'Исходные данные'!$B$26),0,DATEDIF(DATE(YEAR('Исходные данные'!$B$26),MONTH('Исходные данные'!$B$26),1),B359,"m")+1)</f>
        <v>0</v>
      </c>
      <c r="AG359">
        <f>IF(OR(AF359&lt;1,AF359&gt;N('Исходные данные'!$B$25),AE359+AD359&lt;=0),0,-(AE359+AD359)*N('Исходные данные'!$B$24)*IF(AF359=1,C359-'Исходные данные'!$B$26+1,DAY(C359))/365)</f>
        <v>0</v>
      </c>
      <c r="AH359">
        <f>IF(OR(AF359&lt;1,AF359&gt;N('Исходные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данные'!$B$25)-AG359))</f>
        <v>0</v>
      </c>
      <c r="AI359">
        <f>IF(OR('Исходные данные'!$B$22&lt;&gt;"Да",AE359+AD359&lt;=0),0,IF(AND('Исходные данные'!$B$91&lt;&gt;"",B359&lt;&gt;"",YEAR(B359)=YEAR('Исходные данные'!$B$91),MONTH(B359)=MONTH('Исходные данные'!$B$91)),-(AE359+AD359),IF(OR(AF359&lt;1,AF359&gt;N('Исходные данные'!$B$25)),0,IF('Исходные данные'!$B$27="Равными долями",-MIN(AE359+AD359,N('Исходные данные'!$B$23)/N('Исходные данные'!$B$25)),-MIN(AE359+AD359,IF(AF359=N('Исходные данные'!$B$25),AE359+AD359,MAX(0,AH359+AG359)))))))</f>
        <v>0</v>
      </c>
      <c r="AJ359">
        <f t="shared" si="191"/>
        <v>0</v>
      </c>
      <c r="AK359">
        <f t="shared" si="174"/>
        <v>0</v>
      </c>
      <c r="AL359">
        <f>IF(OR(B359="",'Исходные данные'!$B$51&lt;&gt;"Да",'Исходные данные'!$B$61=""),0,IF(AND(YEAR(B359)=YEAR('Исходные данные'!$B$61),MONTH(B359)=MONTH('Исходные данные'!$B$61)),N('Исходные данные'!$B$18)*N('Исходные данные'!$B$62),0))</f>
        <v>0</v>
      </c>
      <c r="AM359">
        <f t="shared" si="175"/>
        <v>0</v>
      </c>
      <c r="AN359">
        <f t="shared" si="176"/>
        <v>0</v>
      </c>
      <c r="AO359">
        <f t="shared" si="177"/>
        <v>0</v>
      </c>
      <c r="AP359">
        <f>IF('Исходные данные'!$B$51="Да",-MAX(0,AN359-AO359-AM359),0)</f>
        <v>0</v>
      </c>
      <c r="AQ359">
        <f>IF('Исходные данные'!$B$51="Да",MAX(0,AM359+AO359-AN359),0)</f>
        <v>0</v>
      </c>
      <c r="AR359">
        <f>IF('Исходные данные'!$B$53="Выручка",MAX(0,L359+(Q359-R359)+(U359-V359)),IF('Исходные данные'!$B$53="Прибыль до налога",MAX(0,L359+(Q359-R359)+(U359-V359)+N('Исходные данные'!$B$54)*((O359+P359)+(S359+T359)+W359+X359)+IF('Исходные данные'!$B$55="Да",AG359,0)-N('Исходные данные'!$B$56)/12),IF('Исходные данные'!$B$53="Пользовательская база",MAX(0,N('Исходные данные'!$B$57)/12),0)))</f>
        <v>0</v>
      </c>
      <c r="AS359">
        <f>IF(E359=1,-AR359*N('Исходные данные'!$B$50),0)</f>
        <v>0</v>
      </c>
      <c r="AT359">
        <f t="shared" si="178"/>
        <v>0</v>
      </c>
      <c r="AU359">
        <f>IF(OR(B359="",N('Исходные данные'!$B$80)&lt;=0,'Исходные данные'!$B$88=""),0,MAX(0,IF('Исходные данные'!$B$88="Последние 12 месяцев",SUMIFS($Y$2:$Y$194,$B$2:$B$194,"&gt;="&amp;EDATE(B359,-11),$B$2:$B$194,"&lt;="&amp;B359),IF('Исходные данные'!$B$88="Пользовательский NOI",N('Исходные данные'!$B$89),AT359))/N('Исходные данные'!$B$80)*(1+N('Исходные данные'!$B$81))))</f>
        <v>0</v>
      </c>
      <c r="AV359">
        <f>IF(OR(E359&lt;&gt;1,B359="",'Исходные данные'!$B$91=""),0,IF(AND(YEAR(B359)=YEAR('Исходные данные'!$B$91),MONTH(B359)=MONTH('Исходные данные'!$B$91)),AU359,0))</f>
        <v>0</v>
      </c>
      <c r="AW359">
        <f>-AV359*N('Исходные данные'!$B$73)</f>
        <v>0</v>
      </c>
      <c r="AX359">
        <f>IF(AV359=0,0,-N('Исходные данные'!$B$87)-IF('Исходные данные'!$B$82="Да",IF('Исходные данные'!$B$84="С выручки",AV359,IF('Исходные данные'!$B$84="С прибыли",MAX(0,AV359+AW359-IF('Исходные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59">
        <f t="shared" si="192"/>
        <v>0</v>
      </c>
      <c r="AZ359">
        <f t="shared" si="179"/>
        <v>0</v>
      </c>
      <c r="BA359">
        <f t="shared" si="193"/>
        <v>0</v>
      </c>
      <c r="BB359" t="str">
        <f t="shared" si="180"/>
        <v/>
      </c>
      <c r="BC359">
        <f>IF(OR(E359=0,'Исходные данные'!$B$9="",'Исходные данные'!$B$90=""),0,BA359/(1+'Исходные данные'!$B$90)^((D359-'Исходные данные'!$B$9)/365))</f>
        <v>0</v>
      </c>
      <c r="BD359">
        <f>IF(AND(E359=1,BB359&gt;=0,BB358&lt;0,MIN($BB$2:BB359)&lt;0),1,0)</f>
        <v>0</v>
      </c>
      <c r="BE359">
        <f t="shared" si="181"/>
        <v>0</v>
      </c>
      <c r="BF359">
        <f t="shared" si="182"/>
        <v>0</v>
      </c>
      <c r="BG359">
        <f t="shared" si="183"/>
        <v>0</v>
      </c>
      <c r="BH359">
        <f t="shared" si="184"/>
        <v>1</v>
      </c>
      <c r="BI359">
        <f>AZ359+N359+AP359-AR359*N('Исходные данные'!$B$50)</f>
        <v>0</v>
      </c>
      <c r="BJ359">
        <f t="shared" si="185"/>
        <v>0</v>
      </c>
      <c r="BK359">
        <f>IF(AND(BJ359&gt;=0,BJ358&lt;0,MIN($BJ$2:BJ359)&lt;0),1,0)</f>
        <v>0</v>
      </c>
    </row>
    <row r="360" spans="1:63" x14ac:dyDescent="0.2">
      <c r="A360">
        <v>359</v>
      </c>
      <c r="B360" t="str">
        <f>IF('Исходные данные'!$B$9="","",EDATE(DATE(YEAR('Исходные данные'!$B$9),MONTH('Исходные данные'!$B$9),1),A360-1))</f>
        <v/>
      </c>
      <c r="C360" t="str">
        <f t="shared" si="186"/>
        <v/>
      </c>
      <c r="D360" t="str">
        <f>IF(B360="","",IF('Исходные данные'!$B$91&lt;&gt;"",IF(AND(YEAR(B360)=YEAR('Исходные данные'!$B$91),MONTH(B360)=MONTH('Исходные данные'!$B$91)),'Исходные данные'!$B$91,IF('Исходные данные'!$B$13&lt;&gt;"",IF(AND(YEAR(B360)=YEAR('Исходные данные'!$B$13),MONTH(B360)=MONTH('Исходные данные'!$B$13)),'Исходные данные'!$B$13,IF('Исходные данные'!$B$26&lt;&gt;"",IF(AND(YEAR(B360)=YEAR('Исходные данные'!$B$26),MONTH(B360)=MONTH('Исходные данные'!$B$26)),'Исходные данные'!$B$26,IF(A360=1,'Исходные данные'!$B$9,C360)),IF(A360=1,'Исходные данные'!$B$9,C360))),IF('Исходные данные'!$B$26&lt;&gt;"",IF(AND(YEAR(B360)=YEAR('Исходные данные'!$B$26),MONTH(B360)=MONTH('Исходные данные'!$B$26)),'Исходные данные'!$B$26,IF(A360=1,'Исходные данные'!$B$9,C360)),IF(A360=1,'Исходные данные'!$B$9,C360)))),IF('Исходные данные'!$B$13&lt;&gt;"",IF(AND(YEAR(B360)=YEAR('Исходные данные'!$B$13),MONTH(B360)=MONTH('Исходные данные'!$B$13)),'Исходные данные'!$B$13,IF('Исходные данные'!$B$26&lt;&gt;"",IF(AND(YEAR(B360)=YEAR('Исходные данные'!$B$26),MONTH(B360)=MONTH('Исходные данные'!$B$26)),'Исходные данные'!$B$26,IF(A360=1,'Исходные данные'!$B$9,C360)),IF(A360=1,'Исходные данные'!$B$9,C360))),IF('Исходные данные'!$B$26&lt;&gt;"",IF(AND(YEAR(B360)=YEAR('Исходные данные'!$B$26),MONTH(B360)=MONTH('Исходные данные'!$B$26)),'Исходные данные'!$B$26,IF(A360=1,'Исходные данные'!$B$9,C360)),IF(A360=1,'Исходные данные'!$B$9,C360)))))</f>
        <v/>
      </c>
      <c r="E360">
        <f>IF(OR(B360="",'Исходные данные'!$B$91=""),0,--(B360&lt;=DATE(YEAR('Исходные данные'!$B$91),MONTH('Исходные данные'!$B$91),1)))</f>
        <v>0</v>
      </c>
      <c r="F360">
        <f>IF(OR(B360="",'Исходные данные'!$B$30="",C360&lt;'Исходные данные'!$B$30),0,DATEDIF(DATE(YEAR('Исходные данные'!$B$30),MONTH('Исходные данные'!$B$30),1),B360,"m")+1)</f>
        <v>0</v>
      </c>
      <c r="G360">
        <f t="shared" si="187"/>
        <v>0</v>
      </c>
      <c r="H360">
        <f>IF(F360=0,0,IF(G360=1,N('Исходные данные'!$B$31),IF(G360=2,N('Исходные данные'!$B$32),IF(G360=3,N('Исходные данные'!$B$33),N('Исходные данные'!$B$33)*(1+N('Исходные данные'!$B$34))^(G360-3)))))</f>
        <v>0</v>
      </c>
      <c r="I360">
        <f>IF(OR(F360=0,N('Исходные данные'!$B$5)=0,H360=0),0,'Исходные данные'!$B$5*H360*IF(AND(B360&lt;='Исходные данные'!$B$30,C360&gt;='Исходные данные'!$B$30),(C360-'Исходные данные'!$B$30+1)/DAY(C360),1))</f>
        <v>0</v>
      </c>
      <c r="J360">
        <f>IF(AND(F360&gt;0,F360&lt;=N('Исходные данные'!$B$37)),-I360,0)</f>
        <v>0</v>
      </c>
      <c r="K360">
        <f>IF(OR(F360=0,F360&lt;=N('Исходные данные'!$B$37)),0,-(I360+J360)*N('Исходные данные'!$B$38))</f>
        <v>0</v>
      </c>
      <c r="L360">
        <f t="shared" si="188"/>
        <v>0</v>
      </c>
      <c r="M360">
        <f>IF('Исходные данные'!$B$51="Да",L360*N('Исходные данные'!$B$52),0)</f>
        <v>0</v>
      </c>
      <c r="N360">
        <f t="shared" si="189"/>
        <v>0</v>
      </c>
      <c r="O360">
        <f>IF(OR(B360="",IF('Исходные данные'!$B$45="",'Исходные данные'!$B$10,'Исходные данные'!$B$45)="",C360&lt;IF('Исходные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данные'!$B$45)),1),B360,"m")/12))*IF(AND(B360&lt;=IF('Исходные данные'!$B$45="",'Исходные данные'!$B$10,'Исходные данные'!$B$45),C360&gt;=IF('Исходные данные'!$B$45="",'Исходные данные'!$B$10,'Исходные данные'!$B$45)),(C360-IF('Исходные данные'!$B$45="",'Исходные данные'!$B$10,'Исходные данные'!$B$45)+1)/DAY(C360),1)*IF('Исходные данные'!$B$43="Без НДС",1+N('Исходные данные'!$B$44),1))</f>
        <v>0</v>
      </c>
      <c r="P360">
        <f>IF('Исходные данные'!$B$51="Да",-O360*N('Исходные данные'!$B$44)/(1+N('Исходные данные'!$B$44)),0)</f>
        <v>0</v>
      </c>
      <c r="Q360">
        <f>IF('Исходные данные'!$B$35="Да",-O360,0)</f>
        <v>0</v>
      </c>
      <c r="R360">
        <f>IF(AND('Исходные данные'!$B$51="Да",Q360&gt;0),Q360*N('Исходные данные'!$B$52)/(1+N('Исходные данные'!$B$52)),0)</f>
        <v>0</v>
      </c>
      <c r="S360">
        <f>IF(OR(B360="",IF('Исходные данные'!$B$45="",'Исходные данные'!$B$10,'Исходные данные'!$B$45)="",C360&lt;IF('Исходные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данные'!$B$45)),1),B360,"m")/12))*IF(AND(B360&lt;=IF('Исходные данные'!$B$45="",'Исходные данные'!$B$10,'Исходные данные'!$B$45),C360&gt;=IF('Исходные данные'!$B$45="",'Исходные данные'!$B$10,'Исходные данные'!$B$45)),(C360-IF('Исходные данные'!$B$45="",'Исходные данные'!$B$10,'Исходные данные'!$B$45)+1)/DAY(C360),1)*IF('Исходные данные'!$B$43="Без НДС",1+N('Исходные данные'!$B$44),1))</f>
        <v>0</v>
      </c>
      <c r="T360">
        <f>IF('Исходные данные'!$B$51="Да",-S360*N('Исходные данные'!$B$44)/(1+N('Исходные данные'!$B$44)),0)</f>
        <v>0</v>
      </c>
      <c r="U360">
        <f>IF('Исходные данные'!$B$36="Да",-S360,0)</f>
        <v>0</v>
      </c>
      <c r="V360">
        <f>IF(AND('Исходные данные'!$B$51="Да",U360&gt;0),U360*N('Исходные данные'!$B$52)/(1+N('Исходные данные'!$B$52)),0)</f>
        <v>0</v>
      </c>
      <c r="W360">
        <f>IF(OR(B360="",IF('Исходные данные'!$B$69="",'Исходные данные'!$B$10,'Исходные данные'!$B$69)="",C360&lt;IF('Исходные данные'!$B$69="",'Исходные данные'!$B$10,'Исходные данные'!$B$69)),0,-N('Исходные данные'!$B$16)*N('Исходные данные'!$B$68)*N('Исходные данные'!$B$67)/12*IF(AND(B360&lt;=IF('Исходные данные'!$B$69="",'Исходные данные'!$B$10,'Исходные данные'!$B$69),C360&gt;=IF('Исходные данные'!$B$69="",'Исходные данные'!$B$10,'Исходные данные'!$B$69)),(C360-IF('Исходные данные'!$B$69="",'Исходные данные'!$B$10,'Исходные данные'!$B$69)+1)/DAY(C360),1))</f>
        <v>0</v>
      </c>
      <c r="X360">
        <f>IF(OR(B360="",IF('Исходные данные'!$B$76="",'Исходные данные'!$B$10,'Исходные данные'!$B$76)="",C360&lt;IF('Исходные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данные'!$B$76)),1),B360,"m")/12))*IF(AND(B360&lt;=IF('Исходные данные'!$B$76="",'Исходные данные'!$B$10,'Исходные данные'!$B$76),C360&gt;=IF('Исходные данные'!$B$76="",'Исходные данные'!$B$10,'Исходные данные'!$B$76)),(C360-IF('Исходные данные'!$B$76="",'Исходные данные'!$B$10,'Исходные данные'!$B$76)+1)/DAY(C360),1))</f>
        <v>0</v>
      </c>
      <c r="Y360">
        <f t="shared" si="190"/>
        <v>0</v>
      </c>
      <c r="Z360">
        <f>IF(OR(B360="",N('Исходные данные'!$B$19)=0),0,-SUMIFS('Исходные данные'!$I$6:$I$186,'Исходные данные'!$F$6:$F$186,B360)*N('Исходные данные'!$B$17)/N('Исходные данные'!$B$19))</f>
        <v>0</v>
      </c>
      <c r="AA360">
        <f>IF(OR(B360="",N('Исходные данные'!$B$19)=0),0,-SUMIFS('Исходные данные'!$I$6:$I$186,'Исходные данные'!$F$6:$F$186,B360)*N('Исходные данные'!$B$18)/N('Исходные данные'!$B$19))</f>
        <v>0</v>
      </c>
      <c r="AB360">
        <f>IF(OR(B360="",'Исходные данные'!$B$13=""),0,IF(AND(YEAR(B360)=YEAR('Исходные данные'!$B$13),MONTH(B360)=MONTH('Исходные данные'!$B$13)),-N('Исходные данные'!$B$11),0))</f>
        <v>0</v>
      </c>
      <c r="AC360">
        <f>IF(A360=1,-N('Исходные данные'!$B$19)*N('Исходные данные'!$B$72),0)</f>
        <v>0</v>
      </c>
      <c r="AD360">
        <f>IF(OR(B360="",'Исходные данные'!$B$22&lt;&gt;"Да",'Исходные данные'!$B$26=""),0,IF(AND(YEAR(B360)=YEAR('Исходные данные'!$B$26),MONTH(B360)=MONTH('Исходные данные'!$B$26)),N('Исходные данные'!$B$23),0))</f>
        <v>0</v>
      </c>
      <c r="AE360">
        <f t="shared" si="173"/>
        <v>0</v>
      </c>
      <c r="AF360">
        <f>IF(OR('Исходные данные'!$B$22&lt;&gt;"Да",'Исходные данные'!$B$26="",C360&lt;'Исходные данные'!$B$26),0,DATEDIF(DATE(YEAR('Исходные данные'!$B$26),MONTH('Исходные данные'!$B$26),1),B360,"m")+1)</f>
        <v>0</v>
      </c>
      <c r="AG360">
        <f>IF(OR(AF360&lt;1,AF360&gt;N('Исходные данные'!$B$25),AE360+AD360&lt;=0),0,-(AE360+AD360)*N('Исходные данные'!$B$24)*IF(AF360=1,C360-'Исходные данные'!$B$26+1,DAY(C360))/365)</f>
        <v>0</v>
      </c>
      <c r="AH360">
        <f>IF(OR(AF360&lt;1,AF360&gt;N('Исходные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данные'!$B$25)-AG360))</f>
        <v>0</v>
      </c>
      <c r="AI360">
        <f>IF(OR('Исходные данные'!$B$22&lt;&gt;"Да",AE360+AD360&lt;=0),0,IF(AND('Исходные данные'!$B$91&lt;&gt;"",B360&lt;&gt;"",YEAR(B360)=YEAR('Исходные данные'!$B$91),MONTH(B360)=MONTH('Исходные данные'!$B$91)),-(AE360+AD360),IF(OR(AF360&lt;1,AF360&gt;N('Исходные данные'!$B$25)),0,IF('Исходные данные'!$B$27="Равными долями",-MIN(AE360+AD360,N('Исходные данные'!$B$23)/N('Исходные данные'!$B$25)),-MIN(AE360+AD360,IF(AF360=N('Исходные данные'!$B$25),AE360+AD360,MAX(0,AH360+AG360)))))))</f>
        <v>0</v>
      </c>
      <c r="AJ360">
        <f t="shared" si="191"/>
        <v>0</v>
      </c>
      <c r="AK360">
        <f t="shared" si="174"/>
        <v>0</v>
      </c>
      <c r="AL360">
        <f>IF(OR(B360="",'Исходные данные'!$B$51&lt;&gt;"Да",'Исходные данные'!$B$61=""),0,IF(AND(YEAR(B360)=YEAR('Исходные данные'!$B$61),MONTH(B360)=MONTH('Исходные данные'!$B$61)),N('Исходные данные'!$B$18)*N('Исходные данные'!$B$62),0))</f>
        <v>0</v>
      </c>
      <c r="AM360">
        <f t="shared" si="175"/>
        <v>0</v>
      </c>
      <c r="AN360">
        <f t="shared" si="176"/>
        <v>0</v>
      </c>
      <c r="AO360">
        <f t="shared" si="177"/>
        <v>0</v>
      </c>
      <c r="AP360">
        <f>IF('Исходные данные'!$B$51="Да",-MAX(0,AN360-AO360-AM360),0)</f>
        <v>0</v>
      </c>
      <c r="AQ360">
        <f>IF('Исходные данные'!$B$51="Да",MAX(0,AM360+AO360-AN360),0)</f>
        <v>0</v>
      </c>
      <c r="AR360">
        <f>IF('Исходные данные'!$B$53="Выручка",MAX(0,L360+(Q360-R360)+(U360-V360)),IF('Исходные данные'!$B$53="Прибыль до налога",MAX(0,L360+(Q360-R360)+(U360-V360)+N('Исходные данные'!$B$54)*((O360+P360)+(S360+T360)+W360+X360)+IF('Исходные данные'!$B$55="Да",AG360,0)-N('Исходные данные'!$B$56)/12),IF('Исходные данные'!$B$53="Пользовательская база",MAX(0,N('Исходные данные'!$B$57)/12),0)))</f>
        <v>0</v>
      </c>
      <c r="AS360">
        <f>IF(E360=1,-AR360*N('Исходные данные'!$B$50),0)</f>
        <v>0</v>
      </c>
      <c r="AT360">
        <f t="shared" si="178"/>
        <v>0</v>
      </c>
      <c r="AU360">
        <f>IF(OR(B360="",N('Исходные данные'!$B$80)&lt;=0,'Исходные данные'!$B$88=""),0,MAX(0,IF('Исходные данные'!$B$88="Последние 12 месяцев",SUMIFS($Y$2:$Y$194,$B$2:$B$194,"&gt;="&amp;EDATE(B360,-11),$B$2:$B$194,"&lt;="&amp;B360),IF('Исходные данные'!$B$88="Пользовательский NOI",N('Исходные данные'!$B$89),AT360))/N('Исходные данные'!$B$80)*(1+N('Исходные данные'!$B$81))))</f>
        <v>0</v>
      </c>
      <c r="AV360">
        <f>IF(OR(E360&lt;&gt;1,B360="",'Исходные данные'!$B$91=""),0,IF(AND(YEAR(B360)=YEAR('Исходные данные'!$B$91),MONTH(B360)=MONTH('Исходные данные'!$B$91)),AU360,0))</f>
        <v>0</v>
      </c>
      <c r="AW360">
        <f>-AV360*N('Исходные данные'!$B$73)</f>
        <v>0</v>
      </c>
      <c r="AX360">
        <f>IF(AV360=0,0,-N('Исходные данные'!$B$87)-IF('Исходные данные'!$B$82="Да",IF('Исходные данные'!$B$84="С выручки",AV360,IF('Исходные данные'!$B$84="С прибыли",MAX(0,AV360+AW360-IF('Исходные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60">
        <f t="shared" si="192"/>
        <v>0</v>
      </c>
      <c r="AZ360">
        <f t="shared" si="179"/>
        <v>0</v>
      </c>
      <c r="BA360">
        <f t="shared" si="193"/>
        <v>0</v>
      </c>
      <c r="BB360" t="str">
        <f t="shared" si="180"/>
        <v/>
      </c>
      <c r="BC360">
        <f>IF(OR(E360=0,'Исходные данные'!$B$9="",'Исходные данные'!$B$90=""),0,BA360/(1+'Исходные данные'!$B$90)^((D360-'Исходные данные'!$B$9)/365))</f>
        <v>0</v>
      </c>
      <c r="BD360">
        <f>IF(AND(E360=1,BB360&gt;=0,BB359&lt;0,MIN($BB$2:BB360)&lt;0),1,0)</f>
        <v>0</v>
      </c>
      <c r="BE360">
        <f t="shared" si="181"/>
        <v>0</v>
      </c>
      <c r="BF360">
        <f t="shared" si="182"/>
        <v>0</v>
      </c>
      <c r="BG360">
        <f t="shared" si="183"/>
        <v>0</v>
      </c>
      <c r="BH360">
        <f t="shared" si="184"/>
        <v>1</v>
      </c>
      <c r="BI360">
        <f>AZ360+N360+AP360-AR360*N('Исходные данные'!$B$50)</f>
        <v>0</v>
      </c>
      <c r="BJ360">
        <f t="shared" si="185"/>
        <v>0</v>
      </c>
      <c r="BK360">
        <f>IF(AND(BJ360&gt;=0,BJ359&lt;0,MIN($BJ$2:BJ360)&lt;0),1,0)</f>
        <v>0</v>
      </c>
    </row>
    <row r="361" spans="1:63" x14ac:dyDescent="0.2">
      <c r="A361">
        <v>360</v>
      </c>
      <c r="B361" t="str">
        <f>IF('Исходные данные'!$B$9="","",EDATE(DATE(YEAR('Исходные данные'!$B$9),MONTH('Исходные данные'!$B$9),1),A361-1))</f>
        <v/>
      </c>
      <c r="C361" t="str">
        <f t="shared" si="186"/>
        <v/>
      </c>
      <c r="D361" t="str">
        <f>IF(B361="","",IF('Исходные данные'!$B$91&lt;&gt;"",IF(AND(YEAR(B361)=YEAR('Исходные данные'!$B$91),MONTH(B361)=MONTH('Исходные данные'!$B$91)),'Исходные данные'!$B$91,IF('Исходные данные'!$B$13&lt;&gt;"",IF(AND(YEAR(B361)=YEAR('Исходные данные'!$B$13),MONTH(B361)=MONTH('Исходные данные'!$B$13)),'Исходные данные'!$B$13,IF('Исходные данные'!$B$26&lt;&gt;"",IF(AND(YEAR(B361)=YEAR('Исходные данные'!$B$26),MONTH(B361)=MONTH('Исходные данные'!$B$26)),'Исходные данные'!$B$26,IF(A361=1,'Исходные данные'!$B$9,C361)),IF(A361=1,'Исходные данные'!$B$9,C361))),IF('Исходные данные'!$B$26&lt;&gt;"",IF(AND(YEAR(B361)=YEAR('Исходные данные'!$B$26),MONTH(B361)=MONTH('Исходные данные'!$B$26)),'Исходные данные'!$B$26,IF(A361=1,'Исходные данные'!$B$9,C361)),IF(A361=1,'Исходные данные'!$B$9,C361)))),IF('Исходные данные'!$B$13&lt;&gt;"",IF(AND(YEAR(B361)=YEAR('Исходные данные'!$B$13),MONTH(B361)=MONTH('Исходные данные'!$B$13)),'Исходные данные'!$B$13,IF('Исходные данные'!$B$26&lt;&gt;"",IF(AND(YEAR(B361)=YEAR('Исходные данные'!$B$26),MONTH(B361)=MONTH('Исходные данные'!$B$26)),'Исходные данные'!$B$26,IF(A361=1,'Исходные данные'!$B$9,C361)),IF(A361=1,'Исходные данные'!$B$9,C361))),IF('Исходные данные'!$B$26&lt;&gt;"",IF(AND(YEAR(B361)=YEAR('Исходные данные'!$B$26),MONTH(B361)=MONTH('Исходные данные'!$B$26)),'Исходные данные'!$B$26,IF(A361=1,'Исходные данные'!$B$9,C361)),IF(A361=1,'Исходные данные'!$B$9,C361)))))</f>
        <v/>
      </c>
      <c r="E361">
        <f>IF(OR(B361="",'Исходные данные'!$B$91=""),0,--(B361&lt;=DATE(YEAR('Исходные данные'!$B$91),MONTH('Исходные данные'!$B$91),1)))</f>
        <v>0</v>
      </c>
      <c r="F361">
        <f>IF(OR(B361="",'Исходные данные'!$B$30="",C361&lt;'Исходные данные'!$B$30),0,DATEDIF(DATE(YEAR('Исходные данные'!$B$30),MONTH('Исходные данные'!$B$30),1),B361,"m")+1)</f>
        <v>0</v>
      </c>
      <c r="G361">
        <f t="shared" si="187"/>
        <v>0</v>
      </c>
      <c r="H361">
        <f>IF(F361=0,0,IF(G361=1,N('Исходные данные'!$B$31),IF(G361=2,N('Исходные данные'!$B$32),IF(G361=3,N('Исходные данные'!$B$33),N('Исходные данные'!$B$33)*(1+N('Исходные данные'!$B$34))^(G361-3)))))</f>
        <v>0</v>
      </c>
      <c r="I361">
        <f>IF(OR(F361=0,N('Исходные данные'!$B$5)=0,H361=0),0,'Исходные данные'!$B$5*H361*IF(AND(B361&lt;='Исходные данные'!$B$30,C361&gt;='Исходные данные'!$B$30),(C361-'Исходные данные'!$B$30+1)/DAY(C361),1))</f>
        <v>0</v>
      </c>
      <c r="J361">
        <f>IF(AND(F361&gt;0,F361&lt;=N('Исходные данные'!$B$37)),-I361,0)</f>
        <v>0</v>
      </c>
      <c r="K361">
        <f>IF(OR(F361=0,F361&lt;=N('Исходные данные'!$B$37)),0,-(I361+J361)*N('Исходные данные'!$B$38))</f>
        <v>0</v>
      </c>
      <c r="L361">
        <f t="shared" si="188"/>
        <v>0</v>
      </c>
      <c r="M361">
        <f>IF('Исходные данные'!$B$51="Да",L361*N('Исходные данные'!$B$52),0)</f>
        <v>0</v>
      </c>
      <c r="N361">
        <f t="shared" si="189"/>
        <v>0</v>
      </c>
      <c r="O361">
        <f>IF(OR(B361="",IF('Исходные данные'!$B$45="",'Исходные данные'!$B$10,'Исходные данные'!$B$45)="",C361&lt;IF('Исходные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данные'!$B$45)),1),B361,"m")/12))*IF(AND(B361&lt;=IF('Исходные данные'!$B$45="",'Исходные данные'!$B$10,'Исходные данные'!$B$45),C361&gt;=IF('Исходные данные'!$B$45="",'Исходные данные'!$B$10,'Исходные данные'!$B$45)),(C361-IF('Исходные данные'!$B$45="",'Исходные данные'!$B$10,'Исходные данные'!$B$45)+1)/DAY(C361),1)*IF('Исходные данные'!$B$43="Без НДС",1+N('Исходные данные'!$B$44),1))</f>
        <v>0</v>
      </c>
      <c r="P361">
        <f>IF('Исходные данные'!$B$51="Да",-O361*N('Исходные данные'!$B$44)/(1+N('Исходные данные'!$B$44)),0)</f>
        <v>0</v>
      </c>
      <c r="Q361">
        <f>IF('Исходные данные'!$B$35="Да",-O361,0)</f>
        <v>0</v>
      </c>
      <c r="R361">
        <f>IF(AND('Исходные данные'!$B$51="Да",Q361&gt;0),Q361*N('Исходные данные'!$B$52)/(1+N('Исходные данные'!$B$52)),0)</f>
        <v>0</v>
      </c>
      <c r="S361">
        <f>IF(OR(B361="",IF('Исходные данные'!$B$45="",'Исходные данные'!$B$10,'Исходные данные'!$B$45)="",C361&lt;IF('Исходные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данные'!$B$45)),1),B361,"m")/12))*IF(AND(B361&lt;=IF('Исходные данные'!$B$45="",'Исходные данные'!$B$10,'Исходные данные'!$B$45),C361&gt;=IF('Исходные данные'!$B$45="",'Исходные данные'!$B$10,'Исходные данные'!$B$45)),(C361-IF('Исходные данные'!$B$45="",'Исходные данные'!$B$10,'Исходные данные'!$B$45)+1)/DAY(C361),1)*IF('Исходные данные'!$B$43="Без НДС",1+N('Исходные данные'!$B$44),1))</f>
        <v>0</v>
      </c>
      <c r="T361">
        <f>IF('Исходные данные'!$B$51="Да",-S361*N('Исходные данные'!$B$44)/(1+N('Исходные данные'!$B$44)),0)</f>
        <v>0</v>
      </c>
      <c r="U361">
        <f>IF('Исходные данные'!$B$36="Да",-S361,0)</f>
        <v>0</v>
      </c>
      <c r="V361">
        <f>IF(AND('Исходные данные'!$B$51="Да",U361&gt;0),U361*N('Исходные данные'!$B$52)/(1+N('Исходные данные'!$B$52)),0)</f>
        <v>0</v>
      </c>
      <c r="W361">
        <f>IF(OR(B361="",IF('Исходные данные'!$B$69="",'Исходные данные'!$B$10,'Исходные данные'!$B$69)="",C361&lt;IF('Исходные данные'!$B$69="",'Исходные данные'!$B$10,'Исходные данные'!$B$69)),0,-N('Исходные данные'!$B$16)*N('Исходные данные'!$B$68)*N('Исходные данные'!$B$67)/12*IF(AND(B361&lt;=IF('Исходные данные'!$B$69="",'Исходные данные'!$B$10,'Исходные данные'!$B$69),C361&gt;=IF('Исходные данные'!$B$69="",'Исходные данные'!$B$10,'Исходные данные'!$B$69)),(C361-IF('Исходные данные'!$B$69="",'Исходные данные'!$B$10,'Исходные данные'!$B$69)+1)/DAY(C361),1))</f>
        <v>0</v>
      </c>
      <c r="X361">
        <f>IF(OR(B361="",IF('Исходные данные'!$B$76="",'Исходные данные'!$B$10,'Исходные данные'!$B$76)="",C361&lt;IF('Исходные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данные'!$B$76)),1),B361,"m")/12))*IF(AND(B361&lt;=IF('Исходные данные'!$B$76="",'Исходные данные'!$B$10,'Исходные данные'!$B$76),C361&gt;=IF('Исходные данные'!$B$76="",'Исходные данные'!$B$10,'Исходные данные'!$B$76)),(C361-IF('Исходные данные'!$B$76="",'Исходные данные'!$B$10,'Исходные данные'!$B$76)+1)/DAY(C361),1))</f>
        <v>0</v>
      </c>
      <c r="Y361">
        <f t="shared" si="190"/>
        <v>0</v>
      </c>
      <c r="Z361">
        <f>IF(OR(B361="",N('Исходные данные'!$B$19)=0),0,-SUMIFS('Исходные данные'!$I$6:$I$186,'Исходные данные'!$F$6:$F$186,B361)*N('Исходные данные'!$B$17)/N('Исходные данные'!$B$19))</f>
        <v>0</v>
      </c>
      <c r="AA361">
        <f>IF(OR(B361="",N('Исходные данные'!$B$19)=0),0,-SUMIFS('Исходные данные'!$I$6:$I$186,'Исходные данные'!$F$6:$F$186,B361)*N('Исходные данные'!$B$18)/N('Исходные данные'!$B$19))</f>
        <v>0</v>
      </c>
      <c r="AB361">
        <f>IF(OR(B361="",'Исходные данные'!$B$13=""),0,IF(AND(YEAR(B361)=YEAR('Исходные данные'!$B$13),MONTH(B361)=MONTH('Исходные данные'!$B$13)),-N('Исходные данные'!$B$11),0))</f>
        <v>0</v>
      </c>
      <c r="AC361">
        <f>IF(A361=1,-N('Исходные данные'!$B$19)*N('Исходные данные'!$B$72),0)</f>
        <v>0</v>
      </c>
      <c r="AD361">
        <f>IF(OR(B361="",'Исходные данные'!$B$22&lt;&gt;"Да",'Исходные данные'!$B$26=""),0,IF(AND(YEAR(B361)=YEAR('Исходные данные'!$B$26),MONTH(B361)=MONTH('Исходные данные'!$B$26)),N('Исходные данные'!$B$23),0))</f>
        <v>0</v>
      </c>
      <c r="AE361">
        <f t="shared" si="173"/>
        <v>0</v>
      </c>
      <c r="AF361">
        <f>IF(OR('Исходные данные'!$B$22&lt;&gt;"Да",'Исходные данные'!$B$26="",C361&lt;'Исходные данные'!$B$26),0,DATEDIF(DATE(YEAR('Исходные данные'!$B$26),MONTH('Исходные данные'!$B$26),1),B361,"m")+1)</f>
        <v>0</v>
      </c>
      <c r="AG361">
        <f>IF(OR(AF361&lt;1,AF361&gt;N('Исходные данные'!$B$25),AE361+AD361&lt;=0),0,-(AE361+AD361)*N('Исходные данные'!$B$24)*IF(AF361=1,C361-'Исходные данные'!$B$26+1,DAY(C361))/365)</f>
        <v>0</v>
      </c>
      <c r="AH361">
        <f>IF(OR(AF361&lt;1,AF361&gt;N('Исходные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данные'!$B$25)-AG361))</f>
        <v>0</v>
      </c>
      <c r="AI361">
        <f>IF(OR('Исходные данные'!$B$22&lt;&gt;"Да",AE361+AD361&lt;=0),0,IF(AND('Исходные данные'!$B$91&lt;&gt;"",B361&lt;&gt;"",YEAR(B361)=YEAR('Исходные данные'!$B$91),MONTH(B361)=MONTH('Исходные данные'!$B$91)),-(AE361+AD361),IF(OR(AF361&lt;1,AF361&gt;N('Исходные данные'!$B$25)),0,IF('Исходные данные'!$B$27="Равными долями",-MIN(AE361+AD361,N('Исходные данные'!$B$23)/N('Исходные данные'!$B$25)),-MIN(AE361+AD361,IF(AF361=N('Исходные данные'!$B$25),AE361+AD361,MAX(0,AH361+AG361)))))))</f>
        <v>0</v>
      </c>
      <c r="AJ361">
        <f t="shared" si="191"/>
        <v>0</v>
      </c>
      <c r="AK361">
        <f t="shared" si="174"/>
        <v>0</v>
      </c>
      <c r="AL361">
        <f>IF(OR(B361="",'Исходные данные'!$B$51&lt;&gt;"Да",'Исходные данные'!$B$61=""),0,IF(AND(YEAR(B361)=YEAR('Исходные данные'!$B$61),MONTH(B361)=MONTH('Исходные данные'!$B$61)),N('Исходные данные'!$B$18)*N('Исходные данные'!$B$62),0))</f>
        <v>0</v>
      </c>
      <c r="AM361">
        <f t="shared" si="175"/>
        <v>0</v>
      </c>
      <c r="AN361">
        <f t="shared" si="176"/>
        <v>0</v>
      </c>
      <c r="AO361">
        <f t="shared" si="177"/>
        <v>0</v>
      </c>
      <c r="AP361">
        <f>IF('Исходные данные'!$B$51="Да",-MAX(0,AN361-AO361-AM361),0)</f>
        <v>0</v>
      </c>
      <c r="AQ361">
        <f>IF('Исходные данные'!$B$51="Да",MAX(0,AM361+AO361-AN361),0)</f>
        <v>0</v>
      </c>
      <c r="AR361">
        <f>IF('Исходные данные'!$B$53="Выручка",MAX(0,L361+(Q361-R361)+(U361-V361)),IF('Исходные данные'!$B$53="Прибыль до налога",MAX(0,L361+(Q361-R361)+(U361-V361)+N('Исходные данные'!$B$54)*((O361+P361)+(S361+T361)+W361+X361)+IF('Исходные данные'!$B$55="Да",AG361,0)-N('Исходные данные'!$B$56)/12),IF('Исходные данные'!$B$53="Пользовательская база",MAX(0,N('Исходные данные'!$B$57)/12),0)))</f>
        <v>0</v>
      </c>
      <c r="AS361">
        <f>IF(E361=1,-AR361*N('Исходные данные'!$B$50),0)</f>
        <v>0</v>
      </c>
      <c r="AT361">
        <f t="shared" si="178"/>
        <v>0</v>
      </c>
      <c r="AU361">
        <f>IF(OR(B361="",N('Исходные данные'!$B$80)&lt;=0,'Исходные данные'!$B$88=""),0,MAX(0,IF('Исходные данные'!$B$88="Последние 12 месяцев",SUMIFS($Y$2:$Y$194,$B$2:$B$194,"&gt;="&amp;EDATE(B361,-11),$B$2:$B$194,"&lt;="&amp;B361),IF('Исходные данные'!$B$88="Пользовательский NOI",N('Исходные данные'!$B$89),AT361))/N('Исходные данные'!$B$80)*(1+N('Исходные данные'!$B$81))))</f>
        <v>0</v>
      </c>
      <c r="AV361">
        <f>IF(OR(E361&lt;&gt;1,B361="",'Исходные данные'!$B$91=""),0,IF(AND(YEAR(B361)=YEAR('Исходные данные'!$B$91),MONTH(B361)=MONTH('Исходные данные'!$B$91)),AU361,0))</f>
        <v>0</v>
      </c>
      <c r="AW361">
        <f>-AV361*N('Исходные данные'!$B$73)</f>
        <v>0</v>
      </c>
      <c r="AX361">
        <f>IF(AV361=0,0,-N('Исходные данные'!$B$87)-IF('Исходные данные'!$B$82="Да",IF('Исходные данные'!$B$84="С выручки",AV361,IF('Исходные данные'!$B$84="С прибыли",MAX(0,AV361+AW361-IF('Исходные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61">
        <f t="shared" si="192"/>
        <v>0</v>
      </c>
      <c r="AZ361">
        <f t="shared" si="179"/>
        <v>0</v>
      </c>
      <c r="BA361">
        <f t="shared" si="193"/>
        <v>0</v>
      </c>
      <c r="BB361" t="str">
        <f t="shared" si="180"/>
        <v/>
      </c>
      <c r="BC361">
        <f>IF(OR(E361=0,'Исходные данные'!$B$9="",'Исходные данные'!$B$90=""),0,BA361/(1+'Исходные данные'!$B$90)^((D361-'Исходные данные'!$B$9)/365))</f>
        <v>0</v>
      </c>
      <c r="BD361">
        <f>IF(AND(E361=1,BB361&gt;=0,BB360&lt;0,MIN($BB$2:BB361)&lt;0),1,0)</f>
        <v>0</v>
      </c>
      <c r="BE361">
        <f t="shared" si="181"/>
        <v>0</v>
      </c>
      <c r="BF361">
        <f t="shared" si="182"/>
        <v>0</v>
      </c>
      <c r="BG361">
        <f t="shared" si="183"/>
        <v>0</v>
      </c>
      <c r="BH361">
        <f t="shared" si="184"/>
        <v>1</v>
      </c>
      <c r="BI361">
        <f>AZ361+N361+AP361-AR361*N('Исходные данные'!$B$50)</f>
        <v>0</v>
      </c>
      <c r="BJ361">
        <f t="shared" si="185"/>
        <v>0</v>
      </c>
      <c r="BK361">
        <f>IF(AND(BJ361&gt;=0,BJ360&lt;0,MIN($BJ$2:BJ361)&lt;0),1,0)</f>
        <v>0</v>
      </c>
    </row>
    <row r="362" spans="1:63" x14ac:dyDescent="0.2">
      <c r="A362">
        <v>361</v>
      </c>
      <c r="B362" t="str">
        <f>IF('Исходные данные'!$B$9="","",EDATE(DATE(YEAR('Исходные данные'!$B$9),MONTH('Исходные данные'!$B$9),1),A362-1))</f>
        <v/>
      </c>
      <c r="C362" t="str">
        <f t="shared" ref="C362" si="194">IF(B362="","",EOMONTH(B362,0))</f>
        <v/>
      </c>
      <c r="D362" t="str">
        <f>IF(B362="","",IF('Исходные данные'!$B$91&lt;&gt;"",IF(AND(YEAR(B362)=YEAR('Исходные данные'!$B$91),MONTH(B362)=MONTH('Исходные данные'!$B$91)),'Исходные данные'!$B$91,IF('Исходные данные'!$B$13&lt;&gt;"",IF(AND(YEAR(B362)=YEAR('Исходные данные'!$B$13),MONTH(B362)=MONTH('Исходные данные'!$B$13)),'Исходные данные'!$B$13,IF('Исходные данные'!$B$26&lt;&gt;"",IF(AND(YEAR(B362)=YEAR('Исходные данные'!$B$26),MONTH(B362)=MONTH('Исходные данные'!$B$26)),'Исходные данные'!$B$26,IF(A362=1,'Исходные данные'!$B$9,C362)),IF(A362=1,'Исходные данные'!$B$9,C362))),IF('Исходные данные'!$B$26&lt;&gt;"",IF(AND(YEAR(B362)=YEAR('Исходные данные'!$B$26),MONTH(B362)=MONTH('Исходные данные'!$B$26)),'Исходные данные'!$B$26,IF(A362=1,'Исходные данные'!$B$9,C362)),IF(A362=1,'Исходные данные'!$B$9,C362)))),IF('Исходные данные'!$B$13&lt;&gt;"",IF(AND(YEAR(B362)=YEAR('Исходные данные'!$B$13),MONTH(B362)=MONTH('Исходные данные'!$B$13)),'Исходные данные'!$B$13,IF('Исходные данные'!$B$26&lt;&gt;"",IF(AND(YEAR(B362)=YEAR('Исходные данные'!$B$26),MONTH(B362)=MONTH('Исходные данные'!$B$26)),'Исходные данные'!$B$26,IF(A362=1,'Исходные данные'!$B$9,C362)),IF(A362=1,'Исходные данные'!$B$9,C362))),IF('Исходные данные'!$B$26&lt;&gt;"",IF(AND(YEAR(B362)=YEAR('Исходные данные'!$B$26),MONTH(B362)=MONTH('Исходные данные'!$B$26)),'Исходные данные'!$B$26,IF(A362=1,'Исходные данные'!$B$9,C362)),IF(A362=1,'Исходные данные'!$B$9,C362)))))</f>
        <v/>
      </c>
      <c r="E362">
        <f>IF(OR(B362="",'Исходные данные'!$B$91=""),0,--(B362&lt;=DATE(YEAR('Исходные данные'!$B$91),MONTH('Исходные данные'!$B$91),1)))</f>
        <v>0</v>
      </c>
      <c r="F362">
        <f>IF(OR(B362="",'Исходные данные'!$B$30="",C362&lt;'Исходные данные'!$B$30),0,DATEDIF(DATE(YEAR('Исходные данные'!$B$30),MONTH('Исходные данные'!$B$30),1),B362,"m")+1)</f>
        <v>0</v>
      </c>
      <c r="G362">
        <f t="shared" ref="G362" si="195">IF(F362=0,0,1+INT((F362-1)/12))</f>
        <v>0</v>
      </c>
      <c r="H362">
        <f>IF(F362=0,0,IF(G362=1,N('Исходные данные'!$B$31),IF(G362=2,N('Исходные данные'!$B$32),IF(G362=3,N('Исходные данные'!$B$33),N('Исходные данные'!$B$33)*(1+N('Исходные данные'!$B$34))^(G362-3)))))</f>
        <v>0</v>
      </c>
      <c r="I362">
        <f>IF(OR(F362=0,N('Исходные данные'!$B$5)=0,H362=0),0,'Исходные данные'!$B$5*H362*IF(AND(B362&lt;='Исходные данные'!$B$30,C362&gt;='Исходные данные'!$B$30),(C362-'Исходные данные'!$B$30+1)/DAY(C362),1))</f>
        <v>0</v>
      </c>
      <c r="J362">
        <f>IF(AND(F362&gt;0,F362&lt;=N('Исходные данные'!$B$37)),-I362,0)</f>
        <v>0</v>
      </c>
      <c r="K362">
        <f>IF(OR(F362=0,F362&lt;=N('Исходные данные'!$B$37)),0,-(I362+J362)*N('Исходные данные'!$B$38))</f>
        <v>0</v>
      </c>
      <c r="L362">
        <f t="shared" ref="L362" si="196">I362+J362+K362</f>
        <v>0</v>
      </c>
      <c r="M362">
        <f>IF('Исходные данные'!$B$51="Да",L362*N('Исходные данные'!$B$52),0)</f>
        <v>0</v>
      </c>
      <c r="N362">
        <f t="shared" ref="N362" si="197">L362+M362</f>
        <v>0</v>
      </c>
      <c r="O362">
        <f>IF(OR(B362="",IF('Исходные данные'!$B$45="",'Исходные данные'!$B$10,'Исходные данные'!$B$45)="",C362&lt;IF('Исходные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данные'!$B$45)),1),B362,"m")/12))*IF(AND(B362&lt;=IF('Исходные данные'!$B$45="",'Исходные данные'!$B$10,'Исходные данные'!$B$45),C362&gt;=IF('Исходные данные'!$B$45="",'Исходные данные'!$B$10,'Исходные данные'!$B$45)),(C362-IF('Исходные данные'!$B$45="",'Исходные данные'!$B$10,'Исходные данные'!$B$45)+1)/DAY(C362),1)*IF('Исходные данные'!$B$43="Без НДС",1+N('Исходные данные'!$B$44),1))</f>
        <v>0</v>
      </c>
      <c r="P362">
        <f>IF('Исходные данные'!$B$51="Да",-O362*N('Исходные данные'!$B$44)/(1+N('Исходные данные'!$B$44)),0)</f>
        <v>0</v>
      </c>
      <c r="Q362">
        <f>IF('Исходные данные'!$B$35="Да",-O362,0)</f>
        <v>0</v>
      </c>
      <c r="R362">
        <f>IF(AND('Исходные данные'!$B$51="Да",Q362&gt;0),Q362*N('Исходные данные'!$B$52)/(1+N('Исходные данные'!$B$52)),0)</f>
        <v>0</v>
      </c>
      <c r="S362">
        <f>IF(OR(B362="",IF('Исходные данные'!$B$45="",'Исходные данные'!$B$10,'Исходные данные'!$B$45)="",C362&lt;IF('Исходные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данные'!$B$45)),1),B362,"m")/12))*IF(AND(B362&lt;=IF('Исходные данные'!$B$45="",'Исходные данные'!$B$10,'Исходные данные'!$B$45),C362&gt;=IF('Исходные данные'!$B$45="",'Исходные данные'!$B$10,'Исходные данные'!$B$45)),(C362-IF('Исходные данные'!$B$45="",'Исходные данные'!$B$10,'Исходные данные'!$B$45)+1)/DAY(C362),1)*IF('Исходные данные'!$B$43="Без НДС",1+N('Исходные данные'!$B$44),1))</f>
        <v>0</v>
      </c>
      <c r="T362">
        <f>IF('Исходные данные'!$B$51="Да",-S362*N('Исходные данные'!$B$44)/(1+N('Исходные данные'!$B$44)),0)</f>
        <v>0</v>
      </c>
      <c r="U362">
        <f>IF('Исходные данные'!$B$36="Да",-S362,0)</f>
        <v>0</v>
      </c>
      <c r="V362">
        <f>IF(AND('Исходные данные'!$B$51="Да",U362&gt;0),U362*N('Исходные данные'!$B$52)/(1+N('Исходные данные'!$B$52)),0)</f>
        <v>0</v>
      </c>
      <c r="W362">
        <f>IF(OR(B362="",IF('Исходные данные'!$B$69="",'Исходные данные'!$B$10,'Исходные данные'!$B$69)="",C362&lt;IF('Исходные данные'!$B$69="",'Исходные данные'!$B$10,'Исходные данные'!$B$69)),0,-N('Исходные данные'!$B$16)*N('Исходные данные'!$B$68)*N('Исходные данные'!$B$67)/12*IF(AND(B362&lt;=IF('Исходные данные'!$B$69="",'Исходные данные'!$B$10,'Исходные данные'!$B$69),C362&gt;=IF('Исходные данные'!$B$69="",'Исходные данные'!$B$10,'Исходные данные'!$B$69)),(C362-IF('Исходные данные'!$B$69="",'Исходные данные'!$B$10,'Исходные данные'!$B$69)+1)/DAY(C362),1))</f>
        <v>0</v>
      </c>
      <c r="X362">
        <f>IF(OR(B362="",IF('Исходные данные'!$B$76="",'Исходные данные'!$B$10,'Исходные данные'!$B$76)="",C362&lt;IF('Исходные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данные'!$B$76)),1),B362,"m")/12))*IF(AND(B362&lt;=IF('Исходные данные'!$B$76="",'Исходные данные'!$B$10,'Исходные данные'!$B$76),C362&gt;=IF('Исходные данные'!$B$76="",'Исходные данные'!$B$10,'Исходные данные'!$B$76)),(C362-IF('Исходные данные'!$B$76="",'Исходные данные'!$B$10,'Исходные данные'!$B$76)+1)/DAY(C362),1))</f>
        <v>0</v>
      </c>
      <c r="Y362">
        <f t="shared" ref="Y362" si="198">L362+(Q362-R362)+(U362-V362)+(O362+P362)+(S362+T362)+W362+X362</f>
        <v>0</v>
      </c>
      <c r="Z362">
        <f>IF(OR(B362="",N('Исходные данные'!$B$19)=0),0,-SUMIFS('Исходные данные'!$I$6:$I$186,'Исходные данные'!$F$6:$F$186,B362)*N('Исходные данные'!$B$17)/N('Исходные данные'!$B$19))</f>
        <v>0</v>
      </c>
      <c r="AA362">
        <f>IF(OR(B362="",N('Исходные данные'!$B$19)=0),0,-SUMIFS('Исходные данные'!$I$6:$I$186,'Исходные данные'!$F$6:$F$186,B362)*N('Исходные данные'!$B$18)/N('Исходные данные'!$B$19))</f>
        <v>0</v>
      </c>
      <c r="AB362">
        <f>IF(OR(B362="",'Исходные данные'!$B$13=""),0,IF(AND(YEAR(B362)=YEAR('Исходные данные'!$B$13),MONTH(B362)=MONTH('Исходные данные'!$B$13)),-N('Исходные данные'!$B$11),0))</f>
        <v>0</v>
      </c>
      <c r="AC362">
        <f>IF(A362=1,-N('Исходные данные'!$B$19)*N('Исходные данные'!$B$72),0)</f>
        <v>0</v>
      </c>
      <c r="AD362">
        <f>IF(OR(B362="",'Исходные данные'!$B$22&lt;&gt;"Да",'Исходные данные'!$B$26=""),0,IF(AND(YEAR(B362)=YEAR('Исходные данные'!$B$26),MONTH(B362)=MONTH('Исходные данные'!$B$26)),N('Исходные данные'!$B$23),0))</f>
        <v>0</v>
      </c>
      <c r="AE362">
        <f t="shared" ref="AE362" si="199">AK361</f>
        <v>0</v>
      </c>
      <c r="AF362">
        <f>IF(OR('Исходные данные'!$B$22&lt;&gt;"Да",'Исходные данные'!$B$26="",C362&lt;'Исходные данные'!$B$26),0,DATEDIF(DATE(YEAR('Исходные данные'!$B$26),MONTH('Исходные данные'!$B$26),1),B362,"m")+1)</f>
        <v>0</v>
      </c>
      <c r="AG362">
        <f>IF(OR(AF362&lt;1,AF362&gt;N('Исходные данные'!$B$25),AE362+AD362&lt;=0),0,-(AE362+AD362)*N('Исходные данные'!$B$24)*IF(AF362=1,C362-'Исходные данные'!$B$26+1,DAY(C362))/365)</f>
        <v>0</v>
      </c>
      <c r="AH362">
        <f>IF(OR(AF362&lt;1,AF362&gt;N('Исходные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данные'!$B$25)-AG362))</f>
        <v>0</v>
      </c>
      <c r="AI362">
        <f>IF(OR('Исходные данные'!$B$22&lt;&gt;"Да",AE362+AD362&lt;=0),0,IF(AND('Исходные данные'!$B$91&lt;&gt;"",B362&lt;&gt;"",YEAR(B362)=YEAR('Исходные данные'!$B$91),MONTH(B362)=MONTH('Исходные данные'!$B$91)),-(AE362+AD362),IF(OR(AF362&lt;1,AF362&gt;N('Исходные данные'!$B$25)),0,IF('Исходные данные'!$B$27="Равными долями",-MIN(AE362+AD362,N('Исходные данные'!$B$23)/N('Исходные данные'!$B$25)),-MIN(AE362+AD362,IF(AF362=N('Исходные данные'!$B$25),AE362+AD362,MAX(0,AH362+AG362)))))))</f>
        <v>0</v>
      </c>
      <c r="AJ362">
        <f t="shared" ref="AJ362" si="200">AG362+AI362</f>
        <v>0</v>
      </c>
      <c r="AK362">
        <f t="shared" ref="AK362" si="201">MAX(0,AE362+AD362+AI362)</f>
        <v>0</v>
      </c>
      <c r="AL362">
        <f>IF(OR(B362="",'Исходные данные'!$B$51&lt;&gt;"Да",'Исходные данные'!$B$61=""),0,IF(AND(YEAR(B362)=YEAR('Исходные данные'!$B$61),MONTH(B362)=MONTH('Исходные данные'!$B$61)),N('Исходные данные'!$B$18)*N('Исходные данные'!$B$62),0))</f>
        <v>0</v>
      </c>
      <c r="AM362">
        <f t="shared" ref="AM362" si="202">AQ361</f>
        <v>0</v>
      </c>
      <c r="AN362">
        <f t="shared" ref="AN362" si="203">M362+R362+V362</f>
        <v>0</v>
      </c>
      <c r="AO362">
        <f t="shared" ref="AO362" si="204">P362+T362</f>
        <v>0</v>
      </c>
      <c r="AP362">
        <f>IF('Исходные данные'!$B$51="Да",-MAX(0,AN362-AO362-AM362),0)</f>
        <v>0</v>
      </c>
      <c r="AQ362">
        <f>IF('Исходные данные'!$B$51="Да",MAX(0,AM362+AO362-AN362),0)</f>
        <v>0</v>
      </c>
      <c r="AR362">
        <f>IF('Исходные данные'!$B$53="Выручка",MAX(0,L362+(Q362-R362)+(U362-V362)),IF('Исходные данные'!$B$53="Прибыль до налога",MAX(0,L362+(Q362-R362)+(U362-V362)+N('Исходные данные'!$B$54)*((O362+P362)+(S362+T362)+W362+X362)+IF('Исходные данные'!$B$55="Да",AG362,0)-N('Исходные данные'!$B$56)/12),IF('Исходные данные'!$B$53="Пользовательская база",MAX(0,N('Исходные данные'!$B$57)/12),0)))</f>
        <v>0</v>
      </c>
      <c r="AS362">
        <f>IF(E362=1,-AR362*N('Исходные данные'!$B$50),0)</f>
        <v>0</v>
      </c>
      <c r="AT362">
        <f t="shared" ref="AT362" si="205">IF(B362="",0,SUMIFS($Y$2:$Y$194,$B$2:$B$194,"&gt;"&amp;B362,$B$2:$B$194,"&lt;="&amp;EDATE(B362,12)))</f>
        <v>0</v>
      </c>
      <c r="AU362">
        <f>IF(OR(B362="",N('Исходные данные'!$B$80)&lt;=0,'Исходные данные'!$B$88=""),0,MAX(0,IF('Исходные данные'!$B$88="Последние 12 месяцев",SUMIFS($Y$2:$Y$194,$B$2:$B$194,"&gt;="&amp;EDATE(B362,-11),$B$2:$B$194,"&lt;="&amp;B362),IF('Исходные данные'!$B$88="Пользовательский NOI",N('Исходные данные'!$B$89),AT362))/N('Исходные данные'!$B$80)*(1+N('Исходные данные'!$B$81))))</f>
        <v>0</v>
      </c>
      <c r="AV362">
        <f>IF(OR(E362&lt;&gt;1,B362="",'Исходные данные'!$B$91=""),0,IF(AND(YEAR(B362)=YEAR('Исходные данные'!$B$91),MONTH(B362)=MONTH('Исходные данные'!$B$91)),AU362,0))</f>
        <v>0</v>
      </c>
      <c r="AW362">
        <f>-AV362*N('Исходные данные'!$B$73)</f>
        <v>0</v>
      </c>
      <c r="AX362">
        <f>IF(AV362=0,0,-N('Исходные данные'!$B$87)-IF('Исходные данные'!$B$82="Да",IF('Исходные данные'!$B$84="С выручки",AV362,IF('Исходные данные'!$B$84="С прибыли",MAX(0,AV362+AW362-IF('Исходные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62">
        <f t="shared" ref="AY362" si="206">AV362+AW362+AX362</f>
        <v>0</v>
      </c>
      <c r="AZ362">
        <f t="shared" ref="AZ362" si="207">Z362+AA362+AB362+AC362+AD362+AI362+AG362+O362+Q362+S362+U362+W362+X362+AL362</f>
        <v>0</v>
      </c>
      <c r="BA362">
        <f t="shared" ref="BA362" si="208">IF(E362=1,AZ362+N362+AP362+AS362+AY362,0)</f>
        <v>0</v>
      </c>
      <c r="BB362" t="str">
        <f t="shared" ref="BB362" si="209">IF(E362=1,BB361+BA362,"")</f>
        <v/>
      </c>
      <c r="BC362">
        <f>IF(OR(E362=0,'Исходные данные'!$B$9="",'Исходные данные'!$B$90=""),0,BA362/(1+'Исходные данные'!$B$90)^((D362-'Исходные данные'!$B$9)/365))</f>
        <v>0</v>
      </c>
      <c r="BD362">
        <f>IF(AND(E362=1,BB362&gt;=0,BB361&lt;0,MIN($BB$2:BB362)&lt;0),1,0)</f>
        <v>0</v>
      </c>
      <c r="BE362">
        <f t="shared" ref="BE362" si="210">IF(E362=1,N362+O362+Q362+S362+U362+W362+X362+AP362+AS362,0)</f>
        <v>0</v>
      </c>
      <c r="BF362">
        <f t="shared" ref="BF362" si="211">Y362</f>
        <v>0</v>
      </c>
      <c r="BG362">
        <f t="shared" ref="BG362" si="212">IF(E362=1,Y362+AG362+AS362+Z362+AA362+AB362+AC362+AL362+AY362,0)</f>
        <v>0</v>
      </c>
      <c r="BH362">
        <f t="shared" ref="BH362" si="213">--AND(Z362&lt;=0,AA362&lt;=0,AB362&lt;=0,AC362&lt;=0,AD362&gt;=0,AI362&lt;=0,AG362&lt;=0,O362&lt;=0,Q362&gt;=0,S362&lt;=0,U362&gt;=0,W362&lt;=0,X362&lt;=0,AL362&gt;=0,AP362&lt;=0,AS362&lt;=0,AV362&gt;=0,AW362&lt;=0,AX362&lt;=0,AK362&gt;=-0.01)</f>
        <v>1</v>
      </c>
      <c r="BI362">
        <f>AZ362+N362+AP362-AR362*N('Исходные данные'!$B$50)</f>
        <v>0</v>
      </c>
      <c r="BJ362">
        <f t="shared" ref="BJ362" si="214">BJ361+BI362</f>
        <v>0</v>
      </c>
      <c r="BK362">
        <f>IF(AND(BJ362&gt;=0,BJ361&lt;0,MIN($BJ$2:BJ362)&lt;0),1,0)</f>
        <v>0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3F2E3-F4EC-3A49-B131-F6C955E3608D}">
  <dimension ref="A1:CD362"/>
  <sheetViews>
    <sheetView showGridLines="0" workbookViewId="0"/>
  </sheetViews>
  <sheetFormatPr baseColWidth="10" defaultRowHeight="16" x14ac:dyDescent="0.2"/>
  <sheetData>
    <row r="1" spans="1:82" ht="34" customHeight="1" x14ac:dyDescent="0.2">
      <c r="A1" s="20" t="s">
        <v>200</v>
      </c>
      <c r="B1" s="20" t="s">
        <v>195</v>
      </c>
      <c r="C1" s="20" t="s">
        <v>201</v>
      </c>
      <c r="D1" s="20" t="s">
        <v>202</v>
      </c>
      <c r="E1" s="20" t="s">
        <v>333</v>
      </c>
      <c r="F1" s="20" t="s">
        <v>334</v>
      </c>
      <c r="G1" s="20" t="s">
        <v>335</v>
      </c>
      <c r="H1" s="20" t="s">
        <v>336</v>
      </c>
      <c r="I1" s="20" t="s">
        <v>337</v>
      </c>
      <c r="J1" s="20" t="s">
        <v>338</v>
      </c>
      <c r="K1" s="20" t="s">
        <v>339</v>
      </c>
      <c r="L1" s="20" t="s">
        <v>340</v>
      </c>
      <c r="M1" s="20" t="s">
        <v>341</v>
      </c>
      <c r="N1" s="20" t="s">
        <v>342</v>
      </c>
      <c r="O1" s="20" t="s">
        <v>343</v>
      </c>
      <c r="P1" s="20" t="s">
        <v>344</v>
      </c>
      <c r="Q1" s="20" t="s">
        <v>345</v>
      </c>
      <c r="R1" s="20" t="s">
        <v>346</v>
      </c>
      <c r="S1" s="20" t="s">
        <v>347</v>
      </c>
      <c r="T1" s="20" t="s">
        <v>348</v>
      </c>
      <c r="U1" s="20" t="s">
        <v>349</v>
      </c>
      <c r="V1" s="20" t="s">
        <v>350</v>
      </c>
      <c r="W1" s="20" t="s">
        <v>351</v>
      </c>
      <c r="X1" s="20" t="s">
        <v>352</v>
      </c>
      <c r="Y1" s="20" t="s">
        <v>353</v>
      </c>
      <c r="Z1" s="20" t="s">
        <v>354</v>
      </c>
      <c r="AA1" s="20" t="s">
        <v>355</v>
      </c>
      <c r="AB1" s="20" t="s">
        <v>356</v>
      </c>
      <c r="AC1" s="20" t="s">
        <v>357</v>
      </c>
      <c r="AD1" s="20" t="s">
        <v>358</v>
      </c>
      <c r="AE1" s="20" t="s">
        <v>359</v>
      </c>
      <c r="AF1" s="20" t="s">
        <v>360</v>
      </c>
      <c r="AG1" s="20" t="s">
        <v>361</v>
      </c>
      <c r="AH1" s="20" t="s">
        <v>362</v>
      </c>
      <c r="AI1" s="20" t="s">
        <v>363</v>
      </c>
      <c r="AJ1" s="20" t="s">
        <v>364</v>
      </c>
      <c r="AK1" s="20" t="s">
        <v>365</v>
      </c>
      <c r="AL1" s="20" t="s">
        <v>366</v>
      </c>
      <c r="AM1" s="20" t="s">
        <v>367</v>
      </c>
      <c r="AN1" s="20" t="s">
        <v>368</v>
      </c>
      <c r="AO1" s="20" t="s">
        <v>369</v>
      </c>
      <c r="AP1" s="20" t="s">
        <v>370</v>
      </c>
      <c r="AQ1" s="20" t="s">
        <v>371</v>
      </c>
      <c r="AR1" s="20" t="s">
        <v>372</v>
      </c>
      <c r="AS1" s="20" t="s">
        <v>373</v>
      </c>
      <c r="AT1" s="20" t="s">
        <v>374</v>
      </c>
      <c r="AU1" s="20" t="s">
        <v>375</v>
      </c>
      <c r="AV1" s="20" t="s">
        <v>376</v>
      </c>
      <c r="AW1" s="20" t="s">
        <v>377</v>
      </c>
      <c r="AX1" s="20" t="s">
        <v>378</v>
      </c>
      <c r="AY1" s="20" t="s">
        <v>379</v>
      </c>
      <c r="AZ1" s="20" t="s">
        <v>380</v>
      </c>
      <c r="BA1" s="20" t="s">
        <v>381</v>
      </c>
      <c r="BB1" s="20" t="s">
        <v>382</v>
      </c>
      <c r="BC1" s="20" t="s">
        <v>383</v>
      </c>
      <c r="BD1" s="20" t="s">
        <v>384</v>
      </c>
      <c r="BE1" s="20" t="s">
        <v>385</v>
      </c>
      <c r="BF1" s="20" t="s">
        <v>386</v>
      </c>
      <c r="BG1" s="20" t="s">
        <v>387</v>
      </c>
      <c r="BH1" s="20" t="s">
        <v>388</v>
      </c>
      <c r="BI1" s="20" t="s">
        <v>389</v>
      </c>
      <c r="BJ1" s="20" t="s">
        <v>390</v>
      </c>
      <c r="BK1" s="20" t="s">
        <v>391</v>
      </c>
      <c r="BL1" s="20" t="s">
        <v>392</v>
      </c>
      <c r="BM1" s="20" t="s">
        <v>393</v>
      </c>
      <c r="BN1" s="20" t="s">
        <v>394</v>
      </c>
      <c r="BO1" s="20" t="s">
        <v>395</v>
      </c>
      <c r="BP1" s="20" t="s">
        <v>396</v>
      </c>
      <c r="BQ1" s="20" t="s">
        <v>397</v>
      </c>
      <c r="BR1" s="20" t="s">
        <v>398</v>
      </c>
      <c r="BS1" s="20" t="s">
        <v>399</v>
      </c>
      <c r="BT1" s="20" t="s">
        <v>400</v>
      </c>
      <c r="BU1" s="20" t="s">
        <v>401</v>
      </c>
      <c r="BV1" s="20" t="s">
        <v>588</v>
      </c>
      <c r="BW1" s="20" t="s">
        <v>589</v>
      </c>
      <c r="BX1" s="20" t="s">
        <v>590</v>
      </c>
      <c r="BY1" s="20" t="s">
        <v>591</v>
      </c>
      <c r="BZ1" s="20" t="s">
        <v>592</v>
      </c>
      <c r="CA1" s="20" t="s">
        <v>593</v>
      </c>
      <c r="CB1" s="20" t="s">
        <v>594</v>
      </c>
      <c r="CC1" s="20" t="s">
        <v>595</v>
      </c>
      <c r="CD1" s="20" t="s">
        <v>596</v>
      </c>
    </row>
    <row r="2" spans="1:82" x14ac:dyDescent="0.2">
      <c r="A2">
        <f>Расчёты!A2</f>
        <v>1</v>
      </c>
      <c r="B2" t="str">
        <f>Расчёты!B2</f>
        <v/>
      </c>
      <c r="C2" t="str">
        <f>Расчёты!D2</f>
        <v/>
      </c>
      <c r="D2">
        <f>Расчёты!E2</f>
        <v>0</v>
      </c>
      <c r="E2">
        <f>IF(Расчёты!F2=0,0,IF(Расчёты!G2=1,N('Сценарный анализ'!$B$5),IF(Расчёты!G2=2,N('Сценарный анализ'!$B$6),IF(Расчёты!G2=3,N('Сценарный анализ'!$B$7),N('Сценарный анализ'!$B$7)*(1+N('Сценарный анализ'!$B$8))^(Расчёты!G2-3)))))</f>
        <v>0</v>
      </c>
      <c r="F2">
        <f>IF(OR(Расчёты!F2=0,N('Исходные данные'!$B$5)=0,E2=0),0,N('Исходные данные'!$B$5)*E2*IF(AND(B2&lt;='Исходные данные'!$B$30,Расчёты!C2&gt;='Исходные данные'!$B$30),(Расчёты!C2-'Исходные данные'!$B$30+1)/DAY(Расчёты!C2),1))</f>
        <v>0</v>
      </c>
      <c r="G2">
        <f>IF(AND(Расчёты!F2&gt;0,Расчёты!F2&lt;=N('Исходные данные'!$B$37)),-F2,0)</f>
        <v>0</v>
      </c>
      <c r="H2">
        <f>IF(OR(Расчёты!F2=0,Расчёты!F2&lt;=N('Исходные данные'!$B$37)),0,-(F2+G2)*N('Сценарный анализ'!$B$9))</f>
        <v>0</v>
      </c>
      <c r="I2">
        <f t="shared" ref="I2:I33" si="0">F2+G2+H2</f>
        <v>0</v>
      </c>
      <c r="J2">
        <f>IF('Исходные данные'!$B$51="Да",I2*N('Исходные данные'!$B$52),0)</f>
        <v>0</v>
      </c>
      <c r="K2">
        <f t="shared" ref="K2:K33" si="1">I2+J2</f>
        <v>0</v>
      </c>
      <c r="L2">
        <f>I2+(Расчёты!Y2-Расчёты!L2)</f>
        <v>0</v>
      </c>
      <c r="M2">
        <f>0</f>
        <v>0</v>
      </c>
      <c r="N2">
        <f>IF('Исходные данные'!$B$51="Да",-MAX(0,J2+Расчёты!R2+Расчёты!V2-Расчёты!P2-Расчёты!T2-M2),0)</f>
        <v>0</v>
      </c>
      <c r="O2">
        <f>IF('Исходные данные'!$B$51="Да",MAX(0,M2+Расчёты!P2+Расчёты!T2-J2-Расчёты!R2-Расчёты!V2),0)</f>
        <v>0</v>
      </c>
      <c r="P2">
        <f>IF('Исходные данные'!$B$53="Выручка",MAX(0,I2+(Расчёты!Q2-Расчёты!R2)+(Расчёты!U2-Расчёты!V2)),IF('Исходные данные'!$B$53="Прибыль до налога",MAX(0,I2+(Расчёты!Q2-Расчёты!R2)+(Расчёты!U2-Расчёты!V2)+N('Исходные данные'!$B$54)*((Расчёты!O2+Расчёты!P2)+(Расчёты!S2+Расчёты!T2)+Расчёты!W2+Расчёты!X2)+IF('Исходные данные'!$B$55="Да",Расчёты!AG2,0)-N('Исходные данные'!$B$56)/12),IF('Исходные данные'!$B$53="Пользовательская база",MAX(0,N('Исходные данные'!$B$57)/12),0)))</f>
        <v>0</v>
      </c>
      <c r="Q2">
        <f>IF(D2=1,-P2*N('Исходные данные'!$B$50),0)</f>
        <v>0</v>
      </c>
      <c r="R2">
        <f t="shared" ref="R2:R33" si="2">IF(B2="",0,SUMIFS($L$2:$L$194,$B$2:$B$194,"&gt;"&amp;B2,$B$2:$B$194,"&lt;="&amp;EDATE(B2,12)))</f>
        <v>0</v>
      </c>
      <c r="S2">
        <f>IF(OR(D2&lt;&gt;1,B2="",'Исходные данные'!$B$91="",N('Исходные данные'!$B$80)&lt;=0,'Исходные данные'!$B$88=""),0,IF(AND(YEAR(B2)=YEAR('Исходные данные'!$B$91),MONTH(B2)=MONTH('Исходные данные'!$B$91)),MAX(0,IF('Исходные данные'!$B$88="Последние 12 месяцев",SUMIFS($L$2:$L$194,$B$2:$B$194,"&gt;="&amp;EDATE(B2,-11),$B$2:$B$194,"&lt;="&amp;B2),IF('Исходные данные'!$B$88="Пользовательский NOI",N('Исходные данные'!$B$89),R2))/N('Исходные данные'!$B$80)*(1+N('Исходные данные'!$B$81))),0))</f>
        <v>0</v>
      </c>
      <c r="T2">
        <f>-S2*N('Исходные данные'!$B$73)</f>
        <v>0</v>
      </c>
      <c r="U2">
        <f>IF(S2=0,0,-N('Исходные данные'!$B$87)-IF('Исходные данные'!$B$82="Да",IF('Исходные данные'!$B$84="С выручки",S2,IF('Исходные данные'!$B$84="С прибыли",MAX(0,S2+T2-IF('Исходные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">
        <f t="shared" ref="V2:V33" si="3">S2+T2+U2</f>
        <v>0</v>
      </c>
      <c r="W2">
        <f>IF(D2=1,Расчёты!AZ2+K2+N2+Q2+V2,0)</f>
        <v>0</v>
      </c>
      <c r="X2" t="str">
        <f>IF(D2=1,W2,"")</f>
        <v/>
      </c>
      <c r="Y2">
        <f>IF(OR(D2=0,'Исходные данные'!$B$9="",'Исходные данные'!$B$90=""),0,W2/(1+'Исходные данные'!$B$90)^((C2-'Исходные данные'!$B$9)/365))</f>
        <v>0</v>
      </c>
      <c r="Z2">
        <f>IF(D2=1,K2+Расчёты!O2+Расчёты!Q2+Расчёты!S2+Расчёты!U2+Расчёты!W2+Расчёты!X2+N2+Q2,0)</f>
        <v>0</v>
      </c>
      <c r="AA2">
        <f>0</f>
        <v>0</v>
      </c>
      <c r="AB2">
        <f>IF(Расчёты!F2=0,0,IF(Расчёты!G2=1,N('Сценарный анализ'!$C$5),IF(Расчёты!G2=2,N('Сценарный анализ'!$C$6),IF(Расчёты!G2=3,N('Сценарный анализ'!$C$7),N('Сценарный анализ'!$C$7)*(1+N('Сценарный анализ'!$C$8))^(Расчёты!G2-3)))))</f>
        <v>0</v>
      </c>
      <c r="AC2">
        <f>IF(OR(Расчёты!F2=0,N('Исходные данные'!$B$5)=0,AB2=0),0,N('Исходные данные'!$B$5)*AB2*IF(AND(B2&lt;='Исходные данные'!$B$30,Расчёты!C2&gt;='Исходные данные'!$B$30),(Расчёты!C2-'Исходные данные'!$B$30+1)/DAY(Расчёты!C2),1))</f>
        <v>0</v>
      </c>
      <c r="AD2">
        <f>IF(AND(Расчёты!F2&gt;0,Расчёты!F2&lt;=N('Исходные данные'!$B$37)),-AC2,0)</f>
        <v>0</v>
      </c>
      <c r="AE2">
        <f>IF(OR(Расчёты!F2=0,Расчёты!F2&lt;=N('Исходные данные'!$B$37)),0,-(AC2+AD2)*N('Сценарный анализ'!$C$9))</f>
        <v>0</v>
      </c>
      <c r="AF2">
        <f t="shared" ref="AF2:AF33" si="4">AC2+AD2+AE2</f>
        <v>0</v>
      </c>
      <c r="AG2">
        <f>IF('Исходные данные'!$B$51="Да",AF2*N('Исходные данные'!$B$52),0)</f>
        <v>0</v>
      </c>
      <c r="AH2">
        <f t="shared" ref="AH2:AH33" si="5">AF2+AG2</f>
        <v>0</v>
      </c>
      <c r="AI2">
        <f>AF2+(Расчёты!Y2-Расчёты!L2)</f>
        <v>0</v>
      </c>
      <c r="AJ2">
        <f>0</f>
        <v>0</v>
      </c>
      <c r="AK2">
        <f>IF('Исходные данные'!$B$51="Да",-MAX(0,AG2+Расчёты!R2+Расчёты!V2-Расчёты!P2-Расчёты!T2-AJ2),0)</f>
        <v>0</v>
      </c>
      <c r="AL2">
        <f>IF('Исходные данные'!$B$51="Да",MAX(0,AJ2+Расчёты!P2+Расчёты!T2-AG2-Расчёты!R2-Расчёты!V2),0)</f>
        <v>0</v>
      </c>
      <c r="AM2">
        <f>IF('Исходные данные'!$B$53="Выручка",MAX(0,AF2+(Расчёты!Q2-Расчёты!R2)+(Расчёты!U2-Расчёты!V2)),IF('Исходные данные'!$B$53="Прибыль до налога",MAX(0,AF2+(Расчёты!Q2-Расчёты!R2)+(Расчёты!U2-Расчёты!V2)+N('Исходные данные'!$B$54)*((Расчёты!O2+Расчёты!P2)+(Расчёты!S2+Расчёты!T2)+Расчёты!W2+Расчёты!X2)+IF('Исходные данные'!$B$55="Да",Расчёты!AG2,0)-N('Исходные данные'!$B$56)/12),IF('Исходные данные'!$B$53="Пользовательская база",MAX(0,N('Исходные данные'!$B$57)/12),0)))</f>
        <v>0</v>
      </c>
      <c r="AN2">
        <f>IF(D2=1,-AM2*N('Исходные данные'!$B$50),0)</f>
        <v>0</v>
      </c>
      <c r="AO2">
        <f t="shared" ref="AO2:AO33" si="6">IF(B2="",0,SUMIFS($AI$2:$AI$194,$B$2:$B$194,"&gt;"&amp;B2,$B$2:$B$194,"&lt;="&amp;EDATE(B2,12)))</f>
        <v>0</v>
      </c>
      <c r="AP2">
        <f>IF(OR(D2&lt;&gt;1,B2="",'Исходные данные'!$B$91="",N('Исходные данные'!$B$80)&lt;=0,'Исходные данные'!$B$88=""),0,IF(AND(YEAR(B2)=YEAR('Исходные данные'!$B$91),MONTH(B2)=MONTH('Исходные данные'!$B$91)),MAX(0,IF('Исходные данные'!$B$88="Последние 12 месяцев",SUMIFS($AI$2:$AI$194,$B$2:$B$194,"&gt;="&amp;EDATE(B2,-11),$B$2:$B$194,"&lt;="&amp;B2),IF('Исходные данные'!$B$88="Пользовательский NOI",N('Исходные данные'!$B$89),AO2))/N('Исходные данные'!$B$80)*(1+N('Исходные данные'!$B$81))),0))</f>
        <v>0</v>
      </c>
      <c r="AQ2">
        <f>-AP2*N('Исходные данные'!$B$73)</f>
        <v>0</v>
      </c>
      <c r="AR2">
        <f>IF(AP2=0,0,-N('Исходные данные'!$B$87)-IF('Исходные данные'!$B$82="Да",IF('Исходные данные'!$B$84="С выручки",AP2,IF('Исходные данные'!$B$84="С прибыли",MAX(0,AP2+AQ2-IF('Исходные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">
        <f t="shared" ref="AS2:AS33" si="7">AP2+AQ2+AR2</f>
        <v>0</v>
      </c>
      <c r="AT2">
        <f>IF(D2=1,Расчёты!AZ2+AH2+AK2+AN2+AS2,0)</f>
        <v>0</v>
      </c>
      <c r="AU2" t="str">
        <f>IF(D2=1,AT2,"")</f>
        <v/>
      </c>
      <c r="AV2">
        <f>IF(OR(D2=0,'Исходные данные'!$B$9="",'Исходные данные'!$B$90=""),0,AT2/(1+'Исходные данные'!$B$90)^((C2-'Исходные данные'!$B$9)/365))</f>
        <v>0</v>
      </c>
      <c r="AW2">
        <f>IF(D2=1,AH2+Расчёты!O2+Расчёты!Q2+Расчёты!S2+Расчёты!U2+Расчёты!W2+Расчёты!X2+AK2+AN2,0)</f>
        <v>0</v>
      </c>
      <c r="AX2">
        <f>0</f>
        <v>0</v>
      </c>
      <c r="AY2">
        <f>IF(Расчёты!F2=0,0,IF(Расчёты!G2=1,N('Сценарный анализ'!$D$5),IF(Расчёты!G2=2,N('Сценарный анализ'!$D$6),IF(Расчёты!G2=3,N('Сценарный анализ'!$D$7),N('Сценарный анализ'!$D$7)*(1+N('Сценарный анализ'!$D$8))^(Расчёты!G2-3)))))</f>
        <v>0</v>
      </c>
      <c r="AZ2">
        <f>IF(OR(Расчёты!F2=0,N('Исходные данные'!$B$5)=0,AY2=0),0,N('Исходные данные'!$B$5)*AY2*IF(AND(B2&lt;='Исходные данные'!$B$30,Расчёты!C2&gt;='Исходные данные'!$B$30),(Расчёты!C2-'Исходные данные'!$B$30+1)/DAY(Расчёты!C2),1))</f>
        <v>0</v>
      </c>
      <c r="BA2">
        <f>IF(AND(Расчёты!F2&gt;0,Расчёты!F2&lt;=N('Исходные данные'!$B$37)),-AZ2,0)</f>
        <v>0</v>
      </c>
      <c r="BB2">
        <f>IF(OR(Расчёты!F2=0,Расчёты!F2&lt;=N('Исходные данные'!$B$37)),0,-(AZ2+BA2)*N('Сценарный анализ'!$D$9))</f>
        <v>0</v>
      </c>
      <c r="BC2">
        <f t="shared" ref="BC2:BC33" si="8">AZ2+BA2+BB2</f>
        <v>0</v>
      </c>
      <c r="BD2">
        <f>IF('Исходные данные'!$B$51="Да",BC2*N('Исходные данные'!$B$52),0)</f>
        <v>0</v>
      </c>
      <c r="BE2">
        <f t="shared" ref="BE2:BE33" si="9">BC2+BD2</f>
        <v>0</v>
      </c>
      <c r="BF2">
        <f>BC2+(Расчёты!Y2-Расчёты!L2)</f>
        <v>0</v>
      </c>
      <c r="BG2">
        <f>0</f>
        <v>0</v>
      </c>
      <c r="BH2">
        <f>IF('Исходные данные'!$B$51="Да",-MAX(0,BD2+Расчёты!R2+Расчёты!V2-Расчёты!P2-Расчёты!T2-BG2),0)</f>
        <v>0</v>
      </c>
      <c r="BI2">
        <f>IF('Исходные данные'!$B$51="Да",MAX(0,BG2+Расчёты!P2+Расчёты!T2-BD2-Расчёты!R2-Расчёты!V2),0)</f>
        <v>0</v>
      </c>
      <c r="BJ2">
        <f>IF('Исходные данные'!$B$53="Выручка",MAX(0,BC2+(Расчёты!Q2-Расчёты!R2)+(Расчёты!U2-Расчёты!V2)),IF('Исходные данные'!$B$53="Прибыль до налога",MAX(0,BC2+(Расчёты!Q2-Расчёты!R2)+(Расчёты!U2-Расчёты!V2)+N('Исходные данные'!$B$54)*((Расчёты!O2+Расчёты!P2)+(Расчёты!S2+Расчёты!T2)+Расчёты!W2+Расчёты!X2)+IF('Исходные данные'!$B$55="Да",Расчёты!AG2,0)-N('Исходные данные'!$B$56)/12),IF('Исходные данные'!$B$53="Пользовательская база",MAX(0,N('Исходные данные'!$B$57)/12),0)))</f>
        <v>0</v>
      </c>
      <c r="BK2">
        <f>IF(D2=1,-BJ2*N('Исходные данные'!$B$50),0)</f>
        <v>0</v>
      </c>
      <c r="BL2">
        <f t="shared" ref="BL2:BL33" si="10">IF(B2="",0,SUMIFS($BF$2:$BF$194,$B$2:$B$194,"&gt;"&amp;B2,$B$2:$B$194,"&lt;="&amp;EDATE(B2,12)))</f>
        <v>0</v>
      </c>
      <c r="BM2">
        <f>IF(OR(D2&lt;&gt;1,B2="",'Исходные данные'!$B$91="",N('Исходные данные'!$B$80)&lt;=0,'Исходные данные'!$B$88=""),0,IF(AND(YEAR(B2)=YEAR('Исходные данные'!$B$91),MONTH(B2)=MONTH('Исходные данные'!$B$91)),MAX(0,IF('Исходные данные'!$B$88="Последние 12 месяцев",SUMIFS($BF$2:$BF$194,$B$2:$B$194,"&gt;="&amp;EDATE(B2,-11),$B$2:$B$194,"&lt;="&amp;B2),IF('Исходные данные'!$B$88="Пользовательский NOI",N('Исходные данные'!$B$89),BL2))/N('Исходные данные'!$B$80)*(1+N('Исходные данные'!$B$81))),0))</f>
        <v>0</v>
      </c>
      <c r="BN2">
        <f>-BM2*N('Исходные данные'!$B$73)</f>
        <v>0</v>
      </c>
      <c r="BO2">
        <f>IF(BM2=0,0,-N('Исходные данные'!$B$87)-IF('Исходные данные'!$B$82="Да",IF('Исходные данные'!$B$84="С выручки",BM2,IF('Исходные данные'!$B$84="С прибыли",MAX(0,BM2+BN2-IF('Исходные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">
        <f t="shared" ref="BP2:BP33" si="11">BM2+BN2+BO2</f>
        <v>0</v>
      </c>
      <c r="BQ2">
        <f>IF(D2=1,Расчёты!AZ2+BE2+BH2+BK2+BP2,0)</f>
        <v>0</v>
      </c>
      <c r="BR2" t="str">
        <f>IF(D2=1,BQ2,"")</f>
        <v/>
      </c>
      <c r="BS2">
        <f>IF(OR(D2=0,'Исходные данные'!$B$9="",'Исходные данные'!$B$90=""),0,BQ2/(1+'Исходные данные'!$B$90)^((C2-'Исходные данные'!$B$9)/365))</f>
        <v>0</v>
      </c>
      <c r="BT2">
        <f>IF(D2=1,BE2+Расчёты!O2+Расчёты!Q2+Расчёты!S2+Расчёты!U2+Расчёты!W2+Расчёты!X2+BH2+BK2,0)</f>
        <v>0</v>
      </c>
      <c r="BU2">
        <f>0</f>
        <v>0</v>
      </c>
      <c r="BV2">
        <f>Расчёты!AZ2+K2+N2-P2*N('Исходные данные'!$B$50)</f>
        <v>0</v>
      </c>
      <c r="BW2">
        <f>BV2</f>
        <v>0</v>
      </c>
      <c r="BX2">
        <f>0</f>
        <v>0</v>
      </c>
      <c r="BY2">
        <f>Расчёты!AZ2+AH2+AK2-AM2*N('Исходные данные'!$B$50)</f>
        <v>0</v>
      </c>
      <c r="BZ2">
        <f>BY2</f>
        <v>0</v>
      </c>
      <c r="CA2">
        <f>0</f>
        <v>0</v>
      </c>
      <c r="CB2">
        <f>Расчёты!AZ2+BE2+BH2-BJ2*N('Исходные данные'!$B$50)</f>
        <v>0</v>
      </c>
      <c r="CC2">
        <f>CB2</f>
        <v>0</v>
      </c>
      <c r="CD2">
        <f>0</f>
        <v>0</v>
      </c>
    </row>
    <row r="3" spans="1:82" x14ac:dyDescent="0.2">
      <c r="A3">
        <f>Расчёты!A3</f>
        <v>2</v>
      </c>
      <c r="B3" t="str">
        <f>Расчёты!B3</f>
        <v/>
      </c>
      <c r="C3" t="str">
        <f>Расчёты!D3</f>
        <v/>
      </c>
      <c r="D3">
        <f>Расчёты!E3</f>
        <v>0</v>
      </c>
      <c r="E3">
        <f>IF(Расчёты!F3=0,0,IF(Расчёты!G3=1,N('Сценарный анализ'!$B$5),IF(Расчёты!G3=2,N('Сценарный анализ'!$B$6),IF(Расчёты!G3=3,N('Сценарный анализ'!$B$7),N('Сценарный анализ'!$B$7)*(1+N('Сценарный анализ'!$B$8))^(Расчёты!G3-3)))))</f>
        <v>0</v>
      </c>
      <c r="F3">
        <f>IF(OR(Расчёты!F3=0,N('Исходные данные'!$B$5)=0,E3=0),0,N('Исходные данные'!$B$5)*E3*IF(AND(B3&lt;='Исходные данные'!$B$30,Расчёты!C3&gt;='Исходные данные'!$B$30),(Расчёты!C3-'Исходные данные'!$B$30+1)/DAY(Расчёты!C3),1))</f>
        <v>0</v>
      </c>
      <c r="G3">
        <f>IF(AND(Расчёты!F3&gt;0,Расчёты!F3&lt;=N('Исходные данные'!$B$37)),-F3,0)</f>
        <v>0</v>
      </c>
      <c r="H3">
        <f>IF(OR(Расчёты!F3=0,Расчёты!F3&lt;=N('Исходные данные'!$B$37)),0,-(F3+G3)*N('Сценарный анализ'!$B$9))</f>
        <v>0</v>
      </c>
      <c r="I3">
        <f t="shared" si="0"/>
        <v>0</v>
      </c>
      <c r="J3">
        <f>IF('Исходные данные'!$B$51="Да",I3*N('Исходные данные'!$B$52),0)</f>
        <v>0</v>
      </c>
      <c r="K3">
        <f t="shared" si="1"/>
        <v>0</v>
      </c>
      <c r="L3">
        <f>I3+(Расчёты!Y3-Расчёты!L3)</f>
        <v>0</v>
      </c>
      <c r="M3">
        <f t="shared" ref="M3:M34" si="12">O2</f>
        <v>0</v>
      </c>
      <c r="N3">
        <f>IF('Исходные данные'!$B$51="Да",-MAX(0,J3+Расчёты!R3+Расчёты!V3-Расчёты!P3-Расчёты!T3-M3),0)</f>
        <v>0</v>
      </c>
      <c r="O3">
        <f>IF('Исходные данные'!$B$51="Да",MAX(0,M3+Расчёты!P3+Расчёты!T3-J3-Расчёты!R3-Расчёты!V3),0)</f>
        <v>0</v>
      </c>
      <c r="P3">
        <f>IF('Исходные данные'!$B$53="Выручка",MAX(0,I3+(Расчёты!Q3-Расчёты!R3)+(Расчёты!U3-Расчёты!V3)),IF('Исходные данные'!$B$53="Прибыль до налога",MAX(0,I3+(Расчёты!Q3-Расчёты!R3)+(Расчёты!U3-Расчёты!V3)+N('Исходные данные'!$B$54)*((Расчёты!O3+Расчёты!P3)+(Расчёты!S3+Расчёты!T3)+Расчёты!W3+Расчёты!X3)+IF('Исходные данные'!$B$55="Да",Расчёты!AG3,0)-N('Исходные данные'!$B$56)/12),IF('Исходные данные'!$B$53="Пользовательская база",MAX(0,N('Исходные данные'!$B$57)/12),0)))</f>
        <v>0</v>
      </c>
      <c r="Q3">
        <f>IF(D3=1,-P3*N('Исходные данные'!$B$50),0)</f>
        <v>0</v>
      </c>
      <c r="R3">
        <f t="shared" si="2"/>
        <v>0</v>
      </c>
      <c r="S3">
        <f>IF(OR(D3&lt;&gt;1,B3="",'Исходные данные'!$B$91="",N('Исходные данные'!$B$80)&lt;=0,'Исходные данные'!$B$88=""),0,IF(AND(YEAR(B3)=YEAR('Исходные данные'!$B$91),MONTH(B3)=MONTH('Исходные данные'!$B$91)),MAX(0,IF('Исходные данные'!$B$88="Последние 12 месяцев",SUMIFS($L$2:$L$194,$B$2:$B$194,"&gt;="&amp;EDATE(B3,-11),$B$2:$B$194,"&lt;="&amp;B3),IF('Исходные данные'!$B$88="Пользовательский NOI",N('Исходные данные'!$B$89),R3))/N('Исходные данные'!$B$80)*(1+N('Исходные данные'!$B$81))),0))</f>
        <v>0</v>
      </c>
      <c r="T3">
        <f>-S3*N('Исходные данные'!$B$73)</f>
        <v>0</v>
      </c>
      <c r="U3">
        <f>IF(S3=0,0,-N('Исходные данные'!$B$87)-IF('Исходные данные'!$B$82="Да",IF('Исходные данные'!$B$84="С выручки",S3,IF('Исходные данные'!$B$84="С прибыли",MAX(0,S3+T3-IF('Исходные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">
        <f t="shared" si="3"/>
        <v>0</v>
      </c>
      <c r="W3">
        <f>IF(D3=1,Расчёты!AZ3+K3+N3+Q3+V3,0)</f>
        <v>0</v>
      </c>
      <c r="X3" t="str">
        <f t="shared" ref="X3:X34" si="13">IF(D3=1,X2+W3,"")</f>
        <v/>
      </c>
      <c r="Y3">
        <f>IF(OR(D3=0,'Исходные данные'!$B$9="",'Исходные данные'!$B$90=""),0,W3/(1+'Исходные данные'!$B$90)^((C3-'Исходные данные'!$B$9)/365))</f>
        <v>0</v>
      </c>
      <c r="Z3">
        <f>IF(D3=1,K3+Расчёты!O3+Расчёты!Q3+Расчёты!S3+Расчёты!U3+Расчёты!W3+Расчёты!X3+N3+Q3,0)</f>
        <v>0</v>
      </c>
      <c r="AA3">
        <f>IF(AND(D3=1,X3&gt;=0,X2&lt;0,MIN($X$2:X3)&lt;0),1,0)</f>
        <v>0</v>
      </c>
      <c r="AB3">
        <f>IF(Расчёты!F3=0,0,IF(Расчёты!G3=1,N('Сценарный анализ'!$C$5),IF(Расчёты!G3=2,N('Сценарный анализ'!$C$6),IF(Расчёты!G3=3,N('Сценарный анализ'!$C$7),N('Сценарный анализ'!$C$7)*(1+N('Сценарный анализ'!$C$8))^(Расчёты!G3-3)))))</f>
        <v>0</v>
      </c>
      <c r="AC3">
        <f>IF(OR(Расчёты!F3=0,N('Исходные данные'!$B$5)=0,AB3=0),0,N('Исходные данные'!$B$5)*AB3*IF(AND(B3&lt;='Исходные данные'!$B$30,Расчёты!C3&gt;='Исходные данные'!$B$30),(Расчёты!C3-'Исходные данные'!$B$30+1)/DAY(Расчёты!C3),1))</f>
        <v>0</v>
      </c>
      <c r="AD3">
        <f>IF(AND(Расчёты!F3&gt;0,Расчёты!F3&lt;=N('Исходные данные'!$B$37)),-AC3,0)</f>
        <v>0</v>
      </c>
      <c r="AE3">
        <f>IF(OR(Расчёты!F3=0,Расчёты!F3&lt;=N('Исходные данные'!$B$37)),0,-(AC3+AD3)*N('Сценарный анализ'!$C$9))</f>
        <v>0</v>
      </c>
      <c r="AF3">
        <f t="shared" si="4"/>
        <v>0</v>
      </c>
      <c r="AG3">
        <f>IF('Исходные данные'!$B$51="Да",AF3*N('Исходные данные'!$B$52),0)</f>
        <v>0</v>
      </c>
      <c r="AH3">
        <f t="shared" si="5"/>
        <v>0</v>
      </c>
      <c r="AI3">
        <f>AF3+(Расчёты!Y3-Расчёты!L3)</f>
        <v>0</v>
      </c>
      <c r="AJ3">
        <f t="shared" ref="AJ3:AJ34" si="14">AL2</f>
        <v>0</v>
      </c>
      <c r="AK3">
        <f>IF('Исходные данные'!$B$51="Да",-MAX(0,AG3+Расчёты!R3+Расчёты!V3-Расчёты!P3-Расчёты!T3-AJ3),0)</f>
        <v>0</v>
      </c>
      <c r="AL3">
        <f>IF('Исходные данные'!$B$51="Да",MAX(0,AJ3+Расчёты!P3+Расчёты!T3-AG3-Расчёты!R3-Расчёты!V3),0)</f>
        <v>0</v>
      </c>
      <c r="AM3">
        <f>IF('Исходные данные'!$B$53="Выручка",MAX(0,AF3+(Расчёты!Q3-Расчёты!R3)+(Расчёты!U3-Расчёты!V3)),IF('Исходные данные'!$B$53="Прибыль до налога",MAX(0,AF3+(Расчёты!Q3-Расчёты!R3)+(Расчёты!U3-Расчёты!V3)+N('Исходные данные'!$B$54)*((Расчёты!O3+Расчёты!P3)+(Расчёты!S3+Расчёты!T3)+Расчёты!W3+Расчёты!X3)+IF('Исходные данные'!$B$55="Да",Расчёты!AG3,0)-N('Исходные данные'!$B$56)/12),IF('Исходные данные'!$B$53="Пользовательская база",MAX(0,N('Исходные данные'!$B$57)/12),0)))</f>
        <v>0</v>
      </c>
      <c r="AN3">
        <f>IF(D3=1,-AM3*N('Исходные данные'!$B$50),0)</f>
        <v>0</v>
      </c>
      <c r="AO3">
        <f t="shared" si="6"/>
        <v>0</v>
      </c>
      <c r="AP3">
        <f>IF(OR(D3&lt;&gt;1,B3="",'Исходные данные'!$B$91="",N('Исходные данные'!$B$80)&lt;=0,'Исходные данные'!$B$88=""),0,IF(AND(YEAR(B3)=YEAR('Исходные данные'!$B$91),MONTH(B3)=MONTH('Исходные данные'!$B$91)),MAX(0,IF('Исходные данные'!$B$88="Последние 12 месяцев",SUMIFS($AI$2:$AI$194,$B$2:$B$194,"&gt;="&amp;EDATE(B3,-11),$B$2:$B$194,"&lt;="&amp;B3),IF('Исходные данные'!$B$88="Пользовательский NOI",N('Исходные данные'!$B$89),AO3))/N('Исходные данные'!$B$80)*(1+N('Исходные данные'!$B$81))),0))</f>
        <v>0</v>
      </c>
      <c r="AQ3">
        <f>-AP3*N('Исходные данные'!$B$73)</f>
        <v>0</v>
      </c>
      <c r="AR3">
        <f>IF(AP3=0,0,-N('Исходные данные'!$B$87)-IF('Исходные данные'!$B$82="Да",IF('Исходные данные'!$B$84="С выручки",AP3,IF('Исходные данные'!$B$84="С прибыли",MAX(0,AP3+AQ3-IF('Исходные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">
        <f t="shared" si="7"/>
        <v>0</v>
      </c>
      <c r="AT3">
        <f>IF(D3=1,Расчёты!AZ3+AH3+AK3+AN3+AS3,0)</f>
        <v>0</v>
      </c>
      <c r="AU3" t="str">
        <f t="shared" ref="AU3:AU34" si="15">IF(D3=1,AU2+AT3,"")</f>
        <v/>
      </c>
      <c r="AV3">
        <f>IF(OR(D3=0,'Исходные данные'!$B$9="",'Исходные данные'!$B$90=""),0,AT3/(1+'Исходные данные'!$B$90)^((C3-'Исходные данные'!$B$9)/365))</f>
        <v>0</v>
      </c>
      <c r="AW3">
        <f>IF(D3=1,AH3+Расчёты!O3+Расчёты!Q3+Расчёты!S3+Расчёты!U3+Расчёты!W3+Расчёты!X3+AK3+AN3,0)</f>
        <v>0</v>
      </c>
      <c r="AX3">
        <f>IF(AND(D3=1,AU3&gt;=0,AU2&lt;0,MIN($AU$2:AU3)&lt;0),1,0)</f>
        <v>0</v>
      </c>
      <c r="AY3">
        <f>IF(Расчёты!F3=0,0,IF(Расчёты!G3=1,N('Сценарный анализ'!$D$5),IF(Расчёты!G3=2,N('Сценарный анализ'!$D$6),IF(Расчёты!G3=3,N('Сценарный анализ'!$D$7),N('Сценарный анализ'!$D$7)*(1+N('Сценарный анализ'!$D$8))^(Расчёты!G3-3)))))</f>
        <v>0</v>
      </c>
      <c r="AZ3">
        <f>IF(OR(Расчёты!F3=0,N('Исходные данные'!$B$5)=0,AY3=0),0,N('Исходные данные'!$B$5)*AY3*IF(AND(B3&lt;='Исходные данные'!$B$30,Расчёты!C3&gt;='Исходные данные'!$B$30),(Расчёты!C3-'Исходные данные'!$B$30+1)/DAY(Расчёты!C3),1))</f>
        <v>0</v>
      </c>
      <c r="BA3">
        <f>IF(AND(Расчёты!F3&gt;0,Расчёты!F3&lt;=N('Исходные данные'!$B$37)),-AZ3,0)</f>
        <v>0</v>
      </c>
      <c r="BB3">
        <f>IF(OR(Расчёты!F3=0,Расчёты!F3&lt;=N('Исходные данные'!$B$37)),0,-(AZ3+BA3)*N('Сценарный анализ'!$D$9))</f>
        <v>0</v>
      </c>
      <c r="BC3">
        <f t="shared" si="8"/>
        <v>0</v>
      </c>
      <c r="BD3">
        <f>IF('Исходные данные'!$B$51="Да",BC3*N('Исходные данные'!$B$52),0)</f>
        <v>0</v>
      </c>
      <c r="BE3">
        <f t="shared" si="9"/>
        <v>0</v>
      </c>
      <c r="BF3">
        <f>BC3+(Расчёты!Y3-Расчёты!L3)</f>
        <v>0</v>
      </c>
      <c r="BG3">
        <f t="shared" ref="BG3:BG34" si="16">BI2</f>
        <v>0</v>
      </c>
      <c r="BH3">
        <f>IF('Исходные данные'!$B$51="Да",-MAX(0,BD3+Расчёты!R3+Расчёты!V3-Расчёты!P3-Расчёты!T3-BG3),0)</f>
        <v>0</v>
      </c>
      <c r="BI3">
        <f>IF('Исходные данные'!$B$51="Да",MAX(0,BG3+Расчёты!P3+Расчёты!T3-BD3-Расчёты!R3-Расчёты!V3),0)</f>
        <v>0</v>
      </c>
      <c r="BJ3">
        <f>IF('Исходные данные'!$B$53="Выручка",MAX(0,BC3+(Расчёты!Q3-Расчёты!R3)+(Расчёты!U3-Расчёты!V3)),IF('Исходные данные'!$B$53="Прибыль до налога",MAX(0,BC3+(Расчёты!Q3-Расчёты!R3)+(Расчёты!U3-Расчёты!V3)+N('Исходные данные'!$B$54)*((Расчёты!O3+Расчёты!P3)+(Расчёты!S3+Расчёты!T3)+Расчёты!W3+Расчёты!X3)+IF('Исходные данные'!$B$55="Да",Расчёты!AG3,0)-N('Исходные данные'!$B$56)/12),IF('Исходные данные'!$B$53="Пользовательская база",MAX(0,N('Исходные данные'!$B$57)/12),0)))</f>
        <v>0</v>
      </c>
      <c r="BK3">
        <f>IF(D3=1,-BJ3*N('Исходные данные'!$B$50),0)</f>
        <v>0</v>
      </c>
      <c r="BL3">
        <f t="shared" si="10"/>
        <v>0</v>
      </c>
      <c r="BM3">
        <f>IF(OR(D3&lt;&gt;1,B3="",'Исходные данные'!$B$91="",N('Исходные данные'!$B$80)&lt;=0,'Исходные данные'!$B$88=""),0,IF(AND(YEAR(B3)=YEAR('Исходные данные'!$B$91),MONTH(B3)=MONTH('Исходные данные'!$B$91)),MAX(0,IF('Исходные данные'!$B$88="Последние 12 месяцев",SUMIFS($BF$2:$BF$194,$B$2:$B$194,"&gt;="&amp;EDATE(B3,-11),$B$2:$B$194,"&lt;="&amp;B3),IF('Исходные данные'!$B$88="Пользовательский NOI",N('Исходные данные'!$B$89),BL3))/N('Исходные данные'!$B$80)*(1+N('Исходные данные'!$B$81))),0))</f>
        <v>0</v>
      </c>
      <c r="BN3">
        <f>-BM3*N('Исходные данные'!$B$73)</f>
        <v>0</v>
      </c>
      <c r="BO3">
        <f>IF(BM3=0,0,-N('Исходные данные'!$B$87)-IF('Исходные данные'!$B$82="Да",IF('Исходные данные'!$B$84="С выручки",BM3,IF('Исходные данные'!$B$84="С прибыли",MAX(0,BM3+BN3-IF('Исходные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">
        <f t="shared" si="11"/>
        <v>0</v>
      </c>
      <c r="BQ3">
        <f>IF(D3=1,Расчёты!AZ3+BE3+BH3+BK3+BP3,0)</f>
        <v>0</v>
      </c>
      <c r="BR3" t="str">
        <f t="shared" ref="BR3:BR34" si="17">IF(D3=1,BR2+BQ3,"")</f>
        <v/>
      </c>
      <c r="BS3">
        <f>IF(OR(D3=0,'Исходные данные'!$B$9="",'Исходные данные'!$B$90=""),0,BQ3/(1+'Исходные данные'!$B$90)^((C3-'Исходные данные'!$B$9)/365))</f>
        <v>0</v>
      </c>
      <c r="BT3">
        <f>IF(D3=1,BE3+Расчёты!O3+Расчёты!Q3+Расчёты!S3+Расчёты!U3+Расчёты!W3+Расчёты!X3+BH3+BK3,0)</f>
        <v>0</v>
      </c>
      <c r="BU3">
        <f>IF(AND(D3=1,BR3&gt;=0,BR2&lt;0,MIN($BR$2:BR3)&lt;0),1,0)</f>
        <v>0</v>
      </c>
      <c r="BV3">
        <f>Расчёты!AZ3+K3+N3-P3*N('Исходные данные'!$B$50)</f>
        <v>0</v>
      </c>
      <c r="BW3">
        <f>BW2+BV3</f>
        <v>0</v>
      </c>
      <c r="BX3">
        <f>IF(AND(BW3&gt;=0,BW2&lt;0,MIN($BW$2:BW3)&lt;0),1,0)</f>
        <v>0</v>
      </c>
      <c r="BY3">
        <f>Расчёты!AZ3+AH3+AK3-AM3*N('Исходные данные'!$B$50)</f>
        <v>0</v>
      </c>
      <c r="BZ3">
        <f>BZ2+BY3</f>
        <v>0</v>
      </c>
      <c r="CA3">
        <f>IF(AND(BZ3&gt;=0,BZ2&lt;0,MIN($BZ$2:BZ3)&lt;0),1,0)</f>
        <v>0</v>
      </c>
      <c r="CB3">
        <f>Расчёты!AZ3+BE3+BH3-BJ3*N('Исходные данные'!$B$50)</f>
        <v>0</v>
      </c>
      <c r="CC3">
        <f>CC2+CB3</f>
        <v>0</v>
      </c>
      <c r="CD3">
        <f>IF(AND(CC3&gt;=0,CC2&lt;0,MIN($CC$2:CC3)&lt;0),1,0)</f>
        <v>0</v>
      </c>
    </row>
    <row r="4" spans="1:82" x14ac:dyDescent="0.2">
      <c r="A4">
        <f>Расчёты!A4</f>
        <v>3</v>
      </c>
      <c r="B4" t="str">
        <f>Расчёты!B4</f>
        <v/>
      </c>
      <c r="C4" t="str">
        <f>Расчёты!D4</f>
        <v/>
      </c>
      <c r="D4">
        <f>Расчёты!E4</f>
        <v>0</v>
      </c>
      <c r="E4">
        <f>IF(Расчёты!F4=0,0,IF(Расчёты!G4=1,N('Сценарный анализ'!$B$5),IF(Расчёты!G4=2,N('Сценарный анализ'!$B$6),IF(Расчёты!G4=3,N('Сценарный анализ'!$B$7),N('Сценарный анализ'!$B$7)*(1+N('Сценарный анализ'!$B$8))^(Расчёты!G4-3)))))</f>
        <v>0</v>
      </c>
      <c r="F4">
        <f>IF(OR(Расчёты!F4=0,N('Исходные данные'!$B$5)=0,E4=0),0,N('Исходные данные'!$B$5)*E4*IF(AND(B4&lt;='Исходные данные'!$B$30,Расчёты!C4&gt;='Исходные данные'!$B$30),(Расчёты!C4-'Исходные данные'!$B$30+1)/DAY(Расчёты!C4),1))</f>
        <v>0</v>
      </c>
      <c r="G4">
        <f>IF(AND(Расчёты!F4&gt;0,Расчёты!F4&lt;=N('Исходные данные'!$B$37)),-F4,0)</f>
        <v>0</v>
      </c>
      <c r="H4">
        <f>IF(OR(Расчёты!F4=0,Расчёты!F4&lt;=N('Исходные данные'!$B$37)),0,-(F4+G4)*N('Сценарный анализ'!$B$9))</f>
        <v>0</v>
      </c>
      <c r="I4">
        <f t="shared" si="0"/>
        <v>0</v>
      </c>
      <c r="J4">
        <f>IF('Исходные данные'!$B$51="Да",I4*N('Исходные данные'!$B$52),0)</f>
        <v>0</v>
      </c>
      <c r="K4">
        <f t="shared" si="1"/>
        <v>0</v>
      </c>
      <c r="L4">
        <f>I4+(Расчёты!Y4-Расчёты!L4)</f>
        <v>0</v>
      </c>
      <c r="M4">
        <f t="shared" si="12"/>
        <v>0</v>
      </c>
      <c r="N4">
        <f>IF('Исходные данные'!$B$51="Да",-MAX(0,J4+Расчёты!R4+Расчёты!V4-Расчёты!P4-Расчёты!T4-M4),0)</f>
        <v>0</v>
      </c>
      <c r="O4">
        <f>IF('Исходные данные'!$B$51="Да",MAX(0,M4+Расчёты!P4+Расчёты!T4-J4-Расчёты!R4-Расчёты!V4),0)</f>
        <v>0</v>
      </c>
      <c r="P4">
        <f>IF('Исходные данные'!$B$53="Выручка",MAX(0,I4+(Расчёты!Q4-Расчёты!R4)+(Расчёты!U4-Расчёты!V4)),IF('Исходные данные'!$B$53="Прибыль до налога",MAX(0,I4+(Расчёты!Q4-Расчёты!R4)+(Расчёты!U4-Расчёты!V4)+N('Исходные данные'!$B$54)*((Расчёты!O4+Расчёты!P4)+(Расчёты!S4+Расчёты!T4)+Расчёты!W4+Расчёты!X4)+IF('Исходные данные'!$B$55="Да",Расчёты!AG4,0)-N('Исходные данные'!$B$56)/12),IF('Исходные данные'!$B$53="Пользовательская база",MAX(0,N('Исходные данные'!$B$57)/12),0)))</f>
        <v>0</v>
      </c>
      <c r="Q4">
        <f>IF(D4=1,-P4*N('Исходные данные'!$B$50),0)</f>
        <v>0</v>
      </c>
      <c r="R4">
        <f t="shared" si="2"/>
        <v>0</v>
      </c>
      <c r="S4">
        <f>IF(OR(D4&lt;&gt;1,B4="",'Исходные данные'!$B$91="",N('Исходные данные'!$B$80)&lt;=0,'Исходные данные'!$B$88=""),0,IF(AND(YEAR(B4)=YEAR('Исходные данные'!$B$91),MONTH(B4)=MONTH('Исходные данные'!$B$91)),MAX(0,IF('Исходные данные'!$B$88="Последние 12 месяцев",SUMIFS($L$2:$L$194,$B$2:$B$194,"&gt;="&amp;EDATE(B4,-11),$B$2:$B$194,"&lt;="&amp;B4),IF('Исходные данные'!$B$88="Пользовательский NOI",N('Исходные данные'!$B$89),R4))/N('Исходные данные'!$B$80)*(1+N('Исходные данные'!$B$81))),0))</f>
        <v>0</v>
      </c>
      <c r="T4">
        <f>-S4*N('Исходные данные'!$B$73)</f>
        <v>0</v>
      </c>
      <c r="U4">
        <f>IF(S4=0,0,-N('Исходные данные'!$B$87)-IF('Исходные данные'!$B$82="Да",IF('Исходные данные'!$B$84="С выручки",S4,IF('Исходные данные'!$B$84="С прибыли",MAX(0,S4+T4-IF('Исходные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4">
        <f t="shared" si="3"/>
        <v>0</v>
      </c>
      <c r="W4">
        <f>IF(D4=1,Расчёты!AZ4+K4+N4+Q4+V4,0)</f>
        <v>0</v>
      </c>
      <c r="X4" t="str">
        <f t="shared" si="13"/>
        <v/>
      </c>
      <c r="Y4">
        <f>IF(OR(D4=0,'Исходные данные'!$B$9="",'Исходные данные'!$B$90=""),0,W4/(1+'Исходные данные'!$B$90)^((C4-'Исходные данные'!$B$9)/365))</f>
        <v>0</v>
      </c>
      <c r="Z4">
        <f>IF(D4=1,K4+Расчёты!O4+Расчёты!Q4+Расчёты!S4+Расчёты!U4+Расчёты!W4+Расчёты!X4+N4+Q4,0)</f>
        <v>0</v>
      </c>
      <c r="AA4">
        <f>IF(AND(D4=1,X4&gt;=0,X3&lt;0,MIN($X$2:X4)&lt;0),1,0)</f>
        <v>0</v>
      </c>
      <c r="AB4">
        <f>IF(Расчёты!F4=0,0,IF(Расчёты!G4=1,N('Сценарный анализ'!$C$5),IF(Расчёты!G4=2,N('Сценарный анализ'!$C$6),IF(Расчёты!G4=3,N('Сценарный анализ'!$C$7),N('Сценарный анализ'!$C$7)*(1+N('Сценарный анализ'!$C$8))^(Расчёты!G4-3)))))</f>
        <v>0</v>
      </c>
      <c r="AC4">
        <f>IF(OR(Расчёты!F4=0,N('Исходные данные'!$B$5)=0,AB4=0),0,N('Исходные данные'!$B$5)*AB4*IF(AND(B4&lt;='Исходные данные'!$B$30,Расчёты!C4&gt;='Исходные данные'!$B$30),(Расчёты!C4-'Исходные данные'!$B$30+1)/DAY(Расчёты!C4),1))</f>
        <v>0</v>
      </c>
      <c r="AD4">
        <f>IF(AND(Расчёты!F4&gt;0,Расчёты!F4&lt;=N('Исходные данные'!$B$37)),-AC4,0)</f>
        <v>0</v>
      </c>
      <c r="AE4">
        <f>IF(OR(Расчёты!F4=0,Расчёты!F4&lt;=N('Исходные данные'!$B$37)),0,-(AC4+AD4)*N('Сценарный анализ'!$C$9))</f>
        <v>0</v>
      </c>
      <c r="AF4">
        <f t="shared" si="4"/>
        <v>0</v>
      </c>
      <c r="AG4">
        <f>IF('Исходные данные'!$B$51="Да",AF4*N('Исходные данные'!$B$52),0)</f>
        <v>0</v>
      </c>
      <c r="AH4">
        <f t="shared" si="5"/>
        <v>0</v>
      </c>
      <c r="AI4">
        <f>AF4+(Расчёты!Y4-Расчёты!L4)</f>
        <v>0</v>
      </c>
      <c r="AJ4">
        <f t="shared" si="14"/>
        <v>0</v>
      </c>
      <c r="AK4">
        <f>IF('Исходные данные'!$B$51="Да",-MAX(0,AG4+Расчёты!R4+Расчёты!V4-Расчёты!P4-Расчёты!T4-AJ4),0)</f>
        <v>0</v>
      </c>
      <c r="AL4">
        <f>IF('Исходные данные'!$B$51="Да",MAX(0,AJ4+Расчёты!P4+Расчёты!T4-AG4-Расчёты!R4-Расчёты!V4),0)</f>
        <v>0</v>
      </c>
      <c r="AM4">
        <f>IF('Исходные данные'!$B$53="Выручка",MAX(0,AF4+(Расчёты!Q4-Расчёты!R4)+(Расчёты!U4-Расчёты!V4)),IF('Исходные данные'!$B$53="Прибыль до налога",MAX(0,AF4+(Расчёты!Q4-Расчёты!R4)+(Расчёты!U4-Расчёты!V4)+N('Исходные данные'!$B$54)*((Расчёты!O4+Расчёты!P4)+(Расчёты!S4+Расчёты!T4)+Расчёты!W4+Расчёты!X4)+IF('Исходные данные'!$B$55="Да",Расчёты!AG4,0)-N('Исходные данные'!$B$56)/12),IF('Исходные данные'!$B$53="Пользовательская база",MAX(0,N('Исходные данные'!$B$57)/12),0)))</f>
        <v>0</v>
      </c>
      <c r="AN4">
        <f>IF(D4=1,-AM4*N('Исходные данные'!$B$50),0)</f>
        <v>0</v>
      </c>
      <c r="AO4">
        <f t="shared" si="6"/>
        <v>0</v>
      </c>
      <c r="AP4">
        <f>IF(OR(D4&lt;&gt;1,B4="",'Исходные данные'!$B$91="",N('Исходные данные'!$B$80)&lt;=0,'Исходные данные'!$B$88=""),0,IF(AND(YEAR(B4)=YEAR('Исходные данные'!$B$91),MONTH(B4)=MONTH('Исходные данные'!$B$91)),MAX(0,IF('Исходные данные'!$B$88="Последние 12 месяцев",SUMIFS($AI$2:$AI$194,$B$2:$B$194,"&gt;="&amp;EDATE(B4,-11),$B$2:$B$194,"&lt;="&amp;B4),IF('Исходные данные'!$B$88="Пользовательский NOI",N('Исходные данные'!$B$89),AO4))/N('Исходные данные'!$B$80)*(1+N('Исходные данные'!$B$81))),0))</f>
        <v>0</v>
      </c>
      <c r="AQ4">
        <f>-AP4*N('Исходные данные'!$B$73)</f>
        <v>0</v>
      </c>
      <c r="AR4">
        <f>IF(AP4=0,0,-N('Исходные данные'!$B$87)-IF('Исходные данные'!$B$82="Да",IF('Исходные данные'!$B$84="С выручки",AP4,IF('Исходные данные'!$B$84="С прибыли",MAX(0,AP4+AQ4-IF('Исходные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4">
        <f t="shared" si="7"/>
        <v>0</v>
      </c>
      <c r="AT4">
        <f>IF(D4=1,Расчёты!AZ4+AH4+AK4+AN4+AS4,0)</f>
        <v>0</v>
      </c>
      <c r="AU4" t="str">
        <f t="shared" si="15"/>
        <v/>
      </c>
      <c r="AV4">
        <f>IF(OR(D4=0,'Исходные данные'!$B$9="",'Исходные данные'!$B$90=""),0,AT4/(1+'Исходные данные'!$B$90)^((C4-'Исходные данные'!$B$9)/365))</f>
        <v>0</v>
      </c>
      <c r="AW4">
        <f>IF(D4=1,AH4+Расчёты!O4+Расчёты!Q4+Расчёты!S4+Расчёты!U4+Расчёты!W4+Расчёты!X4+AK4+AN4,0)</f>
        <v>0</v>
      </c>
      <c r="AX4">
        <f>IF(AND(D4=1,AU4&gt;=0,AU3&lt;0,MIN($AU$2:AU4)&lt;0),1,0)</f>
        <v>0</v>
      </c>
      <c r="AY4">
        <f>IF(Расчёты!F4=0,0,IF(Расчёты!G4=1,N('Сценарный анализ'!$D$5),IF(Расчёты!G4=2,N('Сценарный анализ'!$D$6),IF(Расчёты!G4=3,N('Сценарный анализ'!$D$7),N('Сценарный анализ'!$D$7)*(1+N('Сценарный анализ'!$D$8))^(Расчёты!G4-3)))))</f>
        <v>0</v>
      </c>
      <c r="AZ4">
        <f>IF(OR(Расчёты!F4=0,N('Исходные данные'!$B$5)=0,AY4=0),0,N('Исходные данные'!$B$5)*AY4*IF(AND(B4&lt;='Исходные данные'!$B$30,Расчёты!C4&gt;='Исходные данные'!$B$30),(Расчёты!C4-'Исходные данные'!$B$30+1)/DAY(Расчёты!C4),1))</f>
        <v>0</v>
      </c>
      <c r="BA4">
        <f>IF(AND(Расчёты!F4&gt;0,Расчёты!F4&lt;=N('Исходные данные'!$B$37)),-AZ4,0)</f>
        <v>0</v>
      </c>
      <c r="BB4">
        <f>IF(OR(Расчёты!F4=0,Расчёты!F4&lt;=N('Исходные данные'!$B$37)),0,-(AZ4+BA4)*N('Сценарный анализ'!$D$9))</f>
        <v>0</v>
      </c>
      <c r="BC4">
        <f t="shared" si="8"/>
        <v>0</v>
      </c>
      <c r="BD4">
        <f>IF('Исходные данные'!$B$51="Да",BC4*N('Исходные данные'!$B$52),0)</f>
        <v>0</v>
      </c>
      <c r="BE4">
        <f t="shared" si="9"/>
        <v>0</v>
      </c>
      <c r="BF4">
        <f>BC4+(Расчёты!Y4-Расчёты!L4)</f>
        <v>0</v>
      </c>
      <c r="BG4">
        <f t="shared" si="16"/>
        <v>0</v>
      </c>
      <c r="BH4">
        <f>IF('Исходные данные'!$B$51="Да",-MAX(0,BD4+Расчёты!R4+Расчёты!V4-Расчёты!P4-Расчёты!T4-BG4),0)</f>
        <v>0</v>
      </c>
      <c r="BI4">
        <f>IF('Исходные данные'!$B$51="Да",MAX(0,BG4+Расчёты!P4+Расчёты!T4-BD4-Расчёты!R4-Расчёты!V4),0)</f>
        <v>0</v>
      </c>
      <c r="BJ4">
        <f>IF('Исходные данные'!$B$53="Выручка",MAX(0,BC4+(Расчёты!Q4-Расчёты!R4)+(Расчёты!U4-Расчёты!V4)),IF('Исходные данные'!$B$53="Прибыль до налога",MAX(0,BC4+(Расчёты!Q4-Расчёты!R4)+(Расчёты!U4-Расчёты!V4)+N('Исходные данные'!$B$54)*((Расчёты!O4+Расчёты!P4)+(Расчёты!S4+Расчёты!T4)+Расчёты!W4+Расчёты!X4)+IF('Исходные данные'!$B$55="Да",Расчёты!AG4,0)-N('Исходные данные'!$B$56)/12),IF('Исходные данные'!$B$53="Пользовательская база",MAX(0,N('Исходные данные'!$B$57)/12),0)))</f>
        <v>0</v>
      </c>
      <c r="BK4">
        <f>IF(D4=1,-BJ4*N('Исходные данные'!$B$50),0)</f>
        <v>0</v>
      </c>
      <c r="BL4">
        <f t="shared" si="10"/>
        <v>0</v>
      </c>
      <c r="BM4">
        <f>IF(OR(D4&lt;&gt;1,B4="",'Исходные данные'!$B$91="",N('Исходные данные'!$B$80)&lt;=0,'Исходные данные'!$B$88=""),0,IF(AND(YEAR(B4)=YEAR('Исходные данные'!$B$91),MONTH(B4)=MONTH('Исходные данные'!$B$91)),MAX(0,IF('Исходные данные'!$B$88="Последние 12 месяцев",SUMIFS($BF$2:$BF$194,$B$2:$B$194,"&gt;="&amp;EDATE(B4,-11),$B$2:$B$194,"&lt;="&amp;B4),IF('Исходные данные'!$B$88="Пользовательский NOI",N('Исходные данные'!$B$89),BL4))/N('Исходные данные'!$B$80)*(1+N('Исходные данные'!$B$81))),0))</f>
        <v>0</v>
      </c>
      <c r="BN4">
        <f>-BM4*N('Исходные данные'!$B$73)</f>
        <v>0</v>
      </c>
      <c r="BO4">
        <f>IF(BM4=0,0,-N('Исходные данные'!$B$87)-IF('Исходные данные'!$B$82="Да",IF('Исходные данные'!$B$84="С выручки",BM4,IF('Исходные данные'!$B$84="С прибыли",MAX(0,BM4+BN4-IF('Исходные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4">
        <f t="shared" si="11"/>
        <v>0</v>
      </c>
      <c r="BQ4">
        <f>IF(D4=1,Расчёты!AZ4+BE4+BH4+BK4+BP4,0)</f>
        <v>0</v>
      </c>
      <c r="BR4" t="str">
        <f t="shared" si="17"/>
        <v/>
      </c>
      <c r="BS4">
        <f>IF(OR(D4=0,'Исходные данные'!$B$9="",'Исходные данные'!$B$90=""),0,BQ4/(1+'Исходные данные'!$B$90)^((C4-'Исходные данные'!$B$9)/365))</f>
        <v>0</v>
      </c>
      <c r="BT4">
        <f>IF(D4=1,BE4+Расчёты!O4+Расчёты!Q4+Расчёты!S4+Расчёты!U4+Расчёты!W4+Расчёты!X4+BH4+BK4,0)</f>
        <v>0</v>
      </c>
      <c r="BU4">
        <f>IF(AND(D4=1,BR4&gt;=0,BR3&lt;0,MIN($BR$2:BR4)&lt;0),1,0)</f>
        <v>0</v>
      </c>
      <c r="BV4">
        <f>Расчёты!AZ4+K4+N4-P4*N('Исходные данные'!$B$50)</f>
        <v>0</v>
      </c>
      <c r="BW4">
        <f t="shared" ref="BW4:BW67" si="18">BW3+BV4</f>
        <v>0</v>
      </c>
      <c r="BX4">
        <f>IF(AND(BW4&gt;=0,BW3&lt;0,MIN($BW$2:BW4)&lt;0),1,0)</f>
        <v>0</v>
      </c>
      <c r="BY4">
        <f>Расчёты!AZ4+AH4+AK4-AM4*N('Исходные данные'!$B$50)</f>
        <v>0</v>
      </c>
      <c r="BZ4">
        <f t="shared" ref="BZ4:BZ67" si="19">BZ3+BY4</f>
        <v>0</v>
      </c>
      <c r="CA4">
        <f>IF(AND(BZ4&gt;=0,BZ3&lt;0,MIN($BZ$2:BZ4)&lt;0),1,0)</f>
        <v>0</v>
      </c>
      <c r="CB4">
        <f>Расчёты!AZ4+BE4+BH4-BJ4*N('Исходные данные'!$B$50)</f>
        <v>0</v>
      </c>
      <c r="CC4">
        <f t="shared" ref="CC4:CC67" si="20">CC3+CB4</f>
        <v>0</v>
      </c>
      <c r="CD4">
        <f>IF(AND(CC4&gt;=0,CC3&lt;0,MIN($CC$2:CC4)&lt;0),1,0)</f>
        <v>0</v>
      </c>
    </row>
    <row r="5" spans="1:82" x14ac:dyDescent="0.2">
      <c r="A5">
        <f>Расчёты!A5</f>
        <v>4</v>
      </c>
      <c r="B5" t="str">
        <f>Расчёты!B5</f>
        <v/>
      </c>
      <c r="C5" t="str">
        <f>Расчёты!D5</f>
        <v/>
      </c>
      <c r="D5">
        <f>Расчёты!E5</f>
        <v>0</v>
      </c>
      <c r="E5">
        <f>IF(Расчёты!F5=0,0,IF(Расчёты!G5=1,N('Сценарный анализ'!$B$5),IF(Расчёты!G5=2,N('Сценарный анализ'!$B$6),IF(Расчёты!G5=3,N('Сценарный анализ'!$B$7),N('Сценарный анализ'!$B$7)*(1+N('Сценарный анализ'!$B$8))^(Расчёты!G5-3)))))</f>
        <v>0</v>
      </c>
      <c r="F5">
        <f>IF(OR(Расчёты!F5=0,N('Исходные данные'!$B$5)=0,E5=0),0,N('Исходные данные'!$B$5)*E5*IF(AND(B5&lt;='Исходные данные'!$B$30,Расчёты!C5&gt;='Исходные данные'!$B$30),(Расчёты!C5-'Исходные данные'!$B$30+1)/DAY(Расчёты!C5),1))</f>
        <v>0</v>
      </c>
      <c r="G5">
        <f>IF(AND(Расчёты!F5&gt;0,Расчёты!F5&lt;=N('Исходные данные'!$B$37)),-F5,0)</f>
        <v>0</v>
      </c>
      <c r="H5">
        <f>IF(OR(Расчёты!F5=0,Расчёты!F5&lt;=N('Исходные данные'!$B$37)),0,-(F5+G5)*N('Сценарный анализ'!$B$9))</f>
        <v>0</v>
      </c>
      <c r="I5">
        <f t="shared" si="0"/>
        <v>0</v>
      </c>
      <c r="J5">
        <f>IF('Исходные данные'!$B$51="Да",I5*N('Исходные данные'!$B$52),0)</f>
        <v>0</v>
      </c>
      <c r="K5">
        <f t="shared" si="1"/>
        <v>0</v>
      </c>
      <c r="L5">
        <f>I5+(Расчёты!Y5-Расчёты!L5)</f>
        <v>0</v>
      </c>
      <c r="M5">
        <f t="shared" si="12"/>
        <v>0</v>
      </c>
      <c r="N5">
        <f>IF('Исходные данные'!$B$51="Да",-MAX(0,J5+Расчёты!R5+Расчёты!V5-Расчёты!P5-Расчёты!T5-M5),0)</f>
        <v>0</v>
      </c>
      <c r="O5">
        <f>IF('Исходные данные'!$B$51="Да",MAX(0,M5+Расчёты!P5+Расчёты!T5-J5-Расчёты!R5-Расчёты!V5),0)</f>
        <v>0</v>
      </c>
      <c r="P5">
        <f>IF('Исходные данные'!$B$53="Выручка",MAX(0,I5+(Расчёты!Q5-Расчёты!R5)+(Расчёты!U5-Расчёты!V5)),IF('Исходные данные'!$B$53="Прибыль до налога",MAX(0,I5+(Расчёты!Q5-Расчёты!R5)+(Расчёты!U5-Расчёты!V5)+N('Исходные данные'!$B$54)*((Расчёты!O5+Расчёты!P5)+(Расчёты!S5+Расчёты!T5)+Расчёты!W5+Расчёты!X5)+IF('Исходные данные'!$B$55="Да",Расчёты!AG5,0)-N('Исходные данные'!$B$56)/12),IF('Исходные данные'!$B$53="Пользовательская база",MAX(0,N('Исходные данные'!$B$57)/12),0)))</f>
        <v>0</v>
      </c>
      <c r="Q5">
        <f>IF(D5=1,-P5*N('Исходные данные'!$B$50),0)</f>
        <v>0</v>
      </c>
      <c r="R5">
        <f t="shared" si="2"/>
        <v>0</v>
      </c>
      <c r="S5">
        <f>IF(OR(D5&lt;&gt;1,B5="",'Исходные данные'!$B$91="",N('Исходные данные'!$B$80)&lt;=0,'Исходные данные'!$B$88=""),0,IF(AND(YEAR(B5)=YEAR('Исходные данные'!$B$91),MONTH(B5)=MONTH('Исходные данные'!$B$91)),MAX(0,IF('Исходные данные'!$B$88="Последние 12 месяцев",SUMIFS($L$2:$L$194,$B$2:$B$194,"&gt;="&amp;EDATE(B5,-11),$B$2:$B$194,"&lt;="&amp;B5),IF('Исходные данные'!$B$88="Пользовательский NOI",N('Исходные данные'!$B$89),R5))/N('Исходные данные'!$B$80)*(1+N('Исходные данные'!$B$81))),0))</f>
        <v>0</v>
      </c>
      <c r="T5">
        <f>-S5*N('Исходные данные'!$B$73)</f>
        <v>0</v>
      </c>
      <c r="U5">
        <f>IF(S5=0,0,-N('Исходные данные'!$B$87)-IF('Исходные данные'!$B$82="Да",IF('Исходные данные'!$B$84="С выручки",S5,IF('Исходные данные'!$B$84="С прибыли",MAX(0,S5+T5-IF('Исходные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5">
        <f t="shared" si="3"/>
        <v>0</v>
      </c>
      <c r="W5">
        <f>IF(D5=1,Расчёты!AZ5+K5+N5+Q5+V5,0)</f>
        <v>0</v>
      </c>
      <c r="X5" t="str">
        <f t="shared" si="13"/>
        <v/>
      </c>
      <c r="Y5">
        <f>IF(OR(D5=0,'Исходные данные'!$B$9="",'Исходные данные'!$B$90=""),0,W5/(1+'Исходные данные'!$B$90)^((C5-'Исходные данные'!$B$9)/365))</f>
        <v>0</v>
      </c>
      <c r="Z5">
        <f>IF(D5=1,K5+Расчёты!O5+Расчёты!Q5+Расчёты!S5+Расчёты!U5+Расчёты!W5+Расчёты!X5+N5+Q5,0)</f>
        <v>0</v>
      </c>
      <c r="AA5">
        <f>IF(AND(D5=1,X5&gt;=0,X4&lt;0,MIN($X$2:X5)&lt;0),1,0)</f>
        <v>0</v>
      </c>
      <c r="AB5">
        <f>IF(Расчёты!F5=0,0,IF(Расчёты!G5=1,N('Сценарный анализ'!$C$5),IF(Расчёты!G5=2,N('Сценарный анализ'!$C$6),IF(Расчёты!G5=3,N('Сценарный анализ'!$C$7),N('Сценарный анализ'!$C$7)*(1+N('Сценарный анализ'!$C$8))^(Расчёты!G5-3)))))</f>
        <v>0</v>
      </c>
      <c r="AC5">
        <f>IF(OR(Расчёты!F5=0,N('Исходные данные'!$B$5)=0,AB5=0),0,N('Исходные данные'!$B$5)*AB5*IF(AND(B5&lt;='Исходные данные'!$B$30,Расчёты!C5&gt;='Исходные данные'!$B$30),(Расчёты!C5-'Исходные данные'!$B$30+1)/DAY(Расчёты!C5),1))</f>
        <v>0</v>
      </c>
      <c r="AD5">
        <f>IF(AND(Расчёты!F5&gt;0,Расчёты!F5&lt;=N('Исходные данные'!$B$37)),-AC5,0)</f>
        <v>0</v>
      </c>
      <c r="AE5">
        <f>IF(OR(Расчёты!F5=0,Расчёты!F5&lt;=N('Исходные данные'!$B$37)),0,-(AC5+AD5)*N('Сценарный анализ'!$C$9))</f>
        <v>0</v>
      </c>
      <c r="AF5">
        <f t="shared" si="4"/>
        <v>0</v>
      </c>
      <c r="AG5">
        <f>IF('Исходные данные'!$B$51="Да",AF5*N('Исходные данные'!$B$52),0)</f>
        <v>0</v>
      </c>
      <c r="AH5">
        <f t="shared" si="5"/>
        <v>0</v>
      </c>
      <c r="AI5">
        <f>AF5+(Расчёты!Y5-Расчёты!L5)</f>
        <v>0</v>
      </c>
      <c r="AJ5">
        <f t="shared" si="14"/>
        <v>0</v>
      </c>
      <c r="AK5">
        <f>IF('Исходные данные'!$B$51="Да",-MAX(0,AG5+Расчёты!R5+Расчёты!V5-Расчёты!P5-Расчёты!T5-AJ5),0)</f>
        <v>0</v>
      </c>
      <c r="AL5">
        <f>IF('Исходные данные'!$B$51="Да",MAX(0,AJ5+Расчёты!P5+Расчёты!T5-AG5-Расчёты!R5-Расчёты!V5),0)</f>
        <v>0</v>
      </c>
      <c r="AM5">
        <f>IF('Исходные данные'!$B$53="Выручка",MAX(0,AF5+(Расчёты!Q5-Расчёты!R5)+(Расчёты!U5-Расчёты!V5)),IF('Исходные данные'!$B$53="Прибыль до налога",MAX(0,AF5+(Расчёты!Q5-Расчёты!R5)+(Расчёты!U5-Расчёты!V5)+N('Исходные данные'!$B$54)*((Расчёты!O5+Расчёты!P5)+(Расчёты!S5+Расчёты!T5)+Расчёты!W5+Расчёты!X5)+IF('Исходные данные'!$B$55="Да",Расчёты!AG5,0)-N('Исходные данные'!$B$56)/12),IF('Исходные данные'!$B$53="Пользовательская база",MAX(0,N('Исходные данные'!$B$57)/12),0)))</f>
        <v>0</v>
      </c>
      <c r="AN5">
        <f>IF(D5=1,-AM5*N('Исходные данные'!$B$50),0)</f>
        <v>0</v>
      </c>
      <c r="AO5">
        <f t="shared" si="6"/>
        <v>0</v>
      </c>
      <c r="AP5">
        <f>IF(OR(D5&lt;&gt;1,B5="",'Исходные данные'!$B$91="",N('Исходные данные'!$B$80)&lt;=0,'Исходные данные'!$B$88=""),0,IF(AND(YEAR(B5)=YEAR('Исходные данные'!$B$91),MONTH(B5)=MONTH('Исходные данные'!$B$91)),MAX(0,IF('Исходные данные'!$B$88="Последние 12 месяцев",SUMIFS($AI$2:$AI$194,$B$2:$B$194,"&gt;="&amp;EDATE(B5,-11),$B$2:$B$194,"&lt;="&amp;B5),IF('Исходные данные'!$B$88="Пользовательский NOI",N('Исходные данные'!$B$89),AO5))/N('Исходные данные'!$B$80)*(1+N('Исходные данные'!$B$81))),0))</f>
        <v>0</v>
      </c>
      <c r="AQ5">
        <f>-AP5*N('Исходные данные'!$B$73)</f>
        <v>0</v>
      </c>
      <c r="AR5">
        <f>IF(AP5=0,0,-N('Исходные данные'!$B$87)-IF('Исходные данные'!$B$82="Да",IF('Исходные данные'!$B$84="С выручки",AP5,IF('Исходные данные'!$B$84="С прибыли",MAX(0,AP5+AQ5-IF('Исходные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5">
        <f t="shared" si="7"/>
        <v>0</v>
      </c>
      <c r="AT5">
        <f>IF(D5=1,Расчёты!AZ5+AH5+AK5+AN5+AS5,0)</f>
        <v>0</v>
      </c>
      <c r="AU5" t="str">
        <f t="shared" si="15"/>
        <v/>
      </c>
      <c r="AV5">
        <f>IF(OR(D5=0,'Исходные данные'!$B$9="",'Исходные данные'!$B$90=""),0,AT5/(1+'Исходные данные'!$B$90)^((C5-'Исходные данные'!$B$9)/365))</f>
        <v>0</v>
      </c>
      <c r="AW5">
        <f>IF(D5=1,AH5+Расчёты!O5+Расчёты!Q5+Расчёты!S5+Расчёты!U5+Расчёты!W5+Расчёты!X5+AK5+AN5,0)</f>
        <v>0</v>
      </c>
      <c r="AX5">
        <f>IF(AND(D5=1,AU5&gt;=0,AU4&lt;0,MIN($AU$2:AU5)&lt;0),1,0)</f>
        <v>0</v>
      </c>
      <c r="AY5">
        <f>IF(Расчёты!F5=0,0,IF(Расчёты!G5=1,N('Сценарный анализ'!$D$5),IF(Расчёты!G5=2,N('Сценарный анализ'!$D$6),IF(Расчёты!G5=3,N('Сценарный анализ'!$D$7),N('Сценарный анализ'!$D$7)*(1+N('Сценарный анализ'!$D$8))^(Расчёты!G5-3)))))</f>
        <v>0</v>
      </c>
      <c r="AZ5">
        <f>IF(OR(Расчёты!F5=0,N('Исходные данные'!$B$5)=0,AY5=0),0,N('Исходные данные'!$B$5)*AY5*IF(AND(B5&lt;='Исходные данные'!$B$30,Расчёты!C5&gt;='Исходные данные'!$B$30),(Расчёты!C5-'Исходные данные'!$B$30+1)/DAY(Расчёты!C5),1))</f>
        <v>0</v>
      </c>
      <c r="BA5">
        <f>IF(AND(Расчёты!F5&gt;0,Расчёты!F5&lt;=N('Исходные данные'!$B$37)),-AZ5,0)</f>
        <v>0</v>
      </c>
      <c r="BB5">
        <f>IF(OR(Расчёты!F5=0,Расчёты!F5&lt;=N('Исходные данные'!$B$37)),0,-(AZ5+BA5)*N('Сценарный анализ'!$D$9))</f>
        <v>0</v>
      </c>
      <c r="BC5">
        <f t="shared" si="8"/>
        <v>0</v>
      </c>
      <c r="BD5">
        <f>IF('Исходные данные'!$B$51="Да",BC5*N('Исходные данные'!$B$52),0)</f>
        <v>0</v>
      </c>
      <c r="BE5">
        <f t="shared" si="9"/>
        <v>0</v>
      </c>
      <c r="BF5">
        <f>BC5+(Расчёты!Y5-Расчёты!L5)</f>
        <v>0</v>
      </c>
      <c r="BG5">
        <f t="shared" si="16"/>
        <v>0</v>
      </c>
      <c r="BH5">
        <f>IF('Исходные данные'!$B$51="Да",-MAX(0,BD5+Расчёты!R5+Расчёты!V5-Расчёты!P5-Расчёты!T5-BG5),0)</f>
        <v>0</v>
      </c>
      <c r="BI5">
        <f>IF('Исходные данные'!$B$51="Да",MAX(0,BG5+Расчёты!P5+Расчёты!T5-BD5-Расчёты!R5-Расчёты!V5),0)</f>
        <v>0</v>
      </c>
      <c r="BJ5">
        <f>IF('Исходные данные'!$B$53="Выручка",MAX(0,BC5+(Расчёты!Q5-Расчёты!R5)+(Расчёты!U5-Расчёты!V5)),IF('Исходные данные'!$B$53="Прибыль до налога",MAX(0,BC5+(Расчёты!Q5-Расчёты!R5)+(Расчёты!U5-Расчёты!V5)+N('Исходные данные'!$B$54)*((Расчёты!O5+Расчёты!P5)+(Расчёты!S5+Расчёты!T5)+Расчёты!W5+Расчёты!X5)+IF('Исходные данные'!$B$55="Да",Расчёты!AG5,0)-N('Исходные данные'!$B$56)/12),IF('Исходные данные'!$B$53="Пользовательская база",MAX(0,N('Исходные данные'!$B$57)/12),0)))</f>
        <v>0</v>
      </c>
      <c r="BK5">
        <f>IF(D5=1,-BJ5*N('Исходные данные'!$B$50),0)</f>
        <v>0</v>
      </c>
      <c r="BL5">
        <f t="shared" si="10"/>
        <v>0</v>
      </c>
      <c r="BM5">
        <f>IF(OR(D5&lt;&gt;1,B5="",'Исходные данные'!$B$91="",N('Исходные данные'!$B$80)&lt;=0,'Исходные данные'!$B$88=""),0,IF(AND(YEAR(B5)=YEAR('Исходные данные'!$B$91),MONTH(B5)=MONTH('Исходные данные'!$B$91)),MAX(0,IF('Исходные данные'!$B$88="Последние 12 месяцев",SUMIFS($BF$2:$BF$194,$B$2:$B$194,"&gt;="&amp;EDATE(B5,-11),$B$2:$B$194,"&lt;="&amp;B5),IF('Исходные данные'!$B$88="Пользовательский NOI",N('Исходные данные'!$B$89),BL5))/N('Исходные данные'!$B$80)*(1+N('Исходные данные'!$B$81))),0))</f>
        <v>0</v>
      </c>
      <c r="BN5">
        <f>-BM5*N('Исходные данные'!$B$73)</f>
        <v>0</v>
      </c>
      <c r="BO5">
        <f>IF(BM5=0,0,-N('Исходные данные'!$B$87)-IF('Исходные данные'!$B$82="Да",IF('Исходные данные'!$B$84="С выручки",BM5,IF('Исходные данные'!$B$84="С прибыли",MAX(0,BM5+BN5-IF('Исходные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5">
        <f t="shared" si="11"/>
        <v>0</v>
      </c>
      <c r="BQ5">
        <f>IF(D5=1,Расчёты!AZ5+BE5+BH5+BK5+BP5,0)</f>
        <v>0</v>
      </c>
      <c r="BR5" t="str">
        <f t="shared" si="17"/>
        <v/>
      </c>
      <c r="BS5">
        <f>IF(OR(D5=0,'Исходные данные'!$B$9="",'Исходные данные'!$B$90=""),0,BQ5/(1+'Исходные данные'!$B$90)^((C5-'Исходные данные'!$B$9)/365))</f>
        <v>0</v>
      </c>
      <c r="BT5">
        <f>IF(D5=1,BE5+Расчёты!O5+Расчёты!Q5+Расчёты!S5+Расчёты!U5+Расчёты!W5+Расчёты!X5+BH5+BK5,0)</f>
        <v>0</v>
      </c>
      <c r="BU5">
        <f>IF(AND(D5=1,BR5&gt;=0,BR4&lt;0,MIN($BR$2:BR5)&lt;0),1,0)</f>
        <v>0</v>
      </c>
      <c r="BV5">
        <f>Расчёты!AZ5+K5+N5-P5*N('Исходные данные'!$B$50)</f>
        <v>0</v>
      </c>
      <c r="BW5">
        <f t="shared" si="18"/>
        <v>0</v>
      </c>
      <c r="BX5">
        <f>IF(AND(BW5&gt;=0,BW4&lt;0,MIN($BW$2:BW5)&lt;0),1,0)</f>
        <v>0</v>
      </c>
      <c r="BY5">
        <f>Расчёты!AZ5+AH5+AK5-AM5*N('Исходные данные'!$B$50)</f>
        <v>0</v>
      </c>
      <c r="BZ5">
        <f t="shared" si="19"/>
        <v>0</v>
      </c>
      <c r="CA5">
        <f>IF(AND(BZ5&gt;=0,BZ4&lt;0,MIN($BZ$2:BZ5)&lt;0),1,0)</f>
        <v>0</v>
      </c>
      <c r="CB5">
        <f>Расчёты!AZ5+BE5+BH5-BJ5*N('Исходные данные'!$B$50)</f>
        <v>0</v>
      </c>
      <c r="CC5">
        <f t="shared" si="20"/>
        <v>0</v>
      </c>
      <c r="CD5">
        <f>IF(AND(CC5&gt;=0,CC4&lt;0,MIN($CC$2:CC5)&lt;0),1,0)</f>
        <v>0</v>
      </c>
    </row>
    <row r="6" spans="1:82" x14ac:dyDescent="0.2">
      <c r="A6">
        <f>Расчёты!A6</f>
        <v>5</v>
      </c>
      <c r="B6" t="str">
        <f>Расчёты!B6</f>
        <v/>
      </c>
      <c r="C6" t="str">
        <f>Расчёты!D6</f>
        <v/>
      </c>
      <c r="D6">
        <f>Расчёты!E6</f>
        <v>0</v>
      </c>
      <c r="E6">
        <f>IF(Расчёты!F6=0,0,IF(Расчёты!G6=1,N('Сценарный анализ'!$B$5),IF(Расчёты!G6=2,N('Сценарный анализ'!$B$6),IF(Расчёты!G6=3,N('Сценарный анализ'!$B$7),N('Сценарный анализ'!$B$7)*(1+N('Сценарный анализ'!$B$8))^(Расчёты!G6-3)))))</f>
        <v>0</v>
      </c>
      <c r="F6">
        <f>IF(OR(Расчёты!F6=0,N('Исходные данные'!$B$5)=0,E6=0),0,N('Исходные данные'!$B$5)*E6*IF(AND(B6&lt;='Исходные данные'!$B$30,Расчёты!C6&gt;='Исходные данные'!$B$30),(Расчёты!C6-'Исходные данные'!$B$30+1)/DAY(Расчёты!C6),1))</f>
        <v>0</v>
      </c>
      <c r="G6">
        <f>IF(AND(Расчёты!F6&gt;0,Расчёты!F6&lt;=N('Исходные данные'!$B$37)),-F6,0)</f>
        <v>0</v>
      </c>
      <c r="H6">
        <f>IF(OR(Расчёты!F6=0,Расчёты!F6&lt;=N('Исходные данные'!$B$37)),0,-(F6+G6)*N('Сценарный анализ'!$B$9))</f>
        <v>0</v>
      </c>
      <c r="I6">
        <f t="shared" si="0"/>
        <v>0</v>
      </c>
      <c r="J6">
        <f>IF('Исходные данные'!$B$51="Да",I6*N('Исходные данные'!$B$52),0)</f>
        <v>0</v>
      </c>
      <c r="K6">
        <f t="shared" si="1"/>
        <v>0</v>
      </c>
      <c r="L6">
        <f>I6+(Расчёты!Y6-Расчёты!L6)</f>
        <v>0</v>
      </c>
      <c r="M6">
        <f t="shared" si="12"/>
        <v>0</v>
      </c>
      <c r="N6">
        <f>IF('Исходные данные'!$B$51="Да",-MAX(0,J6+Расчёты!R6+Расчёты!V6-Расчёты!P6-Расчёты!T6-M6),0)</f>
        <v>0</v>
      </c>
      <c r="O6">
        <f>IF('Исходные данные'!$B$51="Да",MAX(0,M6+Расчёты!P6+Расчёты!T6-J6-Расчёты!R6-Расчёты!V6),0)</f>
        <v>0</v>
      </c>
      <c r="P6">
        <f>IF('Исходные данные'!$B$53="Выручка",MAX(0,I6+(Расчёты!Q6-Расчёты!R6)+(Расчёты!U6-Расчёты!V6)),IF('Исходные данные'!$B$53="Прибыль до налога",MAX(0,I6+(Расчёты!Q6-Расчёты!R6)+(Расчёты!U6-Расчёты!V6)+N('Исходные данные'!$B$54)*((Расчёты!O6+Расчёты!P6)+(Расчёты!S6+Расчёты!T6)+Расчёты!W6+Расчёты!X6)+IF('Исходные данные'!$B$55="Да",Расчёты!AG6,0)-N('Исходные данные'!$B$56)/12),IF('Исходные данные'!$B$53="Пользовательская база",MAX(0,N('Исходные данные'!$B$57)/12),0)))</f>
        <v>0</v>
      </c>
      <c r="Q6">
        <f>IF(D6=1,-P6*N('Исходные данные'!$B$50),0)</f>
        <v>0</v>
      </c>
      <c r="R6">
        <f t="shared" si="2"/>
        <v>0</v>
      </c>
      <c r="S6">
        <f>IF(OR(D6&lt;&gt;1,B6="",'Исходные данные'!$B$91="",N('Исходные данные'!$B$80)&lt;=0,'Исходные данные'!$B$88=""),0,IF(AND(YEAR(B6)=YEAR('Исходные данные'!$B$91),MONTH(B6)=MONTH('Исходные данные'!$B$91)),MAX(0,IF('Исходные данные'!$B$88="Последние 12 месяцев",SUMIFS($L$2:$L$194,$B$2:$B$194,"&gt;="&amp;EDATE(B6,-11),$B$2:$B$194,"&lt;="&amp;B6),IF('Исходные данные'!$B$88="Пользовательский NOI",N('Исходные данные'!$B$89),R6))/N('Исходные данные'!$B$80)*(1+N('Исходные данные'!$B$81))),0))</f>
        <v>0</v>
      </c>
      <c r="T6">
        <f>-S6*N('Исходные данные'!$B$73)</f>
        <v>0</v>
      </c>
      <c r="U6">
        <f>IF(S6=0,0,-N('Исходные данные'!$B$87)-IF('Исходные данные'!$B$82="Да",IF('Исходные данные'!$B$84="С выручки",S6,IF('Исходные данные'!$B$84="С прибыли",MAX(0,S6+T6-IF('Исходные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6">
        <f t="shared" si="3"/>
        <v>0</v>
      </c>
      <c r="W6">
        <f>IF(D6=1,Расчёты!AZ6+K6+N6+Q6+V6,0)</f>
        <v>0</v>
      </c>
      <c r="X6" t="str">
        <f t="shared" si="13"/>
        <v/>
      </c>
      <c r="Y6">
        <f>IF(OR(D6=0,'Исходные данные'!$B$9="",'Исходные данные'!$B$90=""),0,W6/(1+'Исходные данные'!$B$90)^((C6-'Исходные данные'!$B$9)/365))</f>
        <v>0</v>
      </c>
      <c r="Z6">
        <f>IF(D6=1,K6+Расчёты!O6+Расчёты!Q6+Расчёты!S6+Расчёты!U6+Расчёты!W6+Расчёты!X6+N6+Q6,0)</f>
        <v>0</v>
      </c>
      <c r="AA6">
        <f>IF(AND(D6=1,X6&gt;=0,X5&lt;0,MIN($X$2:X6)&lt;0),1,0)</f>
        <v>0</v>
      </c>
      <c r="AB6">
        <f>IF(Расчёты!F6=0,0,IF(Расчёты!G6=1,N('Сценарный анализ'!$C$5),IF(Расчёты!G6=2,N('Сценарный анализ'!$C$6),IF(Расчёты!G6=3,N('Сценарный анализ'!$C$7),N('Сценарный анализ'!$C$7)*(1+N('Сценарный анализ'!$C$8))^(Расчёты!G6-3)))))</f>
        <v>0</v>
      </c>
      <c r="AC6">
        <f>IF(OR(Расчёты!F6=0,N('Исходные данные'!$B$5)=0,AB6=0),0,N('Исходные данные'!$B$5)*AB6*IF(AND(B6&lt;='Исходные данные'!$B$30,Расчёты!C6&gt;='Исходные данные'!$B$30),(Расчёты!C6-'Исходные данные'!$B$30+1)/DAY(Расчёты!C6),1))</f>
        <v>0</v>
      </c>
      <c r="AD6">
        <f>IF(AND(Расчёты!F6&gt;0,Расчёты!F6&lt;=N('Исходные данные'!$B$37)),-AC6,0)</f>
        <v>0</v>
      </c>
      <c r="AE6">
        <f>IF(OR(Расчёты!F6=0,Расчёты!F6&lt;=N('Исходные данные'!$B$37)),0,-(AC6+AD6)*N('Сценарный анализ'!$C$9))</f>
        <v>0</v>
      </c>
      <c r="AF6">
        <f t="shared" si="4"/>
        <v>0</v>
      </c>
      <c r="AG6">
        <f>IF('Исходные данные'!$B$51="Да",AF6*N('Исходные данные'!$B$52),0)</f>
        <v>0</v>
      </c>
      <c r="AH6">
        <f t="shared" si="5"/>
        <v>0</v>
      </c>
      <c r="AI6">
        <f>AF6+(Расчёты!Y6-Расчёты!L6)</f>
        <v>0</v>
      </c>
      <c r="AJ6">
        <f t="shared" si="14"/>
        <v>0</v>
      </c>
      <c r="AK6">
        <f>IF('Исходные данные'!$B$51="Да",-MAX(0,AG6+Расчёты!R6+Расчёты!V6-Расчёты!P6-Расчёты!T6-AJ6),0)</f>
        <v>0</v>
      </c>
      <c r="AL6">
        <f>IF('Исходные данные'!$B$51="Да",MAX(0,AJ6+Расчёты!P6+Расчёты!T6-AG6-Расчёты!R6-Расчёты!V6),0)</f>
        <v>0</v>
      </c>
      <c r="AM6">
        <f>IF('Исходные данные'!$B$53="Выручка",MAX(0,AF6+(Расчёты!Q6-Расчёты!R6)+(Расчёты!U6-Расчёты!V6)),IF('Исходные данные'!$B$53="Прибыль до налога",MAX(0,AF6+(Расчёты!Q6-Расчёты!R6)+(Расчёты!U6-Расчёты!V6)+N('Исходные данные'!$B$54)*((Расчёты!O6+Расчёты!P6)+(Расчёты!S6+Расчёты!T6)+Расчёты!W6+Расчёты!X6)+IF('Исходные данные'!$B$55="Да",Расчёты!AG6,0)-N('Исходные данные'!$B$56)/12),IF('Исходные данные'!$B$53="Пользовательская база",MAX(0,N('Исходные данные'!$B$57)/12),0)))</f>
        <v>0</v>
      </c>
      <c r="AN6">
        <f>IF(D6=1,-AM6*N('Исходные данные'!$B$50),0)</f>
        <v>0</v>
      </c>
      <c r="AO6">
        <f t="shared" si="6"/>
        <v>0</v>
      </c>
      <c r="AP6">
        <f>IF(OR(D6&lt;&gt;1,B6="",'Исходные данные'!$B$91="",N('Исходные данные'!$B$80)&lt;=0,'Исходные данные'!$B$88=""),0,IF(AND(YEAR(B6)=YEAR('Исходные данные'!$B$91),MONTH(B6)=MONTH('Исходные данные'!$B$91)),MAX(0,IF('Исходные данные'!$B$88="Последние 12 месяцев",SUMIFS($AI$2:$AI$194,$B$2:$B$194,"&gt;="&amp;EDATE(B6,-11),$B$2:$B$194,"&lt;="&amp;B6),IF('Исходные данные'!$B$88="Пользовательский NOI",N('Исходные данные'!$B$89),AO6))/N('Исходные данные'!$B$80)*(1+N('Исходные данные'!$B$81))),0))</f>
        <v>0</v>
      </c>
      <c r="AQ6">
        <f>-AP6*N('Исходные данные'!$B$73)</f>
        <v>0</v>
      </c>
      <c r="AR6">
        <f>IF(AP6=0,0,-N('Исходные данные'!$B$87)-IF('Исходные данные'!$B$82="Да",IF('Исходные данные'!$B$84="С выручки",AP6,IF('Исходные данные'!$B$84="С прибыли",MAX(0,AP6+AQ6-IF('Исходные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6">
        <f t="shared" si="7"/>
        <v>0</v>
      </c>
      <c r="AT6">
        <f>IF(D6=1,Расчёты!AZ6+AH6+AK6+AN6+AS6,0)</f>
        <v>0</v>
      </c>
      <c r="AU6" t="str">
        <f t="shared" si="15"/>
        <v/>
      </c>
      <c r="AV6">
        <f>IF(OR(D6=0,'Исходные данные'!$B$9="",'Исходные данные'!$B$90=""),0,AT6/(1+'Исходные данные'!$B$90)^((C6-'Исходные данные'!$B$9)/365))</f>
        <v>0</v>
      </c>
      <c r="AW6">
        <f>IF(D6=1,AH6+Расчёты!O6+Расчёты!Q6+Расчёты!S6+Расчёты!U6+Расчёты!W6+Расчёты!X6+AK6+AN6,0)</f>
        <v>0</v>
      </c>
      <c r="AX6">
        <f>IF(AND(D6=1,AU6&gt;=0,AU5&lt;0,MIN($AU$2:AU6)&lt;0),1,0)</f>
        <v>0</v>
      </c>
      <c r="AY6">
        <f>IF(Расчёты!F6=0,0,IF(Расчёты!G6=1,N('Сценарный анализ'!$D$5),IF(Расчёты!G6=2,N('Сценарный анализ'!$D$6),IF(Расчёты!G6=3,N('Сценарный анализ'!$D$7),N('Сценарный анализ'!$D$7)*(1+N('Сценарный анализ'!$D$8))^(Расчёты!G6-3)))))</f>
        <v>0</v>
      </c>
      <c r="AZ6">
        <f>IF(OR(Расчёты!F6=0,N('Исходные данные'!$B$5)=0,AY6=0),0,N('Исходные данные'!$B$5)*AY6*IF(AND(B6&lt;='Исходные данные'!$B$30,Расчёты!C6&gt;='Исходные данные'!$B$30),(Расчёты!C6-'Исходные данные'!$B$30+1)/DAY(Расчёты!C6),1))</f>
        <v>0</v>
      </c>
      <c r="BA6">
        <f>IF(AND(Расчёты!F6&gt;0,Расчёты!F6&lt;=N('Исходные данные'!$B$37)),-AZ6,0)</f>
        <v>0</v>
      </c>
      <c r="BB6">
        <f>IF(OR(Расчёты!F6=0,Расчёты!F6&lt;=N('Исходные данные'!$B$37)),0,-(AZ6+BA6)*N('Сценарный анализ'!$D$9))</f>
        <v>0</v>
      </c>
      <c r="BC6">
        <f t="shared" si="8"/>
        <v>0</v>
      </c>
      <c r="BD6">
        <f>IF('Исходные данные'!$B$51="Да",BC6*N('Исходные данные'!$B$52),0)</f>
        <v>0</v>
      </c>
      <c r="BE6">
        <f t="shared" si="9"/>
        <v>0</v>
      </c>
      <c r="BF6">
        <f>BC6+(Расчёты!Y6-Расчёты!L6)</f>
        <v>0</v>
      </c>
      <c r="BG6">
        <f t="shared" si="16"/>
        <v>0</v>
      </c>
      <c r="BH6">
        <f>IF('Исходные данные'!$B$51="Да",-MAX(0,BD6+Расчёты!R6+Расчёты!V6-Расчёты!P6-Расчёты!T6-BG6),0)</f>
        <v>0</v>
      </c>
      <c r="BI6">
        <f>IF('Исходные данные'!$B$51="Да",MAX(0,BG6+Расчёты!P6+Расчёты!T6-BD6-Расчёты!R6-Расчёты!V6),0)</f>
        <v>0</v>
      </c>
      <c r="BJ6">
        <f>IF('Исходные данные'!$B$53="Выручка",MAX(0,BC6+(Расчёты!Q6-Расчёты!R6)+(Расчёты!U6-Расчёты!V6)),IF('Исходные данные'!$B$53="Прибыль до налога",MAX(0,BC6+(Расчёты!Q6-Расчёты!R6)+(Расчёты!U6-Расчёты!V6)+N('Исходные данные'!$B$54)*((Расчёты!O6+Расчёты!P6)+(Расчёты!S6+Расчёты!T6)+Расчёты!W6+Расчёты!X6)+IF('Исходные данные'!$B$55="Да",Расчёты!AG6,0)-N('Исходные данные'!$B$56)/12),IF('Исходные данные'!$B$53="Пользовательская база",MAX(0,N('Исходные данные'!$B$57)/12),0)))</f>
        <v>0</v>
      </c>
      <c r="BK6">
        <f>IF(D6=1,-BJ6*N('Исходные данные'!$B$50),0)</f>
        <v>0</v>
      </c>
      <c r="BL6">
        <f t="shared" si="10"/>
        <v>0</v>
      </c>
      <c r="BM6">
        <f>IF(OR(D6&lt;&gt;1,B6="",'Исходные данные'!$B$91="",N('Исходные данные'!$B$80)&lt;=0,'Исходные данные'!$B$88=""),0,IF(AND(YEAR(B6)=YEAR('Исходные данные'!$B$91),MONTH(B6)=MONTH('Исходные данные'!$B$91)),MAX(0,IF('Исходные данные'!$B$88="Последние 12 месяцев",SUMIFS($BF$2:$BF$194,$B$2:$B$194,"&gt;="&amp;EDATE(B6,-11),$B$2:$B$194,"&lt;="&amp;B6),IF('Исходные данные'!$B$88="Пользовательский NOI",N('Исходные данные'!$B$89),BL6))/N('Исходные данные'!$B$80)*(1+N('Исходные данные'!$B$81))),0))</f>
        <v>0</v>
      </c>
      <c r="BN6">
        <f>-BM6*N('Исходные данные'!$B$73)</f>
        <v>0</v>
      </c>
      <c r="BO6">
        <f>IF(BM6=0,0,-N('Исходные данные'!$B$87)-IF('Исходные данные'!$B$82="Да",IF('Исходные данные'!$B$84="С выручки",BM6,IF('Исходные данные'!$B$84="С прибыли",MAX(0,BM6+BN6-IF('Исходные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6">
        <f t="shared" si="11"/>
        <v>0</v>
      </c>
      <c r="BQ6">
        <f>IF(D6=1,Расчёты!AZ6+BE6+BH6+BK6+BP6,0)</f>
        <v>0</v>
      </c>
      <c r="BR6" t="str">
        <f t="shared" si="17"/>
        <v/>
      </c>
      <c r="BS6">
        <f>IF(OR(D6=0,'Исходные данные'!$B$9="",'Исходные данные'!$B$90=""),0,BQ6/(1+'Исходные данные'!$B$90)^((C6-'Исходные данные'!$B$9)/365))</f>
        <v>0</v>
      </c>
      <c r="BT6">
        <f>IF(D6=1,BE6+Расчёты!O6+Расчёты!Q6+Расчёты!S6+Расчёты!U6+Расчёты!W6+Расчёты!X6+BH6+BK6,0)</f>
        <v>0</v>
      </c>
      <c r="BU6">
        <f>IF(AND(D6=1,BR6&gt;=0,BR5&lt;0,MIN($BR$2:BR6)&lt;0),1,0)</f>
        <v>0</v>
      </c>
      <c r="BV6">
        <f>Расчёты!AZ6+K6+N6-P6*N('Исходные данные'!$B$50)</f>
        <v>0</v>
      </c>
      <c r="BW6">
        <f t="shared" si="18"/>
        <v>0</v>
      </c>
      <c r="BX6">
        <f>IF(AND(BW6&gt;=0,BW5&lt;0,MIN($BW$2:BW6)&lt;0),1,0)</f>
        <v>0</v>
      </c>
      <c r="BY6">
        <f>Расчёты!AZ6+AH6+AK6-AM6*N('Исходные данные'!$B$50)</f>
        <v>0</v>
      </c>
      <c r="BZ6">
        <f t="shared" si="19"/>
        <v>0</v>
      </c>
      <c r="CA6">
        <f>IF(AND(BZ6&gt;=0,BZ5&lt;0,MIN($BZ$2:BZ6)&lt;0),1,0)</f>
        <v>0</v>
      </c>
      <c r="CB6">
        <f>Расчёты!AZ6+BE6+BH6-BJ6*N('Исходные данные'!$B$50)</f>
        <v>0</v>
      </c>
      <c r="CC6">
        <f t="shared" si="20"/>
        <v>0</v>
      </c>
      <c r="CD6">
        <f>IF(AND(CC6&gt;=0,CC5&lt;0,MIN($CC$2:CC6)&lt;0),1,0)</f>
        <v>0</v>
      </c>
    </row>
    <row r="7" spans="1:82" x14ac:dyDescent="0.2">
      <c r="A7">
        <f>Расчёты!A7</f>
        <v>6</v>
      </c>
      <c r="B7" t="str">
        <f>Расчёты!B7</f>
        <v/>
      </c>
      <c r="C7" t="str">
        <f>Расчёты!D7</f>
        <v/>
      </c>
      <c r="D7">
        <f>Расчёты!E7</f>
        <v>0</v>
      </c>
      <c r="E7">
        <f>IF(Расчёты!F7=0,0,IF(Расчёты!G7=1,N('Сценарный анализ'!$B$5),IF(Расчёты!G7=2,N('Сценарный анализ'!$B$6),IF(Расчёты!G7=3,N('Сценарный анализ'!$B$7),N('Сценарный анализ'!$B$7)*(1+N('Сценарный анализ'!$B$8))^(Расчёты!G7-3)))))</f>
        <v>0</v>
      </c>
      <c r="F7">
        <f>IF(OR(Расчёты!F7=0,N('Исходные данные'!$B$5)=0,E7=0),0,N('Исходные данные'!$B$5)*E7*IF(AND(B7&lt;='Исходные данные'!$B$30,Расчёты!C7&gt;='Исходные данные'!$B$30),(Расчёты!C7-'Исходные данные'!$B$30+1)/DAY(Расчёты!C7),1))</f>
        <v>0</v>
      </c>
      <c r="G7">
        <f>IF(AND(Расчёты!F7&gt;0,Расчёты!F7&lt;=N('Исходные данные'!$B$37)),-F7,0)</f>
        <v>0</v>
      </c>
      <c r="H7">
        <f>IF(OR(Расчёты!F7=0,Расчёты!F7&lt;=N('Исходные данные'!$B$37)),0,-(F7+G7)*N('Сценарный анализ'!$B$9))</f>
        <v>0</v>
      </c>
      <c r="I7">
        <f t="shared" si="0"/>
        <v>0</v>
      </c>
      <c r="J7">
        <f>IF('Исходные данные'!$B$51="Да",I7*N('Исходные данные'!$B$52),0)</f>
        <v>0</v>
      </c>
      <c r="K7">
        <f t="shared" si="1"/>
        <v>0</v>
      </c>
      <c r="L7">
        <f>I7+(Расчёты!Y7-Расчёты!L7)</f>
        <v>0</v>
      </c>
      <c r="M7">
        <f t="shared" si="12"/>
        <v>0</v>
      </c>
      <c r="N7">
        <f>IF('Исходные данные'!$B$51="Да",-MAX(0,J7+Расчёты!R7+Расчёты!V7-Расчёты!P7-Расчёты!T7-M7),0)</f>
        <v>0</v>
      </c>
      <c r="O7">
        <f>IF('Исходные данные'!$B$51="Да",MAX(0,M7+Расчёты!P7+Расчёты!T7-J7-Расчёты!R7-Расчёты!V7),0)</f>
        <v>0</v>
      </c>
      <c r="P7">
        <f>IF('Исходные данные'!$B$53="Выручка",MAX(0,I7+(Расчёты!Q7-Расчёты!R7)+(Расчёты!U7-Расчёты!V7)),IF('Исходные данные'!$B$53="Прибыль до налога",MAX(0,I7+(Расчёты!Q7-Расчёты!R7)+(Расчёты!U7-Расчёты!V7)+N('Исходные данные'!$B$54)*((Расчёты!O7+Расчёты!P7)+(Расчёты!S7+Расчёты!T7)+Расчёты!W7+Расчёты!X7)+IF('Исходные данные'!$B$55="Да",Расчёты!AG7,0)-N('Исходные данные'!$B$56)/12),IF('Исходные данные'!$B$53="Пользовательская база",MAX(0,N('Исходные данные'!$B$57)/12),0)))</f>
        <v>0</v>
      </c>
      <c r="Q7">
        <f>IF(D7=1,-P7*N('Исходные данные'!$B$50),0)</f>
        <v>0</v>
      </c>
      <c r="R7">
        <f t="shared" si="2"/>
        <v>0</v>
      </c>
      <c r="S7">
        <f>IF(OR(D7&lt;&gt;1,B7="",'Исходные данные'!$B$91="",N('Исходные данные'!$B$80)&lt;=0,'Исходные данные'!$B$88=""),0,IF(AND(YEAR(B7)=YEAR('Исходные данные'!$B$91),MONTH(B7)=MONTH('Исходные данные'!$B$91)),MAX(0,IF('Исходные данные'!$B$88="Последние 12 месяцев",SUMIFS($L$2:$L$194,$B$2:$B$194,"&gt;="&amp;EDATE(B7,-11),$B$2:$B$194,"&lt;="&amp;B7),IF('Исходные данные'!$B$88="Пользовательский NOI",N('Исходные данные'!$B$89),R7))/N('Исходные данные'!$B$80)*(1+N('Исходные данные'!$B$81))),0))</f>
        <v>0</v>
      </c>
      <c r="T7">
        <f>-S7*N('Исходные данные'!$B$73)</f>
        <v>0</v>
      </c>
      <c r="U7">
        <f>IF(S7=0,0,-N('Исходные данные'!$B$87)-IF('Исходные данные'!$B$82="Да",IF('Исходные данные'!$B$84="С выручки",S7,IF('Исходные данные'!$B$84="С прибыли",MAX(0,S7+T7-IF('Исходные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7">
        <f t="shared" si="3"/>
        <v>0</v>
      </c>
      <c r="W7">
        <f>IF(D7=1,Расчёты!AZ7+K7+N7+Q7+V7,0)</f>
        <v>0</v>
      </c>
      <c r="X7" t="str">
        <f t="shared" si="13"/>
        <v/>
      </c>
      <c r="Y7">
        <f>IF(OR(D7=0,'Исходные данные'!$B$9="",'Исходные данные'!$B$90=""),0,W7/(1+'Исходные данные'!$B$90)^((C7-'Исходные данные'!$B$9)/365))</f>
        <v>0</v>
      </c>
      <c r="Z7">
        <f>IF(D7=1,K7+Расчёты!O7+Расчёты!Q7+Расчёты!S7+Расчёты!U7+Расчёты!W7+Расчёты!X7+N7+Q7,0)</f>
        <v>0</v>
      </c>
      <c r="AA7">
        <f>IF(AND(D7=1,X7&gt;=0,X6&lt;0,MIN($X$2:X7)&lt;0),1,0)</f>
        <v>0</v>
      </c>
      <c r="AB7">
        <f>IF(Расчёты!F7=0,0,IF(Расчёты!G7=1,N('Сценарный анализ'!$C$5),IF(Расчёты!G7=2,N('Сценарный анализ'!$C$6),IF(Расчёты!G7=3,N('Сценарный анализ'!$C$7),N('Сценарный анализ'!$C$7)*(1+N('Сценарный анализ'!$C$8))^(Расчёты!G7-3)))))</f>
        <v>0</v>
      </c>
      <c r="AC7">
        <f>IF(OR(Расчёты!F7=0,N('Исходные данные'!$B$5)=0,AB7=0),0,N('Исходные данные'!$B$5)*AB7*IF(AND(B7&lt;='Исходные данные'!$B$30,Расчёты!C7&gt;='Исходные данные'!$B$30),(Расчёты!C7-'Исходные данные'!$B$30+1)/DAY(Расчёты!C7),1))</f>
        <v>0</v>
      </c>
      <c r="AD7">
        <f>IF(AND(Расчёты!F7&gt;0,Расчёты!F7&lt;=N('Исходные данные'!$B$37)),-AC7,0)</f>
        <v>0</v>
      </c>
      <c r="AE7">
        <f>IF(OR(Расчёты!F7=0,Расчёты!F7&lt;=N('Исходные данные'!$B$37)),0,-(AC7+AD7)*N('Сценарный анализ'!$C$9))</f>
        <v>0</v>
      </c>
      <c r="AF7">
        <f t="shared" si="4"/>
        <v>0</v>
      </c>
      <c r="AG7">
        <f>IF('Исходные данные'!$B$51="Да",AF7*N('Исходные данные'!$B$52),0)</f>
        <v>0</v>
      </c>
      <c r="AH7">
        <f t="shared" si="5"/>
        <v>0</v>
      </c>
      <c r="AI7">
        <f>AF7+(Расчёты!Y7-Расчёты!L7)</f>
        <v>0</v>
      </c>
      <c r="AJ7">
        <f t="shared" si="14"/>
        <v>0</v>
      </c>
      <c r="AK7">
        <f>IF('Исходные данные'!$B$51="Да",-MAX(0,AG7+Расчёты!R7+Расчёты!V7-Расчёты!P7-Расчёты!T7-AJ7),0)</f>
        <v>0</v>
      </c>
      <c r="AL7">
        <f>IF('Исходные данные'!$B$51="Да",MAX(0,AJ7+Расчёты!P7+Расчёты!T7-AG7-Расчёты!R7-Расчёты!V7),0)</f>
        <v>0</v>
      </c>
      <c r="AM7">
        <f>IF('Исходные данные'!$B$53="Выручка",MAX(0,AF7+(Расчёты!Q7-Расчёты!R7)+(Расчёты!U7-Расчёты!V7)),IF('Исходные данные'!$B$53="Прибыль до налога",MAX(0,AF7+(Расчёты!Q7-Расчёты!R7)+(Расчёты!U7-Расчёты!V7)+N('Исходные данные'!$B$54)*((Расчёты!O7+Расчёты!P7)+(Расчёты!S7+Расчёты!T7)+Расчёты!W7+Расчёты!X7)+IF('Исходные данные'!$B$55="Да",Расчёты!AG7,0)-N('Исходные данные'!$B$56)/12),IF('Исходные данные'!$B$53="Пользовательская база",MAX(0,N('Исходные данные'!$B$57)/12),0)))</f>
        <v>0</v>
      </c>
      <c r="AN7">
        <f>IF(D7=1,-AM7*N('Исходные данные'!$B$50),0)</f>
        <v>0</v>
      </c>
      <c r="AO7">
        <f t="shared" si="6"/>
        <v>0</v>
      </c>
      <c r="AP7">
        <f>IF(OR(D7&lt;&gt;1,B7="",'Исходные данные'!$B$91="",N('Исходные данные'!$B$80)&lt;=0,'Исходные данные'!$B$88=""),0,IF(AND(YEAR(B7)=YEAR('Исходные данные'!$B$91),MONTH(B7)=MONTH('Исходные данные'!$B$91)),MAX(0,IF('Исходные данные'!$B$88="Последние 12 месяцев",SUMIFS($AI$2:$AI$194,$B$2:$B$194,"&gt;="&amp;EDATE(B7,-11),$B$2:$B$194,"&lt;="&amp;B7),IF('Исходные данные'!$B$88="Пользовательский NOI",N('Исходные данные'!$B$89),AO7))/N('Исходные данные'!$B$80)*(1+N('Исходные данные'!$B$81))),0))</f>
        <v>0</v>
      </c>
      <c r="AQ7">
        <f>-AP7*N('Исходные данные'!$B$73)</f>
        <v>0</v>
      </c>
      <c r="AR7">
        <f>IF(AP7=0,0,-N('Исходные данные'!$B$87)-IF('Исходные данные'!$B$82="Да",IF('Исходные данные'!$B$84="С выручки",AP7,IF('Исходные данные'!$B$84="С прибыли",MAX(0,AP7+AQ7-IF('Исходные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7">
        <f t="shared" si="7"/>
        <v>0</v>
      </c>
      <c r="AT7">
        <f>IF(D7=1,Расчёты!AZ7+AH7+AK7+AN7+AS7,0)</f>
        <v>0</v>
      </c>
      <c r="AU7" t="str">
        <f t="shared" si="15"/>
        <v/>
      </c>
      <c r="AV7">
        <f>IF(OR(D7=0,'Исходные данные'!$B$9="",'Исходные данные'!$B$90=""),0,AT7/(1+'Исходные данные'!$B$90)^((C7-'Исходные данные'!$B$9)/365))</f>
        <v>0</v>
      </c>
      <c r="AW7">
        <f>IF(D7=1,AH7+Расчёты!O7+Расчёты!Q7+Расчёты!S7+Расчёты!U7+Расчёты!W7+Расчёты!X7+AK7+AN7,0)</f>
        <v>0</v>
      </c>
      <c r="AX7">
        <f>IF(AND(D7=1,AU7&gt;=0,AU6&lt;0,MIN($AU$2:AU7)&lt;0),1,0)</f>
        <v>0</v>
      </c>
      <c r="AY7">
        <f>IF(Расчёты!F7=0,0,IF(Расчёты!G7=1,N('Сценарный анализ'!$D$5),IF(Расчёты!G7=2,N('Сценарный анализ'!$D$6),IF(Расчёты!G7=3,N('Сценарный анализ'!$D$7),N('Сценарный анализ'!$D$7)*(1+N('Сценарный анализ'!$D$8))^(Расчёты!G7-3)))))</f>
        <v>0</v>
      </c>
      <c r="AZ7">
        <f>IF(OR(Расчёты!F7=0,N('Исходные данные'!$B$5)=0,AY7=0),0,N('Исходные данные'!$B$5)*AY7*IF(AND(B7&lt;='Исходные данные'!$B$30,Расчёты!C7&gt;='Исходные данные'!$B$30),(Расчёты!C7-'Исходные данные'!$B$30+1)/DAY(Расчёты!C7),1))</f>
        <v>0</v>
      </c>
      <c r="BA7">
        <f>IF(AND(Расчёты!F7&gt;0,Расчёты!F7&lt;=N('Исходные данные'!$B$37)),-AZ7,0)</f>
        <v>0</v>
      </c>
      <c r="BB7">
        <f>IF(OR(Расчёты!F7=0,Расчёты!F7&lt;=N('Исходные данные'!$B$37)),0,-(AZ7+BA7)*N('Сценарный анализ'!$D$9))</f>
        <v>0</v>
      </c>
      <c r="BC7">
        <f t="shared" si="8"/>
        <v>0</v>
      </c>
      <c r="BD7">
        <f>IF('Исходные данные'!$B$51="Да",BC7*N('Исходные данные'!$B$52),0)</f>
        <v>0</v>
      </c>
      <c r="BE7">
        <f t="shared" si="9"/>
        <v>0</v>
      </c>
      <c r="BF7">
        <f>BC7+(Расчёты!Y7-Расчёты!L7)</f>
        <v>0</v>
      </c>
      <c r="BG7">
        <f t="shared" si="16"/>
        <v>0</v>
      </c>
      <c r="BH7">
        <f>IF('Исходные данные'!$B$51="Да",-MAX(0,BD7+Расчёты!R7+Расчёты!V7-Расчёты!P7-Расчёты!T7-BG7),0)</f>
        <v>0</v>
      </c>
      <c r="BI7">
        <f>IF('Исходные данные'!$B$51="Да",MAX(0,BG7+Расчёты!P7+Расчёты!T7-BD7-Расчёты!R7-Расчёты!V7),0)</f>
        <v>0</v>
      </c>
      <c r="BJ7">
        <f>IF('Исходные данные'!$B$53="Выручка",MAX(0,BC7+(Расчёты!Q7-Расчёты!R7)+(Расчёты!U7-Расчёты!V7)),IF('Исходные данные'!$B$53="Прибыль до налога",MAX(0,BC7+(Расчёты!Q7-Расчёты!R7)+(Расчёты!U7-Расчёты!V7)+N('Исходные данные'!$B$54)*((Расчёты!O7+Расчёты!P7)+(Расчёты!S7+Расчёты!T7)+Расчёты!W7+Расчёты!X7)+IF('Исходные данные'!$B$55="Да",Расчёты!AG7,0)-N('Исходные данные'!$B$56)/12),IF('Исходные данные'!$B$53="Пользовательская база",MAX(0,N('Исходные данные'!$B$57)/12),0)))</f>
        <v>0</v>
      </c>
      <c r="BK7">
        <f>IF(D7=1,-BJ7*N('Исходные данные'!$B$50),0)</f>
        <v>0</v>
      </c>
      <c r="BL7">
        <f t="shared" si="10"/>
        <v>0</v>
      </c>
      <c r="BM7">
        <f>IF(OR(D7&lt;&gt;1,B7="",'Исходные данные'!$B$91="",N('Исходные данные'!$B$80)&lt;=0,'Исходные данные'!$B$88=""),0,IF(AND(YEAR(B7)=YEAR('Исходные данные'!$B$91),MONTH(B7)=MONTH('Исходные данные'!$B$91)),MAX(0,IF('Исходные данные'!$B$88="Последние 12 месяцев",SUMIFS($BF$2:$BF$194,$B$2:$B$194,"&gt;="&amp;EDATE(B7,-11),$B$2:$B$194,"&lt;="&amp;B7),IF('Исходные данные'!$B$88="Пользовательский NOI",N('Исходные данные'!$B$89),BL7))/N('Исходные данные'!$B$80)*(1+N('Исходные данные'!$B$81))),0))</f>
        <v>0</v>
      </c>
      <c r="BN7">
        <f>-BM7*N('Исходные данные'!$B$73)</f>
        <v>0</v>
      </c>
      <c r="BO7">
        <f>IF(BM7=0,0,-N('Исходные данные'!$B$87)-IF('Исходные данные'!$B$82="Да",IF('Исходные данные'!$B$84="С выручки",BM7,IF('Исходные данные'!$B$84="С прибыли",MAX(0,BM7+BN7-IF('Исходные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7">
        <f t="shared" si="11"/>
        <v>0</v>
      </c>
      <c r="BQ7">
        <f>IF(D7=1,Расчёты!AZ7+BE7+BH7+BK7+BP7,0)</f>
        <v>0</v>
      </c>
      <c r="BR7" t="str">
        <f t="shared" si="17"/>
        <v/>
      </c>
      <c r="BS7">
        <f>IF(OR(D7=0,'Исходные данные'!$B$9="",'Исходные данные'!$B$90=""),0,BQ7/(1+'Исходные данные'!$B$90)^((C7-'Исходные данные'!$B$9)/365))</f>
        <v>0</v>
      </c>
      <c r="BT7">
        <f>IF(D7=1,BE7+Расчёты!O7+Расчёты!Q7+Расчёты!S7+Расчёты!U7+Расчёты!W7+Расчёты!X7+BH7+BK7,0)</f>
        <v>0</v>
      </c>
      <c r="BU7">
        <f>IF(AND(D7=1,BR7&gt;=0,BR6&lt;0,MIN($BR$2:BR7)&lt;0),1,0)</f>
        <v>0</v>
      </c>
      <c r="BV7">
        <f>Расчёты!AZ7+K7+N7-P7*N('Исходные данные'!$B$50)</f>
        <v>0</v>
      </c>
      <c r="BW7">
        <f t="shared" si="18"/>
        <v>0</v>
      </c>
      <c r="BX7">
        <f>IF(AND(BW7&gt;=0,BW6&lt;0,MIN($BW$2:BW7)&lt;0),1,0)</f>
        <v>0</v>
      </c>
      <c r="BY7">
        <f>Расчёты!AZ7+AH7+AK7-AM7*N('Исходные данные'!$B$50)</f>
        <v>0</v>
      </c>
      <c r="BZ7">
        <f t="shared" si="19"/>
        <v>0</v>
      </c>
      <c r="CA7">
        <f>IF(AND(BZ7&gt;=0,BZ6&lt;0,MIN($BZ$2:BZ7)&lt;0),1,0)</f>
        <v>0</v>
      </c>
      <c r="CB7">
        <f>Расчёты!AZ7+BE7+BH7-BJ7*N('Исходные данные'!$B$50)</f>
        <v>0</v>
      </c>
      <c r="CC7">
        <f t="shared" si="20"/>
        <v>0</v>
      </c>
      <c r="CD7">
        <f>IF(AND(CC7&gt;=0,CC6&lt;0,MIN($CC$2:CC7)&lt;0),1,0)</f>
        <v>0</v>
      </c>
    </row>
    <row r="8" spans="1:82" x14ac:dyDescent="0.2">
      <c r="A8">
        <f>Расчёты!A8</f>
        <v>7</v>
      </c>
      <c r="B8" t="str">
        <f>Расчёты!B8</f>
        <v/>
      </c>
      <c r="C8" t="str">
        <f>Расчёты!D8</f>
        <v/>
      </c>
      <c r="D8">
        <f>Расчёты!E8</f>
        <v>0</v>
      </c>
      <c r="E8">
        <f>IF(Расчёты!F8=0,0,IF(Расчёты!G8=1,N('Сценарный анализ'!$B$5),IF(Расчёты!G8=2,N('Сценарный анализ'!$B$6),IF(Расчёты!G8=3,N('Сценарный анализ'!$B$7),N('Сценарный анализ'!$B$7)*(1+N('Сценарный анализ'!$B$8))^(Расчёты!G8-3)))))</f>
        <v>0</v>
      </c>
      <c r="F8">
        <f>IF(OR(Расчёты!F8=0,N('Исходные данные'!$B$5)=0,E8=0),0,N('Исходные данные'!$B$5)*E8*IF(AND(B8&lt;='Исходные данные'!$B$30,Расчёты!C8&gt;='Исходные данные'!$B$30),(Расчёты!C8-'Исходные данные'!$B$30+1)/DAY(Расчёты!C8),1))</f>
        <v>0</v>
      </c>
      <c r="G8">
        <f>IF(AND(Расчёты!F8&gt;0,Расчёты!F8&lt;=N('Исходные данные'!$B$37)),-F8,0)</f>
        <v>0</v>
      </c>
      <c r="H8">
        <f>IF(OR(Расчёты!F8=0,Расчёты!F8&lt;=N('Исходные данные'!$B$37)),0,-(F8+G8)*N('Сценарный анализ'!$B$9))</f>
        <v>0</v>
      </c>
      <c r="I8">
        <f t="shared" si="0"/>
        <v>0</v>
      </c>
      <c r="J8">
        <f>IF('Исходные данные'!$B$51="Да",I8*N('Исходные данные'!$B$52),0)</f>
        <v>0</v>
      </c>
      <c r="K8">
        <f t="shared" si="1"/>
        <v>0</v>
      </c>
      <c r="L8">
        <f>I8+(Расчёты!Y8-Расчёты!L8)</f>
        <v>0</v>
      </c>
      <c r="M8">
        <f t="shared" si="12"/>
        <v>0</v>
      </c>
      <c r="N8">
        <f>IF('Исходные данные'!$B$51="Да",-MAX(0,J8+Расчёты!R8+Расчёты!V8-Расчёты!P8-Расчёты!T8-M8),0)</f>
        <v>0</v>
      </c>
      <c r="O8">
        <f>IF('Исходные данные'!$B$51="Да",MAX(0,M8+Расчёты!P8+Расчёты!T8-J8-Расчёты!R8-Расчёты!V8),0)</f>
        <v>0</v>
      </c>
      <c r="P8">
        <f>IF('Исходные данные'!$B$53="Выручка",MAX(0,I8+(Расчёты!Q8-Расчёты!R8)+(Расчёты!U8-Расчёты!V8)),IF('Исходные данные'!$B$53="Прибыль до налога",MAX(0,I8+(Расчёты!Q8-Расчёты!R8)+(Расчёты!U8-Расчёты!V8)+N('Исходные данные'!$B$54)*((Расчёты!O8+Расчёты!P8)+(Расчёты!S8+Расчёты!T8)+Расчёты!W8+Расчёты!X8)+IF('Исходные данные'!$B$55="Да",Расчёты!AG8,0)-N('Исходные данные'!$B$56)/12),IF('Исходные данные'!$B$53="Пользовательская база",MAX(0,N('Исходные данные'!$B$57)/12),0)))</f>
        <v>0</v>
      </c>
      <c r="Q8">
        <f>IF(D8=1,-P8*N('Исходные данные'!$B$50),0)</f>
        <v>0</v>
      </c>
      <c r="R8">
        <f t="shared" si="2"/>
        <v>0</v>
      </c>
      <c r="S8">
        <f>IF(OR(D8&lt;&gt;1,B8="",'Исходные данные'!$B$91="",N('Исходные данные'!$B$80)&lt;=0,'Исходные данные'!$B$88=""),0,IF(AND(YEAR(B8)=YEAR('Исходные данные'!$B$91),MONTH(B8)=MONTH('Исходные данные'!$B$91)),MAX(0,IF('Исходные данные'!$B$88="Последние 12 месяцев",SUMIFS($L$2:$L$194,$B$2:$B$194,"&gt;="&amp;EDATE(B8,-11),$B$2:$B$194,"&lt;="&amp;B8),IF('Исходные данные'!$B$88="Пользовательский NOI",N('Исходные данные'!$B$89),R8))/N('Исходные данные'!$B$80)*(1+N('Исходные данные'!$B$81))),0))</f>
        <v>0</v>
      </c>
      <c r="T8">
        <f>-S8*N('Исходные данные'!$B$73)</f>
        <v>0</v>
      </c>
      <c r="U8">
        <f>IF(S8=0,0,-N('Исходные данные'!$B$87)-IF('Исходные данные'!$B$82="Да",IF('Исходные данные'!$B$84="С выручки",S8,IF('Исходные данные'!$B$84="С прибыли",MAX(0,S8+T8-IF('Исходные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8">
        <f t="shared" si="3"/>
        <v>0</v>
      </c>
      <c r="W8">
        <f>IF(D8=1,Расчёты!AZ8+K8+N8+Q8+V8,0)</f>
        <v>0</v>
      </c>
      <c r="X8" t="str">
        <f t="shared" si="13"/>
        <v/>
      </c>
      <c r="Y8">
        <f>IF(OR(D8=0,'Исходные данные'!$B$9="",'Исходные данные'!$B$90=""),0,W8/(1+'Исходные данные'!$B$90)^((C8-'Исходные данные'!$B$9)/365))</f>
        <v>0</v>
      </c>
      <c r="Z8">
        <f>IF(D8=1,K8+Расчёты!O8+Расчёты!Q8+Расчёты!S8+Расчёты!U8+Расчёты!W8+Расчёты!X8+N8+Q8,0)</f>
        <v>0</v>
      </c>
      <c r="AA8">
        <f>IF(AND(D8=1,X8&gt;=0,X7&lt;0,MIN($X$2:X8)&lt;0),1,0)</f>
        <v>0</v>
      </c>
      <c r="AB8">
        <f>IF(Расчёты!F8=0,0,IF(Расчёты!G8=1,N('Сценарный анализ'!$C$5),IF(Расчёты!G8=2,N('Сценарный анализ'!$C$6),IF(Расчёты!G8=3,N('Сценарный анализ'!$C$7),N('Сценарный анализ'!$C$7)*(1+N('Сценарный анализ'!$C$8))^(Расчёты!G8-3)))))</f>
        <v>0</v>
      </c>
      <c r="AC8">
        <f>IF(OR(Расчёты!F8=0,N('Исходные данные'!$B$5)=0,AB8=0),0,N('Исходные данные'!$B$5)*AB8*IF(AND(B8&lt;='Исходные данные'!$B$30,Расчёты!C8&gt;='Исходные данные'!$B$30),(Расчёты!C8-'Исходные данные'!$B$30+1)/DAY(Расчёты!C8),1))</f>
        <v>0</v>
      </c>
      <c r="AD8">
        <f>IF(AND(Расчёты!F8&gt;0,Расчёты!F8&lt;=N('Исходные данные'!$B$37)),-AC8,0)</f>
        <v>0</v>
      </c>
      <c r="AE8">
        <f>IF(OR(Расчёты!F8=0,Расчёты!F8&lt;=N('Исходные данные'!$B$37)),0,-(AC8+AD8)*N('Сценарный анализ'!$C$9))</f>
        <v>0</v>
      </c>
      <c r="AF8">
        <f t="shared" si="4"/>
        <v>0</v>
      </c>
      <c r="AG8">
        <f>IF('Исходные данные'!$B$51="Да",AF8*N('Исходные данные'!$B$52),0)</f>
        <v>0</v>
      </c>
      <c r="AH8">
        <f t="shared" si="5"/>
        <v>0</v>
      </c>
      <c r="AI8">
        <f>AF8+(Расчёты!Y8-Расчёты!L8)</f>
        <v>0</v>
      </c>
      <c r="AJ8">
        <f t="shared" si="14"/>
        <v>0</v>
      </c>
      <c r="AK8">
        <f>IF('Исходные данные'!$B$51="Да",-MAX(0,AG8+Расчёты!R8+Расчёты!V8-Расчёты!P8-Расчёты!T8-AJ8),0)</f>
        <v>0</v>
      </c>
      <c r="AL8">
        <f>IF('Исходные данные'!$B$51="Да",MAX(0,AJ8+Расчёты!P8+Расчёты!T8-AG8-Расчёты!R8-Расчёты!V8),0)</f>
        <v>0</v>
      </c>
      <c r="AM8">
        <f>IF('Исходные данные'!$B$53="Выручка",MAX(0,AF8+(Расчёты!Q8-Расчёты!R8)+(Расчёты!U8-Расчёты!V8)),IF('Исходные данные'!$B$53="Прибыль до налога",MAX(0,AF8+(Расчёты!Q8-Расчёты!R8)+(Расчёты!U8-Расчёты!V8)+N('Исходные данные'!$B$54)*((Расчёты!O8+Расчёты!P8)+(Расчёты!S8+Расчёты!T8)+Расчёты!W8+Расчёты!X8)+IF('Исходные данные'!$B$55="Да",Расчёты!AG8,0)-N('Исходные данные'!$B$56)/12),IF('Исходные данные'!$B$53="Пользовательская база",MAX(0,N('Исходные данные'!$B$57)/12),0)))</f>
        <v>0</v>
      </c>
      <c r="AN8">
        <f>IF(D8=1,-AM8*N('Исходные данные'!$B$50),0)</f>
        <v>0</v>
      </c>
      <c r="AO8">
        <f t="shared" si="6"/>
        <v>0</v>
      </c>
      <c r="AP8">
        <f>IF(OR(D8&lt;&gt;1,B8="",'Исходные данные'!$B$91="",N('Исходные данные'!$B$80)&lt;=0,'Исходные данные'!$B$88=""),0,IF(AND(YEAR(B8)=YEAR('Исходные данные'!$B$91),MONTH(B8)=MONTH('Исходные данные'!$B$91)),MAX(0,IF('Исходные данные'!$B$88="Последние 12 месяцев",SUMIFS($AI$2:$AI$194,$B$2:$B$194,"&gt;="&amp;EDATE(B8,-11),$B$2:$B$194,"&lt;="&amp;B8),IF('Исходные данные'!$B$88="Пользовательский NOI",N('Исходные данные'!$B$89),AO8))/N('Исходные данные'!$B$80)*(1+N('Исходные данные'!$B$81))),0))</f>
        <v>0</v>
      </c>
      <c r="AQ8">
        <f>-AP8*N('Исходные данные'!$B$73)</f>
        <v>0</v>
      </c>
      <c r="AR8">
        <f>IF(AP8=0,0,-N('Исходные данные'!$B$87)-IF('Исходные данные'!$B$82="Да",IF('Исходные данные'!$B$84="С выручки",AP8,IF('Исходные данные'!$B$84="С прибыли",MAX(0,AP8+AQ8-IF('Исходные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8">
        <f t="shared" si="7"/>
        <v>0</v>
      </c>
      <c r="AT8">
        <f>IF(D8=1,Расчёты!AZ8+AH8+AK8+AN8+AS8,0)</f>
        <v>0</v>
      </c>
      <c r="AU8" t="str">
        <f t="shared" si="15"/>
        <v/>
      </c>
      <c r="AV8">
        <f>IF(OR(D8=0,'Исходные данные'!$B$9="",'Исходные данные'!$B$90=""),0,AT8/(1+'Исходные данные'!$B$90)^((C8-'Исходные данные'!$B$9)/365))</f>
        <v>0</v>
      </c>
      <c r="AW8">
        <f>IF(D8=1,AH8+Расчёты!O8+Расчёты!Q8+Расчёты!S8+Расчёты!U8+Расчёты!W8+Расчёты!X8+AK8+AN8,0)</f>
        <v>0</v>
      </c>
      <c r="AX8">
        <f>IF(AND(D8=1,AU8&gt;=0,AU7&lt;0,MIN($AU$2:AU8)&lt;0),1,0)</f>
        <v>0</v>
      </c>
      <c r="AY8">
        <f>IF(Расчёты!F8=0,0,IF(Расчёты!G8=1,N('Сценарный анализ'!$D$5),IF(Расчёты!G8=2,N('Сценарный анализ'!$D$6),IF(Расчёты!G8=3,N('Сценарный анализ'!$D$7),N('Сценарный анализ'!$D$7)*(1+N('Сценарный анализ'!$D$8))^(Расчёты!G8-3)))))</f>
        <v>0</v>
      </c>
      <c r="AZ8">
        <f>IF(OR(Расчёты!F8=0,N('Исходные данные'!$B$5)=0,AY8=0),0,N('Исходные данные'!$B$5)*AY8*IF(AND(B8&lt;='Исходные данные'!$B$30,Расчёты!C8&gt;='Исходные данные'!$B$30),(Расчёты!C8-'Исходные данные'!$B$30+1)/DAY(Расчёты!C8),1))</f>
        <v>0</v>
      </c>
      <c r="BA8">
        <f>IF(AND(Расчёты!F8&gt;0,Расчёты!F8&lt;=N('Исходные данные'!$B$37)),-AZ8,0)</f>
        <v>0</v>
      </c>
      <c r="BB8">
        <f>IF(OR(Расчёты!F8=0,Расчёты!F8&lt;=N('Исходные данные'!$B$37)),0,-(AZ8+BA8)*N('Сценарный анализ'!$D$9))</f>
        <v>0</v>
      </c>
      <c r="BC8">
        <f t="shared" si="8"/>
        <v>0</v>
      </c>
      <c r="BD8">
        <f>IF('Исходные данные'!$B$51="Да",BC8*N('Исходные данные'!$B$52),0)</f>
        <v>0</v>
      </c>
      <c r="BE8">
        <f t="shared" si="9"/>
        <v>0</v>
      </c>
      <c r="BF8">
        <f>BC8+(Расчёты!Y8-Расчёты!L8)</f>
        <v>0</v>
      </c>
      <c r="BG8">
        <f t="shared" si="16"/>
        <v>0</v>
      </c>
      <c r="BH8">
        <f>IF('Исходные данные'!$B$51="Да",-MAX(0,BD8+Расчёты!R8+Расчёты!V8-Расчёты!P8-Расчёты!T8-BG8),0)</f>
        <v>0</v>
      </c>
      <c r="BI8">
        <f>IF('Исходные данные'!$B$51="Да",MAX(0,BG8+Расчёты!P8+Расчёты!T8-BD8-Расчёты!R8-Расчёты!V8),0)</f>
        <v>0</v>
      </c>
      <c r="BJ8">
        <f>IF('Исходные данные'!$B$53="Выручка",MAX(0,BC8+(Расчёты!Q8-Расчёты!R8)+(Расчёты!U8-Расчёты!V8)),IF('Исходные данные'!$B$53="Прибыль до налога",MAX(0,BC8+(Расчёты!Q8-Расчёты!R8)+(Расчёты!U8-Расчёты!V8)+N('Исходные данные'!$B$54)*((Расчёты!O8+Расчёты!P8)+(Расчёты!S8+Расчёты!T8)+Расчёты!W8+Расчёты!X8)+IF('Исходные данные'!$B$55="Да",Расчёты!AG8,0)-N('Исходные данные'!$B$56)/12),IF('Исходные данные'!$B$53="Пользовательская база",MAX(0,N('Исходные данные'!$B$57)/12),0)))</f>
        <v>0</v>
      </c>
      <c r="BK8">
        <f>IF(D8=1,-BJ8*N('Исходные данные'!$B$50),0)</f>
        <v>0</v>
      </c>
      <c r="BL8">
        <f t="shared" si="10"/>
        <v>0</v>
      </c>
      <c r="BM8">
        <f>IF(OR(D8&lt;&gt;1,B8="",'Исходные данные'!$B$91="",N('Исходные данные'!$B$80)&lt;=0,'Исходные данные'!$B$88=""),0,IF(AND(YEAR(B8)=YEAR('Исходные данные'!$B$91),MONTH(B8)=MONTH('Исходные данные'!$B$91)),MAX(0,IF('Исходные данные'!$B$88="Последние 12 месяцев",SUMIFS($BF$2:$BF$194,$B$2:$B$194,"&gt;="&amp;EDATE(B8,-11),$B$2:$B$194,"&lt;="&amp;B8),IF('Исходные данные'!$B$88="Пользовательский NOI",N('Исходные данные'!$B$89),BL8))/N('Исходные данные'!$B$80)*(1+N('Исходные данные'!$B$81))),0))</f>
        <v>0</v>
      </c>
      <c r="BN8">
        <f>-BM8*N('Исходные данные'!$B$73)</f>
        <v>0</v>
      </c>
      <c r="BO8">
        <f>IF(BM8=0,0,-N('Исходные данные'!$B$87)-IF('Исходные данные'!$B$82="Да",IF('Исходные данные'!$B$84="С выручки",BM8,IF('Исходные данные'!$B$84="С прибыли",MAX(0,BM8+BN8-IF('Исходные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8">
        <f t="shared" si="11"/>
        <v>0</v>
      </c>
      <c r="BQ8">
        <f>IF(D8=1,Расчёты!AZ8+BE8+BH8+BK8+BP8,0)</f>
        <v>0</v>
      </c>
      <c r="BR8" t="str">
        <f t="shared" si="17"/>
        <v/>
      </c>
      <c r="BS8">
        <f>IF(OR(D8=0,'Исходные данные'!$B$9="",'Исходные данные'!$B$90=""),0,BQ8/(1+'Исходные данные'!$B$90)^((C8-'Исходные данные'!$B$9)/365))</f>
        <v>0</v>
      </c>
      <c r="BT8">
        <f>IF(D8=1,BE8+Расчёты!O8+Расчёты!Q8+Расчёты!S8+Расчёты!U8+Расчёты!W8+Расчёты!X8+BH8+BK8,0)</f>
        <v>0</v>
      </c>
      <c r="BU8">
        <f>IF(AND(D8=1,BR8&gt;=0,BR7&lt;0,MIN($BR$2:BR8)&lt;0),1,0)</f>
        <v>0</v>
      </c>
      <c r="BV8">
        <f>Расчёты!AZ8+K8+N8-P8*N('Исходные данные'!$B$50)</f>
        <v>0</v>
      </c>
      <c r="BW8">
        <f t="shared" si="18"/>
        <v>0</v>
      </c>
      <c r="BX8">
        <f>IF(AND(BW8&gt;=0,BW7&lt;0,MIN($BW$2:BW8)&lt;0),1,0)</f>
        <v>0</v>
      </c>
      <c r="BY8">
        <f>Расчёты!AZ8+AH8+AK8-AM8*N('Исходные данные'!$B$50)</f>
        <v>0</v>
      </c>
      <c r="BZ8">
        <f t="shared" si="19"/>
        <v>0</v>
      </c>
      <c r="CA8">
        <f>IF(AND(BZ8&gt;=0,BZ7&lt;0,MIN($BZ$2:BZ8)&lt;0),1,0)</f>
        <v>0</v>
      </c>
      <c r="CB8">
        <f>Расчёты!AZ8+BE8+BH8-BJ8*N('Исходные данные'!$B$50)</f>
        <v>0</v>
      </c>
      <c r="CC8">
        <f t="shared" si="20"/>
        <v>0</v>
      </c>
      <c r="CD8">
        <f>IF(AND(CC8&gt;=0,CC7&lt;0,MIN($CC$2:CC8)&lt;0),1,0)</f>
        <v>0</v>
      </c>
    </row>
    <row r="9" spans="1:82" x14ac:dyDescent="0.2">
      <c r="A9">
        <f>Расчёты!A9</f>
        <v>8</v>
      </c>
      <c r="B9" t="str">
        <f>Расчёты!B9</f>
        <v/>
      </c>
      <c r="C9" t="str">
        <f>Расчёты!D9</f>
        <v/>
      </c>
      <c r="D9">
        <f>Расчёты!E9</f>
        <v>0</v>
      </c>
      <c r="E9">
        <f>IF(Расчёты!F9=0,0,IF(Расчёты!G9=1,N('Сценарный анализ'!$B$5),IF(Расчёты!G9=2,N('Сценарный анализ'!$B$6),IF(Расчёты!G9=3,N('Сценарный анализ'!$B$7),N('Сценарный анализ'!$B$7)*(1+N('Сценарный анализ'!$B$8))^(Расчёты!G9-3)))))</f>
        <v>0</v>
      </c>
      <c r="F9">
        <f>IF(OR(Расчёты!F9=0,N('Исходные данные'!$B$5)=0,E9=0),0,N('Исходные данные'!$B$5)*E9*IF(AND(B9&lt;='Исходные данные'!$B$30,Расчёты!C9&gt;='Исходные данные'!$B$30),(Расчёты!C9-'Исходные данные'!$B$30+1)/DAY(Расчёты!C9),1))</f>
        <v>0</v>
      </c>
      <c r="G9">
        <f>IF(AND(Расчёты!F9&gt;0,Расчёты!F9&lt;=N('Исходные данные'!$B$37)),-F9,0)</f>
        <v>0</v>
      </c>
      <c r="H9">
        <f>IF(OR(Расчёты!F9=0,Расчёты!F9&lt;=N('Исходные данные'!$B$37)),0,-(F9+G9)*N('Сценарный анализ'!$B$9))</f>
        <v>0</v>
      </c>
      <c r="I9">
        <f t="shared" si="0"/>
        <v>0</v>
      </c>
      <c r="J9">
        <f>IF('Исходные данные'!$B$51="Да",I9*N('Исходные данные'!$B$52),0)</f>
        <v>0</v>
      </c>
      <c r="K9">
        <f t="shared" si="1"/>
        <v>0</v>
      </c>
      <c r="L9">
        <f>I9+(Расчёты!Y9-Расчёты!L9)</f>
        <v>0</v>
      </c>
      <c r="M9">
        <f t="shared" si="12"/>
        <v>0</v>
      </c>
      <c r="N9">
        <f>IF('Исходные данные'!$B$51="Да",-MAX(0,J9+Расчёты!R9+Расчёты!V9-Расчёты!P9-Расчёты!T9-M9),0)</f>
        <v>0</v>
      </c>
      <c r="O9">
        <f>IF('Исходные данные'!$B$51="Да",MAX(0,M9+Расчёты!P9+Расчёты!T9-J9-Расчёты!R9-Расчёты!V9),0)</f>
        <v>0</v>
      </c>
      <c r="P9">
        <f>IF('Исходные данные'!$B$53="Выручка",MAX(0,I9+(Расчёты!Q9-Расчёты!R9)+(Расчёты!U9-Расчёты!V9)),IF('Исходные данные'!$B$53="Прибыль до налога",MAX(0,I9+(Расчёты!Q9-Расчёты!R9)+(Расчёты!U9-Расчёты!V9)+N('Исходные данные'!$B$54)*((Расчёты!O9+Расчёты!P9)+(Расчёты!S9+Расчёты!T9)+Расчёты!W9+Расчёты!X9)+IF('Исходные данные'!$B$55="Да",Расчёты!AG9,0)-N('Исходные данные'!$B$56)/12),IF('Исходные данные'!$B$53="Пользовательская база",MAX(0,N('Исходные данные'!$B$57)/12),0)))</f>
        <v>0</v>
      </c>
      <c r="Q9">
        <f>IF(D9=1,-P9*N('Исходные данные'!$B$50),0)</f>
        <v>0</v>
      </c>
      <c r="R9">
        <f t="shared" si="2"/>
        <v>0</v>
      </c>
      <c r="S9">
        <f>IF(OR(D9&lt;&gt;1,B9="",'Исходные данные'!$B$91="",N('Исходные данные'!$B$80)&lt;=0,'Исходные данные'!$B$88=""),0,IF(AND(YEAR(B9)=YEAR('Исходные данные'!$B$91),MONTH(B9)=MONTH('Исходные данные'!$B$91)),MAX(0,IF('Исходные данные'!$B$88="Последние 12 месяцев",SUMIFS($L$2:$L$194,$B$2:$B$194,"&gt;="&amp;EDATE(B9,-11),$B$2:$B$194,"&lt;="&amp;B9),IF('Исходные данные'!$B$88="Пользовательский NOI",N('Исходные данные'!$B$89),R9))/N('Исходные данные'!$B$80)*(1+N('Исходные данные'!$B$81))),0))</f>
        <v>0</v>
      </c>
      <c r="T9">
        <f>-S9*N('Исходные данные'!$B$73)</f>
        <v>0</v>
      </c>
      <c r="U9">
        <f>IF(S9=0,0,-N('Исходные данные'!$B$87)-IF('Исходные данные'!$B$82="Да",IF('Исходные данные'!$B$84="С выручки",S9,IF('Исходные данные'!$B$84="С прибыли",MAX(0,S9+T9-IF('Исходные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9">
        <f t="shared" si="3"/>
        <v>0</v>
      </c>
      <c r="W9">
        <f>IF(D9=1,Расчёты!AZ9+K9+N9+Q9+V9,0)</f>
        <v>0</v>
      </c>
      <c r="X9" t="str">
        <f t="shared" si="13"/>
        <v/>
      </c>
      <c r="Y9">
        <f>IF(OR(D9=0,'Исходные данные'!$B$9="",'Исходные данные'!$B$90=""),0,W9/(1+'Исходные данные'!$B$90)^((C9-'Исходные данные'!$B$9)/365))</f>
        <v>0</v>
      </c>
      <c r="Z9">
        <f>IF(D9=1,K9+Расчёты!O9+Расчёты!Q9+Расчёты!S9+Расчёты!U9+Расчёты!W9+Расчёты!X9+N9+Q9,0)</f>
        <v>0</v>
      </c>
      <c r="AA9">
        <f>IF(AND(D9=1,X9&gt;=0,X8&lt;0,MIN($X$2:X9)&lt;0),1,0)</f>
        <v>0</v>
      </c>
      <c r="AB9">
        <f>IF(Расчёты!F9=0,0,IF(Расчёты!G9=1,N('Сценарный анализ'!$C$5),IF(Расчёты!G9=2,N('Сценарный анализ'!$C$6),IF(Расчёты!G9=3,N('Сценарный анализ'!$C$7),N('Сценарный анализ'!$C$7)*(1+N('Сценарный анализ'!$C$8))^(Расчёты!G9-3)))))</f>
        <v>0</v>
      </c>
      <c r="AC9">
        <f>IF(OR(Расчёты!F9=0,N('Исходные данные'!$B$5)=0,AB9=0),0,N('Исходные данные'!$B$5)*AB9*IF(AND(B9&lt;='Исходные данные'!$B$30,Расчёты!C9&gt;='Исходные данные'!$B$30),(Расчёты!C9-'Исходные данные'!$B$30+1)/DAY(Расчёты!C9),1))</f>
        <v>0</v>
      </c>
      <c r="AD9">
        <f>IF(AND(Расчёты!F9&gt;0,Расчёты!F9&lt;=N('Исходные данные'!$B$37)),-AC9,0)</f>
        <v>0</v>
      </c>
      <c r="AE9">
        <f>IF(OR(Расчёты!F9=0,Расчёты!F9&lt;=N('Исходные данные'!$B$37)),0,-(AC9+AD9)*N('Сценарный анализ'!$C$9))</f>
        <v>0</v>
      </c>
      <c r="AF9">
        <f t="shared" si="4"/>
        <v>0</v>
      </c>
      <c r="AG9">
        <f>IF('Исходные данные'!$B$51="Да",AF9*N('Исходные данные'!$B$52),0)</f>
        <v>0</v>
      </c>
      <c r="AH9">
        <f t="shared" si="5"/>
        <v>0</v>
      </c>
      <c r="AI9">
        <f>AF9+(Расчёты!Y9-Расчёты!L9)</f>
        <v>0</v>
      </c>
      <c r="AJ9">
        <f t="shared" si="14"/>
        <v>0</v>
      </c>
      <c r="AK9">
        <f>IF('Исходные данные'!$B$51="Да",-MAX(0,AG9+Расчёты!R9+Расчёты!V9-Расчёты!P9-Расчёты!T9-AJ9),0)</f>
        <v>0</v>
      </c>
      <c r="AL9">
        <f>IF('Исходные данные'!$B$51="Да",MAX(0,AJ9+Расчёты!P9+Расчёты!T9-AG9-Расчёты!R9-Расчёты!V9),0)</f>
        <v>0</v>
      </c>
      <c r="AM9">
        <f>IF('Исходные данные'!$B$53="Выручка",MAX(0,AF9+(Расчёты!Q9-Расчёты!R9)+(Расчёты!U9-Расчёты!V9)),IF('Исходные данные'!$B$53="Прибыль до налога",MAX(0,AF9+(Расчёты!Q9-Расчёты!R9)+(Расчёты!U9-Расчёты!V9)+N('Исходные данные'!$B$54)*((Расчёты!O9+Расчёты!P9)+(Расчёты!S9+Расчёты!T9)+Расчёты!W9+Расчёты!X9)+IF('Исходные данные'!$B$55="Да",Расчёты!AG9,0)-N('Исходные данные'!$B$56)/12),IF('Исходные данные'!$B$53="Пользовательская база",MAX(0,N('Исходные данные'!$B$57)/12),0)))</f>
        <v>0</v>
      </c>
      <c r="AN9">
        <f>IF(D9=1,-AM9*N('Исходные данные'!$B$50),0)</f>
        <v>0</v>
      </c>
      <c r="AO9">
        <f t="shared" si="6"/>
        <v>0</v>
      </c>
      <c r="AP9">
        <f>IF(OR(D9&lt;&gt;1,B9="",'Исходные данные'!$B$91="",N('Исходные данные'!$B$80)&lt;=0,'Исходные данные'!$B$88=""),0,IF(AND(YEAR(B9)=YEAR('Исходные данные'!$B$91),MONTH(B9)=MONTH('Исходные данные'!$B$91)),MAX(0,IF('Исходные данные'!$B$88="Последние 12 месяцев",SUMIFS($AI$2:$AI$194,$B$2:$B$194,"&gt;="&amp;EDATE(B9,-11),$B$2:$B$194,"&lt;="&amp;B9),IF('Исходные данные'!$B$88="Пользовательский NOI",N('Исходные данные'!$B$89),AO9))/N('Исходные данные'!$B$80)*(1+N('Исходные данные'!$B$81))),0))</f>
        <v>0</v>
      </c>
      <c r="AQ9">
        <f>-AP9*N('Исходные данные'!$B$73)</f>
        <v>0</v>
      </c>
      <c r="AR9">
        <f>IF(AP9=0,0,-N('Исходные данные'!$B$87)-IF('Исходные данные'!$B$82="Да",IF('Исходные данные'!$B$84="С выручки",AP9,IF('Исходные данные'!$B$84="С прибыли",MAX(0,AP9+AQ9-IF('Исходные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9">
        <f t="shared" si="7"/>
        <v>0</v>
      </c>
      <c r="AT9">
        <f>IF(D9=1,Расчёты!AZ9+AH9+AK9+AN9+AS9,0)</f>
        <v>0</v>
      </c>
      <c r="AU9" t="str">
        <f t="shared" si="15"/>
        <v/>
      </c>
      <c r="AV9">
        <f>IF(OR(D9=0,'Исходные данные'!$B$9="",'Исходные данные'!$B$90=""),0,AT9/(1+'Исходные данные'!$B$90)^((C9-'Исходные данные'!$B$9)/365))</f>
        <v>0</v>
      </c>
      <c r="AW9">
        <f>IF(D9=1,AH9+Расчёты!O9+Расчёты!Q9+Расчёты!S9+Расчёты!U9+Расчёты!W9+Расчёты!X9+AK9+AN9,0)</f>
        <v>0</v>
      </c>
      <c r="AX9">
        <f>IF(AND(D9=1,AU9&gt;=0,AU8&lt;0,MIN($AU$2:AU9)&lt;0),1,0)</f>
        <v>0</v>
      </c>
      <c r="AY9">
        <f>IF(Расчёты!F9=0,0,IF(Расчёты!G9=1,N('Сценарный анализ'!$D$5),IF(Расчёты!G9=2,N('Сценарный анализ'!$D$6),IF(Расчёты!G9=3,N('Сценарный анализ'!$D$7),N('Сценарный анализ'!$D$7)*(1+N('Сценарный анализ'!$D$8))^(Расчёты!G9-3)))))</f>
        <v>0</v>
      </c>
      <c r="AZ9">
        <f>IF(OR(Расчёты!F9=0,N('Исходные данные'!$B$5)=0,AY9=0),0,N('Исходные данные'!$B$5)*AY9*IF(AND(B9&lt;='Исходные данные'!$B$30,Расчёты!C9&gt;='Исходные данные'!$B$30),(Расчёты!C9-'Исходные данные'!$B$30+1)/DAY(Расчёты!C9),1))</f>
        <v>0</v>
      </c>
      <c r="BA9">
        <f>IF(AND(Расчёты!F9&gt;0,Расчёты!F9&lt;=N('Исходные данные'!$B$37)),-AZ9,0)</f>
        <v>0</v>
      </c>
      <c r="BB9">
        <f>IF(OR(Расчёты!F9=0,Расчёты!F9&lt;=N('Исходные данные'!$B$37)),0,-(AZ9+BA9)*N('Сценарный анализ'!$D$9))</f>
        <v>0</v>
      </c>
      <c r="BC9">
        <f t="shared" si="8"/>
        <v>0</v>
      </c>
      <c r="BD9">
        <f>IF('Исходные данные'!$B$51="Да",BC9*N('Исходные данные'!$B$52),0)</f>
        <v>0</v>
      </c>
      <c r="BE9">
        <f t="shared" si="9"/>
        <v>0</v>
      </c>
      <c r="BF9">
        <f>BC9+(Расчёты!Y9-Расчёты!L9)</f>
        <v>0</v>
      </c>
      <c r="BG9">
        <f t="shared" si="16"/>
        <v>0</v>
      </c>
      <c r="BH9">
        <f>IF('Исходные данные'!$B$51="Да",-MAX(0,BD9+Расчёты!R9+Расчёты!V9-Расчёты!P9-Расчёты!T9-BG9),0)</f>
        <v>0</v>
      </c>
      <c r="BI9">
        <f>IF('Исходные данные'!$B$51="Да",MAX(0,BG9+Расчёты!P9+Расчёты!T9-BD9-Расчёты!R9-Расчёты!V9),0)</f>
        <v>0</v>
      </c>
      <c r="BJ9">
        <f>IF('Исходные данные'!$B$53="Выручка",MAX(0,BC9+(Расчёты!Q9-Расчёты!R9)+(Расчёты!U9-Расчёты!V9)),IF('Исходные данные'!$B$53="Прибыль до налога",MAX(0,BC9+(Расчёты!Q9-Расчёты!R9)+(Расчёты!U9-Расчёты!V9)+N('Исходные данные'!$B$54)*((Расчёты!O9+Расчёты!P9)+(Расчёты!S9+Расчёты!T9)+Расчёты!W9+Расчёты!X9)+IF('Исходные данные'!$B$55="Да",Расчёты!AG9,0)-N('Исходные данные'!$B$56)/12),IF('Исходные данные'!$B$53="Пользовательская база",MAX(0,N('Исходные данные'!$B$57)/12),0)))</f>
        <v>0</v>
      </c>
      <c r="BK9">
        <f>IF(D9=1,-BJ9*N('Исходные данные'!$B$50),0)</f>
        <v>0</v>
      </c>
      <c r="BL9">
        <f t="shared" si="10"/>
        <v>0</v>
      </c>
      <c r="BM9">
        <f>IF(OR(D9&lt;&gt;1,B9="",'Исходные данные'!$B$91="",N('Исходные данные'!$B$80)&lt;=0,'Исходные данные'!$B$88=""),0,IF(AND(YEAR(B9)=YEAR('Исходные данные'!$B$91),MONTH(B9)=MONTH('Исходные данные'!$B$91)),MAX(0,IF('Исходные данные'!$B$88="Последние 12 месяцев",SUMIFS($BF$2:$BF$194,$B$2:$B$194,"&gt;="&amp;EDATE(B9,-11),$B$2:$B$194,"&lt;="&amp;B9),IF('Исходные данные'!$B$88="Пользовательский NOI",N('Исходные данные'!$B$89),BL9))/N('Исходные данные'!$B$80)*(1+N('Исходные данные'!$B$81))),0))</f>
        <v>0</v>
      </c>
      <c r="BN9">
        <f>-BM9*N('Исходные данные'!$B$73)</f>
        <v>0</v>
      </c>
      <c r="BO9">
        <f>IF(BM9=0,0,-N('Исходные данные'!$B$87)-IF('Исходные данные'!$B$82="Да",IF('Исходные данные'!$B$84="С выручки",BM9,IF('Исходные данные'!$B$84="С прибыли",MAX(0,BM9+BN9-IF('Исходные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9">
        <f t="shared" si="11"/>
        <v>0</v>
      </c>
      <c r="BQ9">
        <f>IF(D9=1,Расчёты!AZ9+BE9+BH9+BK9+BP9,0)</f>
        <v>0</v>
      </c>
      <c r="BR9" t="str">
        <f t="shared" si="17"/>
        <v/>
      </c>
      <c r="BS9">
        <f>IF(OR(D9=0,'Исходные данные'!$B$9="",'Исходные данные'!$B$90=""),0,BQ9/(1+'Исходные данные'!$B$90)^((C9-'Исходные данные'!$B$9)/365))</f>
        <v>0</v>
      </c>
      <c r="BT9">
        <f>IF(D9=1,BE9+Расчёты!O9+Расчёты!Q9+Расчёты!S9+Расчёты!U9+Расчёты!W9+Расчёты!X9+BH9+BK9,0)</f>
        <v>0</v>
      </c>
      <c r="BU9">
        <f>IF(AND(D9=1,BR9&gt;=0,BR8&lt;0,MIN($BR$2:BR9)&lt;0),1,0)</f>
        <v>0</v>
      </c>
      <c r="BV9">
        <f>Расчёты!AZ9+K9+N9-P9*N('Исходные данные'!$B$50)</f>
        <v>0</v>
      </c>
      <c r="BW9">
        <f t="shared" si="18"/>
        <v>0</v>
      </c>
      <c r="BX9">
        <f>IF(AND(BW9&gt;=0,BW8&lt;0,MIN($BW$2:BW9)&lt;0),1,0)</f>
        <v>0</v>
      </c>
      <c r="BY9">
        <f>Расчёты!AZ9+AH9+AK9-AM9*N('Исходные данные'!$B$50)</f>
        <v>0</v>
      </c>
      <c r="BZ9">
        <f t="shared" si="19"/>
        <v>0</v>
      </c>
      <c r="CA9">
        <f>IF(AND(BZ9&gt;=0,BZ8&lt;0,MIN($BZ$2:BZ9)&lt;0),1,0)</f>
        <v>0</v>
      </c>
      <c r="CB9">
        <f>Расчёты!AZ9+BE9+BH9-BJ9*N('Исходные данные'!$B$50)</f>
        <v>0</v>
      </c>
      <c r="CC9">
        <f t="shared" si="20"/>
        <v>0</v>
      </c>
      <c r="CD9">
        <f>IF(AND(CC9&gt;=0,CC8&lt;0,MIN($CC$2:CC9)&lt;0),1,0)</f>
        <v>0</v>
      </c>
    </row>
    <row r="10" spans="1:82" x14ac:dyDescent="0.2">
      <c r="A10">
        <f>Расчёты!A10</f>
        <v>9</v>
      </c>
      <c r="B10" t="str">
        <f>Расчёты!B10</f>
        <v/>
      </c>
      <c r="C10" t="str">
        <f>Расчёты!D10</f>
        <v/>
      </c>
      <c r="D10">
        <f>Расчёты!E10</f>
        <v>0</v>
      </c>
      <c r="E10">
        <f>IF(Расчёты!F10=0,0,IF(Расчёты!G10=1,N('Сценарный анализ'!$B$5),IF(Расчёты!G10=2,N('Сценарный анализ'!$B$6),IF(Расчёты!G10=3,N('Сценарный анализ'!$B$7),N('Сценарный анализ'!$B$7)*(1+N('Сценарный анализ'!$B$8))^(Расчёты!G10-3)))))</f>
        <v>0</v>
      </c>
      <c r="F10">
        <f>IF(OR(Расчёты!F10=0,N('Исходные данные'!$B$5)=0,E10=0),0,N('Исходные данные'!$B$5)*E10*IF(AND(B10&lt;='Исходные данные'!$B$30,Расчёты!C10&gt;='Исходные данные'!$B$30),(Расчёты!C10-'Исходные данные'!$B$30+1)/DAY(Расчёты!C10),1))</f>
        <v>0</v>
      </c>
      <c r="G10">
        <f>IF(AND(Расчёты!F10&gt;0,Расчёты!F10&lt;=N('Исходные данные'!$B$37)),-F10,0)</f>
        <v>0</v>
      </c>
      <c r="H10">
        <f>IF(OR(Расчёты!F10=0,Расчёты!F10&lt;=N('Исходные данные'!$B$37)),0,-(F10+G10)*N('Сценарный анализ'!$B$9))</f>
        <v>0</v>
      </c>
      <c r="I10">
        <f t="shared" si="0"/>
        <v>0</v>
      </c>
      <c r="J10">
        <f>IF('Исходные данные'!$B$51="Да",I10*N('Исходные данные'!$B$52),0)</f>
        <v>0</v>
      </c>
      <c r="K10">
        <f t="shared" si="1"/>
        <v>0</v>
      </c>
      <c r="L10">
        <f>I10+(Расчёты!Y10-Расчёты!L10)</f>
        <v>0</v>
      </c>
      <c r="M10">
        <f t="shared" si="12"/>
        <v>0</v>
      </c>
      <c r="N10">
        <f>IF('Исходные данные'!$B$51="Да",-MAX(0,J10+Расчёты!R10+Расчёты!V10-Расчёты!P10-Расчёты!T10-M10),0)</f>
        <v>0</v>
      </c>
      <c r="O10">
        <f>IF('Исходные данные'!$B$51="Да",MAX(0,M10+Расчёты!P10+Расчёты!T10-J10-Расчёты!R10-Расчёты!V10),0)</f>
        <v>0</v>
      </c>
      <c r="P10">
        <f>IF('Исходные данные'!$B$53="Выручка",MAX(0,I10+(Расчёты!Q10-Расчёты!R10)+(Расчёты!U10-Расчёты!V10)),IF('Исходные данные'!$B$53="Прибыль до налога",MAX(0,I10+(Расчёты!Q10-Расчёты!R10)+(Расчёты!U10-Расчёты!V10)+N('Исходные данные'!$B$54)*((Расчёты!O10+Расчёты!P10)+(Расчёты!S10+Расчёты!T10)+Расчёты!W10+Расчёты!X10)+IF('Исходные данные'!$B$55="Да",Расчёты!AG10,0)-N('Исходные данные'!$B$56)/12),IF('Исходные данные'!$B$53="Пользовательская база",MAX(0,N('Исходные данные'!$B$57)/12),0)))</f>
        <v>0</v>
      </c>
      <c r="Q10">
        <f>IF(D10=1,-P10*N('Исходные данные'!$B$50),0)</f>
        <v>0</v>
      </c>
      <c r="R10">
        <f t="shared" si="2"/>
        <v>0</v>
      </c>
      <c r="S10">
        <f>IF(OR(D10&lt;&gt;1,B10="",'Исходные данные'!$B$91="",N('Исходные данные'!$B$80)&lt;=0,'Исходные данные'!$B$88=""),0,IF(AND(YEAR(B10)=YEAR('Исходные данные'!$B$91),MONTH(B10)=MONTH('Исходные данные'!$B$91)),MAX(0,IF('Исходные данные'!$B$88="Последние 12 месяцев",SUMIFS($L$2:$L$194,$B$2:$B$194,"&gt;="&amp;EDATE(B10,-11),$B$2:$B$194,"&lt;="&amp;B10),IF('Исходные данные'!$B$88="Пользовательский NOI",N('Исходные данные'!$B$89),R10))/N('Исходные данные'!$B$80)*(1+N('Исходные данные'!$B$81))),0))</f>
        <v>0</v>
      </c>
      <c r="T10">
        <f>-S10*N('Исходные данные'!$B$73)</f>
        <v>0</v>
      </c>
      <c r="U10">
        <f>IF(S10=0,0,-N('Исходные данные'!$B$87)-IF('Исходные данные'!$B$82="Да",IF('Исходные данные'!$B$84="С выручки",S10,IF('Исходные данные'!$B$84="С прибыли",MAX(0,S10+T10-IF('Исходные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0">
        <f t="shared" si="3"/>
        <v>0</v>
      </c>
      <c r="W10">
        <f>IF(D10=1,Расчёты!AZ10+K10+N10+Q10+V10,0)</f>
        <v>0</v>
      </c>
      <c r="X10" t="str">
        <f t="shared" si="13"/>
        <v/>
      </c>
      <c r="Y10">
        <f>IF(OR(D10=0,'Исходные данные'!$B$9="",'Исходные данные'!$B$90=""),0,W10/(1+'Исходные данные'!$B$90)^((C10-'Исходные данные'!$B$9)/365))</f>
        <v>0</v>
      </c>
      <c r="Z10">
        <f>IF(D10=1,K10+Расчёты!O10+Расчёты!Q10+Расчёты!S10+Расчёты!U10+Расчёты!W10+Расчёты!X10+N10+Q10,0)</f>
        <v>0</v>
      </c>
      <c r="AA10">
        <f>IF(AND(D10=1,X10&gt;=0,X9&lt;0,MIN($X$2:X10)&lt;0),1,0)</f>
        <v>0</v>
      </c>
      <c r="AB10">
        <f>IF(Расчёты!F10=0,0,IF(Расчёты!G10=1,N('Сценарный анализ'!$C$5),IF(Расчёты!G10=2,N('Сценарный анализ'!$C$6),IF(Расчёты!G10=3,N('Сценарный анализ'!$C$7),N('Сценарный анализ'!$C$7)*(1+N('Сценарный анализ'!$C$8))^(Расчёты!G10-3)))))</f>
        <v>0</v>
      </c>
      <c r="AC10">
        <f>IF(OR(Расчёты!F10=0,N('Исходные данные'!$B$5)=0,AB10=0),0,N('Исходные данные'!$B$5)*AB10*IF(AND(B10&lt;='Исходные данные'!$B$30,Расчёты!C10&gt;='Исходные данные'!$B$30),(Расчёты!C10-'Исходные данные'!$B$30+1)/DAY(Расчёты!C10),1))</f>
        <v>0</v>
      </c>
      <c r="AD10">
        <f>IF(AND(Расчёты!F10&gt;0,Расчёты!F10&lt;=N('Исходные данные'!$B$37)),-AC10,0)</f>
        <v>0</v>
      </c>
      <c r="AE10">
        <f>IF(OR(Расчёты!F10=0,Расчёты!F10&lt;=N('Исходные данные'!$B$37)),0,-(AC10+AD10)*N('Сценарный анализ'!$C$9))</f>
        <v>0</v>
      </c>
      <c r="AF10">
        <f t="shared" si="4"/>
        <v>0</v>
      </c>
      <c r="AG10">
        <f>IF('Исходные данные'!$B$51="Да",AF10*N('Исходные данные'!$B$52),0)</f>
        <v>0</v>
      </c>
      <c r="AH10">
        <f t="shared" si="5"/>
        <v>0</v>
      </c>
      <c r="AI10">
        <f>AF10+(Расчёты!Y10-Расчёты!L10)</f>
        <v>0</v>
      </c>
      <c r="AJ10">
        <f t="shared" si="14"/>
        <v>0</v>
      </c>
      <c r="AK10">
        <f>IF('Исходные данные'!$B$51="Да",-MAX(0,AG10+Расчёты!R10+Расчёты!V10-Расчёты!P10-Расчёты!T10-AJ10),0)</f>
        <v>0</v>
      </c>
      <c r="AL10">
        <f>IF('Исходные данные'!$B$51="Да",MAX(0,AJ10+Расчёты!P10+Расчёты!T10-AG10-Расчёты!R10-Расчёты!V10),0)</f>
        <v>0</v>
      </c>
      <c r="AM10">
        <f>IF('Исходные данные'!$B$53="Выручка",MAX(0,AF10+(Расчёты!Q10-Расчёты!R10)+(Расчёты!U10-Расчёты!V10)),IF('Исходные данные'!$B$53="Прибыль до налога",MAX(0,AF10+(Расчёты!Q10-Расчёты!R10)+(Расчёты!U10-Расчёты!V10)+N('Исходные данные'!$B$54)*((Расчёты!O10+Расчёты!P10)+(Расчёты!S10+Расчёты!T10)+Расчёты!W10+Расчёты!X10)+IF('Исходные данные'!$B$55="Да",Расчёты!AG10,0)-N('Исходные данные'!$B$56)/12),IF('Исходные данные'!$B$53="Пользовательская база",MAX(0,N('Исходные данные'!$B$57)/12),0)))</f>
        <v>0</v>
      </c>
      <c r="AN10">
        <f>IF(D10=1,-AM10*N('Исходные данные'!$B$50),0)</f>
        <v>0</v>
      </c>
      <c r="AO10">
        <f t="shared" si="6"/>
        <v>0</v>
      </c>
      <c r="AP10">
        <f>IF(OR(D10&lt;&gt;1,B10="",'Исходные данные'!$B$91="",N('Исходные данные'!$B$80)&lt;=0,'Исходные данные'!$B$88=""),0,IF(AND(YEAR(B10)=YEAR('Исходные данные'!$B$91),MONTH(B10)=MONTH('Исходные данные'!$B$91)),MAX(0,IF('Исходные данные'!$B$88="Последние 12 месяцев",SUMIFS($AI$2:$AI$194,$B$2:$B$194,"&gt;="&amp;EDATE(B10,-11),$B$2:$B$194,"&lt;="&amp;B10),IF('Исходные данные'!$B$88="Пользовательский NOI",N('Исходные данные'!$B$89),AO10))/N('Исходные данные'!$B$80)*(1+N('Исходные данные'!$B$81))),0))</f>
        <v>0</v>
      </c>
      <c r="AQ10">
        <f>-AP10*N('Исходные данные'!$B$73)</f>
        <v>0</v>
      </c>
      <c r="AR10">
        <f>IF(AP10=0,0,-N('Исходные данные'!$B$87)-IF('Исходные данные'!$B$82="Да",IF('Исходные данные'!$B$84="С выручки",AP10,IF('Исходные данные'!$B$84="С прибыли",MAX(0,AP10+AQ10-IF('Исходные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0">
        <f t="shared" si="7"/>
        <v>0</v>
      </c>
      <c r="AT10">
        <f>IF(D10=1,Расчёты!AZ10+AH10+AK10+AN10+AS10,0)</f>
        <v>0</v>
      </c>
      <c r="AU10" t="str">
        <f t="shared" si="15"/>
        <v/>
      </c>
      <c r="AV10">
        <f>IF(OR(D10=0,'Исходные данные'!$B$9="",'Исходные данные'!$B$90=""),0,AT10/(1+'Исходные данные'!$B$90)^((C10-'Исходные данные'!$B$9)/365))</f>
        <v>0</v>
      </c>
      <c r="AW10">
        <f>IF(D10=1,AH10+Расчёты!O10+Расчёты!Q10+Расчёты!S10+Расчёты!U10+Расчёты!W10+Расчёты!X10+AK10+AN10,0)</f>
        <v>0</v>
      </c>
      <c r="AX10">
        <f>IF(AND(D10=1,AU10&gt;=0,AU9&lt;0,MIN($AU$2:AU10)&lt;0),1,0)</f>
        <v>0</v>
      </c>
      <c r="AY10">
        <f>IF(Расчёты!F10=0,0,IF(Расчёты!G10=1,N('Сценарный анализ'!$D$5),IF(Расчёты!G10=2,N('Сценарный анализ'!$D$6),IF(Расчёты!G10=3,N('Сценарный анализ'!$D$7),N('Сценарный анализ'!$D$7)*(1+N('Сценарный анализ'!$D$8))^(Расчёты!G10-3)))))</f>
        <v>0</v>
      </c>
      <c r="AZ10">
        <f>IF(OR(Расчёты!F10=0,N('Исходные данные'!$B$5)=0,AY10=0),0,N('Исходные данные'!$B$5)*AY10*IF(AND(B10&lt;='Исходные данные'!$B$30,Расчёты!C10&gt;='Исходные данные'!$B$30),(Расчёты!C10-'Исходные данные'!$B$30+1)/DAY(Расчёты!C10),1))</f>
        <v>0</v>
      </c>
      <c r="BA10">
        <f>IF(AND(Расчёты!F10&gt;0,Расчёты!F10&lt;=N('Исходные данные'!$B$37)),-AZ10,0)</f>
        <v>0</v>
      </c>
      <c r="BB10">
        <f>IF(OR(Расчёты!F10=0,Расчёты!F10&lt;=N('Исходные данные'!$B$37)),0,-(AZ10+BA10)*N('Сценарный анализ'!$D$9))</f>
        <v>0</v>
      </c>
      <c r="BC10">
        <f t="shared" si="8"/>
        <v>0</v>
      </c>
      <c r="BD10">
        <f>IF('Исходные данные'!$B$51="Да",BC10*N('Исходные данные'!$B$52),0)</f>
        <v>0</v>
      </c>
      <c r="BE10">
        <f t="shared" si="9"/>
        <v>0</v>
      </c>
      <c r="BF10">
        <f>BC10+(Расчёты!Y10-Расчёты!L10)</f>
        <v>0</v>
      </c>
      <c r="BG10">
        <f t="shared" si="16"/>
        <v>0</v>
      </c>
      <c r="BH10">
        <f>IF('Исходные данные'!$B$51="Да",-MAX(0,BD10+Расчёты!R10+Расчёты!V10-Расчёты!P10-Расчёты!T10-BG10),0)</f>
        <v>0</v>
      </c>
      <c r="BI10">
        <f>IF('Исходные данные'!$B$51="Да",MAX(0,BG10+Расчёты!P10+Расчёты!T10-BD10-Расчёты!R10-Расчёты!V10),0)</f>
        <v>0</v>
      </c>
      <c r="BJ10">
        <f>IF('Исходные данные'!$B$53="Выручка",MAX(0,BC10+(Расчёты!Q10-Расчёты!R10)+(Расчёты!U10-Расчёты!V10)),IF('Исходные данные'!$B$53="Прибыль до налога",MAX(0,BC10+(Расчёты!Q10-Расчёты!R10)+(Расчёты!U10-Расчёты!V10)+N('Исходные данные'!$B$54)*((Расчёты!O10+Расчёты!P10)+(Расчёты!S10+Расчёты!T10)+Расчёты!W10+Расчёты!X10)+IF('Исходные данные'!$B$55="Да",Расчёты!AG10,0)-N('Исходные данные'!$B$56)/12),IF('Исходные данные'!$B$53="Пользовательская база",MAX(0,N('Исходные данные'!$B$57)/12),0)))</f>
        <v>0</v>
      </c>
      <c r="BK10">
        <f>IF(D10=1,-BJ10*N('Исходные данные'!$B$50),0)</f>
        <v>0</v>
      </c>
      <c r="BL10">
        <f t="shared" si="10"/>
        <v>0</v>
      </c>
      <c r="BM10">
        <f>IF(OR(D10&lt;&gt;1,B10="",'Исходные данные'!$B$91="",N('Исходные данные'!$B$80)&lt;=0,'Исходные данные'!$B$88=""),0,IF(AND(YEAR(B10)=YEAR('Исходные данные'!$B$91),MONTH(B10)=MONTH('Исходные данные'!$B$91)),MAX(0,IF('Исходные данные'!$B$88="Последние 12 месяцев",SUMIFS($BF$2:$BF$194,$B$2:$B$194,"&gt;="&amp;EDATE(B10,-11),$B$2:$B$194,"&lt;="&amp;B10),IF('Исходные данные'!$B$88="Пользовательский NOI",N('Исходные данные'!$B$89),BL10))/N('Исходные данные'!$B$80)*(1+N('Исходные данные'!$B$81))),0))</f>
        <v>0</v>
      </c>
      <c r="BN10">
        <f>-BM10*N('Исходные данные'!$B$73)</f>
        <v>0</v>
      </c>
      <c r="BO10">
        <f>IF(BM10=0,0,-N('Исходные данные'!$B$87)-IF('Исходные данные'!$B$82="Да",IF('Исходные данные'!$B$84="С выручки",BM10,IF('Исходные данные'!$B$84="С прибыли",MAX(0,BM10+BN10-IF('Исходные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0">
        <f t="shared" si="11"/>
        <v>0</v>
      </c>
      <c r="BQ10">
        <f>IF(D10=1,Расчёты!AZ10+BE10+BH10+BK10+BP10,0)</f>
        <v>0</v>
      </c>
      <c r="BR10" t="str">
        <f t="shared" si="17"/>
        <v/>
      </c>
      <c r="BS10">
        <f>IF(OR(D10=0,'Исходные данные'!$B$9="",'Исходные данные'!$B$90=""),0,BQ10/(1+'Исходные данные'!$B$90)^((C10-'Исходные данные'!$B$9)/365))</f>
        <v>0</v>
      </c>
      <c r="BT10">
        <f>IF(D10=1,BE10+Расчёты!O10+Расчёты!Q10+Расчёты!S10+Расчёты!U10+Расчёты!W10+Расчёты!X10+BH10+BK10,0)</f>
        <v>0</v>
      </c>
      <c r="BU10">
        <f>IF(AND(D10=1,BR10&gt;=0,BR9&lt;0,MIN($BR$2:BR10)&lt;0),1,0)</f>
        <v>0</v>
      </c>
      <c r="BV10">
        <f>Расчёты!AZ10+K10+N10-P10*N('Исходные данные'!$B$50)</f>
        <v>0</v>
      </c>
      <c r="BW10">
        <f t="shared" si="18"/>
        <v>0</v>
      </c>
      <c r="BX10">
        <f>IF(AND(BW10&gt;=0,BW9&lt;0,MIN($BW$2:BW10)&lt;0),1,0)</f>
        <v>0</v>
      </c>
      <c r="BY10">
        <f>Расчёты!AZ10+AH10+AK10-AM10*N('Исходные данные'!$B$50)</f>
        <v>0</v>
      </c>
      <c r="BZ10">
        <f t="shared" si="19"/>
        <v>0</v>
      </c>
      <c r="CA10">
        <f>IF(AND(BZ10&gt;=0,BZ9&lt;0,MIN($BZ$2:BZ10)&lt;0),1,0)</f>
        <v>0</v>
      </c>
      <c r="CB10">
        <f>Расчёты!AZ10+BE10+BH10-BJ10*N('Исходные данные'!$B$50)</f>
        <v>0</v>
      </c>
      <c r="CC10">
        <f t="shared" si="20"/>
        <v>0</v>
      </c>
      <c r="CD10">
        <f>IF(AND(CC10&gt;=0,CC9&lt;0,MIN($CC$2:CC10)&lt;0),1,0)</f>
        <v>0</v>
      </c>
    </row>
    <row r="11" spans="1:82" x14ac:dyDescent="0.2">
      <c r="A11">
        <f>Расчёты!A11</f>
        <v>10</v>
      </c>
      <c r="B11" t="str">
        <f>Расчёты!B11</f>
        <v/>
      </c>
      <c r="C11" t="str">
        <f>Расчёты!D11</f>
        <v/>
      </c>
      <c r="D11">
        <f>Расчёты!E11</f>
        <v>0</v>
      </c>
      <c r="E11">
        <f>IF(Расчёты!F11=0,0,IF(Расчёты!G11=1,N('Сценарный анализ'!$B$5),IF(Расчёты!G11=2,N('Сценарный анализ'!$B$6),IF(Расчёты!G11=3,N('Сценарный анализ'!$B$7),N('Сценарный анализ'!$B$7)*(1+N('Сценарный анализ'!$B$8))^(Расчёты!G11-3)))))</f>
        <v>0</v>
      </c>
      <c r="F11">
        <f>IF(OR(Расчёты!F11=0,N('Исходные данные'!$B$5)=0,E11=0),0,N('Исходные данные'!$B$5)*E11*IF(AND(B11&lt;='Исходные данные'!$B$30,Расчёты!C11&gt;='Исходные данные'!$B$30),(Расчёты!C11-'Исходные данные'!$B$30+1)/DAY(Расчёты!C11),1))</f>
        <v>0</v>
      </c>
      <c r="G11">
        <f>IF(AND(Расчёты!F11&gt;0,Расчёты!F11&lt;=N('Исходные данные'!$B$37)),-F11,0)</f>
        <v>0</v>
      </c>
      <c r="H11">
        <f>IF(OR(Расчёты!F11=0,Расчёты!F11&lt;=N('Исходные данные'!$B$37)),0,-(F11+G11)*N('Сценарный анализ'!$B$9))</f>
        <v>0</v>
      </c>
      <c r="I11">
        <f t="shared" si="0"/>
        <v>0</v>
      </c>
      <c r="J11">
        <f>IF('Исходные данные'!$B$51="Да",I11*N('Исходные данные'!$B$52),0)</f>
        <v>0</v>
      </c>
      <c r="K11">
        <f t="shared" si="1"/>
        <v>0</v>
      </c>
      <c r="L11">
        <f>I11+(Расчёты!Y11-Расчёты!L11)</f>
        <v>0</v>
      </c>
      <c r="M11">
        <f t="shared" si="12"/>
        <v>0</v>
      </c>
      <c r="N11">
        <f>IF('Исходные данные'!$B$51="Да",-MAX(0,J11+Расчёты!R11+Расчёты!V11-Расчёты!P11-Расчёты!T11-M11),0)</f>
        <v>0</v>
      </c>
      <c r="O11">
        <f>IF('Исходные данные'!$B$51="Да",MAX(0,M11+Расчёты!P11+Расчёты!T11-J11-Расчёты!R11-Расчёты!V11),0)</f>
        <v>0</v>
      </c>
      <c r="P11">
        <f>IF('Исходные данные'!$B$53="Выручка",MAX(0,I11+(Расчёты!Q11-Расчёты!R11)+(Расчёты!U11-Расчёты!V11)),IF('Исходные данные'!$B$53="Прибыль до налога",MAX(0,I11+(Расчёты!Q11-Расчёты!R11)+(Расчёты!U11-Расчёты!V11)+N('Исходные данные'!$B$54)*((Расчёты!O11+Расчёты!P11)+(Расчёты!S11+Расчёты!T11)+Расчёты!W11+Расчёты!X11)+IF('Исходные данные'!$B$55="Да",Расчёты!AG11,0)-N('Исходные данные'!$B$56)/12),IF('Исходные данные'!$B$53="Пользовательская база",MAX(0,N('Исходные данные'!$B$57)/12),0)))</f>
        <v>0</v>
      </c>
      <c r="Q11">
        <f>IF(D11=1,-P11*N('Исходные данные'!$B$50),0)</f>
        <v>0</v>
      </c>
      <c r="R11">
        <f t="shared" si="2"/>
        <v>0</v>
      </c>
      <c r="S11">
        <f>IF(OR(D11&lt;&gt;1,B11="",'Исходные данные'!$B$91="",N('Исходные данные'!$B$80)&lt;=0,'Исходные данные'!$B$88=""),0,IF(AND(YEAR(B11)=YEAR('Исходные данные'!$B$91),MONTH(B11)=MONTH('Исходные данные'!$B$91)),MAX(0,IF('Исходные данные'!$B$88="Последние 12 месяцев",SUMIFS($L$2:$L$194,$B$2:$B$194,"&gt;="&amp;EDATE(B11,-11),$B$2:$B$194,"&lt;="&amp;B11),IF('Исходные данные'!$B$88="Пользовательский NOI",N('Исходные данные'!$B$89),R11))/N('Исходные данные'!$B$80)*(1+N('Исходные данные'!$B$81))),0))</f>
        <v>0</v>
      </c>
      <c r="T11">
        <f>-S11*N('Исходные данные'!$B$73)</f>
        <v>0</v>
      </c>
      <c r="U11">
        <f>IF(S11=0,0,-N('Исходные данные'!$B$87)-IF('Исходные данные'!$B$82="Да",IF('Исходные данные'!$B$84="С выручки",S11,IF('Исходные данные'!$B$84="С прибыли",MAX(0,S11+T11-IF('Исходные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1">
        <f t="shared" si="3"/>
        <v>0</v>
      </c>
      <c r="W11">
        <f>IF(D11=1,Расчёты!AZ11+K11+N11+Q11+V11,0)</f>
        <v>0</v>
      </c>
      <c r="X11" t="str">
        <f t="shared" si="13"/>
        <v/>
      </c>
      <c r="Y11">
        <f>IF(OR(D11=0,'Исходные данные'!$B$9="",'Исходные данные'!$B$90=""),0,W11/(1+'Исходные данные'!$B$90)^((C11-'Исходные данные'!$B$9)/365))</f>
        <v>0</v>
      </c>
      <c r="Z11">
        <f>IF(D11=1,K11+Расчёты!O11+Расчёты!Q11+Расчёты!S11+Расчёты!U11+Расчёты!W11+Расчёты!X11+N11+Q11,0)</f>
        <v>0</v>
      </c>
      <c r="AA11">
        <f>IF(AND(D11=1,X11&gt;=0,X10&lt;0,MIN($X$2:X11)&lt;0),1,0)</f>
        <v>0</v>
      </c>
      <c r="AB11">
        <f>IF(Расчёты!F11=0,0,IF(Расчёты!G11=1,N('Сценарный анализ'!$C$5),IF(Расчёты!G11=2,N('Сценарный анализ'!$C$6),IF(Расчёты!G11=3,N('Сценарный анализ'!$C$7),N('Сценарный анализ'!$C$7)*(1+N('Сценарный анализ'!$C$8))^(Расчёты!G11-3)))))</f>
        <v>0</v>
      </c>
      <c r="AC11">
        <f>IF(OR(Расчёты!F11=0,N('Исходные данные'!$B$5)=0,AB11=0),0,N('Исходные данные'!$B$5)*AB11*IF(AND(B11&lt;='Исходные данные'!$B$30,Расчёты!C11&gt;='Исходные данные'!$B$30),(Расчёты!C11-'Исходные данные'!$B$30+1)/DAY(Расчёты!C11),1))</f>
        <v>0</v>
      </c>
      <c r="AD11">
        <f>IF(AND(Расчёты!F11&gt;0,Расчёты!F11&lt;=N('Исходные данные'!$B$37)),-AC11,0)</f>
        <v>0</v>
      </c>
      <c r="AE11">
        <f>IF(OR(Расчёты!F11=0,Расчёты!F11&lt;=N('Исходные данные'!$B$37)),0,-(AC11+AD11)*N('Сценарный анализ'!$C$9))</f>
        <v>0</v>
      </c>
      <c r="AF11">
        <f t="shared" si="4"/>
        <v>0</v>
      </c>
      <c r="AG11">
        <f>IF('Исходные данные'!$B$51="Да",AF11*N('Исходные данные'!$B$52),0)</f>
        <v>0</v>
      </c>
      <c r="AH11">
        <f t="shared" si="5"/>
        <v>0</v>
      </c>
      <c r="AI11">
        <f>AF11+(Расчёты!Y11-Расчёты!L11)</f>
        <v>0</v>
      </c>
      <c r="AJ11">
        <f t="shared" si="14"/>
        <v>0</v>
      </c>
      <c r="AK11">
        <f>IF('Исходные данные'!$B$51="Да",-MAX(0,AG11+Расчёты!R11+Расчёты!V11-Расчёты!P11-Расчёты!T11-AJ11),0)</f>
        <v>0</v>
      </c>
      <c r="AL11">
        <f>IF('Исходные данные'!$B$51="Да",MAX(0,AJ11+Расчёты!P11+Расчёты!T11-AG11-Расчёты!R11-Расчёты!V11),0)</f>
        <v>0</v>
      </c>
      <c r="AM11">
        <f>IF('Исходные данные'!$B$53="Выручка",MAX(0,AF11+(Расчёты!Q11-Расчёты!R11)+(Расчёты!U11-Расчёты!V11)),IF('Исходные данные'!$B$53="Прибыль до налога",MAX(0,AF11+(Расчёты!Q11-Расчёты!R11)+(Расчёты!U11-Расчёты!V11)+N('Исходные данные'!$B$54)*((Расчёты!O11+Расчёты!P11)+(Расчёты!S11+Расчёты!T11)+Расчёты!W11+Расчёты!X11)+IF('Исходные данные'!$B$55="Да",Расчёты!AG11,0)-N('Исходные данные'!$B$56)/12),IF('Исходные данные'!$B$53="Пользовательская база",MAX(0,N('Исходные данные'!$B$57)/12),0)))</f>
        <v>0</v>
      </c>
      <c r="AN11">
        <f>IF(D11=1,-AM11*N('Исходные данные'!$B$50),0)</f>
        <v>0</v>
      </c>
      <c r="AO11">
        <f t="shared" si="6"/>
        <v>0</v>
      </c>
      <c r="AP11">
        <f>IF(OR(D11&lt;&gt;1,B11="",'Исходные данные'!$B$91="",N('Исходные данные'!$B$80)&lt;=0,'Исходные данные'!$B$88=""),0,IF(AND(YEAR(B11)=YEAR('Исходные данные'!$B$91),MONTH(B11)=MONTH('Исходные данные'!$B$91)),MAX(0,IF('Исходные данные'!$B$88="Последние 12 месяцев",SUMIFS($AI$2:$AI$194,$B$2:$B$194,"&gt;="&amp;EDATE(B11,-11),$B$2:$B$194,"&lt;="&amp;B11),IF('Исходные данные'!$B$88="Пользовательский NOI",N('Исходные данные'!$B$89),AO11))/N('Исходные данные'!$B$80)*(1+N('Исходные данные'!$B$81))),0))</f>
        <v>0</v>
      </c>
      <c r="AQ11">
        <f>-AP11*N('Исходные данные'!$B$73)</f>
        <v>0</v>
      </c>
      <c r="AR11">
        <f>IF(AP11=0,0,-N('Исходные данные'!$B$87)-IF('Исходные данные'!$B$82="Да",IF('Исходные данные'!$B$84="С выручки",AP11,IF('Исходные данные'!$B$84="С прибыли",MAX(0,AP11+AQ11-IF('Исходные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1">
        <f t="shared" si="7"/>
        <v>0</v>
      </c>
      <c r="AT11">
        <f>IF(D11=1,Расчёты!AZ11+AH11+AK11+AN11+AS11,0)</f>
        <v>0</v>
      </c>
      <c r="AU11" t="str">
        <f t="shared" si="15"/>
        <v/>
      </c>
      <c r="AV11">
        <f>IF(OR(D11=0,'Исходные данные'!$B$9="",'Исходные данные'!$B$90=""),0,AT11/(1+'Исходные данные'!$B$90)^((C11-'Исходные данные'!$B$9)/365))</f>
        <v>0</v>
      </c>
      <c r="AW11">
        <f>IF(D11=1,AH11+Расчёты!O11+Расчёты!Q11+Расчёты!S11+Расчёты!U11+Расчёты!W11+Расчёты!X11+AK11+AN11,0)</f>
        <v>0</v>
      </c>
      <c r="AX11">
        <f>IF(AND(D11=1,AU11&gt;=0,AU10&lt;0,MIN($AU$2:AU11)&lt;0),1,0)</f>
        <v>0</v>
      </c>
      <c r="AY11">
        <f>IF(Расчёты!F11=0,0,IF(Расчёты!G11=1,N('Сценарный анализ'!$D$5),IF(Расчёты!G11=2,N('Сценарный анализ'!$D$6),IF(Расчёты!G11=3,N('Сценарный анализ'!$D$7),N('Сценарный анализ'!$D$7)*(1+N('Сценарный анализ'!$D$8))^(Расчёты!G11-3)))))</f>
        <v>0</v>
      </c>
      <c r="AZ11">
        <f>IF(OR(Расчёты!F11=0,N('Исходные данные'!$B$5)=0,AY11=0),0,N('Исходные данные'!$B$5)*AY11*IF(AND(B11&lt;='Исходные данные'!$B$30,Расчёты!C11&gt;='Исходные данные'!$B$30),(Расчёты!C11-'Исходные данные'!$B$30+1)/DAY(Расчёты!C11),1))</f>
        <v>0</v>
      </c>
      <c r="BA11">
        <f>IF(AND(Расчёты!F11&gt;0,Расчёты!F11&lt;=N('Исходные данные'!$B$37)),-AZ11,0)</f>
        <v>0</v>
      </c>
      <c r="BB11">
        <f>IF(OR(Расчёты!F11=0,Расчёты!F11&lt;=N('Исходные данные'!$B$37)),0,-(AZ11+BA11)*N('Сценарный анализ'!$D$9))</f>
        <v>0</v>
      </c>
      <c r="BC11">
        <f t="shared" si="8"/>
        <v>0</v>
      </c>
      <c r="BD11">
        <f>IF('Исходные данные'!$B$51="Да",BC11*N('Исходные данные'!$B$52),0)</f>
        <v>0</v>
      </c>
      <c r="BE11">
        <f t="shared" si="9"/>
        <v>0</v>
      </c>
      <c r="BF11">
        <f>BC11+(Расчёты!Y11-Расчёты!L11)</f>
        <v>0</v>
      </c>
      <c r="BG11">
        <f t="shared" si="16"/>
        <v>0</v>
      </c>
      <c r="BH11">
        <f>IF('Исходные данные'!$B$51="Да",-MAX(0,BD11+Расчёты!R11+Расчёты!V11-Расчёты!P11-Расчёты!T11-BG11),0)</f>
        <v>0</v>
      </c>
      <c r="BI11">
        <f>IF('Исходные данные'!$B$51="Да",MAX(0,BG11+Расчёты!P11+Расчёты!T11-BD11-Расчёты!R11-Расчёты!V11),0)</f>
        <v>0</v>
      </c>
      <c r="BJ11">
        <f>IF('Исходные данные'!$B$53="Выручка",MAX(0,BC11+(Расчёты!Q11-Расчёты!R11)+(Расчёты!U11-Расчёты!V11)),IF('Исходные данные'!$B$53="Прибыль до налога",MAX(0,BC11+(Расчёты!Q11-Расчёты!R11)+(Расчёты!U11-Расчёты!V11)+N('Исходные данные'!$B$54)*((Расчёты!O11+Расчёты!P11)+(Расчёты!S11+Расчёты!T11)+Расчёты!W11+Расчёты!X11)+IF('Исходные данные'!$B$55="Да",Расчёты!AG11,0)-N('Исходные данные'!$B$56)/12),IF('Исходные данные'!$B$53="Пользовательская база",MAX(0,N('Исходные данные'!$B$57)/12),0)))</f>
        <v>0</v>
      </c>
      <c r="BK11">
        <f>IF(D11=1,-BJ11*N('Исходные данные'!$B$50),0)</f>
        <v>0</v>
      </c>
      <c r="BL11">
        <f t="shared" si="10"/>
        <v>0</v>
      </c>
      <c r="BM11">
        <f>IF(OR(D11&lt;&gt;1,B11="",'Исходные данные'!$B$91="",N('Исходные данные'!$B$80)&lt;=0,'Исходные данные'!$B$88=""),0,IF(AND(YEAR(B11)=YEAR('Исходные данные'!$B$91),MONTH(B11)=MONTH('Исходные данные'!$B$91)),MAX(0,IF('Исходные данные'!$B$88="Последние 12 месяцев",SUMIFS($BF$2:$BF$194,$B$2:$B$194,"&gt;="&amp;EDATE(B11,-11),$B$2:$B$194,"&lt;="&amp;B11),IF('Исходные данные'!$B$88="Пользовательский NOI",N('Исходные данные'!$B$89),BL11))/N('Исходные данные'!$B$80)*(1+N('Исходные данные'!$B$81))),0))</f>
        <v>0</v>
      </c>
      <c r="BN11">
        <f>-BM11*N('Исходные данные'!$B$73)</f>
        <v>0</v>
      </c>
      <c r="BO11">
        <f>IF(BM11=0,0,-N('Исходные данные'!$B$87)-IF('Исходные данные'!$B$82="Да",IF('Исходные данные'!$B$84="С выручки",BM11,IF('Исходные данные'!$B$84="С прибыли",MAX(0,BM11+BN11-IF('Исходные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1">
        <f t="shared" si="11"/>
        <v>0</v>
      </c>
      <c r="BQ11">
        <f>IF(D11=1,Расчёты!AZ11+BE11+BH11+BK11+BP11,0)</f>
        <v>0</v>
      </c>
      <c r="BR11" t="str">
        <f t="shared" si="17"/>
        <v/>
      </c>
      <c r="BS11">
        <f>IF(OR(D11=0,'Исходные данные'!$B$9="",'Исходные данные'!$B$90=""),0,BQ11/(1+'Исходные данные'!$B$90)^((C11-'Исходные данные'!$B$9)/365))</f>
        <v>0</v>
      </c>
      <c r="BT11">
        <f>IF(D11=1,BE11+Расчёты!O11+Расчёты!Q11+Расчёты!S11+Расчёты!U11+Расчёты!W11+Расчёты!X11+BH11+BK11,0)</f>
        <v>0</v>
      </c>
      <c r="BU11">
        <f>IF(AND(D11=1,BR11&gt;=0,BR10&lt;0,MIN($BR$2:BR11)&lt;0),1,0)</f>
        <v>0</v>
      </c>
      <c r="BV11">
        <f>Расчёты!AZ11+K11+N11-P11*N('Исходные данные'!$B$50)</f>
        <v>0</v>
      </c>
      <c r="BW11">
        <f t="shared" si="18"/>
        <v>0</v>
      </c>
      <c r="BX11">
        <f>IF(AND(BW11&gt;=0,BW10&lt;0,MIN($BW$2:BW11)&lt;0),1,0)</f>
        <v>0</v>
      </c>
      <c r="BY11">
        <f>Расчёты!AZ11+AH11+AK11-AM11*N('Исходные данные'!$B$50)</f>
        <v>0</v>
      </c>
      <c r="BZ11">
        <f t="shared" si="19"/>
        <v>0</v>
      </c>
      <c r="CA11">
        <f>IF(AND(BZ11&gt;=0,BZ10&lt;0,MIN($BZ$2:BZ11)&lt;0),1,0)</f>
        <v>0</v>
      </c>
      <c r="CB11">
        <f>Расчёты!AZ11+BE11+BH11-BJ11*N('Исходные данные'!$B$50)</f>
        <v>0</v>
      </c>
      <c r="CC11">
        <f t="shared" si="20"/>
        <v>0</v>
      </c>
      <c r="CD11">
        <f>IF(AND(CC11&gt;=0,CC10&lt;0,MIN($CC$2:CC11)&lt;0),1,0)</f>
        <v>0</v>
      </c>
    </row>
    <row r="12" spans="1:82" x14ac:dyDescent="0.2">
      <c r="A12">
        <f>Расчёты!A12</f>
        <v>11</v>
      </c>
      <c r="B12" t="str">
        <f>Расчёты!B12</f>
        <v/>
      </c>
      <c r="C12" t="str">
        <f>Расчёты!D12</f>
        <v/>
      </c>
      <c r="D12">
        <f>Расчёты!E12</f>
        <v>0</v>
      </c>
      <c r="E12">
        <f>IF(Расчёты!F12=0,0,IF(Расчёты!G12=1,N('Сценарный анализ'!$B$5),IF(Расчёты!G12=2,N('Сценарный анализ'!$B$6),IF(Расчёты!G12=3,N('Сценарный анализ'!$B$7),N('Сценарный анализ'!$B$7)*(1+N('Сценарный анализ'!$B$8))^(Расчёты!G12-3)))))</f>
        <v>0</v>
      </c>
      <c r="F12">
        <f>IF(OR(Расчёты!F12=0,N('Исходные данные'!$B$5)=0,E12=0),0,N('Исходные данные'!$B$5)*E12*IF(AND(B12&lt;='Исходные данные'!$B$30,Расчёты!C12&gt;='Исходные данные'!$B$30),(Расчёты!C12-'Исходные данные'!$B$30+1)/DAY(Расчёты!C12),1))</f>
        <v>0</v>
      </c>
      <c r="G12">
        <f>IF(AND(Расчёты!F12&gt;0,Расчёты!F12&lt;=N('Исходные данные'!$B$37)),-F12,0)</f>
        <v>0</v>
      </c>
      <c r="H12">
        <f>IF(OR(Расчёты!F12=0,Расчёты!F12&lt;=N('Исходные данные'!$B$37)),0,-(F12+G12)*N('Сценарный анализ'!$B$9))</f>
        <v>0</v>
      </c>
      <c r="I12">
        <f t="shared" si="0"/>
        <v>0</v>
      </c>
      <c r="J12">
        <f>IF('Исходные данные'!$B$51="Да",I12*N('Исходные данные'!$B$52),0)</f>
        <v>0</v>
      </c>
      <c r="K12">
        <f t="shared" si="1"/>
        <v>0</v>
      </c>
      <c r="L12">
        <f>I12+(Расчёты!Y12-Расчёты!L12)</f>
        <v>0</v>
      </c>
      <c r="M12">
        <f t="shared" si="12"/>
        <v>0</v>
      </c>
      <c r="N12">
        <f>IF('Исходные данные'!$B$51="Да",-MAX(0,J12+Расчёты!R12+Расчёты!V12-Расчёты!P12-Расчёты!T12-M12),0)</f>
        <v>0</v>
      </c>
      <c r="O12">
        <f>IF('Исходные данные'!$B$51="Да",MAX(0,M12+Расчёты!P12+Расчёты!T12-J12-Расчёты!R12-Расчёты!V12),0)</f>
        <v>0</v>
      </c>
      <c r="P12">
        <f>IF('Исходные данные'!$B$53="Выручка",MAX(0,I12+(Расчёты!Q12-Расчёты!R12)+(Расчёты!U12-Расчёты!V12)),IF('Исходные данные'!$B$53="Прибыль до налога",MAX(0,I12+(Расчёты!Q12-Расчёты!R12)+(Расчёты!U12-Расчёты!V12)+N('Исходные данные'!$B$54)*((Расчёты!O12+Расчёты!P12)+(Расчёты!S12+Расчёты!T12)+Расчёты!W12+Расчёты!X12)+IF('Исходные данные'!$B$55="Да",Расчёты!AG12,0)-N('Исходные данные'!$B$56)/12),IF('Исходные данные'!$B$53="Пользовательская база",MAX(0,N('Исходные данные'!$B$57)/12),0)))</f>
        <v>0</v>
      </c>
      <c r="Q12">
        <f>IF(D12=1,-P12*N('Исходные данные'!$B$50),0)</f>
        <v>0</v>
      </c>
      <c r="R12">
        <f t="shared" si="2"/>
        <v>0</v>
      </c>
      <c r="S12">
        <f>IF(OR(D12&lt;&gt;1,B12="",'Исходные данные'!$B$91="",N('Исходные данные'!$B$80)&lt;=0,'Исходные данные'!$B$88=""),0,IF(AND(YEAR(B12)=YEAR('Исходные данные'!$B$91),MONTH(B12)=MONTH('Исходные данные'!$B$91)),MAX(0,IF('Исходные данные'!$B$88="Последние 12 месяцев",SUMIFS($L$2:$L$194,$B$2:$B$194,"&gt;="&amp;EDATE(B12,-11),$B$2:$B$194,"&lt;="&amp;B12),IF('Исходные данные'!$B$88="Пользовательский NOI",N('Исходные данные'!$B$89),R12))/N('Исходные данные'!$B$80)*(1+N('Исходные данные'!$B$81))),0))</f>
        <v>0</v>
      </c>
      <c r="T12">
        <f>-S12*N('Исходные данные'!$B$73)</f>
        <v>0</v>
      </c>
      <c r="U12">
        <f>IF(S12=0,0,-N('Исходные данные'!$B$87)-IF('Исходные данные'!$B$82="Да",IF('Исходные данные'!$B$84="С выручки",S12,IF('Исходные данные'!$B$84="С прибыли",MAX(0,S12+T12-IF('Исходные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2">
        <f t="shared" si="3"/>
        <v>0</v>
      </c>
      <c r="W12">
        <f>IF(D12=1,Расчёты!AZ12+K12+N12+Q12+V12,0)</f>
        <v>0</v>
      </c>
      <c r="X12" t="str">
        <f t="shared" si="13"/>
        <v/>
      </c>
      <c r="Y12">
        <f>IF(OR(D12=0,'Исходные данные'!$B$9="",'Исходные данные'!$B$90=""),0,W12/(1+'Исходные данные'!$B$90)^((C12-'Исходные данные'!$B$9)/365))</f>
        <v>0</v>
      </c>
      <c r="Z12">
        <f>IF(D12=1,K12+Расчёты!O12+Расчёты!Q12+Расчёты!S12+Расчёты!U12+Расчёты!W12+Расчёты!X12+N12+Q12,0)</f>
        <v>0</v>
      </c>
      <c r="AA12">
        <f>IF(AND(D12=1,X12&gt;=0,X11&lt;0,MIN($X$2:X12)&lt;0),1,0)</f>
        <v>0</v>
      </c>
      <c r="AB12">
        <f>IF(Расчёты!F12=0,0,IF(Расчёты!G12=1,N('Сценарный анализ'!$C$5),IF(Расчёты!G12=2,N('Сценарный анализ'!$C$6),IF(Расчёты!G12=3,N('Сценарный анализ'!$C$7),N('Сценарный анализ'!$C$7)*(1+N('Сценарный анализ'!$C$8))^(Расчёты!G12-3)))))</f>
        <v>0</v>
      </c>
      <c r="AC12">
        <f>IF(OR(Расчёты!F12=0,N('Исходные данные'!$B$5)=0,AB12=0),0,N('Исходные данные'!$B$5)*AB12*IF(AND(B12&lt;='Исходные данные'!$B$30,Расчёты!C12&gt;='Исходные данные'!$B$30),(Расчёты!C12-'Исходные данные'!$B$30+1)/DAY(Расчёты!C12),1))</f>
        <v>0</v>
      </c>
      <c r="AD12">
        <f>IF(AND(Расчёты!F12&gt;0,Расчёты!F12&lt;=N('Исходные данные'!$B$37)),-AC12,0)</f>
        <v>0</v>
      </c>
      <c r="AE12">
        <f>IF(OR(Расчёты!F12=0,Расчёты!F12&lt;=N('Исходные данные'!$B$37)),0,-(AC12+AD12)*N('Сценарный анализ'!$C$9))</f>
        <v>0</v>
      </c>
      <c r="AF12">
        <f t="shared" si="4"/>
        <v>0</v>
      </c>
      <c r="AG12">
        <f>IF('Исходные данные'!$B$51="Да",AF12*N('Исходные данные'!$B$52),0)</f>
        <v>0</v>
      </c>
      <c r="AH12">
        <f t="shared" si="5"/>
        <v>0</v>
      </c>
      <c r="AI12">
        <f>AF12+(Расчёты!Y12-Расчёты!L12)</f>
        <v>0</v>
      </c>
      <c r="AJ12">
        <f t="shared" si="14"/>
        <v>0</v>
      </c>
      <c r="AK12">
        <f>IF('Исходные данные'!$B$51="Да",-MAX(0,AG12+Расчёты!R12+Расчёты!V12-Расчёты!P12-Расчёты!T12-AJ12),0)</f>
        <v>0</v>
      </c>
      <c r="AL12">
        <f>IF('Исходные данные'!$B$51="Да",MAX(0,AJ12+Расчёты!P12+Расчёты!T12-AG12-Расчёты!R12-Расчёты!V12),0)</f>
        <v>0</v>
      </c>
      <c r="AM12">
        <f>IF('Исходные данные'!$B$53="Выручка",MAX(0,AF12+(Расчёты!Q12-Расчёты!R12)+(Расчёты!U12-Расчёты!V12)),IF('Исходные данные'!$B$53="Прибыль до налога",MAX(0,AF12+(Расчёты!Q12-Расчёты!R12)+(Расчёты!U12-Расчёты!V12)+N('Исходные данные'!$B$54)*((Расчёты!O12+Расчёты!P12)+(Расчёты!S12+Расчёты!T12)+Расчёты!W12+Расчёты!X12)+IF('Исходные данные'!$B$55="Да",Расчёты!AG12,0)-N('Исходные данные'!$B$56)/12),IF('Исходные данные'!$B$53="Пользовательская база",MAX(0,N('Исходные данные'!$B$57)/12),0)))</f>
        <v>0</v>
      </c>
      <c r="AN12">
        <f>IF(D12=1,-AM12*N('Исходные данные'!$B$50),0)</f>
        <v>0</v>
      </c>
      <c r="AO12">
        <f t="shared" si="6"/>
        <v>0</v>
      </c>
      <c r="AP12">
        <f>IF(OR(D12&lt;&gt;1,B12="",'Исходные данные'!$B$91="",N('Исходные данные'!$B$80)&lt;=0,'Исходные данные'!$B$88=""),0,IF(AND(YEAR(B12)=YEAR('Исходные данные'!$B$91),MONTH(B12)=MONTH('Исходные данные'!$B$91)),MAX(0,IF('Исходные данные'!$B$88="Последние 12 месяцев",SUMIFS($AI$2:$AI$194,$B$2:$B$194,"&gt;="&amp;EDATE(B12,-11),$B$2:$B$194,"&lt;="&amp;B12),IF('Исходные данные'!$B$88="Пользовательский NOI",N('Исходные данные'!$B$89),AO12))/N('Исходные данные'!$B$80)*(1+N('Исходные данные'!$B$81))),0))</f>
        <v>0</v>
      </c>
      <c r="AQ12">
        <f>-AP12*N('Исходные данные'!$B$73)</f>
        <v>0</v>
      </c>
      <c r="AR12">
        <f>IF(AP12=0,0,-N('Исходные данные'!$B$87)-IF('Исходные данные'!$B$82="Да",IF('Исходные данные'!$B$84="С выручки",AP12,IF('Исходные данные'!$B$84="С прибыли",MAX(0,AP12+AQ12-IF('Исходные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2">
        <f t="shared" si="7"/>
        <v>0</v>
      </c>
      <c r="AT12">
        <f>IF(D12=1,Расчёты!AZ12+AH12+AK12+AN12+AS12,0)</f>
        <v>0</v>
      </c>
      <c r="AU12" t="str">
        <f t="shared" si="15"/>
        <v/>
      </c>
      <c r="AV12">
        <f>IF(OR(D12=0,'Исходные данные'!$B$9="",'Исходные данные'!$B$90=""),0,AT12/(1+'Исходные данные'!$B$90)^((C12-'Исходные данные'!$B$9)/365))</f>
        <v>0</v>
      </c>
      <c r="AW12">
        <f>IF(D12=1,AH12+Расчёты!O12+Расчёты!Q12+Расчёты!S12+Расчёты!U12+Расчёты!W12+Расчёты!X12+AK12+AN12,0)</f>
        <v>0</v>
      </c>
      <c r="AX12">
        <f>IF(AND(D12=1,AU12&gt;=0,AU11&lt;0,MIN($AU$2:AU12)&lt;0),1,0)</f>
        <v>0</v>
      </c>
      <c r="AY12">
        <f>IF(Расчёты!F12=0,0,IF(Расчёты!G12=1,N('Сценарный анализ'!$D$5),IF(Расчёты!G12=2,N('Сценарный анализ'!$D$6),IF(Расчёты!G12=3,N('Сценарный анализ'!$D$7),N('Сценарный анализ'!$D$7)*(1+N('Сценарный анализ'!$D$8))^(Расчёты!G12-3)))))</f>
        <v>0</v>
      </c>
      <c r="AZ12">
        <f>IF(OR(Расчёты!F12=0,N('Исходные данные'!$B$5)=0,AY12=0),0,N('Исходные данные'!$B$5)*AY12*IF(AND(B12&lt;='Исходные данные'!$B$30,Расчёты!C12&gt;='Исходные данные'!$B$30),(Расчёты!C12-'Исходные данные'!$B$30+1)/DAY(Расчёты!C12),1))</f>
        <v>0</v>
      </c>
      <c r="BA12">
        <f>IF(AND(Расчёты!F12&gt;0,Расчёты!F12&lt;=N('Исходные данные'!$B$37)),-AZ12,0)</f>
        <v>0</v>
      </c>
      <c r="BB12">
        <f>IF(OR(Расчёты!F12=0,Расчёты!F12&lt;=N('Исходные данные'!$B$37)),0,-(AZ12+BA12)*N('Сценарный анализ'!$D$9))</f>
        <v>0</v>
      </c>
      <c r="BC12">
        <f t="shared" si="8"/>
        <v>0</v>
      </c>
      <c r="BD12">
        <f>IF('Исходные данные'!$B$51="Да",BC12*N('Исходные данные'!$B$52),0)</f>
        <v>0</v>
      </c>
      <c r="BE12">
        <f t="shared" si="9"/>
        <v>0</v>
      </c>
      <c r="BF12">
        <f>BC12+(Расчёты!Y12-Расчёты!L12)</f>
        <v>0</v>
      </c>
      <c r="BG12">
        <f t="shared" si="16"/>
        <v>0</v>
      </c>
      <c r="BH12">
        <f>IF('Исходные данные'!$B$51="Да",-MAX(0,BD12+Расчёты!R12+Расчёты!V12-Расчёты!P12-Расчёты!T12-BG12),0)</f>
        <v>0</v>
      </c>
      <c r="BI12">
        <f>IF('Исходные данные'!$B$51="Да",MAX(0,BG12+Расчёты!P12+Расчёты!T12-BD12-Расчёты!R12-Расчёты!V12),0)</f>
        <v>0</v>
      </c>
      <c r="BJ12">
        <f>IF('Исходные данные'!$B$53="Выручка",MAX(0,BC12+(Расчёты!Q12-Расчёты!R12)+(Расчёты!U12-Расчёты!V12)),IF('Исходные данные'!$B$53="Прибыль до налога",MAX(0,BC12+(Расчёты!Q12-Расчёты!R12)+(Расчёты!U12-Расчёты!V12)+N('Исходные данные'!$B$54)*((Расчёты!O12+Расчёты!P12)+(Расчёты!S12+Расчёты!T12)+Расчёты!W12+Расчёты!X12)+IF('Исходные данные'!$B$55="Да",Расчёты!AG12,0)-N('Исходные данные'!$B$56)/12),IF('Исходные данные'!$B$53="Пользовательская база",MAX(0,N('Исходные данные'!$B$57)/12),0)))</f>
        <v>0</v>
      </c>
      <c r="BK12">
        <f>IF(D12=1,-BJ12*N('Исходные данные'!$B$50),0)</f>
        <v>0</v>
      </c>
      <c r="BL12">
        <f t="shared" si="10"/>
        <v>0</v>
      </c>
      <c r="BM12">
        <f>IF(OR(D12&lt;&gt;1,B12="",'Исходные данные'!$B$91="",N('Исходные данные'!$B$80)&lt;=0,'Исходные данные'!$B$88=""),0,IF(AND(YEAR(B12)=YEAR('Исходные данные'!$B$91),MONTH(B12)=MONTH('Исходные данные'!$B$91)),MAX(0,IF('Исходные данные'!$B$88="Последние 12 месяцев",SUMIFS($BF$2:$BF$194,$B$2:$B$194,"&gt;="&amp;EDATE(B12,-11),$B$2:$B$194,"&lt;="&amp;B12),IF('Исходные данные'!$B$88="Пользовательский NOI",N('Исходные данные'!$B$89),BL12))/N('Исходные данные'!$B$80)*(1+N('Исходные данные'!$B$81))),0))</f>
        <v>0</v>
      </c>
      <c r="BN12">
        <f>-BM12*N('Исходные данные'!$B$73)</f>
        <v>0</v>
      </c>
      <c r="BO12">
        <f>IF(BM12=0,0,-N('Исходные данные'!$B$87)-IF('Исходные данные'!$B$82="Да",IF('Исходные данные'!$B$84="С выручки",BM12,IF('Исходные данные'!$B$84="С прибыли",MAX(0,BM12+BN12-IF('Исходные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2">
        <f t="shared" si="11"/>
        <v>0</v>
      </c>
      <c r="BQ12">
        <f>IF(D12=1,Расчёты!AZ12+BE12+BH12+BK12+BP12,0)</f>
        <v>0</v>
      </c>
      <c r="BR12" t="str">
        <f t="shared" si="17"/>
        <v/>
      </c>
      <c r="BS12">
        <f>IF(OR(D12=0,'Исходные данные'!$B$9="",'Исходные данные'!$B$90=""),0,BQ12/(1+'Исходные данные'!$B$90)^((C12-'Исходные данные'!$B$9)/365))</f>
        <v>0</v>
      </c>
      <c r="BT12">
        <f>IF(D12=1,BE12+Расчёты!O12+Расчёты!Q12+Расчёты!S12+Расчёты!U12+Расчёты!W12+Расчёты!X12+BH12+BK12,0)</f>
        <v>0</v>
      </c>
      <c r="BU12">
        <f>IF(AND(D12=1,BR12&gt;=0,BR11&lt;0,MIN($BR$2:BR12)&lt;0),1,0)</f>
        <v>0</v>
      </c>
      <c r="BV12">
        <f>Расчёты!AZ12+K12+N12-P12*N('Исходные данные'!$B$50)</f>
        <v>0</v>
      </c>
      <c r="BW12">
        <f t="shared" si="18"/>
        <v>0</v>
      </c>
      <c r="BX12">
        <f>IF(AND(BW12&gt;=0,BW11&lt;0,MIN($BW$2:BW12)&lt;0),1,0)</f>
        <v>0</v>
      </c>
      <c r="BY12">
        <f>Расчёты!AZ12+AH12+AK12-AM12*N('Исходные данные'!$B$50)</f>
        <v>0</v>
      </c>
      <c r="BZ12">
        <f t="shared" si="19"/>
        <v>0</v>
      </c>
      <c r="CA12">
        <f>IF(AND(BZ12&gt;=0,BZ11&lt;0,MIN($BZ$2:BZ12)&lt;0),1,0)</f>
        <v>0</v>
      </c>
      <c r="CB12">
        <f>Расчёты!AZ12+BE12+BH12-BJ12*N('Исходные данные'!$B$50)</f>
        <v>0</v>
      </c>
      <c r="CC12">
        <f t="shared" si="20"/>
        <v>0</v>
      </c>
      <c r="CD12">
        <f>IF(AND(CC12&gt;=0,CC11&lt;0,MIN($CC$2:CC12)&lt;0),1,0)</f>
        <v>0</v>
      </c>
    </row>
    <row r="13" spans="1:82" x14ac:dyDescent="0.2">
      <c r="A13">
        <f>Расчёты!A13</f>
        <v>12</v>
      </c>
      <c r="B13" t="str">
        <f>Расчёты!B13</f>
        <v/>
      </c>
      <c r="C13" t="str">
        <f>Расчёты!D13</f>
        <v/>
      </c>
      <c r="D13">
        <f>Расчёты!E13</f>
        <v>0</v>
      </c>
      <c r="E13">
        <f>IF(Расчёты!F13=0,0,IF(Расчёты!G13=1,N('Сценарный анализ'!$B$5),IF(Расчёты!G13=2,N('Сценарный анализ'!$B$6),IF(Расчёты!G13=3,N('Сценарный анализ'!$B$7),N('Сценарный анализ'!$B$7)*(1+N('Сценарный анализ'!$B$8))^(Расчёты!G13-3)))))</f>
        <v>0</v>
      </c>
      <c r="F13">
        <f>IF(OR(Расчёты!F13=0,N('Исходные данные'!$B$5)=0,E13=0),0,N('Исходные данные'!$B$5)*E13*IF(AND(B13&lt;='Исходные данные'!$B$30,Расчёты!C13&gt;='Исходные данные'!$B$30),(Расчёты!C13-'Исходные данные'!$B$30+1)/DAY(Расчёты!C13),1))</f>
        <v>0</v>
      </c>
      <c r="G13">
        <f>IF(AND(Расчёты!F13&gt;0,Расчёты!F13&lt;=N('Исходные данные'!$B$37)),-F13,0)</f>
        <v>0</v>
      </c>
      <c r="H13">
        <f>IF(OR(Расчёты!F13=0,Расчёты!F13&lt;=N('Исходные данные'!$B$37)),0,-(F13+G13)*N('Сценарный анализ'!$B$9))</f>
        <v>0</v>
      </c>
      <c r="I13">
        <f t="shared" si="0"/>
        <v>0</v>
      </c>
      <c r="J13">
        <f>IF('Исходные данные'!$B$51="Да",I13*N('Исходные данные'!$B$52),0)</f>
        <v>0</v>
      </c>
      <c r="K13">
        <f t="shared" si="1"/>
        <v>0</v>
      </c>
      <c r="L13">
        <f>I13+(Расчёты!Y13-Расчёты!L13)</f>
        <v>0</v>
      </c>
      <c r="M13">
        <f t="shared" si="12"/>
        <v>0</v>
      </c>
      <c r="N13">
        <f>IF('Исходные данные'!$B$51="Да",-MAX(0,J13+Расчёты!R13+Расчёты!V13-Расчёты!P13-Расчёты!T13-M13),0)</f>
        <v>0</v>
      </c>
      <c r="O13">
        <f>IF('Исходные данные'!$B$51="Да",MAX(0,M13+Расчёты!P13+Расчёты!T13-J13-Расчёты!R13-Расчёты!V13),0)</f>
        <v>0</v>
      </c>
      <c r="P13">
        <f>IF('Исходные данные'!$B$53="Выручка",MAX(0,I13+(Расчёты!Q13-Расчёты!R13)+(Расчёты!U13-Расчёты!V13)),IF('Исходные данные'!$B$53="Прибыль до налога",MAX(0,I13+(Расчёты!Q13-Расчёты!R13)+(Расчёты!U13-Расчёты!V13)+N('Исходные данные'!$B$54)*((Расчёты!O13+Расчёты!P13)+(Расчёты!S13+Расчёты!T13)+Расчёты!W13+Расчёты!X13)+IF('Исходные данные'!$B$55="Да",Расчёты!AG13,0)-N('Исходные данные'!$B$56)/12),IF('Исходные данные'!$B$53="Пользовательская база",MAX(0,N('Исходные данные'!$B$57)/12),0)))</f>
        <v>0</v>
      </c>
      <c r="Q13">
        <f>IF(D13=1,-P13*N('Исходные данные'!$B$50),0)</f>
        <v>0</v>
      </c>
      <c r="R13">
        <f t="shared" si="2"/>
        <v>0</v>
      </c>
      <c r="S13">
        <f>IF(OR(D13&lt;&gt;1,B13="",'Исходные данные'!$B$91="",N('Исходные данные'!$B$80)&lt;=0,'Исходные данные'!$B$88=""),0,IF(AND(YEAR(B13)=YEAR('Исходные данные'!$B$91),MONTH(B13)=MONTH('Исходные данные'!$B$91)),MAX(0,IF('Исходные данные'!$B$88="Последние 12 месяцев",SUMIFS($L$2:$L$194,$B$2:$B$194,"&gt;="&amp;EDATE(B13,-11),$B$2:$B$194,"&lt;="&amp;B13),IF('Исходные данные'!$B$88="Пользовательский NOI",N('Исходные данные'!$B$89),R13))/N('Исходные данные'!$B$80)*(1+N('Исходные данные'!$B$81))),0))</f>
        <v>0</v>
      </c>
      <c r="T13">
        <f>-S13*N('Исходные данные'!$B$73)</f>
        <v>0</v>
      </c>
      <c r="U13">
        <f>IF(S13=0,0,-N('Исходные данные'!$B$87)-IF('Исходные данные'!$B$82="Да",IF('Исходные данные'!$B$84="С выручки",S13,IF('Исходные данные'!$B$84="С прибыли",MAX(0,S13+T13-IF('Исходные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3">
        <f t="shared" si="3"/>
        <v>0</v>
      </c>
      <c r="W13">
        <f>IF(D13=1,Расчёты!AZ13+K13+N13+Q13+V13,0)</f>
        <v>0</v>
      </c>
      <c r="X13" t="str">
        <f t="shared" si="13"/>
        <v/>
      </c>
      <c r="Y13">
        <f>IF(OR(D13=0,'Исходные данные'!$B$9="",'Исходные данные'!$B$90=""),0,W13/(1+'Исходные данные'!$B$90)^((C13-'Исходные данные'!$B$9)/365))</f>
        <v>0</v>
      </c>
      <c r="Z13">
        <f>IF(D13=1,K13+Расчёты!O13+Расчёты!Q13+Расчёты!S13+Расчёты!U13+Расчёты!W13+Расчёты!X13+N13+Q13,0)</f>
        <v>0</v>
      </c>
      <c r="AA13">
        <f>IF(AND(D13=1,X13&gt;=0,X12&lt;0,MIN($X$2:X13)&lt;0),1,0)</f>
        <v>0</v>
      </c>
      <c r="AB13">
        <f>IF(Расчёты!F13=0,0,IF(Расчёты!G13=1,N('Сценарный анализ'!$C$5),IF(Расчёты!G13=2,N('Сценарный анализ'!$C$6),IF(Расчёты!G13=3,N('Сценарный анализ'!$C$7),N('Сценарный анализ'!$C$7)*(1+N('Сценарный анализ'!$C$8))^(Расчёты!G13-3)))))</f>
        <v>0</v>
      </c>
      <c r="AC13">
        <f>IF(OR(Расчёты!F13=0,N('Исходные данные'!$B$5)=0,AB13=0),0,N('Исходные данные'!$B$5)*AB13*IF(AND(B13&lt;='Исходные данные'!$B$30,Расчёты!C13&gt;='Исходные данные'!$B$30),(Расчёты!C13-'Исходные данные'!$B$30+1)/DAY(Расчёты!C13),1))</f>
        <v>0</v>
      </c>
      <c r="AD13">
        <f>IF(AND(Расчёты!F13&gt;0,Расчёты!F13&lt;=N('Исходные данные'!$B$37)),-AC13,0)</f>
        <v>0</v>
      </c>
      <c r="AE13">
        <f>IF(OR(Расчёты!F13=0,Расчёты!F13&lt;=N('Исходные данные'!$B$37)),0,-(AC13+AD13)*N('Сценарный анализ'!$C$9))</f>
        <v>0</v>
      </c>
      <c r="AF13">
        <f t="shared" si="4"/>
        <v>0</v>
      </c>
      <c r="AG13">
        <f>IF('Исходные данные'!$B$51="Да",AF13*N('Исходные данные'!$B$52),0)</f>
        <v>0</v>
      </c>
      <c r="AH13">
        <f t="shared" si="5"/>
        <v>0</v>
      </c>
      <c r="AI13">
        <f>AF13+(Расчёты!Y13-Расчёты!L13)</f>
        <v>0</v>
      </c>
      <c r="AJ13">
        <f t="shared" si="14"/>
        <v>0</v>
      </c>
      <c r="AK13">
        <f>IF('Исходные данные'!$B$51="Да",-MAX(0,AG13+Расчёты!R13+Расчёты!V13-Расчёты!P13-Расчёты!T13-AJ13),0)</f>
        <v>0</v>
      </c>
      <c r="AL13">
        <f>IF('Исходные данные'!$B$51="Да",MAX(0,AJ13+Расчёты!P13+Расчёты!T13-AG13-Расчёты!R13-Расчёты!V13),0)</f>
        <v>0</v>
      </c>
      <c r="AM13">
        <f>IF('Исходные данные'!$B$53="Выручка",MAX(0,AF13+(Расчёты!Q13-Расчёты!R13)+(Расчёты!U13-Расчёты!V13)),IF('Исходные данные'!$B$53="Прибыль до налога",MAX(0,AF13+(Расчёты!Q13-Расчёты!R13)+(Расчёты!U13-Расчёты!V13)+N('Исходные данные'!$B$54)*((Расчёты!O13+Расчёты!P13)+(Расчёты!S13+Расчёты!T13)+Расчёты!W13+Расчёты!X13)+IF('Исходные данные'!$B$55="Да",Расчёты!AG13,0)-N('Исходные данные'!$B$56)/12),IF('Исходные данные'!$B$53="Пользовательская база",MAX(0,N('Исходные данные'!$B$57)/12),0)))</f>
        <v>0</v>
      </c>
      <c r="AN13">
        <f>IF(D13=1,-AM13*N('Исходные данные'!$B$50),0)</f>
        <v>0</v>
      </c>
      <c r="AO13">
        <f t="shared" si="6"/>
        <v>0</v>
      </c>
      <c r="AP13">
        <f>IF(OR(D13&lt;&gt;1,B13="",'Исходные данные'!$B$91="",N('Исходные данные'!$B$80)&lt;=0,'Исходные данные'!$B$88=""),0,IF(AND(YEAR(B13)=YEAR('Исходные данные'!$B$91),MONTH(B13)=MONTH('Исходные данные'!$B$91)),MAX(0,IF('Исходные данные'!$B$88="Последние 12 месяцев",SUMIFS($AI$2:$AI$194,$B$2:$B$194,"&gt;="&amp;EDATE(B13,-11),$B$2:$B$194,"&lt;="&amp;B13),IF('Исходные данные'!$B$88="Пользовательский NOI",N('Исходные данные'!$B$89),AO13))/N('Исходные данные'!$B$80)*(1+N('Исходные данные'!$B$81))),0))</f>
        <v>0</v>
      </c>
      <c r="AQ13">
        <f>-AP13*N('Исходные данные'!$B$73)</f>
        <v>0</v>
      </c>
      <c r="AR13">
        <f>IF(AP13=0,0,-N('Исходные данные'!$B$87)-IF('Исходные данные'!$B$82="Да",IF('Исходные данные'!$B$84="С выручки",AP13,IF('Исходные данные'!$B$84="С прибыли",MAX(0,AP13+AQ13-IF('Исходные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3">
        <f t="shared" si="7"/>
        <v>0</v>
      </c>
      <c r="AT13">
        <f>IF(D13=1,Расчёты!AZ13+AH13+AK13+AN13+AS13,0)</f>
        <v>0</v>
      </c>
      <c r="AU13" t="str">
        <f t="shared" si="15"/>
        <v/>
      </c>
      <c r="AV13">
        <f>IF(OR(D13=0,'Исходные данные'!$B$9="",'Исходные данные'!$B$90=""),0,AT13/(1+'Исходные данные'!$B$90)^((C13-'Исходные данные'!$B$9)/365))</f>
        <v>0</v>
      </c>
      <c r="AW13">
        <f>IF(D13=1,AH13+Расчёты!O13+Расчёты!Q13+Расчёты!S13+Расчёты!U13+Расчёты!W13+Расчёты!X13+AK13+AN13,0)</f>
        <v>0</v>
      </c>
      <c r="AX13">
        <f>IF(AND(D13=1,AU13&gt;=0,AU12&lt;0,MIN($AU$2:AU13)&lt;0),1,0)</f>
        <v>0</v>
      </c>
      <c r="AY13">
        <f>IF(Расчёты!F13=0,0,IF(Расчёты!G13=1,N('Сценарный анализ'!$D$5),IF(Расчёты!G13=2,N('Сценарный анализ'!$D$6),IF(Расчёты!G13=3,N('Сценарный анализ'!$D$7),N('Сценарный анализ'!$D$7)*(1+N('Сценарный анализ'!$D$8))^(Расчёты!G13-3)))))</f>
        <v>0</v>
      </c>
      <c r="AZ13">
        <f>IF(OR(Расчёты!F13=0,N('Исходные данные'!$B$5)=0,AY13=0),0,N('Исходные данные'!$B$5)*AY13*IF(AND(B13&lt;='Исходные данные'!$B$30,Расчёты!C13&gt;='Исходные данные'!$B$30),(Расчёты!C13-'Исходные данные'!$B$30+1)/DAY(Расчёты!C13),1))</f>
        <v>0</v>
      </c>
      <c r="BA13">
        <f>IF(AND(Расчёты!F13&gt;0,Расчёты!F13&lt;=N('Исходные данные'!$B$37)),-AZ13,0)</f>
        <v>0</v>
      </c>
      <c r="BB13">
        <f>IF(OR(Расчёты!F13=0,Расчёты!F13&lt;=N('Исходные данные'!$B$37)),0,-(AZ13+BA13)*N('Сценарный анализ'!$D$9))</f>
        <v>0</v>
      </c>
      <c r="BC13">
        <f t="shared" si="8"/>
        <v>0</v>
      </c>
      <c r="BD13">
        <f>IF('Исходные данные'!$B$51="Да",BC13*N('Исходные данные'!$B$52),0)</f>
        <v>0</v>
      </c>
      <c r="BE13">
        <f t="shared" si="9"/>
        <v>0</v>
      </c>
      <c r="BF13">
        <f>BC13+(Расчёты!Y13-Расчёты!L13)</f>
        <v>0</v>
      </c>
      <c r="BG13">
        <f t="shared" si="16"/>
        <v>0</v>
      </c>
      <c r="BH13">
        <f>IF('Исходные данные'!$B$51="Да",-MAX(0,BD13+Расчёты!R13+Расчёты!V13-Расчёты!P13-Расчёты!T13-BG13),0)</f>
        <v>0</v>
      </c>
      <c r="BI13">
        <f>IF('Исходные данные'!$B$51="Да",MAX(0,BG13+Расчёты!P13+Расчёты!T13-BD13-Расчёты!R13-Расчёты!V13),0)</f>
        <v>0</v>
      </c>
      <c r="BJ13">
        <f>IF('Исходные данные'!$B$53="Выручка",MAX(0,BC13+(Расчёты!Q13-Расчёты!R13)+(Расчёты!U13-Расчёты!V13)),IF('Исходные данные'!$B$53="Прибыль до налога",MAX(0,BC13+(Расчёты!Q13-Расчёты!R13)+(Расчёты!U13-Расчёты!V13)+N('Исходные данные'!$B$54)*((Расчёты!O13+Расчёты!P13)+(Расчёты!S13+Расчёты!T13)+Расчёты!W13+Расчёты!X13)+IF('Исходные данные'!$B$55="Да",Расчёты!AG13,0)-N('Исходные данные'!$B$56)/12),IF('Исходные данные'!$B$53="Пользовательская база",MAX(0,N('Исходные данные'!$B$57)/12),0)))</f>
        <v>0</v>
      </c>
      <c r="BK13">
        <f>IF(D13=1,-BJ13*N('Исходные данные'!$B$50),0)</f>
        <v>0</v>
      </c>
      <c r="BL13">
        <f t="shared" si="10"/>
        <v>0</v>
      </c>
      <c r="BM13">
        <f>IF(OR(D13&lt;&gt;1,B13="",'Исходные данные'!$B$91="",N('Исходные данные'!$B$80)&lt;=0,'Исходные данные'!$B$88=""),0,IF(AND(YEAR(B13)=YEAR('Исходные данные'!$B$91),MONTH(B13)=MONTH('Исходные данные'!$B$91)),MAX(0,IF('Исходные данные'!$B$88="Последние 12 месяцев",SUMIFS($BF$2:$BF$194,$B$2:$B$194,"&gt;="&amp;EDATE(B13,-11),$B$2:$B$194,"&lt;="&amp;B13),IF('Исходные данные'!$B$88="Пользовательский NOI",N('Исходные данные'!$B$89),BL13))/N('Исходные данные'!$B$80)*(1+N('Исходные данные'!$B$81))),0))</f>
        <v>0</v>
      </c>
      <c r="BN13">
        <f>-BM13*N('Исходные данные'!$B$73)</f>
        <v>0</v>
      </c>
      <c r="BO13">
        <f>IF(BM13=0,0,-N('Исходные данные'!$B$87)-IF('Исходные данные'!$B$82="Да",IF('Исходные данные'!$B$84="С выручки",BM13,IF('Исходные данные'!$B$84="С прибыли",MAX(0,BM13+BN13-IF('Исходные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3">
        <f t="shared" si="11"/>
        <v>0</v>
      </c>
      <c r="BQ13">
        <f>IF(D13=1,Расчёты!AZ13+BE13+BH13+BK13+BP13,0)</f>
        <v>0</v>
      </c>
      <c r="BR13" t="str">
        <f t="shared" si="17"/>
        <v/>
      </c>
      <c r="BS13">
        <f>IF(OR(D13=0,'Исходные данные'!$B$9="",'Исходные данные'!$B$90=""),0,BQ13/(1+'Исходные данные'!$B$90)^((C13-'Исходные данные'!$B$9)/365))</f>
        <v>0</v>
      </c>
      <c r="BT13">
        <f>IF(D13=1,BE13+Расчёты!O13+Расчёты!Q13+Расчёты!S13+Расчёты!U13+Расчёты!W13+Расчёты!X13+BH13+BK13,0)</f>
        <v>0</v>
      </c>
      <c r="BU13">
        <f>IF(AND(D13=1,BR13&gt;=0,BR12&lt;0,MIN($BR$2:BR13)&lt;0),1,0)</f>
        <v>0</v>
      </c>
      <c r="BV13">
        <f>Расчёты!AZ13+K13+N13-P13*N('Исходные данные'!$B$50)</f>
        <v>0</v>
      </c>
      <c r="BW13">
        <f t="shared" si="18"/>
        <v>0</v>
      </c>
      <c r="BX13">
        <f>IF(AND(BW13&gt;=0,BW12&lt;0,MIN($BW$2:BW13)&lt;0),1,0)</f>
        <v>0</v>
      </c>
      <c r="BY13">
        <f>Расчёты!AZ13+AH13+AK13-AM13*N('Исходные данные'!$B$50)</f>
        <v>0</v>
      </c>
      <c r="BZ13">
        <f t="shared" si="19"/>
        <v>0</v>
      </c>
      <c r="CA13">
        <f>IF(AND(BZ13&gt;=0,BZ12&lt;0,MIN($BZ$2:BZ13)&lt;0),1,0)</f>
        <v>0</v>
      </c>
      <c r="CB13">
        <f>Расчёты!AZ13+BE13+BH13-BJ13*N('Исходные данные'!$B$50)</f>
        <v>0</v>
      </c>
      <c r="CC13">
        <f t="shared" si="20"/>
        <v>0</v>
      </c>
      <c r="CD13">
        <f>IF(AND(CC13&gt;=0,CC12&lt;0,MIN($CC$2:CC13)&lt;0),1,0)</f>
        <v>0</v>
      </c>
    </row>
    <row r="14" spans="1:82" x14ac:dyDescent="0.2">
      <c r="A14">
        <f>Расчёты!A14</f>
        <v>13</v>
      </c>
      <c r="B14" t="str">
        <f>Расчёты!B14</f>
        <v/>
      </c>
      <c r="C14" t="str">
        <f>Расчёты!D14</f>
        <v/>
      </c>
      <c r="D14">
        <f>Расчёты!E14</f>
        <v>0</v>
      </c>
      <c r="E14">
        <f>IF(Расчёты!F14=0,0,IF(Расчёты!G14=1,N('Сценарный анализ'!$B$5),IF(Расчёты!G14=2,N('Сценарный анализ'!$B$6),IF(Расчёты!G14=3,N('Сценарный анализ'!$B$7),N('Сценарный анализ'!$B$7)*(1+N('Сценарный анализ'!$B$8))^(Расчёты!G14-3)))))</f>
        <v>0</v>
      </c>
      <c r="F14">
        <f>IF(OR(Расчёты!F14=0,N('Исходные данные'!$B$5)=0,E14=0),0,N('Исходные данные'!$B$5)*E14*IF(AND(B14&lt;='Исходные данные'!$B$30,Расчёты!C14&gt;='Исходные данные'!$B$30),(Расчёты!C14-'Исходные данные'!$B$30+1)/DAY(Расчёты!C14),1))</f>
        <v>0</v>
      </c>
      <c r="G14">
        <f>IF(AND(Расчёты!F14&gt;0,Расчёты!F14&lt;=N('Исходные данные'!$B$37)),-F14,0)</f>
        <v>0</v>
      </c>
      <c r="H14">
        <f>IF(OR(Расчёты!F14=0,Расчёты!F14&lt;=N('Исходные данные'!$B$37)),0,-(F14+G14)*N('Сценарный анализ'!$B$9))</f>
        <v>0</v>
      </c>
      <c r="I14">
        <f t="shared" si="0"/>
        <v>0</v>
      </c>
      <c r="J14">
        <f>IF('Исходные данные'!$B$51="Да",I14*N('Исходные данные'!$B$52),0)</f>
        <v>0</v>
      </c>
      <c r="K14">
        <f t="shared" si="1"/>
        <v>0</v>
      </c>
      <c r="L14">
        <f>I14+(Расчёты!Y14-Расчёты!L14)</f>
        <v>0</v>
      </c>
      <c r="M14">
        <f t="shared" si="12"/>
        <v>0</v>
      </c>
      <c r="N14">
        <f>IF('Исходные данные'!$B$51="Да",-MAX(0,J14+Расчёты!R14+Расчёты!V14-Расчёты!P14-Расчёты!T14-M14),0)</f>
        <v>0</v>
      </c>
      <c r="O14">
        <f>IF('Исходные данные'!$B$51="Да",MAX(0,M14+Расчёты!P14+Расчёты!T14-J14-Расчёты!R14-Расчёты!V14),0)</f>
        <v>0</v>
      </c>
      <c r="P14">
        <f>IF('Исходные данные'!$B$53="Выручка",MAX(0,I14+(Расчёты!Q14-Расчёты!R14)+(Расчёты!U14-Расчёты!V14)),IF('Исходные данные'!$B$53="Прибыль до налога",MAX(0,I14+(Расчёты!Q14-Расчёты!R14)+(Расчёты!U14-Расчёты!V14)+N('Исходные данные'!$B$54)*((Расчёты!O14+Расчёты!P14)+(Расчёты!S14+Расчёты!T14)+Расчёты!W14+Расчёты!X14)+IF('Исходные данные'!$B$55="Да",Расчёты!AG14,0)-N('Исходные данные'!$B$56)/12),IF('Исходные данные'!$B$53="Пользовательская база",MAX(0,N('Исходные данные'!$B$57)/12),0)))</f>
        <v>0</v>
      </c>
      <c r="Q14">
        <f>IF(D14=1,-P14*N('Исходные данные'!$B$50),0)</f>
        <v>0</v>
      </c>
      <c r="R14">
        <f t="shared" si="2"/>
        <v>0</v>
      </c>
      <c r="S14">
        <f>IF(OR(D14&lt;&gt;1,B14="",'Исходные данные'!$B$91="",N('Исходные данные'!$B$80)&lt;=0,'Исходные данные'!$B$88=""),0,IF(AND(YEAR(B14)=YEAR('Исходные данные'!$B$91),MONTH(B14)=MONTH('Исходные данные'!$B$91)),MAX(0,IF('Исходные данные'!$B$88="Последние 12 месяцев",SUMIFS($L$2:$L$194,$B$2:$B$194,"&gt;="&amp;EDATE(B14,-11),$B$2:$B$194,"&lt;="&amp;B14),IF('Исходные данные'!$B$88="Пользовательский NOI",N('Исходные данные'!$B$89),R14))/N('Исходные данные'!$B$80)*(1+N('Исходные данные'!$B$81))),0))</f>
        <v>0</v>
      </c>
      <c r="T14">
        <f>-S14*N('Исходные данные'!$B$73)</f>
        <v>0</v>
      </c>
      <c r="U14">
        <f>IF(S14=0,0,-N('Исходные данные'!$B$87)-IF('Исходные данные'!$B$82="Да",IF('Исходные данные'!$B$84="С выручки",S14,IF('Исходные данные'!$B$84="С прибыли",MAX(0,S14+T14-IF('Исходные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4">
        <f t="shared" si="3"/>
        <v>0</v>
      </c>
      <c r="W14">
        <f>IF(D14=1,Расчёты!AZ14+K14+N14+Q14+V14,0)</f>
        <v>0</v>
      </c>
      <c r="X14" t="str">
        <f t="shared" si="13"/>
        <v/>
      </c>
      <c r="Y14">
        <f>IF(OR(D14=0,'Исходные данные'!$B$9="",'Исходные данные'!$B$90=""),0,W14/(1+'Исходные данные'!$B$90)^((C14-'Исходные данные'!$B$9)/365))</f>
        <v>0</v>
      </c>
      <c r="Z14">
        <f>IF(D14=1,K14+Расчёты!O14+Расчёты!Q14+Расчёты!S14+Расчёты!U14+Расчёты!W14+Расчёты!X14+N14+Q14,0)</f>
        <v>0</v>
      </c>
      <c r="AA14">
        <f>IF(AND(D14=1,X14&gt;=0,X13&lt;0,MIN($X$2:X14)&lt;0),1,0)</f>
        <v>0</v>
      </c>
      <c r="AB14">
        <f>IF(Расчёты!F14=0,0,IF(Расчёты!G14=1,N('Сценарный анализ'!$C$5),IF(Расчёты!G14=2,N('Сценарный анализ'!$C$6),IF(Расчёты!G14=3,N('Сценарный анализ'!$C$7),N('Сценарный анализ'!$C$7)*(1+N('Сценарный анализ'!$C$8))^(Расчёты!G14-3)))))</f>
        <v>0</v>
      </c>
      <c r="AC14">
        <f>IF(OR(Расчёты!F14=0,N('Исходные данные'!$B$5)=0,AB14=0),0,N('Исходные данные'!$B$5)*AB14*IF(AND(B14&lt;='Исходные данные'!$B$30,Расчёты!C14&gt;='Исходные данные'!$B$30),(Расчёты!C14-'Исходные данные'!$B$30+1)/DAY(Расчёты!C14),1))</f>
        <v>0</v>
      </c>
      <c r="AD14">
        <f>IF(AND(Расчёты!F14&gt;0,Расчёты!F14&lt;=N('Исходные данные'!$B$37)),-AC14,0)</f>
        <v>0</v>
      </c>
      <c r="AE14">
        <f>IF(OR(Расчёты!F14=0,Расчёты!F14&lt;=N('Исходные данные'!$B$37)),0,-(AC14+AD14)*N('Сценарный анализ'!$C$9))</f>
        <v>0</v>
      </c>
      <c r="AF14">
        <f t="shared" si="4"/>
        <v>0</v>
      </c>
      <c r="AG14">
        <f>IF('Исходные данные'!$B$51="Да",AF14*N('Исходные данные'!$B$52),0)</f>
        <v>0</v>
      </c>
      <c r="AH14">
        <f t="shared" si="5"/>
        <v>0</v>
      </c>
      <c r="AI14">
        <f>AF14+(Расчёты!Y14-Расчёты!L14)</f>
        <v>0</v>
      </c>
      <c r="AJ14">
        <f t="shared" si="14"/>
        <v>0</v>
      </c>
      <c r="AK14">
        <f>IF('Исходные данные'!$B$51="Да",-MAX(0,AG14+Расчёты!R14+Расчёты!V14-Расчёты!P14-Расчёты!T14-AJ14),0)</f>
        <v>0</v>
      </c>
      <c r="AL14">
        <f>IF('Исходные данные'!$B$51="Да",MAX(0,AJ14+Расчёты!P14+Расчёты!T14-AG14-Расчёты!R14-Расчёты!V14),0)</f>
        <v>0</v>
      </c>
      <c r="AM14">
        <f>IF('Исходные данные'!$B$53="Выручка",MAX(0,AF14+(Расчёты!Q14-Расчёты!R14)+(Расчёты!U14-Расчёты!V14)),IF('Исходные данные'!$B$53="Прибыль до налога",MAX(0,AF14+(Расчёты!Q14-Расчёты!R14)+(Расчёты!U14-Расчёты!V14)+N('Исходные данные'!$B$54)*((Расчёты!O14+Расчёты!P14)+(Расчёты!S14+Расчёты!T14)+Расчёты!W14+Расчёты!X14)+IF('Исходные данные'!$B$55="Да",Расчёты!AG14,0)-N('Исходные данные'!$B$56)/12),IF('Исходные данные'!$B$53="Пользовательская база",MAX(0,N('Исходные данные'!$B$57)/12),0)))</f>
        <v>0</v>
      </c>
      <c r="AN14">
        <f>IF(D14=1,-AM14*N('Исходные данные'!$B$50),0)</f>
        <v>0</v>
      </c>
      <c r="AO14">
        <f t="shared" si="6"/>
        <v>0</v>
      </c>
      <c r="AP14">
        <f>IF(OR(D14&lt;&gt;1,B14="",'Исходные данные'!$B$91="",N('Исходные данные'!$B$80)&lt;=0,'Исходные данные'!$B$88=""),0,IF(AND(YEAR(B14)=YEAR('Исходные данные'!$B$91),MONTH(B14)=MONTH('Исходные данные'!$B$91)),MAX(0,IF('Исходные данные'!$B$88="Последние 12 месяцев",SUMIFS($AI$2:$AI$194,$B$2:$B$194,"&gt;="&amp;EDATE(B14,-11),$B$2:$B$194,"&lt;="&amp;B14),IF('Исходные данные'!$B$88="Пользовательский NOI",N('Исходные данные'!$B$89),AO14))/N('Исходные данные'!$B$80)*(1+N('Исходные данные'!$B$81))),0))</f>
        <v>0</v>
      </c>
      <c r="AQ14">
        <f>-AP14*N('Исходные данные'!$B$73)</f>
        <v>0</v>
      </c>
      <c r="AR14">
        <f>IF(AP14=0,0,-N('Исходные данные'!$B$87)-IF('Исходные данные'!$B$82="Да",IF('Исходные данные'!$B$84="С выручки",AP14,IF('Исходные данные'!$B$84="С прибыли",MAX(0,AP14+AQ14-IF('Исходные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4">
        <f t="shared" si="7"/>
        <v>0</v>
      </c>
      <c r="AT14">
        <f>IF(D14=1,Расчёты!AZ14+AH14+AK14+AN14+AS14,0)</f>
        <v>0</v>
      </c>
      <c r="AU14" t="str">
        <f t="shared" si="15"/>
        <v/>
      </c>
      <c r="AV14">
        <f>IF(OR(D14=0,'Исходные данные'!$B$9="",'Исходные данные'!$B$90=""),0,AT14/(1+'Исходные данные'!$B$90)^((C14-'Исходные данные'!$B$9)/365))</f>
        <v>0</v>
      </c>
      <c r="AW14">
        <f>IF(D14=1,AH14+Расчёты!O14+Расчёты!Q14+Расчёты!S14+Расчёты!U14+Расчёты!W14+Расчёты!X14+AK14+AN14,0)</f>
        <v>0</v>
      </c>
      <c r="AX14">
        <f>IF(AND(D14=1,AU14&gt;=0,AU13&lt;0,MIN($AU$2:AU14)&lt;0),1,0)</f>
        <v>0</v>
      </c>
      <c r="AY14">
        <f>IF(Расчёты!F14=0,0,IF(Расчёты!G14=1,N('Сценарный анализ'!$D$5),IF(Расчёты!G14=2,N('Сценарный анализ'!$D$6),IF(Расчёты!G14=3,N('Сценарный анализ'!$D$7),N('Сценарный анализ'!$D$7)*(1+N('Сценарный анализ'!$D$8))^(Расчёты!G14-3)))))</f>
        <v>0</v>
      </c>
      <c r="AZ14">
        <f>IF(OR(Расчёты!F14=0,N('Исходные данные'!$B$5)=0,AY14=0),0,N('Исходные данные'!$B$5)*AY14*IF(AND(B14&lt;='Исходные данные'!$B$30,Расчёты!C14&gt;='Исходные данные'!$B$30),(Расчёты!C14-'Исходные данные'!$B$30+1)/DAY(Расчёты!C14),1))</f>
        <v>0</v>
      </c>
      <c r="BA14">
        <f>IF(AND(Расчёты!F14&gt;0,Расчёты!F14&lt;=N('Исходные данные'!$B$37)),-AZ14,0)</f>
        <v>0</v>
      </c>
      <c r="BB14">
        <f>IF(OR(Расчёты!F14=0,Расчёты!F14&lt;=N('Исходные данные'!$B$37)),0,-(AZ14+BA14)*N('Сценарный анализ'!$D$9))</f>
        <v>0</v>
      </c>
      <c r="BC14">
        <f t="shared" si="8"/>
        <v>0</v>
      </c>
      <c r="BD14">
        <f>IF('Исходные данные'!$B$51="Да",BC14*N('Исходные данные'!$B$52),0)</f>
        <v>0</v>
      </c>
      <c r="BE14">
        <f t="shared" si="9"/>
        <v>0</v>
      </c>
      <c r="BF14">
        <f>BC14+(Расчёты!Y14-Расчёты!L14)</f>
        <v>0</v>
      </c>
      <c r="BG14">
        <f t="shared" si="16"/>
        <v>0</v>
      </c>
      <c r="BH14">
        <f>IF('Исходные данные'!$B$51="Да",-MAX(0,BD14+Расчёты!R14+Расчёты!V14-Расчёты!P14-Расчёты!T14-BG14),0)</f>
        <v>0</v>
      </c>
      <c r="BI14">
        <f>IF('Исходные данные'!$B$51="Да",MAX(0,BG14+Расчёты!P14+Расчёты!T14-BD14-Расчёты!R14-Расчёты!V14),0)</f>
        <v>0</v>
      </c>
      <c r="BJ14">
        <f>IF('Исходные данные'!$B$53="Выручка",MAX(0,BC14+(Расчёты!Q14-Расчёты!R14)+(Расчёты!U14-Расчёты!V14)),IF('Исходные данные'!$B$53="Прибыль до налога",MAX(0,BC14+(Расчёты!Q14-Расчёты!R14)+(Расчёты!U14-Расчёты!V14)+N('Исходные данные'!$B$54)*((Расчёты!O14+Расчёты!P14)+(Расчёты!S14+Расчёты!T14)+Расчёты!W14+Расчёты!X14)+IF('Исходные данные'!$B$55="Да",Расчёты!AG14,0)-N('Исходные данные'!$B$56)/12),IF('Исходные данные'!$B$53="Пользовательская база",MAX(0,N('Исходные данные'!$B$57)/12),0)))</f>
        <v>0</v>
      </c>
      <c r="BK14">
        <f>IF(D14=1,-BJ14*N('Исходные данные'!$B$50),0)</f>
        <v>0</v>
      </c>
      <c r="BL14">
        <f t="shared" si="10"/>
        <v>0</v>
      </c>
      <c r="BM14">
        <f>IF(OR(D14&lt;&gt;1,B14="",'Исходные данные'!$B$91="",N('Исходные данные'!$B$80)&lt;=0,'Исходные данные'!$B$88=""),0,IF(AND(YEAR(B14)=YEAR('Исходные данные'!$B$91),MONTH(B14)=MONTH('Исходные данные'!$B$91)),MAX(0,IF('Исходные данные'!$B$88="Последние 12 месяцев",SUMIFS($BF$2:$BF$194,$B$2:$B$194,"&gt;="&amp;EDATE(B14,-11),$B$2:$B$194,"&lt;="&amp;B14),IF('Исходные данные'!$B$88="Пользовательский NOI",N('Исходные данные'!$B$89),BL14))/N('Исходные данные'!$B$80)*(1+N('Исходные данные'!$B$81))),0))</f>
        <v>0</v>
      </c>
      <c r="BN14">
        <f>-BM14*N('Исходные данные'!$B$73)</f>
        <v>0</v>
      </c>
      <c r="BO14">
        <f>IF(BM14=0,0,-N('Исходные данные'!$B$87)-IF('Исходные данные'!$B$82="Да",IF('Исходные данные'!$B$84="С выручки",BM14,IF('Исходные данные'!$B$84="С прибыли",MAX(0,BM14+BN14-IF('Исходные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4">
        <f t="shared" si="11"/>
        <v>0</v>
      </c>
      <c r="BQ14">
        <f>IF(D14=1,Расчёты!AZ14+BE14+BH14+BK14+BP14,0)</f>
        <v>0</v>
      </c>
      <c r="BR14" t="str">
        <f t="shared" si="17"/>
        <v/>
      </c>
      <c r="BS14">
        <f>IF(OR(D14=0,'Исходные данные'!$B$9="",'Исходные данные'!$B$90=""),0,BQ14/(1+'Исходные данные'!$B$90)^((C14-'Исходные данные'!$B$9)/365))</f>
        <v>0</v>
      </c>
      <c r="BT14">
        <f>IF(D14=1,BE14+Расчёты!O14+Расчёты!Q14+Расчёты!S14+Расчёты!U14+Расчёты!W14+Расчёты!X14+BH14+BK14,0)</f>
        <v>0</v>
      </c>
      <c r="BU14">
        <f>IF(AND(D14=1,BR14&gt;=0,BR13&lt;0,MIN($BR$2:BR14)&lt;0),1,0)</f>
        <v>0</v>
      </c>
      <c r="BV14">
        <f>Расчёты!AZ14+K14+N14-P14*N('Исходные данные'!$B$50)</f>
        <v>0</v>
      </c>
      <c r="BW14">
        <f t="shared" si="18"/>
        <v>0</v>
      </c>
      <c r="BX14">
        <f>IF(AND(BW14&gt;=0,BW13&lt;0,MIN($BW$2:BW14)&lt;0),1,0)</f>
        <v>0</v>
      </c>
      <c r="BY14">
        <f>Расчёты!AZ14+AH14+AK14-AM14*N('Исходные данные'!$B$50)</f>
        <v>0</v>
      </c>
      <c r="BZ14">
        <f t="shared" si="19"/>
        <v>0</v>
      </c>
      <c r="CA14">
        <f>IF(AND(BZ14&gt;=0,BZ13&lt;0,MIN($BZ$2:BZ14)&lt;0),1,0)</f>
        <v>0</v>
      </c>
      <c r="CB14">
        <f>Расчёты!AZ14+BE14+BH14-BJ14*N('Исходные данные'!$B$50)</f>
        <v>0</v>
      </c>
      <c r="CC14">
        <f t="shared" si="20"/>
        <v>0</v>
      </c>
      <c r="CD14">
        <f>IF(AND(CC14&gt;=0,CC13&lt;0,MIN($CC$2:CC14)&lt;0),1,0)</f>
        <v>0</v>
      </c>
    </row>
    <row r="15" spans="1:82" x14ac:dyDescent="0.2">
      <c r="A15">
        <f>Расчёты!A15</f>
        <v>14</v>
      </c>
      <c r="B15" t="str">
        <f>Расчёты!B15</f>
        <v/>
      </c>
      <c r="C15" t="str">
        <f>Расчёты!D15</f>
        <v/>
      </c>
      <c r="D15">
        <f>Расчёты!E15</f>
        <v>0</v>
      </c>
      <c r="E15">
        <f>IF(Расчёты!F15=0,0,IF(Расчёты!G15=1,N('Сценарный анализ'!$B$5),IF(Расчёты!G15=2,N('Сценарный анализ'!$B$6),IF(Расчёты!G15=3,N('Сценарный анализ'!$B$7),N('Сценарный анализ'!$B$7)*(1+N('Сценарный анализ'!$B$8))^(Расчёты!G15-3)))))</f>
        <v>0</v>
      </c>
      <c r="F15">
        <f>IF(OR(Расчёты!F15=0,N('Исходные данные'!$B$5)=0,E15=0),0,N('Исходные данные'!$B$5)*E15*IF(AND(B15&lt;='Исходные данные'!$B$30,Расчёты!C15&gt;='Исходные данные'!$B$30),(Расчёты!C15-'Исходные данные'!$B$30+1)/DAY(Расчёты!C15),1))</f>
        <v>0</v>
      </c>
      <c r="G15">
        <f>IF(AND(Расчёты!F15&gt;0,Расчёты!F15&lt;=N('Исходные данные'!$B$37)),-F15,0)</f>
        <v>0</v>
      </c>
      <c r="H15">
        <f>IF(OR(Расчёты!F15=0,Расчёты!F15&lt;=N('Исходные данные'!$B$37)),0,-(F15+G15)*N('Сценарный анализ'!$B$9))</f>
        <v>0</v>
      </c>
      <c r="I15">
        <f t="shared" si="0"/>
        <v>0</v>
      </c>
      <c r="J15">
        <f>IF('Исходные данные'!$B$51="Да",I15*N('Исходные данные'!$B$52),0)</f>
        <v>0</v>
      </c>
      <c r="K15">
        <f t="shared" si="1"/>
        <v>0</v>
      </c>
      <c r="L15">
        <f>I15+(Расчёты!Y15-Расчёты!L15)</f>
        <v>0</v>
      </c>
      <c r="M15">
        <f t="shared" si="12"/>
        <v>0</v>
      </c>
      <c r="N15">
        <f>IF('Исходные данные'!$B$51="Да",-MAX(0,J15+Расчёты!R15+Расчёты!V15-Расчёты!P15-Расчёты!T15-M15),0)</f>
        <v>0</v>
      </c>
      <c r="O15">
        <f>IF('Исходные данные'!$B$51="Да",MAX(0,M15+Расчёты!P15+Расчёты!T15-J15-Расчёты!R15-Расчёты!V15),0)</f>
        <v>0</v>
      </c>
      <c r="P15">
        <f>IF('Исходные данные'!$B$53="Выручка",MAX(0,I15+(Расчёты!Q15-Расчёты!R15)+(Расчёты!U15-Расчёты!V15)),IF('Исходные данные'!$B$53="Прибыль до налога",MAX(0,I15+(Расчёты!Q15-Расчёты!R15)+(Расчёты!U15-Расчёты!V15)+N('Исходные данные'!$B$54)*((Расчёты!O15+Расчёты!P15)+(Расчёты!S15+Расчёты!T15)+Расчёты!W15+Расчёты!X15)+IF('Исходные данные'!$B$55="Да",Расчёты!AG15,0)-N('Исходные данные'!$B$56)/12),IF('Исходные данные'!$B$53="Пользовательская база",MAX(0,N('Исходные данные'!$B$57)/12),0)))</f>
        <v>0</v>
      </c>
      <c r="Q15">
        <f>IF(D15=1,-P15*N('Исходные данные'!$B$50),0)</f>
        <v>0</v>
      </c>
      <c r="R15">
        <f t="shared" si="2"/>
        <v>0</v>
      </c>
      <c r="S15">
        <f>IF(OR(D15&lt;&gt;1,B15="",'Исходные данные'!$B$91="",N('Исходные данные'!$B$80)&lt;=0,'Исходные данные'!$B$88=""),0,IF(AND(YEAR(B15)=YEAR('Исходные данные'!$B$91),MONTH(B15)=MONTH('Исходные данные'!$B$91)),MAX(0,IF('Исходные данные'!$B$88="Последние 12 месяцев",SUMIFS($L$2:$L$194,$B$2:$B$194,"&gt;="&amp;EDATE(B15,-11),$B$2:$B$194,"&lt;="&amp;B15),IF('Исходные данные'!$B$88="Пользовательский NOI",N('Исходные данные'!$B$89),R15))/N('Исходные данные'!$B$80)*(1+N('Исходные данные'!$B$81))),0))</f>
        <v>0</v>
      </c>
      <c r="T15">
        <f>-S15*N('Исходные данные'!$B$73)</f>
        <v>0</v>
      </c>
      <c r="U15">
        <f>IF(S15=0,0,-N('Исходные данные'!$B$87)-IF('Исходные данные'!$B$82="Да",IF('Исходные данные'!$B$84="С выручки",S15,IF('Исходные данные'!$B$84="С прибыли",MAX(0,S15+T15-IF('Исходные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5">
        <f t="shared" si="3"/>
        <v>0</v>
      </c>
      <c r="W15">
        <f>IF(D15=1,Расчёты!AZ15+K15+N15+Q15+V15,0)</f>
        <v>0</v>
      </c>
      <c r="X15" t="str">
        <f t="shared" si="13"/>
        <v/>
      </c>
      <c r="Y15">
        <f>IF(OR(D15=0,'Исходные данные'!$B$9="",'Исходные данные'!$B$90=""),0,W15/(1+'Исходные данные'!$B$90)^((C15-'Исходные данные'!$B$9)/365))</f>
        <v>0</v>
      </c>
      <c r="Z15">
        <f>IF(D15=1,K15+Расчёты!O15+Расчёты!Q15+Расчёты!S15+Расчёты!U15+Расчёты!W15+Расчёты!X15+N15+Q15,0)</f>
        <v>0</v>
      </c>
      <c r="AA15">
        <f>IF(AND(D15=1,X15&gt;=0,X14&lt;0,MIN($X$2:X15)&lt;0),1,0)</f>
        <v>0</v>
      </c>
      <c r="AB15">
        <f>IF(Расчёты!F15=0,0,IF(Расчёты!G15=1,N('Сценарный анализ'!$C$5),IF(Расчёты!G15=2,N('Сценарный анализ'!$C$6),IF(Расчёты!G15=3,N('Сценарный анализ'!$C$7),N('Сценарный анализ'!$C$7)*(1+N('Сценарный анализ'!$C$8))^(Расчёты!G15-3)))))</f>
        <v>0</v>
      </c>
      <c r="AC15">
        <f>IF(OR(Расчёты!F15=0,N('Исходные данные'!$B$5)=0,AB15=0),0,N('Исходные данные'!$B$5)*AB15*IF(AND(B15&lt;='Исходные данные'!$B$30,Расчёты!C15&gt;='Исходные данные'!$B$30),(Расчёты!C15-'Исходные данные'!$B$30+1)/DAY(Расчёты!C15),1))</f>
        <v>0</v>
      </c>
      <c r="AD15">
        <f>IF(AND(Расчёты!F15&gt;0,Расчёты!F15&lt;=N('Исходные данные'!$B$37)),-AC15,0)</f>
        <v>0</v>
      </c>
      <c r="AE15">
        <f>IF(OR(Расчёты!F15=0,Расчёты!F15&lt;=N('Исходные данные'!$B$37)),0,-(AC15+AD15)*N('Сценарный анализ'!$C$9))</f>
        <v>0</v>
      </c>
      <c r="AF15">
        <f t="shared" si="4"/>
        <v>0</v>
      </c>
      <c r="AG15">
        <f>IF('Исходные данные'!$B$51="Да",AF15*N('Исходные данные'!$B$52),0)</f>
        <v>0</v>
      </c>
      <c r="AH15">
        <f t="shared" si="5"/>
        <v>0</v>
      </c>
      <c r="AI15">
        <f>AF15+(Расчёты!Y15-Расчёты!L15)</f>
        <v>0</v>
      </c>
      <c r="AJ15">
        <f t="shared" si="14"/>
        <v>0</v>
      </c>
      <c r="AK15">
        <f>IF('Исходные данные'!$B$51="Да",-MAX(0,AG15+Расчёты!R15+Расчёты!V15-Расчёты!P15-Расчёты!T15-AJ15),0)</f>
        <v>0</v>
      </c>
      <c r="AL15">
        <f>IF('Исходные данные'!$B$51="Да",MAX(0,AJ15+Расчёты!P15+Расчёты!T15-AG15-Расчёты!R15-Расчёты!V15),0)</f>
        <v>0</v>
      </c>
      <c r="AM15">
        <f>IF('Исходные данные'!$B$53="Выручка",MAX(0,AF15+(Расчёты!Q15-Расчёты!R15)+(Расчёты!U15-Расчёты!V15)),IF('Исходные данные'!$B$53="Прибыль до налога",MAX(0,AF15+(Расчёты!Q15-Расчёты!R15)+(Расчёты!U15-Расчёты!V15)+N('Исходные данные'!$B$54)*((Расчёты!O15+Расчёты!P15)+(Расчёты!S15+Расчёты!T15)+Расчёты!W15+Расчёты!X15)+IF('Исходные данные'!$B$55="Да",Расчёты!AG15,0)-N('Исходные данные'!$B$56)/12),IF('Исходные данные'!$B$53="Пользовательская база",MAX(0,N('Исходные данные'!$B$57)/12),0)))</f>
        <v>0</v>
      </c>
      <c r="AN15">
        <f>IF(D15=1,-AM15*N('Исходные данные'!$B$50),0)</f>
        <v>0</v>
      </c>
      <c r="AO15">
        <f t="shared" si="6"/>
        <v>0</v>
      </c>
      <c r="AP15">
        <f>IF(OR(D15&lt;&gt;1,B15="",'Исходные данные'!$B$91="",N('Исходные данные'!$B$80)&lt;=0,'Исходные данные'!$B$88=""),0,IF(AND(YEAR(B15)=YEAR('Исходные данные'!$B$91),MONTH(B15)=MONTH('Исходные данные'!$B$91)),MAX(0,IF('Исходные данные'!$B$88="Последние 12 месяцев",SUMIFS($AI$2:$AI$194,$B$2:$B$194,"&gt;="&amp;EDATE(B15,-11),$B$2:$B$194,"&lt;="&amp;B15),IF('Исходные данные'!$B$88="Пользовательский NOI",N('Исходные данные'!$B$89),AO15))/N('Исходные данные'!$B$80)*(1+N('Исходные данные'!$B$81))),0))</f>
        <v>0</v>
      </c>
      <c r="AQ15">
        <f>-AP15*N('Исходные данные'!$B$73)</f>
        <v>0</v>
      </c>
      <c r="AR15">
        <f>IF(AP15=0,0,-N('Исходные данные'!$B$87)-IF('Исходные данные'!$B$82="Да",IF('Исходные данные'!$B$84="С выручки",AP15,IF('Исходные данные'!$B$84="С прибыли",MAX(0,AP15+AQ15-IF('Исходные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5">
        <f t="shared" si="7"/>
        <v>0</v>
      </c>
      <c r="AT15">
        <f>IF(D15=1,Расчёты!AZ15+AH15+AK15+AN15+AS15,0)</f>
        <v>0</v>
      </c>
      <c r="AU15" t="str">
        <f t="shared" si="15"/>
        <v/>
      </c>
      <c r="AV15">
        <f>IF(OR(D15=0,'Исходные данные'!$B$9="",'Исходные данные'!$B$90=""),0,AT15/(1+'Исходные данные'!$B$90)^((C15-'Исходные данные'!$B$9)/365))</f>
        <v>0</v>
      </c>
      <c r="AW15">
        <f>IF(D15=1,AH15+Расчёты!O15+Расчёты!Q15+Расчёты!S15+Расчёты!U15+Расчёты!W15+Расчёты!X15+AK15+AN15,0)</f>
        <v>0</v>
      </c>
      <c r="AX15">
        <f>IF(AND(D15=1,AU15&gt;=0,AU14&lt;0,MIN($AU$2:AU15)&lt;0),1,0)</f>
        <v>0</v>
      </c>
      <c r="AY15">
        <f>IF(Расчёты!F15=0,0,IF(Расчёты!G15=1,N('Сценарный анализ'!$D$5),IF(Расчёты!G15=2,N('Сценарный анализ'!$D$6),IF(Расчёты!G15=3,N('Сценарный анализ'!$D$7),N('Сценарный анализ'!$D$7)*(1+N('Сценарный анализ'!$D$8))^(Расчёты!G15-3)))))</f>
        <v>0</v>
      </c>
      <c r="AZ15">
        <f>IF(OR(Расчёты!F15=0,N('Исходные данные'!$B$5)=0,AY15=0),0,N('Исходные данные'!$B$5)*AY15*IF(AND(B15&lt;='Исходные данные'!$B$30,Расчёты!C15&gt;='Исходные данные'!$B$30),(Расчёты!C15-'Исходные данные'!$B$30+1)/DAY(Расчёты!C15),1))</f>
        <v>0</v>
      </c>
      <c r="BA15">
        <f>IF(AND(Расчёты!F15&gt;0,Расчёты!F15&lt;=N('Исходные данные'!$B$37)),-AZ15,0)</f>
        <v>0</v>
      </c>
      <c r="BB15">
        <f>IF(OR(Расчёты!F15=0,Расчёты!F15&lt;=N('Исходные данные'!$B$37)),0,-(AZ15+BA15)*N('Сценарный анализ'!$D$9))</f>
        <v>0</v>
      </c>
      <c r="BC15">
        <f t="shared" si="8"/>
        <v>0</v>
      </c>
      <c r="BD15">
        <f>IF('Исходные данные'!$B$51="Да",BC15*N('Исходные данные'!$B$52),0)</f>
        <v>0</v>
      </c>
      <c r="BE15">
        <f t="shared" si="9"/>
        <v>0</v>
      </c>
      <c r="BF15">
        <f>BC15+(Расчёты!Y15-Расчёты!L15)</f>
        <v>0</v>
      </c>
      <c r="BG15">
        <f t="shared" si="16"/>
        <v>0</v>
      </c>
      <c r="BH15">
        <f>IF('Исходные данные'!$B$51="Да",-MAX(0,BD15+Расчёты!R15+Расчёты!V15-Расчёты!P15-Расчёты!T15-BG15),0)</f>
        <v>0</v>
      </c>
      <c r="BI15">
        <f>IF('Исходные данные'!$B$51="Да",MAX(0,BG15+Расчёты!P15+Расчёты!T15-BD15-Расчёты!R15-Расчёты!V15),0)</f>
        <v>0</v>
      </c>
      <c r="BJ15">
        <f>IF('Исходные данные'!$B$53="Выручка",MAX(0,BC15+(Расчёты!Q15-Расчёты!R15)+(Расчёты!U15-Расчёты!V15)),IF('Исходные данные'!$B$53="Прибыль до налога",MAX(0,BC15+(Расчёты!Q15-Расчёты!R15)+(Расчёты!U15-Расчёты!V15)+N('Исходные данные'!$B$54)*((Расчёты!O15+Расчёты!P15)+(Расчёты!S15+Расчёты!T15)+Расчёты!W15+Расчёты!X15)+IF('Исходные данные'!$B$55="Да",Расчёты!AG15,0)-N('Исходные данные'!$B$56)/12),IF('Исходные данные'!$B$53="Пользовательская база",MAX(0,N('Исходные данные'!$B$57)/12),0)))</f>
        <v>0</v>
      </c>
      <c r="BK15">
        <f>IF(D15=1,-BJ15*N('Исходные данные'!$B$50),0)</f>
        <v>0</v>
      </c>
      <c r="BL15">
        <f t="shared" si="10"/>
        <v>0</v>
      </c>
      <c r="BM15">
        <f>IF(OR(D15&lt;&gt;1,B15="",'Исходные данные'!$B$91="",N('Исходные данные'!$B$80)&lt;=0,'Исходные данные'!$B$88=""),0,IF(AND(YEAR(B15)=YEAR('Исходные данные'!$B$91),MONTH(B15)=MONTH('Исходные данные'!$B$91)),MAX(0,IF('Исходные данные'!$B$88="Последние 12 месяцев",SUMIFS($BF$2:$BF$194,$B$2:$B$194,"&gt;="&amp;EDATE(B15,-11),$B$2:$B$194,"&lt;="&amp;B15),IF('Исходные данные'!$B$88="Пользовательский NOI",N('Исходные данные'!$B$89),BL15))/N('Исходные данные'!$B$80)*(1+N('Исходные данные'!$B$81))),0))</f>
        <v>0</v>
      </c>
      <c r="BN15">
        <f>-BM15*N('Исходные данные'!$B$73)</f>
        <v>0</v>
      </c>
      <c r="BO15">
        <f>IF(BM15=0,0,-N('Исходные данные'!$B$87)-IF('Исходные данные'!$B$82="Да",IF('Исходные данные'!$B$84="С выручки",BM15,IF('Исходные данные'!$B$84="С прибыли",MAX(0,BM15+BN15-IF('Исходные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5">
        <f t="shared" si="11"/>
        <v>0</v>
      </c>
      <c r="BQ15">
        <f>IF(D15=1,Расчёты!AZ15+BE15+BH15+BK15+BP15,0)</f>
        <v>0</v>
      </c>
      <c r="BR15" t="str">
        <f t="shared" si="17"/>
        <v/>
      </c>
      <c r="BS15">
        <f>IF(OR(D15=0,'Исходные данные'!$B$9="",'Исходные данные'!$B$90=""),0,BQ15/(1+'Исходные данные'!$B$90)^((C15-'Исходные данные'!$B$9)/365))</f>
        <v>0</v>
      </c>
      <c r="BT15">
        <f>IF(D15=1,BE15+Расчёты!O15+Расчёты!Q15+Расчёты!S15+Расчёты!U15+Расчёты!W15+Расчёты!X15+BH15+BK15,0)</f>
        <v>0</v>
      </c>
      <c r="BU15">
        <f>IF(AND(D15=1,BR15&gt;=0,BR14&lt;0,MIN($BR$2:BR15)&lt;0),1,0)</f>
        <v>0</v>
      </c>
      <c r="BV15">
        <f>Расчёты!AZ15+K15+N15-P15*N('Исходные данные'!$B$50)</f>
        <v>0</v>
      </c>
      <c r="BW15">
        <f t="shared" si="18"/>
        <v>0</v>
      </c>
      <c r="BX15">
        <f>IF(AND(BW15&gt;=0,BW14&lt;0,MIN($BW$2:BW15)&lt;0),1,0)</f>
        <v>0</v>
      </c>
      <c r="BY15">
        <f>Расчёты!AZ15+AH15+AK15-AM15*N('Исходные данные'!$B$50)</f>
        <v>0</v>
      </c>
      <c r="BZ15">
        <f t="shared" si="19"/>
        <v>0</v>
      </c>
      <c r="CA15">
        <f>IF(AND(BZ15&gt;=0,BZ14&lt;0,MIN($BZ$2:BZ15)&lt;0),1,0)</f>
        <v>0</v>
      </c>
      <c r="CB15">
        <f>Расчёты!AZ15+BE15+BH15-BJ15*N('Исходные данные'!$B$50)</f>
        <v>0</v>
      </c>
      <c r="CC15">
        <f t="shared" si="20"/>
        <v>0</v>
      </c>
      <c r="CD15">
        <f>IF(AND(CC15&gt;=0,CC14&lt;0,MIN($CC$2:CC15)&lt;0),1,0)</f>
        <v>0</v>
      </c>
    </row>
    <row r="16" spans="1:82" x14ac:dyDescent="0.2">
      <c r="A16">
        <f>Расчёты!A16</f>
        <v>15</v>
      </c>
      <c r="B16" t="str">
        <f>Расчёты!B16</f>
        <v/>
      </c>
      <c r="C16" t="str">
        <f>Расчёты!D16</f>
        <v/>
      </c>
      <c r="D16">
        <f>Расчёты!E16</f>
        <v>0</v>
      </c>
      <c r="E16">
        <f>IF(Расчёты!F16=0,0,IF(Расчёты!G16=1,N('Сценарный анализ'!$B$5),IF(Расчёты!G16=2,N('Сценарный анализ'!$B$6),IF(Расчёты!G16=3,N('Сценарный анализ'!$B$7),N('Сценарный анализ'!$B$7)*(1+N('Сценарный анализ'!$B$8))^(Расчёты!G16-3)))))</f>
        <v>0</v>
      </c>
      <c r="F16">
        <f>IF(OR(Расчёты!F16=0,N('Исходные данные'!$B$5)=0,E16=0),0,N('Исходные данные'!$B$5)*E16*IF(AND(B16&lt;='Исходные данные'!$B$30,Расчёты!C16&gt;='Исходные данные'!$B$30),(Расчёты!C16-'Исходные данные'!$B$30+1)/DAY(Расчёты!C16),1))</f>
        <v>0</v>
      </c>
      <c r="G16">
        <f>IF(AND(Расчёты!F16&gt;0,Расчёты!F16&lt;=N('Исходные данные'!$B$37)),-F16,0)</f>
        <v>0</v>
      </c>
      <c r="H16">
        <f>IF(OR(Расчёты!F16=0,Расчёты!F16&lt;=N('Исходные данные'!$B$37)),0,-(F16+G16)*N('Сценарный анализ'!$B$9))</f>
        <v>0</v>
      </c>
      <c r="I16">
        <f t="shared" si="0"/>
        <v>0</v>
      </c>
      <c r="J16">
        <f>IF('Исходные данные'!$B$51="Да",I16*N('Исходные данные'!$B$52),0)</f>
        <v>0</v>
      </c>
      <c r="K16">
        <f t="shared" si="1"/>
        <v>0</v>
      </c>
      <c r="L16">
        <f>I16+(Расчёты!Y16-Расчёты!L16)</f>
        <v>0</v>
      </c>
      <c r="M16">
        <f t="shared" si="12"/>
        <v>0</v>
      </c>
      <c r="N16">
        <f>IF('Исходные данные'!$B$51="Да",-MAX(0,J16+Расчёты!R16+Расчёты!V16-Расчёты!P16-Расчёты!T16-M16),0)</f>
        <v>0</v>
      </c>
      <c r="O16">
        <f>IF('Исходные данные'!$B$51="Да",MAX(0,M16+Расчёты!P16+Расчёты!T16-J16-Расчёты!R16-Расчёты!V16),0)</f>
        <v>0</v>
      </c>
      <c r="P16">
        <f>IF('Исходные данные'!$B$53="Выручка",MAX(0,I16+(Расчёты!Q16-Расчёты!R16)+(Расчёты!U16-Расчёты!V16)),IF('Исходные данные'!$B$53="Прибыль до налога",MAX(0,I16+(Расчёты!Q16-Расчёты!R16)+(Расчёты!U16-Расчёты!V16)+N('Исходные данные'!$B$54)*((Расчёты!O16+Расчёты!P16)+(Расчёты!S16+Расчёты!T16)+Расчёты!W16+Расчёты!X16)+IF('Исходные данные'!$B$55="Да",Расчёты!AG16,0)-N('Исходные данные'!$B$56)/12),IF('Исходные данные'!$B$53="Пользовательская база",MAX(0,N('Исходные данные'!$B$57)/12),0)))</f>
        <v>0</v>
      </c>
      <c r="Q16">
        <f>IF(D16=1,-P16*N('Исходные данные'!$B$50),0)</f>
        <v>0</v>
      </c>
      <c r="R16">
        <f t="shared" si="2"/>
        <v>0</v>
      </c>
      <c r="S16">
        <f>IF(OR(D16&lt;&gt;1,B16="",'Исходные данные'!$B$91="",N('Исходные данные'!$B$80)&lt;=0,'Исходные данные'!$B$88=""),0,IF(AND(YEAR(B16)=YEAR('Исходные данные'!$B$91),MONTH(B16)=MONTH('Исходные данные'!$B$91)),MAX(0,IF('Исходные данные'!$B$88="Последние 12 месяцев",SUMIFS($L$2:$L$194,$B$2:$B$194,"&gt;="&amp;EDATE(B16,-11),$B$2:$B$194,"&lt;="&amp;B16),IF('Исходные данные'!$B$88="Пользовательский NOI",N('Исходные данные'!$B$89),R16))/N('Исходные данные'!$B$80)*(1+N('Исходные данные'!$B$81))),0))</f>
        <v>0</v>
      </c>
      <c r="T16">
        <f>-S16*N('Исходные данные'!$B$73)</f>
        <v>0</v>
      </c>
      <c r="U16">
        <f>IF(S16=0,0,-N('Исходные данные'!$B$87)-IF('Исходные данные'!$B$82="Да",IF('Исходные данные'!$B$84="С выручки",S16,IF('Исходные данные'!$B$84="С прибыли",MAX(0,S16+T16-IF('Исходные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6">
        <f t="shared" si="3"/>
        <v>0</v>
      </c>
      <c r="W16">
        <f>IF(D16=1,Расчёты!AZ16+K16+N16+Q16+V16,0)</f>
        <v>0</v>
      </c>
      <c r="X16" t="str">
        <f t="shared" si="13"/>
        <v/>
      </c>
      <c r="Y16">
        <f>IF(OR(D16=0,'Исходные данные'!$B$9="",'Исходные данные'!$B$90=""),0,W16/(1+'Исходные данные'!$B$90)^((C16-'Исходные данные'!$B$9)/365))</f>
        <v>0</v>
      </c>
      <c r="Z16">
        <f>IF(D16=1,K16+Расчёты!O16+Расчёты!Q16+Расчёты!S16+Расчёты!U16+Расчёты!W16+Расчёты!X16+N16+Q16,0)</f>
        <v>0</v>
      </c>
      <c r="AA16">
        <f>IF(AND(D16=1,X16&gt;=0,X15&lt;0,MIN($X$2:X16)&lt;0),1,0)</f>
        <v>0</v>
      </c>
      <c r="AB16">
        <f>IF(Расчёты!F16=0,0,IF(Расчёты!G16=1,N('Сценарный анализ'!$C$5),IF(Расчёты!G16=2,N('Сценарный анализ'!$C$6),IF(Расчёты!G16=3,N('Сценарный анализ'!$C$7),N('Сценарный анализ'!$C$7)*(1+N('Сценарный анализ'!$C$8))^(Расчёты!G16-3)))))</f>
        <v>0</v>
      </c>
      <c r="AC16">
        <f>IF(OR(Расчёты!F16=0,N('Исходные данные'!$B$5)=0,AB16=0),0,N('Исходные данные'!$B$5)*AB16*IF(AND(B16&lt;='Исходные данные'!$B$30,Расчёты!C16&gt;='Исходные данные'!$B$30),(Расчёты!C16-'Исходные данные'!$B$30+1)/DAY(Расчёты!C16),1))</f>
        <v>0</v>
      </c>
      <c r="AD16">
        <f>IF(AND(Расчёты!F16&gt;0,Расчёты!F16&lt;=N('Исходные данные'!$B$37)),-AC16,0)</f>
        <v>0</v>
      </c>
      <c r="AE16">
        <f>IF(OR(Расчёты!F16=0,Расчёты!F16&lt;=N('Исходные данные'!$B$37)),0,-(AC16+AD16)*N('Сценарный анализ'!$C$9))</f>
        <v>0</v>
      </c>
      <c r="AF16">
        <f t="shared" si="4"/>
        <v>0</v>
      </c>
      <c r="AG16">
        <f>IF('Исходные данные'!$B$51="Да",AF16*N('Исходные данные'!$B$52),0)</f>
        <v>0</v>
      </c>
      <c r="AH16">
        <f t="shared" si="5"/>
        <v>0</v>
      </c>
      <c r="AI16">
        <f>AF16+(Расчёты!Y16-Расчёты!L16)</f>
        <v>0</v>
      </c>
      <c r="AJ16">
        <f t="shared" si="14"/>
        <v>0</v>
      </c>
      <c r="AK16">
        <f>IF('Исходные данные'!$B$51="Да",-MAX(0,AG16+Расчёты!R16+Расчёты!V16-Расчёты!P16-Расчёты!T16-AJ16),0)</f>
        <v>0</v>
      </c>
      <c r="AL16">
        <f>IF('Исходные данные'!$B$51="Да",MAX(0,AJ16+Расчёты!P16+Расчёты!T16-AG16-Расчёты!R16-Расчёты!V16),0)</f>
        <v>0</v>
      </c>
      <c r="AM16">
        <f>IF('Исходные данные'!$B$53="Выручка",MAX(0,AF16+(Расчёты!Q16-Расчёты!R16)+(Расчёты!U16-Расчёты!V16)),IF('Исходные данные'!$B$53="Прибыль до налога",MAX(0,AF16+(Расчёты!Q16-Расчёты!R16)+(Расчёты!U16-Расчёты!V16)+N('Исходные данные'!$B$54)*((Расчёты!O16+Расчёты!P16)+(Расчёты!S16+Расчёты!T16)+Расчёты!W16+Расчёты!X16)+IF('Исходные данные'!$B$55="Да",Расчёты!AG16,0)-N('Исходные данные'!$B$56)/12),IF('Исходные данные'!$B$53="Пользовательская база",MAX(0,N('Исходные данные'!$B$57)/12),0)))</f>
        <v>0</v>
      </c>
      <c r="AN16">
        <f>IF(D16=1,-AM16*N('Исходные данные'!$B$50),0)</f>
        <v>0</v>
      </c>
      <c r="AO16">
        <f t="shared" si="6"/>
        <v>0</v>
      </c>
      <c r="AP16">
        <f>IF(OR(D16&lt;&gt;1,B16="",'Исходные данные'!$B$91="",N('Исходные данные'!$B$80)&lt;=0,'Исходные данные'!$B$88=""),0,IF(AND(YEAR(B16)=YEAR('Исходные данные'!$B$91),MONTH(B16)=MONTH('Исходные данные'!$B$91)),MAX(0,IF('Исходные данные'!$B$88="Последние 12 месяцев",SUMIFS($AI$2:$AI$194,$B$2:$B$194,"&gt;="&amp;EDATE(B16,-11),$B$2:$B$194,"&lt;="&amp;B16),IF('Исходные данные'!$B$88="Пользовательский NOI",N('Исходные данные'!$B$89),AO16))/N('Исходные данные'!$B$80)*(1+N('Исходные данные'!$B$81))),0))</f>
        <v>0</v>
      </c>
      <c r="AQ16">
        <f>-AP16*N('Исходные данные'!$B$73)</f>
        <v>0</v>
      </c>
      <c r="AR16">
        <f>IF(AP16=0,0,-N('Исходные данные'!$B$87)-IF('Исходные данные'!$B$82="Да",IF('Исходные данные'!$B$84="С выручки",AP16,IF('Исходные данные'!$B$84="С прибыли",MAX(0,AP16+AQ16-IF('Исходные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6">
        <f t="shared" si="7"/>
        <v>0</v>
      </c>
      <c r="AT16">
        <f>IF(D16=1,Расчёты!AZ16+AH16+AK16+AN16+AS16,0)</f>
        <v>0</v>
      </c>
      <c r="AU16" t="str">
        <f t="shared" si="15"/>
        <v/>
      </c>
      <c r="AV16">
        <f>IF(OR(D16=0,'Исходные данные'!$B$9="",'Исходные данные'!$B$90=""),0,AT16/(1+'Исходные данные'!$B$90)^((C16-'Исходные данные'!$B$9)/365))</f>
        <v>0</v>
      </c>
      <c r="AW16">
        <f>IF(D16=1,AH16+Расчёты!O16+Расчёты!Q16+Расчёты!S16+Расчёты!U16+Расчёты!W16+Расчёты!X16+AK16+AN16,0)</f>
        <v>0</v>
      </c>
      <c r="AX16">
        <f>IF(AND(D16=1,AU16&gt;=0,AU15&lt;0,MIN($AU$2:AU16)&lt;0),1,0)</f>
        <v>0</v>
      </c>
      <c r="AY16">
        <f>IF(Расчёты!F16=0,0,IF(Расчёты!G16=1,N('Сценарный анализ'!$D$5),IF(Расчёты!G16=2,N('Сценарный анализ'!$D$6),IF(Расчёты!G16=3,N('Сценарный анализ'!$D$7),N('Сценарный анализ'!$D$7)*(1+N('Сценарный анализ'!$D$8))^(Расчёты!G16-3)))))</f>
        <v>0</v>
      </c>
      <c r="AZ16">
        <f>IF(OR(Расчёты!F16=0,N('Исходные данные'!$B$5)=0,AY16=0),0,N('Исходные данные'!$B$5)*AY16*IF(AND(B16&lt;='Исходные данные'!$B$30,Расчёты!C16&gt;='Исходные данные'!$B$30),(Расчёты!C16-'Исходные данные'!$B$30+1)/DAY(Расчёты!C16),1))</f>
        <v>0</v>
      </c>
      <c r="BA16">
        <f>IF(AND(Расчёты!F16&gt;0,Расчёты!F16&lt;=N('Исходные данные'!$B$37)),-AZ16,0)</f>
        <v>0</v>
      </c>
      <c r="BB16">
        <f>IF(OR(Расчёты!F16=0,Расчёты!F16&lt;=N('Исходные данные'!$B$37)),0,-(AZ16+BA16)*N('Сценарный анализ'!$D$9))</f>
        <v>0</v>
      </c>
      <c r="BC16">
        <f t="shared" si="8"/>
        <v>0</v>
      </c>
      <c r="BD16">
        <f>IF('Исходные данные'!$B$51="Да",BC16*N('Исходные данные'!$B$52),0)</f>
        <v>0</v>
      </c>
      <c r="BE16">
        <f t="shared" si="9"/>
        <v>0</v>
      </c>
      <c r="BF16">
        <f>BC16+(Расчёты!Y16-Расчёты!L16)</f>
        <v>0</v>
      </c>
      <c r="BG16">
        <f t="shared" si="16"/>
        <v>0</v>
      </c>
      <c r="BH16">
        <f>IF('Исходные данные'!$B$51="Да",-MAX(0,BD16+Расчёты!R16+Расчёты!V16-Расчёты!P16-Расчёты!T16-BG16),0)</f>
        <v>0</v>
      </c>
      <c r="BI16">
        <f>IF('Исходные данные'!$B$51="Да",MAX(0,BG16+Расчёты!P16+Расчёты!T16-BD16-Расчёты!R16-Расчёты!V16),0)</f>
        <v>0</v>
      </c>
      <c r="BJ16">
        <f>IF('Исходные данные'!$B$53="Выручка",MAX(0,BC16+(Расчёты!Q16-Расчёты!R16)+(Расчёты!U16-Расчёты!V16)),IF('Исходные данные'!$B$53="Прибыль до налога",MAX(0,BC16+(Расчёты!Q16-Расчёты!R16)+(Расчёты!U16-Расчёты!V16)+N('Исходные данные'!$B$54)*((Расчёты!O16+Расчёты!P16)+(Расчёты!S16+Расчёты!T16)+Расчёты!W16+Расчёты!X16)+IF('Исходные данные'!$B$55="Да",Расчёты!AG16,0)-N('Исходные данные'!$B$56)/12),IF('Исходные данные'!$B$53="Пользовательская база",MAX(0,N('Исходные данные'!$B$57)/12),0)))</f>
        <v>0</v>
      </c>
      <c r="BK16">
        <f>IF(D16=1,-BJ16*N('Исходные данные'!$B$50),0)</f>
        <v>0</v>
      </c>
      <c r="BL16">
        <f t="shared" si="10"/>
        <v>0</v>
      </c>
      <c r="BM16">
        <f>IF(OR(D16&lt;&gt;1,B16="",'Исходные данные'!$B$91="",N('Исходные данные'!$B$80)&lt;=0,'Исходные данные'!$B$88=""),0,IF(AND(YEAR(B16)=YEAR('Исходные данные'!$B$91),MONTH(B16)=MONTH('Исходные данные'!$B$91)),MAX(0,IF('Исходные данные'!$B$88="Последние 12 месяцев",SUMIFS($BF$2:$BF$194,$B$2:$B$194,"&gt;="&amp;EDATE(B16,-11),$B$2:$B$194,"&lt;="&amp;B16),IF('Исходные данные'!$B$88="Пользовательский NOI",N('Исходные данные'!$B$89),BL16))/N('Исходные данные'!$B$80)*(1+N('Исходные данные'!$B$81))),0))</f>
        <v>0</v>
      </c>
      <c r="BN16">
        <f>-BM16*N('Исходные данные'!$B$73)</f>
        <v>0</v>
      </c>
      <c r="BO16">
        <f>IF(BM16=0,0,-N('Исходные данные'!$B$87)-IF('Исходные данные'!$B$82="Да",IF('Исходные данные'!$B$84="С выручки",BM16,IF('Исходные данные'!$B$84="С прибыли",MAX(0,BM16+BN16-IF('Исходные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6">
        <f t="shared" si="11"/>
        <v>0</v>
      </c>
      <c r="BQ16">
        <f>IF(D16=1,Расчёты!AZ16+BE16+BH16+BK16+BP16,0)</f>
        <v>0</v>
      </c>
      <c r="BR16" t="str">
        <f t="shared" si="17"/>
        <v/>
      </c>
      <c r="BS16">
        <f>IF(OR(D16=0,'Исходные данные'!$B$9="",'Исходные данные'!$B$90=""),0,BQ16/(1+'Исходные данные'!$B$90)^((C16-'Исходные данные'!$B$9)/365))</f>
        <v>0</v>
      </c>
      <c r="BT16">
        <f>IF(D16=1,BE16+Расчёты!O16+Расчёты!Q16+Расчёты!S16+Расчёты!U16+Расчёты!W16+Расчёты!X16+BH16+BK16,0)</f>
        <v>0</v>
      </c>
      <c r="BU16">
        <f>IF(AND(D16=1,BR16&gt;=0,BR15&lt;0,MIN($BR$2:BR16)&lt;0),1,0)</f>
        <v>0</v>
      </c>
      <c r="BV16">
        <f>Расчёты!AZ16+K16+N16-P16*N('Исходные данные'!$B$50)</f>
        <v>0</v>
      </c>
      <c r="BW16">
        <f t="shared" si="18"/>
        <v>0</v>
      </c>
      <c r="BX16">
        <f>IF(AND(BW16&gt;=0,BW15&lt;0,MIN($BW$2:BW16)&lt;0),1,0)</f>
        <v>0</v>
      </c>
      <c r="BY16">
        <f>Расчёты!AZ16+AH16+AK16-AM16*N('Исходные данные'!$B$50)</f>
        <v>0</v>
      </c>
      <c r="BZ16">
        <f t="shared" si="19"/>
        <v>0</v>
      </c>
      <c r="CA16">
        <f>IF(AND(BZ16&gt;=0,BZ15&lt;0,MIN($BZ$2:BZ16)&lt;0),1,0)</f>
        <v>0</v>
      </c>
      <c r="CB16">
        <f>Расчёты!AZ16+BE16+BH16-BJ16*N('Исходные данные'!$B$50)</f>
        <v>0</v>
      </c>
      <c r="CC16">
        <f t="shared" si="20"/>
        <v>0</v>
      </c>
      <c r="CD16">
        <f>IF(AND(CC16&gt;=0,CC15&lt;0,MIN($CC$2:CC16)&lt;0),1,0)</f>
        <v>0</v>
      </c>
    </row>
    <row r="17" spans="1:82" x14ac:dyDescent="0.2">
      <c r="A17">
        <f>Расчёты!A17</f>
        <v>16</v>
      </c>
      <c r="B17" t="str">
        <f>Расчёты!B17</f>
        <v/>
      </c>
      <c r="C17" t="str">
        <f>Расчёты!D17</f>
        <v/>
      </c>
      <c r="D17">
        <f>Расчёты!E17</f>
        <v>0</v>
      </c>
      <c r="E17">
        <f>IF(Расчёты!F17=0,0,IF(Расчёты!G17=1,N('Сценарный анализ'!$B$5),IF(Расчёты!G17=2,N('Сценарный анализ'!$B$6),IF(Расчёты!G17=3,N('Сценарный анализ'!$B$7),N('Сценарный анализ'!$B$7)*(1+N('Сценарный анализ'!$B$8))^(Расчёты!G17-3)))))</f>
        <v>0</v>
      </c>
      <c r="F17">
        <f>IF(OR(Расчёты!F17=0,N('Исходные данные'!$B$5)=0,E17=0),0,N('Исходные данные'!$B$5)*E17*IF(AND(B17&lt;='Исходные данные'!$B$30,Расчёты!C17&gt;='Исходные данные'!$B$30),(Расчёты!C17-'Исходные данные'!$B$30+1)/DAY(Расчёты!C17),1))</f>
        <v>0</v>
      </c>
      <c r="G17">
        <f>IF(AND(Расчёты!F17&gt;0,Расчёты!F17&lt;=N('Исходные данные'!$B$37)),-F17,0)</f>
        <v>0</v>
      </c>
      <c r="H17">
        <f>IF(OR(Расчёты!F17=0,Расчёты!F17&lt;=N('Исходные данные'!$B$37)),0,-(F17+G17)*N('Сценарный анализ'!$B$9))</f>
        <v>0</v>
      </c>
      <c r="I17">
        <f t="shared" si="0"/>
        <v>0</v>
      </c>
      <c r="J17">
        <f>IF('Исходные данные'!$B$51="Да",I17*N('Исходные данные'!$B$52),0)</f>
        <v>0</v>
      </c>
      <c r="K17">
        <f t="shared" si="1"/>
        <v>0</v>
      </c>
      <c r="L17">
        <f>I17+(Расчёты!Y17-Расчёты!L17)</f>
        <v>0</v>
      </c>
      <c r="M17">
        <f t="shared" si="12"/>
        <v>0</v>
      </c>
      <c r="N17">
        <f>IF('Исходные данные'!$B$51="Да",-MAX(0,J17+Расчёты!R17+Расчёты!V17-Расчёты!P17-Расчёты!T17-M17),0)</f>
        <v>0</v>
      </c>
      <c r="O17">
        <f>IF('Исходные данные'!$B$51="Да",MAX(0,M17+Расчёты!P17+Расчёты!T17-J17-Расчёты!R17-Расчёты!V17),0)</f>
        <v>0</v>
      </c>
      <c r="P17">
        <f>IF('Исходные данные'!$B$53="Выручка",MAX(0,I17+(Расчёты!Q17-Расчёты!R17)+(Расчёты!U17-Расчёты!V17)),IF('Исходные данные'!$B$53="Прибыль до налога",MAX(0,I17+(Расчёты!Q17-Расчёты!R17)+(Расчёты!U17-Расчёты!V17)+N('Исходные данные'!$B$54)*((Расчёты!O17+Расчёты!P17)+(Расчёты!S17+Расчёты!T17)+Расчёты!W17+Расчёты!X17)+IF('Исходные данные'!$B$55="Да",Расчёты!AG17,0)-N('Исходные данные'!$B$56)/12),IF('Исходные данные'!$B$53="Пользовательская база",MAX(0,N('Исходные данные'!$B$57)/12),0)))</f>
        <v>0</v>
      </c>
      <c r="Q17">
        <f>IF(D17=1,-P17*N('Исходные данные'!$B$50),0)</f>
        <v>0</v>
      </c>
      <c r="R17">
        <f t="shared" si="2"/>
        <v>0</v>
      </c>
      <c r="S17">
        <f>IF(OR(D17&lt;&gt;1,B17="",'Исходные данные'!$B$91="",N('Исходные данные'!$B$80)&lt;=0,'Исходные данные'!$B$88=""),0,IF(AND(YEAR(B17)=YEAR('Исходные данные'!$B$91),MONTH(B17)=MONTH('Исходные данные'!$B$91)),MAX(0,IF('Исходные данные'!$B$88="Последние 12 месяцев",SUMIFS($L$2:$L$194,$B$2:$B$194,"&gt;="&amp;EDATE(B17,-11),$B$2:$B$194,"&lt;="&amp;B17),IF('Исходные данные'!$B$88="Пользовательский NOI",N('Исходные данные'!$B$89),R17))/N('Исходные данные'!$B$80)*(1+N('Исходные данные'!$B$81))),0))</f>
        <v>0</v>
      </c>
      <c r="T17">
        <f>-S17*N('Исходные данные'!$B$73)</f>
        <v>0</v>
      </c>
      <c r="U17">
        <f>IF(S17=0,0,-N('Исходные данные'!$B$87)-IF('Исходные данные'!$B$82="Да",IF('Исходные данные'!$B$84="С выручки",S17,IF('Исходные данные'!$B$84="С прибыли",MAX(0,S17+T17-IF('Исходные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7">
        <f t="shared" si="3"/>
        <v>0</v>
      </c>
      <c r="W17">
        <f>IF(D17=1,Расчёты!AZ17+K17+N17+Q17+V17,0)</f>
        <v>0</v>
      </c>
      <c r="X17" t="str">
        <f t="shared" si="13"/>
        <v/>
      </c>
      <c r="Y17">
        <f>IF(OR(D17=0,'Исходные данные'!$B$9="",'Исходные данные'!$B$90=""),0,W17/(1+'Исходные данные'!$B$90)^((C17-'Исходные данные'!$B$9)/365))</f>
        <v>0</v>
      </c>
      <c r="Z17">
        <f>IF(D17=1,K17+Расчёты!O17+Расчёты!Q17+Расчёты!S17+Расчёты!U17+Расчёты!W17+Расчёты!X17+N17+Q17,0)</f>
        <v>0</v>
      </c>
      <c r="AA17">
        <f>IF(AND(D17=1,X17&gt;=0,X16&lt;0,MIN($X$2:X17)&lt;0),1,0)</f>
        <v>0</v>
      </c>
      <c r="AB17">
        <f>IF(Расчёты!F17=0,0,IF(Расчёты!G17=1,N('Сценарный анализ'!$C$5),IF(Расчёты!G17=2,N('Сценарный анализ'!$C$6),IF(Расчёты!G17=3,N('Сценарный анализ'!$C$7),N('Сценарный анализ'!$C$7)*(1+N('Сценарный анализ'!$C$8))^(Расчёты!G17-3)))))</f>
        <v>0</v>
      </c>
      <c r="AC17">
        <f>IF(OR(Расчёты!F17=0,N('Исходные данные'!$B$5)=0,AB17=0),0,N('Исходные данные'!$B$5)*AB17*IF(AND(B17&lt;='Исходные данные'!$B$30,Расчёты!C17&gt;='Исходные данные'!$B$30),(Расчёты!C17-'Исходные данные'!$B$30+1)/DAY(Расчёты!C17),1))</f>
        <v>0</v>
      </c>
      <c r="AD17">
        <f>IF(AND(Расчёты!F17&gt;0,Расчёты!F17&lt;=N('Исходные данные'!$B$37)),-AC17,0)</f>
        <v>0</v>
      </c>
      <c r="AE17">
        <f>IF(OR(Расчёты!F17=0,Расчёты!F17&lt;=N('Исходные данные'!$B$37)),0,-(AC17+AD17)*N('Сценарный анализ'!$C$9))</f>
        <v>0</v>
      </c>
      <c r="AF17">
        <f t="shared" si="4"/>
        <v>0</v>
      </c>
      <c r="AG17">
        <f>IF('Исходные данные'!$B$51="Да",AF17*N('Исходные данные'!$B$52),0)</f>
        <v>0</v>
      </c>
      <c r="AH17">
        <f t="shared" si="5"/>
        <v>0</v>
      </c>
      <c r="AI17">
        <f>AF17+(Расчёты!Y17-Расчёты!L17)</f>
        <v>0</v>
      </c>
      <c r="AJ17">
        <f t="shared" si="14"/>
        <v>0</v>
      </c>
      <c r="AK17">
        <f>IF('Исходные данные'!$B$51="Да",-MAX(0,AG17+Расчёты!R17+Расчёты!V17-Расчёты!P17-Расчёты!T17-AJ17),0)</f>
        <v>0</v>
      </c>
      <c r="AL17">
        <f>IF('Исходные данные'!$B$51="Да",MAX(0,AJ17+Расчёты!P17+Расчёты!T17-AG17-Расчёты!R17-Расчёты!V17),0)</f>
        <v>0</v>
      </c>
      <c r="AM17">
        <f>IF('Исходные данные'!$B$53="Выручка",MAX(0,AF17+(Расчёты!Q17-Расчёты!R17)+(Расчёты!U17-Расчёты!V17)),IF('Исходные данные'!$B$53="Прибыль до налога",MAX(0,AF17+(Расчёты!Q17-Расчёты!R17)+(Расчёты!U17-Расчёты!V17)+N('Исходные данные'!$B$54)*((Расчёты!O17+Расчёты!P17)+(Расчёты!S17+Расчёты!T17)+Расчёты!W17+Расчёты!X17)+IF('Исходные данные'!$B$55="Да",Расчёты!AG17,0)-N('Исходные данные'!$B$56)/12),IF('Исходные данные'!$B$53="Пользовательская база",MAX(0,N('Исходные данные'!$B$57)/12),0)))</f>
        <v>0</v>
      </c>
      <c r="AN17">
        <f>IF(D17=1,-AM17*N('Исходные данные'!$B$50),0)</f>
        <v>0</v>
      </c>
      <c r="AO17">
        <f t="shared" si="6"/>
        <v>0</v>
      </c>
      <c r="AP17">
        <f>IF(OR(D17&lt;&gt;1,B17="",'Исходные данные'!$B$91="",N('Исходные данные'!$B$80)&lt;=0,'Исходные данные'!$B$88=""),0,IF(AND(YEAR(B17)=YEAR('Исходные данные'!$B$91),MONTH(B17)=MONTH('Исходные данные'!$B$91)),MAX(0,IF('Исходные данные'!$B$88="Последние 12 месяцев",SUMIFS($AI$2:$AI$194,$B$2:$B$194,"&gt;="&amp;EDATE(B17,-11),$B$2:$B$194,"&lt;="&amp;B17),IF('Исходные данные'!$B$88="Пользовательский NOI",N('Исходные данные'!$B$89),AO17))/N('Исходные данные'!$B$80)*(1+N('Исходные данные'!$B$81))),0))</f>
        <v>0</v>
      </c>
      <c r="AQ17">
        <f>-AP17*N('Исходные данные'!$B$73)</f>
        <v>0</v>
      </c>
      <c r="AR17">
        <f>IF(AP17=0,0,-N('Исходные данные'!$B$87)-IF('Исходные данные'!$B$82="Да",IF('Исходные данные'!$B$84="С выручки",AP17,IF('Исходные данные'!$B$84="С прибыли",MAX(0,AP17+AQ17-IF('Исходные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7">
        <f t="shared" si="7"/>
        <v>0</v>
      </c>
      <c r="AT17">
        <f>IF(D17=1,Расчёты!AZ17+AH17+AK17+AN17+AS17,0)</f>
        <v>0</v>
      </c>
      <c r="AU17" t="str">
        <f t="shared" si="15"/>
        <v/>
      </c>
      <c r="AV17">
        <f>IF(OR(D17=0,'Исходные данные'!$B$9="",'Исходные данные'!$B$90=""),0,AT17/(1+'Исходные данные'!$B$90)^((C17-'Исходные данные'!$B$9)/365))</f>
        <v>0</v>
      </c>
      <c r="AW17">
        <f>IF(D17=1,AH17+Расчёты!O17+Расчёты!Q17+Расчёты!S17+Расчёты!U17+Расчёты!W17+Расчёты!X17+AK17+AN17,0)</f>
        <v>0</v>
      </c>
      <c r="AX17">
        <f>IF(AND(D17=1,AU17&gt;=0,AU16&lt;0,MIN($AU$2:AU17)&lt;0),1,0)</f>
        <v>0</v>
      </c>
      <c r="AY17">
        <f>IF(Расчёты!F17=0,0,IF(Расчёты!G17=1,N('Сценарный анализ'!$D$5),IF(Расчёты!G17=2,N('Сценарный анализ'!$D$6),IF(Расчёты!G17=3,N('Сценарный анализ'!$D$7),N('Сценарный анализ'!$D$7)*(1+N('Сценарный анализ'!$D$8))^(Расчёты!G17-3)))))</f>
        <v>0</v>
      </c>
      <c r="AZ17">
        <f>IF(OR(Расчёты!F17=0,N('Исходные данные'!$B$5)=0,AY17=0),0,N('Исходные данные'!$B$5)*AY17*IF(AND(B17&lt;='Исходные данные'!$B$30,Расчёты!C17&gt;='Исходные данные'!$B$30),(Расчёты!C17-'Исходные данные'!$B$30+1)/DAY(Расчёты!C17),1))</f>
        <v>0</v>
      </c>
      <c r="BA17">
        <f>IF(AND(Расчёты!F17&gt;0,Расчёты!F17&lt;=N('Исходные данные'!$B$37)),-AZ17,0)</f>
        <v>0</v>
      </c>
      <c r="BB17">
        <f>IF(OR(Расчёты!F17=0,Расчёты!F17&lt;=N('Исходные данные'!$B$37)),0,-(AZ17+BA17)*N('Сценарный анализ'!$D$9))</f>
        <v>0</v>
      </c>
      <c r="BC17">
        <f t="shared" si="8"/>
        <v>0</v>
      </c>
      <c r="BD17">
        <f>IF('Исходные данные'!$B$51="Да",BC17*N('Исходные данные'!$B$52),0)</f>
        <v>0</v>
      </c>
      <c r="BE17">
        <f t="shared" si="9"/>
        <v>0</v>
      </c>
      <c r="BF17">
        <f>BC17+(Расчёты!Y17-Расчёты!L17)</f>
        <v>0</v>
      </c>
      <c r="BG17">
        <f t="shared" si="16"/>
        <v>0</v>
      </c>
      <c r="BH17">
        <f>IF('Исходные данные'!$B$51="Да",-MAX(0,BD17+Расчёты!R17+Расчёты!V17-Расчёты!P17-Расчёты!T17-BG17),0)</f>
        <v>0</v>
      </c>
      <c r="BI17">
        <f>IF('Исходные данные'!$B$51="Да",MAX(0,BG17+Расчёты!P17+Расчёты!T17-BD17-Расчёты!R17-Расчёты!V17),0)</f>
        <v>0</v>
      </c>
      <c r="BJ17">
        <f>IF('Исходные данные'!$B$53="Выручка",MAX(0,BC17+(Расчёты!Q17-Расчёты!R17)+(Расчёты!U17-Расчёты!V17)),IF('Исходные данные'!$B$53="Прибыль до налога",MAX(0,BC17+(Расчёты!Q17-Расчёты!R17)+(Расчёты!U17-Расчёты!V17)+N('Исходные данные'!$B$54)*((Расчёты!O17+Расчёты!P17)+(Расчёты!S17+Расчёты!T17)+Расчёты!W17+Расчёты!X17)+IF('Исходные данные'!$B$55="Да",Расчёты!AG17,0)-N('Исходные данные'!$B$56)/12),IF('Исходные данные'!$B$53="Пользовательская база",MAX(0,N('Исходные данные'!$B$57)/12),0)))</f>
        <v>0</v>
      </c>
      <c r="BK17">
        <f>IF(D17=1,-BJ17*N('Исходные данные'!$B$50),0)</f>
        <v>0</v>
      </c>
      <c r="BL17">
        <f t="shared" si="10"/>
        <v>0</v>
      </c>
      <c r="BM17">
        <f>IF(OR(D17&lt;&gt;1,B17="",'Исходные данные'!$B$91="",N('Исходные данные'!$B$80)&lt;=0,'Исходные данные'!$B$88=""),0,IF(AND(YEAR(B17)=YEAR('Исходные данные'!$B$91),MONTH(B17)=MONTH('Исходные данные'!$B$91)),MAX(0,IF('Исходные данные'!$B$88="Последние 12 месяцев",SUMIFS($BF$2:$BF$194,$B$2:$B$194,"&gt;="&amp;EDATE(B17,-11),$B$2:$B$194,"&lt;="&amp;B17),IF('Исходные данные'!$B$88="Пользовательский NOI",N('Исходные данные'!$B$89),BL17))/N('Исходные данные'!$B$80)*(1+N('Исходные данные'!$B$81))),0))</f>
        <v>0</v>
      </c>
      <c r="BN17">
        <f>-BM17*N('Исходные данные'!$B$73)</f>
        <v>0</v>
      </c>
      <c r="BO17">
        <f>IF(BM17=0,0,-N('Исходные данные'!$B$87)-IF('Исходные данные'!$B$82="Да",IF('Исходные данные'!$B$84="С выручки",BM17,IF('Исходные данные'!$B$84="С прибыли",MAX(0,BM17+BN17-IF('Исходные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7">
        <f t="shared" si="11"/>
        <v>0</v>
      </c>
      <c r="BQ17">
        <f>IF(D17=1,Расчёты!AZ17+BE17+BH17+BK17+BP17,0)</f>
        <v>0</v>
      </c>
      <c r="BR17" t="str">
        <f t="shared" si="17"/>
        <v/>
      </c>
      <c r="BS17">
        <f>IF(OR(D17=0,'Исходные данные'!$B$9="",'Исходные данные'!$B$90=""),0,BQ17/(1+'Исходные данные'!$B$90)^((C17-'Исходные данные'!$B$9)/365))</f>
        <v>0</v>
      </c>
      <c r="BT17">
        <f>IF(D17=1,BE17+Расчёты!O17+Расчёты!Q17+Расчёты!S17+Расчёты!U17+Расчёты!W17+Расчёты!X17+BH17+BK17,0)</f>
        <v>0</v>
      </c>
      <c r="BU17">
        <f>IF(AND(D17=1,BR17&gt;=0,BR16&lt;0,MIN($BR$2:BR17)&lt;0),1,0)</f>
        <v>0</v>
      </c>
      <c r="BV17">
        <f>Расчёты!AZ17+K17+N17-P17*N('Исходные данные'!$B$50)</f>
        <v>0</v>
      </c>
      <c r="BW17">
        <f t="shared" si="18"/>
        <v>0</v>
      </c>
      <c r="BX17">
        <f>IF(AND(BW17&gt;=0,BW16&lt;0,MIN($BW$2:BW17)&lt;0),1,0)</f>
        <v>0</v>
      </c>
      <c r="BY17">
        <f>Расчёты!AZ17+AH17+AK17-AM17*N('Исходные данные'!$B$50)</f>
        <v>0</v>
      </c>
      <c r="BZ17">
        <f t="shared" si="19"/>
        <v>0</v>
      </c>
      <c r="CA17">
        <f>IF(AND(BZ17&gt;=0,BZ16&lt;0,MIN($BZ$2:BZ17)&lt;0),1,0)</f>
        <v>0</v>
      </c>
      <c r="CB17">
        <f>Расчёты!AZ17+BE17+BH17-BJ17*N('Исходные данные'!$B$50)</f>
        <v>0</v>
      </c>
      <c r="CC17">
        <f t="shared" si="20"/>
        <v>0</v>
      </c>
      <c r="CD17">
        <f>IF(AND(CC17&gt;=0,CC16&lt;0,MIN($CC$2:CC17)&lt;0),1,0)</f>
        <v>0</v>
      </c>
    </row>
    <row r="18" spans="1:82" x14ac:dyDescent="0.2">
      <c r="A18">
        <f>Расчёты!A18</f>
        <v>17</v>
      </c>
      <c r="B18" t="str">
        <f>Расчёты!B18</f>
        <v/>
      </c>
      <c r="C18" t="str">
        <f>Расчёты!D18</f>
        <v/>
      </c>
      <c r="D18">
        <f>Расчёты!E18</f>
        <v>0</v>
      </c>
      <c r="E18">
        <f>IF(Расчёты!F18=0,0,IF(Расчёты!G18=1,N('Сценарный анализ'!$B$5),IF(Расчёты!G18=2,N('Сценарный анализ'!$B$6),IF(Расчёты!G18=3,N('Сценарный анализ'!$B$7),N('Сценарный анализ'!$B$7)*(1+N('Сценарный анализ'!$B$8))^(Расчёты!G18-3)))))</f>
        <v>0</v>
      </c>
      <c r="F18">
        <f>IF(OR(Расчёты!F18=0,N('Исходные данные'!$B$5)=0,E18=0),0,N('Исходные данные'!$B$5)*E18*IF(AND(B18&lt;='Исходные данные'!$B$30,Расчёты!C18&gt;='Исходные данные'!$B$30),(Расчёты!C18-'Исходные данные'!$B$30+1)/DAY(Расчёты!C18),1))</f>
        <v>0</v>
      </c>
      <c r="G18">
        <f>IF(AND(Расчёты!F18&gt;0,Расчёты!F18&lt;=N('Исходные данные'!$B$37)),-F18,0)</f>
        <v>0</v>
      </c>
      <c r="H18">
        <f>IF(OR(Расчёты!F18=0,Расчёты!F18&lt;=N('Исходные данные'!$B$37)),0,-(F18+G18)*N('Сценарный анализ'!$B$9))</f>
        <v>0</v>
      </c>
      <c r="I18">
        <f t="shared" si="0"/>
        <v>0</v>
      </c>
      <c r="J18">
        <f>IF('Исходные данные'!$B$51="Да",I18*N('Исходные данные'!$B$52),0)</f>
        <v>0</v>
      </c>
      <c r="K18">
        <f t="shared" si="1"/>
        <v>0</v>
      </c>
      <c r="L18">
        <f>I18+(Расчёты!Y18-Расчёты!L18)</f>
        <v>0</v>
      </c>
      <c r="M18">
        <f t="shared" si="12"/>
        <v>0</v>
      </c>
      <c r="N18">
        <f>IF('Исходные данные'!$B$51="Да",-MAX(0,J18+Расчёты!R18+Расчёты!V18-Расчёты!P18-Расчёты!T18-M18),0)</f>
        <v>0</v>
      </c>
      <c r="O18">
        <f>IF('Исходные данные'!$B$51="Да",MAX(0,M18+Расчёты!P18+Расчёты!T18-J18-Расчёты!R18-Расчёты!V18),0)</f>
        <v>0</v>
      </c>
      <c r="P18">
        <f>IF('Исходные данные'!$B$53="Выручка",MAX(0,I18+(Расчёты!Q18-Расчёты!R18)+(Расчёты!U18-Расчёты!V18)),IF('Исходные данные'!$B$53="Прибыль до налога",MAX(0,I18+(Расчёты!Q18-Расчёты!R18)+(Расчёты!U18-Расчёты!V18)+N('Исходные данные'!$B$54)*((Расчёты!O18+Расчёты!P18)+(Расчёты!S18+Расчёты!T18)+Расчёты!W18+Расчёты!X18)+IF('Исходные данные'!$B$55="Да",Расчёты!AG18,0)-N('Исходные данные'!$B$56)/12),IF('Исходные данные'!$B$53="Пользовательская база",MAX(0,N('Исходные данные'!$B$57)/12),0)))</f>
        <v>0</v>
      </c>
      <c r="Q18">
        <f>IF(D18=1,-P18*N('Исходные данные'!$B$50),0)</f>
        <v>0</v>
      </c>
      <c r="R18">
        <f t="shared" si="2"/>
        <v>0</v>
      </c>
      <c r="S18">
        <f>IF(OR(D18&lt;&gt;1,B18="",'Исходные данные'!$B$91="",N('Исходные данные'!$B$80)&lt;=0,'Исходные данные'!$B$88=""),0,IF(AND(YEAR(B18)=YEAR('Исходные данные'!$B$91),MONTH(B18)=MONTH('Исходные данные'!$B$91)),MAX(0,IF('Исходные данные'!$B$88="Последние 12 месяцев",SUMIFS($L$2:$L$194,$B$2:$B$194,"&gt;="&amp;EDATE(B18,-11),$B$2:$B$194,"&lt;="&amp;B18),IF('Исходные данные'!$B$88="Пользовательский NOI",N('Исходные данные'!$B$89),R18))/N('Исходные данные'!$B$80)*(1+N('Исходные данные'!$B$81))),0))</f>
        <v>0</v>
      </c>
      <c r="T18">
        <f>-S18*N('Исходные данные'!$B$73)</f>
        <v>0</v>
      </c>
      <c r="U18">
        <f>IF(S18=0,0,-N('Исходные данные'!$B$87)-IF('Исходные данные'!$B$82="Да",IF('Исходные данные'!$B$84="С выручки",S18,IF('Исходные данные'!$B$84="С прибыли",MAX(0,S18+T18-IF('Исходные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8">
        <f t="shared" si="3"/>
        <v>0</v>
      </c>
      <c r="W18">
        <f>IF(D18=1,Расчёты!AZ18+K18+N18+Q18+V18,0)</f>
        <v>0</v>
      </c>
      <c r="X18" t="str">
        <f t="shared" si="13"/>
        <v/>
      </c>
      <c r="Y18">
        <f>IF(OR(D18=0,'Исходные данные'!$B$9="",'Исходные данные'!$B$90=""),0,W18/(1+'Исходные данные'!$B$90)^((C18-'Исходные данные'!$B$9)/365))</f>
        <v>0</v>
      </c>
      <c r="Z18">
        <f>IF(D18=1,K18+Расчёты!O18+Расчёты!Q18+Расчёты!S18+Расчёты!U18+Расчёты!W18+Расчёты!X18+N18+Q18,0)</f>
        <v>0</v>
      </c>
      <c r="AA18">
        <f>IF(AND(D18=1,X18&gt;=0,X17&lt;0,MIN($X$2:X18)&lt;0),1,0)</f>
        <v>0</v>
      </c>
      <c r="AB18">
        <f>IF(Расчёты!F18=0,0,IF(Расчёты!G18=1,N('Сценарный анализ'!$C$5),IF(Расчёты!G18=2,N('Сценарный анализ'!$C$6),IF(Расчёты!G18=3,N('Сценарный анализ'!$C$7),N('Сценарный анализ'!$C$7)*(1+N('Сценарный анализ'!$C$8))^(Расчёты!G18-3)))))</f>
        <v>0</v>
      </c>
      <c r="AC18">
        <f>IF(OR(Расчёты!F18=0,N('Исходные данные'!$B$5)=0,AB18=0),0,N('Исходные данные'!$B$5)*AB18*IF(AND(B18&lt;='Исходные данные'!$B$30,Расчёты!C18&gt;='Исходные данные'!$B$30),(Расчёты!C18-'Исходные данные'!$B$30+1)/DAY(Расчёты!C18),1))</f>
        <v>0</v>
      </c>
      <c r="AD18">
        <f>IF(AND(Расчёты!F18&gt;0,Расчёты!F18&lt;=N('Исходные данные'!$B$37)),-AC18,0)</f>
        <v>0</v>
      </c>
      <c r="AE18">
        <f>IF(OR(Расчёты!F18=0,Расчёты!F18&lt;=N('Исходные данные'!$B$37)),0,-(AC18+AD18)*N('Сценарный анализ'!$C$9))</f>
        <v>0</v>
      </c>
      <c r="AF18">
        <f t="shared" si="4"/>
        <v>0</v>
      </c>
      <c r="AG18">
        <f>IF('Исходные данные'!$B$51="Да",AF18*N('Исходные данные'!$B$52),0)</f>
        <v>0</v>
      </c>
      <c r="AH18">
        <f t="shared" si="5"/>
        <v>0</v>
      </c>
      <c r="AI18">
        <f>AF18+(Расчёты!Y18-Расчёты!L18)</f>
        <v>0</v>
      </c>
      <c r="AJ18">
        <f t="shared" si="14"/>
        <v>0</v>
      </c>
      <c r="AK18">
        <f>IF('Исходные данные'!$B$51="Да",-MAX(0,AG18+Расчёты!R18+Расчёты!V18-Расчёты!P18-Расчёты!T18-AJ18),0)</f>
        <v>0</v>
      </c>
      <c r="AL18">
        <f>IF('Исходные данные'!$B$51="Да",MAX(0,AJ18+Расчёты!P18+Расчёты!T18-AG18-Расчёты!R18-Расчёты!V18),0)</f>
        <v>0</v>
      </c>
      <c r="AM18">
        <f>IF('Исходные данные'!$B$53="Выручка",MAX(0,AF18+(Расчёты!Q18-Расчёты!R18)+(Расчёты!U18-Расчёты!V18)),IF('Исходные данные'!$B$53="Прибыль до налога",MAX(0,AF18+(Расчёты!Q18-Расчёты!R18)+(Расчёты!U18-Расчёты!V18)+N('Исходные данные'!$B$54)*((Расчёты!O18+Расчёты!P18)+(Расчёты!S18+Расчёты!T18)+Расчёты!W18+Расчёты!X18)+IF('Исходные данные'!$B$55="Да",Расчёты!AG18,0)-N('Исходные данные'!$B$56)/12),IF('Исходные данные'!$B$53="Пользовательская база",MAX(0,N('Исходные данные'!$B$57)/12),0)))</f>
        <v>0</v>
      </c>
      <c r="AN18">
        <f>IF(D18=1,-AM18*N('Исходные данные'!$B$50),0)</f>
        <v>0</v>
      </c>
      <c r="AO18">
        <f t="shared" si="6"/>
        <v>0</v>
      </c>
      <c r="AP18">
        <f>IF(OR(D18&lt;&gt;1,B18="",'Исходные данные'!$B$91="",N('Исходные данные'!$B$80)&lt;=0,'Исходные данные'!$B$88=""),0,IF(AND(YEAR(B18)=YEAR('Исходные данные'!$B$91),MONTH(B18)=MONTH('Исходные данные'!$B$91)),MAX(0,IF('Исходные данные'!$B$88="Последние 12 месяцев",SUMIFS($AI$2:$AI$194,$B$2:$B$194,"&gt;="&amp;EDATE(B18,-11),$B$2:$B$194,"&lt;="&amp;B18),IF('Исходные данные'!$B$88="Пользовательский NOI",N('Исходные данные'!$B$89),AO18))/N('Исходные данные'!$B$80)*(1+N('Исходные данные'!$B$81))),0))</f>
        <v>0</v>
      </c>
      <c r="AQ18">
        <f>-AP18*N('Исходные данные'!$B$73)</f>
        <v>0</v>
      </c>
      <c r="AR18">
        <f>IF(AP18=0,0,-N('Исходные данные'!$B$87)-IF('Исходные данные'!$B$82="Да",IF('Исходные данные'!$B$84="С выручки",AP18,IF('Исходные данные'!$B$84="С прибыли",MAX(0,AP18+AQ18-IF('Исходные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8">
        <f t="shared" si="7"/>
        <v>0</v>
      </c>
      <c r="AT18">
        <f>IF(D18=1,Расчёты!AZ18+AH18+AK18+AN18+AS18,0)</f>
        <v>0</v>
      </c>
      <c r="AU18" t="str">
        <f t="shared" si="15"/>
        <v/>
      </c>
      <c r="AV18">
        <f>IF(OR(D18=0,'Исходные данные'!$B$9="",'Исходные данные'!$B$90=""),0,AT18/(1+'Исходные данные'!$B$90)^((C18-'Исходные данные'!$B$9)/365))</f>
        <v>0</v>
      </c>
      <c r="AW18">
        <f>IF(D18=1,AH18+Расчёты!O18+Расчёты!Q18+Расчёты!S18+Расчёты!U18+Расчёты!W18+Расчёты!X18+AK18+AN18,0)</f>
        <v>0</v>
      </c>
      <c r="AX18">
        <f>IF(AND(D18=1,AU18&gt;=0,AU17&lt;0,MIN($AU$2:AU18)&lt;0),1,0)</f>
        <v>0</v>
      </c>
      <c r="AY18">
        <f>IF(Расчёты!F18=0,0,IF(Расчёты!G18=1,N('Сценарный анализ'!$D$5),IF(Расчёты!G18=2,N('Сценарный анализ'!$D$6),IF(Расчёты!G18=3,N('Сценарный анализ'!$D$7),N('Сценарный анализ'!$D$7)*(1+N('Сценарный анализ'!$D$8))^(Расчёты!G18-3)))))</f>
        <v>0</v>
      </c>
      <c r="AZ18">
        <f>IF(OR(Расчёты!F18=0,N('Исходные данные'!$B$5)=0,AY18=0),0,N('Исходные данные'!$B$5)*AY18*IF(AND(B18&lt;='Исходные данные'!$B$30,Расчёты!C18&gt;='Исходные данные'!$B$30),(Расчёты!C18-'Исходные данные'!$B$30+1)/DAY(Расчёты!C18),1))</f>
        <v>0</v>
      </c>
      <c r="BA18">
        <f>IF(AND(Расчёты!F18&gt;0,Расчёты!F18&lt;=N('Исходные данные'!$B$37)),-AZ18,0)</f>
        <v>0</v>
      </c>
      <c r="BB18">
        <f>IF(OR(Расчёты!F18=0,Расчёты!F18&lt;=N('Исходные данные'!$B$37)),0,-(AZ18+BA18)*N('Сценарный анализ'!$D$9))</f>
        <v>0</v>
      </c>
      <c r="BC18">
        <f t="shared" si="8"/>
        <v>0</v>
      </c>
      <c r="BD18">
        <f>IF('Исходные данные'!$B$51="Да",BC18*N('Исходные данные'!$B$52),0)</f>
        <v>0</v>
      </c>
      <c r="BE18">
        <f t="shared" si="9"/>
        <v>0</v>
      </c>
      <c r="BF18">
        <f>BC18+(Расчёты!Y18-Расчёты!L18)</f>
        <v>0</v>
      </c>
      <c r="BG18">
        <f t="shared" si="16"/>
        <v>0</v>
      </c>
      <c r="BH18">
        <f>IF('Исходные данные'!$B$51="Да",-MAX(0,BD18+Расчёты!R18+Расчёты!V18-Расчёты!P18-Расчёты!T18-BG18),0)</f>
        <v>0</v>
      </c>
      <c r="BI18">
        <f>IF('Исходные данные'!$B$51="Да",MAX(0,BG18+Расчёты!P18+Расчёты!T18-BD18-Расчёты!R18-Расчёты!V18),0)</f>
        <v>0</v>
      </c>
      <c r="BJ18">
        <f>IF('Исходные данные'!$B$53="Выручка",MAX(0,BC18+(Расчёты!Q18-Расчёты!R18)+(Расчёты!U18-Расчёты!V18)),IF('Исходные данные'!$B$53="Прибыль до налога",MAX(0,BC18+(Расчёты!Q18-Расчёты!R18)+(Расчёты!U18-Расчёты!V18)+N('Исходные данные'!$B$54)*((Расчёты!O18+Расчёты!P18)+(Расчёты!S18+Расчёты!T18)+Расчёты!W18+Расчёты!X18)+IF('Исходные данные'!$B$55="Да",Расчёты!AG18,0)-N('Исходные данные'!$B$56)/12),IF('Исходные данные'!$B$53="Пользовательская база",MAX(0,N('Исходные данные'!$B$57)/12),0)))</f>
        <v>0</v>
      </c>
      <c r="BK18">
        <f>IF(D18=1,-BJ18*N('Исходные данные'!$B$50),0)</f>
        <v>0</v>
      </c>
      <c r="BL18">
        <f t="shared" si="10"/>
        <v>0</v>
      </c>
      <c r="BM18">
        <f>IF(OR(D18&lt;&gt;1,B18="",'Исходные данные'!$B$91="",N('Исходные данные'!$B$80)&lt;=0,'Исходные данные'!$B$88=""),0,IF(AND(YEAR(B18)=YEAR('Исходные данные'!$B$91),MONTH(B18)=MONTH('Исходные данные'!$B$91)),MAX(0,IF('Исходные данные'!$B$88="Последние 12 месяцев",SUMIFS($BF$2:$BF$194,$B$2:$B$194,"&gt;="&amp;EDATE(B18,-11),$B$2:$B$194,"&lt;="&amp;B18),IF('Исходные данные'!$B$88="Пользовательский NOI",N('Исходные данные'!$B$89),BL18))/N('Исходные данные'!$B$80)*(1+N('Исходные данные'!$B$81))),0))</f>
        <v>0</v>
      </c>
      <c r="BN18">
        <f>-BM18*N('Исходные данные'!$B$73)</f>
        <v>0</v>
      </c>
      <c r="BO18">
        <f>IF(BM18=0,0,-N('Исходные данные'!$B$87)-IF('Исходные данные'!$B$82="Да",IF('Исходные данные'!$B$84="С выручки",BM18,IF('Исходные данные'!$B$84="С прибыли",MAX(0,BM18+BN18-IF('Исходные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8">
        <f t="shared" si="11"/>
        <v>0</v>
      </c>
      <c r="BQ18">
        <f>IF(D18=1,Расчёты!AZ18+BE18+BH18+BK18+BP18,0)</f>
        <v>0</v>
      </c>
      <c r="BR18" t="str">
        <f t="shared" si="17"/>
        <v/>
      </c>
      <c r="BS18">
        <f>IF(OR(D18=0,'Исходные данные'!$B$9="",'Исходные данные'!$B$90=""),0,BQ18/(1+'Исходные данные'!$B$90)^((C18-'Исходные данные'!$B$9)/365))</f>
        <v>0</v>
      </c>
      <c r="BT18">
        <f>IF(D18=1,BE18+Расчёты!O18+Расчёты!Q18+Расчёты!S18+Расчёты!U18+Расчёты!W18+Расчёты!X18+BH18+BK18,0)</f>
        <v>0</v>
      </c>
      <c r="BU18">
        <f>IF(AND(D18=1,BR18&gt;=0,BR17&lt;0,MIN($BR$2:BR18)&lt;0),1,0)</f>
        <v>0</v>
      </c>
      <c r="BV18">
        <f>Расчёты!AZ18+K18+N18-P18*N('Исходные данные'!$B$50)</f>
        <v>0</v>
      </c>
      <c r="BW18">
        <f t="shared" si="18"/>
        <v>0</v>
      </c>
      <c r="BX18">
        <f>IF(AND(BW18&gt;=0,BW17&lt;0,MIN($BW$2:BW18)&lt;0),1,0)</f>
        <v>0</v>
      </c>
      <c r="BY18">
        <f>Расчёты!AZ18+AH18+AK18-AM18*N('Исходные данные'!$B$50)</f>
        <v>0</v>
      </c>
      <c r="BZ18">
        <f t="shared" si="19"/>
        <v>0</v>
      </c>
      <c r="CA18">
        <f>IF(AND(BZ18&gt;=0,BZ17&lt;0,MIN($BZ$2:BZ18)&lt;0),1,0)</f>
        <v>0</v>
      </c>
      <c r="CB18">
        <f>Расчёты!AZ18+BE18+BH18-BJ18*N('Исходные данные'!$B$50)</f>
        <v>0</v>
      </c>
      <c r="CC18">
        <f t="shared" si="20"/>
        <v>0</v>
      </c>
      <c r="CD18">
        <f>IF(AND(CC18&gt;=0,CC17&lt;0,MIN($CC$2:CC18)&lt;0),1,0)</f>
        <v>0</v>
      </c>
    </row>
    <row r="19" spans="1:82" x14ac:dyDescent="0.2">
      <c r="A19">
        <f>Расчёты!A19</f>
        <v>18</v>
      </c>
      <c r="B19" t="str">
        <f>Расчёты!B19</f>
        <v/>
      </c>
      <c r="C19" t="str">
        <f>Расчёты!D19</f>
        <v/>
      </c>
      <c r="D19">
        <f>Расчёты!E19</f>
        <v>0</v>
      </c>
      <c r="E19">
        <f>IF(Расчёты!F19=0,0,IF(Расчёты!G19=1,N('Сценарный анализ'!$B$5),IF(Расчёты!G19=2,N('Сценарный анализ'!$B$6),IF(Расчёты!G19=3,N('Сценарный анализ'!$B$7),N('Сценарный анализ'!$B$7)*(1+N('Сценарный анализ'!$B$8))^(Расчёты!G19-3)))))</f>
        <v>0</v>
      </c>
      <c r="F19">
        <f>IF(OR(Расчёты!F19=0,N('Исходные данные'!$B$5)=0,E19=0),0,N('Исходные данные'!$B$5)*E19*IF(AND(B19&lt;='Исходные данные'!$B$30,Расчёты!C19&gt;='Исходные данные'!$B$30),(Расчёты!C19-'Исходные данные'!$B$30+1)/DAY(Расчёты!C19),1))</f>
        <v>0</v>
      </c>
      <c r="G19">
        <f>IF(AND(Расчёты!F19&gt;0,Расчёты!F19&lt;=N('Исходные данные'!$B$37)),-F19,0)</f>
        <v>0</v>
      </c>
      <c r="H19">
        <f>IF(OR(Расчёты!F19=0,Расчёты!F19&lt;=N('Исходные данные'!$B$37)),0,-(F19+G19)*N('Сценарный анализ'!$B$9))</f>
        <v>0</v>
      </c>
      <c r="I19">
        <f t="shared" si="0"/>
        <v>0</v>
      </c>
      <c r="J19">
        <f>IF('Исходные данные'!$B$51="Да",I19*N('Исходные данные'!$B$52),0)</f>
        <v>0</v>
      </c>
      <c r="K19">
        <f t="shared" si="1"/>
        <v>0</v>
      </c>
      <c r="L19">
        <f>I19+(Расчёты!Y19-Расчёты!L19)</f>
        <v>0</v>
      </c>
      <c r="M19">
        <f t="shared" si="12"/>
        <v>0</v>
      </c>
      <c r="N19">
        <f>IF('Исходные данные'!$B$51="Да",-MAX(0,J19+Расчёты!R19+Расчёты!V19-Расчёты!P19-Расчёты!T19-M19),0)</f>
        <v>0</v>
      </c>
      <c r="O19">
        <f>IF('Исходные данные'!$B$51="Да",MAX(0,M19+Расчёты!P19+Расчёты!T19-J19-Расчёты!R19-Расчёты!V19),0)</f>
        <v>0</v>
      </c>
      <c r="P19">
        <f>IF('Исходные данные'!$B$53="Выручка",MAX(0,I19+(Расчёты!Q19-Расчёты!R19)+(Расчёты!U19-Расчёты!V19)),IF('Исходные данные'!$B$53="Прибыль до налога",MAX(0,I19+(Расчёты!Q19-Расчёты!R19)+(Расчёты!U19-Расчёты!V19)+N('Исходные данные'!$B$54)*((Расчёты!O19+Расчёты!P19)+(Расчёты!S19+Расчёты!T19)+Расчёты!W19+Расчёты!X19)+IF('Исходные данные'!$B$55="Да",Расчёты!AG19,0)-N('Исходные данные'!$B$56)/12),IF('Исходные данные'!$B$53="Пользовательская база",MAX(0,N('Исходные данные'!$B$57)/12),0)))</f>
        <v>0</v>
      </c>
      <c r="Q19">
        <f>IF(D19=1,-P19*N('Исходные данные'!$B$50),0)</f>
        <v>0</v>
      </c>
      <c r="R19">
        <f t="shared" si="2"/>
        <v>0</v>
      </c>
      <c r="S19">
        <f>IF(OR(D19&lt;&gt;1,B19="",'Исходные данные'!$B$91="",N('Исходные данные'!$B$80)&lt;=0,'Исходные данные'!$B$88=""),0,IF(AND(YEAR(B19)=YEAR('Исходные данные'!$B$91),MONTH(B19)=MONTH('Исходные данные'!$B$91)),MAX(0,IF('Исходные данные'!$B$88="Последние 12 месяцев",SUMIFS($L$2:$L$194,$B$2:$B$194,"&gt;="&amp;EDATE(B19,-11),$B$2:$B$194,"&lt;="&amp;B19),IF('Исходные данные'!$B$88="Пользовательский NOI",N('Исходные данные'!$B$89),R19))/N('Исходные данные'!$B$80)*(1+N('Исходные данные'!$B$81))),0))</f>
        <v>0</v>
      </c>
      <c r="T19">
        <f>-S19*N('Исходные данные'!$B$73)</f>
        <v>0</v>
      </c>
      <c r="U19">
        <f>IF(S19=0,0,-N('Исходные данные'!$B$87)-IF('Исходные данные'!$B$82="Да",IF('Исходные данные'!$B$84="С выручки",S19,IF('Исходные данные'!$B$84="С прибыли",MAX(0,S19+T19-IF('Исходные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9">
        <f t="shared" si="3"/>
        <v>0</v>
      </c>
      <c r="W19">
        <f>IF(D19=1,Расчёты!AZ19+K19+N19+Q19+V19,0)</f>
        <v>0</v>
      </c>
      <c r="X19" t="str">
        <f t="shared" si="13"/>
        <v/>
      </c>
      <c r="Y19">
        <f>IF(OR(D19=0,'Исходные данные'!$B$9="",'Исходные данные'!$B$90=""),0,W19/(1+'Исходные данные'!$B$90)^((C19-'Исходные данные'!$B$9)/365))</f>
        <v>0</v>
      </c>
      <c r="Z19">
        <f>IF(D19=1,K19+Расчёты!O19+Расчёты!Q19+Расчёты!S19+Расчёты!U19+Расчёты!W19+Расчёты!X19+N19+Q19,0)</f>
        <v>0</v>
      </c>
      <c r="AA19">
        <f>IF(AND(D19=1,X19&gt;=0,X18&lt;0,MIN($X$2:X19)&lt;0),1,0)</f>
        <v>0</v>
      </c>
      <c r="AB19">
        <f>IF(Расчёты!F19=0,0,IF(Расчёты!G19=1,N('Сценарный анализ'!$C$5),IF(Расчёты!G19=2,N('Сценарный анализ'!$C$6),IF(Расчёты!G19=3,N('Сценарный анализ'!$C$7),N('Сценарный анализ'!$C$7)*(1+N('Сценарный анализ'!$C$8))^(Расчёты!G19-3)))))</f>
        <v>0</v>
      </c>
      <c r="AC19">
        <f>IF(OR(Расчёты!F19=0,N('Исходные данные'!$B$5)=0,AB19=0),0,N('Исходные данные'!$B$5)*AB19*IF(AND(B19&lt;='Исходные данные'!$B$30,Расчёты!C19&gt;='Исходные данные'!$B$30),(Расчёты!C19-'Исходные данные'!$B$30+1)/DAY(Расчёты!C19),1))</f>
        <v>0</v>
      </c>
      <c r="AD19">
        <f>IF(AND(Расчёты!F19&gt;0,Расчёты!F19&lt;=N('Исходные данные'!$B$37)),-AC19,0)</f>
        <v>0</v>
      </c>
      <c r="AE19">
        <f>IF(OR(Расчёты!F19=0,Расчёты!F19&lt;=N('Исходные данные'!$B$37)),0,-(AC19+AD19)*N('Сценарный анализ'!$C$9))</f>
        <v>0</v>
      </c>
      <c r="AF19">
        <f t="shared" si="4"/>
        <v>0</v>
      </c>
      <c r="AG19">
        <f>IF('Исходные данные'!$B$51="Да",AF19*N('Исходные данные'!$B$52),0)</f>
        <v>0</v>
      </c>
      <c r="AH19">
        <f t="shared" si="5"/>
        <v>0</v>
      </c>
      <c r="AI19">
        <f>AF19+(Расчёты!Y19-Расчёты!L19)</f>
        <v>0</v>
      </c>
      <c r="AJ19">
        <f t="shared" si="14"/>
        <v>0</v>
      </c>
      <c r="AK19">
        <f>IF('Исходные данные'!$B$51="Да",-MAX(0,AG19+Расчёты!R19+Расчёты!V19-Расчёты!P19-Расчёты!T19-AJ19),0)</f>
        <v>0</v>
      </c>
      <c r="AL19">
        <f>IF('Исходные данные'!$B$51="Да",MAX(0,AJ19+Расчёты!P19+Расчёты!T19-AG19-Расчёты!R19-Расчёты!V19),0)</f>
        <v>0</v>
      </c>
      <c r="AM19">
        <f>IF('Исходные данные'!$B$53="Выручка",MAX(0,AF19+(Расчёты!Q19-Расчёты!R19)+(Расчёты!U19-Расчёты!V19)),IF('Исходные данные'!$B$53="Прибыль до налога",MAX(0,AF19+(Расчёты!Q19-Расчёты!R19)+(Расчёты!U19-Расчёты!V19)+N('Исходные данные'!$B$54)*((Расчёты!O19+Расчёты!P19)+(Расчёты!S19+Расчёты!T19)+Расчёты!W19+Расчёты!X19)+IF('Исходные данные'!$B$55="Да",Расчёты!AG19,0)-N('Исходные данные'!$B$56)/12),IF('Исходные данные'!$B$53="Пользовательская база",MAX(0,N('Исходные данные'!$B$57)/12),0)))</f>
        <v>0</v>
      </c>
      <c r="AN19">
        <f>IF(D19=1,-AM19*N('Исходные данные'!$B$50),0)</f>
        <v>0</v>
      </c>
      <c r="AO19">
        <f t="shared" si="6"/>
        <v>0</v>
      </c>
      <c r="AP19">
        <f>IF(OR(D19&lt;&gt;1,B19="",'Исходные данные'!$B$91="",N('Исходные данные'!$B$80)&lt;=0,'Исходные данные'!$B$88=""),0,IF(AND(YEAR(B19)=YEAR('Исходные данные'!$B$91),MONTH(B19)=MONTH('Исходные данные'!$B$91)),MAX(0,IF('Исходные данные'!$B$88="Последние 12 месяцев",SUMIFS($AI$2:$AI$194,$B$2:$B$194,"&gt;="&amp;EDATE(B19,-11),$B$2:$B$194,"&lt;="&amp;B19),IF('Исходные данные'!$B$88="Пользовательский NOI",N('Исходные данные'!$B$89),AO19))/N('Исходные данные'!$B$80)*(1+N('Исходные данные'!$B$81))),0))</f>
        <v>0</v>
      </c>
      <c r="AQ19">
        <f>-AP19*N('Исходные данные'!$B$73)</f>
        <v>0</v>
      </c>
      <c r="AR19">
        <f>IF(AP19=0,0,-N('Исходные данные'!$B$87)-IF('Исходные данные'!$B$82="Да",IF('Исходные данные'!$B$84="С выручки",AP19,IF('Исходные данные'!$B$84="С прибыли",MAX(0,AP19+AQ19-IF('Исходные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9">
        <f t="shared" si="7"/>
        <v>0</v>
      </c>
      <c r="AT19">
        <f>IF(D19=1,Расчёты!AZ19+AH19+AK19+AN19+AS19,0)</f>
        <v>0</v>
      </c>
      <c r="AU19" t="str">
        <f t="shared" si="15"/>
        <v/>
      </c>
      <c r="AV19">
        <f>IF(OR(D19=0,'Исходные данные'!$B$9="",'Исходные данные'!$B$90=""),0,AT19/(1+'Исходные данные'!$B$90)^((C19-'Исходные данные'!$B$9)/365))</f>
        <v>0</v>
      </c>
      <c r="AW19">
        <f>IF(D19=1,AH19+Расчёты!O19+Расчёты!Q19+Расчёты!S19+Расчёты!U19+Расчёты!W19+Расчёты!X19+AK19+AN19,0)</f>
        <v>0</v>
      </c>
      <c r="AX19">
        <f>IF(AND(D19=1,AU19&gt;=0,AU18&lt;0,MIN($AU$2:AU19)&lt;0),1,0)</f>
        <v>0</v>
      </c>
      <c r="AY19">
        <f>IF(Расчёты!F19=0,0,IF(Расчёты!G19=1,N('Сценарный анализ'!$D$5),IF(Расчёты!G19=2,N('Сценарный анализ'!$D$6),IF(Расчёты!G19=3,N('Сценарный анализ'!$D$7),N('Сценарный анализ'!$D$7)*(1+N('Сценарный анализ'!$D$8))^(Расчёты!G19-3)))))</f>
        <v>0</v>
      </c>
      <c r="AZ19">
        <f>IF(OR(Расчёты!F19=0,N('Исходные данные'!$B$5)=0,AY19=0),0,N('Исходные данные'!$B$5)*AY19*IF(AND(B19&lt;='Исходные данные'!$B$30,Расчёты!C19&gt;='Исходные данные'!$B$30),(Расчёты!C19-'Исходные данные'!$B$30+1)/DAY(Расчёты!C19),1))</f>
        <v>0</v>
      </c>
      <c r="BA19">
        <f>IF(AND(Расчёты!F19&gt;0,Расчёты!F19&lt;=N('Исходные данные'!$B$37)),-AZ19,0)</f>
        <v>0</v>
      </c>
      <c r="BB19">
        <f>IF(OR(Расчёты!F19=0,Расчёты!F19&lt;=N('Исходные данные'!$B$37)),0,-(AZ19+BA19)*N('Сценарный анализ'!$D$9))</f>
        <v>0</v>
      </c>
      <c r="BC19">
        <f t="shared" si="8"/>
        <v>0</v>
      </c>
      <c r="BD19">
        <f>IF('Исходные данные'!$B$51="Да",BC19*N('Исходные данные'!$B$52),0)</f>
        <v>0</v>
      </c>
      <c r="BE19">
        <f t="shared" si="9"/>
        <v>0</v>
      </c>
      <c r="BF19">
        <f>BC19+(Расчёты!Y19-Расчёты!L19)</f>
        <v>0</v>
      </c>
      <c r="BG19">
        <f t="shared" si="16"/>
        <v>0</v>
      </c>
      <c r="BH19">
        <f>IF('Исходные данные'!$B$51="Да",-MAX(0,BD19+Расчёты!R19+Расчёты!V19-Расчёты!P19-Расчёты!T19-BG19),0)</f>
        <v>0</v>
      </c>
      <c r="BI19">
        <f>IF('Исходные данные'!$B$51="Да",MAX(0,BG19+Расчёты!P19+Расчёты!T19-BD19-Расчёты!R19-Расчёты!V19),0)</f>
        <v>0</v>
      </c>
      <c r="BJ19">
        <f>IF('Исходные данные'!$B$53="Выручка",MAX(0,BC19+(Расчёты!Q19-Расчёты!R19)+(Расчёты!U19-Расчёты!V19)),IF('Исходные данные'!$B$53="Прибыль до налога",MAX(0,BC19+(Расчёты!Q19-Расчёты!R19)+(Расчёты!U19-Расчёты!V19)+N('Исходные данные'!$B$54)*((Расчёты!O19+Расчёты!P19)+(Расчёты!S19+Расчёты!T19)+Расчёты!W19+Расчёты!X19)+IF('Исходные данные'!$B$55="Да",Расчёты!AG19,0)-N('Исходные данные'!$B$56)/12),IF('Исходные данные'!$B$53="Пользовательская база",MAX(0,N('Исходные данные'!$B$57)/12),0)))</f>
        <v>0</v>
      </c>
      <c r="BK19">
        <f>IF(D19=1,-BJ19*N('Исходные данные'!$B$50),0)</f>
        <v>0</v>
      </c>
      <c r="BL19">
        <f t="shared" si="10"/>
        <v>0</v>
      </c>
      <c r="BM19">
        <f>IF(OR(D19&lt;&gt;1,B19="",'Исходные данные'!$B$91="",N('Исходные данные'!$B$80)&lt;=0,'Исходные данные'!$B$88=""),0,IF(AND(YEAR(B19)=YEAR('Исходные данные'!$B$91),MONTH(B19)=MONTH('Исходные данные'!$B$91)),MAX(0,IF('Исходные данные'!$B$88="Последние 12 месяцев",SUMIFS($BF$2:$BF$194,$B$2:$B$194,"&gt;="&amp;EDATE(B19,-11),$B$2:$B$194,"&lt;="&amp;B19),IF('Исходные данные'!$B$88="Пользовательский NOI",N('Исходные данные'!$B$89),BL19))/N('Исходные данные'!$B$80)*(1+N('Исходные данные'!$B$81))),0))</f>
        <v>0</v>
      </c>
      <c r="BN19">
        <f>-BM19*N('Исходные данные'!$B$73)</f>
        <v>0</v>
      </c>
      <c r="BO19">
        <f>IF(BM19=0,0,-N('Исходные данные'!$B$87)-IF('Исходные данные'!$B$82="Да",IF('Исходные данные'!$B$84="С выручки",BM19,IF('Исходные данные'!$B$84="С прибыли",MAX(0,BM19+BN19-IF('Исходные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9">
        <f t="shared" si="11"/>
        <v>0</v>
      </c>
      <c r="BQ19">
        <f>IF(D19=1,Расчёты!AZ19+BE19+BH19+BK19+BP19,0)</f>
        <v>0</v>
      </c>
      <c r="BR19" t="str">
        <f t="shared" si="17"/>
        <v/>
      </c>
      <c r="BS19">
        <f>IF(OR(D19=0,'Исходные данные'!$B$9="",'Исходные данные'!$B$90=""),0,BQ19/(1+'Исходные данные'!$B$90)^((C19-'Исходные данные'!$B$9)/365))</f>
        <v>0</v>
      </c>
      <c r="BT19">
        <f>IF(D19=1,BE19+Расчёты!O19+Расчёты!Q19+Расчёты!S19+Расчёты!U19+Расчёты!W19+Расчёты!X19+BH19+BK19,0)</f>
        <v>0</v>
      </c>
      <c r="BU19">
        <f>IF(AND(D19=1,BR19&gt;=0,BR18&lt;0,MIN($BR$2:BR19)&lt;0),1,0)</f>
        <v>0</v>
      </c>
      <c r="BV19">
        <f>Расчёты!AZ19+K19+N19-P19*N('Исходные данные'!$B$50)</f>
        <v>0</v>
      </c>
      <c r="BW19">
        <f t="shared" si="18"/>
        <v>0</v>
      </c>
      <c r="BX19">
        <f>IF(AND(BW19&gt;=0,BW18&lt;0,MIN($BW$2:BW19)&lt;0),1,0)</f>
        <v>0</v>
      </c>
      <c r="BY19">
        <f>Расчёты!AZ19+AH19+AK19-AM19*N('Исходные данные'!$B$50)</f>
        <v>0</v>
      </c>
      <c r="BZ19">
        <f t="shared" si="19"/>
        <v>0</v>
      </c>
      <c r="CA19">
        <f>IF(AND(BZ19&gt;=0,BZ18&lt;0,MIN($BZ$2:BZ19)&lt;0),1,0)</f>
        <v>0</v>
      </c>
      <c r="CB19">
        <f>Расчёты!AZ19+BE19+BH19-BJ19*N('Исходные данные'!$B$50)</f>
        <v>0</v>
      </c>
      <c r="CC19">
        <f t="shared" si="20"/>
        <v>0</v>
      </c>
      <c r="CD19">
        <f>IF(AND(CC19&gt;=0,CC18&lt;0,MIN($CC$2:CC19)&lt;0),1,0)</f>
        <v>0</v>
      </c>
    </row>
    <row r="20" spans="1:82" x14ac:dyDescent="0.2">
      <c r="A20">
        <f>Расчёты!A20</f>
        <v>19</v>
      </c>
      <c r="B20" t="str">
        <f>Расчёты!B20</f>
        <v/>
      </c>
      <c r="C20" t="str">
        <f>Расчёты!D20</f>
        <v/>
      </c>
      <c r="D20">
        <f>Расчёты!E20</f>
        <v>0</v>
      </c>
      <c r="E20">
        <f>IF(Расчёты!F20=0,0,IF(Расчёты!G20=1,N('Сценарный анализ'!$B$5),IF(Расчёты!G20=2,N('Сценарный анализ'!$B$6),IF(Расчёты!G20=3,N('Сценарный анализ'!$B$7),N('Сценарный анализ'!$B$7)*(1+N('Сценарный анализ'!$B$8))^(Расчёты!G20-3)))))</f>
        <v>0</v>
      </c>
      <c r="F20">
        <f>IF(OR(Расчёты!F20=0,N('Исходные данные'!$B$5)=0,E20=0),0,N('Исходные данные'!$B$5)*E20*IF(AND(B20&lt;='Исходные данные'!$B$30,Расчёты!C20&gt;='Исходные данные'!$B$30),(Расчёты!C20-'Исходные данные'!$B$30+1)/DAY(Расчёты!C20),1))</f>
        <v>0</v>
      </c>
      <c r="G20">
        <f>IF(AND(Расчёты!F20&gt;0,Расчёты!F20&lt;=N('Исходные данные'!$B$37)),-F20,0)</f>
        <v>0</v>
      </c>
      <c r="H20">
        <f>IF(OR(Расчёты!F20=0,Расчёты!F20&lt;=N('Исходные данные'!$B$37)),0,-(F20+G20)*N('Сценарный анализ'!$B$9))</f>
        <v>0</v>
      </c>
      <c r="I20">
        <f t="shared" si="0"/>
        <v>0</v>
      </c>
      <c r="J20">
        <f>IF('Исходные данные'!$B$51="Да",I20*N('Исходные данные'!$B$52),0)</f>
        <v>0</v>
      </c>
      <c r="K20">
        <f t="shared" si="1"/>
        <v>0</v>
      </c>
      <c r="L20">
        <f>I20+(Расчёты!Y20-Расчёты!L20)</f>
        <v>0</v>
      </c>
      <c r="M20">
        <f t="shared" si="12"/>
        <v>0</v>
      </c>
      <c r="N20">
        <f>IF('Исходные данные'!$B$51="Да",-MAX(0,J20+Расчёты!R20+Расчёты!V20-Расчёты!P20-Расчёты!T20-M20),0)</f>
        <v>0</v>
      </c>
      <c r="O20">
        <f>IF('Исходные данные'!$B$51="Да",MAX(0,M20+Расчёты!P20+Расчёты!T20-J20-Расчёты!R20-Расчёты!V20),0)</f>
        <v>0</v>
      </c>
      <c r="P20">
        <f>IF('Исходные данные'!$B$53="Выручка",MAX(0,I20+(Расчёты!Q20-Расчёты!R20)+(Расчёты!U20-Расчёты!V20)),IF('Исходные данные'!$B$53="Прибыль до налога",MAX(0,I20+(Расчёты!Q20-Расчёты!R20)+(Расчёты!U20-Расчёты!V20)+N('Исходные данные'!$B$54)*((Расчёты!O20+Расчёты!P20)+(Расчёты!S20+Расчёты!T20)+Расчёты!W20+Расчёты!X20)+IF('Исходные данные'!$B$55="Да",Расчёты!AG20,0)-N('Исходные данные'!$B$56)/12),IF('Исходные данные'!$B$53="Пользовательская база",MAX(0,N('Исходные данные'!$B$57)/12),0)))</f>
        <v>0</v>
      </c>
      <c r="Q20">
        <f>IF(D20=1,-P20*N('Исходные данные'!$B$50),0)</f>
        <v>0</v>
      </c>
      <c r="R20">
        <f t="shared" si="2"/>
        <v>0</v>
      </c>
      <c r="S20">
        <f>IF(OR(D20&lt;&gt;1,B20="",'Исходные данные'!$B$91="",N('Исходные данные'!$B$80)&lt;=0,'Исходные данные'!$B$88=""),0,IF(AND(YEAR(B20)=YEAR('Исходные данные'!$B$91),MONTH(B20)=MONTH('Исходные данные'!$B$91)),MAX(0,IF('Исходные данные'!$B$88="Последние 12 месяцев",SUMIFS($L$2:$L$194,$B$2:$B$194,"&gt;="&amp;EDATE(B20,-11),$B$2:$B$194,"&lt;="&amp;B20),IF('Исходные данные'!$B$88="Пользовательский NOI",N('Исходные данные'!$B$89),R20))/N('Исходные данные'!$B$80)*(1+N('Исходные данные'!$B$81))),0))</f>
        <v>0</v>
      </c>
      <c r="T20">
        <f>-S20*N('Исходные данные'!$B$73)</f>
        <v>0</v>
      </c>
      <c r="U20">
        <f>IF(S20=0,0,-N('Исходные данные'!$B$87)-IF('Исходные данные'!$B$82="Да",IF('Исходные данные'!$B$84="С выручки",S20,IF('Исходные данные'!$B$84="С прибыли",MAX(0,S20+T20-IF('Исходные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0">
        <f t="shared" si="3"/>
        <v>0</v>
      </c>
      <c r="W20">
        <f>IF(D20=1,Расчёты!AZ20+K20+N20+Q20+V20,0)</f>
        <v>0</v>
      </c>
      <c r="X20" t="str">
        <f t="shared" si="13"/>
        <v/>
      </c>
      <c r="Y20">
        <f>IF(OR(D20=0,'Исходные данные'!$B$9="",'Исходные данные'!$B$90=""),0,W20/(1+'Исходные данные'!$B$90)^((C20-'Исходные данные'!$B$9)/365))</f>
        <v>0</v>
      </c>
      <c r="Z20">
        <f>IF(D20=1,K20+Расчёты!O20+Расчёты!Q20+Расчёты!S20+Расчёты!U20+Расчёты!W20+Расчёты!X20+N20+Q20,0)</f>
        <v>0</v>
      </c>
      <c r="AA20">
        <f>IF(AND(D20=1,X20&gt;=0,X19&lt;0,MIN($X$2:X20)&lt;0),1,0)</f>
        <v>0</v>
      </c>
      <c r="AB20">
        <f>IF(Расчёты!F20=0,0,IF(Расчёты!G20=1,N('Сценарный анализ'!$C$5),IF(Расчёты!G20=2,N('Сценарный анализ'!$C$6),IF(Расчёты!G20=3,N('Сценарный анализ'!$C$7),N('Сценарный анализ'!$C$7)*(1+N('Сценарный анализ'!$C$8))^(Расчёты!G20-3)))))</f>
        <v>0</v>
      </c>
      <c r="AC20">
        <f>IF(OR(Расчёты!F20=0,N('Исходные данные'!$B$5)=0,AB20=0),0,N('Исходные данные'!$B$5)*AB20*IF(AND(B20&lt;='Исходные данные'!$B$30,Расчёты!C20&gt;='Исходные данные'!$B$30),(Расчёты!C20-'Исходные данные'!$B$30+1)/DAY(Расчёты!C20),1))</f>
        <v>0</v>
      </c>
      <c r="AD20">
        <f>IF(AND(Расчёты!F20&gt;0,Расчёты!F20&lt;=N('Исходные данные'!$B$37)),-AC20,0)</f>
        <v>0</v>
      </c>
      <c r="AE20">
        <f>IF(OR(Расчёты!F20=0,Расчёты!F20&lt;=N('Исходные данные'!$B$37)),0,-(AC20+AD20)*N('Сценарный анализ'!$C$9))</f>
        <v>0</v>
      </c>
      <c r="AF20">
        <f t="shared" si="4"/>
        <v>0</v>
      </c>
      <c r="AG20">
        <f>IF('Исходные данные'!$B$51="Да",AF20*N('Исходные данные'!$B$52),0)</f>
        <v>0</v>
      </c>
      <c r="AH20">
        <f t="shared" si="5"/>
        <v>0</v>
      </c>
      <c r="AI20">
        <f>AF20+(Расчёты!Y20-Расчёты!L20)</f>
        <v>0</v>
      </c>
      <c r="AJ20">
        <f t="shared" si="14"/>
        <v>0</v>
      </c>
      <c r="AK20">
        <f>IF('Исходные данные'!$B$51="Да",-MAX(0,AG20+Расчёты!R20+Расчёты!V20-Расчёты!P20-Расчёты!T20-AJ20),0)</f>
        <v>0</v>
      </c>
      <c r="AL20">
        <f>IF('Исходные данные'!$B$51="Да",MAX(0,AJ20+Расчёты!P20+Расчёты!T20-AG20-Расчёты!R20-Расчёты!V20),0)</f>
        <v>0</v>
      </c>
      <c r="AM20">
        <f>IF('Исходные данные'!$B$53="Выручка",MAX(0,AF20+(Расчёты!Q20-Расчёты!R20)+(Расчёты!U20-Расчёты!V20)),IF('Исходные данные'!$B$53="Прибыль до налога",MAX(0,AF20+(Расчёты!Q20-Расчёты!R20)+(Расчёты!U20-Расчёты!V20)+N('Исходные данные'!$B$54)*((Расчёты!O20+Расчёты!P20)+(Расчёты!S20+Расчёты!T20)+Расчёты!W20+Расчёты!X20)+IF('Исходные данные'!$B$55="Да",Расчёты!AG20,0)-N('Исходные данные'!$B$56)/12),IF('Исходные данные'!$B$53="Пользовательская база",MAX(0,N('Исходные данные'!$B$57)/12),0)))</f>
        <v>0</v>
      </c>
      <c r="AN20">
        <f>IF(D20=1,-AM20*N('Исходные данные'!$B$50),0)</f>
        <v>0</v>
      </c>
      <c r="AO20">
        <f t="shared" si="6"/>
        <v>0</v>
      </c>
      <c r="AP20">
        <f>IF(OR(D20&lt;&gt;1,B20="",'Исходные данные'!$B$91="",N('Исходные данные'!$B$80)&lt;=0,'Исходные данные'!$B$88=""),0,IF(AND(YEAR(B20)=YEAR('Исходные данные'!$B$91),MONTH(B20)=MONTH('Исходные данные'!$B$91)),MAX(0,IF('Исходные данные'!$B$88="Последние 12 месяцев",SUMIFS($AI$2:$AI$194,$B$2:$B$194,"&gt;="&amp;EDATE(B20,-11),$B$2:$B$194,"&lt;="&amp;B20),IF('Исходные данные'!$B$88="Пользовательский NOI",N('Исходные данные'!$B$89),AO20))/N('Исходные данные'!$B$80)*(1+N('Исходные данные'!$B$81))),0))</f>
        <v>0</v>
      </c>
      <c r="AQ20">
        <f>-AP20*N('Исходные данные'!$B$73)</f>
        <v>0</v>
      </c>
      <c r="AR20">
        <f>IF(AP20=0,0,-N('Исходные данные'!$B$87)-IF('Исходные данные'!$B$82="Да",IF('Исходные данные'!$B$84="С выручки",AP20,IF('Исходные данные'!$B$84="С прибыли",MAX(0,AP20+AQ20-IF('Исходные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0">
        <f t="shared" si="7"/>
        <v>0</v>
      </c>
      <c r="AT20">
        <f>IF(D20=1,Расчёты!AZ20+AH20+AK20+AN20+AS20,0)</f>
        <v>0</v>
      </c>
      <c r="AU20" t="str">
        <f t="shared" si="15"/>
        <v/>
      </c>
      <c r="AV20">
        <f>IF(OR(D20=0,'Исходные данные'!$B$9="",'Исходные данные'!$B$90=""),0,AT20/(1+'Исходные данные'!$B$90)^((C20-'Исходные данные'!$B$9)/365))</f>
        <v>0</v>
      </c>
      <c r="AW20">
        <f>IF(D20=1,AH20+Расчёты!O20+Расчёты!Q20+Расчёты!S20+Расчёты!U20+Расчёты!W20+Расчёты!X20+AK20+AN20,0)</f>
        <v>0</v>
      </c>
      <c r="AX20">
        <f>IF(AND(D20=1,AU20&gt;=0,AU19&lt;0,MIN($AU$2:AU20)&lt;0),1,0)</f>
        <v>0</v>
      </c>
      <c r="AY20">
        <f>IF(Расчёты!F20=0,0,IF(Расчёты!G20=1,N('Сценарный анализ'!$D$5),IF(Расчёты!G20=2,N('Сценарный анализ'!$D$6),IF(Расчёты!G20=3,N('Сценарный анализ'!$D$7),N('Сценарный анализ'!$D$7)*(1+N('Сценарный анализ'!$D$8))^(Расчёты!G20-3)))))</f>
        <v>0</v>
      </c>
      <c r="AZ20">
        <f>IF(OR(Расчёты!F20=0,N('Исходные данные'!$B$5)=0,AY20=0),0,N('Исходные данные'!$B$5)*AY20*IF(AND(B20&lt;='Исходные данные'!$B$30,Расчёты!C20&gt;='Исходные данные'!$B$30),(Расчёты!C20-'Исходные данные'!$B$30+1)/DAY(Расчёты!C20),1))</f>
        <v>0</v>
      </c>
      <c r="BA20">
        <f>IF(AND(Расчёты!F20&gt;0,Расчёты!F20&lt;=N('Исходные данные'!$B$37)),-AZ20,0)</f>
        <v>0</v>
      </c>
      <c r="BB20">
        <f>IF(OR(Расчёты!F20=0,Расчёты!F20&lt;=N('Исходные данные'!$B$37)),0,-(AZ20+BA20)*N('Сценарный анализ'!$D$9))</f>
        <v>0</v>
      </c>
      <c r="BC20">
        <f t="shared" si="8"/>
        <v>0</v>
      </c>
      <c r="BD20">
        <f>IF('Исходные данные'!$B$51="Да",BC20*N('Исходные данные'!$B$52),0)</f>
        <v>0</v>
      </c>
      <c r="BE20">
        <f t="shared" si="9"/>
        <v>0</v>
      </c>
      <c r="BF20">
        <f>BC20+(Расчёты!Y20-Расчёты!L20)</f>
        <v>0</v>
      </c>
      <c r="BG20">
        <f t="shared" si="16"/>
        <v>0</v>
      </c>
      <c r="BH20">
        <f>IF('Исходные данные'!$B$51="Да",-MAX(0,BD20+Расчёты!R20+Расчёты!V20-Расчёты!P20-Расчёты!T20-BG20),0)</f>
        <v>0</v>
      </c>
      <c r="BI20">
        <f>IF('Исходные данные'!$B$51="Да",MAX(0,BG20+Расчёты!P20+Расчёты!T20-BD20-Расчёты!R20-Расчёты!V20),0)</f>
        <v>0</v>
      </c>
      <c r="BJ20">
        <f>IF('Исходные данные'!$B$53="Выручка",MAX(0,BC20+(Расчёты!Q20-Расчёты!R20)+(Расчёты!U20-Расчёты!V20)),IF('Исходные данные'!$B$53="Прибыль до налога",MAX(0,BC20+(Расчёты!Q20-Расчёты!R20)+(Расчёты!U20-Расчёты!V20)+N('Исходные данные'!$B$54)*((Расчёты!O20+Расчёты!P20)+(Расчёты!S20+Расчёты!T20)+Расчёты!W20+Расчёты!X20)+IF('Исходные данные'!$B$55="Да",Расчёты!AG20,0)-N('Исходные данные'!$B$56)/12),IF('Исходные данные'!$B$53="Пользовательская база",MAX(0,N('Исходные данные'!$B$57)/12),0)))</f>
        <v>0</v>
      </c>
      <c r="BK20">
        <f>IF(D20=1,-BJ20*N('Исходные данные'!$B$50),0)</f>
        <v>0</v>
      </c>
      <c r="BL20">
        <f t="shared" si="10"/>
        <v>0</v>
      </c>
      <c r="BM20">
        <f>IF(OR(D20&lt;&gt;1,B20="",'Исходные данные'!$B$91="",N('Исходные данные'!$B$80)&lt;=0,'Исходные данные'!$B$88=""),0,IF(AND(YEAR(B20)=YEAR('Исходные данные'!$B$91),MONTH(B20)=MONTH('Исходные данные'!$B$91)),MAX(0,IF('Исходные данные'!$B$88="Последние 12 месяцев",SUMIFS($BF$2:$BF$194,$B$2:$B$194,"&gt;="&amp;EDATE(B20,-11),$B$2:$B$194,"&lt;="&amp;B20),IF('Исходные данные'!$B$88="Пользовательский NOI",N('Исходные данные'!$B$89),BL20))/N('Исходные данные'!$B$80)*(1+N('Исходные данные'!$B$81))),0))</f>
        <v>0</v>
      </c>
      <c r="BN20">
        <f>-BM20*N('Исходные данные'!$B$73)</f>
        <v>0</v>
      </c>
      <c r="BO20">
        <f>IF(BM20=0,0,-N('Исходные данные'!$B$87)-IF('Исходные данные'!$B$82="Да",IF('Исходные данные'!$B$84="С выручки",BM20,IF('Исходные данные'!$B$84="С прибыли",MAX(0,BM20+BN20-IF('Исходные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0">
        <f t="shared" si="11"/>
        <v>0</v>
      </c>
      <c r="BQ20">
        <f>IF(D20=1,Расчёты!AZ20+BE20+BH20+BK20+BP20,0)</f>
        <v>0</v>
      </c>
      <c r="BR20" t="str">
        <f t="shared" si="17"/>
        <v/>
      </c>
      <c r="BS20">
        <f>IF(OR(D20=0,'Исходные данные'!$B$9="",'Исходные данные'!$B$90=""),0,BQ20/(1+'Исходные данные'!$B$90)^((C20-'Исходные данные'!$B$9)/365))</f>
        <v>0</v>
      </c>
      <c r="BT20">
        <f>IF(D20=1,BE20+Расчёты!O20+Расчёты!Q20+Расчёты!S20+Расчёты!U20+Расчёты!W20+Расчёты!X20+BH20+BK20,0)</f>
        <v>0</v>
      </c>
      <c r="BU20">
        <f>IF(AND(D20=1,BR20&gt;=0,BR19&lt;0,MIN($BR$2:BR20)&lt;0),1,0)</f>
        <v>0</v>
      </c>
      <c r="BV20">
        <f>Расчёты!AZ20+K20+N20-P20*N('Исходные данные'!$B$50)</f>
        <v>0</v>
      </c>
      <c r="BW20">
        <f t="shared" si="18"/>
        <v>0</v>
      </c>
      <c r="BX20">
        <f>IF(AND(BW20&gt;=0,BW19&lt;0,MIN($BW$2:BW20)&lt;0),1,0)</f>
        <v>0</v>
      </c>
      <c r="BY20">
        <f>Расчёты!AZ20+AH20+AK20-AM20*N('Исходные данные'!$B$50)</f>
        <v>0</v>
      </c>
      <c r="BZ20">
        <f t="shared" si="19"/>
        <v>0</v>
      </c>
      <c r="CA20">
        <f>IF(AND(BZ20&gt;=0,BZ19&lt;0,MIN($BZ$2:BZ20)&lt;0),1,0)</f>
        <v>0</v>
      </c>
      <c r="CB20">
        <f>Расчёты!AZ20+BE20+BH20-BJ20*N('Исходные данные'!$B$50)</f>
        <v>0</v>
      </c>
      <c r="CC20">
        <f t="shared" si="20"/>
        <v>0</v>
      </c>
      <c r="CD20">
        <f>IF(AND(CC20&gt;=0,CC19&lt;0,MIN($CC$2:CC20)&lt;0),1,0)</f>
        <v>0</v>
      </c>
    </row>
    <row r="21" spans="1:82" x14ac:dyDescent="0.2">
      <c r="A21">
        <f>Расчёты!A21</f>
        <v>20</v>
      </c>
      <c r="B21" t="str">
        <f>Расчёты!B21</f>
        <v/>
      </c>
      <c r="C21" t="str">
        <f>Расчёты!D21</f>
        <v/>
      </c>
      <c r="D21">
        <f>Расчёты!E21</f>
        <v>0</v>
      </c>
      <c r="E21">
        <f>IF(Расчёты!F21=0,0,IF(Расчёты!G21=1,N('Сценарный анализ'!$B$5),IF(Расчёты!G21=2,N('Сценарный анализ'!$B$6),IF(Расчёты!G21=3,N('Сценарный анализ'!$B$7),N('Сценарный анализ'!$B$7)*(1+N('Сценарный анализ'!$B$8))^(Расчёты!G21-3)))))</f>
        <v>0</v>
      </c>
      <c r="F21">
        <f>IF(OR(Расчёты!F21=0,N('Исходные данные'!$B$5)=0,E21=0),0,N('Исходные данные'!$B$5)*E21*IF(AND(B21&lt;='Исходные данные'!$B$30,Расчёты!C21&gt;='Исходные данные'!$B$30),(Расчёты!C21-'Исходные данные'!$B$30+1)/DAY(Расчёты!C21),1))</f>
        <v>0</v>
      </c>
      <c r="G21">
        <f>IF(AND(Расчёты!F21&gt;0,Расчёты!F21&lt;=N('Исходные данные'!$B$37)),-F21,0)</f>
        <v>0</v>
      </c>
      <c r="H21">
        <f>IF(OR(Расчёты!F21=0,Расчёты!F21&lt;=N('Исходные данные'!$B$37)),0,-(F21+G21)*N('Сценарный анализ'!$B$9))</f>
        <v>0</v>
      </c>
      <c r="I21">
        <f t="shared" si="0"/>
        <v>0</v>
      </c>
      <c r="J21">
        <f>IF('Исходные данные'!$B$51="Да",I21*N('Исходные данные'!$B$52),0)</f>
        <v>0</v>
      </c>
      <c r="K21">
        <f t="shared" si="1"/>
        <v>0</v>
      </c>
      <c r="L21">
        <f>I21+(Расчёты!Y21-Расчёты!L21)</f>
        <v>0</v>
      </c>
      <c r="M21">
        <f t="shared" si="12"/>
        <v>0</v>
      </c>
      <c r="N21">
        <f>IF('Исходные данные'!$B$51="Да",-MAX(0,J21+Расчёты!R21+Расчёты!V21-Расчёты!P21-Расчёты!T21-M21),0)</f>
        <v>0</v>
      </c>
      <c r="O21">
        <f>IF('Исходные данные'!$B$51="Да",MAX(0,M21+Расчёты!P21+Расчёты!T21-J21-Расчёты!R21-Расчёты!V21),0)</f>
        <v>0</v>
      </c>
      <c r="P21">
        <f>IF('Исходные данные'!$B$53="Выручка",MAX(0,I21+(Расчёты!Q21-Расчёты!R21)+(Расчёты!U21-Расчёты!V21)),IF('Исходные данные'!$B$53="Прибыль до налога",MAX(0,I21+(Расчёты!Q21-Расчёты!R21)+(Расчёты!U21-Расчёты!V21)+N('Исходные данные'!$B$54)*((Расчёты!O21+Расчёты!P21)+(Расчёты!S21+Расчёты!T21)+Расчёты!W21+Расчёты!X21)+IF('Исходные данные'!$B$55="Да",Расчёты!AG21,0)-N('Исходные данные'!$B$56)/12),IF('Исходные данные'!$B$53="Пользовательская база",MAX(0,N('Исходные данные'!$B$57)/12),0)))</f>
        <v>0</v>
      </c>
      <c r="Q21">
        <f>IF(D21=1,-P21*N('Исходные данные'!$B$50),0)</f>
        <v>0</v>
      </c>
      <c r="R21">
        <f t="shared" si="2"/>
        <v>0</v>
      </c>
      <c r="S21">
        <f>IF(OR(D21&lt;&gt;1,B21="",'Исходные данные'!$B$91="",N('Исходные данные'!$B$80)&lt;=0,'Исходные данные'!$B$88=""),0,IF(AND(YEAR(B21)=YEAR('Исходные данные'!$B$91),MONTH(B21)=MONTH('Исходные данные'!$B$91)),MAX(0,IF('Исходные данные'!$B$88="Последние 12 месяцев",SUMIFS($L$2:$L$194,$B$2:$B$194,"&gt;="&amp;EDATE(B21,-11),$B$2:$B$194,"&lt;="&amp;B21),IF('Исходные данные'!$B$88="Пользовательский NOI",N('Исходные данные'!$B$89),R21))/N('Исходные данные'!$B$80)*(1+N('Исходные данные'!$B$81))),0))</f>
        <v>0</v>
      </c>
      <c r="T21">
        <f>-S21*N('Исходные данные'!$B$73)</f>
        <v>0</v>
      </c>
      <c r="U21">
        <f>IF(S21=0,0,-N('Исходные данные'!$B$87)-IF('Исходные данные'!$B$82="Да",IF('Исходные данные'!$B$84="С выручки",S21,IF('Исходные данные'!$B$84="С прибыли",MAX(0,S21+T21-IF('Исходные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1">
        <f t="shared" si="3"/>
        <v>0</v>
      </c>
      <c r="W21">
        <f>IF(D21=1,Расчёты!AZ21+K21+N21+Q21+V21,0)</f>
        <v>0</v>
      </c>
      <c r="X21" t="str">
        <f t="shared" si="13"/>
        <v/>
      </c>
      <c r="Y21">
        <f>IF(OR(D21=0,'Исходные данные'!$B$9="",'Исходные данные'!$B$90=""),0,W21/(1+'Исходные данные'!$B$90)^((C21-'Исходные данные'!$B$9)/365))</f>
        <v>0</v>
      </c>
      <c r="Z21">
        <f>IF(D21=1,K21+Расчёты!O21+Расчёты!Q21+Расчёты!S21+Расчёты!U21+Расчёты!W21+Расчёты!X21+N21+Q21,0)</f>
        <v>0</v>
      </c>
      <c r="AA21">
        <f>IF(AND(D21=1,X21&gt;=0,X20&lt;0,MIN($X$2:X21)&lt;0),1,0)</f>
        <v>0</v>
      </c>
      <c r="AB21">
        <f>IF(Расчёты!F21=0,0,IF(Расчёты!G21=1,N('Сценарный анализ'!$C$5),IF(Расчёты!G21=2,N('Сценарный анализ'!$C$6),IF(Расчёты!G21=3,N('Сценарный анализ'!$C$7),N('Сценарный анализ'!$C$7)*(1+N('Сценарный анализ'!$C$8))^(Расчёты!G21-3)))))</f>
        <v>0</v>
      </c>
      <c r="AC21">
        <f>IF(OR(Расчёты!F21=0,N('Исходные данные'!$B$5)=0,AB21=0),0,N('Исходные данные'!$B$5)*AB21*IF(AND(B21&lt;='Исходные данные'!$B$30,Расчёты!C21&gt;='Исходные данные'!$B$30),(Расчёты!C21-'Исходные данные'!$B$30+1)/DAY(Расчёты!C21),1))</f>
        <v>0</v>
      </c>
      <c r="AD21">
        <f>IF(AND(Расчёты!F21&gt;0,Расчёты!F21&lt;=N('Исходные данные'!$B$37)),-AC21,0)</f>
        <v>0</v>
      </c>
      <c r="AE21">
        <f>IF(OR(Расчёты!F21=0,Расчёты!F21&lt;=N('Исходные данные'!$B$37)),0,-(AC21+AD21)*N('Сценарный анализ'!$C$9))</f>
        <v>0</v>
      </c>
      <c r="AF21">
        <f t="shared" si="4"/>
        <v>0</v>
      </c>
      <c r="AG21">
        <f>IF('Исходные данные'!$B$51="Да",AF21*N('Исходные данные'!$B$52),0)</f>
        <v>0</v>
      </c>
      <c r="AH21">
        <f t="shared" si="5"/>
        <v>0</v>
      </c>
      <c r="AI21">
        <f>AF21+(Расчёты!Y21-Расчёты!L21)</f>
        <v>0</v>
      </c>
      <c r="AJ21">
        <f t="shared" si="14"/>
        <v>0</v>
      </c>
      <c r="AK21">
        <f>IF('Исходные данные'!$B$51="Да",-MAX(0,AG21+Расчёты!R21+Расчёты!V21-Расчёты!P21-Расчёты!T21-AJ21),0)</f>
        <v>0</v>
      </c>
      <c r="AL21">
        <f>IF('Исходные данные'!$B$51="Да",MAX(0,AJ21+Расчёты!P21+Расчёты!T21-AG21-Расчёты!R21-Расчёты!V21),0)</f>
        <v>0</v>
      </c>
      <c r="AM21">
        <f>IF('Исходные данные'!$B$53="Выручка",MAX(0,AF21+(Расчёты!Q21-Расчёты!R21)+(Расчёты!U21-Расчёты!V21)),IF('Исходные данные'!$B$53="Прибыль до налога",MAX(0,AF21+(Расчёты!Q21-Расчёты!R21)+(Расчёты!U21-Расчёты!V21)+N('Исходные данные'!$B$54)*((Расчёты!O21+Расчёты!P21)+(Расчёты!S21+Расчёты!T21)+Расчёты!W21+Расчёты!X21)+IF('Исходные данные'!$B$55="Да",Расчёты!AG21,0)-N('Исходные данные'!$B$56)/12),IF('Исходные данные'!$B$53="Пользовательская база",MAX(0,N('Исходные данные'!$B$57)/12),0)))</f>
        <v>0</v>
      </c>
      <c r="AN21">
        <f>IF(D21=1,-AM21*N('Исходные данные'!$B$50),0)</f>
        <v>0</v>
      </c>
      <c r="AO21">
        <f t="shared" si="6"/>
        <v>0</v>
      </c>
      <c r="AP21">
        <f>IF(OR(D21&lt;&gt;1,B21="",'Исходные данные'!$B$91="",N('Исходные данные'!$B$80)&lt;=0,'Исходные данные'!$B$88=""),0,IF(AND(YEAR(B21)=YEAR('Исходные данные'!$B$91),MONTH(B21)=MONTH('Исходные данные'!$B$91)),MAX(0,IF('Исходные данные'!$B$88="Последние 12 месяцев",SUMIFS($AI$2:$AI$194,$B$2:$B$194,"&gt;="&amp;EDATE(B21,-11),$B$2:$B$194,"&lt;="&amp;B21),IF('Исходные данные'!$B$88="Пользовательский NOI",N('Исходные данные'!$B$89),AO21))/N('Исходные данные'!$B$80)*(1+N('Исходные данные'!$B$81))),0))</f>
        <v>0</v>
      </c>
      <c r="AQ21">
        <f>-AP21*N('Исходные данные'!$B$73)</f>
        <v>0</v>
      </c>
      <c r="AR21">
        <f>IF(AP21=0,0,-N('Исходные данные'!$B$87)-IF('Исходные данные'!$B$82="Да",IF('Исходные данные'!$B$84="С выручки",AP21,IF('Исходные данные'!$B$84="С прибыли",MAX(0,AP21+AQ21-IF('Исходные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1">
        <f t="shared" si="7"/>
        <v>0</v>
      </c>
      <c r="AT21">
        <f>IF(D21=1,Расчёты!AZ21+AH21+AK21+AN21+AS21,0)</f>
        <v>0</v>
      </c>
      <c r="AU21" t="str">
        <f t="shared" si="15"/>
        <v/>
      </c>
      <c r="AV21">
        <f>IF(OR(D21=0,'Исходные данные'!$B$9="",'Исходные данные'!$B$90=""),0,AT21/(1+'Исходные данные'!$B$90)^((C21-'Исходные данные'!$B$9)/365))</f>
        <v>0</v>
      </c>
      <c r="AW21">
        <f>IF(D21=1,AH21+Расчёты!O21+Расчёты!Q21+Расчёты!S21+Расчёты!U21+Расчёты!W21+Расчёты!X21+AK21+AN21,0)</f>
        <v>0</v>
      </c>
      <c r="AX21">
        <f>IF(AND(D21=1,AU21&gt;=0,AU20&lt;0,MIN($AU$2:AU21)&lt;0),1,0)</f>
        <v>0</v>
      </c>
      <c r="AY21">
        <f>IF(Расчёты!F21=0,0,IF(Расчёты!G21=1,N('Сценарный анализ'!$D$5),IF(Расчёты!G21=2,N('Сценарный анализ'!$D$6),IF(Расчёты!G21=3,N('Сценарный анализ'!$D$7),N('Сценарный анализ'!$D$7)*(1+N('Сценарный анализ'!$D$8))^(Расчёты!G21-3)))))</f>
        <v>0</v>
      </c>
      <c r="AZ21">
        <f>IF(OR(Расчёты!F21=0,N('Исходные данные'!$B$5)=0,AY21=0),0,N('Исходные данные'!$B$5)*AY21*IF(AND(B21&lt;='Исходные данные'!$B$30,Расчёты!C21&gt;='Исходные данные'!$B$30),(Расчёты!C21-'Исходные данные'!$B$30+1)/DAY(Расчёты!C21),1))</f>
        <v>0</v>
      </c>
      <c r="BA21">
        <f>IF(AND(Расчёты!F21&gt;0,Расчёты!F21&lt;=N('Исходные данные'!$B$37)),-AZ21,0)</f>
        <v>0</v>
      </c>
      <c r="BB21">
        <f>IF(OR(Расчёты!F21=0,Расчёты!F21&lt;=N('Исходные данные'!$B$37)),0,-(AZ21+BA21)*N('Сценарный анализ'!$D$9))</f>
        <v>0</v>
      </c>
      <c r="BC21">
        <f t="shared" si="8"/>
        <v>0</v>
      </c>
      <c r="BD21">
        <f>IF('Исходные данные'!$B$51="Да",BC21*N('Исходные данные'!$B$52),0)</f>
        <v>0</v>
      </c>
      <c r="BE21">
        <f t="shared" si="9"/>
        <v>0</v>
      </c>
      <c r="BF21">
        <f>BC21+(Расчёты!Y21-Расчёты!L21)</f>
        <v>0</v>
      </c>
      <c r="BG21">
        <f t="shared" si="16"/>
        <v>0</v>
      </c>
      <c r="BH21">
        <f>IF('Исходные данные'!$B$51="Да",-MAX(0,BD21+Расчёты!R21+Расчёты!V21-Расчёты!P21-Расчёты!T21-BG21),0)</f>
        <v>0</v>
      </c>
      <c r="BI21">
        <f>IF('Исходные данные'!$B$51="Да",MAX(0,BG21+Расчёты!P21+Расчёты!T21-BD21-Расчёты!R21-Расчёты!V21),0)</f>
        <v>0</v>
      </c>
      <c r="BJ21">
        <f>IF('Исходные данные'!$B$53="Выручка",MAX(0,BC21+(Расчёты!Q21-Расчёты!R21)+(Расчёты!U21-Расчёты!V21)),IF('Исходные данные'!$B$53="Прибыль до налога",MAX(0,BC21+(Расчёты!Q21-Расчёты!R21)+(Расчёты!U21-Расчёты!V21)+N('Исходные данные'!$B$54)*((Расчёты!O21+Расчёты!P21)+(Расчёты!S21+Расчёты!T21)+Расчёты!W21+Расчёты!X21)+IF('Исходные данные'!$B$55="Да",Расчёты!AG21,0)-N('Исходные данные'!$B$56)/12),IF('Исходные данные'!$B$53="Пользовательская база",MAX(0,N('Исходные данные'!$B$57)/12),0)))</f>
        <v>0</v>
      </c>
      <c r="BK21">
        <f>IF(D21=1,-BJ21*N('Исходные данные'!$B$50),0)</f>
        <v>0</v>
      </c>
      <c r="BL21">
        <f t="shared" si="10"/>
        <v>0</v>
      </c>
      <c r="BM21">
        <f>IF(OR(D21&lt;&gt;1,B21="",'Исходные данные'!$B$91="",N('Исходные данные'!$B$80)&lt;=0,'Исходные данные'!$B$88=""),0,IF(AND(YEAR(B21)=YEAR('Исходные данные'!$B$91),MONTH(B21)=MONTH('Исходные данные'!$B$91)),MAX(0,IF('Исходные данные'!$B$88="Последние 12 месяцев",SUMIFS($BF$2:$BF$194,$B$2:$B$194,"&gt;="&amp;EDATE(B21,-11),$B$2:$B$194,"&lt;="&amp;B21),IF('Исходные данные'!$B$88="Пользовательский NOI",N('Исходные данные'!$B$89),BL21))/N('Исходные данные'!$B$80)*(1+N('Исходные данные'!$B$81))),0))</f>
        <v>0</v>
      </c>
      <c r="BN21">
        <f>-BM21*N('Исходные данные'!$B$73)</f>
        <v>0</v>
      </c>
      <c r="BO21">
        <f>IF(BM21=0,0,-N('Исходные данные'!$B$87)-IF('Исходные данные'!$B$82="Да",IF('Исходные данные'!$B$84="С выручки",BM21,IF('Исходные данные'!$B$84="С прибыли",MAX(0,BM21+BN21-IF('Исходные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1">
        <f t="shared" si="11"/>
        <v>0</v>
      </c>
      <c r="BQ21">
        <f>IF(D21=1,Расчёты!AZ21+BE21+BH21+BK21+BP21,0)</f>
        <v>0</v>
      </c>
      <c r="BR21" t="str">
        <f t="shared" si="17"/>
        <v/>
      </c>
      <c r="BS21">
        <f>IF(OR(D21=0,'Исходные данные'!$B$9="",'Исходные данные'!$B$90=""),0,BQ21/(1+'Исходные данные'!$B$90)^((C21-'Исходные данные'!$B$9)/365))</f>
        <v>0</v>
      </c>
      <c r="BT21">
        <f>IF(D21=1,BE21+Расчёты!O21+Расчёты!Q21+Расчёты!S21+Расчёты!U21+Расчёты!W21+Расчёты!X21+BH21+BK21,0)</f>
        <v>0</v>
      </c>
      <c r="BU21">
        <f>IF(AND(D21=1,BR21&gt;=0,BR20&lt;0,MIN($BR$2:BR21)&lt;0),1,0)</f>
        <v>0</v>
      </c>
      <c r="BV21">
        <f>Расчёты!AZ21+K21+N21-P21*N('Исходные данные'!$B$50)</f>
        <v>0</v>
      </c>
      <c r="BW21">
        <f t="shared" si="18"/>
        <v>0</v>
      </c>
      <c r="BX21">
        <f>IF(AND(BW21&gt;=0,BW20&lt;0,MIN($BW$2:BW21)&lt;0),1,0)</f>
        <v>0</v>
      </c>
      <c r="BY21">
        <f>Расчёты!AZ21+AH21+AK21-AM21*N('Исходные данные'!$B$50)</f>
        <v>0</v>
      </c>
      <c r="BZ21">
        <f t="shared" si="19"/>
        <v>0</v>
      </c>
      <c r="CA21">
        <f>IF(AND(BZ21&gt;=0,BZ20&lt;0,MIN($BZ$2:BZ21)&lt;0),1,0)</f>
        <v>0</v>
      </c>
      <c r="CB21">
        <f>Расчёты!AZ21+BE21+BH21-BJ21*N('Исходные данные'!$B$50)</f>
        <v>0</v>
      </c>
      <c r="CC21">
        <f t="shared" si="20"/>
        <v>0</v>
      </c>
      <c r="CD21">
        <f>IF(AND(CC21&gt;=0,CC20&lt;0,MIN($CC$2:CC21)&lt;0),1,0)</f>
        <v>0</v>
      </c>
    </row>
    <row r="22" spans="1:82" x14ac:dyDescent="0.2">
      <c r="A22">
        <f>Расчёты!A22</f>
        <v>21</v>
      </c>
      <c r="B22" t="str">
        <f>Расчёты!B22</f>
        <v/>
      </c>
      <c r="C22" t="str">
        <f>Расчёты!D22</f>
        <v/>
      </c>
      <c r="D22">
        <f>Расчёты!E22</f>
        <v>0</v>
      </c>
      <c r="E22">
        <f>IF(Расчёты!F22=0,0,IF(Расчёты!G22=1,N('Сценарный анализ'!$B$5),IF(Расчёты!G22=2,N('Сценарный анализ'!$B$6),IF(Расчёты!G22=3,N('Сценарный анализ'!$B$7),N('Сценарный анализ'!$B$7)*(1+N('Сценарный анализ'!$B$8))^(Расчёты!G22-3)))))</f>
        <v>0</v>
      </c>
      <c r="F22">
        <f>IF(OR(Расчёты!F22=0,N('Исходные данные'!$B$5)=0,E22=0),0,N('Исходные данные'!$B$5)*E22*IF(AND(B22&lt;='Исходные данные'!$B$30,Расчёты!C22&gt;='Исходные данные'!$B$30),(Расчёты!C22-'Исходные данные'!$B$30+1)/DAY(Расчёты!C22),1))</f>
        <v>0</v>
      </c>
      <c r="G22">
        <f>IF(AND(Расчёты!F22&gt;0,Расчёты!F22&lt;=N('Исходные данные'!$B$37)),-F22,0)</f>
        <v>0</v>
      </c>
      <c r="H22">
        <f>IF(OR(Расчёты!F22=0,Расчёты!F22&lt;=N('Исходные данные'!$B$37)),0,-(F22+G22)*N('Сценарный анализ'!$B$9))</f>
        <v>0</v>
      </c>
      <c r="I22">
        <f t="shared" si="0"/>
        <v>0</v>
      </c>
      <c r="J22">
        <f>IF('Исходные данные'!$B$51="Да",I22*N('Исходные данные'!$B$52),0)</f>
        <v>0</v>
      </c>
      <c r="K22">
        <f t="shared" si="1"/>
        <v>0</v>
      </c>
      <c r="L22">
        <f>I22+(Расчёты!Y22-Расчёты!L22)</f>
        <v>0</v>
      </c>
      <c r="M22">
        <f t="shared" si="12"/>
        <v>0</v>
      </c>
      <c r="N22">
        <f>IF('Исходные данные'!$B$51="Да",-MAX(0,J22+Расчёты!R22+Расчёты!V22-Расчёты!P22-Расчёты!T22-M22),0)</f>
        <v>0</v>
      </c>
      <c r="O22">
        <f>IF('Исходные данные'!$B$51="Да",MAX(0,M22+Расчёты!P22+Расчёты!T22-J22-Расчёты!R22-Расчёты!V22),0)</f>
        <v>0</v>
      </c>
      <c r="P22">
        <f>IF('Исходные данные'!$B$53="Выручка",MAX(0,I22+(Расчёты!Q22-Расчёты!R22)+(Расчёты!U22-Расчёты!V22)),IF('Исходные данные'!$B$53="Прибыль до налога",MAX(0,I22+(Расчёты!Q22-Расчёты!R22)+(Расчёты!U22-Расчёты!V22)+N('Исходные данные'!$B$54)*((Расчёты!O22+Расчёты!P22)+(Расчёты!S22+Расчёты!T22)+Расчёты!W22+Расчёты!X22)+IF('Исходные данные'!$B$55="Да",Расчёты!AG22,0)-N('Исходные данные'!$B$56)/12),IF('Исходные данные'!$B$53="Пользовательская база",MAX(0,N('Исходные данные'!$B$57)/12),0)))</f>
        <v>0</v>
      </c>
      <c r="Q22">
        <f>IF(D22=1,-P22*N('Исходные данные'!$B$50),0)</f>
        <v>0</v>
      </c>
      <c r="R22">
        <f t="shared" si="2"/>
        <v>0</v>
      </c>
      <c r="S22">
        <f>IF(OR(D22&lt;&gt;1,B22="",'Исходные данные'!$B$91="",N('Исходные данные'!$B$80)&lt;=0,'Исходные данные'!$B$88=""),0,IF(AND(YEAR(B22)=YEAR('Исходные данные'!$B$91),MONTH(B22)=MONTH('Исходные данные'!$B$91)),MAX(0,IF('Исходные данные'!$B$88="Последние 12 месяцев",SUMIFS($L$2:$L$194,$B$2:$B$194,"&gt;="&amp;EDATE(B22,-11),$B$2:$B$194,"&lt;="&amp;B22),IF('Исходные данные'!$B$88="Пользовательский NOI",N('Исходные данные'!$B$89),R22))/N('Исходные данные'!$B$80)*(1+N('Исходные данные'!$B$81))),0))</f>
        <v>0</v>
      </c>
      <c r="T22">
        <f>-S22*N('Исходные данные'!$B$73)</f>
        <v>0</v>
      </c>
      <c r="U22">
        <f>IF(S22=0,0,-N('Исходные данные'!$B$87)-IF('Исходные данные'!$B$82="Да",IF('Исходные данные'!$B$84="С выручки",S22,IF('Исходные данные'!$B$84="С прибыли",MAX(0,S22+T22-IF('Исходные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2">
        <f t="shared" si="3"/>
        <v>0</v>
      </c>
      <c r="W22">
        <f>IF(D22=1,Расчёты!AZ22+K22+N22+Q22+V22,0)</f>
        <v>0</v>
      </c>
      <c r="X22" t="str">
        <f t="shared" si="13"/>
        <v/>
      </c>
      <c r="Y22">
        <f>IF(OR(D22=0,'Исходные данные'!$B$9="",'Исходные данные'!$B$90=""),0,W22/(1+'Исходные данные'!$B$90)^((C22-'Исходные данные'!$B$9)/365))</f>
        <v>0</v>
      </c>
      <c r="Z22">
        <f>IF(D22=1,K22+Расчёты!O22+Расчёты!Q22+Расчёты!S22+Расчёты!U22+Расчёты!W22+Расчёты!X22+N22+Q22,0)</f>
        <v>0</v>
      </c>
      <c r="AA22">
        <f>IF(AND(D22=1,X22&gt;=0,X21&lt;0,MIN($X$2:X22)&lt;0),1,0)</f>
        <v>0</v>
      </c>
      <c r="AB22">
        <f>IF(Расчёты!F22=0,0,IF(Расчёты!G22=1,N('Сценарный анализ'!$C$5),IF(Расчёты!G22=2,N('Сценарный анализ'!$C$6),IF(Расчёты!G22=3,N('Сценарный анализ'!$C$7),N('Сценарный анализ'!$C$7)*(1+N('Сценарный анализ'!$C$8))^(Расчёты!G22-3)))))</f>
        <v>0</v>
      </c>
      <c r="AC22">
        <f>IF(OR(Расчёты!F22=0,N('Исходные данные'!$B$5)=0,AB22=0),0,N('Исходные данные'!$B$5)*AB22*IF(AND(B22&lt;='Исходные данные'!$B$30,Расчёты!C22&gt;='Исходные данные'!$B$30),(Расчёты!C22-'Исходные данные'!$B$30+1)/DAY(Расчёты!C22),1))</f>
        <v>0</v>
      </c>
      <c r="AD22">
        <f>IF(AND(Расчёты!F22&gt;0,Расчёты!F22&lt;=N('Исходные данные'!$B$37)),-AC22,0)</f>
        <v>0</v>
      </c>
      <c r="AE22">
        <f>IF(OR(Расчёты!F22=0,Расчёты!F22&lt;=N('Исходные данные'!$B$37)),0,-(AC22+AD22)*N('Сценарный анализ'!$C$9))</f>
        <v>0</v>
      </c>
      <c r="AF22">
        <f t="shared" si="4"/>
        <v>0</v>
      </c>
      <c r="AG22">
        <f>IF('Исходные данные'!$B$51="Да",AF22*N('Исходные данные'!$B$52),0)</f>
        <v>0</v>
      </c>
      <c r="AH22">
        <f t="shared" si="5"/>
        <v>0</v>
      </c>
      <c r="AI22">
        <f>AF22+(Расчёты!Y22-Расчёты!L22)</f>
        <v>0</v>
      </c>
      <c r="AJ22">
        <f t="shared" si="14"/>
        <v>0</v>
      </c>
      <c r="AK22">
        <f>IF('Исходные данные'!$B$51="Да",-MAX(0,AG22+Расчёты!R22+Расчёты!V22-Расчёты!P22-Расчёты!T22-AJ22),0)</f>
        <v>0</v>
      </c>
      <c r="AL22">
        <f>IF('Исходные данные'!$B$51="Да",MAX(0,AJ22+Расчёты!P22+Расчёты!T22-AG22-Расчёты!R22-Расчёты!V22),0)</f>
        <v>0</v>
      </c>
      <c r="AM22">
        <f>IF('Исходные данные'!$B$53="Выручка",MAX(0,AF22+(Расчёты!Q22-Расчёты!R22)+(Расчёты!U22-Расчёты!V22)),IF('Исходные данные'!$B$53="Прибыль до налога",MAX(0,AF22+(Расчёты!Q22-Расчёты!R22)+(Расчёты!U22-Расчёты!V22)+N('Исходные данные'!$B$54)*((Расчёты!O22+Расчёты!P22)+(Расчёты!S22+Расчёты!T22)+Расчёты!W22+Расчёты!X22)+IF('Исходные данные'!$B$55="Да",Расчёты!AG22,0)-N('Исходные данные'!$B$56)/12),IF('Исходные данные'!$B$53="Пользовательская база",MAX(0,N('Исходные данные'!$B$57)/12),0)))</f>
        <v>0</v>
      </c>
      <c r="AN22">
        <f>IF(D22=1,-AM22*N('Исходные данные'!$B$50),0)</f>
        <v>0</v>
      </c>
      <c r="AO22">
        <f t="shared" si="6"/>
        <v>0</v>
      </c>
      <c r="AP22">
        <f>IF(OR(D22&lt;&gt;1,B22="",'Исходные данные'!$B$91="",N('Исходные данные'!$B$80)&lt;=0,'Исходные данные'!$B$88=""),0,IF(AND(YEAR(B22)=YEAR('Исходные данные'!$B$91),MONTH(B22)=MONTH('Исходные данные'!$B$91)),MAX(0,IF('Исходные данные'!$B$88="Последние 12 месяцев",SUMIFS($AI$2:$AI$194,$B$2:$B$194,"&gt;="&amp;EDATE(B22,-11),$B$2:$B$194,"&lt;="&amp;B22),IF('Исходные данные'!$B$88="Пользовательский NOI",N('Исходные данные'!$B$89),AO22))/N('Исходные данные'!$B$80)*(1+N('Исходные данные'!$B$81))),0))</f>
        <v>0</v>
      </c>
      <c r="AQ22">
        <f>-AP22*N('Исходные данные'!$B$73)</f>
        <v>0</v>
      </c>
      <c r="AR22">
        <f>IF(AP22=0,0,-N('Исходные данные'!$B$87)-IF('Исходные данные'!$B$82="Да",IF('Исходные данные'!$B$84="С выручки",AP22,IF('Исходные данные'!$B$84="С прибыли",MAX(0,AP22+AQ22-IF('Исходные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2">
        <f t="shared" si="7"/>
        <v>0</v>
      </c>
      <c r="AT22">
        <f>IF(D22=1,Расчёты!AZ22+AH22+AK22+AN22+AS22,0)</f>
        <v>0</v>
      </c>
      <c r="AU22" t="str">
        <f t="shared" si="15"/>
        <v/>
      </c>
      <c r="AV22">
        <f>IF(OR(D22=0,'Исходные данные'!$B$9="",'Исходные данные'!$B$90=""),0,AT22/(1+'Исходные данные'!$B$90)^((C22-'Исходные данные'!$B$9)/365))</f>
        <v>0</v>
      </c>
      <c r="AW22">
        <f>IF(D22=1,AH22+Расчёты!O22+Расчёты!Q22+Расчёты!S22+Расчёты!U22+Расчёты!W22+Расчёты!X22+AK22+AN22,0)</f>
        <v>0</v>
      </c>
      <c r="AX22">
        <f>IF(AND(D22=1,AU22&gt;=0,AU21&lt;0,MIN($AU$2:AU22)&lt;0),1,0)</f>
        <v>0</v>
      </c>
      <c r="AY22">
        <f>IF(Расчёты!F22=0,0,IF(Расчёты!G22=1,N('Сценарный анализ'!$D$5),IF(Расчёты!G22=2,N('Сценарный анализ'!$D$6),IF(Расчёты!G22=3,N('Сценарный анализ'!$D$7),N('Сценарный анализ'!$D$7)*(1+N('Сценарный анализ'!$D$8))^(Расчёты!G22-3)))))</f>
        <v>0</v>
      </c>
      <c r="AZ22">
        <f>IF(OR(Расчёты!F22=0,N('Исходные данные'!$B$5)=0,AY22=0),0,N('Исходные данные'!$B$5)*AY22*IF(AND(B22&lt;='Исходные данные'!$B$30,Расчёты!C22&gt;='Исходные данные'!$B$30),(Расчёты!C22-'Исходные данные'!$B$30+1)/DAY(Расчёты!C22),1))</f>
        <v>0</v>
      </c>
      <c r="BA22">
        <f>IF(AND(Расчёты!F22&gt;0,Расчёты!F22&lt;=N('Исходные данные'!$B$37)),-AZ22,0)</f>
        <v>0</v>
      </c>
      <c r="BB22">
        <f>IF(OR(Расчёты!F22=0,Расчёты!F22&lt;=N('Исходные данные'!$B$37)),0,-(AZ22+BA22)*N('Сценарный анализ'!$D$9))</f>
        <v>0</v>
      </c>
      <c r="BC22">
        <f t="shared" si="8"/>
        <v>0</v>
      </c>
      <c r="BD22">
        <f>IF('Исходные данные'!$B$51="Да",BC22*N('Исходные данные'!$B$52),0)</f>
        <v>0</v>
      </c>
      <c r="BE22">
        <f t="shared" si="9"/>
        <v>0</v>
      </c>
      <c r="BF22">
        <f>BC22+(Расчёты!Y22-Расчёты!L22)</f>
        <v>0</v>
      </c>
      <c r="BG22">
        <f t="shared" si="16"/>
        <v>0</v>
      </c>
      <c r="BH22">
        <f>IF('Исходные данные'!$B$51="Да",-MAX(0,BD22+Расчёты!R22+Расчёты!V22-Расчёты!P22-Расчёты!T22-BG22),0)</f>
        <v>0</v>
      </c>
      <c r="BI22">
        <f>IF('Исходные данные'!$B$51="Да",MAX(0,BG22+Расчёты!P22+Расчёты!T22-BD22-Расчёты!R22-Расчёты!V22),0)</f>
        <v>0</v>
      </c>
      <c r="BJ22">
        <f>IF('Исходные данные'!$B$53="Выручка",MAX(0,BC22+(Расчёты!Q22-Расчёты!R22)+(Расчёты!U22-Расчёты!V22)),IF('Исходные данные'!$B$53="Прибыль до налога",MAX(0,BC22+(Расчёты!Q22-Расчёты!R22)+(Расчёты!U22-Расчёты!V22)+N('Исходные данные'!$B$54)*((Расчёты!O22+Расчёты!P22)+(Расчёты!S22+Расчёты!T22)+Расчёты!W22+Расчёты!X22)+IF('Исходные данные'!$B$55="Да",Расчёты!AG22,0)-N('Исходные данные'!$B$56)/12),IF('Исходные данные'!$B$53="Пользовательская база",MAX(0,N('Исходные данные'!$B$57)/12),0)))</f>
        <v>0</v>
      </c>
      <c r="BK22">
        <f>IF(D22=1,-BJ22*N('Исходные данные'!$B$50),0)</f>
        <v>0</v>
      </c>
      <c r="BL22">
        <f t="shared" si="10"/>
        <v>0</v>
      </c>
      <c r="BM22">
        <f>IF(OR(D22&lt;&gt;1,B22="",'Исходные данные'!$B$91="",N('Исходные данные'!$B$80)&lt;=0,'Исходные данные'!$B$88=""),0,IF(AND(YEAR(B22)=YEAR('Исходные данные'!$B$91),MONTH(B22)=MONTH('Исходные данные'!$B$91)),MAX(0,IF('Исходные данные'!$B$88="Последние 12 месяцев",SUMIFS($BF$2:$BF$194,$B$2:$B$194,"&gt;="&amp;EDATE(B22,-11),$B$2:$B$194,"&lt;="&amp;B22),IF('Исходные данные'!$B$88="Пользовательский NOI",N('Исходные данные'!$B$89),BL22))/N('Исходные данные'!$B$80)*(1+N('Исходные данные'!$B$81))),0))</f>
        <v>0</v>
      </c>
      <c r="BN22">
        <f>-BM22*N('Исходные данные'!$B$73)</f>
        <v>0</v>
      </c>
      <c r="BO22">
        <f>IF(BM22=0,0,-N('Исходные данные'!$B$87)-IF('Исходные данные'!$B$82="Да",IF('Исходные данные'!$B$84="С выручки",BM22,IF('Исходные данные'!$B$84="С прибыли",MAX(0,BM22+BN22-IF('Исходные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2">
        <f t="shared" si="11"/>
        <v>0</v>
      </c>
      <c r="BQ22">
        <f>IF(D22=1,Расчёты!AZ22+BE22+BH22+BK22+BP22,0)</f>
        <v>0</v>
      </c>
      <c r="BR22" t="str">
        <f t="shared" si="17"/>
        <v/>
      </c>
      <c r="BS22">
        <f>IF(OR(D22=0,'Исходные данные'!$B$9="",'Исходные данные'!$B$90=""),0,BQ22/(1+'Исходные данные'!$B$90)^((C22-'Исходные данные'!$B$9)/365))</f>
        <v>0</v>
      </c>
      <c r="BT22">
        <f>IF(D22=1,BE22+Расчёты!O22+Расчёты!Q22+Расчёты!S22+Расчёты!U22+Расчёты!W22+Расчёты!X22+BH22+BK22,0)</f>
        <v>0</v>
      </c>
      <c r="BU22">
        <f>IF(AND(D22=1,BR22&gt;=0,BR21&lt;0,MIN($BR$2:BR22)&lt;0),1,0)</f>
        <v>0</v>
      </c>
      <c r="BV22">
        <f>Расчёты!AZ22+K22+N22-P22*N('Исходные данные'!$B$50)</f>
        <v>0</v>
      </c>
      <c r="BW22">
        <f t="shared" si="18"/>
        <v>0</v>
      </c>
      <c r="BX22">
        <f>IF(AND(BW22&gt;=0,BW21&lt;0,MIN($BW$2:BW22)&lt;0),1,0)</f>
        <v>0</v>
      </c>
      <c r="BY22">
        <f>Расчёты!AZ22+AH22+AK22-AM22*N('Исходные данные'!$B$50)</f>
        <v>0</v>
      </c>
      <c r="BZ22">
        <f t="shared" si="19"/>
        <v>0</v>
      </c>
      <c r="CA22">
        <f>IF(AND(BZ22&gt;=0,BZ21&lt;0,MIN($BZ$2:BZ22)&lt;0),1,0)</f>
        <v>0</v>
      </c>
      <c r="CB22">
        <f>Расчёты!AZ22+BE22+BH22-BJ22*N('Исходные данные'!$B$50)</f>
        <v>0</v>
      </c>
      <c r="CC22">
        <f t="shared" si="20"/>
        <v>0</v>
      </c>
      <c r="CD22">
        <f>IF(AND(CC22&gt;=0,CC21&lt;0,MIN($CC$2:CC22)&lt;0),1,0)</f>
        <v>0</v>
      </c>
    </row>
    <row r="23" spans="1:82" x14ac:dyDescent="0.2">
      <c r="A23">
        <f>Расчёты!A23</f>
        <v>22</v>
      </c>
      <c r="B23" t="str">
        <f>Расчёты!B23</f>
        <v/>
      </c>
      <c r="C23" t="str">
        <f>Расчёты!D23</f>
        <v/>
      </c>
      <c r="D23">
        <f>Расчёты!E23</f>
        <v>0</v>
      </c>
      <c r="E23">
        <f>IF(Расчёты!F23=0,0,IF(Расчёты!G23=1,N('Сценарный анализ'!$B$5),IF(Расчёты!G23=2,N('Сценарный анализ'!$B$6),IF(Расчёты!G23=3,N('Сценарный анализ'!$B$7),N('Сценарный анализ'!$B$7)*(1+N('Сценарный анализ'!$B$8))^(Расчёты!G23-3)))))</f>
        <v>0</v>
      </c>
      <c r="F23">
        <f>IF(OR(Расчёты!F23=0,N('Исходные данные'!$B$5)=0,E23=0),0,N('Исходные данные'!$B$5)*E23*IF(AND(B23&lt;='Исходные данные'!$B$30,Расчёты!C23&gt;='Исходные данные'!$B$30),(Расчёты!C23-'Исходные данные'!$B$30+1)/DAY(Расчёты!C23),1))</f>
        <v>0</v>
      </c>
      <c r="G23">
        <f>IF(AND(Расчёты!F23&gt;0,Расчёты!F23&lt;=N('Исходные данные'!$B$37)),-F23,0)</f>
        <v>0</v>
      </c>
      <c r="H23">
        <f>IF(OR(Расчёты!F23=0,Расчёты!F23&lt;=N('Исходные данные'!$B$37)),0,-(F23+G23)*N('Сценарный анализ'!$B$9))</f>
        <v>0</v>
      </c>
      <c r="I23">
        <f t="shared" si="0"/>
        <v>0</v>
      </c>
      <c r="J23">
        <f>IF('Исходные данные'!$B$51="Да",I23*N('Исходные данные'!$B$52),0)</f>
        <v>0</v>
      </c>
      <c r="K23">
        <f t="shared" si="1"/>
        <v>0</v>
      </c>
      <c r="L23">
        <f>I23+(Расчёты!Y23-Расчёты!L23)</f>
        <v>0</v>
      </c>
      <c r="M23">
        <f t="shared" si="12"/>
        <v>0</v>
      </c>
      <c r="N23">
        <f>IF('Исходные данные'!$B$51="Да",-MAX(0,J23+Расчёты!R23+Расчёты!V23-Расчёты!P23-Расчёты!T23-M23),0)</f>
        <v>0</v>
      </c>
      <c r="O23">
        <f>IF('Исходные данные'!$B$51="Да",MAX(0,M23+Расчёты!P23+Расчёты!T23-J23-Расчёты!R23-Расчёты!V23),0)</f>
        <v>0</v>
      </c>
      <c r="P23">
        <f>IF('Исходные данные'!$B$53="Выручка",MAX(0,I23+(Расчёты!Q23-Расчёты!R23)+(Расчёты!U23-Расчёты!V23)),IF('Исходные данные'!$B$53="Прибыль до налога",MAX(0,I23+(Расчёты!Q23-Расчёты!R23)+(Расчёты!U23-Расчёты!V23)+N('Исходные данные'!$B$54)*((Расчёты!O23+Расчёты!P23)+(Расчёты!S23+Расчёты!T23)+Расчёты!W23+Расчёты!X23)+IF('Исходные данные'!$B$55="Да",Расчёты!AG23,0)-N('Исходные данные'!$B$56)/12),IF('Исходные данные'!$B$53="Пользовательская база",MAX(0,N('Исходные данные'!$B$57)/12),0)))</f>
        <v>0</v>
      </c>
      <c r="Q23">
        <f>IF(D23=1,-P23*N('Исходные данные'!$B$50),0)</f>
        <v>0</v>
      </c>
      <c r="R23">
        <f t="shared" si="2"/>
        <v>0</v>
      </c>
      <c r="S23">
        <f>IF(OR(D23&lt;&gt;1,B23="",'Исходные данные'!$B$91="",N('Исходные данные'!$B$80)&lt;=0,'Исходные данные'!$B$88=""),0,IF(AND(YEAR(B23)=YEAR('Исходные данные'!$B$91),MONTH(B23)=MONTH('Исходные данные'!$B$91)),MAX(0,IF('Исходные данные'!$B$88="Последние 12 месяцев",SUMIFS($L$2:$L$194,$B$2:$B$194,"&gt;="&amp;EDATE(B23,-11),$B$2:$B$194,"&lt;="&amp;B23),IF('Исходные данные'!$B$88="Пользовательский NOI",N('Исходные данные'!$B$89),R23))/N('Исходные данные'!$B$80)*(1+N('Исходные данные'!$B$81))),0))</f>
        <v>0</v>
      </c>
      <c r="T23">
        <f>-S23*N('Исходные данные'!$B$73)</f>
        <v>0</v>
      </c>
      <c r="U23">
        <f>IF(S23=0,0,-N('Исходные данные'!$B$87)-IF('Исходные данные'!$B$82="Да",IF('Исходные данные'!$B$84="С выручки",S23,IF('Исходные данные'!$B$84="С прибыли",MAX(0,S23+T23-IF('Исходные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3">
        <f t="shared" si="3"/>
        <v>0</v>
      </c>
      <c r="W23">
        <f>IF(D23=1,Расчёты!AZ23+K23+N23+Q23+V23,0)</f>
        <v>0</v>
      </c>
      <c r="X23" t="str">
        <f t="shared" si="13"/>
        <v/>
      </c>
      <c r="Y23">
        <f>IF(OR(D23=0,'Исходные данные'!$B$9="",'Исходные данные'!$B$90=""),0,W23/(1+'Исходные данные'!$B$90)^((C23-'Исходные данные'!$B$9)/365))</f>
        <v>0</v>
      </c>
      <c r="Z23">
        <f>IF(D23=1,K23+Расчёты!O23+Расчёты!Q23+Расчёты!S23+Расчёты!U23+Расчёты!W23+Расчёты!X23+N23+Q23,0)</f>
        <v>0</v>
      </c>
      <c r="AA23">
        <f>IF(AND(D23=1,X23&gt;=0,X22&lt;0,MIN($X$2:X23)&lt;0),1,0)</f>
        <v>0</v>
      </c>
      <c r="AB23">
        <f>IF(Расчёты!F23=0,0,IF(Расчёты!G23=1,N('Сценарный анализ'!$C$5),IF(Расчёты!G23=2,N('Сценарный анализ'!$C$6),IF(Расчёты!G23=3,N('Сценарный анализ'!$C$7),N('Сценарный анализ'!$C$7)*(1+N('Сценарный анализ'!$C$8))^(Расчёты!G23-3)))))</f>
        <v>0</v>
      </c>
      <c r="AC23">
        <f>IF(OR(Расчёты!F23=0,N('Исходные данные'!$B$5)=0,AB23=0),0,N('Исходные данные'!$B$5)*AB23*IF(AND(B23&lt;='Исходные данные'!$B$30,Расчёты!C23&gt;='Исходные данные'!$B$30),(Расчёты!C23-'Исходные данные'!$B$30+1)/DAY(Расчёты!C23),1))</f>
        <v>0</v>
      </c>
      <c r="AD23">
        <f>IF(AND(Расчёты!F23&gt;0,Расчёты!F23&lt;=N('Исходные данные'!$B$37)),-AC23,0)</f>
        <v>0</v>
      </c>
      <c r="AE23">
        <f>IF(OR(Расчёты!F23=0,Расчёты!F23&lt;=N('Исходные данные'!$B$37)),0,-(AC23+AD23)*N('Сценарный анализ'!$C$9))</f>
        <v>0</v>
      </c>
      <c r="AF23">
        <f t="shared" si="4"/>
        <v>0</v>
      </c>
      <c r="AG23">
        <f>IF('Исходные данные'!$B$51="Да",AF23*N('Исходные данные'!$B$52),0)</f>
        <v>0</v>
      </c>
      <c r="AH23">
        <f t="shared" si="5"/>
        <v>0</v>
      </c>
      <c r="AI23">
        <f>AF23+(Расчёты!Y23-Расчёты!L23)</f>
        <v>0</v>
      </c>
      <c r="AJ23">
        <f t="shared" si="14"/>
        <v>0</v>
      </c>
      <c r="AK23">
        <f>IF('Исходные данные'!$B$51="Да",-MAX(0,AG23+Расчёты!R23+Расчёты!V23-Расчёты!P23-Расчёты!T23-AJ23),0)</f>
        <v>0</v>
      </c>
      <c r="AL23">
        <f>IF('Исходные данные'!$B$51="Да",MAX(0,AJ23+Расчёты!P23+Расчёты!T23-AG23-Расчёты!R23-Расчёты!V23),0)</f>
        <v>0</v>
      </c>
      <c r="AM23">
        <f>IF('Исходные данные'!$B$53="Выручка",MAX(0,AF23+(Расчёты!Q23-Расчёты!R23)+(Расчёты!U23-Расчёты!V23)),IF('Исходные данные'!$B$53="Прибыль до налога",MAX(0,AF23+(Расчёты!Q23-Расчёты!R23)+(Расчёты!U23-Расчёты!V23)+N('Исходные данные'!$B$54)*((Расчёты!O23+Расчёты!P23)+(Расчёты!S23+Расчёты!T23)+Расчёты!W23+Расчёты!X23)+IF('Исходные данные'!$B$55="Да",Расчёты!AG23,0)-N('Исходные данные'!$B$56)/12),IF('Исходные данные'!$B$53="Пользовательская база",MAX(0,N('Исходные данные'!$B$57)/12),0)))</f>
        <v>0</v>
      </c>
      <c r="AN23">
        <f>IF(D23=1,-AM23*N('Исходные данные'!$B$50),0)</f>
        <v>0</v>
      </c>
      <c r="AO23">
        <f t="shared" si="6"/>
        <v>0</v>
      </c>
      <c r="AP23">
        <f>IF(OR(D23&lt;&gt;1,B23="",'Исходные данные'!$B$91="",N('Исходные данные'!$B$80)&lt;=0,'Исходные данные'!$B$88=""),0,IF(AND(YEAR(B23)=YEAR('Исходные данные'!$B$91),MONTH(B23)=MONTH('Исходные данные'!$B$91)),MAX(0,IF('Исходные данные'!$B$88="Последние 12 месяцев",SUMIFS($AI$2:$AI$194,$B$2:$B$194,"&gt;="&amp;EDATE(B23,-11),$B$2:$B$194,"&lt;="&amp;B23),IF('Исходные данные'!$B$88="Пользовательский NOI",N('Исходные данные'!$B$89),AO23))/N('Исходные данные'!$B$80)*(1+N('Исходные данные'!$B$81))),0))</f>
        <v>0</v>
      </c>
      <c r="AQ23">
        <f>-AP23*N('Исходные данные'!$B$73)</f>
        <v>0</v>
      </c>
      <c r="AR23">
        <f>IF(AP23=0,0,-N('Исходные данные'!$B$87)-IF('Исходные данные'!$B$82="Да",IF('Исходные данные'!$B$84="С выручки",AP23,IF('Исходные данные'!$B$84="С прибыли",MAX(0,AP23+AQ23-IF('Исходные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3">
        <f t="shared" si="7"/>
        <v>0</v>
      </c>
      <c r="AT23">
        <f>IF(D23=1,Расчёты!AZ23+AH23+AK23+AN23+AS23,0)</f>
        <v>0</v>
      </c>
      <c r="AU23" t="str">
        <f t="shared" si="15"/>
        <v/>
      </c>
      <c r="AV23">
        <f>IF(OR(D23=0,'Исходные данные'!$B$9="",'Исходные данные'!$B$90=""),0,AT23/(1+'Исходные данные'!$B$90)^((C23-'Исходные данные'!$B$9)/365))</f>
        <v>0</v>
      </c>
      <c r="AW23">
        <f>IF(D23=1,AH23+Расчёты!O23+Расчёты!Q23+Расчёты!S23+Расчёты!U23+Расчёты!W23+Расчёты!X23+AK23+AN23,0)</f>
        <v>0</v>
      </c>
      <c r="AX23">
        <f>IF(AND(D23=1,AU23&gt;=0,AU22&lt;0,MIN($AU$2:AU23)&lt;0),1,0)</f>
        <v>0</v>
      </c>
      <c r="AY23">
        <f>IF(Расчёты!F23=0,0,IF(Расчёты!G23=1,N('Сценарный анализ'!$D$5),IF(Расчёты!G23=2,N('Сценарный анализ'!$D$6),IF(Расчёты!G23=3,N('Сценарный анализ'!$D$7),N('Сценарный анализ'!$D$7)*(1+N('Сценарный анализ'!$D$8))^(Расчёты!G23-3)))))</f>
        <v>0</v>
      </c>
      <c r="AZ23">
        <f>IF(OR(Расчёты!F23=0,N('Исходные данные'!$B$5)=0,AY23=0),0,N('Исходные данные'!$B$5)*AY23*IF(AND(B23&lt;='Исходные данные'!$B$30,Расчёты!C23&gt;='Исходные данные'!$B$30),(Расчёты!C23-'Исходные данные'!$B$30+1)/DAY(Расчёты!C23),1))</f>
        <v>0</v>
      </c>
      <c r="BA23">
        <f>IF(AND(Расчёты!F23&gt;0,Расчёты!F23&lt;=N('Исходные данные'!$B$37)),-AZ23,0)</f>
        <v>0</v>
      </c>
      <c r="BB23">
        <f>IF(OR(Расчёты!F23=0,Расчёты!F23&lt;=N('Исходные данные'!$B$37)),0,-(AZ23+BA23)*N('Сценарный анализ'!$D$9))</f>
        <v>0</v>
      </c>
      <c r="BC23">
        <f t="shared" si="8"/>
        <v>0</v>
      </c>
      <c r="BD23">
        <f>IF('Исходные данные'!$B$51="Да",BC23*N('Исходные данные'!$B$52),0)</f>
        <v>0</v>
      </c>
      <c r="BE23">
        <f t="shared" si="9"/>
        <v>0</v>
      </c>
      <c r="BF23">
        <f>BC23+(Расчёты!Y23-Расчёты!L23)</f>
        <v>0</v>
      </c>
      <c r="BG23">
        <f t="shared" si="16"/>
        <v>0</v>
      </c>
      <c r="BH23">
        <f>IF('Исходные данные'!$B$51="Да",-MAX(0,BD23+Расчёты!R23+Расчёты!V23-Расчёты!P23-Расчёты!T23-BG23),0)</f>
        <v>0</v>
      </c>
      <c r="BI23">
        <f>IF('Исходные данные'!$B$51="Да",MAX(0,BG23+Расчёты!P23+Расчёты!T23-BD23-Расчёты!R23-Расчёты!V23),0)</f>
        <v>0</v>
      </c>
      <c r="BJ23">
        <f>IF('Исходные данные'!$B$53="Выручка",MAX(0,BC23+(Расчёты!Q23-Расчёты!R23)+(Расчёты!U23-Расчёты!V23)),IF('Исходные данные'!$B$53="Прибыль до налога",MAX(0,BC23+(Расчёты!Q23-Расчёты!R23)+(Расчёты!U23-Расчёты!V23)+N('Исходные данные'!$B$54)*((Расчёты!O23+Расчёты!P23)+(Расчёты!S23+Расчёты!T23)+Расчёты!W23+Расчёты!X23)+IF('Исходные данные'!$B$55="Да",Расчёты!AG23,0)-N('Исходные данные'!$B$56)/12),IF('Исходные данные'!$B$53="Пользовательская база",MAX(0,N('Исходные данные'!$B$57)/12),0)))</f>
        <v>0</v>
      </c>
      <c r="BK23">
        <f>IF(D23=1,-BJ23*N('Исходные данные'!$B$50),0)</f>
        <v>0</v>
      </c>
      <c r="BL23">
        <f t="shared" si="10"/>
        <v>0</v>
      </c>
      <c r="BM23">
        <f>IF(OR(D23&lt;&gt;1,B23="",'Исходные данные'!$B$91="",N('Исходные данные'!$B$80)&lt;=0,'Исходные данные'!$B$88=""),0,IF(AND(YEAR(B23)=YEAR('Исходные данные'!$B$91),MONTH(B23)=MONTH('Исходные данные'!$B$91)),MAX(0,IF('Исходные данные'!$B$88="Последние 12 месяцев",SUMIFS($BF$2:$BF$194,$B$2:$B$194,"&gt;="&amp;EDATE(B23,-11),$B$2:$B$194,"&lt;="&amp;B23),IF('Исходные данные'!$B$88="Пользовательский NOI",N('Исходные данные'!$B$89),BL23))/N('Исходные данные'!$B$80)*(1+N('Исходные данные'!$B$81))),0))</f>
        <v>0</v>
      </c>
      <c r="BN23">
        <f>-BM23*N('Исходные данные'!$B$73)</f>
        <v>0</v>
      </c>
      <c r="BO23">
        <f>IF(BM23=0,0,-N('Исходные данные'!$B$87)-IF('Исходные данные'!$B$82="Да",IF('Исходные данные'!$B$84="С выручки",BM23,IF('Исходные данные'!$B$84="С прибыли",MAX(0,BM23+BN23-IF('Исходные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3">
        <f t="shared" si="11"/>
        <v>0</v>
      </c>
      <c r="BQ23">
        <f>IF(D23=1,Расчёты!AZ23+BE23+BH23+BK23+BP23,0)</f>
        <v>0</v>
      </c>
      <c r="BR23" t="str">
        <f t="shared" si="17"/>
        <v/>
      </c>
      <c r="BS23">
        <f>IF(OR(D23=0,'Исходные данные'!$B$9="",'Исходные данные'!$B$90=""),0,BQ23/(1+'Исходные данные'!$B$90)^((C23-'Исходные данные'!$B$9)/365))</f>
        <v>0</v>
      </c>
      <c r="BT23">
        <f>IF(D23=1,BE23+Расчёты!O23+Расчёты!Q23+Расчёты!S23+Расчёты!U23+Расчёты!W23+Расчёты!X23+BH23+BK23,0)</f>
        <v>0</v>
      </c>
      <c r="BU23">
        <f>IF(AND(D23=1,BR23&gt;=0,BR22&lt;0,MIN($BR$2:BR23)&lt;0),1,0)</f>
        <v>0</v>
      </c>
      <c r="BV23">
        <f>Расчёты!AZ23+K23+N23-P23*N('Исходные данные'!$B$50)</f>
        <v>0</v>
      </c>
      <c r="BW23">
        <f t="shared" si="18"/>
        <v>0</v>
      </c>
      <c r="BX23">
        <f>IF(AND(BW23&gt;=0,BW22&lt;0,MIN($BW$2:BW23)&lt;0),1,0)</f>
        <v>0</v>
      </c>
      <c r="BY23">
        <f>Расчёты!AZ23+AH23+AK23-AM23*N('Исходные данные'!$B$50)</f>
        <v>0</v>
      </c>
      <c r="BZ23">
        <f t="shared" si="19"/>
        <v>0</v>
      </c>
      <c r="CA23">
        <f>IF(AND(BZ23&gt;=0,BZ22&lt;0,MIN($BZ$2:BZ23)&lt;0),1,0)</f>
        <v>0</v>
      </c>
      <c r="CB23">
        <f>Расчёты!AZ23+BE23+BH23-BJ23*N('Исходные данные'!$B$50)</f>
        <v>0</v>
      </c>
      <c r="CC23">
        <f t="shared" si="20"/>
        <v>0</v>
      </c>
      <c r="CD23">
        <f>IF(AND(CC23&gt;=0,CC22&lt;0,MIN($CC$2:CC23)&lt;0),1,0)</f>
        <v>0</v>
      </c>
    </row>
    <row r="24" spans="1:82" x14ac:dyDescent="0.2">
      <c r="A24">
        <f>Расчёты!A24</f>
        <v>23</v>
      </c>
      <c r="B24" t="str">
        <f>Расчёты!B24</f>
        <v/>
      </c>
      <c r="C24" t="str">
        <f>Расчёты!D24</f>
        <v/>
      </c>
      <c r="D24">
        <f>Расчёты!E24</f>
        <v>0</v>
      </c>
      <c r="E24">
        <f>IF(Расчёты!F24=0,0,IF(Расчёты!G24=1,N('Сценарный анализ'!$B$5),IF(Расчёты!G24=2,N('Сценарный анализ'!$B$6),IF(Расчёты!G24=3,N('Сценарный анализ'!$B$7),N('Сценарный анализ'!$B$7)*(1+N('Сценарный анализ'!$B$8))^(Расчёты!G24-3)))))</f>
        <v>0</v>
      </c>
      <c r="F24">
        <f>IF(OR(Расчёты!F24=0,N('Исходные данные'!$B$5)=0,E24=0),0,N('Исходные данные'!$B$5)*E24*IF(AND(B24&lt;='Исходные данные'!$B$30,Расчёты!C24&gt;='Исходные данные'!$B$30),(Расчёты!C24-'Исходные данные'!$B$30+1)/DAY(Расчёты!C24),1))</f>
        <v>0</v>
      </c>
      <c r="G24">
        <f>IF(AND(Расчёты!F24&gt;0,Расчёты!F24&lt;=N('Исходные данные'!$B$37)),-F24,0)</f>
        <v>0</v>
      </c>
      <c r="H24">
        <f>IF(OR(Расчёты!F24=0,Расчёты!F24&lt;=N('Исходные данные'!$B$37)),0,-(F24+G24)*N('Сценарный анализ'!$B$9))</f>
        <v>0</v>
      </c>
      <c r="I24">
        <f t="shared" si="0"/>
        <v>0</v>
      </c>
      <c r="J24">
        <f>IF('Исходные данные'!$B$51="Да",I24*N('Исходные данные'!$B$52),0)</f>
        <v>0</v>
      </c>
      <c r="K24">
        <f t="shared" si="1"/>
        <v>0</v>
      </c>
      <c r="L24">
        <f>I24+(Расчёты!Y24-Расчёты!L24)</f>
        <v>0</v>
      </c>
      <c r="M24">
        <f t="shared" si="12"/>
        <v>0</v>
      </c>
      <c r="N24">
        <f>IF('Исходные данные'!$B$51="Да",-MAX(0,J24+Расчёты!R24+Расчёты!V24-Расчёты!P24-Расчёты!T24-M24),0)</f>
        <v>0</v>
      </c>
      <c r="O24">
        <f>IF('Исходные данные'!$B$51="Да",MAX(0,M24+Расчёты!P24+Расчёты!T24-J24-Расчёты!R24-Расчёты!V24),0)</f>
        <v>0</v>
      </c>
      <c r="P24">
        <f>IF('Исходные данные'!$B$53="Выручка",MAX(0,I24+(Расчёты!Q24-Расчёты!R24)+(Расчёты!U24-Расчёты!V24)),IF('Исходные данные'!$B$53="Прибыль до налога",MAX(0,I24+(Расчёты!Q24-Расчёты!R24)+(Расчёты!U24-Расчёты!V24)+N('Исходные данные'!$B$54)*((Расчёты!O24+Расчёты!P24)+(Расчёты!S24+Расчёты!T24)+Расчёты!W24+Расчёты!X24)+IF('Исходные данные'!$B$55="Да",Расчёты!AG24,0)-N('Исходные данные'!$B$56)/12),IF('Исходные данные'!$B$53="Пользовательская база",MAX(0,N('Исходные данные'!$B$57)/12),0)))</f>
        <v>0</v>
      </c>
      <c r="Q24">
        <f>IF(D24=1,-P24*N('Исходные данные'!$B$50),0)</f>
        <v>0</v>
      </c>
      <c r="R24">
        <f t="shared" si="2"/>
        <v>0</v>
      </c>
      <c r="S24">
        <f>IF(OR(D24&lt;&gt;1,B24="",'Исходные данные'!$B$91="",N('Исходные данные'!$B$80)&lt;=0,'Исходные данные'!$B$88=""),0,IF(AND(YEAR(B24)=YEAR('Исходные данные'!$B$91),MONTH(B24)=MONTH('Исходные данные'!$B$91)),MAX(0,IF('Исходные данные'!$B$88="Последние 12 месяцев",SUMIFS($L$2:$L$194,$B$2:$B$194,"&gt;="&amp;EDATE(B24,-11),$B$2:$B$194,"&lt;="&amp;B24),IF('Исходные данные'!$B$88="Пользовательский NOI",N('Исходные данные'!$B$89),R24))/N('Исходные данные'!$B$80)*(1+N('Исходные данные'!$B$81))),0))</f>
        <v>0</v>
      </c>
      <c r="T24">
        <f>-S24*N('Исходные данные'!$B$73)</f>
        <v>0</v>
      </c>
      <c r="U24">
        <f>IF(S24=0,0,-N('Исходные данные'!$B$87)-IF('Исходные данные'!$B$82="Да",IF('Исходные данные'!$B$84="С выручки",S24,IF('Исходные данные'!$B$84="С прибыли",MAX(0,S24+T24-IF('Исходные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4">
        <f t="shared" si="3"/>
        <v>0</v>
      </c>
      <c r="W24">
        <f>IF(D24=1,Расчёты!AZ24+K24+N24+Q24+V24,0)</f>
        <v>0</v>
      </c>
      <c r="X24" t="str">
        <f t="shared" si="13"/>
        <v/>
      </c>
      <c r="Y24">
        <f>IF(OR(D24=0,'Исходные данные'!$B$9="",'Исходные данные'!$B$90=""),0,W24/(1+'Исходные данные'!$B$90)^((C24-'Исходные данные'!$B$9)/365))</f>
        <v>0</v>
      </c>
      <c r="Z24">
        <f>IF(D24=1,K24+Расчёты!O24+Расчёты!Q24+Расчёты!S24+Расчёты!U24+Расчёты!W24+Расчёты!X24+N24+Q24,0)</f>
        <v>0</v>
      </c>
      <c r="AA24">
        <f>IF(AND(D24=1,X24&gt;=0,X23&lt;0,MIN($X$2:X24)&lt;0),1,0)</f>
        <v>0</v>
      </c>
      <c r="AB24">
        <f>IF(Расчёты!F24=0,0,IF(Расчёты!G24=1,N('Сценарный анализ'!$C$5),IF(Расчёты!G24=2,N('Сценарный анализ'!$C$6),IF(Расчёты!G24=3,N('Сценарный анализ'!$C$7),N('Сценарный анализ'!$C$7)*(1+N('Сценарный анализ'!$C$8))^(Расчёты!G24-3)))))</f>
        <v>0</v>
      </c>
      <c r="AC24">
        <f>IF(OR(Расчёты!F24=0,N('Исходные данные'!$B$5)=0,AB24=0),0,N('Исходные данные'!$B$5)*AB24*IF(AND(B24&lt;='Исходные данные'!$B$30,Расчёты!C24&gt;='Исходные данные'!$B$30),(Расчёты!C24-'Исходные данные'!$B$30+1)/DAY(Расчёты!C24),1))</f>
        <v>0</v>
      </c>
      <c r="AD24">
        <f>IF(AND(Расчёты!F24&gt;0,Расчёты!F24&lt;=N('Исходные данные'!$B$37)),-AC24,0)</f>
        <v>0</v>
      </c>
      <c r="AE24">
        <f>IF(OR(Расчёты!F24=0,Расчёты!F24&lt;=N('Исходные данные'!$B$37)),0,-(AC24+AD24)*N('Сценарный анализ'!$C$9))</f>
        <v>0</v>
      </c>
      <c r="AF24">
        <f t="shared" si="4"/>
        <v>0</v>
      </c>
      <c r="AG24">
        <f>IF('Исходные данные'!$B$51="Да",AF24*N('Исходные данные'!$B$52),0)</f>
        <v>0</v>
      </c>
      <c r="AH24">
        <f t="shared" si="5"/>
        <v>0</v>
      </c>
      <c r="AI24">
        <f>AF24+(Расчёты!Y24-Расчёты!L24)</f>
        <v>0</v>
      </c>
      <c r="AJ24">
        <f t="shared" si="14"/>
        <v>0</v>
      </c>
      <c r="AK24">
        <f>IF('Исходные данные'!$B$51="Да",-MAX(0,AG24+Расчёты!R24+Расчёты!V24-Расчёты!P24-Расчёты!T24-AJ24),0)</f>
        <v>0</v>
      </c>
      <c r="AL24">
        <f>IF('Исходные данные'!$B$51="Да",MAX(0,AJ24+Расчёты!P24+Расчёты!T24-AG24-Расчёты!R24-Расчёты!V24),0)</f>
        <v>0</v>
      </c>
      <c r="AM24">
        <f>IF('Исходные данные'!$B$53="Выручка",MAX(0,AF24+(Расчёты!Q24-Расчёты!R24)+(Расчёты!U24-Расчёты!V24)),IF('Исходные данные'!$B$53="Прибыль до налога",MAX(0,AF24+(Расчёты!Q24-Расчёты!R24)+(Расчёты!U24-Расчёты!V24)+N('Исходные данные'!$B$54)*((Расчёты!O24+Расчёты!P24)+(Расчёты!S24+Расчёты!T24)+Расчёты!W24+Расчёты!X24)+IF('Исходные данные'!$B$55="Да",Расчёты!AG24,0)-N('Исходные данные'!$B$56)/12),IF('Исходные данные'!$B$53="Пользовательская база",MAX(0,N('Исходные данные'!$B$57)/12),0)))</f>
        <v>0</v>
      </c>
      <c r="AN24">
        <f>IF(D24=1,-AM24*N('Исходные данные'!$B$50),0)</f>
        <v>0</v>
      </c>
      <c r="AO24">
        <f t="shared" si="6"/>
        <v>0</v>
      </c>
      <c r="AP24">
        <f>IF(OR(D24&lt;&gt;1,B24="",'Исходные данные'!$B$91="",N('Исходные данные'!$B$80)&lt;=0,'Исходные данные'!$B$88=""),0,IF(AND(YEAR(B24)=YEAR('Исходные данные'!$B$91),MONTH(B24)=MONTH('Исходные данные'!$B$91)),MAX(0,IF('Исходные данные'!$B$88="Последние 12 месяцев",SUMIFS($AI$2:$AI$194,$B$2:$B$194,"&gt;="&amp;EDATE(B24,-11),$B$2:$B$194,"&lt;="&amp;B24),IF('Исходные данные'!$B$88="Пользовательский NOI",N('Исходные данные'!$B$89),AO24))/N('Исходные данные'!$B$80)*(1+N('Исходные данные'!$B$81))),0))</f>
        <v>0</v>
      </c>
      <c r="AQ24">
        <f>-AP24*N('Исходные данные'!$B$73)</f>
        <v>0</v>
      </c>
      <c r="AR24">
        <f>IF(AP24=0,0,-N('Исходные данные'!$B$87)-IF('Исходные данные'!$B$82="Да",IF('Исходные данные'!$B$84="С выручки",AP24,IF('Исходные данные'!$B$84="С прибыли",MAX(0,AP24+AQ24-IF('Исходные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4">
        <f t="shared" si="7"/>
        <v>0</v>
      </c>
      <c r="AT24">
        <f>IF(D24=1,Расчёты!AZ24+AH24+AK24+AN24+AS24,0)</f>
        <v>0</v>
      </c>
      <c r="AU24" t="str">
        <f t="shared" si="15"/>
        <v/>
      </c>
      <c r="AV24">
        <f>IF(OR(D24=0,'Исходные данные'!$B$9="",'Исходные данные'!$B$90=""),0,AT24/(1+'Исходные данные'!$B$90)^((C24-'Исходные данные'!$B$9)/365))</f>
        <v>0</v>
      </c>
      <c r="AW24">
        <f>IF(D24=1,AH24+Расчёты!O24+Расчёты!Q24+Расчёты!S24+Расчёты!U24+Расчёты!W24+Расчёты!X24+AK24+AN24,0)</f>
        <v>0</v>
      </c>
      <c r="AX24">
        <f>IF(AND(D24=1,AU24&gt;=0,AU23&lt;0,MIN($AU$2:AU24)&lt;0),1,0)</f>
        <v>0</v>
      </c>
      <c r="AY24">
        <f>IF(Расчёты!F24=0,0,IF(Расчёты!G24=1,N('Сценарный анализ'!$D$5),IF(Расчёты!G24=2,N('Сценарный анализ'!$D$6),IF(Расчёты!G24=3,N('Сценарный анализ'!$D$7),N('Сценарный анализ'!$D$7)*(1+N('Сценарный анализ'!$D$8))^(Расчёты!G24-3)))))</f>
        <v>0</v>
      </c>
      <c r="AZ24">
        <f>IF(OR(Расчёты!F24=0,N('Исходные данные'!$B$5)=0,AY24=0),0,N('Исходные данные'!$B$5)*AY24*IF(AND(B24&lt;='Исходные данные'!$B$30,Расчёты!C24&gt;='Исходные данные'!$B$30),(Расчёты!C24-'Исходные данные'!$B$30+1)/DAY(Расчёты!C24),1))</f>
        <v>0</v>
      </c>
      <c r="BA24">
        <f>IF(AND(Расчёты!F24&gt;0,Расчёты!F24&lt;=N('Исходные данные'!$B$37)),-AZ24,0)</f>
        <v>0</v>
      </c>
      <c r="BB24">
        <f>IF(OR(Расчёты!F24=0,Расчёты!F24&lt;=N('Исходные данные'!$B$37)),0,-(AZ24+BA24)*N('Сценарный анализ'!$D$9))</f>
        <v>0</v>
      </c>
      <c r="BC24">
        <f t="shared" si="8"/>
        <v>0</v>
      </c>
      <c r="BD24">
        <f>IF('Исходные данные'!$B$51="Да",BC24*N('Исходные данные'!$B$52),0)</f>
        <v>0</v>
      </c>
      <c r="BE24">
        <f t="shared" si="9"/>
        <v>0</v>
      </c>
      <c r="BF24">
        <f>BC24+(Расчёты!Y24-Расчёты!L24)</f>
        <v>0</v>
      </c>
      <c r="BG24">
        <f t="shared" si="16"/>
        <v>0</v>
      </c>
      <c r="BH24">
        <f>IF('Исходные данные'!$B$51="Да",-MAX(0,BD24+Расчёты!R24+Расчёты!V24-Расчёты!P24-Расчёты!T24-BG24),0)</f>
        <v>0</v>
      </c>
      <c r="BI24">
        <f>IF('Исходные данные'!$B$51="Да",MAX(0,BG24+Расчёты!P24+Расчёты!T24-BD24-Расчёты!R24-Расчёты!V24),0)</f>
        <v>0</v>
      </c>
      <c r="BJ24">
        <f>IF('Исходные данные'!$B$53="Выручка",MAX(0,BC24+(Расчёты!Q24-Расчёты!R24)+(Расчёты!U24-Расчёты!V24)),IF('Исходные данные'!$B$53="Прибыль до налога",MAX(0,BC24+(Расчёты!Q24-Расчёты!R24)+(Расчёты!U24-Расчёты!V24)+N('Исходные данные'!$B$54)*((Расчёты!O24+Расчёты!P24)+(Расчёты!S24+Расчёты!T24)+Расчёты!W24+Расчёты!X24)+IF('Исходные данные'!$B$55="Да",Расчёты!AG24,0)-N('Исходные данные'!$B$56)/12),IF('Исходные данные'!$B$53="Пользовательская база",MAX(0,N('Исходные данные'!$B$57)/12),0)))</f>
        <v>0</v>
      </c>
      <c r="BK24">
        <f>IF(D24=1,-BJ24*N('Исходные данные'!$B$50),0)</f>
        <v>0</v>
      </c>
      <c r="BL24">
        <f t="shared" si="10"/>
        <v>0</v>
      </c>
      <c r="BM24">
        <f>IF(OR(D24&lt;&gt;1,B24="",'Исходные данные'!$B$91="",N('Исходные данные'!$B$80)&lt;=0,'Исходные данные'!$B$88=""),0,IF(AND(YEAR(B24)=YEAR('Исходные данные'!$B$91),MONTH(B24)=MONTH('Исходные данные'!$B$91)),MAX(0,IF('Исходные данные'!$B$88="Последние 12 месяцев",SUMIFS($BF$2:$BF$194,$B$2:$B$194,"&gt;="&amp;EDATE(B24,-11),$B$2:$B$194,"&lt;="&amp;B24),IF('Исходные данные'!$B$88="Пользовательский NOI",N('Исходные данные'!$B$89),BL24))/N('Исходные данные'!$B$80)*(1+N('Исходные данные'!$B$81))),0))</f>
        <v>0</v>
      </c>
      <c r="BN24">
        <f>-BM24*N('Исходные данные'!$B$73)</f>
        <v>0</v>
      </c>
      <c r="BO24">
        <f>IF(BM24=0,0,-N('Исходные данные'!$B$87)-IF('Исходные данные'!$B$82="Да",IF('Исходные данные'!$B$84="С выручки",BM24,IF('Исходные данные'!$B$84="С прибыли",MAX(0,BM24+BN24-IF('Исходные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4">
        <f t="shared" si="11"/>
        <v>0</v>
      </c>
      <c r="BQ24">
        <f>IF(D24=1,Расчёты!AZ24+BE24+BH24+BK24+BP24,0)</f>
        <v>0</v>
      </c>
      <c r="BR24" t="str">
        <f t="shared" si="17"/>
        <v/>
      </c>
      <c r="BS24">
        <f>IF(OR(D24=0,'Исходные данные'!$B$9="",'Исходные данные'!$B$90=""),0,BQ24/(1+'Исходные данные'!$B$90)^((C24-'Исходные данные'!$B$9)/365))</f>
        <v>0</v>
      </c>
      <c r="BT24">
        <f>IF(D24=1,BE24+Расчёты!O24+Расчёты!Q24+Расчёты!S24+Расчёты!U24+Расчёты!W24+Расчёты!X24+BH24+BK24,0)</f>
        <v>0</v>
      </c>
      <c r="BU24">
        <f>IF(AND(D24=1,BR24&gt;=0,BR23&lt;0,MIN($BR$2:BR24)&lt;0),1,0)</f>
        <v>0</v>
      </c>
      <c r="BV24">
        <f>Расчёты!AZ24+K24+N24-P24*N('Исходные данные'!$B$50)</f>
        <v>0</v>
      </c>
      <c r="BW24">
        <f t="shared" si="18"/>
        <v>0</v>
      </c>
      <c r="BX24">
        <f>IF(AND(BW24&gt;=0,BW23&lt;0,MIN($BW$2:BW24)&lt;0),1,0)</f>
        <v>0</v>
      </c>
      <c r="BY24">
        <f>Расчёты!AZ24+AH24+AK24-AM24*N('Исходные данные'!$B$50)</f>
        <v>0</v>
      </c>
      <c r="BZ24">
        <f t="shared" si="19"/>
        <v>0</v>
      </c>
      <c r="CA24">
        <f>IF(AND(BZ24&gt;=0,BZ23&lt;0,MIN($BZ$2:BZ24)&lt;0),1,0)</f>
        <v>0</v>
      </c>
      <c r="CB24">
        <f>Расчёты!AZ24+BE24+BH24-BJ24*N('Исходные данные'!$B$50)</f>
        <v>0</v>
      </c>
      <c r="CC24">
        <f t="shared" si="20"/>
        <v>0</v>
      </c>
      <c r="CD24">
        <f>IF(AND(CC24&gt;=0,CC23&lt;0,MIN($CC$2:CC24)&lt;0),1,0)</f>
        <v>0</v>
      </c>
    </row>
    <row r="25" spans="1:82" x14ac:dyDescent="0.2">
      <c r="A25">
        <f>Расчёты!A25</f>
        <v>24</v>
      </c>
      <c r="B25" t="str">
        <f>Расчёты!B25</f>
        <v/>
      </c>
      <c r="C25" t="str">
        <f>Расчёты!D25</f>
        <v/>
      </c>
      <c r="D25">
        <f>Расчёты!E25</f>
        <v>0</v>
      </c>
      <c r="E25">
        <f>IF(Расчёты!F25=0,0,IF(Расчёты!G25=1,N('Сценарный анализ'!$B$5),IF(Расчёты!G25=2,N('Сценарный анализ'!$B$6),IF(Расчёты!G25=3,N('Сценарный анализ'!$B$7),N('Сценарный анализ'!$B$7)*(1+N('Сценарный анализ'!$B$8))^(Расчёты!G25-3)))))</f>
        <v>0</v>
      </c>
      <c r="F25">
        <f>IF(OR(Расчёты!F25=0,N('Исходные данные'!$B$5)=0,E25=0),0,N('Исходные данные'!$B$5)*E25*IF(AND(B25&lt;='Исходные данные'!$B$30,Расчёты!C25&gt;='Исходные данные'!$B$30),(Расчёты!C25-'Исходные данные'!$B$30+1)/DAY(Расчёты!C25),1))</f>
        <v>0</v>
      </c>
      <c r="G25">
        <f>IF(AND(Расчёты!F25&gt;0,Расчёты!F25&lt;=N('Исходные данные'!$B$37)),-F25,0)</f>
        <v>0</v>
      </c>
      <c r="H25">
        <f>IF(OR(Расчёты!F25=0,Расчёты!F25&lt;=N('Исходные данные'!$B$37)),0,-(F25+G25)*N('Сценарный анализ'!$B$9))</f>
        <v>0</v>
      </c>
      <c r="I25">
        <f t="shared" si="0"/>
        <v>0</v>
      </c>
      <c r="J25">
        <f>IF('Исходные данные'!$B$51="Да",I25*N('Исходные данные'!$B$52),0)</f>
        <v>0</v>
      </c>
      <c r="K25">
        <f t="shared" si="1"/>
        <v>0</v>
      </c>
      <c r="L25">
        <f>I25+(Расчёты!Y25-Расчёты!L25)</f>
        <v>0</v>
      </c>
      <c r="M25">
        <f t="shared" si="12"/>
        <v>0</v>
      </c>
      <c r="N25">
        <f>IF('Исходные данные'!$B$51="Да",-MAX(0,J25+Расчёты!R25+Расчёты!V25-Расчёты!P25-Расчёты!T25-M25),0)</f>
        <v>0</v>
      </c>
      <c r="O25">
        <f>IF('Исходные данные'!$B$51="Да",MAX(0,M25+Расчёты!P25+Расчёты!T25-J25-Расчёты!R25-Расчёты!V25),0)</f>
        <v>0</v>
      </c>
      <c r="P25">
        <f>IF('Исходные данные'!$B$53="Выручка",MAX(0,I25+(Расчёты!Q25-Расчёты!R25)+(Расчёты!U25-Расчёты!V25)),IF('Исходные данные'!$B$53="Прибыль до налога",MAX(0,I25+(Расчёты!Q25-Расчёты!R25)+(Расчёты!U25-Расчёты!V25)+N('Исходные данные'!$B$54)*((Расчёты!O25+Расчёты!P25)+(Расчёты!S25+Расчёты!T25)+Расчёты!W25+Расчёты!X25)+IF('Исходные данные'!$B$55="Да",Расчёты!AG25,0)-N('Исходные данные'!$B$56)/12),IF('Исходные данные'!$B$53="Пользовательская база",MAX(0,N('Исходные данные'!$B$57)/12),0)))</f>
        <v>0</v>
      </c>
      <c r="Q25">
        <f>IF(D25=1,-P25*N('Исходные данные'!$B$50),0)</f>
        <v>0</v>
      </c>
      <c r="R25">
        <f t="shared" si="2"/>
        <v>0</v>
      </c>
      <c r="S25">
        <f>IF(OR(D25&lt;&gt;1,B25="",'Исходные данные'!$B$91="",N('Исходные данные'!$B$80)&lt;=0,'Исходные данные'!$B$88=""),0,IF(AND(YEAR(B25)=YEAR('Исходные данные'!$B$91),MONTH(B25)=MONTH('Исходные данные'!$B$91)),MAX(0,IF('Исходные данные'!$B$88="Последние 12 месяцев",SUMIFS($L$2:$L$194,$B$2:$B$194,"&gt;="&amp;EDATE(B25,-11),$B$2:$B$194,"&lt;="&amp;B25),IF('Исходные данные'!$B$88="Пользовательский NOI",N('Исходные данные'!$B$89),R25))/N('Исходные данные'!$B$80)*(1+N('Исходные данные'!$B$81))),0))</f>
        <v>0</v>
      </c>
      <c r="T25">
        <f>-S25*N('Исходные данные'!$B$73)</f>
        <v>0</v>
      </c>
      <c r="U25">
        <f>IF(S25=0,0,-N('Исходные данные'!$B$87)-IF('Исходные данные'!$B$82="Да",IF('Исходные данные'!$B$84="С выручки",S25,IF('Исходные данные'!$B$84="С прибыли",MAX(0,S25+T25-IF('Исходные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5">
        <f t="shared" si="3"/>
        <v>0</v>
      </c>
      <c r="W25">
        <f>IF(D25=1,Расчёты!AZ25+K25+N25+Q25+V25,0)</f>
        <v>0</v>
      </c>
      <c r="X25" t="str">
        <f t="shared" si="13"/>
        <v/>
      </c>
      <c r="Y25">
        <f>IF(OR(D25=0,'Исходные данные'!$B$9="",'Исходные данные'!$B$90=""),0,W25/(1+'Исходные данные'!$B$90)^((C25-'Исходные данные'!$B$9)/365))</f>
        <v>0</v>
      </c>
      <c r="Z25">
        <f>IF(D25=1,K25+Расчёты!O25+Расчёты!Q25+Расчёты!S25+Расчёты!U25+Расчёты!W25+Расчёты!X25+N25+Q25,0)</f>
        <v>0</v>
      </c>
      <c r="AA25">
        <f>IF(AND(D25=1,X25&gt;=0,X24&lt;0,MIN($X$2:X25)&lt;0),1,0)</f>
        <v>0</v>
      </c>
      <c r="AB25">
        <f>IF(Расчёты!F25=0,0,IF(Расчёты!G25=1,N('Сценарный анализ'!$C$5),IF(Расчёты!G25=2,N('Сценарный анализ'!$C$6),IF(Расчёты!G25=3,N('Сценарный анализ'!$C$7),N('Сценарный анализ'!$C$7)*(1+N('Сценарный анализ'!$C$8))^(Расчёты!G25-3)))))</f>
        <v>0</v>
      </c>
      <c r="AC25">
        <f>IF(OR(Расчёты!F25=0,N('Исходные данные'!$B$5)=0,AB25=0),0,N('Исходные данные'!$B$5)*AB25*IF(AND(B25&lt;='Исходные данные'!$B$30,Расчёты!C25&gt;='Исходные данные'!$B$30),(Расчёты!C25-'Исходные данные'!$B$30+1)/DAY(Расчёты!C25),1))</f>
        <v>0</v>
      </c>
      <c r="AD25">
        <f>IF(AND(Расчёты!F25&gt;0,Расчёты!F25&lt;=N('Исходные данные'!$B$37)),-AC25,0)</f>
        <v>0</v>
      </c>
      <c r="AE25">
        <f>IF(OR(Расчёты!F25=0,Расчёты!F25&lt;=N('Исходные данные'!$B$37)),0,-(AC25+AD25)*N('Сценарный анализ'!$C$9))</f>
        <v>0</v>
      </c>
      <c r="AF25">
        <f t="shared" si="4"/>
        <v>0</v>
      </c>
      <c r="AG25">
        <f>IF('Исходные данные'!$B$51="Да",AF25*N('Исходные данные'!$B$52),0)</f>
        <v>0</v>
      </c>
      <c r="AH25">
        <f t="shared" si="5"/>
        <v>0</v>
      </c>
      <c r="AI25">
        <f>AF25+(Расчёты!Y25-Расчёты!L25)</f>
        <v>0</v>
      </c>
      <c r="AJ25">
        <f t="shared" si="14"/>
        <v>0</v>
      </c>
      <c r="AK25">
        <f>IF('Исходные данные'!$B$51="Да",-MAX(0,AG25+Расчёты!R25+Расчёты!V25-Расчёты!P25-Расчёты!T25-AJ25),0)</f>
        <v>0</v>
      </c>
      <c r="AL25">
        <f>IF('Исходные данные'!$B$51="Да",MAX(0,AJ25+Расчёты!P25+Расчёты!T25-AG25-Расчёты!R25-Расчёты!V25),0)</f>
        <v>0</v>
      </c>
      <c r="AM25">
        <f>IF('Исходные данные'!$B$53="Выручка",MAX(0,AF25+(Расчёты!Q25-Расчёты!R25)+(Расчёты!U25-Расчёты!V25)),IF('Исходные данные'!$B$53="Прибыль до налога",MAX(0,AF25+(Расчёты!Q25-Расчёты!R25)+(Расчёты!U25-Расчёты!V25)+N('Исходные данные'!$B$54)*((Расчёты!O25+Расчёты!P25)+(Расчёты!S25+Расчёты!T25)+Расчёты!W25+Расчёты!X25)+IF('Исходные данные'!$B$55="Да",Расчёты!AG25,0)-N('Исходные данные'!$B$56)/12),IF('Исходные данные'!$B$53="Пользовательская база",MAX(0,N('Исходные данные'!$B$57)/12),0)))</f>
        <v>0</v>
      </c>
      <c r="AN25">
        <f>IF(D25=1,-AM25*N('Исходные данные'!$B$50),0)</f>
        <v>0</v>
      </c>
      <c r="AO25">
        <f t="shared" si="6"/>
        <v>0</v>
      </c>
      <c r="AP25">
        <f>IF(OR(D25&lt;&gt;1,B25="",'Исходные данные'!$B$91="",N('Исходные данные'!$B$80)&lt;=0,'Исходные данные'!$B$88=""),0,IF(AND(YEAR(B25)=YEAR('Исходные данные'!$B$91),MONTH(B25)=MONTH('Исходные данные'!$B$91)),MAX(0,IF('Исходные данные'!$B$88="Последние 12 месяцев",SUMIFS($AI$2:$AI$194,$B$2:$B$194,"&gt;="&amp;EDATE(B25,-11),$B$2:$B$194,"&lt;="&amp;B25),IF('Исходные данные'!$B$88="Пользовательский NOI",N('Исходные данные'!$B$89),AO25))/N('Исходные данные'!$B$80)*(1+N('Исходные данные'!$B$81))),0))</f>
        <v>0</v>
      </c>
      <c r="AQ25">
        <f>-AP25*N('Исходные данные'!$B$73)</f>
        <v>0</v>
      </c>
      <c r="AR25">
        <f>IF(AP25=0,0,-N('Исходные данные'!$B$87)-IF('Исходные данные'!$B$82="Да",IF('Исходные данные'!$B$84="С выручки",AP25,IF('Исходные данные'!$B$84="С прибыли",MAX(0,AP25+AQ25-IF('Исходные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5">
        <f t="shared" si="7"/>
        <v>0</v>
      </c>
      <c r="AT25">
        <f>IF(D25=1,Расчёты!AZ25+AH25+AK25+AN25+AS25,0)</f>
        <v>0</v>
      </c>
      <c r="AU25" t="str">
        <f t="shared" si="15"/>
        <v/>
      </c>
      <c r="AV25">
        <f>IF(OR(D25=0,'Исходные данные'!$B$9="",'Исходные данные'!$B$90=""),0,AT25/(1+'Исходные данные'!$B$90)^((C25-'Исходные данные'!$B$9)/365))</f>
        <v>0</v>
      </c>
      <c r="AW25">
        <f>IF(D25=1,AH25+Расчёты!O25+Расчёты!Q25+Расчёты!S25+Расчёты!U25+Расчёты!W25+Расчёты!X25+AK25+AN25,0)</f>
        <v>0</v>
      </c>
      <c r="AX25">
        <f>IF(AND(D25=1,AU25&gt;=0,AU24&lt;0,MIN($AU$2:AU25)&lt;0),1,0)</f>
        <v>0</v>
      </c>
      <c r="AY25">
        <f>IF(Расчёты!F25=0,0,IF(Расчёты!G25=1,N('Сценарный анализ'!$D$5),IF(Расчёты!G25=2,N('Сценарный анализ'!$D$6),IF(Расчёты!G25=3,N('Сценарный анализ'!$D$7),N('Сценарный анализ'!$D$7)*(1+N('Сценарный анализ'!$D$8))^(Расчёты!G25-3)))))</f>
        <v>0</v>
      </c>
      <c r="AZ25">
        <f>IF(OR(Расчёты!F25=0,N('Исходные данные'!$B$5)=0,AY25=0),0,N('Исходные данные'!$B$5)*AY25*IF(AND(B25&lt;='Исходные данные'!$B$30,Расчёты!C25&gt;='Исходные данные'!$B$30),(Расчёты!C25-'Исходные данные'!$B$30+1)/DAY(Расчёты!C25),1))</f>
        <v>0</v>
      </c>
      <c r="BA25">
        <f>IF(AND(Расчёты!F25&gt;0,Расчёты!F25&lt;=N('Исходные данные'!$B$37)),-AZ25,0)</f>
        <v>0</v>
      </c>
      <c r="BB25">
        <f>IF(OR(Расчёты!F25=0,Расчёты!F25&lt;=N('Исходные данные'!$B$37)),0,-(AZ25+BA25)*N('Сценарный анализ'!$D$9))</f>
        <v>0</v>
      </c>
      <c r="BC25">
        <f t="shared" si="8"/>
        <v>0</v>
      </c>
      <c r="BD25">
        <f>IF('Исходные данные'!$B$51="Да",BC25*N('Исходные данные'!$B$52),0)</f>
        <v>0</v>
      </c>
      <c r="BE25">
        <f t="shared" si="9"/>
        <v>0</v>
      </c>
      <c r="BF25">
        <f>BC25+(Расчёты!Y25-Расчёты!L25)</f>
        <v>0</v>
      </c>
      <c r="BG25">
        <f t="shared" si="16"/>
        <v>0</v>
      </c>
      <c r="BH25">
        <f>IF('Исходные данные'!$B$51="Да",-MAX(0,BD25+Расчёты!R25+Расчёты!V25-Расчёты!P25-Расчёты!T25-BG25),0)</f>
        <v>0</v>
      </c>
      <c r="BI25">
        <f>IF('Исходные данные'!$B$51="Да",MAX(0,BG25+Расчёты!P25+Расчёты!T25-BD25-Расчёты!R25-Расчёты!V25),0)</f>
        <v>0</v>
      </c>
      <c r="BJ25">
        <f>IF('Исходные данные'!$B$53="Выручка",MAX(0,BC25+(Расчёты!Q25-Расчёты!R25)+(Расчёты!U25-Расчёты!V25)),IF('Исходные данные'!$B$53="Прибыль до налога",MAX(0,BC25+(Расчёты!Q25-Расчёты!R25)+(Расчёты!U25-Расчёты!V25)+N('Исходные данные'!$B$54)*((Расчёты!O25+Расчёты!P25)+(Расчёты!S25+Расчёты!T25)+Расчёты!W25+Расчёты!X25)+IF('Исходные данные'!$B$55="Да",Расчёты!AG25,0)-N('Исходные данные'!$B$56)/12),IF('Исходные данные'!$B$53="Пользовательская база",MAX(0,N('Исходные данные'!$B$57)/12),0)))</f>
        <v>0</v>
      </c>
      <c r="BK25">
        <f>IF(D25=1,-BJ25*N('Исходные данные'!$B$50),0)</f>
        <v>0</v>
      </c>
      <c r="BL25">
        <f t="shared" si="10"/>
        <v>0</v>
      </c>
      <c r="BM25">
        <f>IF(OR(D25&lt;&gt;1,B25="",'Исходные данные'!$B$91="",N('Исходные данные'!$B$80)&lt;=0,'Исходные данные'!$B$88=""),0,IF(AND(YEAR(B25)=YEAR('Исходные данные'!$B$91),MONTH(B25)=MONTH('Исходные данные'!$B$91)),MAX(0,IF('Исходные данные'!$B$88="Последние 12 месяцев",SUMIFS($BF$2:$BF$194,$B$2:$B$194,"&gt;="&amp;EDATE(B25,-11),$B$2:$B$194,"&lt;="&amp;B25),IF('Исходные данные'!$B$88="Пользовательский NOI",N('Исходные данные'!$B$89),BL25))/N('Исходные данные'!$B$80)*(1+N('Исходные данные'!$B$81))),0))</f>
        <v>0</v>
      </c>
      <c r="BN25">
        <f>-BM25*N('Исходные данные'!$B$73)</f>
        <v>0</v>
      </c>
      <c r="BO25">
        <f>IF(BM25=0,0,-N('Исходные данные'!$B$87)-IF('Исходные данные'!$B$82="Да",IF('Исходные данные'!$B$84="С выручки",BM25,IF('Исходные данные'!$B$84="С прибыли",MAX(0,BM25+BN25-IF('Исходные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5">
        <f t="shared" si="11"/>
        <v>0</v>
      </c>
      <c r="BQ25">
        <f>IF(D25=1,Расчёты!AZ25+BE25+BH25+BK25+BP25,0)</f>
        <v>0</v>
      </c>
      <c r="BR25" t="str">
        <f t="shared" si="17"/>
        <v/>
      </c>
      <c r="BS25">
        <f>IF(OR(D25=0,'Исходные данные'!$B$9="",'Исходные данные'!$B$90=""),0,BQ25/(1+'Исходные данные'!$B$90)^((C25-'Исходные данные'!$B$9)/365))</f>
        <v>0</v>
      </c>
      <c r="BT25">
        <f>IF(D25=1,BE25+Расчёты!O25+Расчёты!Q25+Расчёты!S25+Расчёты!U25+Расчёты!W25+Расчёты!X25+BH25+BK25,0)</f>
        <v>0</v>
      </c>
      <c r="BU25">
        <f>IF(AND(D25=1,BR25&gt;=0,BR24&lt;0,MIN($BR$2:BR25)&lt;0),1,0)</f>
        <v>0</v>
      </c>
      <c r="BV25">
        <f>Расчёты!AZ25+K25+N25-P25*N('Исходные данные'!$B$50)</f>
        <v>0</v>
      </c>
      <c r="BW25">
        <f t="shared" si="18"/>
        <v>0</v>
      </c>
      <c r="BX25">
        <f>IF(AND(BW25&gt;=0,BW24&lt;0,MIN($BW$2:BW25)&lt;0),1,0)</f>
        <v>0</v>
      </c>
      <c r="BY25">
        <f>Расчёты!AZ25+AH25+AK25-AM25*N('Исходные данные'!$B$50)</f>
        <v>0</v>
      </c>
      <c r="BZ25">
        <f t="shared" si="19"/>
        <v>0</v>
      </c>
      <c r="CA25">
        <f>IF(AND(BZ25&gt;=0,BZ24&lt;0,MIN($BZ$2:BZ25)&lt;0),1,0)</f>
        <v>0</v>
      </c>
      <c r="CB25">
        <f>Расчёты!AZ25+BE25+BH25-BJ25*N('Исходные данные'!$B$50)</f>
        <v>0</v>
      </c>
      <c r="CC25">
        <f t="shared" si="20"/>
        <v>0</v>
      </c>
      <c r="CD25">
        <f>IF(AND(CC25&gt;=0,CC24&lt;0,MIN($CC$2:CC25)&lt;0),1,0)</f>
        <v>0</v>
      </c>
    </row>
    <row r="26" spans="1:82" x14ac:dyDescent="0.2">
      <c r="A26">
        <f>Расчёты!A26</f>
        <v>25</v>
      </c>
      <c r="B26" t="str">
        <f>Расчёты!B26</f>
        <v/>
      </c>
      <c r="C26" t="str">
        <f>Расчёты!D26</f>
        <v/>
      </c>
      <c r="D26">
        <f>Расчёты!E26</f>
        <v>0</v>
      </c>
      <c r="E26">
        <f>IF(Расчёты!F26=0,0,IF(Расчёты!G26=1,N('Сценарный анализ'!$B$5),IF(Расчёты!G26=2,N('Сценарный анализ'!$B$6),IF(Расчёты!G26=3,N('Сценарный анализ'!$B$7),N('Сценарный анализ'!$B$7)*(1+N('Сценарный анализ'!$B$8))^(Расчёты!G26-3)))))</f>
        <v>0</v>
      </c>
      <c r="F26">
        <f>IF(OR(Расчёты!F26=0,N('Исходные данные'!$B$5)=0,E26=0),0,N('Исходные данные'!$B$5)*E26*IF(AND(B26&lt;='Исходные данные'!$B$30,Расчёты!C26&gt;='Исходные данные'!$B$30),(Расчёты!C26-'Исходные данные'!$B$30+1)/DAY(Расчёты!C26),1))</f>
        <v>0</v>
      </c>
      <c r="G26">
        <f>IF(AND(Расчёты!F26&gt;0,Расчёты!F26&lt;=N('Исходные данные'!$B$37)),-F26,0)</f>
        <v>0</v>
      </c>
      <c r="H26">
        <f>IF(OR(Расчёты!F26=0,Расчёты!F26&lt;=N('Исходные данные'!$B$37)),0,-(F26+G26)*N('Сценарный анализ'!$B$9))</f>
        <v>0</v>
      </c>
      <c r="I26">
        <f t="shared" si="0"/>
        <v>0</v>
      </c>
      <c r="J26">
        <f>IF('Исходные данные'!$B$51="Да",I26*N('Исходные данные'!$B$52),0)</f>
        <v>0</v>
      </c>
      <c r="K26">
        <f t="shared" si="1"/>
        <v>0</v>
      </c>
      <c r="L26">
        <f>I26+(Расчёты!Y26-Расчёты!L26)</f>
        <v>0</v>
      </c>
      <c r="M26">
        <f t="shared" si="12"/>
        <v>0</v>
      </c>
      <c r="N26">
        <f>IF('Исходные данные'!$B$51="Да",-MAX(0,J26+Расчёты!R26+Расчёты!V26-Расчёты!P26-Расчёты!T26-M26),0)</f>
        <v>0</v>
      </c>
      <c r="O26">
        <f>IF('Исходные данные'!$B$51="Да",MAX(0,M26+Расчёты!P26+Расчёты!T26-J26-Расчёты!R26-Расчёты!V26),0)</f>
        <v>0</v>
      </c>
      <c r="P26">
        <f>IF('Исходные данные'!$B$53="Выручка",MAX(0,I26+(Расчёты!Q26-Расчёты!R26)+(Расчёты!U26-Расчёты!V26)),IF('Исходные данные'!$B$53="Прибыль до налога",MAX(0,I26+(Расчёты!Q26-Расчёты!R26)+(Расчёты!U26-Расчёты!V26)+N('Исходные данные'!$B$54)*((Расчёты!O26+Расчёты!P26)+(Расчёты!S26+Расчёты!T26)+Расчёты!W26+Расчёты!X26)+IF('Исходные данные'!$B$55="Да",Расчёты!AG26,0)-N('Исходные данные'!$B$56)/12),IF('Исходные данные'!$B$53="Пользовательская база",MAX(0,N('Исходные данные'!$B$57)/12),0)))</f>
        <v>0</v>
      </c>
      <c r="Q26">
        <f>IF(D26=1,-P26*N('Исходные данные'!$B$50),0)</f>
        <v>0</v>
      </c>
      <c r="R26">
        <f t="shared" si="2"/>
        <v>0</v>
      </c>
      <c r="S26">
        <f>IF(OR(D26&lt;&gt;1,B26="",'Исходные данные'!$B$91="",N('Исходные данные'!$B$80)&lt;=0,'Исходные данные'!$B$88=""),0,IF(AND(YEAR(B26)=YEAR('Исходные данные'!$B$91),MONTH(B26)=MONTH('Исходные данные'!$B$91)),MAX(0,IF('Исходные данные'!$B$88="Последние 12 месяцев",SUMIFS($L$2:$L$194,$B$2:$B$194,"&gt;="&amp;EDATE(B26,-11),$B$2:$B$194,"&lt;="&amp;B26),IF('Исходные данные'!$B$88="Пользовательский NOI",N('Исходные данные'!$B$89),R26))/N('Исходные данные'!$B$80)*(1+N('Исходные данные'!$B$81))),0))</f>
        <v>0</v>
      </c>
      <c r="T26">
        <f>-S26*N('Исходные данные'!$B$73)</f>
        <v>0</v>
      </c>
      <c r="U26">
        <f>IF(S26=0,0,-N('Исходные данные'!$B$87)-IF('Исходные данные'!$B$82="Да",IF('Исходные данные'!$B$84="С выручки",S26,IF('Исходные данные'!$B$84="С прибыли",MAX(0,S26+T26-IF('Исходные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6">
        <f t="shared" si="3"/>
        <v>0</v>
      </c>
      <c r="W26">
        <f>IF(D26=1,Расчёты!AZ26+K26+N26+Q26+V26,0)</f>
        <v>0</v>
      </c>
      <c r="X26" t="str">
        <f t="shared" si="13"/>
        <v/>
      </c>
      <c r="Y26">
        <f>IF(OR(D26=0,'Исходные данные'!$B$9="",'Исходные данные'!$B$90=""),0,W26/(1+'Исходные данные'!$B$90)^((C26-'Исходные данные'!$B$9)/365))</f>
        <v>0</v>
      </c>
      <c r="Z26">
        <f>IF(D26=1,K26+Расчёты!O26+Расчёты!Q26+Расчёты!S26+Расчёты!U26+Расчёты!W26+Расчёты!X26+N26+Q26,0)</f>
        <v>0</v>
      </c>
      <c r="AA26">
        <f>IF(AND(D26=1,X26&gt;=0,X25&lt;0,MIN($X$2:X26)&lt;0),1,0)</f>
        <v>0</v>
      </c>
      <c r="AB26">
        <f>IF(Расчёты!F26=0,0,IF(Расчёты!G26=1,N('Сценарный анализ'!$C$5),IF(Расчёты!G26=2,N('Сценарный анализ'!$C$6),IF(Расчёты!G26=3,N('Сценарный анализ'!$C$7),N('Сценарный анализ'!$C$7)*(1+N('Сценарный анализ'!$C$8))^(Расчёты!G26-3)))))</f>
        <v>0</v>
      </c>
      <c r="AC26">
        <f>IF(OR(Расчёты!F26=0,N('Исходные данные'!$B$5)=0,AB26=0),0,N('Исходные данные'!$B$5)*AB26*IF(AND(B26&lt;='Исходные данные'!$B$30,Расчёты!C26&gt;='Исходные данные'!$B$30),(Расчёты!C26-'Исходные данные'!$B$30+1)/DAY(Расчёты!C26),1))</f>
        <v>0</v>
      </c>
      <c r="AD26">
        <f>IF(AND(Расчёты!F26&gt;0,Расчёты!F26&lt;=N('Исходные данные'!$B$37)),-AC26,0)</f>
        <v>0</v>
      </c>
      <c r="AE26">
        <f>IF(OR(Расчёты!F26=0,Расчёты!F26&lt;=N('Исходные данные'!$B$37)),0,-(AC26+AD26)*N('Сценарный анализ'!$C$9))</f>
        <v>0</v>
      </c>
      <c r="AF26">
        <f t="shared" si="4"/>
        <v>0</v>
      </c>
      <c r="AG26">
        <f>IF('Исходные данные'!$B$51="Да",AF26*N('Исходные данные'!$B$52),0)</f>
        <v>0</v>
      </c>
      <c r="AH26">
        <f t="shared" si="5"/>
        <v>0</v>
      </c>
      <c r="AI26">
        <f>AF26+(Расчёты!Y26-Расчёты!L26)</f>
        <v>0</v>
      </c>
      <c r="AJ26">
        <f t="shared" si="14"/>
        <v>0</v>
      </c>
      <c r="AK26">
        <f>IF('Исходные данные'!$B$51="Да",-MAX(0,AG26+Расчёты!R26+Расчёты!V26-Расчёты!P26-Расчёты!T26-AJ26),0)</f>
        <v>0</v>
      </c>
      <c r="AL26">
        <f>IF('Исходные данные'!$B$51="Да",MAX(0,AJ26+Расчёты!P26+Расчёты!T26-AG26-Расчёты!R26-Расчёты!V26),0)</f>
        <v>0</v>
      </c>
      <c r="AM26">
        <f>IF('Исходные данные'!$B$53="Выручка",MAX(0,AF26+(Расчёты!Q26-Расчёты!R26)+(Расчёты!U26-Расчёты!V26)),IF('Исходные данные'!$B$53="Прибыль до налога",MAX(0,AF26+(Расчёты!Q26-Расчёты!R26)+(Расчёты!U26-Расчёты!V26)+N('Исходные данные'!$B$54)*((Расчёты!O26+Расчёты!P26)+(Расчёты!S26+Расчёты!T26)+Расчёты!W26+Расчёты!X26)+IF('Исходные данные'!$B$55="Да",Расчёты!AG26,0)-N('Исходные данные'!$B$56)/12),IF('Исходные данные'!$B$53="Пользовательская база",MAX(0,N('Исходные данные'!$B$57)/12),0)))</f>
        <v>0</v>
      </c>
      <c r="AN26">
        <f>IF(D26=1,-AM26*N('Исходные данные'!$B$50),0)</f>
        <v>0</v>
      </c>
      <c r="AO26">
        <f t="shared" si="6"/>
        <v>0</v>
      </c>
      <c r="AP26">
        <f>IF(OR(D26&lt;&gt;1,B26="",'Исходные данные'!$B$91="",N('Исходные данные'!$B$80)&lt;=0,'Исходные данные'!$B$88=""),0,IF(AND(YEAR(B26)=YEAR('Исходные данные'!$B$91),MONTH(B26)=MONTH('Исходные данные'!$B$91)),MAX(0,IF('Исходные данные'!$B$88="Последние 12 месяцев",SUMIFS($AI$2:$AI$194,$B$2:$B$194,"&gt;="&amp;EDATE(B26,-11),$B$2:$B$194,"&lt;="&amp;B26),IF('Исходные данные'!$B$88="Пользовательский NOI",N('Исходные данные'!$B$89),AO26))/N('Исходные данные'!$B$80)*(1+N('Исходные данные'!$B$81))),0))</f>
        <v>0</v>
      </c>
      <c r="AQ26">
        <f>-AP26*N('Исходные данные'!$B$73)</f>
        <v>0</v>
      </c>
      <c r="AR26">
        <f>IF(AP26=0,0,-N('Исходные данные'!$B$87)-IF('Исходные данные'!$B$82="Да",IF('Исходные данные'!$B$84="С выручки",AP26,IF('Исходные данные'!$B$84="С прибыли",MAX(0,AP26+AQ26-IF('Исходные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6">
        <f t="shared" si="7"/>
        <v>0</v>
      </c>
      <c r="AT26">
        <f>IF(D26=1,Расчёты!AZ26+AH26+AK26+AN26+AS26,0)</f>
        <v>0</v>
      </c>
      <c r="AU26" t="str">
        <f t="shared" si="15"/>
        <v/>
      </c>
      <c r="AV26">
        <f>IF(OR(D26=0,'Исходные данные'!$B$9="",'Исходные данные'!$B$90=""),0,AT26/(1+'Исходные данные'!$B$90)^((C26-'Исходные данные'!$B$9)/365))</f>
        <v>0</v>
      </c>
      <c r="AW26">
        <f>IF(D26=1,AH26+Расчёты!O26+Расчёты!Q26+Расчёты!S26+Расчёты!U26+Расчёты!W26+Расчёты!X26+AK26+AN26,0)</f>
        <v>0</v>
      </c>
      <c r="AX26">
        <f>IF(AND(D26=1,AU26&gt;=0,AU25&lt;0,MIN($AU$2:AU26)&lt;0),1,0)</f>
        <v>0</v>
      </c>
      <c r="AY26">
        <f>IF(Расчёты!F26=0,0,IF(Расчёты!G26=1,N('Сценарный анализ'!$D$5),IF(Расчёты!G26=2,N('Сценарный анализ'!$D$6),IF(Расчёты!G26=3,N('Сценарный анализ'!$D$7),N('Сценарный анализ'!$D$7)*(1+N('Сценарный анализ'!$D$8))^(Расчёты!G26-3)))))</f>
        <v>0</v>
      </c>
      <c r="AZ26">
        <f>IF(OR(Расчёты!F26=0,N('Исходные данные'!$B$5)=0,AY26=0),0,N('Исходные данные'!$B$5)*AY26*IF(AND(B26&lt;='Исходные данные'!$B$30,Расчёты!C26&gt;='Исходные данные'!$B$30),(Расчёты!C26-'Исходные данные'!$B$30+1)/DAY(Расчёты!C26),1))</f>
        <v>0</v>
      </c>
      <c r="BA26">
        <f>IF(AND(Расчёты!F26&gt;0,Расчёты!F26&lt;=N('Исходные данные'!$B$37)),-AZ26,0)</f>
        <v>0</v>
      </c>
      <c r="BB26">
        <f>IF(OR(Расчёты!F26=0,Расчёты!F26&lt;=N('Исходные данные'!$B$37)),0,-(AZ26+BA26)*N('Сценарный анализ'!$D$9))</f>
        <v>0</v>
      </c>
      <c r="BC26">
        <f t="shared" si="8"/>
        <v>0</v>
      </c>
      <c r="BD26">
        <f>IF('Исходные данные'!$B$51="Да",BC26*N('Исходные данные'!$B$52),0)</f>
        <v>0</v>
      </c>
      <c r="BE26">
        <f t="shared" si="9"/>
        <v>0</v>
      </c>
      <c r="BF26">
        <f>BC26+(Расчёты!Y26-Расчёты!L26)</f>
        <v>0</v>
      </c>
      <c r="BG26">
        <f t="shared" si="16"/>
        <v>0</v>
      </c>
      <c r="BH26">
        <f>IF('Исходные данные'!$B$51="Да",-MAX(0,BD26+Расчёты!R26+Расчёты!V26-Расчёты!P26-Расчёты!T26-BG26),0)</f>
        <v>0</v>
      </c>
      <c r="BI26">
        <f>IF('Исходные данные'!$B$51="Да",MAX(0,BG26+Расчёты!P26+Расчёты!T26-BD26-Расчёты!R26-Расчёты!V26),0)</f>
        <v>0</v>
      </c>
      <c r="BJ26">
        <f>IF('Исходные данные'!$B$53="Выручка",MAX(0,BC26+(Расчёты!Q26-Расчёты!R26)+(Расчёты!U26-Расчёты!V26)),IF('Исходные данные'!$B$53="Прибыль до налога",MAX(0,BC26+(Расчёты!Q26-Расчёты!R26)+(Расчёты!U26-Расчёты!V26)+N('Исходные данные'!$B$54)*((Расчёты!O26+Расчёты!P26)+(Расчёты!S26+Расчёты!T26)+Расчёты!W26+Расчёты!X26)+IF('Исходные данные'!$B$55="Да",Расчёты!AG26,0)-N('Исходные данные'!$B$56)/12),IF('Исходные данные'!$B$53="Пользовательская база",MAX(0,N('Исходные данные'!$B$57)/12),0)))</f>
        <v>0</v>
      </c>
      <c r="BK26">
        <f>IF(D26=1,-BJ26*N('Исходные данные'!$B$50),0)</f>
        <v>0</v>
      </c>
      <c r="BL26">
        <f t="shared" si="10"/>
        <v>0</v>
      </c>
      <c r="BM26">
        <f>IF(OR(D26&lt;&gt;1,B26="",'Исходные данные'!$B$91="",N('Исходные данные'!$B$80)&lt;=0,'Исходные данные'!$B$88=""),0,IF(AND(YEAR(B26)=YEAR('Исходные данные'!$B$91),MONTH(B26)=MONTH('Исходные данные'!$B$91)),MAX(0,IF('Исходные данные'!$B$88="Последние 12 месяцев",SUMIFS($BF$2:$BF$194,$B$2:$B$194,"&gt;="&amp;EDATE(B26,-11),$B$2:$B$194,"&lt;="&amp;B26),IF('Исходные данные'!$B$88="Пользовательский NOI",N('Исходные данные'!$B$89),BL26))/N('Исходные данные'!$B$80)*(1+N('Исходные данные'!$B$81))),0))</f>
        <v>0</v>
      </c>
      <c r="BN26">
        <f>-BM26*N('Исходные данные'!$B$73)</f>
        <v>0</v>
      </c>
      <c r="BO26">
        <f>IF(BM26=0,0,-N('Исходные данные'!$B$87)-IF('Исходные данные'!$B$82="Да",IF('Исходные данные'!$B$84="С выручки",BM26,IF('Исходные данные'!$B$84="С прибыли",MAX(0,BM26+BN26-IF('Исходные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6">
        <f t="shared" si="11"/>
        <v>0</v>
      </c>
      <c r="BQ26">
        <f>IF(D26=1,Расчёты!AZ26+BE26+BH26+BK26+BP26,0)</f>
        <v>0</v>
      </c>
      <c r="BR26" t="str">
        <f t="shared" si="17"/>
        <v/>
      </c>
      <c r="BS26">
        <f>IF(OR(D26=0,'Исходные данные'!$B$9="",'Исходные данные'!$B$90=""),0,BQ26/(1+'Исходные данные'!$B$90)^((C26-'Исходные данные'!$B$9)/365))</f>
        <v>0</v>
      </c>
      <c r="BT26">
        <f>IF(D26=1,BE26+Расчёты!O26+Расчёты!Q26+Расчёты!S26+Расчёты!U26+Расчёты!W26+Расчёты!X26+BH26+BK26,0)</f>
        <v>0</v>
      </c>
      <c r="BU26">
        <f>IF(AND(D26=1,BR26&gt;=0,BR25&lt;0,MIN($BR$2:BR26)&lt;0),1,0)</f>
        <v>0</v>
      </c>
      <c r="BV26">
        <f>Расчёты!AZ26+K26+N26-P26*N('Исходные данные'!$B$50)</f>
        <v>0</v>
      </c>
      <c r="BW26">
        <f t="shared" si="18"/>
        <v>0</v>
      </c>
      <c r="BX26">
        <f>IF(AND(BW26&gt;=0,BW25&lt;0,MIN($BW$2:BW26)&lt;0),1,0)</f>
        <v>0</v>
      </c>
      <c r="BY26">
        <f>Расчёты!AZ26+AH26+AK26-AM26*N('Исходные данные'!$B$50)</f>
        <v>0</v>
      </c>
      <c r="BZ26">
        <f t="shared" si="19"/>
        <v>0</v>
      </c>
      <c r="CA26">
        <f>IF(AND(BZ26&gt;=0,BZ25&lt;0,MIN($BZ$2:BZ26)&lt;0),1,0)</f>
        <v>0</v>
      </c>
      <c r="CB26">
        <f>Расчёты!AZ26+BE26+BH26-BJ26*N('Исходные данные'!$B$50)</f>
        <v>0</v>
      </c>
      <c r="CC26">
        <f t="shared" si="20"/>
        <v>0</v>
      </c>
      <c r="CD26">
        <f>IF(AND(CC26&gt;=0,CC25&lt;0,MIN($CC$2:CC26)&lt;0),1,0)</f>
        <v>0</v>
      </c>
    </row>
    <row r="27" spans="1:82" x14ac:dyDescent="0.2">
      <c r="A27">
        <f>Расчёты!A27</f>
        <v>26</v>
      </c>
      <c r="B27" t="str">
        <f>Расчёты!B27</f>
        <v/>
      </c>
      <c r="C27" t="str">
        <f>Расчёты!D27</f>
        <v/>
      </c>
      <c r="D27">
        <f>Расчёты!E27</f>
        <v>0</v>
      </c>
      <c r="E27">
        <f>IF(Расчёты!F27=0,0,IF(Расчёты!G27=1,N('Сценарный анализ'!$B$5),IF(Расчёты!G27=2,N('Сценарный анализ'!$B$6),IF(Расчёты!G27=3,N('Сценарный анализ'!$B$7),N('Сценарный анализ'!$B$7)*(1+N('Сценарный анализ'!$B$8))^(Расчёты!G27-3)))))</f>
        <v>0</v>
      </c>
      <c r="F27">
        <f>IF(OR(Расчёты!F27=0,N('Исходные данные'!$B$5)=0,E27=0),0,N('Исходные данные'!$B$5)*E27*IF(AND(B27&lt;='Исходные данные'!$B$30,Расчёты!C27&gt;='Исходные данные'!$B$30),(Расчёты!C27-'Исходные данные'!$B$30+1)/DAY(Расчёты!C27),1))</f>
        <v>0</v>
      </c>
      <c r="G27">
        <f>IF(AND(Расчёты!F27&gt;0,Расчёты!F27&lt;=N('Исходные данные'!$B$37)),-F27,0)</f>
        <v>0</v>
      </c>
      <c r="H27">
        <f>IF(OR(Расчёты!F27=0,Расчёты!F27&lt;=N('Исходные данные'!$B$37)),0,-(F27+G27)*N('Сценарный анализ'!$B$9))</f>
        <v>0</v>
      </c>
      <c r="I27">
        <f t="shared" si="0"/>
        <v>0</v>
      </c>
      <c r="J27">
        <f>IF('Исходные данные'!$B$51="Да",I27*N('Исходные данные'!$B$52),0)</f>
        <v>0</v>
      </c>
      <c r="K27">
        <f t="shared" si="1"/>
        <v>0</v>
      </c>
      <c r="L27">
        <f>I27+(Расчёты!Y27-Расчёты!L27)</f>
        <v>0</v>
      </c>
      <c r="M27">
        <f t="shared" si="12"/>
        <v>0</v>
      </c>
      <c r="N27">
        <f>IF('Исходные данные'!$B$51="Да",-MAX(0,J27+Расчёты!R27+Расчёты!V27-Расчёты!P27-Расчёты!T27-M27),0)</f>
        <v>0</v>
      </c>
      <c r="O27">
        <f>IF('Исходные данные'!$B$51="Да",MAX(0,M27+Расчёты!P27+Расчёты!T27-J27-Расчёты!R27-Расчёты!V27),0)</f>
        <v>0</v>
      </c>
      <c r="P27">
        <f>IF('Исходные данные'!$B$53="Выручка",MAX(0,I27+(Расчёты!Q27-Расчёты!R27)+(Расчёты!U27-Расчёты!V27)),IF('Исходные данные'!$B$53="Прибыль до налога",MAX(0,I27+(Расчёты!Q27-Расчёты!R27)+(Расчёты!U27-Расчёты!V27)+N('Исходные данные'!$B$54)*((Расчёты!O27+Расчёты!P27)+(Расчёты!S27+Расчёты!T27)+Расчёты!W27+Расчёты!X27)+IF('Исходные данные'!$B$55="Да",Расчёты!AG27,0)-N('Исходные данные'!$B$56)/12),IF('Исходные данные'!$B$53="Пользовательская база",MAX(0,N('Исходные данные'!$B$57)/12),0)))</f>
        <v>0</v>
      </c>
      <c r="Q27">
        <f>IF(D27=1,-P27*N('Исходные данные'!$B$50),0)</f>
        <v>0</v>
      </c>
      <c r="R27">
        <f t="shared" si="2"/>
        <v>0</v>
      </c>
      <c r="S27">
        <f>IF(OR(D27&lt;&gt;1,B27="",'Исходные данные'!$B$91="",N('Исходные данные'!$B$80)&lt;=0,'Исходные данные'!$B$88=""),0,IF(AND(YEAR(B27)=YEAR('Исходные данные'!$B$91),MONTH(B27)=MONTH('Исходные данные'!$B$91)),MAX(0,IF('Исходные данные'!$B$88="Последние 12 месяцев",SUMIFS($L$2:$L$194,$B$2:$B$194,"&gt;="&amp;EDATE(B27,-11),$B$2:$B$194,"&lt;="&amp;B27),IF('Исходные данные'!$B$88="Пользовательский NOI",N('Исходные данные'!$B$89),R27))/N('Исходные данные'!$B$80)*(1+N('Исходные данные'!$B$81))),0))</f>
        <v>0</v>
      </c>
      <c r="T27">
        <f>-S27*N('Исходные данные'!$B$73)</f>
        <v>0</v>
      </c>
      <c r="U27">
        <f>IF(S27=0,0,-N('Исходные данные'!$B$87)-IF('Исходные данные'!$B$82="Да",IF('Исходные данные'!$B$84="С выручки",S27,IF('Исходные данные'!$B$84="С прибыли",MAX(0,S27+T27-IF('Исходные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7">
        <f t="shared" si="3"/>
        <v>0</v>
      </c>
      <c r="W27">
        <f>IF(D27=1,Расчёты!AZ27+K27+N27+Q27+V27,0)</f>
        <v>0</v>
      </c>
      <c r="X27" t="str">
        <f t="shared" si="13"/>
        <v/>
      </c>
      <c r="Y27">
        <f>IF(OR(D27=0,'Исходные данные'!$B$9="",'Исходные данные'!$B$90=""),0,W27/(1+'Исходные данные'!$B$90)^((C27-'Исходные данные'!$B$9)/365))</f>
        <v>0</v>
      </c>
      <c r="Z27">
        <f>IF(D27=1,K27+Расчёты!O27+Расчёты!Q27+Расчёты!S27+Расчёты!U27+Расчёты!W27+Расчёты!X27+N27+Q27,0)</f>
        <v>0</v>
      </c>
      <c r="AA27">
        <f>IF(AND(D27=1,X27&gt;=0,X26&lt;0,MIN($X$2:X27)&lt;0),1,0)</f>
        <v>0</v>
      </c>
      <c r="AB27">
        <f>IF(Расчёты!F27=0,0,IF(Расчёты!G27=1,N('Сценарный анализ'!$C$5),IF(Расчёты!G27=2,N('Сценарный анализ'!$C$6),IF(Расчёты!G27=3,N('Сценарный анализ'!$C$7),N('Сценарный анализ'!$C$7)*(1+N('Сценарный анализ'!$C$8))^(Расчёты!G27-3)))))</f>
        <v>0</v>
      </c>
      <c r="AC27">
        <f>IF(OR(Расчёты!F27=0,N('Исходные данные'!$B$5)=0,AB27=0),0,N('Исходные данные'!$B$5)*AB27*IF(AND(B27&lt;='Исходные данные'!$B$30,Расчёты!C27&gt;='Исходные данные'!$B$30),(Расчёты!C27-'Исходные данные'!$B$30+1)/DAY(Расчёты!C27),1))</f>
        <v>0</v>
      </c>
      <c r="AD27">
        <f>IF(AND(Расчёты!F27&gt;0,Расчёты!F27&lt;=N('Исходные данные'!$B$37)),-AC27,0)</f>
        <v>0</v>
      </c>
      <c r="AE27">
        <f>IF(OR(Расчёты!F27=0,Расчёты!F27&lt;=N('Исходные данные'!$B$37)),0,-(AC27+AD27)*N('Сценарный анализ'!$C$9))</f>
        <v>0</v>
      </c>
      <c r="AF27">
        <f t="shared" si="4"/>
        <v>0</v>
      </c>
      <c r="AG27">
        <f>IF('Исходные данные'!$B$51="Да",AF27*N('Исходные данные'!$B$52),0)</f>
        <v>0</v>
      </c>
      <c r="AH27">
        <f t="shared" si="5"/>
        <v>0</v>
      </c>
      <c r="AI27">
        <f>AF27+(Расчёты!Y27-Расчёты!L27)</f>
        <v>0</v>
      </c>
      <c r="AJ27">
        <f t="shared" si="14"/>
        <v>0</v>
      </c>
      <c r="AK27">
        <f>IF('Исходные данные'!$B$51="Да",-MAX(0,AG27+Расчёты!R27+Расчёты!V27-Расчёты!P27-Расчёты!T27-AJ27),0)</f>
        <v>0</v>
      </c>
      <c r="AL27">
        <f>IF('Исходные данные'!$B$51="Да",MAX(0,AJ27+Расчёты!P27+Расчёты!T27-AG27-Расчёты!R27-Расчёты!V27),0)</f>
        <v>0</v>
      </c>
      <c r="AM27">
        <f>IF('Исходные данные'!$B$53="Выручка",MAX(0,AF27+(Расчёты!Q27-Расчёты!R27)+(Расчёты!U27-Расчёты!V27)),IF('Исходные данные'!$B$53="Прибыль до налога",MAX(0,AF27+(Расчёты!Q27-Расчёты!R27)+(Расчёты!U27-Расчёты!V27)+N('Исходные данные'!$B$54)*((Расчёты!O27+Расчёты!P27)+(Расчёты!S27+Расчёты!T27)+Расчёты!W27+Расчёты!X27)+IF('Исходные данные'!$B$55="Да",Расчёты!AG27,0)-N('Исходные данные'!$B$56)/12),IF('Исходные данные'!$B$53="Пользовательская база",MAX(0,N('Исходные данные'!$B$57)/12),0)))</f>
        <v>0</v>
      </c>
      <c r="AN27">
        <f>IF(D27=1,-AM27*N('Исходные данные'!$B$50),0)</f>
        <v>0</v>
      </c>
      <c r="AO27">
        <f t="shared" si="6"/>
        <v>0</v>
      </c>
      <c r="AP27">
        <f>IF(OR(D27&lt;&gt;1,B27="",'Исходные данные'!$B$91="",N('Исходные данные'!$B$80)&lt;=0,'Исходные данные'!$B$88=""),0,IF(AND(YEAR(B27)=YEAR('Исходные данные'!$B$91),MONTH(B27)=MONTH('Исходные данные'!$B$91)),MAX(0,IF('Исходные данные'!$B$88="Последние 12 месяцев",SUMIFS($AI$2:$AI$194,$B$2:$B$194,"&gt;="&amp;EDATE(B27,-11),$B$2:$B$194,"&lt;="&amp;B27),IF('Исходные данные'!$B$88="Пользовательский NOI",N('Исходные данные'!$B$89),AO27))/N('Исходные данные'!$B$80)*(1+N('Исходные данные'!$B$81))),0))</f>
        <v>0</v>
      </c>
      <c r="AQ27">
        <f>-AP27*N('Исходные данные'!$B$73)</f>
        <v>0</v>
      </c>
      <c r="AR27">
        <f>IF(AP27=0,0,-N('Исходные данные'!$B$87)-IF('Исходные данные'!$B$82="Да",IF('Исходные данные'!$B$84="С выручки",AP27,IF('Исходные данные'!$B$84="С прибыли",MAX(0,AP27+AQ27-IF('Исходные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7">
        <f t="shared" si="7"/>
        <v>0</v>
      </c>
      <c r="AT27">
        <f>IF(D27=1,Расчёты!AZ27+AH27+AK27+AN27+AS27,0)</f>
        <v>0</v>
      </c>
      <c r="AU27" t="str">
        <f t="shared" si="15"/>
        <v/>
      </c>
      <c r="AV27">
        <f>IF(OR(D27=0,'Исходные данные'!$B$9="",'Исходные данные'!$B$90=""),0,AT27/(1+'Исходные данные'!$B$90)^((C27-'Исходные данные'!$B$9)/365))</f>
        <v>0</v>
      </c>
      <c r="AW27">
        <f>IF(D27=1,AH27+Расчёты!O27+Расчёты!Q27+Расчёты!S27+Расчёты!U27+Расчёты!W27+Расчёты!X27+AK27+AN27,0)</f>
        <v>0</v>
      </c>
      <c r="AX27">
        <f>IF(AND(D27=1,AU27&gt;=0,AU26&lt;0,MIN($AU$2:AU27)&lt;0),1,0)</f>
        <v>0</v>
      </c>
      <c r="AY27">
        <f>IF(Расчёты!F27=0,0,IF(Расчёты!G27=1,N('Сценарный анализ'!$D$5),IF(Расчёты!G27=2,N('Сценарный анализ'!$D$6),IF(Расчёты!G27=3,N('Сценарный анализ'!$D$7),N('Сценарный анализ'!$D$7)*(1+N('Сценарный анализ'!$D$8))^(Расчёты!G27-3)))))</f>
        <v>0</v>
      </c>
      <c r="AZ27">
        <f>IF(OR(Расчёты!F27=0,N('Исходные данные'!$B$5)=0,AY27=0),0,N('Исходные данные'!$B$5)*AY27*IF(AND(B27&lt;='Исходные данные'!$B$30,Расчёты!C27&gt;='Исходные данные'!$B$30),(Расчёты!C27-'Исходные данные'!$B$30+1)/DAY(Расчёты!C27),1))</f>
        <v>0</v>
      </c>
      <c r="BA27">
        <f>IF(AND(Расчёты!F27&gt;0,Расчёты!F27&lt;=N('Исходные данные'!$B$37)),-AZ27,0)</f>
        <v>0</v>
      </c>
      <c r="BB27">
        <f>IF(OR(Расчёты!F27=0,Расчёты!F27&lt;=N('Исходные данные'!$B$37)),0,-(AZ27+BA27)*N('Сценарный анализ'!$D$9))</f>
        <v>0</v>
      </c>
      <c r="BC27">
        <f t="shared" si="8"/>
        <v>0</v>
      </c>
      <c r="BD27">
        <f>IF('Исходные данные'!$B$51="Да",BC27*N('Исходные данные'!$B$52),0)</f>
        <v>0</v>
      </c>
      <c r="BE27">
        <f t="shared" si="9"/>
        <v>0</v>
      </c>
      <c r="BF27">
        <f>BC27+(Расчёты!Y27-Расчёты!L27)</f>
        <v>0</v>
      </c>
      <c r="BG27">
        <f t="shared" si="16"/>
        <v>0</v>
      </c>
      <c r="BH27">
        <f>IF('Исходные данные'!$B$51="Да",-MAX(0,BD27+Расчёты!R27+Расчёты!V27-Расчёты!P27-Расчёты!T27-BG27),0)</f>
        <v>0</v>
      </c>
      <c r="BI27">
        <f>IF('Исходные данные'!$B$51="Да",MAX(0,BG27+Расчёты!P27+Расчёты!T27-BD27-Расчёты!R27-Расчёты!V27),0)</f>
        <v>0</v>
      </c>
      <c r="BJ27">
        <f>IF('Исходные данные'!$B$53="Выручка",MAX(0,BC27+(Расчёты!Q27-Расчёты!R27)+(Расчёты!U27-Расчёты!V27)),IF('Исходные данные'!$B$53="Прибыль до налога",MAX(0,BC27+(Расчёты!Q27-Расчёты!R27)+(Расчёты!U27-Расчёты!V27)+N('Исходные данные'!$B$54)*((Расчёты!O27+Расчёты!P27)+(Расчёты!S27+Расчёты!T27)+Расчёты!W27+Расчёты!X27)+IF('Исходные данные'!$B$55="Да",Расчёты!AG27,0)-N('Исходные данные'!$B$56)/12),IF('Исходные данные'!$B$53="Пользовательская база",MAX(0,N('Исходные данные'!$B$57)/12),0)))</f>
        <v>0</v>
      </c>
      <c r="BK27">
        <f>IF(D27=1,-BJ27*N('Исходные данные'!$B$50),0)</f>
        <v>0</v>
      </c>
      <c r="BL27">
        <f t="shared" si="10"/>
        <v>0</v>
      </c>
      <c r="BM27">
        <f>IF(OR(D27&lt;&gt;1,B27="",'Исходные данные'!$B$91="",N('Исходные данные'!$B$80)&lt;=0,'Исходные данные'!$B$88=""),0,IF(AND(YEAR(B27)=YEAR('Исходные данные'!$B$91),MONTH(B27)=MONTH('Исходные данные'!$B$91)),MAX(0,IF('Исходные данные'!$B$88="Последние 12 месяцев",SUMIFS($BF$2:$BF$194,$B$2:$B$194,"&gt;="&amp;EDATE(B27,-11),$B$2:$B$194,"&lt;="&amp;B27),IF('Исходные данные'!$B$88="Пользовательский NOI",N('Исходные данные'!$B$89),BL27))/N('Исходные данные'!$B$80)*(1+N('Исходные данные'!$B$81))),0))</f>
        <v>0</v>
      </c>
      <c r="BN27">
        <f>-BM27*N('Исходные данные'!$B$73)</f>
        <v>0</v>
      </c>
      <c r="BO27">
        <f>IF(BM27=0,0,-N('Исходные данные'!$B$87)-IF('Исходные данные'!$B$82="Да",IF('Исходные данные'!$B$84="С выручки",BM27,IF('Исходные данные'!$B$84="С прибыли",MAX(0,BM27+BN27-IF('Исходные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7">
        <f t="shared" si="11"/>
        <v>0</v>
      </c>
      <c r="BQ27">
        <f>IF(D27=1,Расчёты!AZ27+BE27+BH27+BK27+BP27,0)</f>
        <v>0</v>
      </c>
      <c r="BR27" t="str">
        <f t="shared" si="17"/>
        <v/>
      </c>
      <c r="BS27">
        <f>IF(OR(D27=0,'Исходные данные'!$B$9="",'Исходные данные'!$B$90=""),0,BQ27/(1+'Исходные данные'!$B$90)^((C27-'Исходные данные'!$B$9)/365))</f>
        <v>0</v>
      </c>
      <c r="BT27">
        <f>IF(D27=1,BE27+Расчёты!O27+Расчёты!Q27+Расчёты!S27+Расчёты!U27+Расчёты!W27+Расчёты!X27+BH27+BK27,0)</f>
        <v>0</v>
      </c>
      <c r="BU27">
        <f>IF(AND(D27=1,BR27&gt;=0,BR26&lt;0,MIN($BR$2:BR27)&lt;0),1,0)</f>
        <v>0</v>
      </c>
      <c r="BV27">
        <f>Расчёты!AZ27+K27+N27-P27*N('Исходные данные'!$B$50)</f>
        <v>0</v>
      </c>
      <c r="BW27">
        <f t="shared" si="18"/>
        <v>0</v>
      </c>
      <c r="BX27">
        <f>IF(AND(BW27&gt;=0,BW26&lt;0,MIN($BW$2:BW27)&lt;0),1,0)</f>
        <v>0</v>
      </c>
      <c r="BY27">
        <f>Расчёты!AZ27+AH27+AK27-AM27*N('Исходные данные'!$B$50)</f>
        <v>0</v>
      </c>
      <c r="BZ27">
        <f t="shared" si="19"/>
        <v>0</v>
      </c>
      <c r="CA27">
        <f>IF(AND(BZ27&gt;=0,BZ26&lt;0,MIN($BZ$2:BZ27)&lt;0),1,0)</f>
        <v>0</v>
      </c>
      <c r="CB27">
        <f>Расчёты!AZ27+BE27+BH27-BJ27*N('Исходные данные'!$B$50)</f>
        <v>0</v>
      </c>
      <c r="CC27">
        <f t="shared" si="20"/>
        <v>0</v>
      </c>
      <c r="CD27">
        <f>IF(AND(CC27&gt;=0,CC26&lt;0,MIN($CC$2:CC27)&lt;0),1,0)</f>
        <v>0</v>
      </c>
    </row>
    <row r="28" spans="1:82" x14ac:dyDescent="0.2">
      <c r="A28">
        <f>Расчёты!A28</f>
        <v>27</v>
      </c>
      <c r="B28" t="str">
        <f>Расчёты!B28</f>
        <v/>
      </c>
      <c r="C28" t="str">
        <f>Расчёты!D28</f>
        <v/>
      </c>
      <c r="D28">
        <f>Расчёты!E28</f>
        <v>0</v>
      </c>
      <c r="E28">
        <f>IF(Расчёты!F28=0,0,IF(Расчёты!G28=1,N('Сценарный анализ'!$B$5),IF(Расчёты!G28=2,N('Сценарный анализ'!$B$6),IF(Расчёты!G28=3,N('Сценарный анализ'!$B$7),N('Сценарный анализ'!$B$7)*(1+N('Сценарный анализ'!$B$8))^(Расчёты!G28-3)))))</f>
        <v>0</v>
      </c>
      <c r="F28">
        <f>IF(OR(Расчёты!F28=0,N('Исходные данные'!$B$5)=0,E28=0),0,N('Исходные данные'!$B$5)*E28*IF(AND(B28&lt;='Исходные данные'!$B$30,Расчёты!C28&gt;='Исходные данные'!$B$30),(Расчёты!C28-'Исходные данные'!$B$30+1)/DAY(Расчёты!C28),1))</f>
        <v>0</v>
      </c>
      <c r="G28">
        <f>IF(AND(Расчёты!F28&gt;0,Расчёты!F28&lt;=N('Исходные данные'!$B$37)),-F28,0)</f>
        <v>0</v>
      </c>
      <c r="H28">
        <f>IF(OR(Расчёты!F28=0,Расчёты!F28&lt;=N('Исходные данные'!$B$37)),0,-(F28+G28)*N('Сценарный анализ'!$B$9))</f>
        <v>0</v>
      </c>
      <c r="I28">
        <f t="shared" si="0"/>
        <v>0</v>
      </c>
      <c r="J28">
        <f>IF('Исходные данные'!$B$51="Да",I28*N('Исходные данные'!$B$52),0)</f>
        <v>0</v>
      </c>
      <c r="K28">
        <f t="shared" si="1"/>
        <v>0</v>
      </c>
      <c r="L28">
        <f>I28+(Расчёты!Y28-Расчёты!L28)</f>
        <v>0</v>
      </c>
      <c r="M28">
        <f t="shared" si="12"/>
        <v>0</v>
      </c>
      <c r="N28">
        <f>IF('Исходные данные'!$B$51="Да",-MAX(0,J28+Расчёты!R28+Расчёты!V28-Расчёты!P28-Расчёты!T28-M28),0)</f>
        <v>0</v>
      </c>
      <c r="O28">
        <f>IF('Исходные данные'!$B$51="Да",MAX(0,M28+Расчёты!P28+Расчёты!T28-J28-Расчёты!R28-Расчёты!V28),0)</f>
        <v>0</v>
      </c>
      <c r="P28">
        <f>IF('Исходные данные'!$B$53="Выручка",MAX(0,I28+(Расчёты!Q28-Расчёты!R28)+(Расчёты!U28-Расчёты!V28)),IF('Исходные данные'!$B$53="Прибыль до налога",MAX(0,I28+(Расчёты!Q28-Расчёты!R28)+(Расчёты!U28-Расчёты!V28)+N('Исходные данные'!$B$54)*((Расчёты!O28+Расчёты!P28)+(Расчёты!S28+Расчёты!T28)+Расчёты!W28+Расчёты!X28)+IF('Исходные данные'!$B$55="Да",Расчёты!AG28,0)-N('Исходные данные'!$B$56)/12),IF('Исходные данные'!$B$53="Пользовательская база",MAX(0,N('Исходные данные'!$B$57)/12),0)))</f>
        <v>0</v>
      </c>
      <c r="Q28">
        <f>IF(D28=1,-P28*N('Исходные данные'!$B$50),0)</f>
        <v>0</v>
      </c>
      <c r="R28">
        <f t="shared" si="2"/>
        <v>0</v>
      </c>
      <c r="S28">
        <f>IF(OR(D28&lt;&gt;1,B28="",'Исходные данные'!$B$91="",N('Исходные данные'!$B$80)&lt;=0,'Исходные данные'!$B$88=""),0,IF(AND(YEAR(B28)=YEAR('Исходные данные'!$B$91),MONTH(B28)=MONTH('Исходные данные'!$B$91)),MAX(0,IF('Исходные данные'!$B$88="Последние 12 месяцев",SUMIFS($L$2:$L$194,$B$2:$B$194,"&gt;="&amp;EDATE(B28,-11),$B$2:$B$194,"&lt;="&amp;B28),IF('Исходные данные'!$B$88="Пользовательский NOI",N('Исходные данные'!$B$89),R28))/N('Исходные данные'!$B$80)*(1+N('Исходные данные'!$B$81))),0))</f>
        <v>0</v>
      </c>
      <c r="T28">
        <f>-S28*N('Исходные данные'!$B$73)</f>
        <v>0</v>
      </c>
      <c r="U28">
        <f>IF(S28=0,0,-N('Исходные данные'!$B$87)-IF('Исходные данные'!$B$82="Да",IF('Исходные данные'!$B$84="С выручки",S28,IF('Исходные данные'!$B$84="С прибыли",MAX(0,S28+T28-IF('Исходные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8">
        <f t="shared" si="3"/>
        <v>0</v>
      </c>
      <c r="W28">
        <f>IF(D28=1,Расчёты!AZ28+K28+N28+Q28+V28,0)</f>
        <v>0</v>
      </c>
      <c r="X28" t="str">
        <f t="shared" si="13"/>
        <v/>
      </c>
      <c r="Y28">
        <f>IF(OR(D28=0,'Исходные данные'!$B$9="",'Исходные данные'!$B$90=""),0,W28/(1+'Исходные данные'!$B$90)^((C28-'Исходные данные'!$B$9)/365))</f>
        <v>0</v>
      </c>
      <c r="Z28">
        <f>IF(D28=1,K28+Расчёты!O28+Расчёты!Q28+Расчёты!S28+Расчёты!U28+Расчёты!W28+Расчёты!X28+N28+Q28,0)</f>
        <v>0</v>
      </c>
      <c r="AA28">
        <f>IF(AND(D28=1,X28&gt;=0,X27&lt;0,MIN($X$2:X28)&lt;0),1,0)</f>
        <v>0</v>
      </c>
      <c r="AB28">
        <f>IF(Расчёты!F28=0,0,IF(Расчёты!G28=1,N('Сценарный анализ'!$C$5),IF(Расчёты!G28=2,N('Сценарный анализ'!$C$6),IF(Расчёты!G28=3,N('Сценарный анализ'!$C$7),N('Сценарный анализ'!$C$7)*(1+N('Сценарный анализ'!$C$8))^(Расчёты!G28-3)))))</f>
        <v>0</v>
      </c>
      <c r="AC28">
        <f>IF(OR(Расчёты!F28=0,N('Исходные данные'!$B$5)=0,AB28=0),0,N('Исходные данные'!$B$5)*AB28*IF(AND(B28&lt;='Исходные данные'!$B$30,Расчёты!C28&gt;='Исходные данные'!$B$30),(Расчёты!C28-'Исходные данные'!$B$30+1)/DAY(Расчёты!C28),1))</f>
        <v>0</v>
      </c>
      <c r="AD28">
        <f>IF(AND(Расчёты!F28&gt;0,Расчёты!F28&lt;=N('Исходные данные'!$B$37)),-AC28,0)</f>
        <v>0</v>
      </c>
      <c r="AE28">
        <f>IF(OR(Расчёты!F28=0,Расчёты!F28&lt;=N('Исходные данные'!$B$37)),0,-(AC28+AD28)*N('Сценарный анализ'!$C$9))</f>
        <v>0</v>
      </c>
      <c r="AF28">
        <f t="shared" si="4"/>
        <v>0</v>
      </c>
      <c r="AG28">
        <f>IF('Исходные данные'!$B$51="Да",AF28*N('Исходные данные'!$B$52),0)</f>
        <v>0</v>
      </c>
      <c r="AH28">
        <f t="shared" si="5"/>
        <v>0</v>
      </c>
      <c r="AI28">
        <f>AF28+(Расчёты!Y28-Расчёты!L28)</f>
        <v>0</v>
      </c>
      <c r="AJ28">
        <f t="shared" si="14"/>
        <v>0</v>
      </c>
      <c r="AK28">
        <f>IF('Исходные данные'!$B$51="Да",-MAX(0,AG28+Расчёты!R28+Расчёты!V28-Расчёты!P28-Расчёты!T28-AJ28),0)</f>
        <v>0</v>
      </c>
      <c r="AL28">
        <f>IF('Исходные данные'!$B$51="Да",MAX(0,AJ28+Расчёты!P28+Расчёты!T28-AG28-Расчёты!R28-Расчёты!V28),0)</f>
        <v>0</v>
      </c>
      <c r="AM28">
        <f>IF('Исходные данные'!$B$53="Выручка",MAX(0,AF28+(Расчёты!Q28-Расчёты!R28)+(Расчёты!U28-Расчёты!V28)),IF('Исходные данные'!$B$53="Прибыль до налога",MAX(0,AF28+(Расчёты!Q28-Расчёты!R28)+(Расчёты!U28-Расчёты!V28)+N('Исходные данные'!$B$54)*((Расчёты!O28+Расчёты!P28)+(Расчёты!S28+Расчёты!T28)+Расчёты!W28+Расчёты!X28)+IF('Исходные данные'!$B$55="Да",Расчёты!AG28,0)-N('Исходные данные'!$B$56)/12),IF('Исходные данные'!$B$53="Пользовательская база",MAX(0,N('Исходные данные'!$B$57)/12),0)))</f>
        <v>0</v>
      </c>
      <c r="AN28">
        <f>IF(D28=1,-AM28*N('Исходные данные'!$B$50),0)</f>
        <v>0</v>
      </c>
      <c r="AO28">
        <f t="shared" si="6"/>
        <v>0</v>
      </c>
      <c r="AP28">
        <f>IF(OR(D28&lt;&gt;1,B28="",'Исходные данные'!$B$91="",N('Исходные данные'!$B$80)&lt;=0,'Исходные данные'!$B$88=""),0,IF(AND(YEAR(B28)=YEAR('Исходные данные'!$B$91),MONTH(B28)=MONTH('Исходные данные'!$B$91)),MAX(0,IF('Исходные данные'!$B$88="Последние 12 месяцев",SUMIFS($AI$2:$AI$194,$B$2:$B$194,"&gt;="&amp;EDATE(B28,-11),$B$2:$B$194,"&lt;="&amp;B28),IF('Исходные данные'!$B$88="Пользовательский NOI",N('Исходные данные'!$B$89),AO28))/N('Исходные данные'!$B$80)*(1+N('Исходные данные'!$B$81))),0))</f>
        <v>0</v>
      </c>
      <c r="AQ28">
        <f>-AP28*N('Исходные данные'!$B$73)</f>
        <v>0</v>
      </c>
      <c r="AR28">
        <f>IF(AP28=0,0,-N('Исходные данные'!$B$87)-IF('Исходные данные'!$B$82="Да",IF('Исходные данные'!$B$84="С выручки",AP28,IF('Исходные данные'!$B$84="С прибыли",MAX(0,AP28+AQ28-IF('Исходные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8">
        <f t="shared" si="7"/>
        <v>0</v>
      </c>
      <c r="AT28">
        <f>IF(D28=1,Расчёты!AZ28+AH28+AK28+AN28+AS28,0)</f>
        <v>0</v>
      </c>
      <c r="AU28" t="str">
        <f t="shared" si="15"/>
        <v/>
      </c>
      <c r="AV28">
        <f>IF(OR(D28=0,'Исходные данные'!$B$9="",'Исходные данные'!$B$90=""),0,AT28/(1+'Исходные данные'!$B$90)^((C28-'Исходные данные'!$B$9)/365))</f>
        <v>0</v>
      </c>
      <c r="AW28">
        <f>IF(D28=1,AH28+Расчёты!O28+Расчёты!Q28+Расчёты!S28+Расчёты!U28+Расчёты!W28+Расчёты!X28+AK28+AN28,0)</f>
        <v>0</v>
      </c>
      <c r="AX28">
        <f>IF(AND(D28=1,AU28&gt;=0,AU27&lt;0,MIN($AU$2:AU28)&lt;0),1,0)</f>
        <v>0</v>
      </c>
      <c r="AY28">
        <f>IF(Расчёты!F28=0,0,IF(Расчёты!G28=1,N('Сценарный анализ'!$D$5),IF(Расчёты!G28=2,N('Сценарный анализ'!$D$6),IF(Расчёты!G28=3,N('Сценарный анализ'!$D$7),N('Сценарный анализ'!$D$7)*(1+N('Сценарный анализ'!$D$8))^(Расчёты!G28-3)))))</f>
        <v>0</v>
      </c>
      <c r="AZ28">
        <f>IF(OR(Расчёты!F28=0,N('Исходные данные'!$B$5)=0,AY28=0),0,N('Исходные данные'!$B$5)*AY28*IF(AND(B28&lt;='Исходные данные'!$B$30,Расчёты!C28&gt;='Исходные данные'!$B$30),(Расчёты!C28-'Исходные данные'!$B$30+1)/DAY(Расчёты!C28),1))</f>
        <v>0</v>
      </c>
      <c r="BA28">
        <f>IF(AND(Расчёты!F28&gt;0,Расчёты!F28&lt;=N('Исходные данные'!$B$37)),-AZ28,0)</f>
        <v>0</v>
      </c>
      <c r="BB28">
        <f>IF(OR(Расчёты!F28=0,Расчёты!F28&lt;=N('Исходные данные'!$B$37)),0,-(AZ28+BA28)*N('Сценарный анализ'!$D$9))</f>
        <v>0</v>
      </c>
      <c r="BC28">
        <f t="shared" si="8"/>
        <v>0</v>
      </c>
      <c r="BD28">
        <f>IF('Исходные данные'!$B$51="Да",BC28*N('Исходные данные'!$B$52),0)</f>
        <v>0</v>
      </c>
      <c r="BE28">
        <f t="shared" si="9"/>
        <v>0</v>
      </c>
      <c r="BF28">
        <f>BC28+(Расчёты!Y28-Расчёты!L28)</f>
        <v>0</v>
      </c>
      <c r="BG28">
        <f t="shared" si="16"/>
        <v>0</v>
      </c>
      <c r="BH28">
        <f>IF('Исходные данные'!$B$51="Да",-MAX(0,BD28+Расчёты!R28+Расчёты!V28-Расчёты!P28-Расчёты!T28-BG28),0)</f>
        <v>0</v>
      </c>
      <c r="BI28">
        <f>IF('Исходные данные'!$B$51="Да",MAX(0,BG28+Расчёты!P28+Расчёты!T28-BD28-Расчёты!R28-Расчёты!V28),0)</f>
        <v>0</v>
      </c>
      <c r="BJ28">
        <f>IF('Исходные данные'!$B$53="Выручка",MAX(0,BC28+(Расчёты!Q28-Расчёты!R28)+(Расчёты!U28-Расчёты!V28)),IF('Исходные данные'!$B$53="Прибыль до налога",MAX(0,BC28+(Расчёты!Q28-Расчёты!R28)+(Расчёты!U28-Расчёты!V28)+N('Исходные данные'!$B$54)*((Расчёты!O28+Расчёты!P28)+(Расчёты!S28+Расчёты!T28)+Расчёты!W28+Расчёты!X28)+IF('Исходные данные'!$B$55="Да",Расчёты!AG28,0)-N('Исходные данные'!$B$56)/12),IF('Исходные данные'!$B$53="Пользовательская база",MAX(0,N('Исходные данные'!$B$57)/12),0)))</f>
        <v>0</v>
      </c>
      <c r="BK28">
        <f>IF(D28=1,-BJ28*N('Исходные данные'!$B$50),0)</f>
        <v>0</v>
      </c>
      <c r="BL28">
        <f t="shared" si="10"/>
        <v>0</v>
      </c>
      <c r="BM28">
        <f>IF(OR(D28&lt;&gt;1,B28="",'Исходные данные'!$B$91="",N('Исходные данные'!$B$80)&lt;=0,'Исходные данные'!$B$88=""),0,IF(AND(YEAR(B28)=YEAR('Исходные данные'!$B$91),MONTH(B28)=MONTH('Исходные данные'!$B$91)),MAX(0,IF('Исходные данные'!$B$88="Последние 12 месяцев",SUMIFS($BF$2:$BF$194,$B$2:$B$194,"&gt;="&amp;EDATE(B28,-11),$B$2:$B$194,"&lt;="&amp;B28),IF('Исходные данные'!$B$88="Пользовательский NOI",N('Исходные данные'!$B$89),BL28))/N('Исходные данные'!$B$80)*(1+N('Исходные данные'!$B$81))),0))</f>
        <v>0</v>
      </c>
      <c r="BN28">
        <f>-BM28*N('Исходные данные'!$B$73)</f>
        <v>0</v>
      </c>
      <c r="BO28">
        <f>IF(BM28=0,0,-N('Исходные данные'!$B$87)-IF('Исходные данные'!$B$82="Да",IF('Исходные данные'!$B$84="С выручки",BM28,IF('Исходные данные'!$B$84="С прибыли",MAX(0,BM28+BN28-IF('Исходные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8">
        <f t="shared" si="11"/>
        <v>0</v>
      </c>
      <c r="BQ28">
        <f>IF(D28=1,Расчёты!AZ28+BE28+BH28+BK28+BP28,0)</f>
        <v>0</v>
      </c>
      <c r="BR28" t="str">
        <f t="shared" si="17"/>
        <v/>
      </c>
      <c r="BS28">
        <f>IF(OR(D28=0,'Исходные данные'!$B$9="",'Исходные данные'!$B$90=""),0,BQ28/(1+'Исходные данные'!$B$90)^((C28-'Исходные данные'!$B$9)/365))</f>
        <v>0</v>
      </c>
      <c r="BT28">
        <f>IF(D28=1,BE28+Расчёты!O28+Расчёты!Q28+Расчёты!S28+Расчёты!U28+Расчёты!W28+Расчёты!X28+BH28+BK28,0)</f>
        <v>0</v>
      </c>
      <c r="BU28">
        <f>IF(AND(D28=1,BR28&gt;=0,BR27&lt;0,MIN($BR$2:BR28)&lt;0),1,0)</f>
        <v>0</v>
      </c>
      <c r="BV28">
        <f>Расчёты!AZ28+K28+N28-P28*N('Исходные данные'!$B$50)</f>
        <v>0</v>
      </c>
      <c r="BW28">
        <f t="shared" si="18"/>
        <v>0</v>
      </c>
      <c r="BX28">
        <f>IF(AND(BW28&gt;=0,BW27&lt;0,MIN($BW$2:BW28)&lt;0),1,0)</f>
        <v>0</v>
      </c>
      <c r="BY28">
        <f>Расчёты!AZ28+AH28+AK28-AM28*N('Исходные данные'!$B$50)</f>
        <v>0</v>
      </c>
      <c r="BZ28">
        <f t="shared" si="19"/>
        <v>0</v>
      </c>
      <c r="CA28">
        <f>IF(AND(BZ28&gt;=0,BZ27&lt;0,MIN($BZ$2:BZ28)&lt;0),1,0)</f>
        <v>0</v>
      </c>
      <c r="CB28">
        <f>Расчёты!AZ28+BE28+BH28-BJ28*N('Исходные данные'!$B$50)</f>
        <v>0</v>
      </c>
      <c r="CC28">
        <f t="shared" si="20"/>
        <v>0</v>
      </c>
      <c r="CD28">
        <f>IF(AND(CC28&gt;=0,CC27&lt;0,MIN($CC$2:CC28)&lt;0),1,0)</f>
        <v>0</v>
      </c>
    </row>
    <row r="29" spans="1:82" x14ac:dyDescent="0.2">
      <c r="A29">
        <f>Расчёты!A29</f>
        <v>28</v>
      </c>
      <c r="B29" t="str">
        <f>Расчёты!B29</f>
        <v/>
      </c>
      <c r="C29" t="str">
        <f>Расчёты!D29</f>
        <v/>
      </c>
      <c r="D29">
        <f>Расчёты!E29</f>
        <v>0</v>
      </c>
      <c r="E29">
        <f>IF(Расчёты!F29=0,0,IF(Расчёты!G29=1,N('Сценарный анализ'!$B$5),IF(Расчёты!G29=2,N('Сценарный анализ'!$B$6),IF(Расчёты!G29=3,N('Сценарный анализ'!$B$7),N('Сценарный анализ'!$B$7)*(1+N('Сценарный анализ'!$B$8))^(Расчёты!G29-3)))))</f>
        <v>0</v>
      </c>
      <c r="F29">
        <f>IF(OR(Расчёты!F29=0,N('Исходные данные'!$B$5)=0,E29=0),0,N('Исходные данные'!$B$5)*E29*IF(AND(B29&lt;='Исходные данные'!$B$30,Расчёты!C29&gt;='Исходные данные'!$B$30),(Расчёты!C29-'Исходные данные'!$B$30+1)/DAY(Расчёты!C29),1))</f>
        <v>0</v>
      </c>
      <c r="G29">
        <f>IF(AND(Расчёты!F29&gt;0,Расчёты!F29&lt;=N('Исходные данные'!$B$37)),-F29,0)</f>
        <v>0</v>
      </c>
      <c r="H29">
        <f>IF(OR(Расчёты!F29=0,Расчёты!F29&lt;=N('Исходные данные'!$B$37)),0,-(F29+G29)*N('Сценарный анализ'!$B$9))</f>
        <v>0</v>
      </c>
      <c r="I29">
        <f t="shared" si="0"/>
        <v>0</v>
      </c>
      <c r="J29">
        <f>IF('Исходные данные'!$B$51="Да",I29*N('Исходные данные'!$B$52),0)</f>
        <v>0</v>
      </c>
      <c r="K29">
        <f t="shared" si="1"/>
        <v>0</v>
      </c>
      <c r="L29">
        <f>I29+(Расчёты!Y29-Расчёты!L29)</f>
        <v>0</v>
      </c>
      <c r="M29">
        <f t="shared" si="12"/>
        <v>0</v>
      </c>
      <c r="N29">
        <f>IF('Исходные данные'!$B$51="Да",-MAX(0,J29+Расчёты!R29+Расчёты!V29-Расчёты!P29-Расчёты!T29-M29),0)</f>
        <v>0</v>
      </c>
      <c r="O29">
        <f>IF('Исходные данные'!$B$51="Да",MAX(0,M29+Расчёты!P29+Расчёты!T29-J29-Расчёты!R29-Расчёты!V29),0)</f>
        <v>0</v>
      </c>
      <c r="P29">
        <f>IF('Исходные данные'!$B$53="Выручка",MAX(0,I29+(Расчёты!Q29-Расчёты!R29)+(Расчёты!U29-Расчёты!V29)),IF('Исходные данные'!$B$53="Прибыль до налога",MAX(0,I29+(Расчёты!Q29-Расчёты!R29)+(Расчёты!U29-Расчёты!V29)+N('Исходные данные'!$B$54)*((Расчёты!O29+Расчёты!P29)+(Расчёты!S29+Расчёты!T29)+Расчёты!W29+Расчёты!X29)+IF('Исходные данные'!$B$55="Да",Расчёты!AG29,0)-N('Исходные данные'!$B$56)/12),IF('Исходные данные'!$B$53="Пользовательская база",MAX(0,N('Исходные данные'!$B$57)/12),0)))</f>
        <v>0</v>
      </c>
      <c r="Q29">
        <f>IF(D29=1,-P29*N('Исходные данные'!$B$50),0)</f>
        <v>0</v>
      </c>
      <c r="R29">
        <f t="shared" si="2"/>
        <v>0</v>
      </c>
      <c r="S29">
        <f>IF(OR(D29&lt;&gt;1,B29="",'Исходные данные'!$B$91="",N('Исходные данные'!$B$80)&lt;=0,'Исходные данные'!$B$88=""),0,IF(AND(YEAR(B29)=YEAR('Исходные данные'!$B$91),MONTH(B29)=MONTH('Исходные данные'!$B$91)),MAX(0,IF('Исходные данные'!$B$88="Последние 12 месяцев",SUMIFS($L$2:$L$194,$B$2:$B$194,"&gt;="&amp;EDATE(B29,-11),$B$2:$B$194,"&lt;="&amp;B29),IF('Исходные данные'!$B$88="Пользовательский NOI",N('Исходные данные'!$B$89),R29))/N('Исходные данные'!$B$80)*(1+N('Исходные данные'!$B$81))),0))</f>
        <v>0</v>
      </c>
      <c r="T29">
        <f>-S29*N('Исходные данные'!$B$73)</f>
        <v>0</v>
      </c>
      <c r="U29">
        <f>IF(S29=0,0,-N('Исходные данные'!$B$87)-IF('Исходные данные'!$B$82="Да",IF('Исходные данные'!$B$84="С выручки",S29,IF('Исходные данные'!$B$84="С прибыли",MAX(0,S29+T29-IF('Исходные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9">
        <f t="shared" si="3"/>
        <v>0</v>
      </c>
      <c r="W29">
        <f>IF(D29=1,Расчёты!AZ29+K29+N29+Q29+V29,0)</f>
        <v>0</v>
      </c>
      <c r="X29" t="str">
        <f t="shared" si="13"/>
        <v/>
      </c>
      <c r="Y29">
        <f>IF(OR(D29=0,'Исходные данные'!$B$9="",'Исходные данные'!$B$90=""),0,W29/(1+'Исходные данные'!$B$90)^((C29-'Исходные данные'!$B$9)/365))</f>
        <v>0</v>
      </c>
      <c r="Z29">
        <f>IF(D29=1,K29+Расчёты!O29+Расчёты!Q29+Расчёты!S29+Расчёты!U29+Расчёты!W29+Расчёты!X29+N29+Q29,0)</f>
        <v>0</v>
      </c>
      <c r="AA29">
        <f>IF(AND(D29=1,X29&gt;=0,X28&lt;0,MIN($X$2:X29)&lt;0),1,0)</f>
        <v>0</v>
      </c>
      <c r="AB29">
        <f>IF(Расчёты!F29=0,0,IF(Расчёты!G29=1,N('Сценарный анализ'!$C$5),IF(Расчёты!G29=2,N('Сценарный анализ'!$C$6),IF(Расчёты!G29=3,N('Сценарный анализ'!$C$7),N('Сценарный анализ'!$C$7)*(1+N('Сценарный анализ'!$C$8))^(Расчёты!G29-3)))))</f>
        <v>0</v>
      </c>
      <c r="AC29">
        <f>IF(OR(Расчёты!F29=0,N('Исходные данные'!$B$5)=0,AB29=0),0,N('Исходные данные'!$B$5)*AB29*IF(AND(B29&lt;='Исходные данные'!$B$30,Расчёты!C29&gt;='Исходные данные'!$B$30),(Расчёты!C29-'Исходные данные'!$B$30+1)/DAY(Расчёты!C29),1))</f>
        <v>0</v>
      </c>
      <c r="AD29">
        <f>IF(AND(Расчёты!F29&gt;0,Расчёты!F29&lt;=N('Исходные данные'!$B$37)),-AC29,0)</f>
        <v>0</v>
      </c>
      <c r="AE29">
        <f>IF(OR(Расчёты!F29=0,Расчёты!F29&lt;=N('Исходные данные'!$B$37)),0,-(AC29+AD29)*N('Сценарный анализ'!$C$9))</f>
        <v>0</v>
      </c>
      <c r="AF29">
        <f t="shared" si="4"/>
        <v>0</v>
      </c>
      <c r="AG29">
        <f>IF('Исходные данные'!$B$51="Да",AF29*N('Исходные данные'!$B$52),0)</f>
        <v>0</v>
      </c>
      <c r="AH29">
        <f t="shared" si="5"/>
        <v>0</v>
      </c>
      <c r="AI29">
        <f>AF29+(Расчёты!Y29-Расчёты!L29)</f>
        <v>0</v>
      </c>
      <c r="AJ29">
        <f t="shared" si="14"/>
        <v>0</v>
      </c>
      <c r="AK29">
        <f>IF('Исходные данные'!$B$51="Да",-MAX(0,AG29+Расчёты!R29+Расчёты!V29-Расчёты!P29-Расчёты!T29-AJ29),0)</f>
        <v>0</v>
      </c>
      <c r="AL29">
        <f>IF('Исходные данные'!$B$51="Да",MAX(0,AJ29+Расчёты!P29+Расчёты!T29-AG29-Расчёты!R29-Расчёты!V29),0)</f>
        <v>0</v>
      </c>
      <c r="AM29">
        <f>IF('Исходные данные'!$B$53="Выручка",MAX(0,AF29+(Расчёты!Q29-Расчёты!R29)+(Расчёты!U29-Расчёты!V29)),IF('Исходные данные'!$B$53="Прибыль до налога",MAX(0,AF29+(Расчёты!Q29-Расчёты!R29)+(Расчёты!U29-Расчёты!V29)+N('Исходные данные'!$B$54)*((Расчёты!O29+Расчёты!P29)+(Расчёты!S29+Расчёты!T29)+Расчёты!W29+Расчёты!X29)+IF('Исходные данные'!$B$55="Да",Расчёты!AG29,0)-N('Исходные данные'!$B$56)/12),IF('Исходные данные'!$B$53="Пользовательская база",MAX(0,N('Исходные данные'!$B$57)/12),0)))</f>
        <v>0</v>
      </c>
      <c r="AN29">
        <f>IF(D29=1,-AM29*N('Исходные данные'!$B$50),0)</f>
        <v>0</v>
      </c>
      <c r="AO29">
        <f t="shared" si="6"/>
        <v>0</v>
      </c>
      <c r="AP29">
        <f>IF(OR(D29&lt;&gt;1,B29="",'Исходные данные'!$B$91="",N('Исходные данные'!$B$80)&lt;=0,'Исходные данные'!$B$88=""),0,IF(AND(YEAR(B29)=YEAR('Исходные данные'!$B$91),MONTH(B29)=MONTH('Исходные данные'!$B$91)),MAX(0,IF('Исходные данные'!$B$88="Последние 12 месяцев",SUMIFS($AI$2:$AI$194,$B$2:$B$194,"&gt;="&amp;EDATE(B29,-11),$B$2:$B$194,"&lt;="&amp;B29),IF('Исходные данные'!$B$88="Пользовательский NOI",N('Исходные данные'!$B$89),AO29))/N('Исходные данные'!$B$80)*(1+N('Исходные данные'!$B$81))),0))</f>
        <v>0</v>
      </c>
      <c r="AQ29">
        <f>-AP29*N('Исходные данные'!$B$73)</f>
        <v>0</v>
      </c>
      <c r="AR29">
        <f>IF(AP29=0,0,-N('Исходные данные'!$B$87)-IF('Исходные данные'!$B$82="Да",IF('Исходные данные'!$B$84="С выручки",AP29,IF('Исходные данные'!$B$84="С прибыли",MAX(0,AP29+AQ29-IF('Исходные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9">
        <f t="shared" si="7"/>
        <v>0</v>
      </c>
      <c r="AT29">
        <f>IF(D29=1,Расчёты!AZ29+AH29+AK29+AN29+AS29,0)</f>
        <v>0</v>
      </c>
      <c r="AU29" t="str">
        <f t="shared" si="15"/>
        <v/>
      </c>
      <c r="AV29">
        <f>IF(OR(D29=0,'Исходные данные'!$B$9="",'Исходные данные'!$B$90=""),0,AT29/(1+'Исходные данные'!$B$90)^((C29-'Исходные данные'!$B$9)/365))</f>
        <v>0</v>
      </c>
      <c r="AW29">
        <f>IF(D29=1,AH29+Расчёты!O29+Расчёты!Q29+Расчёты!S29+Расчёты!U29+Расчёты!W29+Расчёты!X29+AK29+AN29,0)</f>
        <v>0</v>
      </c>
      <c r="AX29">
        <f>IF(AND(D29=1,AU29&gt;=0,AU28&lt;0,MIN($AU$2:AU29)&lt;0),1,0)</f>
        <v>0</v>
      </c>
      <c r="AY29">
        <f>IF(Расчёты!F29=0,0,IF(Расчёты!G29=1,N('Сценарный анализ'!$D$5),IF(Расчёты!G29=2,N('Сценарный анализ'!$D$6),IF(Расчёты!G29=3,N('Сценарный анализ'!$D$7),N('Сценарный анализ'!$D$7)*(1+N('Сценарный анализ'!$D$8))^(Расчёты!G29-3)))))</f>
        <v>0</v>
      </c>
      <c r="AZ29">
        <f>IF(OR(Расчёты!F29=0,N('Исходные данные'!$B$5)=0,AY29=0),0,N('Исходные данные'!$B$5)*AY29*IF(AND(B29&lt;='Исходные данные'!$B$30,Расчёты!C29&gt;='Исходные данные'!$B$30),(Расчёты!C29-'Исходные данные'!$B$30+1)/DAY(Расчёты!C29),1))</f>
        <v>0</v>
      </c>
      <c r="BA29">
        <f>IF(AND(Расчёты!F29&gt;0,Расчёты!F29&lt;=N('Исходные данные'!$B$37)),-AZ29,0)</f>
        <v>0</v>
      </c>
      <c r="BB29">
        <f>IF(OR(Расчёты!F29=0,Расчёты!F29&lt;=N('Исходные данные'!$B$37)),0,-(AZ29+BA29)*N('Сценарный анализ'!$D$9))</f>
        <v>0</v>
      </c>
      <c r="BC29">
        <f t="shared" si="8"/>
        <v>0</v>
      </c>
      <c r="BD29">
        <f>IF('Исходные данные'!$B$51="Да",BC29*N('Исходные данные'!$B$52),0)</f>
        <v>0</v>
      </c>
      <c r="BE29">
        <f t="shared" si="9"/>
        <v>0</v>
      </c>
      <c r="BF29">
        <f>BC29+(Расчёты!Y29-Расчёты!L29)</f>
        <v>0</v>
      </c>
      <c r="BG29">
        <f t="shared" si="16"/>
        <v>0</v>
      </c>
      <c r="BH29">
        <f>IF('Исходные данные'!$B$51="Да",-MAX(0,BD29+Расчёты!R29+Расчёты!V29-Расчёты!P29-Расчёты!T29-BG29),0)</f>
        <v>0</v>
      </c>
      <c r="BI29">
        <f>IF('Исходные данные'!$B$51="Да",MAX(0,BG29+Расчёты!P29+Расчёты!T29-BD29-Расчёты!R29-Расчёты!V29),0)</f>
        <v>0</v>
      </c>
      <c r="BJ29">
        <f>IF('Исходные данные'!$B$53="Выручка",MAX(0,BC29+(Расчёты!Q29-Расчёты!R29)+(Расчёты!U29-Расчёты!V29)),IF('Исходные данные'!$B$53="Прибыль до налога",MAX(0,BC29+(Расчёты!Q29-Расчёты!R29)+(Расчёты!U29-Расчёты!V29)+N('Исходные данные'!$B$54)*((Расчёты!O29+Расчёты!P29)+(Расчёты!S29+Расчёты!T29)+Расчёты!W29+Расчёты!X29)+IF('Исходные данные'!$B$55="Да",Расчёты!AG29,0)-N('Исходные данные'!$B$56)/12),IF('Исходные данные'!$B$53="Пользовательская база",MAX(0,N('Исходные данные'!$B$57)/12),0)))</f>
        <v>0</v>
      </c>
      <c r="BK29">
        <f>IF(D29=1,-BJ29*N('Исходные данные'!$B$50),0)</f>
        <v>0</v>
      </c>
      <c r="BL29">
        <f t="shared" si="10"/>
        <v>0</v>
      </c>
      <c r="BM29">
        <f>IF(OR(D29&lt;&gt;1,B29="",'Исходные данные'!$B$91="",N('Исходные данные'!$B$80)&lt;=0,'Исходные данные'!$B$88=""),0,IF(AND(YEAR(B29)=YEAR('Исходные данные'!$B$91),MONTH(B29)=MONTH('Исходные данные'!$B$91)),MAX(0,IF('Исходные данные'!$B$88="Последние 12 месяцев",SUMIFS($BF$2:$BF$194,$B$2:$B$194,"&gt;="&amp;EDATE(B29,-11),$B$2:$B$194,"&lt;="&amp;B29),IF('Исходные данные'!$B$88="Пользовательский NOI",N('Исходные данные'!$B$89),BL29))/N('Исходные данные'!$B$80)*(1+N('Исходные данные'!$B$81))),0))</f>
        <v>0</v>
      </c>
      <c r="BN29">
        <f>-BM29*N('Исходные данные'!$B$73)</f>
        <v>0</v>
      </c>
      <c r="BO29">
        <f>IF(BM29=0,0,-N('Исходные данные'!$B$87)-IF('Исходные данные'!$B$82="Да",IF('Исходные данные'!$B$84="С выручки",BM29,IF('Исходные данные'!$B$84="С прибыли",MAX(0,BM29+BN29-IF('Исходные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9">
        <f t="shared" si="11"/>
        <v>0</v>
      </c>
      <c r="BQ29">
        <f>IF(D29=1,Расчёты!AZ29+BE29+BH29+BK29+BP29,0)</f>
        <v>0</v>
      </c>
      <c r="BR29" t="str">
        <f t="shared" si="17"/>
        <v/>
      </c>
      <c r="BS29">
        <f>IF(OR(D29=0,'Исходные данные'!$B$9="",'Исходные данные'!$B$90=""),0,BQ29/(1+'Исходные данные'!$B$90)^((C29-'Исходные данные'!$B$9)/365))</f>
        <v>0</v>
      </c>
      <c r="BT29">
        <f>IF(D29=1,BE29+Расчёты!O29+Расчёты!Q29+Расчёты!S29+Расчёты!U29+Расчёты!W29+Расчёты!X29+BH29+BK29,0)</f>
        <v>0</v>
      </c>
      <c r="BU29">
        <f>IF(AND(D29=1,BR29&gt;=0,BR28&lt;0,MIN($BR$2:BR29)&lt;0),1,0)</f>
        <v>0</v>
      </c>
      <c r="BV29">
        <f>Расчёты!AZ29+K29+N29-P29*N('Исходные данные'!$B$50)</f>
        <v>0</v>
      </c>
      <c r="BW29">
        <f t="shared" si="18"/>
        <v>0</v>
      </c>
      <c r="BX29">
        <f>IF(AND(BW29&gt;=0,BW28&lt;0,MIN($BW$2:BW29)&lt;0),1,0)</f>
        <v>0</v>
      </c>
      <c r="BY29">
        <f>Расчёты!AZ29+AH29+AK29-AM29*N('Исходные данные'!$B$50)</f>
        <v>0</v>
      </c>
      <c r="BZ29">
        <f t="shared" si="19"/>
        <v>0</v>
      </c>
      <c r="CA29">
        <f>IF(AND(BZ29&gt;=0,BZ28&lt;0,MIN($BZ$2:BZ29)&lt;0),1,0)</f>
        <v>0</v>
      </c>
      <c r="CB29">
        <f>Расчёты!AZ29+BE29+BH29-BJ29*N('Исходные данные'!$B$50)</f>
        <v>0</v>
      </c>
      <c r="CC29">
        <f t="shared" si="20"/>
        <v>0</v>
      </c>
      <c r="CD29">
        <f>IF(AND(CC29&gt;=0,CC28&lt;0,MIN($CC$2:CC29)&lt;0),1,0)</f>
        <v>0</v>
      </c>
    </row>
    <row r="30" spans="1:82" x14ac:dyDescent="0.2">
      <c r="A30">
        <f>Расчёты!A30</f>
        <v>29</v>
      </c>
      <c r="B30" t="str">
        <f>Расчёты!B30</f>
        <v/>
      </c>
      <c r="C30" t="str">
        <f>Расчёты!D30</f>
        <v/>
      </c>
      <c r="D30">
        <f>Расчёты!E30</f>
        <v>0</v>
      </c>
      <c r="E30">
        <f>IF(Расчёты!F30=0,0,IF(Расчёты!G30=1,N('Сценарный анализ'!$B$5),IF(Расчёты!G30=2,N('Сценарный анализ'!$B$6),IF(Расчёты!G30=3,N('Сценарный анализ'!$B$7),N('Сценарный анализ'!$B$7)*(1+N('Сценарный анализ'!$B$8))^(Расчёты!G30-3)))))</f>
        <v>0</v>
      </c>
      <c r="F30">
        <f>IF(OR(Расчёты!F30=0,N('Исходные данные'!$B$5)=0,E30=0),0,N('Исходные данные'!$B$5)*E30*IF(AND(B30&lt;='Исходные данные'!$B$30,Расчёты!C30&gt;='Исходные данные'!$B$30),(Расчёты!C30-'Исходные данные'!$B$30+1)/DAY(Расчёты!C30),1))</f>
        <v>0</v>
      </c>
      <c r="G30">
        <f>IF(AND(Расчёты!F30&gt;0,Расчёты!F30&lt;=N('Исходные данные'!$B$37)),-F30,0)</f>
        <v>0</v>
      </c>
      <c r="H30">
        <f>IF(OR(Расчёты!F30=0,Расчёты!F30&lt;=N('Исходные данные'!$B$37)),0,-(F30+G30)*N('Сценарный анализ'!$B$9))</f>
        <v>0</v>
      </c>
      <c r="I30">
        <f t="shared" si="0"/>
        <v>0</v>
      </c>
      <c r="J30">
        <f>IF('Исходные данные'!$B$51="Да",I30*N('Исходные данные'!$B$52),0)</f>
        <v>0</v>
      </c>
      <c r="K30">
        <f t="shared" si="1"/>
        <v>0</v>
      </c>
      <c r="L30">
        <f>I30+(Расчёты!Y30-Расчёты!L30)</f>
        <v>0</v>
      </c>
      <c r="M30">
        <f t="shared" si="12"/>
        <v>0</v>
      </c>
      <c r="N30">
        <f>IF('Исходные данные'!$B$51="Да",-MAX(0,J30+Расчёты!R30+Расчёты!V30-Расчёты!P30-Расчёты!T30-M30),0)</f>
        <v>0</v>
      </c>
      <c r="O30">
        <f>IF('Исходные данные'!$B$51="Да",MAX(0,M30+Расчёты!P30+Расчёты!T30-J30-Расчёты!R30-Расчёты!V30),0)</f>
        <v>0</v>
      </c>
      <c r="P30">
        <f>IF('Исходные данные'!$B$53="Выручка",MAX(0,I30+(Расчёты!Q30-Расчёты!R30)+(Расчёты!U30-Расчёты!V30)),IF('Исходные данные'!$B$53="Прибыль до налога",MAX(0,I30+(Расчёты!Q30-Расчёты!R30)+(Расчёты!U30-Расчёты!V30)+N('Исходные данные'!$B$54)*((Расчёты!O30+Расчёты!P30)+(Расчёты!S30+Расчёты!T30)+Расчёты!W30+Расчёты!X30)+IF('Исходные данные'!$B$55="Да",Расчёты!AG30,0)-N('Исходные данные'!$B$56)/12),IF('Исходные данные'!$B$53="Пользовательская база",MAX(0,N('Исходные данные'!$B$57)/12),0)))</f>
        <v>0</v>
      </c>
      <c r="Q30">
        <f>IF(D30=1,-P30*N('Исходные данные'!$B$50),0)</f>
        <v>0</v>
      </c>
      <c r="R30">
        <f t="shared" si="2"/>
        <v>0</v>
      </c>
      <c r="S30">
        <f>IF(OR(D30&lt;&gt;1,B30="",'Исходные данные'!$B$91="",N('Исходные данные'!$B$80)&lt;=0,'Исходные данные'!$B$88=""),0,IF(AND(YEAR(B30)=YEAR('Исходные данные'!$B$91),MONTH(B30)=MONTH('Исходные данные'!$B$91)),MAX(0,IF('Исходные данные'!$B$88="Последние 12 месяцев",SUMIFS($L$2:$L$194,$B$2:$B$194,"&gt;="&amp;EDATE(B30,-11),$B$2:$B$194,"&lt;="&amp;B30),IF('Исходные данные'!$B$88="Пользовательский NOI",N('Исходные данные'!$B$89),R30))/N('Исходные данные'!$B$80)*(1+N('Исходные данные'!$B$81))),0))</f>
        <v>0</v>
      </c>
      <c r="T30">
        <f>-S30*N('Исходные данные'!$B$73)</f>
        <v>0</v>
      </c>
      <c r="U30">
        <f>IF(S30=0,0,-N('Исходные данные'!$B$87)-IF('Исходные данные'!$B$82="Да",IF('Исходные данные'!$B$84="С выручки",S30,IF('Исходные данные'!$B$84="С прибыли",MAX(0,S30+T30-IF('Исходные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0">
        <f t="shared" si="3"/>
        <v>0</v>
      </c>
      <c r="W30">
        <f>IF(D30=1,Расчёты!AZ30+K30+N30+Q30+V30,0)</f>
        <v>0</v>
      </c>
      <c r="X30" t="str">
        <f t="shared" si="13"/>
        <v/>
      </c>
      <c r="Y30">
        <f>IF(OR(D30=0,'Исходные данные'!$B$9="",'Исходные данные'!$B$90=""),0,W30/(1+'Исходные данные'!$B$90)^((C30-'Исходные данные'!$B$9)/365))</f>
        <v>0</v>
      </c>
      <c r="Z30">
        <f>IF(D30=1,K30+Расчёты!O30+Расчёты!Q30+Расчёты!S30+Расчёты!U30+Расчёты!W30+Расчёты!X30+N30+Q30,0)</f>
        <v>0</v>
      </c>
      <c r="AA30">
        <f>IF(AND(D30=1,X30&gt;=0,X29&lt;0,MIN($X$2:X30)&lt;0),1,0)</f>
        <v>0</v>
      </c>
      <c r="AB30">
        <f>IF(Расчёты!F30=0,0,IF(Расчёты!G30=1,N('Сценарный анализ'!$C$5),IF(Расчёты!G30=2,N('Сценарный анализ'!$C$6),IF(Расчёты!G30=3,N('Сценарный анализ'!$C$7),N('Сценарный анализ'!$C$7)*(1+N('Сценарный анализ'!$C$8))^(Расчёты!G30-3)))))</f>
        <v>0</v>
      </c>
      <c r="AC30">
        <f>IF(OR(Расчёты!F30=0,N('Исходные данные'!$B$5)=0,AB30=0),0,N('Исходные данные'!$B$5)*AB30*IF(AND(B30&lt;='Исходные данные'!$B$30,Расчёты!C30&gt;='Исходные данные'!$B$30),(Расчёты!C30-'Исходные данные'!$B$30+1)/DAY(Расчёты!C30),1))</f>
        <v>0</v>
      </c>
      <c r="AD30">
        <f>IF(AND(Расчёты!F30&gt;0,Расчёты!F30&lt;=N('Исходные данные'!$B$37)),-AC30,0)</f>
        <v>0</v>
      </c>
      <c r="AE30">
        <f>IF(OR(Расчёты!F30=0,Расчёты!F30&lt;=N('Исходные данные'!$B$37)),0,-(AC30+AD30)*N('Сценарный анализ'!$C$9))</f>
        <v>0</v>
      </c>
      <c r="AF30">
        <f t="shared" si="4"/>
        <v>0</v>
      </c>
      <c r="AG30">
        <f>IF('Исходные данные'!$B$51="Да",AF30*N('Исходные данные'!$B$52),0)</f>
        <v>0</v>
      </c>
      <c r="AH30">
        <f t="shared" si="5"/>
        <v>0</v>
      </c>
      <c r="AI30">
        <f>AF30+(Расчёты!Y30-Расчёты!L30)</f>
        <v>0</v>
      </c>
      <c r="AJ30">
        <f t="shared" si="14"/>
        <v>0</v>
      </c>
      <c r="AK30">
        <f>IF('Исходные данные'!$B$51="Да",-MAX(0,AG30+Расчёты!R30+Расчёты!V30-Расчёты!P30-Расчёты!T30-AJ30),0)</f>
        <v>0</v>
      </c>
      <c r="AL30">
        <f>IF('Исходные данные'!$B$51="Да",MAX(0,AJ30+Расчёты!P30+Расчёты!T30-AG30-Расчёты!R30-Расчёты!V30),0)</f>
        <v>0</v>
      </c>
      <c r="AM30">
        <f>IF('Исходные данные'!$B$53="Выручка",MAX(0,AF30+(Расчёты!Q30-Расчёты!R30)+(Расчёты!U30-Расчёты!V30)),IF('Исходные данные'!$B$53="Прибыль до налога",MAX(0,AF30+(Расчёты!Q30-Расчёты!R30)+(Расчёты!U30-Расчёты!V30)+N('Исходные данные'!$B$54)*((Расчёты!O30+Расчёты!P30)+(Расчёты!S30+Расчёты!T30)+Расчёты!W30+Расчёты!X30)+IF('Исходные данные'!$B$55="Да",Расчёты!AG30,0)-N('Исходные данные'!$B$56)/12),IF('Исходные данные'!$B$53="Пользовательская база",MAX(0,N('Исходные данные'!$B$57)/12),0)))</f>
        <v>0</v>
      </c>
      <c r="AN30">
        <f>IF(D30=1,-AM30*N('Исходные данные'!$B$50),0)</f>
        <v>0</v>
      </c>
      <c r="AO30">
        <f t="shared" si="6"/>
        <v>0</v>
      </c>
      <c r="AP30">
        <f>IF(OR(D30&lt;&gt;1,B30="",'Исходные данные'!$B$91="",N('Исходные данные'!$B$80)&lt;=0,'Исходные данные'!$B$88=""),0,IF(AND(YEAR(B30)=YEAR('Исходные данные'!$B$91),MONTH(B30)=MONTH('Исходные данные'!$B$91)),MAX(0,IF('Исходные данные'!$B$88="Последние 12 месяцев",SUMIFS($AI$2:$AI$194,$B$2:$B$194,"&gt;="&amp;EDATE(B30,-11),$B$2:$B$194,"&lt;="&amp;B30),IF('Исходные данные'!$B$88="Пользовательский NOI",N('Исходные данные'!$B$89),AO30))/N('Исходные данные'!$B$80)*(1+N('Исходные данные'!$B$81))),0))</f>
        <v>0</v>
      </c>
      <c r="AQ30">
        <f>-AP30*N('Исходные данные'!$B$73)</f>
        <v>0</v>
      </c>
      <c r="AR30">
        <f>IF(AP30=0,0,-N('Исходные данные'!$B$87)-IF('Исходные данные'!$B$82="Да",IF('Исходные данные'!$B$84="С выручки",AP30,IF('Исходные данные'!$B$84="С прибыли",MAX(0,AP30+AQ30-IF('Исходные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0">
        <f t="shared" si="7"/>
        <v>0</v>
      </c>
      <c r="AT30">
        <f>IF(D30=1,Расчёты!AZ30+AH30+AK30+AN30+AS30,0)</f>
        <v>0</v>
      </c>
      <c r="AU30" t="str">
        <f t="shared" si="15"/>
        <v/>
      </c>
      <c r="AV30">
        <f>IF(OR(D30=0,'Исходные данные'!$B$9="",'Исходные данные'!$B$90=""),0,AT30/(1+'Исходные данные'!$B$90)^((C30-'Исходные данные'!$B$9)/365))</f>
        <v>0</v>
      </c>
      <c r="AW30">
        <f>IF(D30=1,AH30+Расчёты!O30+Расчёты!Q30+Расчёты!S30+Расчёты!U30+Расчёты!W30+Расчёты!X30+AK30+AN30,0)</f>
        <v>0</v>
      </c>
      <c r="AX30">
        <f>IF(AND(D30=1,AU30&gt;=0,AU29&lt;0,MIN($AU$2:AU30)&lt;0),1,0)</f>
        <v>0</v>
      </c>
      <c r="AY30">
        <f>IF(Расчёты!F30=0,0,IF(Расчёты!G30=1,N('Сценарный анализ'!$D$5),IF(Расчёты!G30=2,N('Сценарный анализ'!$D$6),IF(Расчёты!G30=3,N('Сценарный анализ'!$D$7),N('Сценарный анализ'!$D$7)*(1+N('Сценарный анализ'!$D$8))^(Расчёты!G30-3)))))</f>
        <v>0</v>
      </c>
      <c r="AZ30">
        <f>IF(OR(Расчёты!F30=0,N('Исходные данные'!$B$5)=0,AY30=0),0,N('Исходные данные'!$B$5)*AY30*IF(AND(B30&lt;='Исходные данные'!$B$30,Расчёты!C30&gt;='Исходные данные'!$B$30),(Расчёты!C30-'Исходные данные'!$B$30+1)/DAY(Расчёты!C30),1))</f>
        <v>0</v>
      </c>
      <c r="BA30">
        <f>IF(AND(Расчёты!F30&gt;0,Расчёты!F30&lt;=N('Исходные данные'!$B$37)),-AZ30,0)</f>
        <v>0</v>
      </c>
      <c r="BB30">
        <f>IF(OR(Расчёты!F30=0,Расчёты!F30&lt;=N('Исходные данные'!$B$37)),0,-(AZ30+BA30)*N('Сценарный анализ'!$D$9))</f>
        <v>0</v>
      </c>
      <c r="BC30">
        <f t="shared" si="8"/>
        <v>0</v>
      </c>
      <c r="BD30">
        <f>IF('Исходные данные'!$B$51="Да",BC30*N('Исходные данные'!$B$52),0)</f>
        <v>0</v>
      </c>
      <c r="BE30">
        <f t="shared" si="9"/>
        <v>0</v>
      </c>
      <c r="BF30">
        <f>BC30+(Расчёты!Y30-Расчёты!L30)</f>
        <v>0</v>
      </c>
      <c r="BG30">
        <f t="shared" si="16"/>
        <v>0</v>
      </c>
      <c r="BH30">
        <f>IF('Исходные данные'!$B$51="Да",-MAX(0,BD30+Расчёты!R30+Расчёты!V30-Расчёты!P30-Расчёты!T30-BG30),0)</f>
        <v>0</v>
      </c>
      <c r="BI30">
        <f>IF('Исходные данные'!$B$51="Да",MAX(0,BG30+Расчёты!P30+Расчёты!T30-BD30-Расчёты!R30-Расчёты!V30),0)</f>
        <v>0</v>
      </c>
      <c r="BJ30">
        <f>IF('Исходные данные'!$B$53="Выручка",MAX(0,BC30+(Расчёты!Q30-Расчёты!R30)+(Расчёты!U30-Расчёты!V30)),IF('Исходные данные'!$B$53="Прибыль до налога",MAX(0,BC30+(Расчёты!Q30-Расчёты!R30)+(Расчёты!U30-Расчёты!V30)+N('Исходные данные'!$B$54)*((Расчёты!O30+Расчёты!P30)+(Расчёты!S30+Расчёты!T30)+Расчёты!W30+Расчёты!X30)+IF('Исходные данные'!$B$55="Да",Расчёты!AG30,0)-N('Исходные данные'!$B$56)/12),IF('Исходные данные'!$B$53="Пользовательская база",MAX(0,N('Исходные данные'!$B$57)/12),0)))</f>
        <v>0</v>
      </c>
      <c r="BK30">
        <f>IF(D30=1,-BJ30*N('Исходные данные'!$B$50),0)</f>
        <v>0</v>
      </c>
      <c r="BL30">
        <f t="shared" si="10"/>
        <v>0</v>
      </c>
      <c r="BM30">
        <f>IF(OR(D30&lt;&gt;1,B30="",'Исходные данные'!$B$91="",N('Исходные данные'!$B$80)&lt;=0,'Исходные данные'!$B$88=""),0,IF(AND(YEAR(B30)=YEAR('Исходные данные'!$B$91),MONTH(B30)=MONTH('Исходные данные'!$B$91)),MAX(0,IF('Исходные данные'!$B$88="Последние 12 месяцев",SUMIFS($BF$2:$BF$194,$B$2:$B$194,"&gt;="&amp;EDATE(B30,-11),$B$2:$B$194,"&lt;="&amp;B30),IF('Исходные данные'!$B$88="Пользовательский NOI",N('Исходные данные'!$B$89),BL30))/N('Исходные данные'!$B$80)*(1+N('Исходные данные'!$B$81))),0))</f>
        <v>0</v>
      </c>
      <c r="BN30">
        <f>-BM30*N('Исходные данные'!$B$73)</f>
        <v>0</v>
      </c>
      <c r="BO30">
        <f>IF(BM30=0,0,-N('Исходные данные'!$B$87)-IF('Исходные данные'!$B$82="Да",IF('Исходные данные'!$B$84="С выручки",BM30,IF('Исходные данные'!$B$84="С прибыли",MAX(0,BM30+BN30-IF('Исходные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0">
        <f t="shared" si="11"/>
        <v>0</v>
      </c>
      <c r="BQ30">
        <f>IF(D30=1,Расчёты!AZ30+BE30+BH30+BK30+BP30,0)</f>
        <v>0</v>
      </c>
      <c r="BR30" t="str">
        <f t="shared" si="17"/>
        <v/>
      </c>
      <c r="BS30">
        <f>IF(OR(D30=0,'Исходные данные'!$B$9="",'Исходные данные'!$B$90=""),0,BQ30/(1+'Исходные данные'!$B$90)^((C30-'Исходные данные'!$B$9)/365))</f>
        <v>0</v>
      </c>
      <c r="BT30">
        <f>IF(D30=1,BE30+Расчёты!O30+Расчёты!Q30+Расчёты!S30+Расчёты!U30+Расчёты!W30+Расчёты!X30+BH30+BK30,0)</f>
        <v>0</v>
      </c>
      <c r="BU30">
        <f>IF(AND(D30=1,BR30&gt;=0,BR29&lt;0,MIN($BR$2:BR30)&lt;0),1,0)</f>
        <v>0</v>
      </c>
      <c r="BV30">
        <f>Расчёты!AZ30+K30+N30-P30*N('Исходные данные'!$B$50)</f>
        <v>0</v>
      </c>
      <c r="BW30">
        <f t="shared" si="18"/>
        <v>0</v>
      </c>
      <c r="BX30">
        <f>IF(AND(BW30&gt;=0,BW29&lt;0,MIN($BW$2:BW30)&lt;0),1,0)</f>
        <v>0</v>
      </c>
      <c r="BY30">
        <f>Расчёты!AZ30+AH30+AK30-AM30*N('Исходные данные'!$B$50)</f>
        <v>0</v>
      </c>
      <c r="BZ30">
        <f t="shared" si="19"/>
        <v>0</v>
      </c>
      <c r="CA30">
        <f>IF(AND(BZ30&gt;=0,BZ29&lt;0,MIN($BZ$2:BZ30)&lt;0),1,0)</f>
        <v>0</v>
      </c>
      <c r="CB30">
        <f>Расчёты!AZ30+BE30+BH30-BJ30*N('Исходные данные'!$B$50)</f>
        <v>0</v>
      </c>
      <c r="CC30">
        <f t="shared" si="20"/>
        <v>0</v>
      </c>
      <c r="CD30">
        <f>IF(AND(CC30&gt;=0,CC29&lt;0,MIN($CC$2:CC30)&lt;0),1,0)</f>
        <v>0</v>
      </c>
    </row>
    <row r="31" spans="1:82" x14ac:dyDescent="0.2">
      <c r="A31">
        <f>Расчёты!A31</f>
        <v>30</v>
      </c>
      <c r="B31" t="str">
        <f>Расчёты!B31</f>
        <v/>
      </c>
      <c r="C31" t="str">
        <f>Расчёты!D31</f>
        <v/>
      </c>
      <c r="D31">
        <f>Расчёты!E31</f>
        <v>0</v>
      </c>
      <c r="E31">
        <f>IF(Расчёты!F31=0,0,IF(Расчёты!G31=1,N('Сценарный анализ'!$B$5),IF(Расчёты!G31=2,N('Сценарный анализ'!$B$6),IF(Расчёты!G31=3,N('Сценарный анализ'!$B$7),N('Сценарный анализ'!$B$7)*(1+N('Сценарный анализ'!$B$8))^(Расчёты!G31-3)))))</f>
        <v>0</v>
      </c>
      <c r="F31">
        <f>IF(OR(Расчёты!F31=0,N('Исходные данные'!$B$5)=0,E31=0),0,N('Исходные данные'!$B$5)*E31*IF(AND(B31&lt;='Исходные данные'!$B$30,Расчёты!C31&gt;='Исходные данные'!$B$30),(Расчёты!C31-'Исходные данные'!$B$30+1)/DAY(Расчёты!C31),1))</f>
        <v>0</v>
      </c>
      <c r="G31">
        <f>IF(AND(Расчёты!F31&gt;0,Расчёты!F31&lt;=N('Исходные данные'!$B$37)),-F31,0)</f>
        <v>0</v>
      </c>
      <c r="H31">
        <f>IF(OR(Расчёты!F31=0,Расчёты!F31&lt;=N('Исходные данные'!$B$37)),0,-(F31+G31)*N('Сценарный анализ'!$B$9))</f>
        <v>0</v>
      </c>
      <c r="I31">
        <f t="shared" si="0"/>
        <v>0</v>
      </c>
      <c r="J31">
        <f>IF('Исходные данные'!$B$51="Да",I31*N('Исходные данные'!$B$52),0)</f>
        <v>0</v>
      </c>
      <c r="K31">
        <f t="shared" si="1"/>
        <v>0</v>
      </c>
      <c r="L31">
        <f>I31+(Расчёты!Y31-Расчёты!L31)</f>
        <v>0</v>
      </c>
      <c r="M31">
        <f t="shared" si="12"/>
        <v>0</v>
      </c>
      <c r="N31">
        <f>IF('Исходные данные'!$B$51="Да",-MAX(0,J31+Расчёты!R31+Расчёты!V31-Расчёты!P31-Расчёты!T31-M31),0)</f>
        <v>0</v>
      </c>
      <c r="O31">
        <f>IF('Исходные данные'!$B$51="Да",MAX(0,M31+Расчёты!P31+Расчёты!T31-J31-Расчёты!R31-Расчёты!V31),0)</f>
        <v>0</v>
      </c>
      <c r="P31">
        <f>IF('Исходные данные'!$B$53="Выручка",MAX(0,I31+(Расчёты!Q31-Расчёты!R31)+(Расчёты!U31-Расчёты!V31)),IF('Исходные данные'!$B$53="Прибыль до налога",MAX(0,I31+(Расчёты!Q31-Расчёты!R31)+(Расчёты!U31-Расчёты!V31)+N('Исходные данные'!$B$54)*((Расчёты!O31+Расчёты!P31)+(Расчёты!S31+Расчёты!T31)+Расчёты!W31+Расчёты!X31)+IF('Исходные данные'!$B$55="Да",Расчёты!AG31,0)-N('Исходные данные'!$B$56)/12),IF('Исходные данные'!$B$53="Пользовательская база",MAX(0,N('Исходные данные'!$B$57)/12),0)))</f>
        <v>0</v>
      </c>
      <c r="Q31">
        <f>IF(D31=1,-P31*N('Исходные данные'!$B$50),0)</f>
        <v>0</v>
      </c>
      <c r="R31">
        <f t="shared" si="2"/>
        <v>0</v>
      </c>
      <c r="S31">
        <f>IF(OR(D31&lt;&gt;1,B31="",'Исходные данные'!$B$91="",N('Исходные данные'!$B$80)&lt;=0,'Исходные данные'!$B$88=""),0,IF(AND(YEAR(B31)=YEAR('Исходные данные'!$B$91),MONTH(B31)=MONTH('Исходные данные'!$B$91)),MAX(0,IF('Исходные данные'!$B$88="Последние 12 месяцев",SUMIFS($L$2:$L$194,$B$2:$B$194,"&gt;="&amp;EDATE(B31,-11),$B$2:$B$194,"&lt;="&amp;B31),IF('Исходные данные'!$B$88="Пользовательский NOI",N('Исходные данные'!$B$89),R31))/N('Исходные данные'!$B$80)*(1+N('Исходные данные'!$B$81))),0))</f>
        <v>0</v>
      </c>
      <c r="T31">
        <f>-S31*N('Исходные данные'!$B$73)</f>
        <v>0</v>
      </c>
      <c r="U31">
        <f>IF(S31=0,0,-N('Исходные данные'!$B$87)-IF('Исходные данные'!$B$82="Да",IF('Исходные данные'!$B$84="С выручки",S31,IF('Исходные данные'!$B$84="С прибыли",MAX(0,S31+T31-IF('Исходные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1">
        <f t="shared" si="3"/>
        <v>0</v>
      </c>
      <c r="W31">
        <f>IF(D31=1,Расчёты!AZ31+K31+N31+Q31+V31,0)</f>
        <v>0</v>
      </c>
      <c r="X31" t="str">
        <f t="shared" si="13"/>
        <v/>
      </c>
      <c r="Y31">
        <f>IF(OR(D31=0,'Исходные данные'!$B$9="",'Исходные данные'!$B$90=""),0,W31/(1+'Исходные данные'!$B$90)^((C31-'Исходные данные'!$B$9)/365))</f>
        <v>0</v>
      </c>
      <c r="Z31">
        <f>IF(D31=1,K31+Расчёты!O31+Расчёты!Q31+Расчёты!S31+Расчёты!U31+Расчёты!W31+Расчёты!X31+N31+Q31,0)</f>
        <v>0</v>
      </c>
      <c r="AA31">
        <f>IF(AND(D31=1,X31&gt;=0,X30&lt;0,MIN($X$2:X31)&lt;0),1,0)</f>
        <v>0</v>
      </c>
      <c r="AB31">
        <f>IF(Расчёты!F31=0,0,IF(Расчёты!G31=1,N('Сценарный анализ'!$C$5),IF(Расчёты!G31=2,N('Сценарный анализ'!$C$6),IF(Расчёты!G31=3,N('Сценарный анализ'!$C$7),N('Сценарный анализ'!$C$7)*(1+N('Сценарный анализ'!$C$8))^(Расчёты!G31-3)))))</f>
        <v>0</v>
      </c>
      <c r="AC31">
        <f>IF(OR(Расчёты!F31=0,N('Исходные данные'!$B$5)=0,AB31=0),0,N('Исходные данные'!$B$5)*AB31*IF(AND(B31&lt;='Исходные данные'!$B$30,Расчёты!C31&gt;='Исходные данные'!$B$30),(Расчёты!C31-'Исходные данные'!$B$30+1)/DAY(Расчёты!C31),1))</f>
        <v>0</v>
      </c>
      <c r="AD31">
        <f>IF(AND(Расчёты!F31&gt;0,Расчёты!F31&lt;=N('Исходные данные'!$B$37)),-AC31,0)</f>
        <v>0</v>
      </c>
      <c r="AE31">
        <f>IF(OR(Расчёты!F31=0,Расчёты!F31&lt;=N('Исходные данные'!$B$37)),0,-(AC31+AD31)*N('Сценарный анализ'!$C$9))</f>
        <v>0</v>
      </c>
      <c r="AF31">
        <f t="shared" si="4"/>
        <v>0</v>
      </c>
      <c r="AG31">
        <f>IF('Исходные данные'!$B$51="Да",AF31*N('Исходные данные'!$B$52),0)</f>
        <v>0</v>
      </c>
      <c r="AH31">
        <f t="shared" si="5"/>
        <v>0</v>
      </c>
      <c r="AI31">
        <f>AF31+(Расчёты!Y31-Расчёты!L31)</f>
        <v>0</v>
      </c>
      <c r="AJ31">
        <f t="shared" si="14"/>
        <v>0</v>
      </c>
      <c r="AK31">
        <f>IF('Исходные данные'!$B$51="Да",-MAX(0,AG31+Расчёты!R31+Расчёты!V31-Расчёты!P31-Расчёты!T31-AJ31),0)</f>
        <v>0</v>
      </c>
      <c r="AL31">
        <f>IF('Исходные данные'!$B$51="Да",MAX(0,AJ31+Расчёты!P31+Расчёты!T31-AG31-Расчёты!R31-Расчёты!V31),0)</f>
        <v>0</v>
      </c>
      <c r="AM31">
        <f>IF('Исходные данные'!$B$53="Выручка",MAX(0,AF31+(Расчёты!Q31-Расчёты!R31)+(Расчёты!U31-Расчёты!V31)),IF('Исходные данные'!$B$53="Прибыль до налога",MAX(0,AF31+(Расчёты!Q31-Расчёты!R31)+(Расчёты!U31-Расчёты!V31)+N('Исходные данные'!$B$54)*((Расчёты!O31+Расчёты!P31)+(Расчёты!S31+Расчёты!T31)+Расчёты!W31+Расчёты!X31)+IF('Исходные данные'!$B$55="Да",Расчёты!AG31,0)-N('Исходные данные'!$B$56)/12),IF('Исходные данные'!$B$53="Пользовательская база",MAX(0,N('Исходные данные'!$B$57)/12),0)))</f>
        <v>0</v>
      </c>
      <c r="AN31">
        <f>IF(D31=1,-AM31*N('Исходные данные'!$B$50),0)</f>
        <v>0</v>
      </c>
      <c r="AO31">
        <f t="shared" si="6"/>
        <v>0</v>
      </c>
      <c r="AP31">
        <f>IF(OR(D31&lt;&gt;1,B31="",'Исходные данные'!$B$91="",N('Исходные данные'!$B$80)&lt;=0,'Исходные данные'!$B$88=""),0,IF(AND(YEAR(B31)=YEAR('Исходные данные'!$B$91),MONTH(B31)=MONTH('Исходные данные'!$B$91)),MAX(0,IF('Исходные данные'!$B$88="Последние 12 месяцев",SUMIFS($AI$2:$AI$194,$B$2:$B$194,"&gt;="&amp;EDATE(B31,-11),$B$2:$B$194,"&lt;="&amp;B31),IF('Исходные данные'!$B$88="Пользовательский NOI",N('Исходные данные'!$B$89),AO31))/N('Исходные данные'!$B$80)*(1+N('Исходные данные'!$B$81))),0))</f>
        <v>0</v>
      </c>
      <c r="AQ31">
        <f>-AP31*N('Исходные данные'!$B$73)</f>
        <v>0</v>
      </c>
      <c r="AR31">
        <f>IF(AP31=0,0,-N('Исходные данные'!$B$87)-IF('Исходные данные'!$B$82="Да",IF('Исходные данные'!$B$84="С выручки",AP31,IF('Исходные данные'!$B$84="С прибыли",MAX(0,AP31+AQ31-IF('Исходные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1">
        <f t="shared" si="7"/>
        <v>0</v>
      </c>
      <c r="AT31">
        <f>IF(D31=1,Расчёты!AZ31+AH31+AK31+AN31+AS31,0)</f>
        <v>0</v>
      </c>
      <c r="AU31" t="str">
        <f t="shared" si="15"/>
        <v/>
      </c>
      <c r="AV31">
        <f>IF(OR(D31=0,'Исходные данные'!$B$9="",'Исходные данные'!$B$90=""),0,AT31/(1+'Исходные данные'!$B$90)^((C31-'Исходные данные'!$B$9)/365))</f>
        <v>0</v>
      </c>
      <c r="AW31">
        <f>IF(D31=1,AH31+Расчёты!O31+Расчёты!Q31+Расчёты!S31+Расчёты!U31+Расчёты!W31+Расчёты!X31+AK31+AN31,0)</f>
        <v>0</v>
      </c>
      <c r="AX31">
        <f>IF(AND(D31=1,AU31&gt;=0,AU30&lt;0,MIN($AU$2:AU31)&lt;0),1,0)</f>
        <v>0</v>
      </c>
      <c r="AY31">
        <f>IF(Расчёты!F31=0,0,IF(Расчёты!G31=1,N('Сценарный анализ'!$D$5),IF(Расчёты!G31=2,N('Сценарный анализ'!$D$6),IF(Расчёты!G31=3,N('Сценарный анализ'!$D$7),N('Сценарный анализ'!$D$7)*(1+N('Сценарный анализ'!$D$8))^(Расчёты!G31-3)))))</f>
        <v>0</v>
      </c>
      <c r="AZ31">
        <f>IF(OR(Расчёты!F31=0,N('Исходные данные'!$B$5)=0,AY31=0),0,N('Исходные данные'!$B$5)*AY31*IF(AND(B31&lt;='Исходные данные'!$B$30,Расчёты!C31&gt;='Исходные данные'!$B$30),(Расчёты!C31-'Исходные данные'!$B$30+1)/DAY(Расчёты!C31),1))</f>
        <v>0</v>
      </c>
      <c r="BA31">
        <f>IF(AND(Расчёты!F31&gt;0,Расчёты!F31&lt;=N('Исходные данные'!$B$37)),-AZ31,0)</f>
        <v>0</v>
      </c>
      <c r="BB31">
        <f>IF(OR(Расчёты!F31=0,Расчёты!F31&lt;=N('Исходные данные'!$B$37)),0,-(AZ31+BA31)*N('Сценарный анализ'!$D$9))</f>
        <v>0</v>
      </c>
      <c r="BC31">
        <f t="shared" si="8"/>
        <v>0</v>
      </c>
      <c r="BD31">
        <f>IF('Исходные данные'!$B$51="Да",BC31*N('Исходные данные'!$B$52),0)</f>
        <v>0</v>
      </c>
      <c r="BE31">
        <f t="shared" si="9"/>
        <v>0</v>
      </c>
      <c r="BF31">
        <f>BC31+(Расчёты!Y31-Расчёты!L31)</f>
        <v>0</v>
      </c>
      <c r="BG31">
        <f t="shared" si="16"/>
        <v>0</v>
      </c>
      <c r="BH31">
        <f>IF('Исходные данные'!$B$51="Да",-MAX(0,BD31+Расчёты!R31+Расчёты!V31-Расчёты!P31-Расчёты!T31-BG31),0)</f>
        <v>0</v>
      </c>
      <c r="BI31">
        <f>IF('Исходные данные'!$B$51="Да",MAX(0,BG31+Расчёты!P31+Расчёты!T31-BD31-Расчёты!R31-Расчёты!V31),0)</f>
        <v>0</v>
      </c>
      <c r="BJ31">
        <f>IF('Исходные данные'!$B$53="Выручка",MAX(0,BC31+(Расчёты!Q31-Расчёты!R31)+(Расчёты!U31-Расчёты!V31)),IF('Исходные данные'!$B$53="Прибыль до налога",MAX(0,BC31+(Расчёты!Q31-Расчёты!R31)+(Расчёты!U31-Расчёты!V31)+N('Исходные данные'!$B$54)*((Расчёты!O31+Расчёты!P31)+(Расчёты!S31+Расчёты!T31)+Расчёты!W31+Расчёты!X31)+IF('Исходные данные'!$B$55="Да",Расчёты!AG31,0)-N('Исходные данные'!$B$56)/12),IF('Исходные данные'!$B$53="Пользовательская база",MAX(0,N('Исходные данные'!$B$57)/12),0)))</f>
        <v>0</v>
      </c>
      <c r="BK31">
        <f>IF(D31=1,-BJ31*N('Исходные данные'!$B$50),0)</f>
        <v>0</v>
      </c>
      <c r="BL31">
        <f t="shared" si="10"/>
        <v>0</v>
      </c>
      <c r="BM31">
        <f>IF(OR(D31&lt;&gt;1,B31="",'Исходные данные'!$B$91="",N('Исходные данные'!$B$80)&lt;=0,'Исходные данные'!$B$88=""),0,IF(AND(YEAR(B31)=YEAR('Исходные данные'!$B$91),MONTH(B31)=MONTH('Исходные данные'!$B$91)),MAX(0,IF('Исходные данные'!$B$88="Последние 12 месяцев",SUMIFS($BF$2:$BF$194,$B$2:$B$194,"&gt;="&amp;EDATE(B31,-11),$B$2:$B$194,"&lt;="&amp;B31),IF('Исходные данные'!$B$88="Пользовательский NOI",N('Исходные данные'!$B$89),BL31))/N('Исходные данные'!$B$80)*(1+N('Исходные данные'!$B$81))),0))</f>
        <v>0</v>
      </c>
      <c r="BN31">
        <f>-BM31*N('Исходные данные'!$B$73)</f>
        <v>0</v>
      </c>
      <c r="BO31">
        <f>IF(BM31=0,0,-N('Исходные данные'!$B$87)-IF('Исходные данные'!$B$82="Да",IF('Исходные данные'!$B$84="С выручки",BM31,IF('Исходные данные'!$B$84="С прибыли",MAX(0,BM31+BN31-IF('Исходные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1">
        <f t="shared" si="11"/>
        <v>0</v>
      </c>
      <c r="BQ31">
        <f>IF(D31=1,Расчёты!AZ31+BE31+BH31+BK31+BP31,0)</f>
        <v>0</v>
      </c>
      <c r="BR31" t="str">
        <f t="shared" si="17"/>
        <v/>
      </c>
      <c r="BS31">
        <f>IF(OR(D31=0,'Исходные данные'!$B$9="",'Исходные данные'!$B$90=""),0,BQ31/(1+'Исходные данные'!$B$90)^((C31-'Исходные данные'!$B$9)/365))</f>
        <v>0</v>
      </c>
      <c r="BT31">
        <f>IF(D31=1,BE31+Расчёты!O31+Расчёты!Q31+Расчёты!S31+Расчёты!U31+Расчёты!W31+Расчёты!X31+BH31+BK31,0)</f>
        <v>0</v>
      </c>
      <c r="BU31">
        <f>IF(AND(D31=1,BR31&gt;=0,BR30&lt;0,MIN($BR$2:BR31)&lt;0),1,0)</f>
        <v>0</v>
      </c>
      <c r="BV31">
        <f>Расчёты!AZ31+K31+N31-P31*N('Исходные данные'!$B$50)</f>
        <v>0</v>
      </c>
      <c r="BW31">
        <f t="shared" si="18"/>
        <v>0</v>
      </c>
      <c r="BX31">
        <f>IF(AND(BW31&gt;=0,BW30&lt;0,MIN($BW$2:BW31)&lt;0),1,0)</f>
        <v>0</v>
      </c>
      <c r="BY31">
        <f>Расчёты!AZ31+AH31+AK31-AM31*N('Исходные данные'!$B$50)</f>
        <v>0</v>
      </c>
      <c r="BZ31">
        <f t="shared" si="19"/>
        <v>0</v>
      </c>
      <c r="CA31">
        <f>IF(AND(BZ31&gt;=0,BZ30&lt;0,MIN($BZ$2:BZ31)&lt;0),1,0)</f>
        <v>0</v>
      </c>
      <c r="CB31">
        <f>Расчёты!AZ31+BE31+BH31-BJ31*N('Исходные данные'!$B$50)</f>
        <v>0</v>
      </c>
      <c r="CC31">
        <f t="shared" si="20"/>
        <v>0</v>
      </c>
      <c r="CD31">
        <f>IF(AND(CC31&gt;=0,CC30&lt;0,MIN($CC$2:CC31)&lt;0),1,0)</f>
        <v>0</v>
      </c>
    </row>
    <row r="32" spans="1:82" x14ac:dyDescent="0.2">
      <c r="A32">
        <f>Расчёты!A32</f>
        <v>31</v>
      </c>
      <c r="B32" t="str">
        <f>Расчёты!B32</f>
        <v/>
      </c>
      <c r="C32" t="str">
        <f>Расчёты!D32</f>
        <v/>
      </c>
      <c r="D32">
        <f>Расчёты!E32</f>
        <v>0</v>
      </c>
      <c r="E32">
        <f>IF(Расчёты!F32=0,0,IF(Расчёты!G32=1,N('Сценарный анализ'!$B$5),IF(Расчёты!G32=2,N('Сценарный анализ'!$B$6),IF(Расчёты!G32=3,N('Сценарный анализ'!$B$7),N('Сценарный анализ'!$B$7)*(1+N('Сценарный анализ'!$B$8))^(Расчёты!G32-3)))))</f>
        <v>0</v>
      </c>
      <c r="F32">
        <f>IF(OR(Расчёты!F32=0,N('Исходные данные'!$B$5)=0,E32=0),0,N('Исходные данные'!$B$5)*E32*IF(AND(B32&lt;='Исходные данные'!$B$30,Расчёты!C32&gt;='Исходные данные'!$B$30),(Расчёты!C32-'Исходные данные'!$B$30+1)/DAY(Расчёты!C32),1))</f>
        <v>0</v>
      </c>
      <c r="G32">
        <f>IF(AND(Расчёты!F32&gt;0,Расчёты!F32&lt;=N('Исходные данные'!$B$37)),-F32,0)</f>
        <v>0</v>
      </c>
      <c r="H32">
        <f>IF(OR(Расчёты!F32=0,Расчёты!F32&lt;=N('Исходные данные'!$B$37)),0,-(F32+G32)*N('Сценарный анализ'!$B$9))</f>
        <v>0</v>
      </c>
      <c r="I32">
        <f t="shared" si="0"/>
        <v>0</v>
      </c>
      <c r="J32">
        <f>IF('Исходные данные'!$B$51="Да",I32*N('Исходные данные'!$B$52),0)</f>
        <v>0</v>
      </c>
      <c r="K32">
        <f t="shared" si="1"/>
        <v>0</v>
      </c>
      <c r="L32">
        <f>I32+(Расчёты!Y32-Расчёты!L32)</f>
        <v>0</v>
      </c>
      <c r="M32">
        <f t="shared" si="12"/>
        <v>0</v>
      </c>
      <c r="N32">
        <f>IF('Исходные данные'!$B$51="Да",-MAX(0,J32+Расчёты!R32+Расчёты!V32-Расчёты!P32-Расчёты!T32-M32),0)</f>
        <v>0</v>
      </c>
      <c r="O32">
        <f>IF('Исходные данные'!$B$51="Да",MAX(0,M32+Расчёты!P32+Расчёты!T32-J32-Расчёты!R32-Расчёты!V32),0)</f>
        <v>0</v>
      </c>
      <c r="P32">
        <f>IF('Исходные данные'!$B$53="Выручка",MAX(0,I32+(Расчёты!Q32-Расчёты!R32)+(Расчёты!U32-Расчёты!V32)),IF('Исходные данные'!$B$53="Прибыль до налога",MAX(0,I32+(Расчёты!Q32-Расчёты!R32)+(Расчёты!U32-Расчёты!V32)+N('Исходные данные'!$B$54)*((Расчёты!O32+Расчёты!P32)+(Расчёты!S32+Расчёты!T32)+Расчёты!W32+Расчёты!X32)+IF('Исходные данные'!$B$55="Да",Расчёты!AG32,0)-N('Исходные данные'!$B$56)/12),IF('Исходные данные'!$B$53="Пользовательская база",MAX(0,N('Исходные данные'!$B$57)/12),0)))</f>
        <v>0</v>
      </c>
      <c r="Q32">
        <f>IF(D32=1,-P32*N('Исходные данные'!$B$50),0)</f>
        <v>0</v>
      </c>
      <c r="R32">
        <f t="shared" si="2"/>
        <v>0</v>
      </c>
      <c r="S32">
        <f>IF(OR(D32&lt;&gt;1,B32="",'Исходные данные'!$B$91="",N('Исходные данные'!$B$80)&lt;=0,'Исходные данные'!$B$88=""),0,IF(AND(YEAR(B32)=YEAR('Исходные данные'!$B$91),MONTH(B32)=MONTH('Исходные данные'!$B$91)),MAX(0,IF('Исходные данные'!$B$88="Последние 12 месяцев",SUMIFS($L$2:$L$194,$B$2:$B$194,"&gt;="&amp;EDATE(B32,-11),$B$2:$B$194,"&lt;="&amp;B32),IF('Исходные данные'!$B$88="Пользовательский NOI",N('Исходные данные'!$B$89),R32))/N('Исходные данные'!$B$80)*(1+N('Исходные данные'!$B$81))),0))</f>
        <v>0</v>
      </c>
      <c r="T32">
        <f>-S32*N('Исходные данные'!$B$73)</f>
        <v>0</v>
      </c>
      <c r="U32">
        <f>IF(S32=0,0,-N('Исходные данные'!$B$87)-IF('Исходные данные'!$B$82="Да",IF('Исходные данные'!$B$84="С выручки",S32,IF('Исходные данные'!$B$84="С прибыли",MAX(0,S32+T32-IF('Исходные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2">
        <f t="shared" si="3"/>
        <v>0</v>
      </c>
      <c r="W32">
        <f>IF(D32=1,Расчёты!AZ32+K32+N32+Q32+V32,0)</f>
        <v>0</v>
      </c>
      <c r="X32" t="str">
        <f t="shared" si="13"/>
        <v/>
      </c>
      <c r="Y32">
        <f>IF(OR(D32=0,'Исходные данные'!$B$9="",'Исходные данные'!$B$90=""),0,W32/(1+'Исходные данные'!$B$90)^((C32-'Исходные данные'!$B$9)/365))</f>
        <v>0</v>
      </c>
      <c r="Z32">
        <f>IF(D32=1,K32+Расчёты!O32+Расчёты!Q32+Расчёты!S32+Расчёты!U32+Расчёты!W32+Расчёты!X32+N32+Q32,0)</f>
        <v>0</v>
      </c>
      <c r="AA32">
        <f>IF(AND(D32=1,X32&gt;=0,X31&lt;0,MIN($X$2:X32)&lt;0),1,0)</f>
        <v>0</v>
      </c>
      <c r="AB32">
        <f>IF(Расчёты!F32=0,0,IF(Расчёты!G32=1,N('Сценарный анализ'!$C$5),IF(Расчёты!G32=2,N('Сценарный анализ'!$C$6),IF(Расчёты!G32=3,N('Сценарный анализ'!$C$7),N('Сценарный анализ'!$C$7)*(1+N('Сценарный анализ'!$C$8))^(Расчёты!G32-3)))))</f>
        <v>0</v>
      </c>
      <c r="AC32">
        <f>IF(OR(Расчёты!F32=0,N('Исходные данные'!$B$5)=0,AB32=0),0,N('Исходные данные'!$B$5)*AB32*IF(AND(B32&lt;='Исходные данные'!$B$30,Расчёты!C32&gt;='Исходные данные'!$B$30),(Расчёты!C32-'Исходные данные'!$B$30+1)/DAY(Расчёты!C32),1))</f>
        <v>0</v>
      </c>
      <c r="AD32">
        <f>IF(AND(Расчёты!F32&gt;0,Расчёты!F32&lt;=N('Исходные данные'!$B$37)),-AC32,0)</f>
        <v>0</v>
      </c>
      <c r="AE32">
        <f>IF(OR(Расчёты!F32=0,Расчёты!F32&lt;=N('Исходные данные'!$B$37)),0,-(AC32+AD32)*N('Сценарный анализ'!$C$9))</f>
        <v>0</v>
      </c>
      <c r="AF32">
        <f t="shared" si="4"/>
        <v>0</v>
      </c>
      <c r="AG32">
        <f>IF('Исходные данные'!$B$51="Да",AF32*N('Исходные данные'!$B$52),0)</f>
        <v>0</v>
      </c>
      <c r="AH32">
        <f t="shared" si="5"/>
        <v>0</v>
      </c>
      <c r="AI32">
        <f>AF32+(Расчёты!Y32-Расчёты!L32)</f>
        <v>0</v>
      </c>
      <c r="AJ32">
        <f t="shared" si="14"/>
        <v>0</v>
      </c>
      <c r="AK32">
        <f>IF('Исходные данные'!$B$51="Да",-MAX(0,AG32+Расчёты!R32+Расчёты!V32-Расчёты!P32-Расчёты!T32-AJ32),0)</f>
        <v>0</v>
      </c>
      <c r="AL32">
        <f>IF('Исходные данные'!$B$51="Да",MAX(0,AJ32+Расчёты!P32+Расчёты!T32-AG32-Расчёты!R32-Расчёты!V32),0)</f>
        <v>0</v>
      </c>
      <c r="AM32">
        <f>IF('Исходные данные'!$B$53="Выручка",MAX(0,AF32+(Расчёты!Q32-Расчёты!R32)+(Расчёты!U32-Расчёты!V32)),IF('Исходные данные'!$B$53="Прибыль до налога",MAX(0,AF32+(Расчёты!Q32-Расчёты!R32)+(Расчёты!U32-Расчёты!V32)+N('Исходные данные'!$B$54)*((Расчёты!O32+Расчёты!P32)+(Расчёты!S32+Расчёты!T32)+Расчёты!W32+Расчёты!X32)+IF('Исходные данные'!$B$55="Да",Расчёты!AG32,0)-N('Исходные данные'!$B$56)/12),IF('Исходные данные'!$B$53="Пользовательская база",MAX(0,N('Исходные данные'!$B$57)/12),0)))</f>
        <v>0</v>
      </c>
      <c r="AN32">
        <f>IF(D32=1,-AM32*N('Исходные данные'!$B$50),0)</f>
        <v>0</v>
      </c>
      <c r="AO32">
        <f t="shared" si="6"/>
        <v>0</v>
      </c>
      <c r="AP32">
        <f>IF(OR(D32&lt;&gt;1,B32="",'Исходные данные'!$B$91="",N('Исходные данные'!$B$80)&lt;=0,'Исходные данные'!$B$88=""),0,IF(AND(YEAR(B32)=YEAR('Исходные данные'!$B$91),MONTH(B32)=MONTH('Исходные данные'!$B$91)),MAX(0,IF('Исходные данные'!$B$88="Последние 12 месяцев",SUMIFS($AI$2:$AI$194,$B$2:$B$194,"&gt;="&amp;EDATE(B32,-11),$B$2:$B$194,"&lt;="&amp;B32),IF('Исходные данные'!$B$88="Пользовательский NOI",N('Исходные данные'!$B$89),AO32))/N('Исходные данные'!$B$80)*(1+N('Исходные данные'!$B$81))),0))</f>
        <v>0</v>
      </c>
      <c r="AQ32">
        <f>-AP32*N('Исходные данные'!$B$73)</f>
        <v>0</v>
      </c>
      <c r="AR32">
        <f>IF(AP32=0,0,-N('Исходные данные'!$B$87)-IF('Исходные данные'!$B$82="Да",IF('Исходные данные'!$B$84="С выручки",AP32,IF('Исходные данные'!$B$84="С прибыли",MAX(0,AP32+AQ32-IF('Исходные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2">
        <f t="shared" si="7"/>
        <v>0</v>
      </c>
      <c r="AT32">
        <f>IF(D32=1,Расчёты!AZ32+AH32+AK32+AN32+AS32,0)</f>
        <v>0</v>
      </c>
      <c r="AU32" t="str">
        <f t="shared" si="15"/>
        <v/>
      </c>
      <c r="AV32">
        <f>IF(OR(D32=0,'Исходные данные'!$B$9="",'Исходные данные'!$B$90=""),0,AT32/(1+'Исходные данные'!$B$90)^((C32-'Исходные данные'!$B$9)/365))</f>
        <v>0</v>
      </c>
      <c r="AW32">
        <f>IF(D32=1,AH32+Расчёты!O32+Расчёты!Q32+Расчёты!S32+Расчёты!U32+Расчёты!W32+Расчёты!X32+AK32+AN32,0)</f>
        <v>0</v>
      </c>
      <c r="AX32">
        <f>IF(AND(D32=1,AU32&gt;=0,AU31&lt;0,MIN($AU$2:AU32)&lt;0),1,0)</f>
        <v>0</v>
      </c>
      <c r="AY32">
        <f>IF(Расчёты!F32=0,0,IF(Расчёты!G32=1,N('Сценарный анализ'!$D$5),IF(Расчёты!G32=2,N('Сценарный анализ'!$D$6),IF(Расчёты!G32=3,N('Сценарный анализ'!$D$7),N('Сценарный анализ'!$D$7)*(1+N('Сценарный анализ'!$D$8))^(Расчёты!G32-3)))))</f>
        <v>0</v>
      </c>
      <c r="AZ32">
        <f>IF(OR(Расчёты!F32=0,N('Исходные данные'!$B$5)=0,AY32=0),0,N('Исходные данные'!$B$5)*AY32*IF(AND(B32&lt;='Исходные данные'!$B$30,Расчёты!C32&gt;='Исходные данные'!$B$30),(Расчёты!C32-'Исходные данные'!$B$30+1)/DAY(Расчёты!C32),1))</f>
        <v>0</v>
      </c>
      <c r="BA32">
        <f>IF(AND(Расчёты!F32&gt;0,Расчёты!F32&lt;=N('Исходные данные'!$B$37)),-AZ32,0)</f>
        <v>0</v>
      </c>
      <c r="BB32">
        <f>IF(OR(Расчёты!F32=0,Расчёты!F32&lt;=N('Исходные данные'!$B$37)),0,-(AZ32+BA32)*N('Сценарный анализ'!$D$9))</f>
        <v>0</v>
      </c>
      <c r="BC32">
        <f t="shared" si="8"/>
        <v>0</v>
      </c>
      <c r="BD32">
        <f>IF('Исходные данные'!$B$51="Да",BC32*N('Исходные данные'!$B$52),0)</f>
        <v>0</v>
      </c>
      <c r="BE32">
        <f t="shared" si="9"/>
        <v>0</v>
      </c>
      <c r="BF32">
        <f>BC32+(Расчёты!Y32-Расчёты!L32)</f>
        <v>0</v>
      </c>
      <c r="BG32">
        <f t="shared" si="16"/>
        <v>0</v>
      </c>
      <c r="BH32">
        <f>IF('Исходные данные'!$B$51="Да",-MAX(0,BD32+Расчёты!R32+Расчёты!V32-Расчёты!P32-Расчёты!T32-BG32),0)</f>
        <v>0</v>
      </c>
      <c r="BI32">
        <f>IF('Исходные данные'!$B$51="Да",MAX(0,BG32+Расчёты!P32+Расчёты!T32-BD32-Расчёты!R32-Расчёты!V32),0)</f>
        <v>0</v>
      </c>
      <c r="BJ32">
        <f>IF('Исходные данные'!$B$53="Выручка",MAX(0,BC32+(Расчёты!Q32-Расчёты!R32)+(Расчёты!U32-Расчёты!V32)),IF('Исходные данные'!$B$53="Прибыль до налога",MAX(0,BC32+(Расчёты!Q32-Расчёты!R32)+(Расчёты!U32-Расчёты!V32)+N('Исходные данные'!$B$54)*((Расчёты!O32+Расчёты!P32)+(Расчёты!S32+Расчёты!T32)+Расчёты!W32+Расчёты!X32)+IF('Исходные данные'!$B$55="Да",Расчёты!AG32,0)-N('Исходные данные'!$B$56)/12),IF('Исходные данные'!$B$53="Пользовательская база",MAX(0,N('Исходные данные'!$B$57)/12),0)))</f>
        <v>0</v>
      </c>
      <c r="BK32">
        <f>IF(D32=1,-BJ32*N('Исходные данные'!$B$50),0)</f>
        <v>0</v>
      </c>
      <c r="BL32">
        <f t="shared" si="10"/>
        <v>0</v>
      </c>
      <c r="BM32">
        <f>IF(OR(D32&lt;&gt;1,B32="",'Исходные данные'!$B$91="",N('Исходные данные'!$B$80)&lt;=0,'Исходные данные'!$B$88=""),0,IF(AND(YEAR(B32)=YEAR('Исходные данные'!$B$91),MONTH(B32)=MONTH('Исходные данные'!$B$91)),MAX(0,IF('Исходные данные'!$B$88="Последние 12 месяцев",SUMIFS($BF$2:$BF$194,$B$2:$B$194,"&gt;="&amp;EDATE(B32,-11),$B$2:$B$194,"&lt;="&amp;B32),IF('Исходные данные'!$B$88="Пользовательский NOI",N('Исходные данные'!$B$89),BL32))/N('Исходные данные'!$B$80)*(1+N('Исходные данные'!$B$81))),0))</f>
        <v>0</v>
      </c>
      <c r="BN32">
        <f>-BM32*N('Исходные данные'!$B$73)</f>
        <v>0</v>
      </c>
      <c r="BO32">
        <f>IF(BM32=0,0,-N('Исходные данные'!$B$87)-IF('Исходные данные'!$B$82="Да",IF('Исходные данные'!$B$84="С выручки",BM32,IF('Исходные данные'!$B$84="С прибыли",MAX(0,BM32+BN32-IF('Исходные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2">
        <f t="shared" si="11"/>
        <v>0</v>
      </c>
      <c r="BQ32">
        <f>IF(D32=1,Расчёты!AZ32+BE32+BH32+BK32+BP32,0)</f>
        <v>0</v>
      </c>
      <c r="BR32" t="str">
        <f t="shared" si="17"/>
        <v/>
      </c>
      <c r="BS32">
        <f>IF(OR(D32=0,'Исходные данные'!$B$9="",'Исходные данные'!$B$90=""),0,BQ32/(1+'Исходные данные'!$B$90)^((C32-'Исходные данные'!$B$9)/365))</f>
        <v>0</v>
      </c>
      <c r="BT32">
        <f>IF(D32=1,BE32+Расчёты!O32+Расчёты!Q32+Расчёты!S32+Расчёты!U32+Расчёты!W32+Расчёты!X32+BH32+BK32,0)</f>
        <v>0</v>
      </c>
      <c r="BU32">
        <f>IF(AND(D32=1,BR32&gt;=0,BR31&lt;0,MIN($BR$2:BR32)&lt;0),1,0)</f>
        <v>0</v>
      </c>
      <c r="BV32">
        <f>Расчёты!AZ32+K32+N32-P32*N('Исходные данные'!$B$50)</f>
        <v>0</v>
      </c>
      <c r="BW32">
        <f t="shared" si="18"/>
        <v>0</v>
      </c>
      <c r="BX32">
        <f>IF(AND(BW32&gt;=0,BW31&lt;0,MIN($BW$2:BW32)&lt;0),1,0)</f>
        <v>0</v>
      </c>
      <c r="BY32">
        <f>Расчёты!AZ32+AH32+AK32-AM32*N('Исходные данные'!$B$50)</f>
        <v>0</v>
      </c>
      <c r="BZ32">
        <f t="shared" si="19"/>
        <v>0</v>
      </c>
      <c r="CA32">
        <f>IF(AND(BZ32&gt;=0,BZ31&lt;0,MIN($BZ$2:BZ32)&lt;0),1,0)</f>
        <v>0</v>
      </c>
      <c r="CB32">
        <f>Расчёты!AZ32+BE32+BH32-BJ32*N('Исходные данные'!$B$50)</f>
        <v>0</v>
      </c>
      <c r="CC32">
        <f t="shared" si="20"/>
        <v>0</v>
      </c>
      <c r="CD32">
        <f>IF(AND(CC32&gt;=0,CC31&lt;0,MIN($CC$2:CC32)&lt;0),1,0)</f>
        <v>0</v>
      </c>
    </row>
    <row r="33" spans="1:82" x14ac:dyDescent="0.2">
      <c r="A33">
        <f>Расчёты!A33</f>
        <v>32</v>
      </c>
      <c r="B33" t="str">
        <f>Расчёты!B33</f>
        <v/>
      </c>
      <c r="C33" t="str">
        <f>Расчёты!D33</f>
        <v/>
      </c>
      <c r="D33">
        <f>Расчёты!E33</f>
        <v>0</v>
      </c>
      <c r="E33">
        <f>IF(Расчёты!F33=0,0,IF(Расчёты!G33=1,N('Сценарный анализ'!$B$5),IF(Расчёты!G33=2,N('Сценарный анализ'!$B$6),IF(Расчёты!G33=3,N('Сценарный анализ'!$B$7),N('Сценарный анализ'!$B$7)*(1+N('Сценарный анализ'!$B$8))^(Расчёты!G33-3)))))</f>
        <v>0</v>
      </c>
      <c r="F33">
        <f>IF(OR(Расчёты!F33=0,N('Исходные данные'!$B$5)=0,E33=0),0,N('Исходные данные'!$B$5)*E33*IF(AND(B33&lt;='Исходные данные'!$B$30,Расчёты!C33&gt;='Исходные данные'!$B$30),(Расчёты!C33-'Исходные данные'!$B$30+1)/DAY(Расчёты!C33),1))</f>
        <v>0</v>
      </c>
      <c r="G33">
        <f>IF(AND(Расчёты!F33&gt;0,Расчёты!F33&lt;=N('Исходные данные'!$B$37)),-F33,0)</f>
        <v>0</v>
      </c>
      <c r="H33">
        <f>IF(OR(Расчёты!F33=0,Расчёты!F33&lt;=N('Исходные данные'!$B$37)),0,-(F33+G33)*N('Сценарный анализ'!$B$9))</f>
        <v>0</v>
      </c>
      <c r="I33">
        <f t="shared" si="0"/>
        <v>0</v>
      </c>
      <c r="J33">
        <f>IF('Исходные данные'!$B$51="Да",I33*N('Исходные данные'!$B$52),0)</f>
        <v>0</v>
      </c>
      <c r="K33">
        <f t="shared" si="1"/>
        <v>0</v>
      </c>
      <c r="L33">
        <f>I33+(Расчёты!Y33-Расчёты!L33)</f>
        <v>0</v>
      </c>
      <c r="M33">
        <f t="shared" si="12"/>
        <v>0</v>
      </c>
      <c r="N33">
        <f>IF('Исходные данные'!$B$51="Да",-MAX(0,J33+Расчёты!R33+Расчёты!V33-Расчёты!P33-Расчёты!T33-M33),0)</f>
        <v>0</v>
      </c>
      <c r="O33">
        <f>IF('Исходные данные'!$B$51="Да",MAX(0,M33+Расчёты!P33+Расчёты!T33-J33-Расчёты!R33-Расчёты!V33),0)</f>
        <v>0</v>
      </c>
      <c r="P33">
        <f>IF('Исходные данные'!$B$53="Выручка",MAX(0,I33+(Расчёты!Q33-Расчёты!R33)+(Расчёты!U33-Расчёты!V33)),IF('Исходные данные'!$B$53="Прибыль до налога",MAX(0,I33+(Расчёты!Q33-Расчёты!R33)+(Расчёты!U33-Расчёты!V33)+N('Исходные данные'!$B$54)*((Расчёты!O33+Расчёты!P33)+(Расчёты!S33+Расчёты!T33)+Расчёты!W33+Расчёты!X33)+IF('Исходные данные'!$B$55="Да",Расчёты!AG33,0)-N('Исходные данные'!$B$56)/12),IF('Исходные данные'!$B$53="Пользовательская база",MAX(0,N('Исходные данные'!$B$57)/12),0)))</f>
        <v>0</v>
      </c>
      <c r="Q33">
        <f>IF(D33=1,-P33*N('Исходные данные'!$B$50),0)</f>
        <v>0</v>
      </c>
      <c r="R33">
        <f t="shared" si="2"/>
        <v>0</v>
      </c>
      <c r="S33">
        <f>IF(OR(D33&lt;&gt;1,B33="",'Исходные данные'!$B$91="",N('Исходные данные'!$B$80)&lt;=0,'Исходные данные'!$B$88=""),0,IF(AND(YEAR(B33)=YEAR('Исходные данные'!$B$91),MONTH(B33)=MONTH('Исходные данные'!$B$91)),MAX(0,IF('Исходные данные'!$B$88="Последние 12 месяцев",SUMIFS($L$2:$L$194,$B$2:$B$194,"&gt;="&amp;EDATE(B33,-11),$B$2:$B$194,"&lt;="&amp;B33),IF('Исходные данные'!$B$88="Пользовательский NOI",N('Исходные данные'!$B$89),R33))/N('Исходные данные'!$B$80)*(1+N('Исходные данные'!$B$81))),0))</f>
        <v>0</v>
      </c>
      <c r="T33">
        <f>-S33*N('Исходные данные'!$B$73)</f>
        <v>0</v>
      </c>
      <c r="U33">
        <f>IF(S33=0,0,-N('Исходные данные'!$B$87)-IF('Исходные данные'!$B$82="Да",IF('Исходные данные'!$B$84="С выручки",S33,IF('Исходные данные'!$B$84="С прибыли",MAX(0,S33+T33-IF('Исходные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3">
        <f t="shared" si="3"/>
        <v>0</v>
      </c>
      <c r="W33">
        <f>IF(D33=1,Расчёты!AZ33+K33+N33+Q33+V33,0)</f>
        <v>0</v>
      </c>
      <c r="X33" t="str">
        <f t="shared" si="13"/>
        <v/>
      </c>
      <c r="Y33">
        <f>IF(OR(D33=0,'Исходные данные'!$B$9="",'Исходные данные'!$B$90=""),0,W33/(1+'Исходные данные'!$B$90)^((C33-'Исходные данные'!$B$9)/365))</f>
        <v>0</v>
      </c>
      <c r="Z33">
        <f>IF(D33=1,K33+Расчёты!O33+Расчёты!Q33+Расчёты!S33+Расчёты!U33+Расчёты!W33+Расчёты!X33+N33+Q33,0)</f>
        <v>0</v>
      </c>
      <c r="AA33">
        <f>IF(AND(D33=1,X33&gt;=0,X32&lt;0,MIN($X$2:X33)&lt;0),1,0)</f>
        <v>0</v>
      </c>
      <c r="AB33">
        <f>IF(Расчёты!F33=0,0,IF(Расчёты!G33=1,N('Сценарный анализ'!$C$5),IF(Расчёты!G33=2,N('Сценарный анализ'!$C$6),IF(Расчёты!G33=3,N('Сценарный анализ'!$C$7),N('Сценарный анализ'!$C$7)*(1+N('Сценарный анализ'!$C$8))^(Расчёты!G33-3)))))</f>
        <v>0</v>
      </c>
      <c r="AC33">
        <f>IF(OR(Расчёты!F33=0,N('Исходные данные'!$B$5)=0,AB33=0),0,N('Исходные данные'!$B$5)*AB33*IF(AND(B33&lt;='Исходные данные'!$B$30,Расчёты!C33&gt;='Исходные данные'!$B$30),(Расчёты!C33-'Исходные данные'!$B$30+1)/DAY(Расчёты!C33),1))</f>
        <v>0</v>
      </c>
      <c r="AD33">
        <f>IF(AND(Расчёты!F33&gt;0,Расчёты!F33&lt;=N('Исходные данные'!$B$37)),-AC33,0)</f>
        <v>0</v>
      </c>
      <c r="AE33">
        <f>IF(OR(Расчёты!F33=0,Расчёты!F33&lt;=N('Исходные данные'!$B$37)),0,-(AC33+AD33)*N('Сценарный анализ'!$C$9))</f>
        <v>0</v>
      </c>
      <c r="AF33">
        <f t="shared" si="4"/>
        <v>0</v>
      </c>
      <c r="AG33">
        <f>IF('Исходные данные'!$B$51="Да",AF33*N('Исходные данные'!$B$52),0)</f>
        <v>0</v>
      </c>
      <c r="AH33">
        <f t="shared" si="5"/>
        <v>0</v>
      </c>
      <c r="AI33">
        <f>AF33+(Расчёты!Y33-Расчёты!L33)</f>
        <v>0</v>
      </c>
      <c r="AJ33">
        <f t="shared" si="14"/>
        <v>0</v>
      </c>
      <c r="AK33">
        <f>IF('Исходные данные'!$B$51="Да",-MAX(0,AG33+Расчёты!R33+Расчёты!V33-Расчёты!P33-Расчёты!T33-AJ33),0)</f>
        <v>0</v>
      </c>
      <c r="AL33">
        <f>IF('Исходные данные'!$B$51="Да",MAX(0,AJ33+Расчёты!P33+Расчёты!T33-AG33-Расчёты!R33-Расчёты!V33),0)</f>
        <v>0</v>
      </c>
      <c r="AM33">
        <f>IF('Исходные данные'!$B$53="Выручка",MAX(0,AF33+(Расчёты!Q33-Расчёты!R33)+(Расчёты!U33-Расчёты!V33)),IF('Исходные данные'!$B$53="Прибыль до налога",MAX(0,AF33+(Расчёты!Q33-Расчёты!R33)+(Расчёты!U33-Расчёты!V33)+N('Исходные данные'!$B$54)*((Расчёты!O33+Расчёты!P33)+(Расчёты!S33+Расчёты!T33)+Расчёты!W33+Расчёты!X33)+IF('Исходные данные'!$B$55="Да",Расчёты!AG33,0)-N('Исходные данные'!$B$56)/12),IF('Исходные данные'!$B$53="Пользовательская база",MAX(0,N('Исходные данные'!$B$57)/12),0)))</f>
        <v>0</v>
      </c>
      <c r="AN33">
        <f>IF(D33=1,-AM33*N('Исходные данные'!$B$50),0)</f>
        <v>0</v>
      </c>
      <c r="AO33">
        <f t="shared" si="6"/>
        <v>0</v>
      </c>
      <c r="AP33">
        <f>IF(OR(D33&lt;&gt;1,B33="",'Исходные данные'!$B$91="",N('Исходные данные'!$B$80)&lt;=0,'Исходные данные'!$B$88=""),0,IF(AND(YEAR(B33)=YEAR('Исходные данные'!$B$91),MONTH(B33)=MONTH('Исходные данные'!$B$91)),MAX(0,IF('Исходные данные'!$B$88="Последние 12 месяцев",SUMIFS($AI$2:$AI$194,$B$2:$B$194,"&gt;="&amp;EDATE(B33,-11),$B$2:$B$194,"&lt;="&amp;B33),IF('Исходные данные'!$B$88="Пользовательский NOI",N('Исходные данные'!$B$89),AO33))/N('Исходные данные'!$B$80)*(1+N('Исходные данные'!$B$81))),0))</f>
        <v>0</v>
      </c>
      <c r="AQ33">
        <f>-AP33*N('Исходные данные'!$B$73)</f>
        <v>0</v>
      </c>
      <c r="AR33">
        <f>IF(AP33=0,0,-N('Исходные данные'!$B$87)-IF('Исходные данные'!$B$82="Да",IF('Исходные данные'!$B$84="С выручки",AP33,IF('Исходные данные'!$B$84="С прибыли",MAX(0,AP33+AQ33-IF('Исходные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3">
        <f t="shared" si="7"/>
        <v>0</v>
      </c>
      <c r="AT33">
        <f>IF(D33=1,Расчёты!AZ33+AH33+AK33+AN33+AS33,0)</f>
        <v>0</v>
      </c>
      <c r="AU33" t="str">
        <f t="shared" si="15"/>
        <v/>
      </c>
      <c r="AV33">
        <f>IF(OR(D33=0,'Исходные данные'!$B$9="",'Исходные данные'!$B$90=""),0,AT33/(1+'Исходные данные'!$B$90)^((C33-'Исходные данные'!$B$9)/365))</f>
        <v>0</v>
      </c>
      <c r="AW33">
        <f>IF(D33=1,AH33+Расчёты!O33+Расчёты!Q33+Расчёты!S33+Расчёты!U33+Расчёты!W33+Расчёты!X33+AK33+AN33,0)</f>
        <v>0</v>
      </c>
      <c r="AX33">
        <f>IF(AND(D33=1,AU33&gt;=0,AU32&lt;0,MIN($AU$2:AU33)&lt;0),1,0)</f>
        <v>0</v>
      </c>
      <c r="AY33">
        <f>IF(Расчёты!F33=0,0,IF(Расчёты!G33=1,N('Сценарный анализ'!$D$5),IF(Расчёты!G33=2,N('Сценарный анализ'!$D$6),IF(Расчёты!G33=3,N('Сценарный анализ'!$D$7),N('Сценарный анализ'!$D$7)*(1+N('Сценарный анализ'!$D$8))^(Расчёты!G33-3)))))</f>
        <v>0</v>
      </c>
      <c r="AZ33">
        <f>IF(OR(Расчёты!F33=0,N('Исходные данные'!$B$5)=0,AY33=0),0,N('Исходные данные'!$B$5)*AY33*IF(AND(B33&lt;='Исходные данные'!$B$30,Расчёты!C33&gt;='Исходные данные'!$B$30),(Расчёты!C33-'Исходные данные'!$B$30+1)/DAY(Расчёты!C33),1))</f>
        <v>0</v>
      </c>
      <c r="BA33">
        <f>IF(AND(Расчёты!F33&gt;0,Расчёты!F33&lt;=N('Исходные данные'!$B$37)),-AZ33,0)</f>
        <v>0</v>
      </c>
      <c r="BB33">
        <f>IF(OR(Расчёты!F33=0,Расчёты!F33&lt;=N('Исходные данные'!$B$37)),0,-(AZ33+BA33)*N('Сценарный анализ'!$D$9))</f>
        <v>0</v>
      </c>
      <c r="BC33">
        <f t="shared" si="8"/>
        <v>0</v>
      </c>
      <c r="BD33">
        <f>IF('Исходные данные'!$B$51="Да",BC33*N('Исходные данные'!$B$52),0)</f>
        <v>0</v>
      </c>
      <c r="BE33">
        <f t="shared" si="9"/>
        <v>0</v>
      </c>
      <c r="BF33">
        <f>BC33+(Расчёты!Y33-Расчёты!L33)</f>
        <v>0</v>
      </c>
      <c r="BG33">
        <f t="shared" si="16"/>
        <v>0</v>
      </c>
      <c r="BH33">
        <f>IF('Исходные данные'!$B$51="Да",-MAX(0,BD33+Расчёты!R33+Расчёты!V33-Расчёты!P33-Расчёты!T33-BG33),0)</f>
        <v>0</v>
      </c>
      <c r="BI33">
        <f>IF('Исходные данные'!$B$51="Да",MAX(0,BG33+Расчёты!P33+Расчёты!T33-BD33-Расчёты!R33-Расчёты!V33),0)</f>
        <v>0</v>
      </c>
      <c r="BJ33">
        <f>IF('Исходные данные'!$B$53="Выручка",MAX(0,BC33+(Расчёты!Q33-Расчёты!R33)+(Расчёты!U33-Расчёты!V33)),IF('Исходные данные'!$B$53="Прибыль до налога",MAX(0,BC33+(Расчёты!Q33-Расчёты!R33)+(Расчёты!U33-Расчёты!V33)+N('Исходные данные'!$B$54)*((Расчёты!O33+Расчёты!P33)+(Расчёты!S33+Расчёты!T33)+Расчёты!W33+Расчёты!X33)+IF('Исходные данные'!$B$55="Да",Расчёты!AG33,0)-N('Исходные данные'!$B$56)/12),IF('Исходные данные'!$B$53="Пользовательская база",MAX(0,N('Исходные данные'!$B$57)/12),0)))</f>
        <v>0</v>
      </c>
      <c r="BK33">
        <f>IF(D33=1,-BJ33*N('Исходные данные'!$B$50),0)</f>
        <v>0</v>
      </c>
      <c r="BL33">
        <f t="shared" si="10"/>
        <v>0</v>
      </c>
      <c r="BM33">
        <f>IF(OR(D33&lt;&gt;1,B33="",'Исходные данные'!$B$91="",N('Исходные данные'!$B$80)&lt;=0,'Исходные данные'!$B$88=""),0,IF(AND(YEAR(B33)=YEAR('Исходные данные'!$B$91),MONTH(B33)=MONTH('Исходные данные'!$B$91)),MAX(0,IF('Исходные данные'!$B$88="Последние 12 месяцев",SUMIFS($BF$2:$BF$194,$B$2:$B$194,"&gt;="&amp;EDATE(B33,-11),$B$2:$B$194,"&lt;="&amp;B33),IF('Исходные данные'!$B$88="Пользовательский NOI",N('Исходные данные'!$B$89),BL33))/N('Исходные данные'!$B$80)*(1+N('Исходные данные'!$B$81))),0))</f>
        <v>0</v>
      </c>
      <c r="BN33">
        <f>-BM33*N('Исходные данные'!$B$73)</f>
        <v>0</v>
      </c>
      <c r="BO33">
        <f>IF(BM33=0,0,-N('Исходные данные'!$B$87)-IF('Исходные данные'!$B$82="Да",IF('Исходные данные'!$B$84="С выручки",BM33,IF('Исходные данные'!$B$84="С прибыли",MAX(0,BM33+BN33-IF('Исходные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3">
        <f t="shared" si="11"/>
        <v>0</v>
      </c>
      <c r="BQ33">
        <f>IF(D33=1,Расчёты!AZ33+BE33+BH33+BK33+BP33,0)</f>
        <v>0</v>
      </c>
      <c r="BR33" t="str">
        <f t="shared" si="17"/>
        <v/>
      </c>
      <c r="BS33">
        <f>IF(OR(D33=0,'Исходные данные'!$B$9="",'Исходные данные'!$B$90=""),0,BQ33/(1+'Исходные данные'!$B$90)^((C33-'Исходные данные'!$B$9)/365))</f>
        <v>0</v>
      </c>
      <c r="BT33">
        <f>IF(D33=1,BE33+Расчёты!O33+Расчёты!Q33+Расчёты!S33+Расчёты!U33+Расчёты!W33+Расчёты!X33+BH33+BK33,0)</f>
        <v>0</v>
      </c>
      <c r="BU33">
        <f>IF(AND(D33=1,BR33&gt;=0,BR32&lt;0,MIN($BR$2:BR33)&lt;0),1,0)</f>
        <v>0</v>
      </c>
      <c r="BV33">
        <f>Расчёты!AZ33+K33+N33-P33*N('Исходные данные'!$B$50)</f>
        <v>0</v>
      </c>
      <c r="BW33">
        <f t="shared" si="18"/>
        <v>0</v>
      </c>
      <c r="BX33">
        <f>IF(AND(BW33&gt;=0,BW32&lt;0,MIN($BW$2:BW33)&lt;0),1,0)</f>
        <v>0</v>
      </c>
      <c r="BY33">
        <f>Расчёты!AZ33+AH33+AK33-AM33*N('Исходные данные'!$B$50)</f>
        <v>0</v>
      </c>
      <c r="BZ33">
        <f t="shared" si="19"/>
        <v>0</v>
      </c>
      <c r="CA33">
        <f>IF(AND(BZ33&gt;=0,BZ32&lt;0,MIN($BZ$2:BZ33)&lt;0),1,0)</f>
        <v>0</v>
      </c>
      <c r="CB33">
        <f>Расчёты!AZ33+BE33+BH33-BJ33*N('Исходные данные'!$B$50)</f>
        <v>0</v>
      </c>
      <c r="CC33">
        <f t="shared" si="20"/>
        <v>0</v>
      </c>
      <c r="CD33">
        <f>IF(AND(CC33&gt;=0,CC32&lt;0,MIN($CC$2:CC33)&lt;0),1,0)</f>
        <v>0</v>
      </c>
    </row>
    <row r="34" spans="1:82" x14ac:dyDescent="0.2">
      <c r="A34">
        <f>Расчёты!A34</f>
        <v>33</v>
      </c>
      <c r="B34" t="str">
        <f>Расчёты!B34</f>
        <v/>
      </c>
      <c r="C34" t="str">
        <f>Расчёты!D34</f>
        <v/>
      </c>
      <c r="D34">
        <f>Расчёты!E34</f>
        <v>0</v>
      </c>
      <c r="E34">
        <f>IF(Расчёты!F34=0,0,IF(Расчёты!G34=1,N('Сценарный анализ'!$B$5),IF(Расчёты!G34=2,N('Сценарный анализ'!$B$6),IF(Расчёты!G34=3,N('Сценарный анализ'!$B$7),N('Сценарный анализ'!$B$7)*(1+N('Сценарный анализ'!$B$8))^(Расчёты!G34-3)))))</f>
        <v>0</v>
      </c>
      <c r="F34">
        <f>IF(OR(Расчёты!F34=0,N('Исходные данные'!$B$5)=0,E34=0),0,N('Исходные данные'!$B$5)*E34*IF(AND(B34&lt;='Исходные данные'!$B$30,Расчёты!C34&gt;='Исходные данные'!$B$30),(Расчёты!C34-'Исходные данные'!$B$30+1)/DAY(Расчёты!C34),1))</f>
        <v>0</v>
      </c>
      <c r="G34">
        <f>IF(AND(Расчёты!F34&gt;0,Расчёты!F34&lt;=N('Исходные данные'!$B$37)),-F34,0)</f>
        <v>0</v>
      </c>
      <c r="H34">
        <f>IF(OR(Расчёты!F34=0,Расчёты!F34&lt;=N('Исходные данные'!$B$37)),0,-(F34+G34)*N('Сценарный анализ'!$B$9))</f>
        <v>0</v>
      </c>
      <c r="I34">
        <f t="shared" ref="I34:I65" si="21">F34+G34+H34</f>
        <v>0</v>
      </c>
      <c r="J34">
        <f>IF('Исходные данные'!$B$51="Да",I34*N('Исходные данные'!$B$52),0)</f>
        <v>0</v>
      </c>
      <c r="K34">
        <f t="shared" ref="K34:K65" si="22">I34+J34</f>
        <v>0</v>
      </c>
      <c r="L34">
        <f>I34+(Расчёты!Y34-Расчёты!L34)</f>
        <v>0</v>
      </c>
      <c r="M34">
        <f t="shared" si="12"/>
        <v>0</v>
      </c>
      <c r="N34">
        <f>IF('Исходные данные'!$B$51="Да",-MAX(0,J34+Расчёты!R34+Расчёты!V34-Расчёты!P34-Расчёты!T34-M34),0)</f>
        <v>0</v>
      </c>
      <c r="O34">
        <f>IF('Исходные данные'!$B$51="Да",MAX(0,M34+Расчёты!P34+Расчёты!T34-J34-Расчёты!R34-Расчёты!V34),0)</f>
        <v>0</v>
      </c>
      <c r="P34">
        <f>IF('Исходные данные'!$B$53="Выручка",MAX(0,I34+(Расчёты!Q34-Расчёты!R34)+(Расчёты!U34-Расчёты!V34)),IF('Исходные данные'!$B$53="Прибыль до налога",MAX(0,I34+(Расчёты!Q34-Расчёты!R34)+(Расчёты!U34-Расчёты!V34)+N('Исходные данные'!$B$54)*((Расчёты!O34+Расчёты!P34)+(Расчёты!S34+Расчёты!T34)+Расчёты!W34+Расчёты!X34)+IF('Исходные данные'!$B$55="Да",Расчёты!AG34,0)-N('Исходные данные'!$B$56)/12),IF('Исходные данные'!$B$53="Пользовательская база",MAX(0,N('Исходные данные'!$B$57)/12),0)))</f>
        <v>0</v>
      </c>
      <c r="Q34">
        <f>IF(D34=1,-P34*N('Исходные данные'!$B$50),0)</f>
        <v>0</v>
      </c>
      <c r="R34">
        <f t="shared" ref="R34:R65" si="23">IF(B34="",0,SUMIFS($L$2:$L$194,$B$2:$B$194,"&gt;"&amp;B34,$B$2:$B$194,"&lt;="&amp;EDATE(B34,12)))</f>
        <v>0</v>
      </c>
      <c r="S34">
        <f>IF(OR(D34&lt;&gt;1,B34="",'Исходные данные'!$B$91="",N('Исходные данные'!$B$80)&lt;=0,'Исходные данные'!$B$88=""),0,IF(AND(YEAR(B34)=YEAR('Исходные данные'!$B$91),MONTH(B34)=MONTH('Исходные данные'!$B$91)),MAX(0,IF('Исходные данные'!$B$88="Последние 12 месяцев",SUMIFS($L$2:$L$194,$B$2:$B$194,"&gt;="&amp;EDATE(B34,-11),$B$2:$B$194,"&lt;="&amp;B34),IF('Исходные данные'!$B$88="Пользовательский NOI",N('Исходные данные'!$B$89),R34))/N('Исходные данные'!$B$80)*(1+N('Исходные данные'!$B$81))),0))</f>
        <v>0</v>
      </c>
      <c r="T34">
        <f>-S34*N('Исходные данные'!$B$73)</f>
        <v>0</v>
      </c>
      <c r="U34">
        <f>IF(S34=0,0,-N('Исходные данные'!$B$87)-IF('Исходные данные'!$B$82="Да",IF('Исходные данные'!$B$84="С выручки",S34,IF('Исходные данные'!$B$84="С прибыли",MAX(0,S34+T34-IF('Исходные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4">
        <f t="shared" ref="V34:V65" si="24">S34+T34+U34</f>
        <v>0</v>
      </c>
      <c r="W34">
        <f>IF(D34=1,Расчёты!AZ34+K34+N34+Q34+V34,0)</f>
        <v>0</v>
      </c>
      <c r="X34" t="str">
        <f t="shared" si="13"/>
        <v/>
      </c>
      <c r="Y34">
        <f>IF(OR(D34=0,'Исходные данные'!$B$9="",'Исходные данные'!$B$90=""),0,W34/(1+'Исходные данные'!$B$90)^((C34-'Исходные данные'!$B$9)/365))</f>
        <v>0</v>
      </c>
      <c r="Z34">
        <f>IF(D34=1,K34+Расчёты!O34+Расчёты!Q34+Расчёты!S34+Расчёты!U34+Расчёты!W34+Расчёты!X34+N34+Q34,0)</f>
        <v>0</v>
      </c>
      <c r="AA34">
        <f>IF(AND(D34=1,X34&gt;=0,X33&lt;0,MIN($X$2:X34)&lt;0),1,0)</f>
        <v>0</v>
      </c>
      <c r="AB34">
        <f>IF(Расчёты!F34=0,0,IF(Расчёты!G34=1,N('Сценарный анализ'!$C$5),IF(Расчёты!G34=2,N('Сценарный анализ'!$C$6),IF(Расчёты!G34=3,N('Сценарный анализ'!$C$7),N('Сценарный анализ'!$C$7)*(1+N('Сценарный анализ'!$C$8))^(Расчёты!G34-3)))))</f>
        <v>0</v>
      </c>
      <c r="AC34">
        <f>IF(OR(Расчёты!F34=0,N('Исходные данные'!$B$5)=0,AB34=0),0,N('Исходные данные'!$B$5)*AB34*IF(AND(B34&lt;='Исходные данные'!$B$30,Расчёты!C34&gt;='Исходные данные'!$B$30),(Расчёты!C34-'Исходные данные'!$B$30+1)/DAY(Расчёты!C34),1))</f>
        <v>0</v>
      </c>
      <c r="AD34">
        <f>IF(AND(Расчёты!F34&gt;0,Расчёты!F34&lt;=N('Исходные данные'!$B$37)),-AC34,0)</f>
        <v>0</v>
      </c>
      <c r="AE34">
        <f>IF(OR(Расчёты!F34=0,Расчёты!F34&lt;=N('Исходные данные'!$B$37)),0,-(AC34+AD34)*N('Сценарный анализ'!$C$9))</f>
        <v>0</v>
      </c>
      <c r="AF34">
        <f t="shared" ref="AF34:AF65" si="25">AC34+AD34+AE34</f>
        <v>0</v>
      </c>
      <c r="AG34">
        <f>IF('Исходные данные'!$B$51="Да",AF34*N('Исходные данные'!$B$52),0)</f>
        <v>0</v>
      </c>
      <c r="AH34">
        <f t="shared" ref="AH34:AH65" si="26">AF34+AG34</f>
        <v>0</v>
      </c>
      <c r="AI34">
        <f>AF34+(Расчёты!Y34-Расчёты!L34)</f>
        <v>0</v>
      </c>
      <c r="AJ34">
        <f t="shared" si="14"/>
        <v>0</v>
      </c>
      <c r="AK34">
        <f>IF('Исходные данные'!$B$51="Да",-MAX(0,AG34+Расчёты!R34+Расчёты!V34-Расчёты!P34-Расчёты!T34-AJ34),0)</f>
        <v>0</v>
      </c>
      <c r="AL34">
        <f>IF('Исходные данные'!$B$51="Да",MAX(0,AJ34+Расчёты!P34+Расчёты!T34-AG34-Расчёты!R34-Расчёты!V34),0)</f>
        <v>0</v>
      </c>
      <c r="AM34">
        <f>IF('Исходные данные'!$B$53="Выручка",MAX(0,AF34+(Расчёты!Q34-Расчёты!R34)+(Расчёты!U34-Расчёты!V34)),IF('Исходные данные'!$B$53="Прибыль до налога",MAX(0,AF34+(Расчёты!Q34-Расчёты!R34)+(Расчёты!U34-Расчёты!V34)+N('Исходные данные'!$B$54)*((Расчёты!O34+Расчёты!P34)+(Расчёты!S34+Расчёты!T34)+Расчёты!W34+Расчёты!X34)+IF('Исходные данные'!$B$55="Да",Расчёты!AG34,0)-N('Исходные данные'!$B$56)/12),IF('Исходные данные'!$B$53="Пользовательская база",MAX(0,N('Исходные данные'!$B$57)/12),0)))</f>
        <v>0</v>
      </c>
      <c r="AN34">
        <f>IF(D34=1,-AM34*N('Исходные данные'!$B$50),0)</f>
        <v>0</v>
      </c>
      <c r="AO34">
        <f t="shared" ref="AO34:AO65" si="27">IF(B34="",0,SUMIFS($AI$2:$AI$194,$B$2:$B$194,"&gt;"&amp;B34,$B$2:$B$194,"&lt;="&amp;EDATE(B34,12)))</f>
        <v>0</v>
      </c>
      <c r="AP34">
        <f>IF(OR(D34&lt;&gt;1,B34="",'Исходные данные'!$B$91="",N('Исходные данные'!$B$80)&lt;=0,'Исходные данные'!$B$88=""),0,IF(AND(YEAR(B34)=YEAR('Исходные данные'!$B$91),MONTH(B34)=MONTH('Исходные данные'!$B$91)),MAX(0,IF('Исходные данные'!$B$88="Последние 12 месяцев",SUMIFS($AI$2:$AI$194,$B$2:$B$194,"&gt;="&amp;EDATE(B34,-11),$B$2:$B$194,"&lt;="&amp;B34),IF('Исходные данные'!$B$88="Пользовательский NOI",N('Исходные данные'!$B$89),AO34))/N('Исходные данные'!$B$80)*(1+N('Исходные данные'!$B$81))),0))</f>
        <v>0</v>
      </c>
      <c r="AQ34">
        <f>-AP34*N('Исходные данные'!$B$73)</f>
        <v>0</v>
      </c>
      <c r="AR34">
        <f>IF(AP34=0,0,-N('Исходные данные'!$B$87)-IF('Исходные данные'!$B$82="Да",IF('Исходные данные'!$B$84="С выручки",AP34,IF('Исходные данные'!$B$84="С прибыли",MAX(0,AP34+AQ34-IF('Исходные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4">
        <f t="shared" ref="AS34:AS65" si="28">AP34+AQ34+AR34</f>
        <v>0</v>
      </c>
      <c r="AT34">
        <f>IF(D34=1,Расчёты!AZ34+AH34+AK34+AN34+AS34,0)</f>
        <v>0</v>
      </c>
      <c r="AU34" t="str">
        <f t="shared" si="15"/>
        <v/>
      </c>
      <c r="AV34">
        <f>IF(OR(D34=0,'Исходные данные'!$B$9="",'Исходные данные'!$B$90=""),0,AT34/(1+'Исходные данные'!$B$90)^((C34-'Исходные данные'!$B$9)/365))</f>
        <v>0</v>
      </c>
      <c r="AW34">
        <f>IF(D34=1,AH34+Расчёты!O34+Расчёты!Q34+Расчёты!S34+Расчёты!U34+Расчёты!W34+Расчёты!X34+AK34+AN34,0)</f>
        <v>0</v>
      </c>
      <c r="AX34">
        <f>IF(AND(D34=1,AU34&gt;=0,AU33&lt;0,MIN($AU$2:AU34)&lt;0),1,0)</f>
        <v>0</v>
      </c>
      <c r="AY34">
        <f>IF(Расчёты!F34=0,0,IF(Расчёты!G34=1,N('Сценарный анализ'!$D$5),IF(Расчёты!G34=2,N('Сценарный анализ'!$D$6),IF(Расчёты!G34=3,N('Сценарный анализ'!$D$7),N('Сценарный анализ'!$D$7)*(1+N('Сценарный анализ'!$D$8))^(Расчёты!G34-3)))))</f>
        <v>0</v>
      </c>
      <c r="AZ34">
        <f>IF(OR(Расчёты!F34=0,N('Исходные данные'!$B$5)=0,AY34=0),0,N('Исходные данные'!$B$5)*AY34*IF(AND(B34&lt;='Исходные данные'!$B$30,Расчёты!C34&gt;='Исходные данные'!$B$30),(Расчёты!C34-'Исходные данные'!$B$30+1)/DAY(Расчёты!C34),1))</f>
        <v>0</v>
      </c>
      <c r="BA34">
        <f>IF(AND(Расчёты!F34&gt;0,Расчёты!F34&lt;=N('Исходные данные'!$B$37)),-AZ34,0)</f>
        <v>0</v>
      </c>
      <c r="BB34">
        <f>IF(OR(Расчёты!F34=0,Расчёты!F34&lt;=N('Исходные данные'!$B$37)),0,-(AZ34+BA34)*N('Сценарный анализ'!$D$9))</f>
        <v>0</v>
      </c>
      <c r="BC34">
        <f t="shared" ref="BC34:BC65" si="29">AZ34+BA34+BB34</f>
        <v>0</v>
      </c>
      <c r="BD34">
        <f>IF('Исходные данные'!$B$51="Да",BC34*N('Исходные данные'!$B$52),0)</f>
        <v>0</v>
      </c>
      <c r="BE34">
        <f t="shared" ref="BE34:BE65" si="30">BC34+BD34</f>
        <v>0</v>
      </c>
      <c r="BF34">
        <f>BC34+(Расчёты!Y34-Расчёты!L34)</f>
        <v>0</v>
      </c>
      <c r="BG34">
        <f t="shared" si="16"/>
        <v>0</v>
      </c>
      <c r="BH34">
        <f>IF('Исходные данные'!$B$51="Да",-MAX(0,BD34+Расчёты!R34+Расчёты!V34-Расчёты!P34-Расчёты!T34-BG34),0)</f>
        <v>0</v>
      </c>
      <c r="BI34">
        <f>IF('Исходные данные'!$B$51="Да",MAX(0,BG34+Расчёты!P34+Расчёты!T34-BD34-Расчёты!R34-Расчёты!V34),0)</f>
        <v>0</v>
      </c>
      <c r="BJ34">
        <f>IF('Исходные данные'!$B$53="Выручка",MAX(0,BC34+(Расчёты!Q34-Расчёты!R34)+(Расчёты!U34-Расчёты!V34)),IF('Исходные данные'!$B$53="Прибыль до налога",MAX(0,BC34+(Расчёты!Q34-Расчёты!R34)+(Расчёты!U34-Расчёты!V34)+N('Исходные данные'!$B$54)*((Расчёты!O34+Расчёты!P34)+(Расчёты!S34+Расчёты!T34)+Расчёты!W34+Расчёты!X34)+IF('Исходные данные'!$B$55="Да",Расчёты!AG34,0)-N('Исходные данные'!$B$56)/12),IF('Исходные данные'!$B$53="Пользовательская база",MAX(0,N('Исходные данные'!$B$57)/12),0)))</f>
        <v>0</v>
      </c>
      <c r="BK34">
        <f>IF(D34=1,-BJ34*N('Исходные данные'!$B$50),0)</f>
        <v>0</v>
      </c>
      <c r="BL34">
        <f t="shared" ref="BL34:BL65" si="31">IF(B34="",0,SUMIFS($BF$2:$BF$194,$B$2:$B$194,"&gt;"&amp;B34,$B$2:$B$194,"&lt;="&amp;EDATE(B34,12)))</f>
        <v>0</v>
      </c>
      <c r="BM34">
        <f>IF(OR(D34&lt;&gt;1,B34="",'Исходные данные'!$B$91="",N('Исходные данные'!$B$80)&lt;=0,'Исходные данные'!$B$88=""),0,IF(AND(YEAR(B34)=YEAR('Исходные данные'!$B$91),MONTH(B34)=MONTH('Исходные данные'!$B$91)),MAX(0,IF('Исходные данные'!$B$88="Последние 12 месяцев",SUMIFS($BF$2:$BF$194,$B$2:$B$194,"&gt;="&amp;EDATE(B34,-11),$B$2:$B$194,"&lt;="&amp;B34),IF('Исходные данные'!$B$88="Пользовательский NOI",N('Исходные данные'!$B$89),BL34))/N('Исходные данные'!$B$80)*(1+N('Исходные данные'!$B$81))),0))</f>
        <v>0</v>
      </c>
      <c r="BN34">
        <f>-BM34*N('Исходные данные'!$B$73)</f>
        <v>0</v>
      </c>
      <c r="BO34">
        <f>IF(BM34=0,0,-N('Исходные данные'!$B$87)-IF('Исходные данные'!$B$82="Да",IF('Исходные данные'!$B$84="С выручки",BM34,IF('Исходные данные'!$B$84="С прибыли",MAX(0,BM34+BN34-IF('Исходные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4">
        <f t="shared" ref="BP34:BP65" si="32">BM34+BN34+BO34</f>
        <v>0</v>
      </c>
      <c r="BQ34">
        <f>IF(D34=1,Расчёты!AZ34+BE34+BH34+BK34+BP34,0)</f>
        <v>0</v>
      </c>
      <c r="BR34" t="str">
        <f t="shared" si="17"/>
        <v/>
      </c>
      <c r="BS34">
        <f>IF(OR(D34=0,'Исходные данные'!$B$9="",'Исходные данные'!$B$90=""),0,BQ34/(1+'Исходные данные'!$B$90)^((C34-'Исходные данные'!$B$9)/365))</f>
        <v>0</v>
      </c>
      <c r="BT34">
        <f>IF(D34=1,BE34+Расчёты!O34+Расчёты!Q34+Расчёты!S34+Расчёты!U34+Расчёты!W34+Расчёты!X34+BH34+BK34,0)</f>
        <v>0</v>
      </c>
      <c r="BU34">
        <f>IF(AND(D34=1,BR34&gt;=0,BR33&lt;0,MIN($BR$2:BR34)&lt;0),1,0)</f>
        <v>0</v>
      </c>
      <c r="BV34">
        <f>Расчёты!AZ34+K34+N34-P34*N('Исходные данные'!$B$50)</f>
        <v>0</v>
      </c>
      <c r="BW34">
        <f t="shared" si="18"/>
        <v>0</v>
      </c>
      <c r="BX34">
        <f>IF(AND(BW34&gt;=0,BW33&lt;0,MIN($BW$2:BW34)&lt;0),1,0)</f>
        <v>0</v>
      </c>
      <c r="BY34">
        <f>Расчёты!AZ34+AH34+AK34-AM34*N('Исходные данные'!$B$50)</f>
        <v>0</v>
      </c>
      <c r="BZ34">
        <f t="shared" si="19"/>
        <v>0</v>
      </c>
      <c r="CA34">
        <f>IF(AND(BZ34&gt;=0,BZ33&lt;0,MIN($BZ$2:BZ34)&lt;0),1,0)</f>
        <v>0</v>
      </c>
      <c r="CB34">
        <f>Расчёты!AZ34+BE34+BH34-BJ34*N('Исходные данные'!$B$50)</f>
        <v>0</v>
      </c>
      <c r="CC34">
        <f t="shared" si="20"/>
        <v>0</v>
      </c>
      <c r="CD34">
        <f>IF(AND(CC34&gt;=0,CC33&lt;0,MIN($CC$2:CC34)&lt;0),1,0)</f>
        <v>0</v>
      </c>
    </row>
    <row r="35" spans="1:82" x14ac:dyDescent="0.2">
      <c r="A35">
        <f>Расчёты!A35</f>
        <v>34</v>
      </c>
      <c r="B35" t="str">
        <f>Расчёты!B35</f>
        <v/>
      </c>
      <c r="C35" t="str">
        <f>Расчёты!D35</f>
        <v/>
      </c>
      <c r="D35">
        <f>Расчёты!E35</f>
        <v>0</v>
      </c>
      <c r="E35">
        <f>IF(Расчёты!F35=0,0,IF(Расчёты!G35=1,N('Сценарный анализ'!$B$5),IF(Расчёты!G35=2,N('Сценарный анализ'!$B$6),IF(Расчёты!G35=3,N('Сценарный анализ'!$B$7),N('Сценарный анализ'!$B$7)*(1+N('Сценарный анализ'!$B$8))^(Расчёты!G35-3)))))</f>
        <v>0</v>
      </c>
      <c r="F35">
        <f>IF(OR(Расчёты!F35=0,N('Исходные данные'!$B$5)=0,E35=0),0,N('Исходные данные'!$B$5)*E35*IF(AND(B35&lt;='Исходные данные'!$B$30,Расчёты!C35&gt;='Исходные данные'!$B$30),(Расчёты!C35-'Исходные данные'!$B$30+1)/DAY(Расчёты!C35),1))</f>
        <v>0</v>
      </c>
      <c r="G35">
        <f>IF(AND(Расчёты!F35&gt;0,Расчёты!F35&lt;=N('Исходные данные'!$B$37)),-F35,0)</f>
        <v>0</v>
      </c>
      <c r="H35">
        <f>IF(OR(Расчёты!F35=0,Расчёты!F35&lt;=N('Исходные данные'!$B$37)),0,-(F35+G35)*N('Сценарный анализ'!$B$9))</f>
        <v>0</v>
      </c>
      <c r="I35">
        <f t="shared" si="21"/>
        <v>0</v>
      </c>
      <c r="J35">
        <f>IF('Исходные данные'!$B$51="Да",I35*N('Исходные данные'!$B$52),0)</f>
        <v>0</v>
      </c>
      <c r="K35">
        <f t="shared" si="22"/>
        <v>0</v>
      </c>
      <c r="L35">
        <f>I35+(Расчёты!Y35-Расчёты!L35)</f>
        <v>0</v>
      </c>
      <c r="M35">
        <f t="shared" ref="M35:M66" si="33">O34</f>
        <v>0</v>
      </c>
      <c r="N35">
        <f>IF('Исходные данные'!$B$51="Да",-MAX(0,J35+Расчёты!R35+Расчёты!V35-Расчёты!P35-Расчёты!T35-M35),0)</f>
        <v>0</v>
      </c>
      <c r="O35">
        <f>IF('Исходные данные'!$B$51="Да",MAX(0,M35+Расчёты!P35+Расчёты!T35-J35-Расчёты!R35-Расчёты!V35),0)</f>
        <v>0</v>
      </c>
      <c r="P35">
        <f>IF('Исходные данные'!$B$53="Выручка",MAX(0,I35+(Расчёты!Q35-Расчёты!R35)+(Расчёты!U35-Расчёты!V35)),IF('Исходные данные'!$B$53="Прибыль до налога",MAX(0,I35+(Расчёты!Q35-Расчёты!R35)+(Расчёты!U35-Расчёты!V35)+N('Исходные данные'!$B$54)*((Расчёты!O35+Расчёты!P35)+(Расчёты!S35+Расчёты!T35)+Расчёты!W35+Расчёты!X35)+IF('Исходные данные'!$B$55="Да",Расчёты!AG35,0)-N('Исходные данные'!$B$56)/12),IF('Исходные данные'!$B$53="Пользовательская база",MAX(0,N('Исходные данные'!$B$57)/12),0)))</f>
        <v>0</v>
      </c>
      <c r="Q35">
        <f>IF(D35=1,-P35*N('Исходные данные'!$B$50),0)</f>
        <v>0</v>
      </c>
      <c r="R35">
        <f t="shared" si="23"/>
        <v>0</v>
      </c>
      <c r="S35">
        <f>IF(OR(D35&lt;&gt;1,B35="",'Исходные данные'!$B$91="",N('Исходные данные'!$B$80)&lt;=0,'Исходные данные'!$B$88=""),0,IF(AND(YEAR(B35)=YEAR('Исходные данные'!$B$91),MONTH(B35)=MONTH('Исходные данные'!$B$91)),MAX(0,IF('Исходные данные'!$B$88="Последние 12 месяцев",SUMIFS($L$2:$L$194,$B$2:$B$194,"&gt;="&amp;EDATE(B35,-11),$B$2:$B$194,"&lt;="&amp;B35),IF('Исходные данные'!$B$88="Пользовательский NOI",N('Исходные данные'!$B$89),R35))/N('Исходные данные'!$B$80)*(1+N('Исходные данные'!$B$81))),0))</f>
        <v>0</v>
      </c>
      <c r="T35">
        <f>-S35*N('Исходные данные'!$B$73)</f>
        <v>0</v>
      </c>
      <c r="U35">
        <f>IF(S35=0,0,-N('Исходные данные'!$B$87)-IF('Исходные данные'!$B$82="Да",IF('Исходные данные'!$B$84="С выручки",S35,IF('Исходные данные'!$B$84="С прибыли",MAX(0,S35+T35-IF('Исходные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5">
        <f t="shared" si="24"/>
        <v>0</v>
      </c>
      <c r="W35">
        <f>IF(D35=1,Расчёты!AZ35+K35+N35+Q35+V35,0)</f>
        <v>0</v>
      </c>
      <c r="X35" t="str">
        <f t="shared" ref="X35:X66" si="34">IF(D35=1,X34+W35,"")</f>
        <v/>
      </c>
      <c r="Y35">
        <f>IF(OR(D35=0,'Исходные данные'!$B$9="",'Исходные данные'!$B$90=""),0,W35/(1+'Исходные данные'!$B$90)^((C35-'Исходные данные'!$B$9)/365))</f>
        <v>0</v>
      </c>
      <c r="Z35">
        <f>IF(D35=1,K35+Расчёты!O35+Расчёты!Q35+Расчёты!S35+Расчёты!U35+Расчёты!W35+Расчёты!X35+N35+Q35,0)</f>
        <v>0</v>
      </c>
      <c r="AA35">
        <f>IF(AND(D35=1,X35&gt;=0,X34&lt;0,MIN($X$2:X35)&lt;0),1,0)</f>
        <v>0</v>
      </c>
      <c r="AB35">
        <f>IF(Расчёты!F35=0,0,IF(Расчёты!G35=1,N('Сценарный анализ'!$C$5),IF(Расчёты!G35=2,N('Сценарный анализ'!$C$6),IF(Расчёты!G35=3,N('Сценарный анализ'!$C$7),N('Сценарный анализ'!$C$7)*(1+N('Сценарный анализ'!$C$8))^(Расчёты!G35-3)))))</f>
        <v>0</v>
      </c>
      <c r="AC35">
        <f>IF(OR(Расчёты!F35=0,N('Исходные данные'!$B$5)=0,AB35=0),0,N('Исходные данные'!$B$5)*AB35*IF(AND(B35&lt;='Исходные данные'!$B$30,Расчёты!C35&gt;='Исходные данные'!$B$30),(Расчёты!C35-'Исходные данные'!$B$30+1)/DAY(Расчёты!C35),1))</f>
        <v>0</v>
      </c>
      <c r="AD35">
        <f>IF(AND(Расчёты!F35&gt;0,Расчёты!F35&lt;=N('Исходные данные'!$B$37)),-AC35,0)</f>
        <v>0</v>
      </c>
      <c r="AE35">
        <f>IF(OR(Расчёты!F35=0,Расчёты!F35&lt;=N('Исходные данные'!$B$37)),0,-(AC35+AD35)*N('Сценарный анализ'!$C$9))</f>
        <v>0</v>
      </c>
      <c r="AF35">
        <f t="shared" si="25"/>
        <v>0</v>
      </c>
      <c r="AG35">
        <f>IF('Исходные данные'!$B$51="Да",AF35*N('Исходные данные'!$B$52),0)</f>
        <v>0</v>
      </c>
      <c r="AH35">
        <f t="shared" si="26"/>
        <v>0</v>
      </c>
      <c r="AI35">
        <f>AF35+(Расчёты!Y35-Расчёты!L35)</f>
        <v>0</v>
      </c>
      <c r="AJ35">
        <f t="shared" ref="AJ35:AJ66" si="35">AL34</f>
        <v>0</v>
      </c>
      <c r="AK35">
        <f>IF('Исходные данные'!$B$51="Да",-MAX(0,AG35+Расчёты!R35+Расчёты!V35-Расчёты!P35-Расчёты!T35-AJ35),0)</f>
        <v>0</v>
      </c>
      <c r="AL35">
        <f>IF('Исходные данные'!$B$51="Да",MAX(0,AJ35+Расчёты!P35+Расчёты!T35-AG35-Расчёты!R35-Расчёты!V35),0)</f>
        <v>0</v>
      </c>
      <c r="AM35">
        <f>IF('Исходные данные'!$B$53="Выручка",MAX(0,AF35+(Расчёты!Q35-Расчёты!R35)+(Расчёты!U35-Расчёты!V35)),IF('Исходные данные'!$B$53="Прибыль до налога",MAX(0,AF35+(Расчёты!Q35-Расчёты!R35)+(Расчёты!U35-Расчёты!V35)+N('Исходные данные'!$B$54)*((Расчёты!O35+Расчёты!P35)+(Расчёты!S35+Расчёты!T35)+Расчёты!W35+Расчёты!X35)+IF('Исходные данные'!$B$55="Да",Расчёты!AG35,0)-N('Исходные данные'!$B$56)/12),IF('Исходные данные'!$B$53="Пользовательская база",MAX(0,N('Исходные данные'!$B$57)/12),0)))</f>
        <v>0</v>
      </c>
      <c r="AN35">
        <f>IF(D35=1,-AM35*N('Исходные данные'!$B$50),0)</f>
        <v>0</v>
      </c>
      <c r="AO35">
        <f t="shared" si="27"/>
        <v>0</v>
      </c>
      <c r="AP35">
        <f>IF(OR(D35&lt;&gt;1,B35="",'Исходные данные'!$B$91="",N('Исходные данные'!$B$80)&lt;=0,'Исходные данные'!$B$88=""),0,IF(AND(YEAR(B35)=YEAR('Исходные данные'!$B$91),MONTH(B35)=MONTH('Исходные данные'!$B$91)),MAX(0,IF('Исходные данные'!$B$88="Последние 12 месяцев",SUMIFS($AI$2:$AI$194,$B$2:$B$194,"&gt;="&amp;EDATE(B35,-11),$B$2:$B$194,"&lt;="&amp;B35),IF('Исходные данные'!$B$88="Пользовательский NOI",N('Исходные данные'!$B$89),AO35))/N('Исходные данные'!$B$80)*(1+N('Исходные данные'!$B$81))),0))</f>
        <v>0</v>
      </c>
      <c r="AQ35">
        <f>-AP35*N('Исходные данные'!$B$73)</f>
        <v>0</v>
      </c>
      <c r="AR35">
        <f>IF(AP35=0,0,-N('Исходные данные'!$B$87)-IF('Исходные данные'!$B$82="Да",IF('Исходные данные'!$B$84="С выручки",AP35,IF('Исходные данные'!$B$84="С прибыли",MAX(0,AP35+AQ35-IF('Исходные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5">
        <f t="shared" si="28"/>
        <v>0</v>
      </c>
      <c r="AT35">
        <f>IF(D35=1,Расчёты!AZ35+AH35+AK35+AN35+AS35,0)</f>
        <v>0</v>
      </c>
      <c r="AU35" t="str">
        <f t="shared" ref="AU35:AU66" si="36">IF(D35=1,AU34+AT35,"")</f>
        <v/>
      </c>
      <c r="AV35">
        <f>IF(OR(D35=0,'Исходные данные'!$B$9="",'Исходные данные'!$B$90=""),0,AT35/(1+'Исходные данные'!$B$90)^((C35-'Исходные данные'!$B$9)/365))</f>
        <v>0</v>
      </c>
      <c r="AW35">
        <f>IF(D35=1,AH35+Расчёты!O35+Расчёты!Q35+Расчёты!S35+Расчёты!U35+Расчёты!W35+Расчёты!X35+AK35+AN35,0)</f>
        <v>0</v>
      </c>
      <c r="AX35">
        <f>IF(AND(D35=1,AU35&gt;=0,AU34&lt;0,MIN($AU$2:AU35)&lt;0),1,0)</f>
        <v>0</v>
      </c>
      <c r="AY35">
        <f>IF(Расчёты!F35=0,0,IF(Расчёты!G35=1,N('Сценарный анализ'!$D$5),IF(Расчёты!G35=2,N('Сценарный анализ'!$D$6),IF(Расчёты!G35=3,N('Сценарный анализ'!$D$7),N('Сценарный анализ'!$D$7)*(1+N('Сценарный анализ'!$D$8))^(Расчёты!G35-3)))))</f>
        <v>0</v>
      </c>
      <c r="AZ35">
        <f>IF(OR(Расчёты!F35=0,N('Исходные данные'!$B$5)=0,AY35=0),0,N('Исходные данные'!$B$5)*AY35*IF(AND(B35&lt;='Исходные данные'!$B$30,Расчёты!C35&gt;='Исходные данные'!$B$30),(Расчёты!C35-'Исходные данные'!$B$30+1)/DAY(Расчёты!C35),1))</f>
        <v>0</v>
      </c>
      <c r="BA35">
        <f>IF(AND(Расчёты!F35&gt;0,Расчёты!F35&lt;=N('Исходные данные'!$B$37)),-AZ35,0)</f>
        <v>0</v>
      </c>
      <c r="BB35">
        <f>IF(OR(Расчёты!F35=0,Расчёты!F35&lt;=N('Исходные данные'!$B$37)),0,-(AZ35+BA35)*N('Сценарный анализ'!$D$9))</f>
        <v>0</v>
      </c>
      <c r="BC35">
        <f t="shared" si="29"/>
        <v>0</v>
      </c>
      <c r="BD35">
        <f>IF('Исходные данные'!$B$51="Да",BC35*N('Исходные данные'!$B$52),0)</f>
        <v>0</v>
      </c>
      <c r="BE35">
        <f t="shared" si="30"/>
        <v>0</v>
      </c>
      <c r="BF35">
        <f>BC35+(Расчёты!Y35-Расчёты!L35)</f>
        <v>0</v>
      </c>
      <c r="BG35">
        <f t="shared" ref="BG35:BG66" si="37">BI34</f>
        <v>0</v>
      </c>
      <c r="BH35">
        <f>IF('Исходные данные'!$B$51="Да",-MAX(0,BD35+Расчёты!R35+Расчёты!V35-Расчёты!P35-Расчёты!T35-BG35),0)</f>
        <v>0</v>
      </c>
      <c r="BI35">
        <f>IF('Исходные данные'!$B$51="Да",MAX(0,BG35+Расчёты!P35+Расчёты!T35-BD35-Расчёты!R35-Расчёты!V35),0)</f>
        <v>0</v>
      </c>
      <c r="BJ35">
        <f>IF('Исходные данные'!$B$53="Выручка",MAX(0,BC35+(Расчёты!Q35-Расчёты!R35)+(Расчёты!U35-Расчёты!V35)),IF('Исходные данные'!$B$53="Прибыль до налога",MAX(0,BC35+(Расчёты!Q35-Расчёты!R35)+(Расчёты!U35-Расчёты!V35)+N('Исходные данные'!$B$54)*((Расчёты!O35+Расчёты!P35)+(Расчёты!S35+Расчёты!T35)+Расчёты!W35+Расчёты!X35)+IF('Исходные данные'!$B$55="Да",Расчёты!AG35,0)-N('Исходные данные'!$B$56)/12),IF('Исходные данные'!$B$53="Пользовательская база",MAX(0,N('Исходные данные'!$B$57)/12),0)))</f>
        <v>0</v>
      </c>
      <c r="BK35">
        <f>IF(D35=1,-BJ35*N('Исходные данные'!$B$50),0)</f>
        <v>0</v>
      </c>
      <c r="BL35">
        <f t="shared" si="31"/>
        <v>0</v>
      </c>
      <c r="BM35">
        <f>IF(OR(D35&lt;&gt;1,B35="",'Исходные данные'!$B$91="",N('Исходные данные'!$B$80)&lt;=0,'Исходные данные'!$B$88=""),0,IF(AND(YEAR(B35)=YEAR('Исходные данные'!$B$91),MONTH(B35)=MONTH('Исходные данные'!$B$91)),MAX(0,IF('Исходные данные'!$B$88="Последние 12 месяцев",SUMIFS($BF$2:$BF$194,$B$2:$B$194,"&gt;="&amp;EDATE(B35,-11),$B$2:$B$194,"&lt;="&amp;B35),IF('Исходные данные'!$B$88="Пользовательский NOI",N('Исходные данные'!$B$89),BL35))/N('Исходные данные'!$B$80)*(1+N('Исходные данные'!$B$81))),0))</f>
        <v>0</v>
      </c>
      <c r="BN35">
        <f>-BM35*N('Исходные данные'!$B$73)</f>
        <v>0</v>
      </c>
      <c r="BO35">
        <f>IF(BM35=0,0,-N('Исходные данные'!$B$87)-IF('Исходные данные'!$B$82="Да",IF('Исходные данные'!$B$84="С выручки",BM35,IF('Исходные данные'!$B$84="С прибыли",MAX(0,BM35+BN35-IF('Исходные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5">
        <f t="shared" si="32"/>
        <v>0</v>
      </c>
      <c r="BQ35">
        <f>IF(D35=1,Расчёты!AZ35+BE35+BH35+BK35+BP35,0)</f>
        <v>0</v>
      </c>
      <c r="BR35" t="str">
        <f t="shared" ref="BR35:BR66" si="38">IF(D35=1,BR34+BQ35,"")</f>
        <v/>
      </c>
      <c r="BS35">
        <f>IF(OR(D35=0,'Исходные данные'!$B$9="",'Исходные данные'!$B$90=""),0,BQ35/(1+'Исходные данные'!$B$90)^((C35-'Исходные данные'!$B$9)/365))</f>
        <v>0</v>
      </c>
      <c r="BT35">
        <f>IF(D35=1,BE35+Расчёты!O35+Расчёты!Q35+Расчёты!S35+Расчёты!U35+Расчёты!W35+Расчёты!X35+BH35+BK35,0)</f>
        <v>0</v>
      </c>
      <c r="BU35">
        <f>IF(AND(D35=1,BR35&gt;=0,BR34&lt;0,MIN($BR$2:BR35)&lt;0),1,0)</f>
        <v>0</v>
      </c>
      <c r="BV35">
        <f>Расчёты!AZ35+K35+N35-P35*N('Исходные данные'!$B$50)</f>
        <v>0</v>
      </c>
      <c r="BW35">
        <f t="shared" si="18"/>
        <v>0</v>
      </c>
      <c r="BX35">
        <f>IF(AND(BW35&gt;=0,BW34&lt;0,MIN($BW$2:BW35)&lt;0),1,0)</f>
        <v>0</v>
      </c>
      <c r="BY35">
        <f>Расчёты!AZ35+AH35+AK35-AM35*N('Исходные данные'!$B$50)</f>
        <v>0</v>
      </c>
      <c r="BZ35">
        <f t="shared" si="19"/>
        <v>0</v>
      </c>
      <c r="CA35">
        <f>IF(AND(BZ35&gt;=0,BZ34&lt;0,MIN($BZ$2:BZ35)&lt;0),1,0)</f>
        <v>0</v>
      </c>
      <c r="CB35">
        <f>Расчёты!AZ35+BE35+BH35-BJ35*N('Исходные данные'!$B$50)</f>
        <v>0</v>
      </c>
      <c r="CC35">
        <f t="shared" si="20"/>
        <v>0</v>
      </c>
      <c r="CD35">
        <f>IF(AND(CC35&gt;=0,CC34&lt;0,MIN($CC$2:CC35)&lt;0),1,0)</f>
        <v>0</v>
      </c>
    </row>
    <row r="36" spans="1:82" x14ac:dyDescent="0.2">
      <c r="A36">
        <f>Расчёты!A36</f>
        <v>35</v>
      </c>
      <c r="B36" t="str">
        <f>Расчёты!B36</f>
        <v/>
      </c>
      <c r="C36" t="str">
        <f>Расчёты!D36</f>
        <v/>
      </c>
      <c r="D36">
        <f>Расчёты!E36</f>
        <v>0</v>
      </c>
      <c r="E36">
        <f>IF(Расчёты!F36=0,0,IF(Расчёты!G36=1,N('Сценарный анализ'!$B$5),IF(Расчёты!G36=2,N('Сценарный анализ'!$B$6),IF(Расчёты!G36=3,N('Сценарный анализ'!$B$7),N('Сценарный анализ'!$B$7)*(1+N('Сценарный анализ'!$B$8))^(Расчёты!G36-3)))))</f>
        <v>0</v>
      </c>
      <c r="F36">
        <f>IF(OR(Расчёты!F36=0,N('Исходные данные'!$B$5)=0,E36=0),0,N('Исходные данные'!$B$5)*E36*IF(AND(B36&lt;='Исходные данные'!$B$30,Расчёты!C36&gt;='Исходные данные'!$B$30),(Расчёты!C36-'Исходные данные'!$B$30+1)/DAY(Расчёты!C36),1))</f>
        <v>0</v>
      </c>
      <c r="G36">
        <f>IF(AND(Расчёты!F36&gt;0,Расчёты!F36&lt;=N('Исходные данные'!$B$37)),-F36,0)</f>
        <v>0</v>
      </c>
      <c r="H36">
        <f>IF(OR(Расчёты!F36=0,Расчёты!F36&lt;=N('Исходные данные'!$B$37)),0,-(F36+G36)*N('Сценарный анализ'!$B$9))</f>
        <v>0</v>
      </c>
      <c r="I36">
        <f t="shared" si="21"/>
        <v>0</v>
      </c>
      <c r="J36">
        <f>IF('Исходные данные'!$B$51="Да",I36*N('Исходные данные'!$B$52),0)</f>
        <v>0</v>
      </c>
      <c r="K36">
        <f t="shared" si="22"/>
        <v>0</v>
      </c>
      <c r="L36">
        <f>I36+(Расчёты!Y36-Расчёты!L36)</f>
        <v>0</v>
      </c>
      <c r="M36">
        <f t="shared" si="33"/>
        <v>0</v>
      </c>
      <c r="N36">
        <f>IF('Исходные данные'!$B$51="Да",-MAX(0,J36+Расчёты!R36+Расчёты!V36-Расчёты!P36-Расчёты!T36-M36),0)</f>
        <v>0</v>
      </c>
      <c r="O36">
        <f>IF('Исходные данные'!$B$51="Да",MAX(0,M36+Расчёты!P36+Расчёты!T36-J36-Расчёты!R36-Расчёты!V36),0)</f>
        <v>0</v>
      </c>
      <c r="P36">
        <f>IF('Исходные данные'!$B$53="Выручка",MAX(0,I36+(Расчёты!Q36-Расчёты!R36)+(Расчёты!U36-Расчёты!V36)),IF('Исходные данные'!$B$53="Прибыль до налога",MAX(0,I36+(Расчёты!Q36-Расчёты!R36)+(Расчёты!U36-Расчёты!V36)+N('Исходные данные'!$B$54)*((Расчёты!O36+Расчёты!P36)+(Расчёты!S36+Расчёты!T36)+Расчёты!W36+Расчёты!X36)+IF('Исходные данные'!$B$55="Да",Расчёты!AG36,0)-N('Исходные данные'!$B$56)/12),IF('Исходные данные'!$B$53="Пользовательская база",MAX(0,N('Исходные данные'!$B$57)/12),0)))</f>
        <v>0</v>
      </c>
      <c r="Q36">
        <f>IF(D36=1,-P36*N('Исходные данные'!$B$50),0)</f>
        <v>0</v>
      </c>
      <c r="R36">
        <f t="shared" si="23"/>
        <v>0</v>
      </c>
      <c r="S36">
        <f>IF(OR(D36&lt;&gt;1,B36="",'Исходные данные'!$B$91="",N('Исходные данные'!$B$80)&lt;=0,'Исходные данные'!$B$88=""),0,IF(AND(YEAR(B36)=YEAR('Исходные данные'!$B$91),MONTH(B36)=MONTH('Исходные данные'!$B$91)),MAX(0,IF('Исходные данные'!$B$88="Последние 12 месяцев",SUMIFS($L$2:$L$194,$B$2:$B$194,"&gt;="&amp;EDATE(B36,-11),$B$2:$B$194,"&lt;="&amp;B36),IF('Исходные данные'!$B$88="Пользовательский NOI",N('Исходные данные'!$B$89),R36))/N('Исходные данные'!$B$80)*(1+N('Исходные данные'!$B$81))),0))</f>
        <v>0</v>
      </c>
      <c r="T36">
        <f>-S36*N('Исходные данные'!$B$73)</f>
        <v>0</v>
      </c>
      <c r="U36">
        <f>IF(S36=0,0,-N('Исходные данные'!$B$87)-IF('Исходные данные'!$B$82="Да",IF('Исходные данные'!$B$84="С выручки",S36,IF('Исходные данные'!$B$84="С прибыли",MAX(0,S36+T36-IF('Исходные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6">
        <f t="shared" si="24"/>
        <v>0</v>
      </c>
      <c r="W36">
        <f>IF(D36=1,Расчёты!AZ36+K36+N36+Q36+V36,0)</f>
        <v>0</v>
      </c>
      <c r="X36" t="str">
        <f t="shared" si="34"/>
        <v/>
      </c>
      <c r="Y36">
        <f>IF(OR(D36=0,'Исходные данные'!$B$9="",'Исходные данные'!$B$90=""),0,W36/(1+'Исходные данные'!$B$90)^((C36-'Исходные данные'!$B$9)/365))</f>
        <v>0</v>
      </c>
      <c r="Z36">
        <f>IF(D36=1,K36+Расчёты!O36+Расчёты!Q36+Расчёты!S36+Расчёты!U36+Расчёты!W36+Расчёты!X36+N36+Q36,0)</f>
        <v>0</v>
      </c>
      <c r="AA36">
        <f>IF(AND(D36=1,X36&gt;=0,X35&lt;0,MIN($X$2:X36)&lt;0),1,0)</f>
        <v>0</v>
      </c>
      <c r="AB36">
        <f>IF(Расчёты!F36=0,0,IF(Расчёты!G36=1,N('Сценарный анализ'!$C$5),IF(Расчёты!G36=2,N('Сценарный анализ'!$C$6),IF(Расчёты!G36=3,N('Сценарный анализ'!$C$7),N('Сценарный анализ'!$C$7)*(1+N('Сценарный анализ'!$C$8))^(Расчёты!G36-3)))))</f>
        <v>0</v>
      </c>
      <c r="AC36">
        <f>IF(OR(Расчёты!F36=0,N('Исходные данные'!$B$5)=0,AB36=0),0,N('Исходные данные'!$B$5)*AB36*IF(AND(B36&lt;='Исходные данные'!$B$30,Расчёты!C36&gt;='Исходные данные'!$B$30),(Расчёты!C36-'Исходные данные'!$B$30+1)/DAY(Расчёты!C36),1))</f>
        <v>0</v>
      </c>
      <c r="AD36">
        <f>IF(AND(Расчёты!F36&gt;0,Расчёты!F36&lt;=N('Исходные данные'!$B$37)),-AC36,0)</f>
        <v>0</v>
      </c>
      <c r="AE36">
        <f>IF(OR(Расчёты!F36=0,Расчёты!F36&lt;=N('Исходные данные'!$B$37)),0,-(AC36+AD36)*N('Сценарный анализ'!$C$9))</f>
        <v>0</v>
      </c>
      <c r="AF36">
        <f t="shared" si="25"/>
        <v>0</v>
      </c>
      <c r="AG36">
        <f>IF('Исходные данные'!$B$51="Да",AF36*N('Исходные данные'!$B$52),0)</f>
        <v>0</v>
      </c>
      <c r="AH36">
        <f t="shared" si="26"/>
        <v>0</v>
      </c>
      <c r="AI36">
        <f>AF36+(Расчёты!Y36-Расчёты!L36)</f>
        <v>0</v>
      </c>
      <c r="AJ36">
        <f t="shared" si="35"/>
        <v>0</v>
      </c>
      <c r="AK36">
        <f>IF('Исходные данные'!$B$51="Да",-MAX(0,AG36+Расчёты!R36+Расчёты!V36-Расчёты!P36-Расчёты!T36-AJ36),0)</f>
        <v>0</v>
      </c>
      <c r="AL36">
        <f>IF('Исходные данные'!$B$51="Да",MAX(0,AJ36+Расчёты!P36+Расчёты!T36-AG36-Расчёты!R36-Расчёты!V36),0)</f>
        <v>0</v>
      </c>
      <c r="AM36">
        <f>IF('Исходные данные'!$B$53="Выручка",MAX(0,AF36+(Расчёты!Q36-Расчёты!R36)+(Расчёты!U36-Расчёты!V36)),IF('Исходные данные'!$B$53="Прибыль до налога",MAX(0,AF36+(Расчёты!Q36-Расчёты!R36)+(Расчёты!U36-Расчёты!V36)+N('Исходные данные'!$B$54)*((Расчёты!O36+Расчёты!P36)+(Расчёты!S36+Расчёты!T36)+Расчёты!W36+Расчёты!X36)+IF('Исходные данные'!$B$55="Да",Расчёты!AG36,0)-N('Исходные данные'!$B$56)/12),IF('Исходные данные'!$B$53="Пользовательская база",MAX(0,N('Исходные данные'!$B$57)/12),0)))</f>
        <v>0</v>
      </c>
      <c r="AN36">
        <f>IF(D36=1,-AM36*N('Исходные данные'!$B$50),0)</f>
        <v>0</v>
      </c>
      <c r="AO36">
        <f t="shared" si="27"/>
        <v>0</v>
      </c>
      <c r="AP36">
        <f>IF(OR(D36&lt;&gt;1,B36="",'Исходные данные'!$B$91="",N('Исходные данные'!$B$80)&lt;=0,'Исходные данные'!$B$88=""),0,IF(AND(YEAR(B36)=YEAR('Исходные данные'!$B$91),MONTH(B36)=MONTH('Исходные данные'!$B$91)),MAX(0,IF('Исходные данные'!$B$88="Последние 12 месяцев",SUMIFS($AI$2:$AI$194,$B$2:$B$194,"&gt;="&amp;EDATE(B36,-11),$B$2:$B$194,"&lt;="&amp;B36),IF('Исходные данные'!$B$88="Пользовательский NOI",N('Исходные данные'!$B$89),AO36))/N('Исходные данные'!$B$80)*(1+N('Исходные данные'!$B$81))),0))</f>
        <v>0</v>
      </c>
      <c r="AQ36">
        <f>-AP36*N('Исходные данные'!$B$73)</f>
        <v>0</v>
      </c>
      <c r="AR36">
        <f>IF(AP36=0,0,-N('Исходные данные'!$B$87)-IF('Исходные данные'!$B$82="Да",IF('Исходные данные'!$B$84="С выручки",AP36,IF('Исходные данные'!$B$84="С прибыли",MAX(0,AP36+AQ36-IF('Исходные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6">
        <f t="shared" si="28"/>
        <v>0</v>
      </c>
      <c r="AT36">
        <f>IF(D36=1,Расчёты!AZ36+AH36+AK36+AN36+AS36,0)</f>
        <v>0</v>
      </c>
      <c r="AU36" t="str">
        <f t="shared" si="36"/>
        <v/>
      </c>
      <c r="AV36">
        <f>IF(OR(D36=0,'Исходные данные'!$B$9="",'Исходные данные'!$B$90=""),0,AT36/(1+'Исходные данные'!$B$90)^((C36-'Исходные данные'!$B$9)/365))</f>
        <v>0</v>
      </c>
      <c r="AW36">
        <f>IF(D36=1,AH36+Расчёты!O36+Расчёты!Q36+Расчёты!S36+Расчёты!U36+Расчёты!W36+Расчёты!X36+AK36+AN36,0)</f>
        <v>0</v>
      </c>
      <c r="AX36">
        <f>IF(AND(D36=1,AU36&gt;=0,AU35&lt;0,MIN($AU$2:AU36)&lt;0),1,0)</f>
        <v>0</v>
      </c>
      <c r="AY36">
        <f>IF(Расчёты!F36=0,0,IF(Расчёты!G36=1,N('Сценарный анализ'!$D$5),IF(Расчёты!G36=2,N('Сценарный анализ'!$D$6),IF(Расчёты!G36=3,N('Сценарный анализ'!$D$7),N('Сценарный анализ'!$D$7)*(1+N('Сценарный анализ'!$D$8))^(Расчёты!G36-3)))))</f>
        <v>0</v>
      </c>
      <c r="AZ36">
        <f>IF(OR(Расчёты!F36=0,N('Исходные данные'!$B$5)=0,AY36=0),0,N('Исходные данные'!$B$5)*AY36*IF(AND(B36&lt;='Исходные данные'!$B$30,Расчёты!C36&gt;='Исходные данные'!$B$30),(Расчёты!C36-'Исходные данные'!$B$30+1)/DAY(Расчёты!C36),1))</f>
        <v>0</v>
      </c>
      <c r="BA36">
        <f>IF(AND(Расчёты!F36&gt;0,Расчёты!F36&lt;=N('Исходные данные'!$B$37)),-AZ36,0)</f>
        <v>0</v>
      </c>
      <c r="BB36">
        <f>IF(OR(Расчёты!F36=0,Расчёты!F36&lt;=N('Исходные данные'!$B$37)),0,-(AZ36+BA36)*N('Сценарный анализ'!$D$9))</f>
        <v>0</v>
      </c>
      <c r="BC36">
        <f t="shared" si="29"/>
        <v>0</v>
      </c>
      <c r="BD36">
        <f>IF('Исходные данные'!$B$51="Да",BC36*N('Исходные данные'!$B$52),0)</f>
        <v>0</v>
      </c>
      <c r="BE36">
        <f t="shared" si="30"/>
        <v>0</v>
      </c>
      <c r="BF36">
        <f>BC36+(Расчёты!Y36-Расчёты!L36)</f>
        <v>0</v>
      </c>
      <c r="BG36">
        <f t="shared" si="37"/>
        <v>0</v>
      </c>
      <c r="BH36">
        <f>IF('Исходные данные'!$B$51="Да",-MAX(0,BD36+Расчёты!R36+Расчёты!V36-Расчёты!P36-Расчёты!T36-BG36),0)</f>
        <v>0</v>
      </c>
      <c r="BI36">
        <f>IF('Исходные данные'!$B$51="Да",MAX(0,BG36+Расчёты!P36+Расчёты!T36-BD36-Расчёты!R36-Расчёты!V36),0)</f>
        <v>0</v>
      </c>
      <c r="BJ36">
        <f>IF('Исходные данные'!$B$53="Выручка",MAX(0,BC36+(Расчёты!Q36-Расчёты!R36)+(Расчёты!U36-Расчёты!V36)),IF('Исходные данные'!$B$53="Прибыль до налога",MAX(0,BC36+(Расчёты!Q36-Расчёты!R36)+(Расчёты!U36-Расчёты!V36)+N('Исходные данные'!$B$54)*((Расчёты!O36+Расчёты!P36)+(Расчёты!S36+Расчёты!T36)+Расчёты!W36+Расчёты!X36)+IF('Исходные данные'!$B$55="Да",Расчёты!AG36,0)-N('Исходные данные'!$B$56)/12),IF('Исходные данные'!$B$53="Пользовательская база",MAX(0,N('Исходные данные'!$B$57)/12),0)))</f>
        <v>0</v>
      </c>
      <c r="BK36">
        <f>IF(D36=1,-BJ36*N('Исходные данные'!$B$50),0)</f>
        <v>0</v>
      </c>
      <c r="BL36">
        <f t="shared" si="31"/>
        <v>0</v>
      </c>
      <c r="BM36">
        <f>IF(OR(D36&lt;&gt;1,B36="",'Исходные данные'!$B$91="",N('Исходные данные'!$B$80)&lt;=0,'Исходные данные'!$B$88=""),0,IF(AND(YEAR(B36)=YEAR('Исходные данные'!$B$91),MONTH(B36)=MONTH('Исходные данные'!$B$91)),MAX(0,IF('Исходные данные'!$B$88="Последние 12 месяцев",SUMIFS($BF$2:$BF$194,$B$2:$B$194,"&gt;="&amp;EDATE(B36,-11),$B$2:$B$194,"&lt;="&amp;B36),IF('Исходные данные'!$B$88="Пользовательский NOI",N('Исходные данные'!$B$89),BL36))/N('Исходные данные'!$B$80)*(1+N('Исходные данные'!$B$81))),0))</f>
        <v>0</v>
      </c>
      <c r="BN36">
        <f>-BM36*N('Исходные данные'!$B$73)</f>
        <v>0</v>
      </c>
      <c r="BO36">
        <f>IF(BM36=0,0,-N('Исходные данные'!$B$87)-IF('Исходные данные'!$B$82="Да",IF('Исходные данные'!$B$84="С выручки",BM36,IF('Исходные данные'!$B$84="С прибыли",MAX(0,BM36+BN36-IF('Исходные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6">
        <f t="shared" si="32"/>
        <v>0</v>
      </c>
      <c r="BQ36">
        <f>IF(D36=1,Расчёты!AZ36+BE36+BH36+BK36+BP36,0)</f>
        <v>0</v>
      </c>
      <c r="BR36" t="str">
        <f t="shared" si="38"/>
        <v/>
      </c>
      <c r="BS36">
        <f>IF(OR(D36=0,'Исходные данные'!$B$9="",'Исходные данные'!$B$90=""),0,BQ36/(1+'Исходные данные'!$B$90)^((C36-'Исходные данные'!$B$9)/365))</f>
        <v>0</v>
      </c>
      <c r="BT36">
        <f>IF(D36=1,BE36+Расчёты!O36+Расчёты!Q36+Расчёты!S36+Расчёты!U36+Расчёты!W36+Расчёты!X36+BH36+BK36,0)</f>
        <v>0</v>
      </c>
      <c r="BU36">
        <f>IF(AND(D36=1,BR36&gt;=0,BR35&lt;0,MIN($BR$2:BR36)&lt;0),1,0)</f>
        <v>0</v>
      </c>
      <c r="BV36">
        <f>Расчёты!AZ36+K36+N36-P36*N('Исходные данные'!$B$50)</f>
        <v>0</v>
      </c>
      <c r="BW36">
        <f t="shared" si="18"/>
        <v>0</v>
      </c>
      <c r="BX36">
        <f>IF(AND(BW36&gt;=0,BW35&lt;0,MIN($BW$2:BW36)&lt;0),1,0)</f>
        <v>0</v>
      </c>
      <c r="BY36">
        <f>Расчёты!AZ36+AH36+AK36-AM36*N('Исходные данные'!$B$50)</f>
        <v>0</v>
      </c>
      <c r="BZ36">
        <f t="shared" si="19"/>
        <v>0</v>
      </c>
      <c r="CA36">
        <f>IF(AND(BZ36&gt;=0,BZ35&lt;0,MIN($BZ$2:BZ36)&lt;0),1,0)</f>
        <v>0</v>
      </c>
      <c r="CB36">
        <f>Расчёты!AZ36+BE36+BH36-BJ36*N('Исходные данные'!$B$50)</f>
        <v>0</v>
      </c>
      <c r="CC36">
        <f t="shared" si="20"/>
        <v>0</v>
      </c>
      <c r="CD36">
        <f>IF(AND(CC36&gt;=0,CC35&lt;0,MIN($CC$2:CC36)&lt;0),1,0)</f>
        <v>0</v>
      </c>
    </row>
    <row r="37" spans="1:82" x14ac:dyDescent="0.2">
      <c r="A37">
        <f>Расчёты!A37</f>
        <v>36</v>
      </c>
      <c r="B37" t="str">
        <f>Расчёты!B37</f>
        <v/>
      </c>
      <c r="C37" t="str">
        <f>Расчёты!D37</f>
        <v/>
      </c>
      <c r="D37">
        <f>Расчёты!E37</f>
        <v>0</v>
      </c>
      <c r="E37">
        <f>IF(Расчёты!F37=0,0,IF(Расчёты!G37=1,N('Сценарный анализ'!$B$5),IF(Расчёты!G37=2,N('Сценарный анализ'!$B$6),IF(Расчёты!G37=3,N('Сценарный анализ'!$B$7),N('Сценарный анализ'!$B$7)*(1+N('Сценарный анализ'!$B$8))^(Расчёты!G37-3)))))</f>
        <v>0</v>
      </c>
      <c r="F37">
        <f>IF(OR(Расчёты!F37=0,N('Исходные данные'!$B$5)=0,E37=0),0,N('Исходные данные'!$B$5)*E37*IF(AND(B37&lt;='Исходные данные'!$B$30,Расчёты!C37&gt;='Исходные данные'!$B$30),(Расчёты!C37-'Исходные данные'!$B$30+1)/DAY(Расчёты!C37),1))</f>
        <v>0</v>
      </c>
      <c r="G37">
        <f>IF(AND(Расчёты!F37&gt;0,Расчёты!F37&lt;=N('Исходные данные'!$B$37)),-F37,0)</f>
        <v>0</v>
      </c>
      <c r="H37">
        <f>IF(OR(Расчёты!F37=0,Расчёты!F37&lt;=N('Исходные данные'!$B$37)),0,-(F37+G37)*N('Сценарный анализ'!$B$9))</f>
        <v>0</v>
      </c>
      <c r="I37">
        <f t="shared" si="21"/>
        <v>0</v>
      </c>
      <c r="J37">
        <f>IF('Исходные данные'!$B$51="Да",I37*N('Исходные данные'!$B$52),0)</f>
        <v>0</v>
      </c>
      <c r="K37">
        <f t="shared" si="22"/>
        <v>0</v>
      </c>
      <c r="L37">
        <f>I37+(Расчёты!Y37-Расчёты!L37)</f>
        <v>0</v>
      </c>
      <c r="M37">
        <f t="shared" si="33"/>
        <v>0</v>
      </c>
      <c r="N37">
        <f>IF('Исходные данные'!$B$51="Да",-MAX(0,J37+Расчёты!R37+Расчёты!V37-Расчёты!P37-Расчёты!T37-M37),0)</f>
        <v>0</v>
      </c>
      <c r="O37">
        <f>IF('Исходные данные'!$B$51="Да",MAX(0,M37+Расчёты!P37+Расчёты!T37-J37-Расчёты!R37-Расчёты!V37),0)</f>
        <v>0</v>
      </c>
      <c r="P37">
        <f>IF('Исходные данные'!$B$53="Выручка",MAX(0,I37+(Расчёты!Q37-Расчёты!R37)+(Расчёты!U37-Расчёты!V37)),IF('Исходные данные'!$B$53="Прибыль до налога",MAX(0,I37+(Расчёты!Q37-Расчёты!R37)+(Расчёты!U37-Расчёты!V37)+N('Исходные данные'!$B$54)*((Расчёты!O37+Расчёты!P37)+(Расчёты!S37+Расчёты!T37)+Расчёты!W37+Расчёты!X37)+IF('Исходные данные'!$B$55="Да",Расчёты!AG37,0)-N('Исходные данные'!$B$56)/12),IF('Исходные данные'!$B$53="Пользовательская база",MAX(0,N('Исходные данные'!$B$57)/12),0)))</f>
        <v>0</v>
      </c>
      <c r="Q37">
        <f>IF(D37=1,-P37*N('Исходные данные'!$B$50),0)</f>
        <v>0</v>
      </c>
      <c r="R37">
        <f t="shared" si="23"/>
        <v>0</v>
      </c>
      <c r="S37">
        <f>IF(OR(D37&lt;&gt;1,B37="",'Исходные данные'!$B$91="",N('Исходные данные'!$B$80)&lt;=0,'Исходные данные'!$B$88=""),0,IF(AND(YEAR(B37)=YEAR('Исходные данные'!$B$91),MONTH(B37)=MONTH('Исходные данные'!$B$91)),MAX(0,IF('Исходные данные'!$B$88="Последние 12 месяцев",SUMIFS($L$2:$L$194,$B$2:$B$194,"&gt;="&amp;EDATE(B37,-11),$B$2:$B$194,"&lt;="&amp;B37),IF('Исходные данные'!$B$88="Пользовательский NOI",N('Исходные данные'!$B$89),R37))/N('Исходные данные'!$B$80)*(1+N('Исходные данные'!$B$81))),0))</f>
        <v>0</v>
      </c>
      <c r="T37">
        <f>-S37*N('Исходные данные'!$B$73)</f>
        <v>0</v>
      </c>
      <c r="U37">
        <f>IF(S37=0,0,-N('Исходные данные'!$B$87)-IF('Исходные данные'!$B$82="Да",IF('Исходные данные'!$B$84="С выручки",S37,IF('Исходные данные'!$B$84="С прибыли",MAX(0,S37+T37-IF('Исходные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7">
        <f t="shared" si="24"/>
        <v>0</v>
      </c>
      <c r="W37">
        <f>IF(D37=1,Расчёты!AZ37+K37+N37+Q37+V37,0)</f>
        <v>0</v>
      </c>
      <c r="X37" t="str">
        <f t="shared" si="34"/>
        <v/>
      </c>
      <c r="Y37">
        <f>IF(OR(D37=0,'Исходные данные'!$B$9="",'Исходные данные'!$B$90=""),0,W37/(1+'Исходные данные'!$B$90)^((C37-'Исходные данные'!$B$9)/365))</f>
        <v>0</v>
      </c>
      <c r="Z37">
        <f>IF(D37=1,K37+Расчёты!O37+Расчёты!Q37+Расчёты!S37+Расчёты!U37+Расчёты!W37+Расчёты!X37+N37+Q37,0)</f>
        <v>0</v>
      </c>
      <c r="AA37">
        <f>IF(AND(D37=1,X37&gt;=0,X36&lt;0,MIN($X$2:X37)&lt;0),1,0)</f>
        <v>0</v>
      </c>
      <c r="AB37">
        <f>IF(Расчёты!F37=0,0,IF(Расчёты!G37=1,N('Сценарный анализ'!$C$5),IF(Расчёты!G37=2,N('Сценарный анализ'!$C$6),IF(Расчёты!G37=3,N('Сценарный анализ'!$C$7),N('Сценарный анализ'!$C$7)*(1+N('Сценарный анализ'!$C$8))^(Расчёты!G37-3)))))</f>
        <v>0</v>
      </c>
      <c r="AC37">
        <f>IF(OR(Расчёты!F37=0,N('Исходные данные'!$B$5)=0,AB37=0),0,N('Исходные данные'!$B$5)*AB37*IF(AND(B37&lt;='Исходные данные'!$B$30,Расчёты!C37&gt;='Исходные данные'!$B$30),(Расчёты!C37-'Исходные данные'!$B$30+1)/DAY(Расчёты!C37),1))</f>
        <v>0</v>
      </c>
      <c r="AD37">
        <f>IF(AND(Расчёты!F37&gt;0,Расчёты!F37&lt;=N('Исходные данные'!$B$37)),-AC37,0)</f>
        <v>0</v>
      </c>
      <c r="AE37">
        <f>IF(OR(Расчёты!F37=0,Расчёты!F37&lt;=N('Исходные данные'!$B$37)),0,-(AC37+AD37)*N('Сценарный анализ'!$C$9))</f>
        <v>0</v>
      </c>
      <c r="AF37">
        <f t="shared" si="25"/>
        <v>0</v>
      </c>
      <c r="AG37">
        <f>IF('Исходные данные'!$B$51="Да",AF37*N('Исходные данные'!$B$52),0)</f>
        <v>0</v>
      </c>
      <c r="AH37">
        <f t="shared" si="26"/>
        <v>0</v>
      </c>
      <c r="AI37">
        <f>AF37+(Расчёты!Y37-Расчёты!L37)</f>
        <v>0</v>
      </c>
      <c r="AJ37">
        <f t="shared" si="35"/>
        <v>0</v>
      </c>
      <c r="AK37">
        <f>IF('Исходные данные'!$B$51="Да",-MAX(0,AG37+Расчёты!R37+Расчёты!V37-Расчёты!P37-Расчёты!T37-AJ37),0)</f>
        <v>0</v>
      </c>
      <c r="AL37">
        <f>IF('Исходные данные'!$B$51="Да",MAX(0,AJ37+Расчёты!P37+Расчёты!T37-AG37-Расчёты!R37-Расчёты!V37),0)</f>
        <v>0</v>
      </c>
      <c r="AM37">
        <f>IF('Исходные данные'!$B$53="Выручка",MAX(0,AF37+(Расчёты!Q37-Расчёты!R37)+(Расчёты!U37-Расчёты!V37)),IF('Исходные данные'!$B$53="Прибыль до налога",MAX(0,AF37+(Расчёты!Q37-Расчёты!R37)+(Расчёты!U37-Расчёты!V37)+N('Исходные данные'!$B$54)*((Расчёты!O37+Расчёты!P37)+(Расчёты!S37+Расчёты!T37)+Расчёты!W37+Расчёты!X37)+IF('Исходные данные'!$B$55="Да",Расчёты!AG37,0)-N('Исходные данные'!$B$56)/12),IF('Исходные данные'!$B$53="Пользовательская база",MAX(0,N('Исходные данные'!$B$57)/12),0)))</f>
        <v>0</v>
      </c>
      <c r="AN37">
        <f>IF(D37=1,-AM37*N('Исходные данные'!$B$50),0)</f>
        <v>0</v>
      </c>
      <c r="AO37">
        <f t="shared" si="27"/>
        <v>0</v>
      </c>
      <c r="AP37">
        <f>IF(OR(D37&lt;&gt;1,B37="",'Исходные данные'!$B$91="",N('Исходные данные'!$B$80)&lt;=0,'Исходные данные'!$B$88=""),0,IF(AND(YEAR(B37)=YEAR('Исходные данные'!$B$91),MONTH(B37)=MONTH('Исходные данные'!$B$91)),MAX(0,IF('Исходные данные'!$B$88="Последние 12 месяцев",SUMIFS($AI$2:$AI$194,$B$2:$B$194,"&gt;="&amp;EDATE(B37,-11),$B$2:$B$194,"&lt;="&amp;B37),IF('Исходные данные'!$B$88="Пользовательский NOI",N('Исходные данные'!$B$89),AO37))/N('Исходные данные'!$B$80)*(1+N('Исходные данные'!$B$81))),0))</f>
        <v>0</v>
      </c>
      <c r="AQ37">
        <f>-AP37*N('Исходные данные'!$B$73)</f>
        <v>0</v>
      </c>
      <c r="AR37">
        <f>IF(AP37=0,0,-N('Исходные данные'!$B$87)-IF('Исходные данные'!$B$82="Да",IF('Исходные данные'!$B$84="С выручки",AP37,IF('Исходные данные'!$B$84="С прибыли",MAX(0,AP37+AQ37-IF('Исходные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7">
        <f t="shared" si="28"/>
        <v>0</v>
      </c>
      <c r="AT37">
        <f>IF(D37=1,Расчёты!AZ37+AH37+AK37+AN37+AS37,0)</f>
        <v>0</v>
      </c>
      <c r="AU37" t="str">
        <f t="shared" si="36"/>
        <v/>
      </c>
      <c r="AV37">
        <f>IF(OR(D37=0,'Исходные данные'!$B$9="",'Исходные данные'!$B$90=""),0,AT37/(1+'Исходные данные'!$B$90)^((C37-'Исходные данные'!$B$9)/365))</f>
        <v>0</v>
      </c>
      <c r="AW37">
        <f>IF(D37=1,AH37+Расчёты!O37+Расчёты!Q37+Расчёты!S37+Расчёты!U37+Расчёты!W37+Расчёты!X37+AK37+AN37,0)</f>
        <v>0</v>
      </c>
      <c r="AX37">
        <f>IF(AND(D37=1,AU37&gt;=0,AU36&lt;0,MIN($AU$2:AU37)&lt;0),1,0)</f>
        <v>0</v>
      </c>
      <c r="AY37">
        <f>IF(Расчёты!F37=0,0,IF(Расчёты!G37=1,N('Сценарный анализ'!$D$5),IF(Расчёты!G37=2,N('Сценарный анализ'!$D$6),IF(Расчёты!G37=3,N('Сценарный анализ'!$D$7),N('Сценарный анализ'!$D$7)*(1+N('Сценарный анализ'!$D$8))^(Расчёты!G37-3)))))</f>
        <v>0</v>
      </c>
      <c r="AZ37">
        <f>IF(OR(Расчёты!F37=0,N('Исходные данные'!$B$5)=0,AY37=0),0,N('Исходные данные'!$B$5)*AY37*IF(AND(B37&lt;='Исходные данные'!$B$30,Расчёты!C37&gt;='Исходные данные'!$B$30),(Расчёты!C37-'Исходные данные'!$B$30+1)/DAY(Расчёты!C37),1))</f>
        <v>0</v>
      </c>
      <c r="BA37">
        <f>IF(AND(Расчёты!F37&gt;0,Расчёты!F37&lt;=N('Исходные данные'!$B$37)),-AZ37,0)</f>
        <v>0</v>
      </c>
      <c r="BB37">
        <f>IF(OR(Расчёты!F37=0,Расчёты!F37&lt;=N('Исходные данные'!$B$37)),0,-(AZ37+BA37)*N('Сценарный анализ'!$D$9))</f>
        <v>0</v>
      </c>
      <c r="BC37">
        <f t="shared" si="29"/>
        <v>0</v>
      </c>
      <c r="BD37">
        <f>IF('Исходные данные'!$B$51="Да",BC37*N('Исходные данные'!$B$52),0)</f>
        <v>0</v>
      </c>
      <c r="BE37">
        <f t="shared" si="30"/>
        <v>0</v>
      </c>
      <c r="BF37">
        <f>BC37+(Расчёты!Y37-Расчёты!L37)</f>
        <v>0</v>
      </c>
      <c r="BG37">
        <f t="shared" si="37"/>
        <v>0</v>
      </c>
      <c r="BH37">
        <f>IF('Исходные данные'!$B$51="Да",-MAX(0,BD37+Расчёты!R37+Расчёты!V37-Расчёты!P37-Расчёты!T37-BG37),0)</f>
        <v>0</v>
      </c>
      <c r="BI37">
        <f>IF('Исходные данные'!$B$51="Да",MAX(0,BG37+Расчёты!P37+Расчёты!T37-BD37-Расчёты!R37-Расчёты!V37),0)</f>
        <v>0</v>
      </c>
      <c r="BJ37">
        <f>IF('Исходные данные'!$B$53="Выручка",MAX(0,BC37+(Расчёты!Q37-Расчёты!R37)+(Расчёты!U37-Расчёты!V37)),IF('Исходные данные'!$B$53="Прибыль до налога",MAX(0,BC37+(Расчёты!Q37-Расчёты!R37)+(Расчёты!U37-Расчёты!V37)+N('Исходные данные'!$B$54)*((Расчёты!O37+Расчёты!P37)+(Расчёты!S37+Расчёты!T37)+Расчёты!W37+Расчёты!X37)+IF('Исходные данные'!$B$55="Да",Расчёты!AG37,0)-N('Исходные данные'!$B$56)/12),IF('Исходные данные'!$B$53="Пользовательская база",MAX(0,N('Исходные данные'!$B$57)/12),0)))</f>
        <v>0</v>
      </c>
      <c r="BK37">
        <f>IF(D37=1,-BJ37*N('Исходные данные'!$B$50),0)</f>
        <v>0</v>
      </c>
      <c r="BL37">
        <f t="shared" si="31"/>
        <v>0</v>
      </c>
      <c r="BM37">
        <f>IF(OR(D37&lt;&gt;1,B37="",'Исходные данные'!$B$91="",N('Исходные данные'!$B$80)&lt;=0,'Исходные данные'!$B$88=""),0,IF(AND(YEAR(B37)=YEAR('Исходные данные'!$B$91),MONTH(B37)=MONTH('Исходные данные'!$B$91)),MAX(0,IF('Исходные данные'!$B$88="Последние 12 месяцев",SUMIFS($BF$2:$BF$194,$B$2:$B$194,"&gt;="&amp;EDATE(B37,-11),$B$2:$B$194,"&lt;="&amp;B37),IF('Исходные данные'!$B$88="Пользовательский NOI",N('Исходные данные'!$B$89),BL37))/N('Исходные данные'!$B$80)*(1+N('Исходные данные'!$B$81))),0))</f>
        <v>0</v>
      </c>
      <c r="BN37">
        <f>-BM37*N('Исходные данные'!$B$73)</f>
        <v>0</v>
      </c>
      <c r="BO37">
        <f>IF(BM37=0,0,-N('Исходные данные'!$B$87)-IF('Исходные данные'!$B$82="Да",IF('Исходные данные'!$B$84="С выручки",BM37,IF('Исходные данные'!$B$84="С прибыли",MAX(0,BM37+BN37-IF('Исходные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7">
        <f t="shared" si="32"/>
        <v>0</v>
      </c>
      <c r="BQ37">
        <f>IF(D37=1,Расчёты!AZ37+BE37+BH37+BK37+BP37,0)</f>
        <v>0</v>
      </c>
      <c r="BR37" t="str">
        <f t="shared" si="38"/>
        <v/>
      </c>
      <c r="BS37">
        <f>IF(OR(D37=0,'Исходные данные'!$B$9="",'Исходные данные'!$B$90=""),0,BQ37/(1+'Исходные данные'!$B$90)^((C37-'Исходные данные'!$B$9)/365))</f>
        <v>0</v>
      </c>
      <c r="BT37">
        <f>IF(D37=1,BE37+Расчёты!O37+Расчёты!Q37+Расчёты!S37+Расчёты!U37+Расчёты!W37+Расчёты!X37+BH37+BK37,0)</f>
        <v>0</v>
      </c>
      <c r="BU37">
        <f>IF(AND(D37=1,BR37&gt;=0,BR36&lt;0,MIN($BR$2:BR37)&lt;0),1,0)</f>
        <v>0</v>
      </c>
      <c r="BV37">
        <f>Расчёты!AZ37+K37+N37-P37*N('Исходные данные'!$B$50)</f>
        <v>0</v>
      </c>
      <c r="BW37">
        <f t="shared" si="18"/>
        <v>0</v>
      </c>
      <c r="BX37">
        <f>IF(AND(BW37&gt;=0,BW36&lt;0,MIN($BW$2:BW37)&lt;0),1,0)</f>
        <v>0</v>
      </c>
      <c r="BY37">
        <f>Расчёты!AZ37+AH37+AK37-AM37*N('Исходные данные'!$B$50)</f>
        <v>0</v>
      </c>
      <c r="BZ37">
        <f t="shared" si="19"/>
        <v>0</v>
      </c>
      <c r="CA37">
        <f>IF(AND(BZ37&gt;=0,BZ36&lt;0,MIN($BZ$2:BZ37)&lt;0),1,0)</f>
        <v>0</v>
      </c>
      <c r="CB37">
        <f>Расчёты!AZ37+BE37+BH37-BJ37*N('Исходные данные'!$B$50)</f>
        <v>0</v>
      </c>
      <c r="CC37">
        <f t="shared" si="20"/>
        <v>0</v>
      </c>
      <c r="CD37">
        <f>IF(AND(CC37&gt;=0,CC36&lt;0,MIN($CC$2:CC37)&lt;0),1,0)</f>
        <v>0</v>
      </c>
    </row>
    <row r="38" spans="1:82" x14ac:dyDescent="0.2">
      <c r="A38">
        <f>Расчёты!A38</f>
        <v>37</v>
      </c>
      <c r="B38" t="str">
        <f>Расчёты!B38</f>
        <v/>
      </c>
      <c r="C38" t="str">
        <f>Расчёты!D38</f>
        <v/>
      </c>
      <c r="D38">
        <f>Расчёты!E38</f>
        <v>0</v>
      </c>
      <c r="E38">
        <f>IF(Расчёты!F38=0,0,IF(Расчёты!G38=1,N('Сценарный анализ'!$B$5),IF(Расчёты!G38=2,N('Сценарный анализ'!$B$6),IF(Расчёты!G38=3,N('Сценарный анализ'!$B$7),N('Сценарный анализ'!$B$7)*(1+N('Сценарный анализ'!$B$8))^(Расчёты!G38-3)))))</f>
        <v>0</v>
      </c>
      <c r="F38">
        <f>IF(OR(Расчёты!F38=0,N('Исходные данные'!$B$5)=0,E38=0),0,N('Исходные данные'!$B$5)*E38*IF(AND(B38&lt;='Исходные данные'!$B$30,Расчёты!C38&gt;='Исходные данные'!$B$30),(Расчёты!C38-'Исходные данные'!$B$30+1)/DAY(Расчёты!C38),1))</f>
        <v>0</v>
      </c>
      <c r="G38">
        <f>IF(AND(Расчёты!F38&gt;0,Расчёты!F38&lt;=N('Исходные данные'!$B$37)),-F38,0)</f>
        <v>0</v>
      </c>
      <c r="H38">
        <f>IF(OR(Расчёты!F38=0,Расчёты!F38&lt;=N('Исходные данные'!$B$37)),0,-(F38+G38)*N('Сценарный анализ'!$B$9))</f>
        <v>0</v>
      </c>
      <c r="I38">
        <f t="shared" si="21"/>
        <v>0</v>
      </c>
      <c r="J38">
        <f>IF('Исходные данные'!$B$51="Да",I38*N('Исходные данные'!$B$52),0)</f>
        <v>0</v>
      </c>
      <c r="K38">
        <f t="shared" si="22"/>
        <v>0</v>
      </c>
      <c r="L38">
        <f>I38+(Расчёты!Y38-Расчёты!L38)</f>
        <v>0</v>
      </c>
      <c r="M38">
        <f t="shared" si="33"/>
        <v>0</v>
      </c>
      <c r="N38">
        <f>IF('Исходные данные'!$B$51="Да",-MAX(0,J38+Расчёты!R38+Расчёты!V38-Расчёты!P38-Расчёты!T38-M38),0)</f>
        <v>0</v>
      </c>
      <c r="O38">
        <f>IF('Исходные данные'!$B$51="Да",MAX(0,M38+Расчёты!P38+Расчёты!T38-J38-Расчёты!R38-Расчёты!V38),0)</f>
        <v>0</v>
      </c>
      <c r="P38">
        <f>IF('Исходные данные'!$B$53="Выручка",MAX(0,I38+(Расчёты!Q38-Расчёты!R38)+(Расчёты!U38-Расчёты!V38)),IF('Исходные данные'!$B$53="Прибыль до налога",MAX(0,I38+(Расчёты!Q38-Расчёты!R38)+(Расчёты!U38-Расчёты!V38)+N('Исходные данные'!$B$54)*((Расчёты!O38+Расчёты!P38)+(Расчёты!S38+Расчёты!T38)+Расчёты!W38+Расчёты!X38)+IF('Исходные данные'!$B$55="Да",Расчёты!AG38,0)-N('Исходные данные'!$B$56)/12),IF('Исходные данные'!$B$53="Пользовательская база",MAX(0,N('Исходные данные'!$B$57)/12),0)))</f>
        <v>0</v>
      </c>
      <c r="Q38">
        <f>IF(D38=1,-P38*N('Исходные данные'!$B$50),0)</f>
        <v>0</v>
      </c>
      <c r="R38">
        <f t="shared" si="23"/>
        <v>0</v>
      </c>
      <c r="S38">
        <f>IF(OR(D38&lt;&gt;1,B38="",'Исходные данные'!$B$91="",N('Исходные данные'!$B$80)&lt;=0,'Исходные данные'!$B$88=""),0,IF(AND(YEAR(B38)=YEAR('Исходные данные'!$B$91),MONTH(B38)=MONTH('Исходные данные'!$B$91)),MAX(0,IF('Исходные данные'!$B$88="Последние 12 месяцев",SUMIFS($L$2:$L$194,$B$2:$B$194,"&gt;="&amp;EDATE(B38,-11),$B$2:$B$194,"&lt;="&amp;B38),IF('Исходные данные'!$B$88="Пользовательский NOI",N('Исходные данные'!$B$89),R38))/N('Исходные данные'!$B$80)*(1+N('Исходные данные'!$B$81))),0))</f>
        <v>0</v>
      </c>
      <c r="T38">
        <f>-S38*N('Исходные данные'!$B$73)</f>
        <v>0</v>
      </c>
      <c r="U38">
        <f>IF(S38=0,0,-N('Исходные данные'!$B$87)-IF('Исходные данные'!$B$82="Да",IF('Исходные данные'!$B$84="С выручки",S38,IF('Исходные данные'!$B$84="С прибыли",MAX(0,S38+T38-IF('Исходные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8">
        <f t="shared" si="24"/>
        <v>0</v>
      </c>
      <c r="W38">
        <f>IF(D38=1,Расчёты!AZ38+K38+N38+Q38+V38,0)</f>
        <v>0</v>
      </c>
      <c r="X38" t="str">
        <f t="shared" si="34"/>
        <v/>
      </c>
      <c r="Y38">
        <f>IF(OR(D38=0,'Исходные данные'!$B$9="",'Исходные данные'!$B$90=""),0,W38/(1+'Исходные данные'!$B$90)^((C38-'Исходные данные'!$B$9)/365))</f>
        <v>0</v>
      </c>
      <c r="Z38">
        <f>IF(D38=1,K38+Расчёты!O38+Расчёты!Q38+Расчёты!S38+Расчёты!U38+Расчёты!W38+Расчёты!X38+N38+Q38,0)</f>
        <v>0</v>
      </c>
      <c r="AA38">
        <f>IF(AND(D38=1,X38&gt;=0,X37&lt;0,MIN($X$2:X38)&lt;0),1,0)</f>
        <v>0</v>
      </c>
      <c r="AB38">
        <f>IF(Расчёты!F38=0,0,IF(Расчёты!G38=1,N('Сценарный анализ'!$C$5),IF(Расчёты!G38=2,N('Сценарный анализ'!$C$6),IF(Расчёты!G38=3,N('Сценарный анализ'!$C$7),N('Сценарный анализ'!$C$7)*(1+N('Сценарный анализ'!$C$8))^(Расчёты!G38-3)))))</f>
        <v>0</v>
      </c>
      <c r="AC38">
        <f>IF(OR(Расчёты!F38=0,N('Исходные данные'!$B$5)=0,AB38=0),0,N('Исходные данные'!$B$5)*AB38*IF(AND(B38&lt;='Исходные данные'!$B$30,Расчёты!C38&gt;='Исходные данные'!$B$30),(Расчёты!C38-'Исходные данные'!$B$30+1)/DAY(Расчёты!C38),1))</f>
        <v>0</v>
      </c>
      <c r="AD38">
        <f>IF(AND(Расчёты!F38&gt;0,Расчёты!F38&lt;=N('Исходные данные'!$B$37)),-AC38,0)</f>
        <v>0</v>
      </c>
      <c r="AE38">
        <f>IF(OR(Расчёты!F38=0,Расчёты!F38&lt;=N('Исходные данные'!$B$37)),0,-(AC38+AD38)*N('Сценарный анализ'!$C$9))</f>
        <v>0</v>
      </c>
      <c r="AF38">
        <f t="shared" si="25"/>
        <v>0</v>
      </c>
      <c r="AG38">
        <f>IF('Исходные данные'!$B$51="Да",AF38*N('Исходные данные'!$B$52),0)</f>
        <v>0</v>
      </c>
      <c r="AH38">
        <f t="shared" si="26"/>
        <v>0</v>
      </c>
      <c r="AI38">
        <f>AF38+(Расчёты!Y38-Расчёты!L38)</f>
        <v>0</v>
      </c>
      <c r="AJ38">
        <f t="shared" si="35"/>
        <v>0</v>
      </c>
      <c r="AK38">
        <f>IF('Исходные данные'!$B$51="Да",-MAX(0,AG38+Расчёты!R38+Расчёты!V38-Расчёты!P38-Расчёты!T38-AJ38),0)</f>
        <v>0</v>
      </c>
      <c r="AL38">
        <f>IF('Исходные данные'!$B$51="Да",MAX(0,AJ38+Расчёты!P38+Расчёты!T38-AG38-Расчёты!R38-Расчёты!V38),0)</f>
        <v>0</v>
      </c>
      <c r="AM38">
        <f>IF('Исходные данные'!$B$53="Выручка",MAX(0,AF38+(Расчёты!Q38-Расчёты!R38)+(Расчёты!U38-Расчёты!V38)),IF('Исходные данные'!$B$53="Прибыль до налога",MAX(0,AF38+(Расчёты!Q38-Расчёты!R38)+(Расчёты!U38-Расчёты!V38)+N('Исходные данные'!$B$54)*((Расчёты!O38+Расчёты!P38)+(Расчёты!S38+Расчёты!T38)+Расчёты!W38+Расчёты!X38)+IF('Исходные данные'!$B$55="Да",Расчёты!AG38,0)-N('Исходные данные'!$B$56)/12),IF('Исходные данные'!$B$53="Пользовательская база",MAX(0,N('Исходные данные'!$B$57)/12),0)))</f>
        <v>0</v>
      </c>
      <c r="AN38">
        <f>IF(D38=1,-AM38*N('Исходные данные'!$B$50),0)</f>
        <v>0</v>
      </c>
      <c r="AO38">
        <f t="shared" si="27"/>
        <v>0</v>
      </c>
      <c r="AP38">
        <f>IF(OR(D38&lt;&gt;1,B38="",'Исходные данные'!$B$91="",N('Исходные данные'!$B$80)&lt;=0,'Исходные данные'!$B$88=""),0,IF(AND(YEAR(B38)=YEAR('Исходные данные'!$B$91),MONTH(B38)=MONTH('Исходные данные'!$B$91)),MAX(0,IF('Исходные данные'!$B$88="Последние 12 месяцев",SUMIFS($AI$2:$AI$194,$B$2:$B$194,"&gt;="&amp;EDATE(B38,-11),$B$2:$B$194,"&lt;="&amp;B38),IF('Исходные данные'!$B$88="Пользовательский NOI",N('Исходные данные'!$B$89),AO38))/N('Исходные данные'!$B$80)*(1+N('Исходные данные'!$B$81))),0))</f>
        <v>0</v>
      </c>
      <c r="AQ38">
        <f>-AP38*N('Исходные данные'!$B$73)</f>
        <v>0</v>
      </c>
      <c r="AR38">
        <f>IF(AP38=0,0,-N('Исходные данные'!$B$87)-IF('Исходные данные'!$B$82="Да",IF('Исходные данные'!$B$84="С выручки",AP38,IF('Исходные данные'!$B$84="С прибыли",MAX(0,AP38+AQ38-IF('Исходные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8">
        <f t="shared" si="28"/>
        <v>0</v>
      </c>
      <c r="AT38">
        <f>IF(D38=1,Расчёты!AZ38+AH38+AK38+AN38+AS38,0)</f>
        <v>0</v>
      </c>
      <c r="AU38" t="str">
        <f t="shared" si="36"/>
        <v/>
      </c>
      <c r="AV38">
        <f>IF(OR(D38=0,'Исходные данные'!$B$9="",'Исходные данные'!$B$90=""),0,AT38/(1+'Исходные данные'!$B$90)^((C38-'Исходные данные'!$B$9)/365))</f>
        <v>0</v>
      </c>
      <c r="AW38">
        <f>IF(D38=1,AH38+Расчёты!O38+Расчёты!Q38+Расчёты!S38+Расчёты!U38+Расчёты!W38+Расчёты!X38+AK38+AN38,0)</f>
        <v>0</v>
      </c>
      <c r="AX38">
        <f>IF(AND(D38=1,AU38&gt;=0,AU37&lt;0,MIN($AU$2:AU38)&lt;0),1,0)</f>
        <v>0</v>
      </c>
      <c r="AY38">
        <f>IF(Расчёты!F38=0,0,IF(Расчёты!G38=1,N('Сценарный анализ'!$D$5),IF(Расчёты!G38=2,N('Сценарный анализ'!$D$6),IF(Расчёты!G38=3,N('Сценарный анализ'!$D$7),N('Сценарный анализ'!$D$7)*(1+N('Сценарный анализ'!$D$8))^(Расчёты!G38-3)))))</f>
        <v>0</v>
      </c>
      <c r="AZ38">
        <f>IF(OR(Расчёты!F38=0,N('Исходные данные'!$B$5)=0,AY38=0),0,N('Исходные данные'!$B$5)*AY38*IF(AND(B38&lt;='Исходные данные'!$B$30,Расчёты!C38&gt;='Исходные данные'!$B$30),(Расчёты!C38-'Исходные данные'!$B$30+1)/DAY(Расчёты!C38),1))</f>
        <v>0</v>
      </c>
      <c r="BA38">
        <f>IF(AND(Расчёты!F38&gt;0,Расчёты!F38&lt;=N('Исходные данные'!$B$37)),-AZ38,0)</f>
        <v>0</v>
      </c>
      <c r="BB38">
        <f>IF(OR(Расчёты!F38=0,Расчёты!F38&lt;=N('Исходные данные'!$B$37)),0,-(AZ38+BA38)*N('Сценарный анализ'!$D$9))</f>
        <v>0</v>
      </c>
      <c r="BC38">
        <f t="shared" si="29"/>
        <v>0</v>
      </c>
      <c r="BD38">
        <f>IF('Исходные данные'!$B$51="Да",BC38*N('Исходные данные'!$B$52),0)</f>
        <v>0</v>
      </c>
      <c r="BE38">
        <f t="shared" si="30"/>
        <v>0</v>
      </c>
      <c r="BF38">
        <f>BC38+(Расчёты!Y38-Расчёты!L38)</f>
        <v>0</v>
      </c>
      <c r="BG38">
        <f t="shared" si="37"/>
        <v>0</v>
      </c>
      <c r="BH38">
        <f>IF('Исходные данные'!$B$51="Да",-MAX(0,BD38+Расчёты!R38+Расчёты!V38-Расчёты!P38-Расчёты!T38-BG38),0)</f>
        <v>0</v>
      </c>
      <c r="BI38">
        <f>IF('Исходные данные'!$B$51="Да",MAX(0,BG38+Расчёты!P38+Расчёты!T38-BD38-Расчёты!R38-Расчёты!V38),0)</f>
        <v>0</v>
      </c>
      <c r="BJ38">
        <f>IF('Исходные данные'!$B$53="Выручка",MAX(0,BC38+(Расчёты!Q38-Расчёты!R38)+(Расчёты!U38-Расчёты!V38)),IF('Исходные данные'!$B$53="Прибыль до налога",MAX(0,BC38+(Расчёты!Q38-Расчёты!R38)+(Расчёты!U38-Расчёты!V38)+N('Исходные данные'!$B$54)*((Расчёты!O38+Расчёты!P38)+(Расчёты!S38+Расчёты!T38)+Расчёты!W38+Расчёты!X38)+IF('Исходные данные'!$B$55="Да",Расчёты!AG38,0)-N('Исходные данные'!$B$56)/12),IF('Исходные данные'!$B$53="Пользовательская база",MAX(0,N('Исходные данные'!$B$57)/12),0)))</f>
        <v>0</v>
      </c>
      <c r="BK38">
        <f>IF(D38=1,-BJ38*N('Исходные данные'!$B$50),0)</f>
        <v>0</v>
      </c>
      <c r="BL38">
        <f t="shared" si="31"/>
        <v>0</v>
      </c>
      <c r="BM38">
        <f>IF(OR(D38&lt;&gt;1,B38="",'Исходные данные'!$B$91="",N('Исходные данные'!$B$80)&lt;=0,'Исходные данные'!$B$88=""),0,IF(AND(YEAR(B38)=YEAR('Исходные данные'!$B$91),MONTH(B38)=MONTH('Исходные данные'!$B$91)),MAX(0,IF('Исходные данные'!$B$88="Последние 12 месяцев",SUMIFS($BF$2:$BF$194,$B$2:$B$194,"&gt;="&amp;EDATE(B38,-11),$B$2:$B$194,"&lt;="&amp;B38),IF('Исходные данные'!$B$88="Пользовательский NOI",N('Исходные данные'!$B$89),BL38))/N('Исходные данные'!$B$80)*(1+N('Исходные данные'!$B$81))),0))</f>
        <v>0</v>
      </c>
      <c r="BN38">
        <f>-BM38*N('Исходные данные'!$B$73)</f>
        <v>0</v>
      </c>
      <c r="BO38">
        <f>IF(BM38=0,0,-N('Исходные данные'!$B$87)-IF('Исходные данные'!$B$82="Да",IF('Исходные данные'!$B$84="С выручки",BM38,IF('Исходные данные'!$B$84="С прибыли",MAX(0,BM38+BN38-IF('Исходные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8">
        <f t="shared" si="32"/>
        <v>0</v>
      </c>
      <c r="BQ38">
        <f>IF(D38=1,Расчёты!AZ38+BE38+BH38+BK38+BP38,0)</f>
        <v>0</v>
      </c>
      <c r="BR38" t="str">
        <f t="shared" si="38"/>
        <v/>
      </c>
      <c r="BS38">
        <f>IF(OR(D38=0,'Исходные данные'!$B$9="",'Исходные данные'!$B$90=""),0,BQ38/(1+'Исходные данные'!$B$90)^((C38-'Исходные данные'!$B$9)/365))</f>
        <v>0</v>
      </c>
      <c r="BT38">
        <f>IF(D38=1,BE38+Расчёты!O38+Расчёты!Q38+Расчёты!S38+Расчёты!U38+Расчёты!W38+Расчёты!X38+BH38+BK38,0)</f>
        <v>0</v>
      </c>
      <c r="BU38">
        <f>IF(AND(D38=1,BR38&gt;=0,BR37&lt;0,MIN($BR$2:BR38)&lt;0),1,0)</f>
        <v>0</v>
      </c>
      <c r="BV38">
        <f>Расчёты!AZ38+K38+N38-P38*N('Исходные данные'!$B$50)</f>
        <v>0</v>
      </c>
      <c r="BW38">
        <f t="shared" si="18"/>
        <v>0</v>
      </c>
      <c r="BX38">
        <f>IF(AND(BW38&gt;=0,BW37&lt;0,MIN($BW$2:BW38)&lt;0),1,0)</f>
        <v>0</v>
      </c>
      <c r="BY38">
        <f>Расчёты!AZ38+AH38+AK38-AM38*N('Исходные данные'!$B$50)</f>
        <v>0</v>
      </c>
      <c r="BZ38">
        <f t="shared" si="19"/>
        <v>0</v>
      </c>
      <c r="CA38">
        <f>IF(AND(BZ38&gt;=0,BZ37&lt;0,MIN($BZ$2:BZ38)&lt;0),1,0)</f>
        <v>0</v>
      </c>
      <c r="CB38">
        <f>Расчёты!AZ38+BE38+BH38-BJ38*N('Исходные данные'!$B$50)</f>
        <v>0</v>
      </c>
      <c r="CC38">
        <f t="shared" si="20"/>
        <v>0</v>
      </c>
      <c r="CD38">
        <f>IF(AND(CC38&gt;=0,CC37&lt;0,MIN($CC$2:CC38)&lt;0),1,0)</f>
        <v>0</v>
      </c>
    </row>
    <row r="39" spans="1:82" x14ac:dyDescent="0.2">
      <c r="A39">
        <f>Расчёты!A39</f>
        <v>38</v>
      </c>
      <c r="B39" t="str">
        <f>Расчёты!B39</f>
        <v/>
      </c>
      <c r="C39" t="str">
        <f>Расчёты!D39</f>
        <v/>
      </c>
      <c r="D39">
        <f>Расчёты!E39</f>
        <v>0</v>
      </c>
      <c r="E39">
        <f>IF(Расчёты!F39=0,0,IF(Расчёты!G39=1,N('Сценарный анализ'!$B$5),IF(Расчёты!G39=2,N('Сценарный анализ'!$B$6),IF(Расчёты!G39=3,N('Сценарный анализ'!$B$7),N('Сценарный анализ'!$B$7)*(1+N('Сценарный анализ'!$B$8))^(Расчёты!G39-3)))))</f>
        <v>0</v>
      </c>
      <c r="F39">
        <f>IF(OR(Расчёты!F39=0,N('Исходные данные'!$B$5)=0,E39=0),0,N('Исходные данные'!$B$5)*E39*IF(AND(B39&lt;='Исходные данные'!$B$30,Расчёты!C39&gt;='Исходные данные'!$B$30),(Расчёты!C39-'Исходные данные'!$B$30+1)/DAY(Расчёты!C39),1))</f>
        <v>0</v>
      </c>
      <c r="G39">
        <f>IF(AND(Расчёты!F39&gt;0,Расчёты!F39&lt;=N('Исходные данные'!$B$37)),-F39,0)</f>
        <v>0</v>
      </c>
      <c r="H39">
        <f>IF(OR(Расчёты!F39=0,Расчёты!F39&lt;=N('Исходные данные'!$B$37)),0,-(F39+G39)*N('Сценарный анализ'!$B$9))</f>
        <v>0</v>
      </c>
      <c r="I39">
        <f t="shared" si="21"/>
        <v>0</v>
      </c>
      <c r="J39">
        <f>IF('Исходные данные'!$B$51="Да",I39*N('Исходные данные'!$B$52),0)</f>
        <v>0</v>
      </c>
      <c r="K39">
        <f t="shared" si="22"/>
        <v>0</v>
      </c>
      <c r="L39">
        <f>I39+(Расчёты!Y39-Расчёты!L39)</f>
        <v>0</v>
      </c>
      <c r="M39">
        <f t="shared" si="33"/>
        <v>0</v>
      </c>
      <c r="N39">
        <f>IF('Исходные данные'!$B$51="Да",-MAX(0,J39+Расчёты!R39+Расчёты!V39-Расчёты!P39-Расчёты!T39-M39),0)</f>
        <v>0</v>
      </c>
      <c r="O39">
        <f>IF('Исходные данные'!$B$51="Да",MAX(0,M39+Расчёты!P39+Расчёты!T39-J39-Расчёты!R39-Расчёты!V39),0)</f>
        <v>0</v>
      </c>
      <c r="P39">
        <f>IF('Исходные данные'!$B$53="Выручка",MAX(0,I39+(Расчёты!Q39-Расчёты!R39)+(Расчёты!U39-Расчёты!V39)),IF('Исходные данные'!$B$53="Прибыль до налога",MAX(0,I39+(Расчёты!Q39-Расчёты!R39)+(Расчёты!U39-Расчёты!V39)+N('Исходные данные'!$B$54)*((Расчёты!O39+Расчёты!P39)+(Расчёты!S39+Расчёты!T39)+Расчёты!W39+Расчёты!X39)+IF('Исходные данные'!$B$55="Да",Расчёты!AG39,0)-N('Исходные данные'!$B$56)/12),IF('Исходные данные'!$B$53="Пользовательская база",MAX(0,N('Исходные данные'!$B$57)/12),0)))</f>
        <v>0</v>
      </c>
      <c r="Q39">
        <f>IF(D39=1,-P39*N('Исходные данные'!$B$50),0)</f>
        <v>0</v>
      </c>
      <c r="R39">
        <f t="shared" si="23"/>
        <v>0</v>
      </c>
      <c r="S39">
        <f>IF(OR(D39&lt;&gt;1,B39="",'Исходные данные'!$B$91="",N('Исходные данные'!$B$80)&lt;=0,'Исходные данные'!$B$88=""),0,IF(AND(YEAR(B39)=YEAR('Исходные данные'!$B$91),MONTH(B39)=MONTH('Исходные данные'!$B$91)),MAX(0,IF('Исходные данные'!$B$88="Последние 12 месяцев",SUMIFS($L$2:$L$194,$B$2:$B$194,"&gt;="&amp;EDATE(B39,-11),$B$2:$B$194,"&lt;="&amp;B39),IF('Исходные данные'!$B$88="Пользовательский NOI",N('Исходные данные'!$B$89),R39))/N('Исходные данные'!$B$80)*(1+N('Исходные данные'!$B$81))),0))</f>
        <v>0</v>
      </c>
      <c r="T39">
        <f>-S39*N('Исходные данные'!$B$73)</f>
        <v>0</v>
      </c>
      <c r="U39">
        <f>IF(S39=0,0,-N('Исходные данные'!$B$87)-IF('Исходные данные'!$B$82="Да",IF('Исходные данные'!$B$84="С выручки",S39,IF('Исходные данные'!$B$84="С прибыли",MAX(0,S39+T39-IF('Исходные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9">
        <f t="shared" si="24"/>
        <v>0</v>
      </c>
      <c r="W39">
        <f>IF(D39=1,Расчёты!AZ39+K39+N39+Q39+V39,0)</f>
        <v>0</v>
      </c>
      <c r="X39" t="str">
        <f t="shared" si="34"/>
        <v/>
      </c>
      <c r="Y39">
        <f>IF(OR(D39=0,'Исходные данные'!$B$9="",'Исходные данные'!$B$90=""),0,W39/(1+'Исходные данные'!$B$90)^((C39-'Исходные данные'!$B$9)/365))</f>
        <v>0</v>
      </c>
      <c r="Z39">
        <f>IF(D39=1,K39+Расчёты!O39+Расчёты!Q39+Расчёты!S39+Расчёты!U39+Расчёты!W39+Расчёты!X39+N39+Q39,0)</f>
        <v>0</v>
      </c>
      <c r="AA39">
        <f>IF(AND(D39=1,X39&gt;=0,X38&lt;0,MIN($X$2:X39)&lt;0),1,0)</f>
        <v>0</v>
      </c>
      <c r="AB39">
        <f>IF(Расчёты!F39=0,0,IF(Расчёты!G39=1,N('Сценарный анализ'!$C$5),IF(Расчёты!G39=2,N('Сценарный анализ'!$C$6),IF(Расчёты!G39=3,N('Сценарный анализ'!$C$7),N('Сценарный анализ'!$C$7)*(1+N('Сценарный анализ'!$C$8))^(Расчёты!G39-3)))))</f>
        <v>0</v>
      </c>
      <c r="AC39">
        <f>IF(OR(Расчёты!F39=0,N('Исходные данные'!$B$5)=0,AB39=0),0,N('Исходные данные'!$B$5)*AB39*IF(AND(B39&lt;='Исходные данные'!$B$30,Расчёты!C39&gt;='Исходные данные'!$B$30),(Расчёты!C39-'Исходные данные'!$B$30+1)/DAY(Расчёты!C39),1))</f>
        <v>0</v>
      </c>
      <c r="AD39">
        <f>IF(AND(Расчёты!F39&gt;0,Расчёты!F39&lt;=N('Исходные данные'!$B$37)),-AC39,0)</f>
        <v>0</v>
      </c>
      <c r="AE39">
        <f>IF(OR(Расчёты!F39=0,Расчёты!F39&lt;=N('Исходные данные'!$B$37)),0,-(AC39+AD39)*N('Сценарный анализ'!$C$9))</f>
        <v>0</v>
      </c>
      <c r="AF39">
        <f t="shared" si="25"/>
        <v>0</v>
      </c>
      <c r="AG39">
        <f>IF('Исходные данные'!$B$51="Да",AF39*N('Исходные данные'!$B$52),0)</f>
        <v>0</v>
      </c>
      <c r="AH39">
        <f t="shared" si="26"/>
        <v>0</v>
      </c>
      <c r="AI39">
        <f>AF39+(Расчёты!Y39-Расчёты!L39)</f>
        <v>0</v>
      </c>
      <c r="AJ39">
        <f t="shared" si="35"/>
        <v>0</v>
      </c>
      <c r="AK39">
        <f>IF('Исходные данные'!$B$51="Да",-MAX(0,AG39+Расчёты!R39+Расчёты!V39-Расчёты!P39-Расчёты!T39-AJ39),0)</f>
        <v>0</v>
      </c>
      <c r="AL39">
        <f>IF('Исходные данные'!$B$51="Да",MAX(0,AJ39+Расчёты!P39+Расчёты!T39-AG39-Расчёты!R39-Расчёты!V39),0)</f>
        <v>0</v>
      </c>
      <c r="AM39">
        <f>IF('Исходные данные'!$B$53="Выручка",MAX(0,AF39+(Расчёты!Q39-Расчёты!R39)+(Расчёты!U39-Расчёты!V39)),IF('Исходные данные'!$B$53="Прибыль до налога",MAX(0,AF39+(Расчёты!Q39-Расчёты!R39)+(Расчёты!U39-Расчёты!V39)+N('Исходные данные'!$B$54)*((Расчёты!O39+Расчёты!P39)+(Расчёты!S39+Расчёты!T39)+Расчёты!W39+Расчёты!X39)+IF('Исходные данные'!$B$55="Да",Расчёты!AG39,0)-N('Исходные данные'!$B$56)/12),IF('Исходные данные'!$B$53="Пользовательская база",MAX(0,N('Исходные данные'!$B$57)/12),0)))</f>
        <v>0</v>
      </c>
      <c r="AN39">
        <f>IF(D39=1,-AM39*N('Исходные данные'!$B$50),0)</f>
        <v>0</v>
      </c>
      <c r="AO39">
        <f t="shared" si="27"/>
        <v>0</v>
      </c>
      <c r="AP39">
        <f>IF(OR(D39&lt;&gt;1,B39="",'Исходные данные'!$B$91="",N('Исходные данные'!$B$80)&lt;=0,'Исходные данные'!$B$88=""),0,IF(AND(YEAR(B39)=YEAR('Исходные данные'!$B$91),MONTH(B39)=MONTH('Исходные данные'!$B$91)),MAX(0,IF('Исходные данные'!$B$88="Последние 12 месяцев",SUMIFS($AI$2:$AI$194,$B$2:$B$194,"&gt;="&amp;EDATE(B39,-11),$B$2:$B$194,"&lt;="&amp;B39),IF('Исходные данные'!$B$88="Пользовательский NOI",N('Исходные данные'!$B$89),AO39))/N('Исходные данные'!$B$80)*(1+N('Исходные данные'!$B$81))),0))</f>
        <v>0</v>
      </c>
      <c r="AQ39">
        <f>-AP39*N('Исходные данные'!$B$73)</f>
        <v>0</v>
      </c>
      <c r="AR39">
        <f>IF(AP39=0,0,-N('Исходные данные'!$B$87)-IF('Исходные данные'!$B$82="Да",IF('Исходные данные'!$B$84="С выручки",AP39,IF('Исходные данные'!$B$84="С прибыли",MAX(0,AP39+AQ39-IF('Исходные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9">
        <f t="shared" si="28"/>
        <v>0</v>
      </c>
      <c r="AT39">
        <f>IF(D39=1,Расчёты!AZ39+AH39+AK39+AN39+AS39,0)</f>
        <v>0</v>
      </c>
      <c r="AU39" t="str">
        <f t="shared" si="36"/>
        <v/>
      </c>
      <c r="AV39">
        <f>IF(OR(D39=0,'Исходные данные'!$B$9="",'Исходные данные'!$B$90=""),0,AT39/(1+'Исходные данные'!$B$90)^((C39-'Исходные данные'!$B$9)/365))</f>
        <v>0</v>
      </c>
      <c r="AW39">
        <f>IF(D39=1,AH39+Расчёты!O39+Расчёты!Q39+Расчёты!S39+Расчёты!U39+Расчёты!W39+Расчёты!X39+AK39+AN39,0)</f>
        <v>0</v>
      </c>
      <c r="AX39">
        <f>IF(AND(D39=1,AU39&gt;=0,AU38&lt;0,MIN($AU$2:AU39)&lt;0),1,0)</f>
        <v>0</v>
      </c>
      <c r="AY39">
        <f>IF(Расчёты!F39=0,0,IF(Расчёты!G39=1,N('Сценарный анализ'!$D$5),IF(Расчёты!G39=2,N('Сценарный анализ'!$D$6),IF(Расчёты!G39=3,N('Сценарный анализ'!$D$7),N('Сценарный анализ'!$D$7)*(1+N('Сценарный анализ'!$D$8))^(Расчёты!G39-3)))))</f>
        <v>0</v>
      </c>
      <c r="AZ39">
        <f>IF(OR(Расчёты!F39=0,N('Исходные данные'!$B$5)=0,AY39=0),0,N('Исходные данные'!$B$5)*AY39*IF(AND(B39&lt;='Исходные данные'!$B$30,Расчёты!C39&gt;='Исходные данные'!$B$30),(Расчёты!C39-'Исходные данные'!$B$30+1)/DAY(Расчёты!C39),1))</f>
        <v>0</v>
      </c>
      <c r="BA39">
        <f>IF(AND(Расчёты!F39&gt;0,Расчёты!F39&lt;=N('Исходные данные'!$B$37)),-AZ39,0)</f>
        <v>0</v>
      </c>
      <c r="BB39">
        <f>IF(OR(Расчёты!F39=0,Расчёты!F39&lt;=N('Исходные данные'!$B$37)),0,-(AZ39+BA39)*N('Сценарный анализ'!$D$9))</f>
        <v>0</v>
      </c>
      <c r="BC39">
        <f t="shared" si="29"/>
        <v>0</v>
      </c>
      <c r="BD39">
        <f>IF('Исходные данные'!$B$51="Да",BC39*N('Исходные данные'!$B$52),0)</f>
        <v>0</v>
      </c>
      <c r="BE39">
        <f t="shared" si="30"/>
        <v>0</v>
      </c>
      <c r="BF39">
        <f>BC39+(Расчёты!Y39-Расчёты!L39)</f>
        <v>0</v>
      </c>
      <c r="BG39">
        <f t="shared" si="37"/>
        <v>0</v>
      </c>
      <c r="BH39">
        <f>IF('Исходные данные'!$B$51="Да",-MAX(0,BD39+Расчёты!R39+Расчёты!V39-Расчёты!P39-Расчёты!T39-BG39),0)</f>
        <v>0</v>
      </c>
      <c r="BI39">
        <f>IF('Исходные данные'!$B$51="Да",MAX(0,BG39+Расчёты!P39+Расчёты!T39-BD39-Расчёты!R39-Расчёты!V39),0)</f>
        <v>0</v>
      </c>
      <c r="BJ39">
        <f>IF('Исходные данные'!$B$53="Выручка",MAX(0,BC39+(Расчёты!Q39-Расчёты!R39)+(Расчёты!U39-Расчёты!V39)),IF('Исходные данные'!$B$53="Прибыль до налога",MAX(0,BC39+(Расчёты!Q39-Расчёты!R39)+(Расчёты!U39-Расчёты!V39)+N('Исходные данные'!$B$54)*((Расчёты!O39+Расчёты!P39)+(Расчёты!S39+Расчёты!T39)+Расчёты!W39+Расчёты!X39)+IF('Исходные данные'!$B$55="Да",Расчёты!AG39,0)-N('Исходные данные'!$B$56)/12),IF('Исходные данные'!$B$53="Пользовательская база",MAX(0,N('Исходные данные'!$B$57)/12),0)))</f>
        <v>0</v>
      </c>
      <c r="BK39">
        <f>IF(D39=1,-BJ39*N('Исходные данные'!$B$50),0)</f>
        <v>0</v>
      </c>
      <c r="BL39">
        <f t="shared" si="31"/>
        <v>0</v>
      </c>
      <c r="BM39">
        <f>IF(OR(D39&lt;&gt;1,B39="",'Исходные данные'!$B$91="",N('Исходные данные'!$B$80)&lt;=0,'Исходные данные'!$B$88=""),0,IF(AND(YEAR(B39)=YEAR('Исходные данные'!$B$91),MONTH(B39)=MONTH('Исходные данные'!$B$91)),MAX(0,IF('Исходные данные'!$B$88="Последние 12 месяцев",SUMIFS($BF$2:$BF$194,$B$2:$B$194,"&gt;="&amp;EDATE(B39,-11),$B$2:$B$194,"&lt;="&amp;B39),IF('Исходные данные'!$B$88="Пользовательский NOI",N('Исходные данные'!$B$89),BL39))/N('Исходные данные'!$B$80)*(1+N('Исходные данные'!$B$81))),0))</f>
        <v>0</v>
      </c>
      <c r="BN39">
        <f>-BM39*N('Исходные данные'!$B$73)</f>
        <v>0</v>
      </c>
      <c r="BO39">
        <f>IF(BM39=0,0,-N('Исходные данные'!$B$87)-IF('Исходные данные'!$B$82="Да",IF('Исходные данные'!$B$84="С выручки",BM39,IF('Исходные данные'!$B$84="С прибыли",MAX(0,BM39+BN39-IF('Исходные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9">
        <f t="shared" si="32"/>
        <v>0</v>
      </c>
      <c r="BQ39">
        <f>IF(D39=1,Расчёты!AZ39+BE39+BH39+BK39+BP39,0)</f>
        <v>0</v>
      </c>
      <c r="BR39" t="str">
        <f t="shared" si="38"/>
        <v/>
      </c>
      <c r="BS39">
        <f>IF(OR(D39=0,'Исходные данные'!$B$9="",'Исходные данные'!$B$90=""),0,BQ39/(1+'Исходные данные'!$B$90)^((C39-'Исходные данные'!$B$9)/365))</f>
        <v>0</v>
      </c>
      <c r="BT39">
        <f>IF(D39=1,BE39+Расчёты!O39+Расчёты!Q39+Расчёты!S39+Расчёты!U39+Расчёты!W39+Расчёты!X39+BH39+BK39,0)</f>
        <v>0</v>
      </c>
      <c r="BU39">
        <f>IF(AND(D39=1,BR39&gt;=0,BR38&lt;0,MIN($BR$2:BR39)&lt;0),1,0)</f>
        <v>0</v>
      </c>
      <c r="BV39">
        <f>Расчёты!AZ39+K39+N39-P39*N('Исходные данные'!$B$50)</f>
        <v>0</v>
      </c>
      <c r="BW39">
        <f t="shared" si="18"/>
        <v>0</v>
      </c>
      <c r="BX39">
        <f>IF(AND(BW39&gt;=0,BW38&lt;0,MIN($BW$2:BW39)&lt;0),1,0)</f>
        <v>0</v>
      </c>
      <c r="BY39">
        <f>Расчёты!AZ39+AH39+AK39-AM39*N('Исходные данные'!$B$50)</f>
        <v>0</v>
      </c>
      <c r="BZ39">
        <f t="shared" si="19"/>
        <v>0</v>
      </c>
      <c r="CA39">
        <f>IF(AND(BZ39&gt;=0,BZ38&lt;0,MIN($BZ$2:BZ39)&lt;0),1,0)</f>
        <v>0</v>
      </c>
      <c r="CB39">
        <f>Расчёты!AZ39+BE39+BH39-BJ39*N('Исходные данные'!$B$50)</f>
        <v>0</v>
      </c>
      <c r="CC39">
        <f t="shared" si="20"/>
        <v>0</v>
      </c>
      <c r="CD39">
        <f>IF(AND(CC39&gt;=0,CC38&lt;0,MIN($CC$2:CC39)&lt;0),1,0)</f>
        <v>0</v>
      </c>
    </row>
    <row r="40" spans="1:82" x14ac:dyDescent="0.2">
      <c r="A40">
        <f>Расчёты!A40</f>
        <v>39</v>
      </c>
      <c r="B40" t="str">
        <f>Расчёты!B40</f>
        <v/>
      </c>
      <c r="C40" t="str">
        <f>Расчёты!D40</f>
        <v/>
      </c>
      <c r="D40">
        <f>Расчёты!E40</f>
        <v>0</v>
      </c>
      <c r="E40">
        <f>IF(Расчёты!F40=0,0,IF(Расчёты!G40=1,N('Сценарный анализ'!$B$5),IF(Расчёты!G40=2,N('Сценарный анализ'!$B$6),IF(Расчёты!G40=3,N('Сценарный анализ'!$B$7),N('Сценарный анализ'!$B$7)*(1+N('Сценарный анализ'!$B$8))^(Расчёты!G40-3)))))</f>
        <v>0</v>
      </c>
      <c r="F40">
        <f>IF(OR(Расчёты!F40=0,N('Исходные данные'!$B$5)=0,E40=0),0,N('Исходные данные'!$B$5)*E40*IF(AND(B40&lt;='Исходные данные'!$B$30,Расчёты!C40&gt;='Исходные данные'!$B$30),(Расчёты!C40-'Исходные данные'!$B$30+1)/DAY(Расчёты!C40),1))</f>
        <v>0</v>
      </c>
      <c r="G40">
        <f>IF(AND(Расчёты!F40&gt;0,Расчёты!F40&lt;=N('Исходные данные'!$B$37)),-F40,0)</f>
        <v>0</v>
      </c>
      <c r="H40">
        <f>IF(OR(Расчёты!F40=0,Расчёты!F40&lt;=N('Исходные данные'!$B$37)),0,-(F40+G40)*N('Сценарный анализ'!$B$9))</f>
        <v>0</v>
      </c>
      <c r="I40">
        <f t="shared" si="21"/>
        <v>0</v>
      </c>
      <c r="J40">
        <f>IF('Исходные данные'!$B$51="Да",I40*N('Исходные данные'!$B$52),0)</f>
        <v>0</v>
      </c>
      <c r="K40">
        <f t="shared" si="22"/>
        <v>0</v>
      </c>
      <c r="L40">
        <f>I40+(Расчёты!Y40-Расчёты!L40)</f>
        <v>0</v>
      </c>
      <c r="M40">
        <f t="shared" si="33"/>
        <v>0</v>
      </c>
      <c r="N40">
        <f>IF('Исходные данные'!$B$51="Да",-MAX(0,J40+Расчёты!R40+Расчёты!V40-Расчёты!P40-Расчёты!T40-M40),0)</f>
        <v>0</v>
      </c>
      <c r="O40">
        <f>IF('Исходные данные'!$B$51="Да",MAX(0,M40+Расчёты!P40+Расчёты!T40-J40-Расчёты!R40-Расчёты!V40),0)</f>
        <v>0</v>
      </c>
      <c r="P40">
        <f>IF('Исходные данные'!$B$53="Выручка",MAX(0,I40+(Расчёты!Q40-Расчёты!R40)+(Расчёты!U40-Расчёты!V40)),IF('Исходные данные'!$B$53="Прибыль до налога",MAX(0,I40+(Расчёты!Q40-Расчёты!R40)+(Расчёты!U40-Расчёты!V40)+N('Исходные данные'!$B$54)*((Расчёты!O40+Расчёты!P40)+(Расчёты!S40+Расчёты!T40)+Расчёты!W40+Расчёты!X40)+IF('Исходные данные'!$B$55="Да",Расчёты!AG40,0)-N('Исходные данные'!$B$56)/12),IF('Исходные данные'!$B$53="Пользовательская база",MAX(0,N('Исходные данные'!$B$57)/12),0)))</f>
        <v>0</v>
      </c>
      <c r="Q40">
        <f>IF(D40=1,-P40*N('Исходные данные'!$B$50),0)</f>
        <v>0</v>
      </c>
      <c r="R40">
        <f t="shared" si="23"/>
        <v>0</v>
      </c>
      <c r="S40">
        <f>IF(OR(D40&lt;&gt;1,B40="",'Исходные данные'!$B$91="",N('Исходные данные'!$B$80)&lt;=0,'Исходные данные'!$B$88=""),0,IF(AND(YEAR(B40)=YEAR('Исходные данные'!$B$91),MONTH(B40)=MONTH('Исходные данные'!$B$91)),MAX(0,IF('Исходные данные'!$B$88="Последние 12 месяцев",SUMIFS($L$2:$L$194,$B$2:$B$194,"&gt;="&amp;EDATE(B40,-11),$B$2:$B$194,"&lt;="&amp;B40),IF('Исходные данные'!$B$88="Пользовательский NOI",N('Исходные данные'!$B$89),R40))/N('Исходные данные'!$B$80)*(1+N('Исходные данные'!$B$81))),0))</f>
        <v>0</v>
      </c>
      <c r="T40">
        <f>-S40*N('Исходные данные'!$B$73)</f>
        <v>0</v>
      </c>
      <c r="U40">
        <f>IF(S40=0,0,-N('Исходные данные'!$B$87)-IF('Исходные данные'!$B$82="Да",IF('Исходные данные'!$B$84="С выручки",S40,IF('Исходные данные'!$B$84="С прибыли",MAX(0,S40+T40-IF('Исходные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40">
        <f t="shared" si="24"/>
        <v>0</v>
      </c>
      <c r="W40">
        <f>IF(D40=1,Расчёты!AZ40+K40+N40+Q40+V40,0)</f>
        <v>0</v>
      </c>
      <c r="X40" t="str">
        <f t="shared" si="34"/>
        <v/>
      </c>
      <c r="Y40">
        <f>IF(OR(D40=0,'Исходные данные'!$B$9="",'Исходные данные'!$B$90=""),0,W40/(1+'Исходные данные'!$B$90)^((C40-'Исходные данные'!$B$9)/365))</f>
        <v>0</v>
      </c>
      <c r="Z40">
        <f>IF(D40=1,K40+Расчёты!O40+Расчёты!Q40+Расчёты!S40+Расчёты!U40+Расчёты!W40+Расчёты!X40+N40+Q40,0)</f>
        <v>0</v>
      </c>
      <c r="AA40">
        <f>IF(AND(D40=1,X40&gt;=0,X39&lt;0,MIN($X$2:X40)&lt;0),1,0)</f>
        <v>0</v>
      </c>
      <c r="AB40">
        <f>IF(Расчёты!F40=0,0,IF(Расчёты!G40=1,N('Сценарный анализ'!$C$5),IF(Расчёты!G40=2,N('Сценарный анализ'!$C$6),IF(Расчёты!G40=3,N('Сценарный анализ'!$C$7),N('Сценарный анализ'!$C$7)*(1+N('Сценарный анализ'!$C$8))^(Расчёты!G40-3)))))</f>
        <v>0</v>
      </c>
      <c r="AC40">
        <f>IF(OR(Расчёты!F40=0,N('Исходные данные'!$B$5)=0,AB40=0),0,N('Исходные данные'!$B$5)*AB40*IF(AND(B40&lt;='Исходные данные'!$B$30,Расчёты!C40&gt;='Исходные данные'!$B$30),(Расчёты!C40-'Исходные данные'!$B$30+1)/DAY(Расчёты!C40),1))</f>
        <v>0</v>
      </c>
      <c r="AD40">
        <f>IF(AND(Расчёты!F40&gt;0,Расчёты!F40&lt;=N('Исходные данные'!$B$37)),-AC40,0)</f>
        <v>0</v>
      </c>
      <c r="AE40">
        <f>IF(OR(Расчёты!F40=0,Расчёты!F40&lt;=N('Исходные данные'!$B$37)),0,-(AC40+AD40)*N('Сценарный анализ'!$C$9))</f>
        <v>0</v>
      </c>
      <c r="AF40">
        <f t="shared" si="25"/>
        <v>0</v>
      </c>
      <c r="AG40">
        <f>IF('Исходные данные'!$B$51="Да",AF40*N('Исходные данные'!$B$52),0)</f>
        <v>0</v>
      </c>
      <c r="AH40">
        <f t="shared" si="26"/>
        <v>0</v>
      </c>
      <c r="AI40">
        <f>AF40+(Расчёты!Y40-Расчёты!L40)</f>
        <v>0</v>
      </c>
      <c r="AJ40">
        <f t="shared" si="35"/>
        <v>0</v>
      </c>
      <c r="AK40">
        <f>IF('Исходные данные'!$B$51="Да",-MAX(0,AG40+Расчёты!R40+Расчёты!V40-Расчёты!P40-Расчёты!T40-AJ40),0)</f>
        <v>0</v>
      </c>
      <c r="AL40">
        <f>IF('Исходные данные'!$B$51="Да",MAX(0,AJ40+Расчёты!P40+Расчёты!T40-AG40-Расчёты!R40-Расчёты!V40),0)</f>
        <v>0</v>
      </c>
      <c r="AM40">
        <f>IF('Исходные данные'!$B$53="Выручка",MAX(0,AF40+(Расчёты!Q40-Расчёты!R40)+(Расчёты!U40-Расчёты!V40)),IF('Исходные данные'!$B$53="Прибыль до налога",MAX(0,AF40+(Расчёты!Q40-Расчёты!R40)+(Расчёты!U40-Расчёты!V40)+N('Исходные данные'!$B$54)*((Расчёты!O40+Расчёты!P40)+(Расчёты!S40+Расчёты!T40)+Расчёты!W40+Расчёты!X40)+IF('Исходные данные'!$B$55="Да",Расчёты!AG40,0)-N('Исходные данные'!$B$56)/12),IF('Исходные данные'!$B$53="Пользовательская база",MAX(0,N('Исходные данные'!$B$57)/12),0)))</f>
        <v>0</v>
      </c>
      <c r="AN40">
        <f>IF(D40=1,-AM40*N('Исходные данные'!$B$50),0)</f>
        <v>0</v>
      </c>
      <c r="AO40">
        <f t="shared" si="27"/>
        <v>0</v>
      </c>
      <c r="AP40">
        <f>IF(OR(D40&lt;&gt;1,B40="",'Исходные данные'!$B$91="",N('Исходные данные'!$B$80)&lt;=0,'Исходные данные'!$B$88=""),0,IF(AND(YEAR(B40)=YEAR('Исходные данные'!$B$91),MONTH(B40)=MONTH('Исходные данные'!$B$91)),MAX(0,IF('Исходные данные'!$B$88="Последние 12 месяцев",SUMIFS($AI$2:$AI$194,$B$2:$B$194,"&gt;="&amp;EDATE(B40,-11),$B$2:$B$194,"&lt;="&amp;B40),IF('Исходные данные'!$B$88="Пользовательский NOI",N('Исходные данные'!$B$89),AO40))/N('Исходные данные'!$B$80)*(1+N('Исходные данные'!$B$81))),0))</f>
        <v>0</v>
      </c>
      <c r="AQ40">
        <f>-AP40*N('Исходные данные'!$B$73)</f>
        <v>0</v>
      </c>
      <c r="AR40">
        <f>IF(AP40=0,0,-N('Исходные данные'!$B$87)-IF('Исходные данные'!$B$82="Да",IF('Исходные данные'!$B$84="С выручки",AP40,IF('Исходные данные'!$B$84="С прибыли",MAX(0,AP40+AQ40-IF('Исходные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40">
        <f t="shared" si="28"/>
        <v>0</v>
      </c>
      <c r="AT40">
        <f>IF(D40=1,Расчёты!AZ40+AH40+AK40+AN40+AS40,0)</f>
        <v>0</v>
      </c>
      <c r="AU40" t="str">
        <f t="shared" si="36"/>
        <v/>
      </c>
      <c r="AV40">
        <f>IF(OR(D40=0,'Исходные данные'!$B$9="",'Исходные данные'!$B$90=""),0,AT40/(1+'Исходные данные'!$B$90)^((C40-'Исходные данные'!$B$9)/365))</f>
        <v>0</v>
      </c>
      <c r="AW40">
        <f>IF(D40=1,AH40+Расчёты!O40+Расчёты!Q40+Расчёты!S40+Расчёты!U40+Расчёты!W40+Расчёты!X40+AK40+AN40,0)</f>
        <v>0</v>
      </c>
      <c r="AX40">
        <f>IF(AND(D40=1,AU40&gt;=0,AU39&lt;0,MIN($AU$2:AU40)&lt;0),1,0)</f>
        <v>0</v>
      </c>
      <c r="AY40">
        <f>IF(Расчёты!F40=0,0,IF(Расчёты!G40=1,N('Сценарный анализ'!$D$5),IF(Расчёты!G40=2,N('Сценарный анализ'!$D$6),IF(Расчёты!G40=3,N('Сценарный анализ'!$D$7),N('Сценарный анализ'!$D$7)*(1+N('Сценарный анализ'!$D$8))^(Расчёты!G40-3)))))</f>
        <v>0</v>
      </c>
      <c r="AZ40">
        <f>IF(OR(Расчёты!F40=0,N('Исходные данные'!$B$5)=0,AY40=0),0,N('Исходные данные'!$B$5)*AY40*IF(AND(B40&lt;='Исходные данные'!$B$30,Расчёты!C40&gt;='Исходные данные'!$B$30),(Расчёты!C40-'Исходные данные'!$B$30+1)/DAY(Расчёты!C40),1))</f>
        <v>0</v>
      </c>
      <c r="BA40">
        <f>IF(AND(Расчёты!F40&gt;0,Расчёты!F40&lt;=N('Исходные данные'!$B$37)),-AZ40,0)</f>
        <v>0</v>
      </c>
      <c r="BB40">
        <f>IF(OR(Расчёты!F40=0,Расчёты!F40&lt;=N('Исходные данные'!$B$37)),0,-(AZ40+BA40)*N('Сценарный анализ'!$D$9))</f>
        <v>0</v>
      </c>
      <c r="BC40">
        <f t="shared" si="29"/>
        <v>0</v>
      </c>
      <c r="BD40">
        <f>IF('Исходные данные'!$B$51="Да",BC40*N('Исходные данные'!$B$52),0)</f>
        <v>0</v>
      </c>
      <c r="BE40">
        <f t="shared" si="30"/>
        <v>0</v>
      </c>
      <c r="BF40">
        <f>BC40+(Расчёты!Y40-Расчёты!L40)</f>
        <v>0</v>
      </c>
      <c r="BG40">
        <f t="shared" si="37"/>
        <v>0</v>
      </c>
      <c r="BH40">
        <f>IF('Исходные данные'!$B$51="Да",-MAX(0,BD40+Расчёты!R40+Расчёты!V40-Расчёты!P40-Расчёты!T40-BG40),0)</f>
        <v>0</v>
      </c>
      <c r="BI40">
        <f>IF('Исходные данные'!$B$51="Да",MAX(0,BG40+Расчёты!P40+Расчёты!T40-BD40-Расчёты!R40-Расчёты!V40),0)</f>
        <v>0</v>
      </c>
      <c r="BJ40">
        <f>IF('Исходные данные'!$B$53="Выручка",MAX(0,BC40+(Расчёты!Q40-Расчёты!R40)+(Расчёты!U40-Расчёты!V40)),IF('Исходные данные'!$B$53="Прибыль до налога",MAX(0,BC40+(Расчёты!Q40-Расчёты!R40)+(Расчёты!U40-Расчёты!V40)+N('Исходные данные'!$B$54)*((Расчёты!O40+Расчёты!P40)+(Расчёты!S40+Расчёты!T40)+Расчёты!W40+Расчёты!X40)+IF('Исходные данные'!$B$55="Да",Расчёты!AG40,0)-N('Исходные данные'!$B$56)/12),IF('Исходные данные'!$B$53="Пользовательская база",MAX(0,N('Исходные данные'!$B$57)/12),0)))</f>
        <v>0</v>
      </c>
      <c r="BK40">
        <f>IF(D40=1,-BJ40*N('Исходные данные'!$B$50),0)</f>
        <v>0</v>
      </c>
      <c r="BL40">
        <f t="shared" si="31"/>
        <v>0</v>
      </c>
      <c r="BM40">
        <f>IF(OR(D40&lt;&gt;1,B40="",'Исходные данные'!$B$91="",N('Исходные данные'!$B$80)&lt;=0,'Исходные данные'!$B$88=""),0,IF(AND(YEAR(B40)=YEAR('Исходные данные'!$B$91),MONTH(B40)=MONTH('Исходные данные'!$B$91)),MAX(0,IF('Исходные данные'!$B$88="Последние 12 месяцев",SUMIFS($BF$2:$BF$194,$B$2:$B$194,"&gt;="&amp;EDATE(B40,-11),$B$2:$B$194,"&lt;="&amp;B40),IF('Исходные данные'!$B$88="Пользовательский NOI",N('Исходные данные'!$B$89),BL40))/N('Исходные данные'!$B$80)*(1+N('Исходные данные'!$B$81))),0))</f>
        <v>0</v>
      </c>
      <c r="BN40">
        <f>-BM40*N('Исходные данные'!$B$73)</f>
        <v>0</v>
      </c>
      <c r="BO40">
        <f>IF(BM40=0,0,-N('Исходные данные'!$B$87)-IF('Исходные данные'!$B$82="Да",IF('Исходные данные'!$B$84="С выручки",BM40,IF('Исходные данные'!$B$84="С прибыли",MAX(0,BM40+BN40-IF('Исходные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40">
        <f t="shared" si="32"/>
        <v>0</v>
      </c>
      <c r="BQ40">
        <f>IF(D40=1,Расчёты!AZ40+BE40+BH40+BK40+BP40,0)</f>
        <v>0</v>
      </c>
      <c r="BR40" t="str">
        <f t="shared" si="38"/>
        <v/>
      </c>
      <c r="BS40">
        <f>IF(OR(D40=0,'Исходные данные'!$B$9="",'Исходные данные'!$B$90=""),0,BQ40/(1+'Исходные данные'!$B$90)^((C40-'Исходные данные'!$B$9)/365))</f>
        <v>0</v>
      </c>
      <c r="BT40">
        <f>IF(D40=1,BE40+Расчёты!O40+Расчёты!Q40+Расчёты!S40+Расчёты!U40+Расчёты!W40+Расчёты!X40+BH40+BK40,0)</f>
        <v>0</v>
      </c>
      <c r="BU40">
        <f>IF(AND(D40=1,BR40&gt;=0,BR39&lt;0,MIN($BR$2:BR40)&lt;0),1,0)</f>
        <v>0</v>
      </c>
      <c r="BV40">
        <f>Расчёты!AZ40+K40+N40-P40*N('Исходные данные'!$B$50)</f>
        <v>0</v>
      </c>
      <c r="BW40">
        <f t="shared" si="18"/>
        <v>0</v>
      </c>
      <c r="BX40">
        <f>IF(AND(BW40&gt;=0,BW39&lt;0,MIN($BW$2:BW40)&lt;0),1,0)</f>
        <v>0</v>
      </c>
      <c r="BY40">
        <f>Расчёты!AZ40+AH40+AK40-AM40*N('Исходные данные'!$B$50)</f>
        <v>0</v>
      </c>
      <c r="BZ40">
        <f t="shared" si="19"/>
        <v>0</v>
      </c>
      <c r="CA40">
        <f>IF(AND(BZ40&gt;=0,BZ39&lt;0,MIN($BZ$2:BZ40)&lt;0),1,0)</f>
        <v>0</v>
      </c>
      <c r="CB40">
        <f>Расчёты!AZ40+BE40+BH40-BJ40*N('Исходные данные'!$B$50)</f>
        <v>0</v>
      </c>
      <c r="CC40">
        <f t="shared" si="20"/>
        <v>0</v>
      </c>
      <c r="CD40">
        <f>IF(AND(CC40&gt;=0,CC39&lt;0,MIN($CC$2:CC40)&lt;0),1,0)</f>
        <v>0</v>
      </c>
    </row>
    <row r="41" spans="1:82" x14ac:dyDescent="0.2">
      <c r="A41">
        <f>Расчёты!A41</f>
        <v>40</v>
      </c>
      <c r="B41" t="str">
        <f>Расчёты!B41</f>
        <v/>
      </c>
      <c r="C41" t="str">
        <f>Расчёты!D41</f>
        <v/>
      </c>
      <c r="D41">
        <f>Расчёты!E41</f>
        <v>0</v>
      </c>
      <c r="E41">
        <f>IF(Расчёты!F41=0,0,IF(Расчёты!G41=1,N('Сценарный анализ'!$B$5),IF(Расчёты!G41=2,N('Сценарный анализ'!$B$6),IF(Расчёты!G41=3,N('Сценарный анализ'!$B$7),N('Сценарный анализ'!$B$7)*(1+N('Сценарный анализ'!$B$8))^(Расчёты!G41-3)))))</f>
        <v>0</v>
      </c>
      <c r="F41">
        <f>IF(OR(Расчёты!F41=0,N('Исходные данные'!$B$5)=0,E41=0),0,N('Исходные данные'!$B$5)*E41*IF(AND(B41&lt;='Исходные данные'!$B$30,Расчёты!C41&gt;='Исходные данные'!$B$30),(Расчёты!C41-'Исходные данные'!$B$30+1)/DAY(Расчёты!C41),1))</f>
        <v>0</v>
      </c>
      <c r="G41">
        <f>IF(AND(Расчёты!F41&gt;0,Расчёты!F41&lt;=N('Исходные данные'!$B$37)),-F41,0)</f>
        <v>0</v>
      </c>
      <c r="H41">
        <f>IF(OR(Расчёты!F41=0,Расчёты!F41&lt;=N('Исходные данные'!$B$37)),0,-(F41+G41)*N('Сценарный анализ'!$B$9))</f>
        <v>0</v>
      </c>
      <c r="I41">
        <f t="shared" si="21"/>
        <v>0</v>
      </c>
      <c r="J41">
        <f>IF('Исходные данные'!$B$51="Да",I41*N('Исходные данные'!$B$52),0)</f>
        <v>0</v>
      </c>
      <c r="K41">
        <f t="shared" si="22"/>
        <v>0</v>
      </c>
      <c r="L41">
        <f>I41+(Расчёты!Y41-Расчёты!L41)</f>
        <v>0</v>
      </c>
      <c r="M41">
        <f t="shared" si="33"/>
        <v>0</v>
      </c>
      <c r="N41">
        <f>IF('Исходные данные'!$B$51="Да",-MAX(0,J41+Расчёты!R41+Расчёты!V41-Расчёты!P41-Расчёты!T41-M41),0)</f>
        <v>0</v>
      </c>
      <c r="O41">
        <f>IF('Исходные данные'!$B$51="Да",MAX(0,M41+Расчёты!P41+Расчёты!T41-J41-Расчёты!R41-Расчёты!V41),0)</f>
        <v>0</v>
      </c>
      <c r="P41">
        <f>IF('Исходные данные'!$B$53="Выручка",MAX(0,I41+(Расчёты!Q41-Расчёты!R41)+(Расчёты!U41-Расчёты!V41)),IF('Исходные данные'!$B$53="Прибыль до налога",MAX(0,I41+(Расчёты!Q41-Расчёты!R41)+(Расчёты!U41-Расчёты!V41)+N('Исходные данные'!$B$54)*((Расчёты!O41+Расчёты!P41)+(Расчёты!S41+Расчёты!T41)+Расчёты!W41+Расчёты!X41)+IF('Исходные данные'!$B$55="Да",Расчёты!AG41,0)-N('Исходные данные'!$B$56)/12),IF('Исходные данные'!$B$53="Пользовательская база",MAX(0,N('Исходные данные'!$B$57)/12),0)))</f>
        <v>0</v>
      </c>
      <c r="Q41">
        <f>IF(D41=1,-P41*N('Исходные данные'!$B$50),0)</f>
        <v>0</v>
      </c>
      <c r="R41">
        <f t="shared" si="23"/>
        <v>0</v>
      </c>
      <c r="S41">
        <f>IF(OR(D41&lt;&gt;1,B41="",'Исходные данные'!$B$91="",N('Исходные данные'!$B$80)&lt;=0,'Исходные данные'!$B$88=""),0,IF(AND(YEAR(B41)=YEAR('Исходные данные'!$B$91),MONTH(B41)=MONTH('Исходные данные'!$B$91)),MAX(0,IF('Исходные данные'!$B$88="Последние 12 месяцев",SUMIFS($L$2:$L$194,$B$2:$B$194,"&gt;="&amp;EDATE(B41,-11),$B$2:$B$194,"&lt;="&amp;B41),IF('Исходные данные'!$B$88="Пользовательский NOI",N('Исходные данные'!$B$89),R41))/N('Исходные данные'!$B$80)*(1+N('Исходные данные'!$B$81))),0))</f>
        <v>0</v>
      </c>
      <c r="T41">
        <f>-S41*N('Исходные данные'!$B$73)</f>
        <v>0</v>
      </c>
      <c r="U41">
        <f>IF(S41=0,0,-N('Исходные данные'!$B$87)-IF('Исходные данные'!$B$82="Да",IF('Исходные данные'!$B$84="С выручки",S41,IF('Исходные данные'!$B$84="С прибыли",MAX(0,S41+T41-IF('Исходные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41">
        <f t="shared" si="24"/>
        <v>0</v>
      </c>
      <c r="W41">
        <f>IF(D41=1,Расчёты!AZ41+K41+N41+Q41+V41,0)</f>
        <v>0</v>
      </c>
      <c r="X41" t="str">
        <f t="shared" si="34"/>
        <v/>
      </c>
      <c r="Y41">
        <f>IF(OR(D41=0,'Исходные данные'!$B$9="",'Исходные данные'!$B$90=""),0,W41/(1+'Исходные данные'!$B$90)^((C41-'Исходные данные'!$B$9)/365))</f>
        <v>0</v>
      </c>
      <c r="Z41">
        <f>IF(D41=1,K41+Расчёты!O41+Расчёты!Q41+Расчёты!S41+Расчёты!U41+Расчёты!W41+Расчёты!X41+N41+Q41,0)</f>
        <v>0</v>
      </c>
      <c r="AA41">
        <f>IF(AND(D41=1,X41&gt;=0,X40&lt;0,MIN($X$2:X41)&lt;0),1,0)</f>
        <v>0</v>
      </c>
      <c r="AB41">
        <f>IF(Расчёты!F41=0,0,IF(Расчёты!G41=1,N('Сценарный анализ'!$C$5),IF(Расчёты!G41=2,N('Сценарный анализ'!$C$6),IF(Расчёты!G41=3,N('Сценарный анализ'!$C$7),N('Сценарный анализ'!$C$7)*(1+N('Сценарный анализ'!$C$8))^(Расчёты!G41-3)))))</f>
        <v>0</v>
      </c>
      <c r="AC41">
        <f>IF(OR(Расчёты!F41=0,N('Исходные данные'!$B$5)=0,AB41=0),0,N('Исходные данные'!$B$5)*AB41*IF(AND(B41&lt;='Исходные данные'!$B$30,Расчёты!C41&gt;='Исходные данные'!$B$30),(Расчёты!C41-'Исходные данные'!$B$30+1)/DAY(Расчёты!C41),1))</f>
        <v>0</v>
      </c>
      <c r="AD41">
        <f>IF(AND(Расчёты!F41&gt;0,Расчёты!F41&lt;=N('Исходные данные'!$B$37)),-AC41,0)</f>
        <v>0</v>
      </c>
      <c r="AE41">
        <f>IF(OR(Расчёты!F41=0,Расчёты!F41&lt;=N('Исходные данные'!$B$37)),0,-(AC41+AD41)*N('Сценарный анализ'!$C$9))</f>
        <v>0</v>
      </c>
      <c r="AF41">
        <f t="shared" si="25"/>
        <v>0</v>
      </c>
      <c r="AG41">
        <f>IF('Исходные данные'!$B$51="Да",AF41*N('Исходные данные'!$B$52),0)</f>
        <v>0</v>
      </c>
      <c r="AH41">
        <f t="shared" si="26"/>
        <v>0</v>
      </c>
      <c r="AI41">
        <f>AF41+(Расчёты!Y41-Расчёты!L41)</f>
        <v>0</v>
      </c>
      <c r="AJ41">
        <f t="shared" si="35"/>
        <v>0</v>
      </c>
      <c r="AK41">
        <f>IF('Исходные данные'!$B$51="Да",-MAX(0,AG41+Расчёты!R41+Расчёты!V41-Расчёты!P41-Расчёты!T41-AJ41),0)</f>
        <v>0</v>
      </c>
      <c r="AL41">
        <f>IF('Исходные данные'!$B$51="Да",MAX(0,AJ41+Расчёты!P41+Расчёты!T41-AG41-Расчёты!R41-Расчёты!V41),0)</f>
        <v>0</v>
      </c>
      <c r="AM41">
        <f>IF('Исходные данные'!$B$53="Выручка",MAX(0,AF41+(Расчёты!Q41-Расчёты!R41)+(Расчёты!U41-Расчёты!V41)),IF('Исходные данные'!$B$53="Прибыль до налога",MAX(0,AF41+(Расчёты!Q41-Расчёты!R41)+(Расчёты!U41-Расчёты!V41)+N('Исходные данные'!$B$54)*((Расчёты!O41+Расчёты!P41)+(Расчёты!S41+Расчёты!T41)+Расчёты!W41+Расчёты!X41)+IF('Исходные данные'!$B$55="Да",Расчёты!AG41,0)-N('Исходные данные'!$B$56)/12),IF('Исходные данные'!$B$53="Пользовательская база",MAX(0,N('Исходные данные'!$B$57)/12),0)))</f>
        <v>0</v>
      </c>
      <c r="AN41">
        <f>IF(D41=1,-AM41*N('Исходные данные'!$B$50),0)</f>
        <v>0</v>
      </c>
      <c r="AO41">
        <f t="shared" si="27"/>
        <v>0</v>
      </c>
      <c r="AP41">
        <f>IF(OR(D41&lt;&gt;1,B41="",'Исходные данные'!$B$91="",N('Исходные данные'!$B$80)&lt;=0,'Исходные данные'!$B$88=""),0,IF(AND(YEAR(B41)=YEAR('Исходные данные'!$B$91),MONTH(B41)=MONTH('Исходные данные'!$B$91)),MAX(0,IF('Исходные данные'!$B$88="Последние 12 месяцев",SUMIFS($AI$2:$AI$194,$B$2:$B$194,"&gt;="&amp;EDATE(B41,-11),$B$2:$B$194,"&lt;="&amp;B41),IF('Исходные данные'!$B$88="Пользовательский NOI",N('Исходные данные'!$B$89),AO41))/N('Исходные данные'!$B$80)*(1+N('Исходные данные'!$B$81))),0))</f>
        <v>0</v>
      </c>
      <c r="AQ41">
        <f>-AP41*N('Исходные данные'!$B$73)</f>
        <v>0</v>
      </c>
      <c r="AR41">
        <f>IF(AP41=0,0,-N('Исходные данные'!$B$87)-IF('Исходные данные'!$B$82="Да",IF('Исходные данные'!$B$84="С выручки",AP41,IF('Исходные данные'!$B$84="С прибыли",MAX(0,AP41+AQ41-IF('Исходные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41">
        <f t="shared" si="28"/>
        <v>0</v>
      </c>
      <c r="AT41">
        <f>IF(D41=1,Расчёты!AZ41+AH41+AK41+AN41+AS41,0)</f>
        <v>0</v>
      </c>
      <c r="AU41" t="str">
        <f t="shared" si="36"/>
        <v/>
      </c>
      <c r="AV41">
        <f>IF(OR(D41=0,'Исходные данные'!$B$9="",'Исходные данные'!$B$90=""),0,AT41/(1+'Исходные данные'!$B$90)^((C41-'Исходные данные'!$B$9)/365))</f>
        <v>0</v>
      </c>
      <c r="AW41">
        <f>IF(D41=1,AH41+Расчёты!O41+Расчёты!Q41+Расчёты!S41+Расчёты!U41+Расчёты!W41+Расчёты!X41+AK41+AN41,0)</f>
        <v>0</v>
      </c>
      <c r="AX41">
        <f>IF(AND(D41=1,AU41&gt;=0,AU40&lt;0,MIN($AU$2:AU41)&lt;0),1,0)</f>
        <v>0</v>
      </c>
      <c r="AY41">
        <f>IF(Расчёты!F41=0,0,IF(Расчёты!G41=1,N('Сценарный анализ'!$D$5),IF(Расчёты!G41=2,N('Сценарный анализ'!$D$6),IF(Расчёты!G41=3,N('Сценарный анализ'!$D$7),N('Сценарный анализ'!$D$7)*(1+N('Сценарный анализ'!$D$8))^(Расчёты!G41-3)))))</f>
        <v>0</v>
      </c>
      <c r="AZ41">
        <f>IF(OR(Расчёты!F41=0,N('Исходные данные'!$B$5)=0,AY41=0),0,N('Исходные данные'!$B$5)*AY41*IF(AND(B41&lt;='Исходные данные'!$B$30,Расчёты!C41&gt;='Исходные данные'!$B$30),(Расчёты!C41-'Исходные данные'!$B$30+1)/DAY(Расчёты!C41),1))</f>
        <v>0</v>
      </c>
      <c r="BA41">
        <f>IF(AND(Расчёты!F41&gt;0,Расчёты!F41&lt;=N('Исходные данные'!$B$37)),-AZ41,0)</f>
        <v>0</v>
      </c>
      <c r="BB41">
        <f>IF(OR(Расчёты!F41=0,Расчёты!F41&lt;=N('Исходные данные'!$B$37)),0,-(AZ41+BA41)*N('Сценарный анализ'!$D$9))</f>
        <v>0</v>
      </c>
      <c r="BC41">
        <f t="shared" si="29"/>
        <v>0</v>
      </c>
      <c r="BD41">
        <f>IF('Исходные данные'!$B$51="Да",BC41*N('Исходные данные'!$B$52),0)</f>
        <v>0</v>
      </c>
      <c r="BE41">
        <f t="shared" si="30"/>
        <v>0</v>
      </c>
      <c r="BF41">
        <f>BC41+(Расчёты!Y41-Расчёты!L41)</f>
        <v>0</v>
      </c>
      <c r="BG41">
        <f t="shared" si="37"/>
        <v>0</v>
      </c>
      <c r="BH41">
        <f>IF('Исходные данные'!$B$51="Да",-MAX(0,BD41+Расчёты!R41+Расчёты!V41-Расчёты!P41-Расчёты!T41-BG41),0)</f>
        <v>0</v>
      </c>
      <c r="BI41">
        <f>IF('Исходные данные'!$B$51="Да",MAX(0,BG41+Расчёты!P41+Расчёты!T41-BD41-Расчёты!R41-Расчёты!V41),0)</f>
        <v>0</v>
      </c>
      <c r="BJ41">
        <f>IF('Исходные данные'!$B$53="Выручка",MAX(0,BC41+(Расчёты!Q41-Расчёты!R41)+(Расчёты!U41-Расчёты!V41)),IF('Исходные данные'!$B$53="Прибыль до налога",MAX(0,BC41+(Расчёты!Q41-Расчёты!R41)+(Расчёты!U41-Расчёты!V41)+N('Исходные данные'!$B$54)*((Расчёты!O41+Расчёты!P41)+(Расчёты!S41+Расчёты!T41)+Расчёты!W41+Расчёты!X41)+IF('Исходные данные'!$B$55="Да",Расчёты!AG41,0)-N('Исходные данные'!$B$56)/12),IF('Исходные данные'!$B$53="Пользовательская база",MAX(0,N('Исходные данные'!$B$57)/12),0)))</f>
        <v>0</v>
      </c>
      <c r="BK41">
        <f>IF(D41=1,-BJ41*N('Исходные данные'!$B$50),0)</f>
        <v>0</v>
      </c>
      <c r="BL41">
        <f t="shared" si="31"/>
        <v>0</v>
      </c>
      <c r="BM41">
        <f>IF(OR(D41&lt;&gt;1,B41="",'Исходные данные'!$B$91="",N('Исходные данные'!$B$80)&lt;=0,'Исходные данные'!$B$88=""),0,IF(AND(YEAR(B41)=YEAR('Исходные данные'!$B$91),MONTH(B41)=MONTH('Исходные данные'!$B$91)),MAX(0,IF('Исходные данные'!$B$88="Последние 12 месяцев",SUMIFS($BF$2:$BF$194,$B$2:$B$194,"&gt;="&amp;EDATE(B41,-11),$B$2:$B$194,"&lt;="&amp;B41),IF('Исходные данные'!$B$88="Пользовательский NOI",N('Исходные данные'!$B$89),BL41))/N('Исходные данные'!$B$80)*(1+N('Исходные данные'!$B$81))),0))</f>
        <v>0</v>
      </c>
      <c r="BN41">
        <f>-BM41*N('Исходные данные'!$B$73)</f>
        <v>0</v>
      </c>
      <c r="BO41">
        <f>IF(BM41=0,0,-N('Исходные данные'!$B$87)-IF('Исходные данные'!$B$82="Да",IF('Исходные данные'!$B$84="С выручки",BM41,IF('Исходные данные'!$B$84="С прибыли",MAX(0,BM41+BN41-IF('Исходные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41">
        <f t="shared" si="32"/>
        <v>0</v>
      </c>
      <c r="BQ41">
        <f>IF(D41=1,Расчёты!AZ41+BE41+BH41+BK41+BP41,0)</f>
        <v>0</v>
      </c>
      <c r="BR41" t="str">
        <f t="shared" si="38"/>
        <v/>
      </c>
      <c r="BS41">
        <f>IF(OR(D41=0,'Исходные данные'!$B$9="",'Исходные данные'!$B$90=""),0,BQ41/(1+'Исходные данные'!$B$90)^((C41-'Исходные данные'!$B$9)/365))</f>
        <v>0</v>
      </c>
      <c r="BT41">
        <f>IF(D41=1,BE41+Расчёты!O41+Расчёты!Q41+Расчёты!S41+Расчёты!U41+Расчёты!W41+Расчёты!X41+BH41+BK41,0)</f>
        <v>0</v>
      </c>
      <c r="BU41">
        <f>IF(AND(D41=1,BR41&gt;=0,BR40&lt;0,MIN($BR$2:BR41)&lt;0),1,0)</f>
        <v>0</v>
      </c>
      <c r="BV41">
        <f>Расчёты!AZ41+K41+N41-P41*N('Исходные данные'!$B$50)</f>
        <v>0</v>
      </c>
      <c r="BW41">
        <f t="shared" si="18"/>
        <v>0</v>
      </c>
      <c r="BX41">
        <f>IF(AND(BW41&gt;=0,BW40&lt;0,MIN($BW$2:BW41)&lt;0),1,0)</f>
        <v>0</v>
      </c>
      <c r="BY41">
        <f>Расчёты!AZ41+AH41+AK41-AM41*N('Исходные данные'!$B$50)</f>
        <v>0</v>
      </c>
      <c r="BZ41">
        <f t="shared" si="19"/>
        <v>0</v>
      </c>
      <c r="CA41">
        <f>IF(AND(BZ41&gt;=0,BZ40&lt;0,MIN($BZ$2:BZ41)&lt;0),1,0)</f>
        <v>0</v>
      </c>
      <c r="CB41">
        <f>Расчёты!AZ41+BE41+BH41-BJ41*N('Исходные данные'!$B$50)</f>
        <v>0</v>
      </c>
      <c r="CC41">
        <f t="shared" si="20"/>
        <v>0</v>
      </c>
      <c r="CD41">
        <f>IF(AND(CC41&gt;=0,CC40&lt;0,MIN($CC$2:CC41)&lt;0),1,0)</f>
        <v>0</v>
      </c>
    </row>
    <row r="42" spans="1:82" x14ac:dyDescent="0.2">
      <c r="A42">
        <f>Расчёты!A42</f>
        <v>41</v>
      </c>
      <c r="B42" t="str">
        <f>Расчёты!B42</f>
        <v/>
      </c>
      <c r="C42" t="str">
        <f>Расчёты!D42</f>
        <v/>
      </c>
      <c r="D42">
        <f>Расчёты!E42</f>
        <v>0</v>
      </c>
      <c r="E42">
        <f>IF(Расчёты!F42=0,0,IF(Расчёты!G42=1,N('Сценарный анализ'!$B$5),IF(Расчёты!G42=2,N('Сценарный анализ'!$B$6),IF(Расчёты!G42=3,N('Сценарный анализ'!$B$7),N('Сценарный анализ'!$B$7)*(1+N('Сценарный анализ'!$B$8))^(Расчёты!G42-3)))))</f>
        <v>0</v>
      </c>
      <c r="F42">
        <f>IF(OR(Расчёты!F42=0,N('Исходные данные'!$B$5)=0,E42=0),0,N('Исходные данные'!$B$5)*E42*IF(AND(B42&lt;='Исходные данные'!$B$30,Расчёты!C42&gt;='Исходные данные'!$B$30),(Расчёты!C42-'Исходные данные'!$B$30+1)/DAY(Расчёты!C42),1))</f>
        <v>0</v>
      </c>
      <c r="G42">
        <f>IF(AND(Расчёты!F42&gt;0,Расчёты!F42&lt;=N('Исходные данные'!$B$37)),-F42,0)</f>
        <v>0</v>
      </c>
      <c r="H42">
        <f>IF(OR(Расчёты!F42=0,Расчёты!F42&lt;=N('Исходные данные'!$B$37)),0,-(F42+G42)*N('Сценарный анализ'!$B$9))</f>
        <v>0</v>
      </c>
      <c r="I42">
        <f t="shared" si="21"/>
        <v>0</v>
      </c>
      <c r="J42">
        <f>IF('Исходные данные'!$B$51="Да",I42*N('Исходные данные'!$B$52),0)</f>
        <v>0</v>
      </c>
      <c r="K42">
        <f t="shared" si="22"/>
        <v>0</v>
      </c>
      <c r="L42">
        <f>I42+(Расчёты!Y42-Расчёты!L42)</f>
        <v>0</v>
      </c>
      <c r="M42">
        <f t="shared" si="33"/>
        <v>0</v>
      </c>
      <c r="N42">
        <f>IF('Исходные данные'!$B$51="Да",-MAX(0,J42+Расчёты!R42+Расчёты!V42-Расчёты!P42-Расчёты!T42-M42),0)</f>
        <v>0</v>
      </c>
      <c r="O42">
        <f>IF('Исходные данные'!$B$51="Да",MAX(0,M42+Расчёты!P42+Расчёты!T42-J42-Расчёты!R42-Расчёты!V42),0)</f>
        <v>0</v>
      </c>
      <c r="P42">
        <f>IF('Исходные данные'!$B$53="Выручка",MAX(0,I42+(Расчёты!Q42-Расчёты!R42)+(Расчёты!U42-Расчёты!V42)),IF('Исходные данные'!$B$53="Прибыль до налога",MAX(0,I42+(Расчёты!Q42-Расчёты!R42)+(Расчёты!U42-Расчёты!V42)+N('Исходные данные'!$B$54)*((Расчёты!O42+Расчёты!P42)+(Расчёты!S42+Расчёты!T42)+Расчёты!W42+Расчёты!X42)+IF('Исходные данные'!$B$55="Да",Расчёты!AG42,0)-N('Исходные данные'!$B$56)/12),IF('Исходные данные'!$B$53="Пользовательская база",MAX(0,N('Исходные данные'!$B$57)/12),0)))</f>
        <v>0</v>
      </c>
      <c r="Q42">
        <f>IF(D42=1,-P42*N('Исходные данные'!$B$50),0)</f>
        <v>0</v>
      </c>
      <c r="R42">
        <f t="shared" si="23"/>
        <v>0</v>
      </c>
      <c r="S42">
        <f>IF(OR(D42&lt;&gt;1,B42="",'Исходные данные'!$B$91="",N('Исходные данные'!$B$80)&lt;=0,'Исходные данные'!$B$88=""),0,IF(AND(YEAR(B42)=YEAR('Исходные данные'!$B$91),MONTH(B42)=MONTH('Исходные данные'!$B$91)),MAX(0,IF('Исходные данные'!$B$88="Последние 12 месяцев",SUMIFS($L$2:$L$194,$B$2:$B$194,"&gt;="&amp;EDATE(B42,-11),$B$2:$B$194,"&lt;="&amp;B42),IF('Исходные данные'!$B$88="Пользовательский NOI",N('Исходные данные'!$B$89),R42))/N('Исходные данные'!$B$80)*(1+N('Исходные данные'!$B$81))),0))</f>
        <v>0</v>
      </c>
      <c r="T42">
        <f>-S42*N('Исходные данные'!$B$73)</f>
        <v>0</v>
      </c>
      <c r="U42">
        <f>IF(S42=0,0,-N('Исходные данные'!$B$87)-IF('Исходные данные'!$B$82="Да",IF('Исходные данные'!$B$84="С выручки",S42,IF('Исходные данные'!$B$84="С прибыли",MAX(0,S42+T42-IF('Исходные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42">
        <f t="shared" si="24"/>
        <v>0</v>
      </c>
      <c r="W42">
        <f>IF(D42=1,Расчёты!AZ42+K42+N42+Q42+V42,0)</f>
        <v>0</v>
      </c>
      <c r="X42" t="str">
        <f t="shared" si="34"/>
        <v/>
      </c>
      <c r="Y42">
        <f>IF(OR(D42=0,'Исходные данные'!$B$9="",'Исходные данные'!$B$90=""),0,W42/(1+'Исходные данные'!$B$90)^((C42-'Исходные данные'!$B$9)/365))</f>
        <v>0</v>
      </c>
      <c r="Z42">
        <f>IF(D42=1,K42+Расчёты!O42+Расчёты!Q42+Расчёты!S42+Расчёты!U42+Расчёты!W42+Расчёты!X42+N42+Q42,0)</f>
        <v>0</v>
      </c>
      <c r="AA42">
        <f>IF(AND(D42=1,X42&gt;=0,X41&lt;0,MIN($X$2:X42)&lt;0),1,0)</f>
        <v>0</v>
      </c>
      <c r="AB42">
        <f>IF(Расчёты!F42=0,0,IF(Расчёты!G42=1,N('Сценарный анализ'!$C$5),IF(Расчёты!G42=2,N('Сценарный анализ'!$C$6),IF(Расчёты!G42=3,N('Сценарный анализ'!$C$7),N('Сценарный анализ'!$C$7)*(1+N('Сценарный анализ'!$C$8))^(Расчёты!G42-3)))))</f>
        <v>0</v>
      </c>
      <c r="AC42">
        <f>IF(OR(Расчёты!F42=0,N('Исходные данные'!$B$5)=0,AB42=0),0,N('Исходные данные'!$B$5)*AB42*IF(AND(B42&lt;='Исходные данные'!$B$30,Расчёты!C42&gt;='Исходные данные'!$B$30),(Расчёты!C42-'Исходные данные'!$B$30+1)/DAY(Расчёты!C42),1))</f>
        <v>0</v>
      </c>
      <c r="AD42">
        <f>IF(AND(Расчёты!F42&gt;0,Расчёты!F42&lt;=N('Исходные данные'!$B$37)),-AC42,0)</f>
        <v>0</v>
      </c>
      <c r="AE42">
        <f>IF(OR(Расчёты!F42=0,Расчёты!F42&lt;=N('Исходные данные'!$B$37)),0,-(AC42+AD42)*N('Сценарный анализ'!$C$9))</f>
        <v>0</v>
      </c>
      <c r="AF42">
        <f t="shared" si="25"/>
        <v>0</v>
      </c>
      <c r="AG42">
        <f>IF('Исходные данные'!$B$51="Да",AF42*N('Исходные данные'!$B$52),0)</f>
        <v>0</v>
      </c>
      <c r="AH42">
        <f t="shared" si="26"/>
        <v>0</v>
      </c>
      <c r="AI42">
        <f>AF42+(Расчёты!Y42-Расчёты!L42)</f>
        <v>0</v>
      </c>
      <c r="AJ42">
        <f t="shared" si="35"/>
        <v>0</v>
      </c>
      <c r="AK42">
        <f>IF('Исходные данные'!$B$51="Да",-MAX(0,AG42+Расчёты!R42+Расчёты!V42-Расчёты!P42-Расчёты!T42-AJ42),0)</f>
        <v>0</v>
      </c>
      <c r="AL42">
        <f>IF('Исходные данные'!$B$51="Да",MAX(0,AJ42+Расчёты!P42+Расчёты!T42-AG42-Расчёты!R42-Расчёты!V42),0)</f>
        <v>0</v>
      </c>
      <c r="AM42">
        <f>IF('Исходные данные'!$B$53="Выручка",MAX(0,AF42+(Расчёты!Q42-Расчёты!R42)+(Расчёты!U42-Расчёты!V42)),IF('Исходные данные'!$B$53="Прибыль до налога",MAX(0,AF42+(Расчёты!Q42-Расчёты!R42)+(Расчёты!U42-Расчёты!V42)+N('Исходные данные'!$B$54)*((Расчёты!O42+Расчёты!P42)+(Расчёты!S42+Расчёты!T42)+Расчёты!W42+Расчёты!X42)+IF('Исходные данные'!$B$55="Да",Расчёты!AG42,0)-N('Исходные данные'!$B$56)/12),IF('Исходные данные'!$B$53="Пользовательская база",MAX(0,N('Исходные данные'!$B$57)/12),0)))</f>
        <v>0</v>
      </c>
      <c r="AN42">
        <f>IF(D42=1,-AM42*N('Исходные данные'!$B$50),0)</f>
        <v>0</v>
      </c>
      <c r="AO42">
        <f t="shared" si="27"/>
        <v>0</v>
      </c>
      <c r="AP42">
        <f>IF(OR(D42&lt;&gt;1,B42="",'Исходные данные'!$B$91="",N('Исходные данные'!$B$80)&lt;=0,'Исходные данные'!$B$88=""),0,IF(AND(YEAR(B42)=YEAR('Исходные данные'!$B$91),MONTH(B42)=MONTH('Исходные данные'!$B$91)),MAX(0,IF('Исходные данные'!$B$88="Последние 12 месяцев",SUMIFS($AI$2:$AI$194,$B$2:$B$194,"&gt;="&amp;EDATE(B42,-11),$B$2:$B$194,"&lt;="&amp;B42),IF('Исходные данные'!$B$88="Пользовательский NOI",N('Исходные данные'!$B$89),AO42))/N('Исходные данные'!$B$80)*(1+N('Исходные данные'!$B$81))),0))</f>
        <v>0</v>
      </c>
      <c r="AQ42">
        <f>-AP42*N('Исходные данные'!$B$73)</f>
        <v>0</v>
      </c>
      <c r="AR42">
        <f>IF(AP42=0,0,-N('Исходные данные'!$B$87)-IF('Исходные данные'!$B$82="Да",IF('Исходные данные'!$B$84="С выручки",AP42,IF('Исходные данные'!$B$84="С прибыли",MAX(0,AP42+AQ42-IF('Исходные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42">
        <f t="shared" si="28"/>
        <v>0</v>
      </c>
      <c r="AT42">
        <f>IF(D42=1,Расчёты!AZ42+AH42+AK42+AN42+AS42,0)</f>
        <v>0</v>
      </c>
      <c r="AU42" t="str">
        <f t="shared" si="36"/>
        <v/>
      </c>
      <c r="AV42">
        <f>IF(OR(D42=0,'Исходные данные'!$B$9="",'Исходные данные'!$B$90=""),0,AT42/(1+'Исходные данные'!$B$90)^((C42-'Исходные данные'!$B$9)/365))</f>
        <v>0</v>
      </c>
      <c r="AW42">
        <f>IF(D42=1,AH42+Расчёты!O42+Расчёты!Q42+Расчёты!S42+Расчёты!U42+Расчёты!W42+Расчёты!X42+AK42+AN42,0)</f>
        <v>0</v>
      </c>
      <c r="AX42">
        <f>IF(AND(D42=1,AU42&gt;=0,AU41&lt;0,MIN($AU$2:AU42)&lt;0),1,0)</f>
        <v>0</v>
      </c>
      <c r="AY42">
        <f>IF(Расчёты!F42=0,0,IF(Расчёты!G42=1,N('Сценарный анализ'!$D$5),IF(Расчёты!G42=2,N('Сценарный анализ'!$D$6),IF(Расчёты!G42=3,N('Сценарный анализ'!$D$7),N('Сценарный анализ'!$D$7)*(1+N('Сценарный анализ'!$D$8))^(Расчёты!G42-3)))))</f>
        <v>0</v>
      </c>
      <c r="AZ42">
        <f>IF(OR(Расчёты!F42=0,N('Исходные данные'!$B$5)=0,AY42=0),0,N('Исходные данные'!$B$5)*AY42*IF(AND(B42&lt;='Исходные данные'!$B$30,Расчёты!C42&gt;='Исходные данные'!$B$30),(Расчёты!C42-'Исходные данные'!$B$30+1)/DAY(Расчёты!C42),1))</f>
        <v>0</v>
      </c>
      <c r="BA42">
        <f>IF(AND(Расчёты!F42&gt;0,Расчёты!F42&lt;=N('Исходные данные'!$B$37)),-AZ42,0)</f>
        <v>0</v>
      </c>
      <c r="BB42">
        <f>IF(OR(Расчёты!F42=0,Расчёты!F42&lt;=N('Исходные данные'!$B$37)),0,-(AZ42+BA42)*N('Сценарный анализ'!$D$9))</f>
        <v>0</v>
      </c>
      <c r="BC42">
        <f t="shared" si="29"/>
        <v>0</v>
      </c>
      <c r="BD42">
        <f>IF('Исходные данные'!$B$51="Да",BC42*N('Исходные данные'!$B$52),0)</f>
        <v>0</v>
      </c>
      <c r="BE42">
        <f t="shared" si="30"/>
        <v>0</v>
      </c>
      <c r="BF42">
        <f>BC42+(Расчёты!Y42-Расчёты!L42)</f>
        <v>0</v>
      </c>
      <c r="BG42">
        <f t="shared" si="37"/>
        <v>0</v>
      </c>
      <c r="BH42">
        <f>IF('Исходные данные'!$B$51="Да",-MAX(0,BD42+Расчёты!R42+Расчёты!V42-Расчёты!P42-Расчёты!T42-BG42),0)</f>
        <v>0</v>
      </c>
      <c r="BI42">
        <f>IF('Исходные данные'!$B$51="Да",MAX(0,BG42+Расчёты!P42+Расчёты!T42-BD42-Расчёты!R42-Расчёты!V42),0)</f>
        <v>0</v>
      </c>
      <c r="BJ42">
        <f>IF('Исходные данные'!$B$53="Выручка",MAX(0,BC42+(Расчёты!Q42-Расчёты!R42)+(Расчёты!U42-Расчёты!V42)),IF('Исходные данные'!$B$53="Прибыль до налога",MAX(0,BC42+(Расчёты!Q42-Расчёты!R42)+(Расчёты!U42-Расчёты!V42)+N('Исходные данные'!$B$54)*((Расчёты!O42+Расчёты!P42)+(Расчёты!S42+Расчёты!T42)+Расчёты!W42+Расчёты!X42)+IF('Исходные данные'!$B$55="Да",Расчёты!AG42,0)-N('Исходные данные'!$B$56)/12),IF('Исходные данные'!$B$53="Пользовательская база",MAX(0,N('Исходные данные'!$B$57)/12),0)))</f>
        <v>0</v>
      </c>
      <c r="BK42">
        <f>IF(D42=1,-BJ42*N('Исходные данные'!$B$50),0)</f>
        <v>0</v>
      </c>
      <c r="BL42">
        <f t="shared" si="31"/>
        <v>0</v>
      </c>
      <c r="BM42">
        <f>IF(OR(D42&lt;&gt;1,B42="",'Исходные данные'!$B$91="",N('Исходные данные'!$B$80)&lt;=0,'Исходные данные'!$B$88=""),0,IF(AND(YEAR(B42)=YEAR('Исходные данные'!$B$91),MONTH(B42)=MONTH('Исходные данные'!$B$91)),MAX(0,IF('Исходные данные'!$B$88="Последние 12 месяцев",SUMIFS($BF$2:$BF$194,$B$2:$B$194,"&gt;="&amp;EDATE(B42,-11),$B$2:$B$194,"&lt;="&amp;B42),IF('Исходные данные'!$B$88="Пользовательский NOI",N('Исходные данные'!$B$89),BL42))/N('Исходные данные'!$B$80)*(1+N('Исходные данные'!$B$81))),0))</f>
        <v>0</v>
      </c>
      <c r="BN42">
        <f>-BM42*N('Исходные данные'!$B$73)</f>
        <v>0</v>
      </c>
      <c r="BO42">
        <f>IF(BM42=0,0,-N('Исходные данные'!$B$87)-IF('Исходные данные'!$B$82="Да",IF('Исходные данные'!$B$84="С выручки",BM42,IF('Исходные данные'!$B$84="С прибыли",MAX(0,BM42+BN42-IF('Исходные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42">
        <f t="shared" si="32"/>
        <v>0</v>
      </c>
      <c r="BQ42">
        <f>IF(D42=1,Расчёты!AZ42+BE42+BH42+BK42+BP42,0)</f>
        <v>0</v>
      </c>
      <c r="BR42" t="str">
        <f t="shared" si="38"/>
        <v/>
      </c>
      <c r="BS42">
        <f>IF(OR(D42=0,'Исходные данные'!$B$9="",'Исходные данные'!$B$90=""),0,BQ42/(1+'Исходные данные'!$B$90)^((C42-'Исходные данные'!$B$9)/365))</f>
        <v>0</v>
      </c>
      <c r="BT42">
        <f>IF(D42=1,BE42+Расчёты!O42+Расчёты!Q42+Расчёты!S42+Расчёты!U42+Расчёты!W42+Расчёты!X42+BH42+BK42,0)</f>
        <v>0</v>
      </c>
      <c r="BU42">
        <f>IF(AND(D42=1,BR42&gt;=0,BR41&lt;0,MIN($BR$2:BR42)&lt;0),1,0)</f>
        <v>0</v>
      </c>
      <c r="BV42">
        <f>Расчёты!AZ42+K42+N42-P42*N('Исходные данные'!$B$50)</f>
        <v>0</v>
      </c>
      <c r="BW42">
        <f t="shared" si="18"/>
        <v>0</v>
      </c>
      <c r="BX42">
        <f>IF(AND(BW42&gt;=0,BW41&lt;0,MIN($BW$2:BW42)&lt;0),1,0)</f>
        <v>0</v>
      </c>
      <c r="BY42">
        <f>Расчёты!AZ42+AH42+AK42-AM42*N('Исходные данные'!$B$50)</f>
        <v>0</v>
      </c>
      <c r="BZ42">
        <f t="shared" si="19"/>
        <v>0</v>
      </c>
      <c r="CA42">
        <f>IF(AND(BZ42&gt;=0,BZ41&lt;0,MIN($BZ$2:BZ42)&lt;0),1,0)</f>
        <v>0</v>
      </c>
      <c r="CB42">
        <f>Расчёты!AZ42+BE42+BH42-BJ42*N('Исходные данные'!$B$50)</f>
        <v>0</v>
      </c>
      <c r="CC42">
        <f t="shared" si="20"/>
        <v>0</v>
      </c>
      <c r="CD42">
        <f>IF(AND(CC42&gt;=0,CC41&lt;0,MIN($CC$2:CC42)&lt;0),1,0)</f>
        <v>0</v>
      </c>
    </row>
    <row r="43" spans="1:82" x14ac:dyDescent="0.2">
      <c r="A43">
        <f>Расчёты!A43</f>
        <v>42</v>
      </c>
      <c r="B43" t="str">
        <f>Расчёты!B43</f>
        <v/>
      </c>
      <c r="C43" t="str">
        <f>Расчёты!D43</f>
        <v/>
      </c>
      <c r="D43">
        <f>Расчёты!E43</f>
        <v>0</v>
      </c>
      <c r="E43">
        <f>IF(Расчёты!F43=0,0,IF(Расчёты!G43=1,N('Сценарный анализ'!$B$5),IF(Расчёты!G43=2,N('Сценарный анализ'!$B$6),IF(Расчёты!G43=3,N('Сценарный анализ'!$B$7),N('Сценарный анализ'!$B$7)*(1+N('Сценарный анализ'!$B$8))^(Расчёты!G43-3)))))</f>
        <v>0</v>
      </c>
      <c r="F43">
        <f>IF(OR(Расчёты!F43=0,N('Исходные данные'!$B$5)=0,E43=0),0,N('Исходные данные'!$B$5)*E43*IF(AND(B43&lt;='Исходные данные'!$B$30,Расчёты!C43&gt;='Исходные данные'!$B$30),(Расчёты!C43-'Исходные данные'!$B$30+1)/DAY(Расчёты!C43),1))</f>
        <v>0</v>
      </c>
      <c r="G43">
        <f>IF(AND(Расчёты!F43&gt;0,Расчёты!F43&lt;=N('Исходные данные'!$B$37)),-F43,0)</f>
        <v>0</v>
      </c>
      <c r="H43">
        <f>IF(OR(Расчёты!F43=0,Расчёты!F43&lt;=N('Исходные данные'!$B$37)),0,-(F43+G43)*N('Сценарный анализ'!$B$9))</f>
        <v>0</v>
      </c>
      <c r="I43">
        <f t="shared" si="21"/>
        <v>0</v>
      </c>
      <c r="J43">
        <f>IF('Исходные данные'!$B$51="Да",I43*N('Исходные данные'!$B$52),0)</f>
        <v>0</v>
      </c>
      <c r="K43">
        <f t="shared" si="22"/>
        <v>0</v>
      </c>
      <c r="L43">
        <f>I43+(Расчёты!Y43-Расчёты!L43)</f>
        <v>0</v>
      </c>
      <c r="M43">
        <f t="shared" si="33"/>
        <v>0</v>
      </c>
      <c r="N43">
        <f>IF('Исходные данные'!$B$51="Да",-MAX(0,J43+Расчёты!R43+Расчёты!V43-Расчёты!P43-Расчёты!T43-M43),0)</f>
        <v>0</v>
      </c>
      <c r="O43">
        <f>IF('Исходные данные'!$B$51="Да",MAX(0,M43+Расчёты!P43+Расчёты!T43-J43-Расчёты!R43-Расчёты!V43),0)</f>
        <v>0</v>
      </c>
      <c r="P43">
        <f>IF('Исходные данные'!$B$53="Выручка",MAX(0,I43+(Расчёты!Q43-Расчёты!R43)+(Расчёты!U43-Расчёты!V43)),IF('Исходные данные'!$B$53="Прибыль до налога",MAX(0,I43+(Расчёты!Q43-Расчёты!R43)+(Расчёты!U43-Расчёты!V43)+N('Исходные данные'!$B$54)*((Расчёты!O43+Расчёты!P43)+(Расчёты!S43+Расчёты!T43)+Расчёты!W43+Расчёты!X43)+IF('Исходные данные'!$B$55="Да",Расчёты!AG43,0)-N('Исходные данные'!$B$56)/12),IF('Исходные данные'!$B$53="Пользовательская база",MAX(0,N('Исходные данные'!$B$57)/12),0)))</f>
        <v>0</v>
      </c>
      <c r="Q43">
        <f>IF(D43=1,-P43*N('Исходные данные'!$B$50),0)</f>
        <v>0</v>
      </c>
      <c r="R43">
        <f t="shared" si="23"/>
        <v>0</v>
      </c>
      <c r="S43">
        <f>IF(OR(D43&lt;&gt;1,B43="",'Исходные данные'!$B$91="",N('Исходные данные'!$B$80)&lt;=0,'Исходные данные'!$B$88=""),0,IF(AND(YEAR(B43)=YEAR('Исходные данные'!$B$91),MONTH(B43)=MONTH('Исходные данные'!$B$91)),MAX(0,IF('Исходные данные'!$B$88="Последние 12 месяцев",SUMIFS($L$2:$L$194,$B$2:$B$194,"&gt;="&amp;EDATE(B43,-11),$B$2:$B$194,"&lt;="&amp;B43),IF('Исходные данные'!$B$88="Пользовательский NOI",N('Исходные данные'!$B$89),R43))/N('Исходные данные'!$B$80)*(1+N('Исходные данные'!$B$81))),0))</f>
        <v>0</v>
      </c>
      <c r="T43">
        <f>-S43*N('Исходные данные'!$B$73)</f>
        <v>0</v>
      </c>
      <c r="U43">
        <f>IF(S43=0,0,-N('Исходные данные'!$B$87)-IF('Исходные данные'!$B$82="Да",IF('Исходные данные'!$B$84="С выручки",S43,IF('Исходные данные'!$B$84="С прибыли",MAX(0,S43+T43-IF('Исходные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43">
        <f t="shared" si="24"/>
        <v>0</v>
      </c>
      <c r="W43">
        <f>IF(D43=1,Расчёты!AZ43+K43+N43+Q43+V43,0)</f>
        <v>0</v>
      </c>
      <c r="X43" t="str">
        <f t="shared" si="34"/>
        <v/>
      </c>
      <c r="Y43">
        <f>IF(OR(D43=0,'Исходные данные'!$B$9="",'Исходные данные'!$B$90=""),0,W43/(1+'Исходные данные'!$B$90)^((C43-'Исходные данные'!$B$9)/365))</f>
        <v>0</v>
      </c>
      <c r="Z43">
        <f>IF(D43=1,K43+Расчёты!O43+Расчёты!Q43+Расчёты!S43+Расчёты!U43+Расчёты!W43+Расчёты!X43+N43+Q43,0)</f>
        <v>0</v>
      </c>
      <c r="AA43">
        <f>IF(AND(D43=1,X43&gt;=0,X42&lt;0,MIN($X$2:X43)&lt;0),1,0)</f>
        <v>0</v>
      </c>
      <c r="AB43">
        <f>IF(Расчёты!F43=0,0,IF(Расчёты!G43=1,N('Сценарный анализ'!$C$5),IF(Расчёты!G43=2,N('Сценарный анализ'!$C$6),IF(Расчёты!G43=3,N('Сценарный анализ'!$C$7),N('Сценарный анализ'!$C$7)*(1+N('Сценарный анализ'!$C$8))^(Расчёты!G43-3)))))</f>
        <v>0</v>
      </c>
      <c r="AC43">
        <f>IF(OR(Расчёты!F43=0,N('Исходные данные'!$B$5)=0,AB43=0),0,N('Исходные данные'!$B$5)*AB43*IF(AND(B43&lt;='Исходные данные'!$B$30,Расчёты!C43&gt;='Исходные данные'!$B$30),(Расчёты!C43-'Исходные данные'!$B$30+1)/DAY(Расчёты!C43),1))</f>
        <v>0</v>
      </c>
      <c r="AD43">
        <f>IF(AND(Расчёты!F43&gt;0,Расчёты!F43&lt;=N('Исходные данные'!$B$37)),-AC43,0)</f>
        <v>0</v>
      </c>
      <c r="AE43">
        <f>IF(OR(Расчёты!F43=0,Расчёты!F43&lt;=N('Исходные данные'!$B$37)),0,-(AC43+AD43)*N('Сценарный анализ'!$C$9))</f>
        <v>0</v>
      </c>
      <c r="AF43">
        <f t="shared" si="25"/>
        <v>0</v>
      </c>
      <c r="AG43">
        <f>IF('Исходные данные'!$B$51="Да",AF43*N('Исходные данные'!$B$52),0)</f>
        <v>0</v>
      </c>
      <c r="AH43">
        <f t="shared" si="26"/>
        <v>0</v>
      </c>
      <c r="AI43">
        <f>AF43+(Расчёты!Y43-Расчёты!L43)</f>
        <v>0</v>
      </c>
      <c r="AJ43">
        <f t="shared" si="35"/>
        <v>0</v>
      </c>
      <c r="AK43">
        <f>IF('Исходные данные'!$B$51="Да",-MAX(0,AG43+Расчёты!R43+Расчёты!V43-Расчёты!P43-Расчёты!T43-AJ43),0)</f>
        <v>0</v>
      </c>
      <c r="AL43">
        <f>IF('Исходные данные'!$B$51="Да",MAX(0,AJ43+Расчёты!P43+Расчёты!T43-AG43-Расчёты!R43-Расчёты!V43),0)</f>
        <v>0</v>
      </c>
      <c r="AM43">
        <f>IF('Исходные данные'!$B$53="Выручка",MAX(0,AF43+(Расчёты!Q43-Расчёты!R43)+(Расчёты!U43-Расчёты!V43)),IF('Исходные данные'!$B$53="Прибыль до налога",MAX(0,AF43+(Расчёты!Q43-Расчёты!R43)+(Расчёты!U43-Расчёты!V43)+N('Исходные данные'!$B$54)*((Расчёты!O43+Расчёты!P43)+(Расчёты!S43+Расчёты!T43)+Расчёты!W43+Расчёты!X43)+IF('Исходные данные'!$B$55="Да",Расчёты!AG43,0)-N('Исходные данные'!$B$56)/12),IF('Исходные данные'!$B$53="Пользовательская база",MAX(0,N('Исходные данные'!$B$57)/12),0)))</f>
        <v>0</v>
      </c>
      <c r="AN43">
        <f>IF(D43=1,-AM43*N('Исходные данные'!$B$50),0)</f>
        <v>0</v>
      </c>
      <c r="AO43">
        <f t="shared" si="27"/>
        <v>0</v>
      </c>
      <c r="AP43">
        <f>IF(OR(D43&lt;&gt;1,B43="",'Исходные данные'!$B$91="",N('Исходные данные'!$B$80)&lt;=0,'Исходные данные'!$B$88=""),0,IF(AND(YEAR(B43)=YEAR('Исходные данные'!$B$91),MONTH(B43)=MONTH('Исходные данные'!$B$91)),MAX(0,IF('Исходные данные'!$B$88="Последние 12 месяцев",SUMIFS($AI$2:$AI$194,$B$2:$B$194,"&gt;="&amp;EDATE(B43,-11),$B$2:$B$194,"&lt;="&amp;B43),IF('Исходные данные'!$B$88="Пользовательский NOI",N('Исходные данные'!$B$89),AO43))/N('Исходные данные'!$B$80)*(1+N('Исходные данные'!$B$81))),0))</f>
        <v>0</v>
      </c>
      <c r="AQ43">
        <f>-AP43*N('Исходные данные'!$B$73)</f>
        <v>0</v>
      </c>
      <c r="AR43">
        <f>IF(AP43=0,0,-N('Исходные данные'!$B$87)-IF('Исходные данные'!$B$82="Да",IF('Исходные данные'!$B$84="С выручки",AP43,IF('Исходные данные'!$B$84="С прибыли",MAX(0,AP43+AQ43-IF('Исходные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43">
        <f t="shared" si="28"/>
        <v>0</v>
      </c>
      <c r="AT43">
        <f>IF(D43=1,Расчёты!AZ43+AH43+AK43+AN43+AS43,0)</f>
        <v>0</v>
      </c>
      <c r="AU43" t="str">
        <f t="shared" si="36"/>
        <v/>
      </c>
      <c r="AV43">
        <f>IF(OR(D43=0,'Исходные данные'!$B$9="",'Исходные данные'!$B$90=""),0,AT43/(1+'Исходные данные'!$B$90)^((C43-'Исходные данные'!$B$9)/365))</f>
        <v>0</v>
      </c>
      <c r="AW43">
        <f>IF(D43=1,AH43+Расчёты!O43+Расчёты!Q43+Расчёты!S43+Расчёты!U43+Расчёты!W43+Расчёты!X43+AK43+AN43,0)</f>
        <v>0</v>
      </c>
      <c r="AX43">
        <f>IF(AND(D43=1,AU43&gt;=0,AU42&lt;0,MIN($AU$2:AU43)&lt;0),1,0)</f>
        <v>0</v>
      </c>
      <c r="AY43">
        <f>IF(Расчёты!F43=0,0,IF(Расчёты!G43=1,N('Сценарный анализ'!$D$5),IF(Расчёты!G43=2,N('Сценарный анализ'!$D$6),IF(Расчёты!G43=3,N('Сценарный анализ'!$D$7),N('Сценарный анализ'!$D$7)*(1+N('Сценарный анализ'!$D$8))^(Расчёты!G43-3)))))</f>
        <v>0</v>
      </c>
      <c r="AZ43">
        <f>IF(OR(Расчёты!F43=0,N('Исходные данные'!$B$5)=0,AY43=0),0,N('Исходные данные'!$B$5)*AY43*IF(AND(B43&lt;='Исходные данные'!$B$30,Расчёты!C43&gt;='Исходные данные'!$B$30),(Расчёты!C43-'Исходные данные'!$B$30+1)/DAY(Расчёты!C43),1))</f>
        <v>0</v>
      </c>
      <c r="BA43">
        <f>IF(AND(Расчёты!F43&gt;0,Расчёты!F43&lt;=N('Исходные данные'!$B$37)),-AZ43,0)</f>
        <v>0</v>
      </c>
      <c r="BB43">
        <f>IF(OR(Расчёты!F43=0,Расчёты!F43&lt;=N('Исходные данные'!$B$37)),0,-(AZ43+BA43)*N('Сценарный анализ'!$D$9))</f>
        <v>0</v>
      </c>
      <c r="BC43">
        <f t="shared" si="29"/>
        <v>0</v>
      </c>
      <c r="BD43">
        <f>IF('Исходные данные'!$B$51="Да",BC43*N('Исходные данные'!$B$52),0)</f>
        <v>0</v>
      </c>
      <c r="BE43">
        <f t="shared" si="30"/>
        <v>0</v>
      </c>
      <c r="BF43">
        <f>BC43+(Расчёты!Y43-Расчёты!L43)</f>
        <v>0</v>
      </c>
      <c r="BG43">
        <f t="shared" si="37"/>
        <v>0</v>
      </c>
      <c r="BH43">
        <f>IF('Исходные данные'!$B$51="Да",-MAX(0,BD43+Расчёты!R43+Расчёты!V43-Расчёты!P43-Расчёты!T43-BG43),0)</f>
        <v>0</v>
      </c>
      <c r="BI43">
        <f>IF('Исходные данные'!$B$51="Да",MAX(0,BG43+Расчёты!P43+Расчёты!T43-BD43-Расчёты!R43-Расчёты!V43),0)</f>
        <v>0</v>
      </c>
      <c r="BJ43">
        <f>IF('Исходные данные'!$B$53="Выручка",MAX(0,BC43+(Расчёты!Q43-Расчёты!R43)+(Расчёты!U43-Расчёты!V43)),IF('Исходные данные'!$B$53="Прибыль до налога",MAX(0,BC43+(Расчёты!Q43-Расчёты!R43)+(Расчёты!U43-Расчёты!V43)+N('Исходные данные'!$B$54)*((Расчёты!O43+Расчёты!P43)+(Расчёты!S43+Расчёты!T43)+Расчёты!W43+Расчёты!X43)+IF('Исходные данные'!$B$55="Да",Расчёты!AG43,0)-N('Исходные данные'!$B$56)/12),IF('Исходные данные'!$B$53="Пользовательская база",MAX(0,N('Исходные данные'!$B$57)/12),0)))</f>
        <v>0</v>
      </c>
      <c r="BK43">
        <f>IF(D43=1,-BJ43*N('Исходные данные'!$B$50),0)</f>
        <v>0</v>
      </c>
      <c r="BL43">
        <f t="shared" si="31"/>
        <v>0</v>
      </c>
      <c r="BM43">
        <f>IF(OR(D43&lt;&gt;1,B43="",'Исходные данные'!$B$91="",N('Исходные данные'!$B$80)&lt;=0,'Исходные данные'!$B$88=""),0,IF(AND(YEAR(B43)=YEAR('Исходные данные'!$B$91),MONTH(B43)=MONTH('Исходные данные'!$B$91)),MAX(0,IF('Исходные данные'!$B$88="Последние 12 месяцев",SUMIFS($BF$2:$BF$194,$B$2:$B$194,"&gt;="&amp;EDATE(B43,-11),$B$2:$B$194,"&lt;="&amp;B43),IF('Исходные данные'!$B$88="Пользовательский NOI",N('Исходные данные'!$B$89),BL43))/N('Исходные данные'!$B$80)*(1+N('Исходные данные'!$B$81))),0))</f>
        <v>0</v>
      </c>
      <c r="BN43">
        <f>-BM43*N('Исходные данные'!$B$73)</f>
        <v>0</v>
      </c>
      <c r="BO43">
        <f>IF(BM43=0,0,-N('Исходные данные'!$B$87)-IF('Исходные данные'!$B$82="Да",IF('Исходные данные'!$B$84="С выручки",BM43,IF('Исходные данные'!$B$84="С прибыли",MAX(0,BM43+BN43-IF('Исходные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43">
        <f t="shared" si="32"/>
        <v>0</v>
      </c>
      <c r="BQ43">
        <f>IF(D43=1,Расчёты!AZ43+BE43+BH43+BK43+BP43,0)</f>
        <v>0</v>
      </c>
      <c r="BR43" t="str">
        <f t="shared" si="38"/>
        <v/>
      </c>
      <c r="BS43">
        <f>IF(OR(D43=0,'Исходные данные'!$B$9="",'Исходные данные'!$B$90=""),0,BQ43/(1+'Исходные данные'!$B$90)^((C43-'Исходные данные'!$B$9)/365))</f>
        <v>0</v>
      </c>
      <c r="BT43">
        <f>IF(D43=1,BE43+Расчёты!O43+Расчёты!Q43+Расчёты!S43+Расчёты!U43+Расчёты!W43+Расчёты!X43+BH43+BK43,0)</f>
        <v>0</v>
      </c>
      <c r="BU43">
        <f>IF(AND(D43=1,BR43&gt;=0,BR42&lt;0,MIN($BR$2:BR43)&lt;0),1,0)</f>
        <v>0</v>
      </c>
      <c r="BV43">
        <f>Расчёты!AZ43+K43+N43-P43*N('Исходные данные'!$B$50)</f>
        <v>0</v>
      </c>
      <c r="BW43">
        <f t="shared" si="18"/>
        <v>0</v>
      </c>
      <c r="BX43">
        <f>IF(AND(BW43&gt;=0,BW42&lt;0,MIN($BW$2:BW43)&lt;0),1,0)</f>
        <v>0</v>
      </c>
      <c r="BY43">
        <f>Расчёты!AZ43+AH43+AK43-AM43*N('Исходные данные'!$B$50)</f>
        <v>0</v>
      </c>
      <c r="BZ43">
        <f t="shared" si="19"/>
        <v>0</v>
      </c>
      <c r="CA43">
        <f>IF(AND(BZ43&gt;=0,BZ42&lt;0,MIN($BZ$2:BZ43)&lt;0),1,0)</f>
        <v>0</v>
      </c>
      <c r="CB43">
        <f>Расчёты!AZ43+BE43+BH43-BJ43*N('Исходные данные'!$B$50)</f>
        <v>0</v>
      </c>
      <c r="CC43">
        <f t="shared" si="20"/>
        <v>0</v>
      </c>
      <c r="CD43">
        <f>IF(AND(CC43&gt;=0,CC42&lt;0,MIN($CC$2:CC43)&lt;0),1,0)</f>
        <v>0</v>
      </c>
    </row>
    <row r="44" spans="1:82" x14ac:dyDescent="0.2">
      <c r="A44">
        <f>Расчёты!A44</f>
        <v>43</v>
      </c>
      <c r="B44" t="str">
        <f>Расчёты!B44</f>
        <v/>
      </c>
      <c r="C44" t="str">
        <f>Расчёты!D44</f>
        <v/>
      </c>
      <c r="D44">
        <f>Расчёты!E44</f>
        <v>0</v>
      </c>
      <c r="E44">
        <f>IF(Расчёты!F44=0,0,IF(Расчёты!G44=1,N('Сценарный анализ'!$B$5),IF(Расчёты!G44=2,N('Сценарный анализ'!$B$6),IF(Расчёты!G44=3,N('Сценарный анализ'!$B$7),N('Сценарный анализ'!$B$7)*(1+N('Сценарный анализ'!$B$8))^(Расчёты!G44-3)))))</f>
        <v>0</v>
      </c>
      <c r="F44">
        <f>IF(OR(Расчёты!F44=0,N('Исходные данные'!$B$5)=0,E44=0),0,N('Исходные данные'!$B$5)*E44*IF(AND(B44&lt;='Исходные данные'!$B$30,Расчёты!C44&gt;='Исходные данные'!$B$30),(Расчёты!C44-'Исходные данные'!$B$30+1)/DAY(Расчёты!C44),1))</f>
        <v>0</v>
      </c>
      <c r="G44">
        <f>IF(AND(Расчёты!F44&gt;0,Расчёты!F44&lt;=N('Исходные данные'!$B$37)),-F44,0)</f>
        <v>0</v>
      </c>
      <c r="H44">
        <f>IF(OR(Расчёты!F44=0,Расчёты!F44&lt;=N('Исходные данные'!$B$37)),0,-(F44+G44)*N('Сценарный анализ'!$B$9))</f>
        <v>0</v>
      </c>
      <c r="I44">
        <f t="shared" si="21"/>
        <v>0</v>
      </c>
      <c r="J44">
        <f>IF('Исходные данные'!$B$51="Да",I44*N('Исходные данные'!$B$52),0)</f>
        <v>0</v>
      </c>
      <c r="K44">
        <f t="shared" si="22"/>
        <v>0</v>
      </c>
      <c r="L44">
        <f>I44+(Расчёты!Y44-Расчёты!L44)</f>
        <v>0</v>
      </c>
      <c r="M44">
        <f t="shared" si="33"/>
        <v>0</v>
      </c>
      <c r="N44">
        <f>IF('Исходные данные'!$B$51="Да",-MAX(0,J44+Расчёты!R44+Расчёты!V44-Расчёты!P44-Расчёты!T44-M44),0)</f>
        <v>0</v>
      </c>
      <c r="O44">
        <f>IF('Исходные данные'!$B$51="Да",MAX(0,M44+Расчёты!P44+Расчёты!T44-J44-Расчёты!R44-Расчёты!V44),0)</f>
        <v>0</v>
      </c>
      <c r="P44">
        <f>IF('Исходные данные'!$B$53="Выручка",MAX(0,I44+(Расчёты!Q44-Расчёты!R44)+(Расчёты!U44-Расчёты!V44)),IF('Исходные данные'!$B$53="Прибыль до налога",MAX(0,I44+(Расчёты!Q44-Расчёты!R44)+(Расчёты!U44-Расчёты!V44)+N('Исходные данные'!$B$54)*((Расчёты!O44+Расчёты!P44)+(Расчёты!S44+Расчёты!T44)+Расчёты!W44+Расчёты!X44)+IF('Исходные данные'!$B$55="Да",Расчёты!AG44,0)-N('Исходные данные'!$B$56)/12),IF('Исходные данные'!$B$53="Пользовательская база",MAX(0,N('Исходные данные'!$B$57)/12),0)))</f>
        <v>0</v>
      </c>
      <c r="Q44">
        <f>IF(D44=1,-P44*N('Исходные данные'!$B$50),0)</f>
        <v>0</v>
      </c>
      <c r="R44">
        <f t="shared" si="23"/>
        <v>0</v>
      </c>
      <c r="S44">
        <f>IF(OR(D44&lt;&gt;1,B44="",'Исходные данные'!$B$91="",N('Исходные данные'!$B$80)&lt;=0,'Исходные данные'!$B$88=""),0,IF(AND(YEAR(B44)=YEAR('Исходные данные'!$B$91),MONTH(B44)=MONTH('Исходные данные'!$B$91)),MAX(0,IF('Исходные данные'!$B$88="Последние 12 месяцев",SUMIFS($L$2:$L$194,$B$2:$B$194,"&gt;="&amp;EDATE(B44,-11),$B$2:$B$194,"&lt;="&amp;B44),IF('Исходные данные'!$B$88="Пользовательский NOI",N('Исходные данные'!$B$89),R44))/N('Исходные данные'!$B$80)*(1+N('Исходные данные'!$B$81))),0))</f>
        <v>0</v>
      </c>
      <c r="T44">
        <f>-S44*N('Исходные данные'!$B$73)</f>
        <v>0</v>
      </c>
      <c r="U44">
        <f>IF(S44=0,0,-N('Исходные данные'!$B$87)-IF('Исходные данные'!$B$82="Да",IF('Исходные данные'!$B$84="С выручки",S44,IF('Исходные данные'!$B$84="С прибыли",MAX(0,S44+T44-IF('Исходные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44">
        <f t="shared" si="24"/>
        <v>0</v>
      </c>
      <c r="W44">
        <f>IF(D44=1,Расчёты!AZ44+K44+N44+Q44+V44,0)</f>
        <v>0</v>
      </c>
      <c r="X44" t="str">
        <f t="shared" si="34"/>
        <v/>
      </c>
      <c r="Y44">
        <f>IF(OR(D44=0,'Исходные данные'!$B$9="",'Исходные данные'!$B$90=""),0,W44/(1+'Исходные данные'!$B$90)^((C44-'Исходные данные'!$B$9)/365))</f>
        <v>0</v>
      </c>
      <c r="Z44">
        <f>IF(D44=1,K44+Расчёты!O44+Расчёты!Q44+Расчёты!S44+Расчёты!U44+Расчёты!W44+Расчёты!X44+N44+Q44,0)</f>
        <v>0</v>
      </c>
      <c r="AA44">
        <f>IF(AND(D44=1,X44&gt;=0,X43&lt;0,MIN($X$2:X44)&lt;0),1,0)</f>
        <v>0</v>
      </c>
      <c r="AB44">
        <f>IF(Расчёты!F44=0,0,IF(Расчёты!G44=1,N('Сценарный анализ'!$C$5),IF(Расчёты!G44=2,N('Сценарный анализ'!$C$6),IF(Расчёты!G44=3,N('Сценарный анализ'!$C$7),N('Сценарный анализ'!$C$7)*(1+N('Сценарный анализ'!$C$8))^(Расчёты!G44-3)))))</f>
        <v>0</v>
      </c>
      <c r="AC44">
        <f>IF(OR(Расчёты!F44=0,N('Исходные данные'!$B$5)=0,AB44=0),0,N('Исходные данные'!$B$5)*AB44*IF(AND(B44&lt;='Исходные данные'!$B$30,Расчёты!C44&gt;='Исходные данные'!$B$30),(Расчёты!C44-'Исходные данные'!$B$30+1)/DAY(Расчёты!C44),1))</f>
        <v>0</v>
      </c>
      <c r="AD44">
        <f>IF(AND(Расчёты!F44&gt;0,Расчёты!F44&lt;=N('Исходные данные'!$B$37)),-AC44,0)</f>
        <v>0</v>
      </c>
      <c r="AE44">
        <f>IF(OR(Расчёты!F44=0,Расчёты!F44&lt;=N('Исходные данные'!$B$37)),0,-(AC44+AD44)*N('Сценарный анализ'!$C$9))</f>
        <v>0</v>
      </c>
      <c r="AF44">
        <f t="shared" si="25"/>
        <v>0</v>
      </c>
      <c r="AG44">
        <f>IF('Исходные данные'!$B$51="Да",AF44*N('Исходные данные'!$B$52),0)</f>
        <v>0</v>
      </c>
      <c r="AH44">
        <f t="shared" si="26"/>
        <v>0</v>
      </c>
      <c r="AI44">
        <f>AF44+(Расчёты!Y44-Расчёты!L44)</f>
        <v>0</v>
      </c>
      <c r="AJ44">
        <f t="shared" si="35"/>
        <v>0</v>
      </c>
      <c r="AK44">
        <f>IF('Исходные данные'!$B$51="Да",-MAX(0,AG44+Расчёты!R44+Расчёты!V44-Расчёты!P44-Расчёты!T44-AJ44),0)</f>
        <v>0</v>
      </c>
      <c r="AL44">
        <f>IF('Исходные данные'!$B$51="Да",MAX(0,AJ44+Расчёты!P44+Расчёты!T44-AG44-Расчёты!R44-Расчёты!V44),0)</f>
        <v>0</v>
      </c>
      <c r="AM44">
        <f>IF('Исходные данные'!$B$53="Выручка",MAX(0,AF44+(Расчёты!Q44-Расчёты!R44)+(Расчёты!U44-Расчёты!V44)),IF('Исходные данные'!$B$53="Прибыль до налога",MAX(0,AF44+(Расчёты!Q44-Расчёты!R44)+(Расчёты!U44-Расчёты!V44)+N('Исходные данные'!$B$54)*((Расчёты!O44+Расчёты!P44)+(Расчёты!S44+Расчёты!T44)+Расчёты!W44+Расчёты!X44)+IF('Исходные данные'!$B$55="Да",Расчёты!AG44,0)-N('Исходные данные'!$B$56)/12),IF('Исходные данные'!$B$53="Пользовательская база",MAX(0,N('Исходные данные'!$B$57)/12),0)))</f>
        <v>0</v>
      </c>
      <c r="AN44">
        <f>IF(D44=1,-AM44*N('Исходные данные'!$B$50),0)</f>
        <v>0</v>
      </c>
      <c r="AO44">
        <f t="shared" si="27"/>
        <v>0</v>
      </c>
      <c r="AP44">
        <f>IF(OR(D44&lt;&gt;1,B44="",'Исходные данные'!$B$91="",N('Исходные данные'!$B$80)&lt;=0,'Исходные данные'!$B$88=""),0,IF(AND(YEAR(B44)=YEAR('Исходные данные'!$B$91),MONTH(B44)=MONTH('Исходные данные'!$B$91)),MAX(0,IF('Исходные данные'!$B$88="Последние 12 месяцев",SUMIFS($AI$2:$AI$194,$B$2:$B$194,"&gt;="&amp;EDATE(B44,-11),$B$2:$B$194,"&lt;="&amp;B44),IF('Исходные данные'!$B$88="Пользовательский NOI",N('Исходные данные'!$B$89),AO44))/N('Исходные данные'!$B$80)*(1+N('Исходные данные'!$B$81))),0))</f>
        <v>0</v>
      </c>
      <c r="AQ44">
        <f>-AP44*N('Исходные данные'!$B$73)</f>
        <v>0</v>
      </c>
      <c r="AR44">
        <f>IF(AP44=0,0,-N('Исходные данные'!$B$87)-IF('Исходные данные'!$B$82="Да",IF('Исходные данные'!$B$84="С выручки",AP44,IF('Исходные данные'!$B$84="С прибыли",MAX(0,AP44+AQ44-IF('Исходные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44">
        <f t="shared" si="28"/>
        <v>0</v>
      </c>
      <c r="AT44">
        <f>IF(D44=1,Расчёты!AZ44+AH44+AK44+AN44+AS44,0)</f>
        <v>0</v>
      </c>
      <c r="AU44" t="str">
        <f t="shared" si="36"/>
        <v/>
      </c>
      <c r="AV44">
        <f>IF(OR(D44=0,'Исходные данные'!$B$9="",'Исходные данные'!$B$90=""),0,AT44/(1+'Исходные данные'!$B$90)^((C44-'Исходные данные'!$B$9)/365))</f>
        <v>0</v>
      </c>
      <c r="AW44">
        <f>IF(D44=1,AH44+Расчёты!O44+Расчёты!Q44+Расчёты!S44+Расчёты!U44+Расчёты!W44+Расчёты!X44+AK44+AN44,0)</f>
        <v>0</v>
      </c>
      <c r="AX44">
        <f>IF(AND(D44=1,AU44&gt;=0,AU43&lt;0,MIN($AU$2:AU44)&lt;0),1,0)</f>
        <v>0</v>
      </c>
      <c r="AY44">
        <f>IF(Расчёты!F44=0,0,IF(Расчёты!G44=1,N('Сценарный анализ'!$D$5),IF(Расчёты!G44=2,N('Сценарный анализ'!$D$6),IF(Расчёты!G44=3,N('Сценарный анализ'!$D$7),N('Сценарный анализ'!$D$7)*(1+N('Сценарный анализ'!$D$8))^(Расчёты!G44-3)))))</f>
        <v>0</v>
      </c>
      <c r="AZ44">
        <f>IF(OR(Расчёты!F44=0,N('Исходные данные'!$B$5)=0,AY44=0),0,N('Исходные данные'!$B$5)*AY44*IF(AND(B44&lt;='Исходные данные'!$B$30,Расчёты!C44&gt;='Исходные данные'!$B$30),(Расчёты!C44-'Исходные данные'!$B$30+1)/DAY(Расчёты!C44),1))</f>
        <v>0</v>
      </c>
      <c r="BA44">
        <f>IF(AND(Расчёты!F44&gt;0,Расчёты!F44&lt;=N('Исходные данные'!$B$37)),-AZ44,0)</f>
        <v>0</v>
      </c>
      <c r="BB44">
        <f>IF(OR(Расчёты!F44=0,Расчёты!F44&lt;=N('Исходные данные'!$B$37)),0,-(AZ44+BA44)*N('Сценарный анализ'!$D$9))</f>
        <v>0</v>
      </c>
      <c r="BC44">
        <f t="shared" si="29"/>
        <v>0</v>
      </c>
      <c r="BD44">
        <f>IF('Исходные данные'!$B$51="Да",BC44*N('Исходные данные'!$B$52),0)</f>
        <v>0</v>
      </c>
      <c r="BE44">
        <f t="shared" si="30"/>
        <v>0</v>
      </c>
      <c r="BF44">
        <f>BC44+(Расчёты!Y44-Расчёты!L44)</f>
        <v>0</v>
      </c>
      <c r="BG44">
        <f t="shared" si="37"/>
        <v>0</v>
      </c>
      <c r="BH44">
        <f>IF('Исходные данные'!$B$51="Да",-MAX(0,BD44+Расчёты!R44+Расчёты!V44-Расчёты!P44-Расчёты!T44-BG44),0)</f>
        <v>0</v>
      </c>
      <c r="BI44">
        <f>IF('Исходные данные'!$B$51="Да",MAX(0,BG44+Расчёты!P44+Расчёты!T44-BD44-Расчёты!R44-Расчёты!V44),0)</f>
        <v>0</v>
      </c>
      <c r="BJ44">
        <f>IF('Исходные данные'!$B$53="Выручка",MAX(0,BC44+(Расчёты!Q44-Расчёты!R44)+(Расчёты!U44-Расчёты!V44)),IF('Исходные данные'!$B$53="Прибыль до налога",MAX(0,BC44+(Расчёты!Q44-Расчёты!R44)+(Расчёты!U44-Расчёты!V44)+N('Исходные данные'!$B$54)*((Расчёты!O44+Расчёты!P44)+(Расчёты!S44+Расчёты!T44)+Расчёты!W44+Расчёты!X44)+IF('Исходные данные'!$B$55="Да",Расчёты!AG44,0)-N('Исходные данные'!$B$56)/12),IF('Исходные данные'!$B$53="Пользовательская база",MAX(0,N('Исходные данные'!$B$57)/12),0)))</f>
        <v>0</v>
      </c>
      <c r="BK44">
        <f>IF(D44=1,-BJ44*N('Исходные данные'!$B$50),0)</f>
        <v>0</v>
      </c>
      <c r="BL44">
        <f t="shared" si="31"/>
        <v>0</v>
      </c>
      <c r="BM44">
        <f>IF(OR(D44&lt;&gt;1,B44="",'Исходные данные'!$B$91="",N('Исходные данные'!$B$80)&lt;=0,'Исходные данные'!$B$88=""),0,IF(AND(YEAR(B44)=YEAR('Исходные данные'!$B$91),MONTH(B44)=MONTH('Исходные данные'!$B$91)),MAX(0,IF('Исходные данные'!$B$88="Последние 12 месяцев",SUMIFS($BF$2:$BF$194,$B$2:$B$194,"&gt;="&amp;EDATE(B44,-11),$B$2:$B$194,"&lt;="&amp;B44),IF('Исходные данные'!$B$88="Пользовательский NOI",N('Исходные данные'!$B$89),BL44))/N('Исходные данные'!$B$80)*(1+N('Исходные данные'!$B$81))),0))</f>
        <v>0</v>
      </c>
      <c r="BN44">
        <f>-BM44*N('Исходные данные'!$B$73)</f>
        <v>0</v>
      </c>
      <c r="BO44">
        <f>IF(BM44=0,0,-N('Исходные данные'!$B$87)-IF('Исходные данные'!$B$82="Да",IF('Исходные данные'!$B$84="С выручки",BM44,IF('Исходные данные'!$B$84="С прибыли",MAX(0,BM44+BN44-IF('Исходные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44">
        <f t="shared" si="32"/>
        <v>0</v>
      </c>
      <c r="BQ44">
        <f>IF(D44=1,Расчёты!AZ44+BE44+BH44+BK44+BP44,0)</f>
        <v>0</v>
      </c>
      <c r="BR44" t="str">
        <f t="shared" si="38"/>
        <v/>
      </c>
      <c r="BS44">
        <f>IF(OR(D44=0,'Исходные данные'!$B$9="",'Исходные данные'!$B$90=""),0,BQ44/(1+'Исходные данные'!$B$90)^((C44-'Исходные данные'!$B$9)/365))</f>
        <v>0</v>
      </c>
      <c r="BT44">
        <f>IF(D44=1,BE44+Расчёты!O44+Расчёты!Q44+Расчёты!S44+Расчёты!U44+Расчёты!W44+Расчёты!X44+BH44+BK44,0)</f>
        <v>0</v>
      </c>
      <c r="BU44">
        <f>IF(AND(D44=1,BR44&gt;=0,BR43&lt;0,MIN($BR$2:BR44)&lt;0),1,0)</f>
        <v>0</v>
      </c>
      <c r="BV44">
        <f>Расчёты!AZ44+K44+N44-P44*N('Исходные данные'!$B$50)</f>
        <v>0</v>
      </c>
      <c r="BW44">
        <f t="shared" si="18"/>
        <v>0</v>
      </c>
      <c r="BX44">
        <f>IF(AND(BW44&gt;=0,BW43&lt;0,MIN($BW$2:BW44)&lt;0),1,0)</f>
        <v>0</v>
      </c>
      <c r="BY44">
        <f>Расчёты!AZ44+AH44+AK44-AM44*N('Исходные данные'!$B$50)</f>
        <v>0</v>
      </c>
      <c r="BZ44">
        <f t="shared" si="19"/>
        <v>0</v>
      </c>
      <c r="CA44">
        <f>IF(AND(BZ44&gt;=0,BZ43&lt;0,MIN($BZ$2:BZ44)&lt;0),1,0)</f>
        <v>0</v>
      </c>
      <c r="CB44">
        <f>Расчёты!AZ44+BE44+BH44-BJ44*N('Исходные данные'!$B$50)</f>
        <v>0</v>
      </c>
      <c r="CC44">
        <f t="shared" si="20"/>
        <v>0</v>
      </c>
      <c r="CD44">
        <f>IF(AND(CC44&gt;=0,CC43&lt;0,MIN($CC$2:CC44)&lt;0),1,0)</f>
        <v>0</v>
      </c>
    </row>
    <row r="45" spans="1:82" x14ac:dyDescent="0.2">
      <c r="A45">
        <f>Расчёты!A45</f>
        <v>44</v>
      </c>
      <c r="B45" t="str">
        <f>Расчёты!B45</f>
        <v/>
      </c>
      <c r="C45" t="str">
        <f>Расчёты!D45</f>
        <v/>
      </c>
      <c r="D45">
        <f>Расчёты!E45</f>
        <v>0</v>
      </c>
      <c r="E45">
        <f>IF(Расчёты!F45=0,0,IF(Расчёты!G45=1,N('Сценарный анализ'!$B$5),IF(Расчёты!G45=2,N('Сценарный анализ'!$B$6),IF(Расчёты!G45=3,N('Сценарный анализ'!$B$7),N('Сценарный анализ'!$B$7)*(1+N('Сценарный анализ'!$B$8))^(Расчёты!G45-3)))))</f>
        <v>0</v>
      </c>
      <c r="F45">
        <f>IF(OR(Расчёты!F45=0,N('Исходные данные'!$B$5)=0,E45=0),0,N('Исходные данные'!$B$5)*E45*IF(AND(B45&lt;='Исходные данные'!$B$30,Расчёты!C45&gt;='Исходные данные'!$B$30),(Расчёты!C45-'Исходные данные'!$B$30+1)/DAY(Расчёты!C45),1))</f>
        <v>0</v>
      </c>
      <c r="G45">
        <f>IF(AND(Расчёты!F45&gt;0,Расчёты!F45&lt;=N('Исходные данные'!$B$37)),-F45,0)</f>
        <v>0</v>
      </c>
      <c r="H45">
        <f>IF(OR(Расчёты!F45=0,Расчёты!F45&lt;=N('Исходные данные'!$B$37)),0,-(F45+G45)*N('Сценарный анализ'!$B$9))</f>
        <v>0</v>
      </c>
      <c r="I45">
        <f t="shared" si="21"/>
        <v>0</v>
      </c>
      <c r="J45">
        <f>IF('Исходные данные'!$B$51="Да",I45*N('Исходные данные'!$B$52),0)</f>
        <v>0</v>
      </c>
      <c r="K45">
        <f t="shared" si="22"/>
        <v>0</v>
      </c>
      <c r="L45">
        <f>I45+(Расчёты!Y45-Расчёты!L45)</f>
        <v>0</v>
      </c>
      <c r="M45">
        <f t="shared" si="33"/>
        <v>0</v>
      </c>
      <c r="N45">
        <f>IF('Исходные данные'!$B$51="Да",-MAX(0,J45+Расчёты!R45+Расчёты!V45-Расчёты!P45-Расчёты!T45-M45),0)</f>
        <v>0</v>
      </c>
      <c r="O45">
        <f>IF('Исходные данные'!$B$51="Да",MAX(0,M45+Расчёты!P45+Расчёты!T45-J45-Расчёты!R45-Расчёты!V45),0)</f>
        <v>0</v>
      </c>
      <c r="P45">
        <f>IF('Исходные данные'!$B$53="Выручка",MAX(0,I45+(Расчёты!Q45-Расчёты!R45)+(Расчёты!U45-Расчёты!V45)),IF('Исходные данные'!$B$53="Прибыль до налога",MAX(0,I45+(Расчёты!Q45-Расчёты!R45)+(Расчёты!U45-Расчёты!V45)+N('Исходные данные'!$B$54)*((Расчёты!O45+Расчёты!P45)+(Расчёты!S45+Расчёты!T45)+Расчёты!W45+Расчёты!X45)+IF('Исходные данные'!$B$55="Да",Расчёты!AG45,0)-N('Исходные данные'!$B$56)/12),IF('Исходные данные'!$B$53="Пользовательская база",MAX(0,N('Исходные данные'!$B$57)/12),0)))</f>
        <v>0</v>
      </c>
      <c r="Q45">
        <f>IF(D45=1,-P45*N('Исходные данные'!$B$50),0)</f>
        <v>0</v>
      </c>
      <c r="R45">
        <f t="shared" si="23"/>
        <v>0</v>
      </c>
      <c r="S45">
        <f>IF(OR(D45&lt;&gt;1,B45="",'Исходные данные'!$B$91="",N('Исходные данные'!$B$80)&lt;=0,'Исходные данные'!$B$88=""),0,IF(AND(YEAR(B45)=YEAR('Исходные данные'!$B$91),MONTH(B45)=MONTH('Исходные данные'!$B$91)),MAX(0,IF('Исходные данные'!$B$88="Последние 12 месяцев",SUMIFS($L$2:$L$194,$B$2:$B$194,"&gt;="&amp;EDATE(B45,-11),$B$2:$B$194,"&lt;="&amp;B45),IF('Исходные данные'!$B$88="Пользовательский NOI",N('Исходные данные'!$B$89),R45))/N('Исходные данные'!$B$80)*(1+N('Исходные данные'!$B$81))),0))</f>
        <v>0</v>
      </c>
      <c r="T45">
        <f>-S45*N('Исходные данные'!$B$73)</f>
        <v>0</v>
      </c>
      <c r="U45">
        <f>IF(S45=0,0,-N('Исходные данные'!$B$87)-IF('Исходные данные'!$B$82="Да",IF('Исходные данные'!$B$84="С выручки",S45,IF('Исходные данные'!$B$84="С прибыли",MAX(0,S45+T45-IF('Исходные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45">
        <f t="shared" si="24"/>
        <v>0</v>
      </c>
      <c r="W45">
        <f>IF(D45=1,Расчёты!AZ45+K45+N45+Q45+V45,0)</f>
        <v>0</v>
      </c>
      <c r="X45" t="str">
        <f t="shared" si="34"/>
        <v/>
      </c>
      <c r="Y45">
        <f>IF(OR(D45=0,'Исходные данные'!$B$9="",'Исходные данные'!$B$90=""),0,W45/(1+'Исходные данные'!$B$90)^((C45-'Исходные данные'!$B$9)/365))</f>
        <v>0</v>
      </c>
      <c r="Z45">
        <f>IF(D45=1,K45+Расчёты!O45+Расчёты!Q45+Расчёты!S45+Расчёты!U45+Расчёты!W45+Расчёты!X45+N45+Q45,0)</f>
        <v>0</v>
      </c>
      <c r="AA45">
        <f>IF(AND(D45=1,X45&gt;=0,X44&lt;0,MIN($X$2:X45)&lt;0),1,0)</f>
        <v>0</v>
      </c>
      <c r="AB45">
        <f>IF(Расчёты!F45=0,0,IF(Расчёты!G45=1,N('Сценарный анализ'!$C$5),IF(Расчёты!G45=2,N('Сценарный анализ'!$C$6),IF(Расчёты!G45=3,N('Сценарный анализ'!$C$7),N('Сценарный анализ'!$C$7)*(1+N('Сценарный анализ'!$C$8))^(Расчёты!G45-3)))))</f>
        <v>0</v>
      </c>
      <c r="AC45">
        <f>IF(OR(Расчёты!F45=0,N('Исходные данные'!$B$5)=0,AB45=0),0,N('Исходные данные'!$B$5)*AB45*IF(AND(B45&lt;='Исходные данные'!$B$30,Расчёты!C45&gt;='Исходные данные'!$B$30),(Расчёты!C45-'Исходные данные'!$B$30+1)/DAY(Расчёты!C45),1))</f>
        <v>0</v>
      </c>
      <c r="AD45">
        <f>IF(AND(Расчёты!F45&gt;0,Расчёты!F45&lt;=N('Исходные данные'!$B$37)),-AC45,0)</f>
        <v>0</v>
      </c>
      <c r="AE45">
        <f>IF(OR(Расчёты!F45=0,Расчёты!F45&lt;=N('Исходные данные'!$B$37)),0,-(AC45+AD45)*N('Сценарный анализ'!$C$9))</f>
        <v>0</v>
      </c>
      <c r="AF45">
        <f t="shared" si="25"/>
        <v>0</v>
      </c>
      <c r="AG45">
        <f>IF('Исходные данные'!$B$51="Да",AF45*N('Исходные данные'!$B$52),0)</f>
        <v>0</v>
      </c>
      <c r="AH45">
        <f t="shared" si="26"/>
        <v>0</v>
      </c>
      <c r="AI45">
        <f>AF45+(Расчёты!Y45-Расчёты!L45)</f>
        <v>0</v>
      </c>
      <c r="AJ45">
        <f t="shared" si="35"/>
        <v>0</v>
      </c>
      <c r="AK45">
        <f>IF('Исходные данные'!$B$51="Да",-MAX(0,AG45+Расчёты!R45+Расчёты!V45-Расчёты!P45-Расчёты!T45-AJ45),0)</f>
        <v>0</v>
      </c>
      <c r="AL45">
        <f>IF('Исходные данные'!$B$51="Да",MAX(0,AJ45+Расчёты!P45+Расчёты!T45-AG45-Расчёты!R45-Расчёты!V45),0)</f>
        <v>0</v>
      </c>
      <c r="AM45">
        <f>IF('Исходные данные'!$B$53="Выручка",MAX(0,AF45+(Расчёты!Q45-Расчёты!R45)+(Расчёты!U45-Расчёты!V45)),IF('Исходные данные'!$B$53="Прибыль до налога",MAX(0,AF45+(Расчёты!Q45-Расчёты!R45)+(Расчёты!U45-Расчёты!V45)+N('Исходные данные'!$B$54)*((Расчёты!O45+Расчёты!P45)+(Расчёты!S45+Расчёты!T45)+Расчёты!W45+Расчёты!X45)+IF('Исходные данные'!$B$55="Да",Расчёты!AG45,0)-N('Исходные данные'!$B$56)/12),IF('Исходные данные'!$B$53="Пользовательская база",MAX(0,N('Исходные данные'!$B$57)/12),0)))</f>
        <v>0</v>
      </c>
      <c r="AN45">
        <f>IF(D45=1,-AM45*N('Исходные данные'!$B$50),0)</f>
        <v>0</v>
      </c>
      <c r="AO45">
        <f t="shared" si="27"/>
        <v>0</v>
      </c>
      <c r="AP45">
        <f>IF(OR(D45&lt;&gt;1,B45="",'Исходные данные'!$B$91="",N('Исходные данные'!$B$80)&lt;=0,'Исходные данные'!$B$88=""),0,IF(AND(YEAR(B45)=YEAR('Исходные данные'!$B$91),MONTH(B45)=MONTH('Исходные данные'!$B$91)),MAX(0,IF('Исходные данные'!$B$88="Последние 12 месяцев",SUMIFS($AI$2:$AI$194,$B$2:$B$194,"&gt;="&amp;EDATE(B45,-11),$B$2:$B$194,"&lt;="&amp;B45),IF('Исходные данные'!$B$88="Пользовательский NOI",N('Исходные данные'!$B$89),AO45))/N('Исходные данные'!$B$80)*(1+N('Исходные данные'!$B$81))),0))</f>
        <v>0</v>
      </c>
      <c r="AQ45">
        <f>-AP45*N('Исходные данные'!$B$73)</f>
        <v>0</v>
      </c>
      <c r="AR45">
        <f>IF(AP45=0,0,-N('Исходные данные'!$B$87)-IF('Исходные данные'!$B$82="Да",IF('Исходные данные'!$B$84="С выручки",AP45,IF('Исходные данные'!$B$84="С прибыли",MAX(0,AP45+AQ45-IF('Исходные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45">
        <f t="shared" si="28"/>
        <v>0</v>
      </c>
      <c r="AT45">
        <f>IF(D45=1,Расчёты!AZ45+AH45+AK45+AN45+AS45,0)</f>
        <v>0</v>
      </c>
      <c r="AU45" t="str">
        <f t="shared" si="36"/>
        <v/>
      </c>
      <c r="AV45">
        <f>IF(OR(D45=0,'Исходные данные'!$B$9="",'Исходные данные'!$B$90=""),0,AT45/(1+'Исходные данные'!$B$90)^((C45-'Исходные данные'!$B$9)/365))</f>
        <v>0</v>
      </c>
      <c r="AW45">
        <f>IF(D45=1,AH45+Расчёты!O45+Расчёты!Q45+Расчёты!S45+Расчёты!U45+Расчёты!W45+Расчёты!X45+AK45+AN45,0)</f>
        <v>0</v>
      </c>
      <c r="AX45">
        <f>IF(AND(D45=1,AU45&gt;=0,AU44&lt;0,MIN($AU$2:AU45)&lt;0),1,0)</f>
        <v>0</v>
      </c>
      <c r="AY45">
        <f>IF(Расчёты!F45=0,0,IF(Расчёты!G45=1,N('Сценарный анализ'!$D$5),IF(Расчёты!G45=2,N('Сценарный анализ'!$D$6),IF(Расчёты!G45=3,N('Сценарный анализ'!$D$7),N('Сценарный анализ'!$D$7)*(1+N('Сценарный анализ'!$D$8))^(Расчёты!G45-3)))))</f>
        <v>0</v>
      </c>
      <c r="AZ45">
        <f>IF(OR(Расчёты!F45=0,N('Исходные данные'!$B$5)=0,AY45=0),0,N('Исходные данные'!$B$5)*AY45*IF(AND(B45&lt;='Исходные данные'!$B$30,Расчёты!C45&gt;='Исходные данные'!$B$30),(Расчёты!C45-'Исходные данные'!$B$30+1)/DAY(Расчёты!C45),1))</f>
        <v>0</v>
      </c>
      <c r="BA45">
        <f>IF(AND(Расчёты!F45&gt;0,Расчёты!F45&lt;=N('Исходные данные'!$B$37)),-AZ45,0)</f>
        <v>0</v>
      </c>
      <c r="BB45">
        <f>IF(OR(Расчёты!F45=0,Расчёты!F45&lt;=N('Исходные данные'!$B$37)),0,-(AZ45+BA45)*N('Сценарный анализ'!$D$9))</f>
        <v>0</v>
      </c>
      <c r="BC45">
        <f t="shared" si="29"/>
        <v>0</v>
      </c>
      <c r="BD45">
        <f>IF('Исходные данные'!$B$51="Да",BC45*N('Исходные данные'!$B$52),0)</f>
        <v>0</v>
      </c>
      <c r="BE45">
        <f t="shared" si="30"/>
        <v>0</v>
      </c>
      <c r="BF45">
        <f>BC45+(Расчёты!Y45-Расчёты!L45)</f>
        <v>0</v>
      </c>
      <c r="BG45">
        <f t="shared" si="37"/>
        <v>0</v>
      </c>
      <c r="BH45">
        <f>IF('Исходные данные'!$B$51="Да",-MAX(0,BD45+Расчёты!R45+Расчёты!V45-Расчёты!P45-Расчёты!T45-BG45),0)</f>
        <v>0</v>
      </c>
      <c r="BI45">
        <f>IF('Исходные данные'!$B$51="Да",MAX(0,BG45+Расчёты!P45+Расчёты!T45-BD45-Расчёты!R45-Расчёты!V45),0)</f>
        <v>0</v>
      </c>
      <c r="BJ45">
        <f>IF('Исходные данные'!$B$53="Выручка",MAX(0,BC45+(Расчёты!Q45-Расчёты!R45)+(Расчёты!U45-Расчёты!V45)),IF('Исходные данные'!$B$53="Прибыль до налога",MAX(0,BC45+(Расчёты!Q45-Расчёты!R45)+(Расчёты!U45-Расчёты!V45)+N('Исходные данные'!$B$54)*((Расчёты!O45+Расчёты!P45)+(Расчёты!S45+Расчёты!T45)+Расчёты!W45+Расчёты!X45)+IF('Исходные данные'!$B$55="Да",Расчёты!AG45,0)-N('Исходные данные'!$B$56)/12),IF('Исходные данные'!$B$53="Пользовательская база",MAX(0,N('Исходные данные'!$B$57)/12),0)))</f>
        <v>0</v>
      </c>
      <c r="BK45">
        <f>IF(D45=1,-BJ45*N('Исходные данные'!$B$50),0)</f>
        <v>0</v>
      </c>
      <c r="BL45">
        <f t="shared" si="31"/>
        <v>0</v>
      </c>
      <c r="BM45">
        <f>IF(OR(D45&lt;&gt;1,B45="",'Исходные данные'!$B$91="",N('Исходные данные'!$B$80)&lt;=0,'Исходные данные'!$B$88=""),0,IF(AND(YEAR(B45)=YEAR('Исходные данные'!$B$91),MONTH(B45)=MONTH('Исходные данные'!$B$91)),MAX(0,IF('Исходные данные'!$B$88="Последние 12 месяцев",SUMIFS($BF$2:$BF$194,$B$2:$B$194,"&gt;="&amp;EDATE(B45,-11),$B$2:$B$194,"&lt;="&amp;B45),IF('Исходные данные'!$B$88="Пользовательский NOI",N('Исходные данные'!$B$89),BL45))/N('Исходные данные'!$B$80)*(1+N('Исходные данные'!$B$81))),0))</f>
        <v>0</v>
      </c>
      <c r="BN45">
        <f>-BM45*N('Исходные данные'!$B$73)</f>
        <v>0</v>
      </c>
      <c r="BO45">
        <f>IF(BM45=0,0,-N('Исходные данные'!$B$87)-IF('Исходные данные'!$B$82="Да",IF('Исходные данные'!$B$84="С выручки",BM45,IF('Исходные данные'!$B$84="С прибыли",MAX(0,BM45+BN45-IF('Исходные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45">
        <f t="shared" si="32"/>
        <v>0</v>
      </c>
      <c r="BQ45">
        <f>IF(D45=1,Расчёты!AZ45+BE45+BH45+BK45+BP45,0)</f>
        <v>0</v>
      </c>
      <c r="BR45" t="str">
        <f t="shared" si="38"/>
        <v/>
      </c>
      <c r="BS45">
        <f>IF(OR(D45=0,'Исходные данные'!$B$9="",'Исходные данные'!$B$90=""),0,BQ45/(1+'Исходные данные'!$B$90)^((C45-'Исходные данные'!$B$9)/365))</f>
        <v>0</v>
      </c>
      <c r="BT45">
        <f>IF(D45=1,BE45+Расчёты!O45+Расчёты!Q45+Расчёты!S45+Расчёты!U45+Расчёты!W45+Расчёты!X45+BH45+BK45,0)</f>
        <v>0</v>
      </c>
      <c r="BU45">
        <f>IF(AND(D45=1,BR45&gt;=0,BR44&lt;0,MIN($BR$2:BR45)&lt;0),1,0)</f>
        <v>0</v>
      </c>
      <c r="BV45">
        <f>Расчёты!AZ45+K45+N45-P45*N('Исходные данные'!$B$50)</f>
        <v>0</v>
      </c>
      <c r="BW45">
        <f t="shared" si="18"/>
        <v>0</v>
      </c>
      <c r="BX45">
        <f>IF(AND(BW45&gt;=0,BW44&lt;0,MIN($BW$2:BW45)&lt;0),1,0)</f>
        <v>0</v>
      </c>
      <c r="BY45">
        <f>Расчёты!AZ45+AH45+AK45-AM45*N('Исходные данные'!$B$50)</f>
        <v>0</v>
      </c>
      <c r="BZ45">
        <f t="shared" si="19"/>
        <v>0</v>
      </c>
      <c r="CA45">
        <f>IF(AND(BZ45&gt;=0,BZ44&lt;0,MIN($BZ$2:BZ45)&lt;0),1,0)</f>
        <v>0</v>
      </c>
      <c r="CB45">
        <f>Расчёты!AZ45+BE45+BH45-BJ45*N('Исходные данные'!$B$50)</f>
        <v>0</v>
      </c>
      <c r="CC45">
        <f t="shared" si="20"/>
        <v>0</v>
      </c>
      <c r="CD45">
        <f>IF(AND(CC45&gt;=0,CC44&lt;0,MIN($CC$2:CC45)&lt;0),1,0)</f>
        <v>0</v>
      </c>
    </row>
    <row r="46" spans="1:82" x14ac:dyDescent="0.2">
      <c r="A46">
        <f>Расчёты!A46</f>
        <v>45</v>
      </c>
      <c r="B46" t="str">
        <f>Расчёты!B46</f>
        <v/>
      </c>
      <c r="C46" t="str">
        <f>Расчёты!D46</f>
        <v/>
      </c>
      <c r="D46">
        <f>Расчёты!E46</f>
        <v>0</v>
      </c>
      <c r="E46">
        <f>IF(Расчёты!F46=0,0,IF(Расчёты!G46=1,N('Сценарный анализ'!$B$5),IF(Расчёты!G46=2,N('Сценарный анализ'!$B$6),IF(Расчёты!G46=3,N('Сценарный анализ'!$B$7),N('Сценарный анализ'!$B$7)*(1+N('Сценарный анализ'!$B$8))^(Расчёты!G46-3)))))</f>
        <v>0</v>
      </c>
      <c r="F46">
        <f>IF(OR(Расчёты!F46=0,N('Исходные данные'!$B$5)=0,E46=0),0,N('Исходные данные'!$B$5)*E46*IF(AND(B46&lt;='Исходные данные'!$B$30,Расчёты!C46&gt;='Исходные данные'!$B$30),(Расчёты!C46-'Исходные данные'!$B$30+1)/DAY(Расчёты!C46),1))</f>
        <v>0</v>
      </c>
      <c r="G46">
        <f>IF(AND(Расчёты!F46&gt;0,Расчёты!F46&lt;=N('Исходные данные'!$B$37)),-F46,0)</f>
        <v>0</v>
      </c>
      <c r="H46">
        <f>IF(OR(Расчёты!F46=0,Расчёты!F46&lt;=N('Исходные данные'!$B$37)),0,-(F46+G46)*N('Сценарный анализ'!$B$9))</f>
        <v>0</v>
      </c>
      <c r="I46">
        <f t="shared" si="21"/>
        <v>0</v>
      </c>
      <c r="J46">
        <f>IF('Исходные данные'!$B$51="Да",I46*N('Исходные данные'!$B$52),0)</f>
        <v>0</v>
      </c>
      <c r="K46">
        <f t="shared" si="22"/>
        <v>0</v>
      </c>
      <c r="L46">
        <f>I46+(Расчёты!Y46-Расчёты!L46)</f>
        <v>0</v>
      </c>
      <c r="M46">
        <f t="shared" si="33"/>
        <v>0</v>
      </c>
      <c r="N46">
        <f>IF('Исходные данные'!$B$51="Да",-MAX(0,J46+Расчёты!R46+Расчёты!V46-Расчёты!P46-Расчёты!T46-M46),0)</f>
        <v>0</v>
      </c>
      <c r="O46">
        <f>IF('Исходные данные'!$B$51="Да",MAX(0,M46+Расчёты!P46+Расчёты!T46-J46-Расчёты!R46-Расчёты!V46),0)</f>
        <v>0</v>
      </c>
      <c r="P46">
        <f>IF('Исходные данные'!$B$53="Выручка",MAX(0,I46+(Расчёты!Q46-Расчёты!R46)+(Расчёты!U46-Расчёты!V46)),IF('Исходные данные'!$B$53="Прибыль до налога",MAX(0,I46+(Расчёты!Q46-Расчёты!R46)+(Расчёты!U46-Расчёты!V46)+N('Исходные данные'!$B$54)*((Расчёты!O46+Расчёты!P46)+(Расчёты!S46+Расчёты!T46)+Расчёты!W46+Расчёты!X46)+IF('Исходные данные'!$B$55="Да",Расчёты!AG46,0)-N('Исходные данные'!$B$56)/12),IF('Исходные данные'!$B$53="Пользовательская база",MAX(0,N('Исходные данные'!$B$57)/12),0)))</f>
        <v>0</v>
      </c>
      <c r="Q46">
        <f>IF(D46=1,-P46*N('Исходные данные'!$B$50),0)</f>
        <v>0</v>
      </c>
      <c r="R46">
        <f t="shared" si="23"/>
        <v>0</v>
      </c>
      <c r="S46">
        <f>IF(OR(D46&lt;&gt;1,B46="",'Исходные данные'!$B$91="",N('Исходные данные'!$B$80)&lt;=0,'Исходные данные'!$B$88=""),0,IF(AND(YEAR(B46)=YEAR('Исходные данные'!$B$91),MONTH(B46)=MONTH('Исходные данные'!$B$91)),MAX(0,IF('Исходные данные'!$B$88="Последние 12 месяцев",SUMIFS($L$2:$L$194,$B$2:$B$194,"&gt;="&amp;EDATE(B46,-11),$B$2:$B$194,"&lt;="&amp;B46),IF('Исходные данные'!$B$88="Пользовательский NOI",N('Исходные данные'!$B$89),R46))/N('Исходные данные'!$B$80)*(1+N('Исходные данные'!$B$81))),0))</f>
        <v>0</v>
      </c>
      <c r="T46">
        <f>-S46*N('Исходные данные'!$B$73)</f>
        <v>0</v>
      </c>
      <c r="U46">
        <f>IF(S46=0,0,-N('Исходные данные'!$B$87)-IF('Исходные данные'!$B$82="Да",IF('Исходные данные'!$B$84="С выручки",S46,IF('Исходные данные'!$B$84="С прибыли",MAX(0,S46+T46-IF('Исходные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46">
        <f t="shared" si="24"/>
        <v>0</v>
      </c>
      <c r="W46">
        <f>IF(D46=1,Расчёты!AZ46+K46+N46+Q46+V46,0)</f>
        <v>0</v>
      </c>
      <c r="X46" t="str">
        <f t="shared" si="34"/>
        <v/>
      </c>
      <c r="Y46">
        <f>IF(OR(D46=0,'Исходные данные'!$B$9="",'Исходные данные'!$B$90=""),0,W46/(1+'Исходные данные'!$B$90)^((C46-'Исходные данные'!$B$9)/365))</f>
        <v>0</v>
      </c>
      <c r="Z46">
        <f>IF(D46=1,K46+Расчёты!O46+Расчёты!Q46+Расчёты!S46+Расчёты!U46+Расчёты!W46+Расчёты!X46+N46+Q46,0)</f>
        <v>0</v>
      </c>
      <c r="AA46">
        <f>IF(AND(D46=1,X46&gt;=0,X45&lt;0,MIN($X$2:X46)&lt;0),1,0)</f>
        <v>0</v>
      </c>
      <c r="AB46">
        <f>IF(Расчёты!F46=0,0,IF(Расчёты!G46=1,N('Сценарный анализ'!$C$5),IF(Расчёты!G46=2,N('Сценарный анализ'!$C$6),IF(Расчёты!G46=3,N('Сценарный анализ'!$C$7),N('Сценарный анализ'!$C$7)*(1+N('Сценарный анализ'!$C$8))^(Расчёты!G46-3)))))</f>
        <v>0</v>
      </c>
      <c r="AC46">
        <f>IF(OR(Расчёты!F46=0,N('Исходные данные'!$B$5)=0,AB46=0),0,N('Исходные данные'!$B$5)*AB46*IF(AND(B46&lt;='Исходные данные'!$B$30,Расчёты!C46&gt;='Исходные данные'!$B$30),(Расчёты!C46-'Исходные данные'!$B$30+1)/DAY(Расчёты!C46),1))</f>
        <v>0</v>
      </c>
      <c r="AD46">
        <f>IF(AND(Расчёты!F46&gt;0,Расчёты!F46&lt;=N('Исходные данные'!$B$37)),-AC46,0)</f>
        <v>0</v>
      </c>
      <c r="AE46">
        <f>IF(OR(Расчёты!F46=0,Расчёты!F46&lt;=N('Исходные данные'!$B$37)),0,-(AC46+AD46)*N('Сценарный анализ'!$C$9))</f>
        <v>0</v>
      </c>
      <c r="AF46">
        <f t="shared" si="25"/>
        <v>0</v>
      </c>
      <c r="AG46">
        <f>IF('Исходные данные'!$B$51="Да",AF46*N('Исходные данные'!$B$52),0)</f>
        <v>0</v>
      </c>
      <c r="AH46">
        <f t="shared" si="26"/>
        <v>0</v>
      </c>
      <c r="AI46">
        <f>AF46+(Расчёты!Y46-Расчёты!L46)</f>
        <v>0</v>
      </c>
      <c r="AJ46">
        <f t="shared" si="35"/>
        <v>0</v>
      </c>
      <c r="AK46">
        <f>IF('Исходные данные'!$B$51="Да",-MAX(0,AG46+Расчёты!R46+Расчёты!V46-Расчёты!P46-Расчёты!T46-AJ46),0)</f>
        <v>0</v>
      </c>
      <c r="AL46">
        <f>IF('Исходные данные'!$B$51="Да",MAX(0,AJ46+Расчёты!P46+Расчёты!T46-AG46-Расчёты!R46-Расчёты!V46),0)</f>
        <v>0</v>
      </c>
      <c r="AM46">
        <f>IF('Исходные данные'!$B$53="Выручка",MAX(0,AF46+(Расчёты!Q46-Расчёты!R46)+(Расчёты!U46-Расчёты!V46)),IF('Исходные данные'!$B$53="Прибыль до налога",MAX(0,AF46+(Расчёты!Q46-Расчёты!R46)+(Расчёты!U46-Расчёты!V46)+N('Исходные данные'!$B$54)*((Расчёты!O46+Расчёты!P46)+(Расчёты!S46+Расчёты!T46)+Расчёты!W46+Расчёты!X46)+IF('Исходные данные'!$B$55="Да",Расчёты!AG46,0)-N('Исходные данные'!$B$56)/12),IF('Исходные данные'!$B$53="Пользовательская база",MAX(0,N('Исходные данные'!$B$57)/12),0)))</f>
        <v>0</v>
      </c>
      <c r="AN46">
        <f>IF(D46=1,-AM46*N('Исходные данные'!$B$50),0)</f>
        <v>0</v>
      </c>
      <c r="AO46">
        <f t="shared" si="27"/>
        <v>0</v>
      </c>
      <c r="AP46">
        <f>IF(OR(D46&lt;&gt;1,B46="",'Исходные данные'!$B$91="",N('Исходные данные'!$B$80)&lt;=0,'Исходные данные'!$B$88=""),0,IF(AND(YEAR(B46)=YEAR('Исходные данные'!$B$91),MONTH(B46)=MONTH('Исходные данные'!$B$91)),MAX(0,IF('Исходные данные'!$B$88="Последние 12 месяцев",SUMIFS($AI$2:$AI$194,$B$2:$B$194,"&gt;="&amp;EDATE(B46,-11),$B$2:$B$194,"&lt;="&amp;B46),IF('Исходные данные'!$B$88="Пользовательский NOI",N('Исходные данные'!$B$89),AO46))/N('Исходные данные'!$B$80)*(1+N('Исходные данные'!$B$81))),0))</f>
        <v>0</v>
      </c>
      <c r="AQ46">
        <f>-AP46*N('Исходные данные'!$B$73)</f>
        <v>0</v>
      </c>
      <c r="AR46">
        <f>IF(AP46=0,0,-N('Исходные данные'!$B$87)-IF('Исходные данные'!$B$82="Да",IF('Исходные данные'!$B$84="С выручки",AP46,IF('Исходные данные'!$B$84="С прибыли",MAX(0,AP46+AQ46-IF('Исходные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46">
        <f t="shared" si="28"/>
        <v>0</v>
      </c>
      <c r="AT46">
        <f>IF(D46=1,Расчёты!AZ46+AH46+AK46+AN46+AS46,0)</f>
        <v>0</v>
      </c>
      <c r="AU46" t="str">
        <f t="shared" si="36"/>
        <v/>
      </c>
      <c r="AV46">
        <f>IF(OR(D46=0,'Исходные данные'!$B$9="",'Исходные данные'!$B$90=""),0,AT46/(1+'Исходные данные'!$B$90)^((C46-'Исходные данные'!$B$9)/365))</f>
        <v>0</v>
      </c>
      <c r="AW46">
        <f>IF(D46=1,AH46+Расчёты!O46+Расчёты!Q46+Расчёты!S46+Расчёты!U46+Расчёты!W46+Расчёты!X46+AK46+AN46,0)</f>
        <v>0</v>
      </c>
      <c r="AX46">
        <f>IF(AND(D46=1,AU46&gt;=0,AU45&lt;0,MIN($AU$2:AU46)&lt;0),1,0)</f>
        <v>0</v>
      </c>
      <c r="AY46">
        <f>IF(Расчёты!F46=0,0,IF(Расчёты!G46=1,N('Сценарный анализ'!$D$5),IF(Расчёты!G46=2,N('Сценарный анализ'!$D$6),IF(Расчёты!G46=3,N('Сценарный анализ'!$D$7),N('Сценарный анализ'!$D$7)*(1+N('Сценарный анализ'!$D$8))^(Расчёты!G46-3)))))</f>
        <v>0</v>
      </c>
      <c r="AZ46">
        <f>IF(OR(Расчёты!F46=0,N('Исходные данные'!$B$5)=0,AY46=0),0,N('Исходные данные'!$B$5)*AY46*IF(AND(B46&lt;='Исходные данные'!$B$30,Расчёты!C46&gt;='Исходные данные'!$B$30),(Расчёты!C46-'Исходные данные'!$B$30+1)/DAY(Расчёты!C46),1))</f>
        <v>0</v>
      </c>
      <c r="BA46">
        <f>IF(AND(Расчёты!F46&gt;0,Расчёты!F46&lt;=N('Исходные данные'!$B$37)),-AZ46,0)</f>
        <v>0</v>
      </c>
      <c r="BB46">
        <f>IF(OR(Расчёты!F46=0,Расчёты!F46&lt;=N('Исходные данные'!$B$37)),0,-(AZ46+BA46)*N('Сценарный анализ'!$D$9))</f>
        <v>0</v>
      </c>
      <c r="BC46">
        <f t="shared" si="29"/>
        <v>0</v>
      </c>
      <c r="BD46">
        <f>IF('Исходные данные'!$B$51="Да",BC46*N('Исходные данные'!$B$52),0)</f>
        <v>0</v>
      </c>
      <c r="BE46">
        <f t="shared" si="30"/>
        <v>0</v>
      </c>
      <c r="BF46">
        <f>BC46+(Расчёты!Y46-Расчёты!L46)</f>
        <v>0</v>
      </c>
      <c r="BG46">
        <f t="shared" si="37"/>
        <v>0</v>
      </c>
      <c r="BH46">
        <f>IF('Исходные данные'!$B$51="Да",-MAX(0,BD46+Расчёты!R46+Расчёты!V46-Расчёты!P46-Расчёты!T46-BG46),0)</f>
        <v>0</v>
      </c>
      <c r="BI46">
        <f>IF('Исходные данные'!$B$51="Да",MAX(0,BG46+Расчёты!P46+Расчёты!T46-BD46-Расчёты!R46-Расчёты!V46),0)</f>
        <v>0</v>
      </c>
      <c r="BJ46">
        <f>IF('Исходные данные'!$B$53="Выручка",MAX(0,BC46+(Расчёты!Q46-Расчёты!R46)+(Расчёты!U46-Расчёты!V46)),IF('Исходные данные'!$B$53="Прибыль до налога",MAX(0,BC46+(Расчёты!Q46-Расчёты!R46)+(Расчёты!U46-Расчёты!V46)+N('Исходные данные'!$B$54)*((Расчёты!O46+Расчёты!P46)+(Расчёты!S46+Расчёты!T46)+Расчёты!W46+Расчёты!X46)+IF('Исходные данные'!$B$55="Да",Расчёты!AG46,0)-N('Исходные данные'!$B$56)/12),IF('Исходные данные'!$B$53="Пользовательская база",MAX(0,N('Исходные данные'!$B$57)/12),0)))</f>
        <v>0</v>
      </c>
      <c r="BK46">
        <f>IF(D46=1,-BJ46*N('Исходные данные'!$B$50),0)</f>
        <v>0</v>
      </c>
      <c r="BL46">
        <f t="shared" si="31"/>
        <v>0</v>
      </c>
      <c r="BM46">
        <f>IF(OR(D46&lt;&gt;1,B46="",'Исходные данные'!$B$91="",N('Исходные данные'!$B$80)&lt;=0,'Исходные данные'!$B$88=""),0,IF(AND(YEAR(B46)=YEAR('Исходные данные'!$B$91),MONTH(B46)=MONTH('Исходные данные'!$B$91)),MAX(0,IF('Исходные данные'!$B$88="Последние 12 месяцев",SUMIFS($BF$2:$BF$194,$B$2:$B$194,"&gt;="&amp;EDATE(B46,-11),$B$2:$B$194,"&lt;="&amp;B46),IF('Исходные данные'!$B$88="Пользовательский NOI",N('Исходные данные'!$B$89),BL46))/N('Исходные данные'!$B$80)*(1+N('Исходные данные'!$B$81))),0))</f>
        <v>0</v>
      </c>
      <c r="BN46">
        <f>-BM46*N('Исходные данные'!$B$73)</f>
        <v>0</v>
      </c>
      <c r="BO46">
        <f>IF(BM46=0,0,-N('Исходные данные'!$B$87)-IF('Исходные данные'!$B$82="Да",IF('Исходные данные'!$B$84="С выручки",BM46,IF('Исходные данные'!$B$84="С прибыли",MAX(0,BM46+BN46-IF('Исходные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46">
        <f t="shared" si="32"/>
        <v>0</v>
      </c>
      <c r="BQ46">
        <f>IF(D46=1,Расчёты!AZ46+BE46+BH46+BK46+BP46,0)</f>
        <v>0</v>
      </c>
      <c r="BR46" t="str">
        <f t="shared" si="38"/>
        <v/>
      </c>
      <c r="BS46">
        <f>IF(OR(D46=0,'Исходные данные'!$B$9="",'Исходные данные'!$B$90=""),0,BQ46/(1+'Исходные данные'!$B$90)^((C46-'Исходные данные'!$B$9)/365))</f>
        <v>0</v>
      </c>
      <c r="BT46">
        <f>IF(D46=1,BE46+Расчёты!O46+Расчёты!Q46+Расчёты!S46+Расчёты!U46+Расчёты!W46+Расчёты!X46+BH46+BK46,0)</f>
        <v>0</v>
      </c>
      <c r="BU46">
        <f>IF(AND(D46=1,BR46&gt;=0,BR45&lt;0,MIN($BR$2:BR46)&lt;0),1,0)</f>
        <v>0</v>
      </c>
      <c r="BV46">
        <f>Расчёты!AZ46+K46+N46-P46*N('Исходные данные'!$B$50)</f>
        <v>0</v>
      </c>
      <c r="BW46">
        <f t="shared" si="18"/>
        <v>0</v>
      </c>
      <c r="BX46">
        <f>IF(AND(BW46&gt;=0,BW45&lt;0,MIN($BW$2:BW46)&lt;0),1,0)</f>
        <v>0</v>
      </c>
      <c r="BY46">
        <f>Расчёты!AZ46+AH46+AK46-AM46*N('Исходные данные'!$B$50)</f>
        <v>0</v>
      </c>
      <c r="BZ46">
        <f t="shared" si="19"/>
        <v>0</v>
      </c>
      <c r="CA46">
        <f>IF(AND(BZ46&gt;=0,BZ45&lt;0,MIN($BZ$2:BZ46)&lt;0),1,0)</f>
        <v>0</v>
      </c>
      <c r="CB46">
        <f>Расчёты!AZ46+BE46+BH46-BJ46*N('Исходные данные'!$B$50)</f>
        <v>0</v>
      </c>
      <c r="CC46">
        <f t="shared" si="20"/>
        <v>0</v>
      </c>
      <c r="CD46">
        <f>IF(AND(CC46&gt;=0,CC45&lt;0,MIN($CC$2:CC46)&lt;0),1,0)</f>
        <v>0</v>
      </c>
    </row>
    <row r="47" spans="1:82" x14ac:dyDescent="0.2">
      <c r="A47">
        <f>Расчёты!A47</f>
        <v>46</v>
      </c>
      <c r="B47" t="str">
        <f>Расчёты!B47</f>
        <v/>
      </c>
      <c r="C47" t="str">
        <f>Расчёты!D47</f>
        <v/>
      </c>
      <c r="D47">
        <f>Расчёты!E47</f>
        <v>0</v>
      </c>
      <c r="E47">
        <f>IF(Расчёты!F47=0,0,IF(Расчёты!G47=1,N('Сценарный анализ'!$B$5),IF(Расчёты!G47=2,N('Сценарный анализ'!$B$6),IF(Расчёты!G47=3,N('Сценарный анализ'!$B$7),N('Сценарный анализ'!$B$7)*(1+N('Сценарный анализ'!$B$8))^(Расчёты!G47-3)))))</f>
        <v>0</v>
      </c>
      <c r="F47">
        <f>IF(OR(Расчёты!F47=0,N('Исходные данные'!$B$5)=0,E47=0),0,N('Исходные данные'!$B$5)*E47*IF(AND(B47&lt;='Исходные данные'!$B$30,Расчёты!C47&gt;='Исходные данные'!$B$30),(Расчёты!C47-'Исходные данные'!$B$30+1)/DAY(Расчёты!C47),1))</f>
        <v>0</v>
      </c>
      <c r="G47">
        <f>IF(AND(Расчёты!F47&gt;0,Расчёты!F47&lt;=N('Исходные данные'!$B$37)),-F47,0)</f>
        <v>0</v>
      </c>
      <c r="H47">
        <f>IF(OR(Расчёты!F47=0,Расчёты!F47&lt;=N('Исходные данные'!$B$37)),0,-(F47+G47)*N('Сценарный анализ'!$B$9))</f>
        <v>0</v>
      </c>
      <c r="I47">
        <f t="shared" si="21"/>
        <v>0</v>
      </c>
      <c r="J47">
        <f>IF('Исходные данные'!$B$51="Да",I47*N('Исходные данные'!$B$52),0)</f>
        <v>0</v>
      </c>
      <c r="K47">
        <f t="shared" si="22"/>
        <v>0</v>
      </c>
      <c r="L47">
        <f>I47+(Расчёты!Y47-Расчёты!L47)</f>
        <v>0</v>
      </c>
      <c r="M47">
        <f t="shared" si="33"/>
        <v>0</v>
      </c>
      <c r="N47">
        <f>IF('Исходные данные'!$B$51="Да",-MAX(0,J47+Расчёты!R47+Расчёты!V47-Расчёты!P47-Расчёты!T47-M47),0)</f>
        <v>0</v>
      </c>
      <c r="O47">
        <f>IF('Исходные данные'!$B$51="Да",MAX(0,M47+Расчёты!P47+Расчёты!T47-J47-Расчёты!R47-Расчёты!V47),0)</f>
        <v>0</v>
      </c>
      <c r="P47">
        <f>IF('Исходные данные'!$B$53="Выручка",MAX(0,I47+(Расчёты!Q47-Расчёты!R47)+(Расчёты!U47-Расчёты!V47)),IF('Исходные данные'!$B$53="Прибыль до налога",MAX(0,I47+(Расчёты!Q47-Расчёты!R47)+(Расчёты!U47-Расчёты!V47)+N('Исходные данные'!$B$54)*((Расчёты!O47+Расчёты!P47)+(Расчёты!S47+Расчёты!T47)+Расчёты!W47+Расчёты!X47)+IF('Исходные данные'!$B$55="Да",Расчёты!AG47,0)-N('Исходные данные'!$B$56)/12),IF('Исходные данные'!$B$53="Пользовательская база",MAX(0,N('Исходные данные'!$B$57)/12),0)))</f>
        <v>0</v>
      </c>
      <c r="Q47">
        <f>IF(D47=1,-P47*N('Исходные данные'!$B$50),0)</f>
        <v>0</v>
      </c>
      <c r="R47">
        <f t="shared" si="23"/>
        <v>0</v>
      </c>
      <c r="S47">
        <f>IF(OR(D47&lt;&gt;1,B47="",'Исходные данные'!$B$91="",N('Исходные данные'!$B$80)&lt;=0,'Исходные данные'!$B$88=""),0,IF(AND(YEAR(B47)=YEAR('Исходные данные'!$B$91),MONTH(B47)=MONTH('Исходные данные'!$B$91)),MAX(0,IF('Исходные данные'!$B$88="Последние 12 месяцев",SUMIFS($L$2:$L$194,$B$2:$B$194,"&gt;="&amp;EDATE(B47,-11),$B$2:$B$194,"&lt;="&amp;B47),IF('Исходные данные'!$B$88="Пользовательский NOI",N('Исходные данные'!$B$89),R47))/N('Исходные данные'!$B$80)*(1+N('Исходные данные'!$B$81))),0))</f>
        <v>0</v>
      </c>
      <c r="T47">
        <f>-S47*N('Исходные данные'!$B$73)</f>
        <v>0</v>
      </c>
      <c r="U47">
        <f>IF(S47=0,0,-N('Исходные данные'!$B$87)-IF('Исходные данные'!$B$82="Да",IF('Исходные данные'!$B$84="С выручки",S47,IF('Исходные данные'!$B$84="С прибыли",MAX(0,S47+T47-IF('Исходные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47">
        <f t="shared" si="24"/>
        <v>0</v>
      </c>
      <c r="W47">
        <f>IF(D47=1,Расчёты!AZ47+K47+N47+Q47+V47,0)</f>
        <v>0</v>
      </c>
      <c r="X47" t="str">
        <f t="shared" si="34"/>
        <v/>
      </c>
      <c r="Y47">
        <f>IF(OR(D47=0,'Исходные данные'!$B$9="",'Исходные данные'!$B$90=""),0,W47/(1+'Исходные данные'!$B$90)^((C47-'Исходные данные'!$B$9)/365))</f>
        <v>0</v>
      </c>
      <c r="Z47">
        <f>IF(D47=1,K47+Расчёты!O47+Расчёты!Q47+Расчёты!S47+Расчёты!U47+Расчёты!W47+Расчёты!X47+N47+Q47,0)</f>
        <v>0</v>
      </c>
      <c r="AA47">
        <f>IF(AND(D47=1,X47&gt;=0,X46&lt;0,MIN($X$2:X47)&lt;0),1,0)</f>
        <v>0</v>
      </c>
      <c r="AB47">
        <f>IF(Расчёты!F47=0,0,IF(Расчёты!G47=1,N('Сценарный анализ'!$C$5),IF(Расчёты!G47=2,N('Сценарный анализ'!$C$6),IF(Расчёты!G47=3,N('Сценарный анализ'!$C$7),N('Сценарный анализ'!$C$7)*(1+N('Сценарный анализ'!$C$8))^(Расчёты!G47-3)))))</f>
        <v>0</v>
      </c>
      <c r="AC47">
        <f>IF(OR(Расчёты!F47=0,N('Исходные данные'!$B$5)=0,AB47=0),0,N('Исходные данные'!$B$5)*AB47*IF(AND(B47&lt;='Исходные данные'!$B$30,Расчёты!C47&gt;='Исходные данные'!$B$30),(Расчёты!C47-'Исходные данные'!$B$30+1)/DAY(Расчёты!C47),1))</f>
        <v>0</v>
      </c>
      <c r="AD47">
        <f>IF(AND(Расчёты!F47&gt;0,Расчёты!F47&lt;=N('Исходные данные'!$B$37)),-AC47,0)</f>
        <v>0</v>
      </c>
      <c r="AE47">
        <f>IF(OR(Расчёты!F47=0,Расчёты!F47&lt;=N('Исходные данные'!$B$37)),0,-(AC47+AD47)*N('Сценарный анализ'!$C$9))</f>
        <v>0</v>
      </c>
      <c r="AF47">
        <f t="shared" si="25"/>
        <v>0</v>
      </c>
      <c r="AG47">
        <f>IF('Исходные данные'!$B$51="Да",AF47*N('Исходные данные'!$B$52),0)</f>
        <v>0</v>
      </c>
      <c r="AH47">
        <f t="shared" si="26"/>
        <v>0</v>
      </c>
      <c r="AI47">
        <f>AF47+(Расчёты!Y47-Расчёты!L47)</f>
        <v>0</v>
      </c>
      <c r="AJ47">
        <f t="shared" si="35"/>
        <v>0</v>
      </c>
      <c r="AK47">
        <f>IF('Исходные данные'!$B$51="Да",-MAX(0,AG47+Расчёты!R47+Расчёты!V47-Расчёты!P47-Расчёты!T47-AJ47),0)</f>
        <v>0</v>
      </c>
      <c r="AL47">
        <f>IF('Исходные данные'!$B$51="Да",MAX(0,AJ47+Расчёты!P47+Расчёты!T47-AG47-Расчёты!R47-Расчёты!V47),0)</f>
        <v>0</v>
      </c>
      <c r="AM47">
        <f>IF('Исходные данные'!$B$53="Выручка",MAX(0,AF47+(Расчёты!Q47-Расчёты!R47)+(Расчёты!U47-Расчёты!V47)),IF('Исходные данные'!$B$53="Прибыль до налога",MAX(0,AF47+(Расчёты!Q47-Расчёты!R47)+(Расчёты!U47-Расчёты!V47)+N('Исходные данные'!$B$54)*((Расчёты!O47+Расчёты!P47)+(Расчёты!S47+Расчёты!T47)+Расчёты!W47+Расчёты!X47)+IF('Исходные данные'!$B$55="Да",Расчёты!AG47,0)-N('Исходные данные'!$B$56)/12),IF('Исходные данные'!$B$53="Пользовательская база",MAX(0,N('Исходные данные'!$B$57)/12),0)))</f>
        <v>0</v>
      </c>
      <c r="AN47">
        <f>IF(D47=1,-AM47*N('Исходные данные'!$B$50),0)</f>
        <v>0</v>
      </c>
      <c r="AO47">
        <f t="shared" si="27"/>
        <v>0</v>
      </c>
      <c r="AP47">
        <f>IF(OR(D47&lt;&gt;1,B47="",'Исходные данные'!$B$91="",N('Исходные данные'!$B$80)&lt;=0,'Исходные данные'!$B$88=""),0,IF(AND(YEAR(B47)=YEAR('Исходные данные'!$B$91),MONTH(B47)=MONTH('Исходные данные'!$B$91)),MAX(0,IF('Исходные данные'!$B$88="Последние 12 месяцев",SUMIFS($AI$2:$AI$194,$B$2:$B$194,"&gt;="&amp;EDATE(B47,-11),$B$2:$B$194,"&lt;="&amp;B47),IF('Исходные данные'!$B$88="Пользовательский NOI",N('Исходные данные'!$B$89),AO47))/N('Исходные данные'!$B$80)*(1+N('Исходные данные'!$B$81))),0))</f>
        <v>0</v>
      </c>
      <c r="AQ47">
        <f>-AP47*N('Исходные данные'!$B$73)</f>
        <v>0</v>
      </c>
      <c r="AR47">
        <f>IF(AP47=0,0,-N('Исходные данные'!$B$87)-IF('Исходные данные'!$B$82="Да",IF('Исходные данные'!$B$84="С выручки",AP47,IF('Исходные данные'!$B$84="С прибыли",MAX(0,AP47+AQ47-IF('Исходные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47">
        <f t="shared" si="28"/>
        <v>0</v>
      </c>
      <c r="AT47">
        <f>IF(D47=1,Расчёты!AZ47+AH47+AK47+AN47+AS47,0)</f>
        <v>0</v>
      </c>
      <c r="AU47" t="str">
        <f t="shared" si="36"/>
        <v/>
      </c>
      <c r="AV47">
        <f>IF(OR(D47=0,'Исходные данные'!$B$9="",'Исходные данные'!$B$90=""),0,AT47/(1+'Исходные данные'!$B$90)^((C47-'Исходные данные'!$B$9)/365))</f>
        <v>0</v>
      </c>
      <c r="AW47">
        <f>IF(D47=1,AH47+Расчёты!O47+Расчёты!Q47+Расчёты!S47+Расчёты!U47+Расчёты!W47+Расчёты!X47+AK47+AN47,0)</f>
        <v>0</v>
      </c>
      <c r="AX47">
        <f>IF(AND(D47=1,AU47&gt;=0,AU46&lt;0,MIN($AU$2:AU47)&lt;0),1,0)</f>
        <v>0</v>
      </c>
      <c r="AY47">
        <f>IF(Расчёты!F47=0,0,IF(Расчёты!G47=1,N('Сценарный анализ'!$D$5),IF(Расчёты!G47=2,N('Сценарный анализ'!$D$6),IF(Расчёты!G47=3,N('Сценарный анализ'!$D$7),N('Сценарный анализ'!$D$7)*(1+N('Сценарный анализ'!$D$8))^(Расчёты!G47-3)))))</f>
        <v>0</v>
      </c>
      <c r="AZ47">
        <f>IF(OR(Расчёты!F47=0,N('Исходные данные'!$B$5)=0,AY47=0),0,N('Исходные данные'!$B$5)*AY47*IF(AND(B47&lt;='Исходные данные'!$B$30,Расчёты!C47&gt;='Исходные данные'!$B$30),(Расчёты!C47-'Исходные данные'!$B$30+1)/DAY(Расчёты!C47),1))</f>
        <v>0</v>
      </c>
      <c r="BA47">
        <f>IF(AND(Расчёты!F47&gt;0,Расчёты!F47&lt;=N('Исходные данные'!$B$37)),-AZ47,0)</f>
        <v>0</v>
      </c>
      <c r="BB47">
        <f>IF(OR(Расчёты!F47=0,Расчёты!F47&lt;=N('Исходные данные'!$B$37)),0,-(AZ47+BA47)*N('Сценарный анализ'!$D$9))</f>
        <v>0</v>
      </c>
      <c r="BC47">
        <f t="shared" si="29"/>
        <v>0</v>
      </c>
      <c r="BD47">
        <f>IF('Исходные данные'!$B$51="Да",BC47*N('Исходные данные'!$B$52),0)</f>
        <v>0</v>
      </c>
      <c r="BE47">
        <f t="shared" si="30"/>
        <v>0</v>
      </c>
      <c r="BF47">
        <f>BC47+(Расчёты!Y47-Расчёты!L47)</f>
        <v>0</v>
      </c>
      <c r="BG47">
        <f t="shared" si="37"/>
        <v>0</v>
      </c>
      <c r="BH47">
        <f>IF('Исходные данные'!$B$51="Да",-MAX(0,BD47+Расчёты!R47+Расчёты!V47-Расчёты!P47-Расчёты!T47-BG47),0)</f>
        <v>0</v>
      </c>
      <c r="BI47">
        <f>IF('Исходные данные'!$B$51="Да",MAX(0,BG47+Расчёты!P47+Расчёты!T47-BD47-Расчёты!R47-Расчёты!V47),0)</f>
        <v>0</v>
      </c>
      <c r="BJ47">
        <f>IF('Исходные данные'!$B$53="Выручка",MAX(0,BC47+(Расчёты!Q47-Расчёты!R47)+(Расчёты!U47-Расчёты!V47)),IF('Исходные данные'!$B$53="Прибыль до налога",MAX(0,BC47+(Расчёты!Q47-Расчёты!R47)+(Расчёты!U47-Расчёты!V47)+N('Исходные данные'!$B$54)*((Расчёты!O47+Расчёты!P47)+(Расчёты!S47+Расчёты!T47)+Расчёты!W47+Расчёты!X47)+IF('Исходные данные'!$B$55="Да",Расчёты!AG47,0)-N('Исходные данные'!$B$56)/12),IF('Исходные данные'!$B$53="Пользовательская база",MAX(0,N('Исходные данные'!$B$57)/12),0)))</f>
        <v>0</v>
      </c>
      <c r="BK47">
        <f>IF(D47=1,-BJ47*N('Исходные данные'!$B$50),0)</f>
        <v>0</v>
      </c>
      <c r="BL47">
        <f t="shared" si="31"/>
        <v>0</v>
      </c>
      <c r="BM47">
        <f>IF(OR(D47&lt;&gt;1,B47="",'Исходные данные'!$B$91="",N('Исходные данные'!$B$80)&lt;=0,'Исходные данные'!$B$88=""),0,IF(AND(YEAR(B47)=YEAR('Исходные данные'!$B$91),MONTH(B47)=MONTH('Исходные данные'!$B$91)),MAX(0,IF('Исходные данные'!$B$88="Последние 12 месяцев",SUMIFS($BF$2:$BF$194,$B$2:$B$194,"&gt;="&amp;EDATE(B47,-11),$B$2:$B$194,"&lt;="&amp;B47),IF('Исходные данные'!$B$88="Пользовательский NOI",N('Исходные данные'!$B$89),BL47))/N('Исходные данные'!$B$80)*(1+N('Исходные данные'!$B$81))),0))</f>
        <v>0</v>
      </c>
      <c r="BN47">
        <f>-BM47*N('Исходные данные'!$B$73)</f>
        <v>0</v>
      </c>
      <c r="BO47">
        <f>IF(BM47=0,0,-N('Исходные данные'!$B$87)-IF('Исходные данные'!$B$82="Да",IF('Исходные данные'!$B$84="С выручки",BM47,IF('Исходные данные'!$B$84="С прибыли",MAX(0,BM47+BN47-IF('Исходные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47">
        <f t="shared" si="32"/>
        <v>0</v>
      </c>
      <c r="BQ47">
        <f>IF(D47=1,Расчёты!AZ47+BE47+BH47+BK47+BP47,0)</f>
        <v>0</v>
      </c>
      <c r="BR47" t="str">
        <f t="shared" si="38"/>
        <v/>
      </c>
      <c r="BS47">
        <f>IF(OR(D47=0,'Исходные данные'!$B$9="",'Исходные данные'!$B$90=""),0,BQ47/(1+'Исходные данные'!$B$90)^((C47-'Исходные данные'!$B$9)/365))</f>
        <v>0</v>
      </c>
      <c r="BT47">
        <f>IF(D47=1,BE47+Расчёты!O47+Расчёты!Q47+Расчёты!S47+Расчёты!U47+Расчёты!W47+Расчёты!X47+BH47+BK47,0)</f>
        <v>0</v>
      </c>
      <c r="BU47">
        <f>IF(AND(D47=1,BR47&gt;=0,BR46&lt;0,MIN($BR$2:BR47)&lt;0),1,0)</f>
        <v>0</v>
      </c>
      <c r="BV47">
        <f>Расчёты!AZ47+K47+N47-P47*N('Исходные данные'!$B$50)</f>
        <v>0</v>
      </c>
      <c r="BW47">
        <f t="shared" si="18"/>
        <v>0</v>
      </c>
      <c r="BX47">
        <f>IF(AND(BW47&gt;=0,BW46&lt;0,MIN($BW$2:BW47)&lt;0),1,0)</f>
        <v>0</v>
      </c>
      <c r="BY47">
        <f>Расчёты!AZ47+AH47+AK47-AM47*N('Исходные данные'!$B$50)</f>
        <v>0</v>
      </c>
      <c r="BZ47">
        <f t="shared" si="19"/>
        <v>0</v>
      </c>
      <c r="CA47">
        <f>IF(AND(BZ47&gt;=0,BZ46&lt;0,MIN($BZ$2:BZ47)&lt;0),1,0)</f>
        <v>0</v>
      </c>
      <c r="CB47">
        <f>Расчёты!AZ47+BE47+BH47-BJ47*N('Исходные данные'!$B$50)</f>
        <v>0</v>
      </c>
      <c r="CC47">
        <f t="shared" si="20"/>
        <v>0</v>
      </c>
      <c r="CD47">
        <f>IF(AND(CC47&gt;=0,CC46&lt;0,MIN($CC$2:CC47)&lt;0),1,0)</f>
        <v>0</v>
      </c>
    </row>
    <row r="48" spans="1:82" x14ac:dyDescent="0.2">
      <c r="A48">
        <f>Расчёты!A48</f>
        <v>47</v>
      </c>
      <c r="B48" t="str">
        <f>Расчёты!B48</f>
        <v/>
      </c>
      <c r="C48" t="str">
        <f>Расчёты!D48</f>
        <v/>
      </c>
      <c r="D48">
        <f>Расчёты!E48</f>
        <v>0</v>
      </c>
      <c r="E48">
        <f>IF(Расчёты!F48=0,0,IF(Расчёты!G48=1,N('Сценарный анализ'!$B$5),IF(Расчёты!G48=2,N('Сценарный анализ'!$B$6),IF(Расчёты!G48=3,N('Сценарный анализ'!$B$7),N('Сценарный анализ'!$B$7)*(1+N('Сценарный анализ'!$B$8))^(Расчёты!G48-3)))))</f>
        <v>0</v>
      </c>
      <c r="F48">
        <f>IF(OR(Расчёты!F48=0,N('Исходные данные'!$B$5)=0,E48=0),0,N('Исходные данные'!$B$5)*E48*IF(AND(B48&lt;='Исходные данные'!$B$30,Расчёты!C48&gt;='Исходные данные'!$B$30),(Расчёты!C48-'Исходные данные'!$B$30+1)/DAY(Расчёты!C48),1))</f>
        <v>0</v>
      </c>
      <c r="G48">
        <f>IF(AND(Расчёты!F48&gt;0,Расчёты!F48&lt;=N('Исходные данные'!$B$37)),-F48,0)</f>
        <v>0</v>
      </c>
      <c r="H48">
        <f>IF(OR(Расчёты!F48=0,Расчёты!F48&lt;=N('Исходные данные'!$B$37)),0,-(F48+G48)*N('Сценарный анализ'!$B$9))</f>
        <v>0</v>
      </c>
      <c r="I48">
        <f t="shared" si="21"/>
        <v>0</v>
      </c>
      <c r="J48">
        <f>IF('Исходные данные'!$B$51="Да",I48*N('Исходные данные'!$B$52),0)</f>
        <v>0</v>
      </c>
      <c r="K48">
        <f t="shared" si="22"/>
        <v>0</v>
      </c>
      <c r="L48">
        <f>I48+(Расчёты!Y48-Расчёты!L48)</f>
        <v>0</v>
      </c>
      <c r="M48">
        <f t="shared" si="33"/>
        <v>0</v>
      </c>
      <c r="N48">
        <f>IF('Исходные данные'!$B$51="Да",-MAX(0,J48+Расчёты!R48+Расчёты!V48-Расчёты!P48-Расчёты!T48-M48),0)</f>
        <v>0</v>
      </c>
      <c r="O48">
        <f>IF('Исходные данные'!$B$51="Да",MAX(0,M48+Расчёты!P48+Расчёты!T48-J48-Расчёты!R48-Расчёты!V48),0)</f>
        <v>0</v>
      </c>
      <c r="P48">
        <f>IF('Исходные данные'!$B$53="Выручка",MAX(0,I48+(Расчёты!Q48-Расчёты!R48)+(Расчёты!U48-Расчёты!V48)),IF('Исходные данные'!$B$53="Прибыль до налога",MAX(0,I48+(Расчёты!Q48-Расчёты!R48)+(Расчёты!U48-Расчёты!V48)+N('Исходные данные'!$B$54)*((Расчёты!O48+Расчёты!P48)+(Расчёты!S48+Расчёты!T48)+Расчёты!W48+Расчёты!X48)+IF('Исходные данные'!$B$55="Да",Расчёты!AG48,0)-N('Исходные данные'!$B$56)/12),IF('Исходные данные'!$B$53="Пользовательская база",MAX(0,N('Исходные данные'!$B$57)/12),0)))</f>
        <v>0</v>
      </c>
      <c r="Q48">
        <f>IF(D48=1,-P48*N('Исходные данные'!$B$50),0)</f>
        <v>0</v>
      </c>
      <c r="R48">
        <f t="shared" si="23"/>
        <v>0</v>
      </c>
      <c r="S48">
        <f>IF(OR(D48&lt;&gt;1,B48="",'Исходные данные'!$B$91="",N('Исходные данные'!$B$80)&lt;=0,'Исходные данные'!$B$88=""),0,IF(AND(YEAR(B48)=YEAR('Исходные данные'!$B$91),MONTH(B48)=MONTH('Исходные данные'!$B$91)),MAX(0,IF('Исходные данные'!$B$88="Последние 12 месяцев",SUMIFS($L$2:$L$194,$B$2:$B$194,"&gt;="&amp;EDATE(B48,-11),$B$2:$B$194,"&lt;="&amp;B48),IF('Исходные данные'!$B$88="Пользовательский NOI",N('Исходные данные'!$B$89),R48))/N('Исходные данные'!$B$80)*(1+N('Исходные данные'!$B$81))),0))</f>
        <v>0</v>
      </c>
      <c r="T48">
        <f>-S48*N('Исходные данные'!$B$73)</f>
        <v>0</v>
      </c>
      <c r="U48">
        <f>IF(S48=0,0,-N('Исходные данные'!$B$87)-IF('Исходные данные'!$B$82="Да",IF('Исходные данные'!$B$84="С выручки",S48,IF('Исходные данные'!$B$84="С прибыли",MAX(0,S48+T48-IF('Исходные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48">
        <f t="shared" si="24"/>
        <v>0</v>
      </c>
      <c r="W48">
        <f>IF(D48=1,Расчёты!AZ48+K48+N48+Q48+V48,0)</f>
        <v>0</v>
      </c>
      <c r="X48" t="str">
        <f t="shared" si="34"/>
        <v/>
      </c>
      <c r="Y48">
        <f>IF(OR(D48=0,'Исходные данные'!$B$9="",'Исходные данные'!$B$90=""),0,W48/(1+'Исходные данные'!$B$90)^((C48-'Исходные данные'!$B$9)/365))</f>
        <v>0</v>
      </c>
      <c r="Z48">
        <f>IF(D48=1,K48+Расчёты!O48+Расчёты!Q48+Расчёты!S48+Расчёты!U48+Расчёты!W48+Расчёты!X48+N48+Q48,0)</f>
        <v>0</v>
      </c>
      <c r="AA48">
        <f>IF(AND(D48=1,X48&gt;=0,X47&lt;0,MIN($X$2:X48)&lt;0),1,0)</f>
        <v>0</v>
      </c>
      <c r="AB48">
        <f>IF(Расчёты!F48=0,0,IF(Расчёты!G48=1,N('Сценарный анализ'!$C$5),IF(Расчёты!G48=2,N('Сценарный анализ'!$C$6),IF(Расчёты!G48=3,N('Сценарный анализ'!$C$7),N('Сценарный анализ'!$C$7)*(1+N('Сценарный анализ'!$C$8))^(Расчёты!G48-3)))))</f>
        <v>0</v>
      </c>
      <c r="AC48">
        <f>IF(OR(Расчёты!F48=0,N('Исходные данные'!$B$5)=0,AB48=0),0,N('Исходные данные'!$B$5)*AB48*IF(AND(B48&lt;='Исходные данные'!$B$30,Расчёты!C48&gt;='Исходные данные'!$B$30),(Расчёты!C48-'Исходные данные'!$B$30+1)/DAY(Расчёты!C48),1))</f>
        <v>0</v>
      </c>
      <c r="AD48">
        <f>IF(AND(Расчёты!F48&gt;0,Расчёты!F48&lt;=N('Исходные данные'!$B$37)),-AC48,0)</f>
        <v>0</v>
      </c>
      <c r="AE48">
        <f>IF(OR(Расчёты!F48=0,Расчёты!F48&lt;=N('Исходные данные'!$B$37)),0,-(AC48+AD48)*N('Сценарный анализ'!$C$9))</f>
        <v>0</v>
      </c>
      <c r="AF48">
        <f t="shared" si="25"/>
        <v>0</v>
      </c>
      <c r="AG48">
        <f>IF('Исходные данные'!$B$51="Да",AF48*N('Исходные данные'!$B$52),0)</f>
        <v>0</v>
      </c>
      <c r="AH48">
        <f t="shared" si="26"/>
        <v>0</v>
      </c>
      <c r="AI48">
        <f>AF48+(Расчёты!Y48-Расчёты!L48)</f>
        <v>0</v>
      </c>
      <c r="AJ48">
        <f t="shared" si="35"/>
        <v>0</v>
      </c>
      <c r="AK48">
        <f>IF('Исходные данные'!$B$51="Да",-MAX(0,AG48+Расчёты!R48+Расчёты!V48-Расчёты!P48-Расчёты!T48-AJ48),0)</f>
        <v>0</v>
      </c>
      <c r="AL48">
        <f>IF('Исходные данные'!$B$51="Да",MAX(0,AJ48+Расчёты!P48+Расчёты!T48-AG48-Расчёты!R48-Расчёты!V48),0)</f>
        <v>0</v>
      </c>
      <c r="AM48">
        <f>IF('Исходные данные'!$B$53="Выручка",MAX(0,AF48+(Расчёты!Q48-Расчёты!R48)+(Расчёты!U48-Расчёты!V48)),IF('Исходные данные'!$B$53="Прибыль до налога",MAX(0,AF48+(Расчёты!Q48-Расчёты!R48)+(Расчёты!U48-Расчёты!V48)+N('Исходные данные'!$B$54)*((Расчёты!O48+Расчёты!P48)+(Расчёты!S48+Расчёты!T48)+Расчёты!W48+Расчёты!X48)+IF('Исходные данные'!$B$55="Да",Расчёты!AG48,0)-N('Исходные данные'!$B$56)/12),IF('Исходные данные'!$B$53="Пользовательская база",MAX(0,N('Исходные данные'!$B$57)/12),0)))</f>
        <v>0</v>
      </c>
      <c r="AN48">
        <f>IF(D48=1,-AM48*N('Исходные данные'!$B$50),0)</f>
        <v>0</v>
      </c>
      <c r="AO48">
        <f t="shared" si="27"/>
        <v>0</v>
      </c>
      <c r="AP48">
        <f>IF(OR(D48&lt;&gt;1,B48="",'Исходные данные'!$B$91="",N('Исходные данные'!$B$80)&lt;=0,'Исходные данные'!$B$88=""),0,IF(AND(YEAR(B48)=YEAR('Исходные данные'!$B$91),MONTH(B48)=MONTH('Исходные данные'!$B$91)),MAX(0,IF('Исходные данные'!$B$88="Последние 12 месяцев",SUMIFS($AI$2:$AI$194,$B$2:$B$194,"&gt;="&amp;EDATE(B48,-11),$B$2:$B$194,"&lt;="&amp;B48),IF('Исходные данные'!$B$88="Пользовательский NOI",N('Исходные данные'!$B$89),AO48))/N('Исходные данные'!$B$80)*(1+N('Исходные данные'!$B$81))),0))</f>
        <v>0</v>
      </c>
      <c r="AQ48">
        <f>-AP48*N('Исходные данные'!$B$73)</f>
        <v>0</v>
      </c>
      <c r="AR48">
        <f>IF(AP48=0,0,-N('Исходные данные'!$B$87)-IF('Исходные данные'!$B$82="Да",IF('Исходные данные'!$B$84="С выручки",AP48,IF('Исходные данные'!$B$84="С прибыли",MAX(0,AP48+AQ48-IF('Исходные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48">
        <f t="shared" si="28"/>
        <v>0</v>
      </c>
      <c r="AT48">
        <f>IF(D48=1,Расчёты!AZ48+AH48+AK48+AN48+AS48,0)</f>
        <v>0</v>
      </c>
      <c r="AU48" t="str">
        <f t="shared" si="36"/>
        <v/>
      </c>
      <c r="AV48">
        <f>IF(OR(D48=0,'Исходные данные'!$B$9="",'Исходные данные'!$B$90=""),0,AT48/(1+'Исходные данные'!$B$90)^((C48-'Исходные данные'!$B$9)/365))</f>
        <v>0</v>
      </c>
      <c r="AW48">
        <f>IF(D48=1,AH48+Расчёты!O48+Расчёты!Q48+Расчёты!S48+Расчёты!U48+Расчёты!W48+Расчёты!X48+AK48+AN48,0)</f>
        <v>0</v>
      </c>
      <c r="AX48">
        <f>IF(AND(D48=1,AU48&gt;=0,AU47&lt;0,MIN($AU$2:AU48)&lt;0),1,0)</f>
        <v>0</v>
      </c>
      <c r="AY48">
        <f>IF(Расчёты!F48=0,0,IF(Расчёты!G48=1,N('Сценарный анализ'!$D$5),IF(Расчёты!G48=2,N('Сценарный анализ'!$D$6),IF(Расчёты!G48=3,N('Сценарный анализ'!$D$7),N('Сценарный анализ'!$D$7)*(1+N('Сценарный анализ'!$D$8))^(Расчёты!G48-3)))))</f>
        <v>0</v>
      </c>
      <c r="AZ48">
        <f>IF(OR(Расчёты!F48=0,N('Исходные данные'!$B$5)=0,AY48=0),0,N('Исходные данные'!$B$5)*AY48*IF(AND(B48&lt;='Исходные данные'!$B$30,Расчёты!C48&gt;='Исходные данные'!$B$30),(Расчёты!C48-'Исходные данные'!$B$30+1)/DAY(Расчёты!C48),1))</f>
        <v>0</v>
      </c>
      <c r="BA48">
        <f>IF(AND(Расчёты!F48&gt;0,Расчёты!F48&lt;=N('Исходные данные'!$B$37)),-AZ48,0)</f>
        <v>0</v>
      </c>
      <c r="BB48">
        <f>IF(OR(Расчёты!F48=0,Расчёты!F48&lt;=N('Исходные данные'!$B$37)),0,-(AZ48+BA48)*N('Сценарный анализ'!$D$9))</f>
        <v>0</v>
      </c>
      <c r="BC48">
        <f t="shared" si="29"/>
        <v>0</v>
      </c>
      <c r="BD48">
        <f>IF('Исходные данные'!$B$51="Да",BC48*N('Исходные данные'!$B$52),0)</f>
        <v>0</v>
      </c>
      <c r="BE48">
        <f t="shared" si="30"/>
        <v>0</v>
      </c>
      <c r="BF48">
        <f>BC48+(Расчёты!Y48-Расчёты!L48)</f>
        <v>0</v>
      </c>
      <c r="BG48">
        <f t="shared" si="37"/>
        <v>0</v>
      </c>
      <c r="BH48">
        <f>IF('Исходные данные'!$B$51="Да",-MAX(0,BD48+Расчёты!R48+Расчёты!V48-Расчёты!P48-Расчёты!T48-BG48),0)</f>
        <v>0</v>
      </c>
      <c r="BI48">
        <f>IF('Исходные данные'!$B$51="Да",MAX(0,BG48+Расчёты!P48+Расчёты!T48-BD48-Расчёты!R48-Расчёты!V48),0)</f>
        <v>0</v>
      </c>
      <c r="BJ48">
        <f>IF('Исходные данные'!$B$53="Выручка",MAX(0,BC48+(Расчёты!Q48-Расчёты!R48)+(Расчёты!U48-Расчёты!V48)),IF('Исходные данные'!$B$53="Прибыль до налога",MAX(0,BC48+(Расчёты!Q48-Расчёты!R48)+(Расчёты!U48-Расчёты!V48)+N('Исходные данные'!$B$54)*((Расчёты!O48+Расчёты!P48)+(Расчёты!S48+Расчёты!T48)+Расчёты!W48+Расчёты!X48)+IF('Исходные данные'!$B$55="Да",Расчёты!AG48,0)-N('Исходные данные'!$B$56)/12),IF('Исходные данные'!$B$53="Пользовательская база",MAX(0,N('Исходные данные'!$B$57)/12),0)))</f>
        <v>0</v>
      </c>
      <c r="BK48">
        <f>IF(D48=1,-BJ48*N('Исходные данные'!$B$50),0)</f>
        <v>0</v>
      </c>
      <c r="BL48">
        <f t="shared" si="31"/>
        <v>0</v>
      </c>
      <c r="BM48">
        <f>IF(OR(D48&lt;&gt;1,B48="",'Исходные данные'!$B$91="",N('Исходные данные'!$B$80)&lt;=0,'Исходные данные'!$B$88=""),0,IF(AND(YEAR(B48)=YEAR('Исходные данные'!$B$91),MONTH(B48)=MONTH('Исходные данные'!$B$91)),MAX(0,IF('Исходные данные'!$B$88="Последние 12 месяцев",SUMIFS($BF$2:$BF$194,$B$2:$B$194,"&gt;="&amp;EDATE(B48,-11),$B$2:$B$194,"&lt;="&amp;B48),IF('Исходные данные'!$B$88="Пользовательский NOI",N('Исходные данные'!$B$89),BL48))/N('Исходные данные'!$B$80)*(1+N('Исходные данные'!$B$81))),0))</f>
        <v>0</v>
      </c>
      <c r="BN48">
        <f>-BM48*N('Исходные данные'!$B$73)</f>
        <v>0</v>
      </c>
      <c r="BO48">
        <f>IF(BM48=0,0,-N('Исходные данные'!$B$87)-IF('Исходные данные'!$B$82="Да",IF('Исходные данные'!$B$84="С выручки",BM48,IF('Исходные данные'!$B$84="С прибыли",MAX(0,BM48+BN48-IF('Исходные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48">
        <f t="shared" si="32"/>
        <v>0</v>
      </c>
      <c r="BQ48">
        <f>IF(D48=1,Расчёты!AZ48+BE48+BH48+BK48+BP48,0)</f>
        <v>0</v>
      </c>
      <c r="BR48" t="str">
        <f t="shared" si="38"/>
        <v/>
      </c>
      <c r="BS48">
        <f>IF(OR(D48=0,'Исходные данные'!$B$9="",'Исходные данные'!$B$90=""),0,BQ48/(1+'Исходные данные'!$B$90)^((C48-'Исходные данные'!$B$9)/365))</f>
        <v>0</v>
      </c>
      <c r="BT48">
        <f>IF(D48=1,BE48+Расчёты!O48+Расчёты!Q48+Расчёты!S48+Расчёты!U48+Расчёты!W48+Расчёты!X48+BH48+BK48,0)</f>
        <v>0</v>
      </c>
      <c r="BU48">
        <f>IF(AND(D48=1,BR48&gt;=0,BR47&lt;0,MIN($BR$2:BR48)&lt;0),1,0)</f>
        <v>0</v>
      </c>
      <c r="BV48">
        <f>Расчёты!AZ48+K48+N48-P48*N('Исходные данные'!$B$50)</f>
        <v>0</v>
      </c>
      <c r="BW48">
        <f t="shared" si="18"/>
        <v>0</v>
      </c>
      <c r="BX48">
        <f>IF(AND(BW48&gt;=0,BW47&lt;0,MIN($BW$2:BW48)&lt;0),1,0)</f>
        <v>0</v>
      </c>
      <c r="BY48">
        <f>Расчёты!AZ48+AH48+AK48-AM48*N('Исходные данные'!$B$50)</f>
        <v>0</v>
      </c>
      <c r="BZ48">
        <f t="shared" si="19"/>
        <v>0</v>
      </c>
      <c r="CA48">
        <f>IF(AND(BZ48&gt;=0,BZ47&lt;0,MIN($BZ$2:BZ48)&lt;0),1,0)</f>
        <v>0</v>
      </c>
      <c r="CB48">
        <f>Расчёты!AZ48+BE48+BH48-BJ48*N('Исходные данные'!$B$50)</f>
        <v>0</v>
      </c>
      <c r="CC48">
        <f t="shared" si="20"/>
        <v>0</v>
      </c>
      <c r="CD48">
        <f>IF(AND(CC48&gt;=0,CC47&lt;0,MIN($CC$2:CC48)&lt;0),1,0)</f>
        <v>0</v>
      </c>
    </row>
    <row r="49" spans="1:82" x14ac:dyDescent="0.2">
      <c r="A49">
        <f>Расчёты!A49</f>
        <v>48</v>
      </c>
      <c r="B49" t="str">
        <f>Расчёты!B49</f>
        <v/>
      </c>
      <c r="C49" t="str">
        <f>Расчёты!D49</f>
        <v/>
      </c>
      <c r="D49">
        <f>Расчёты!E49</f>
        <v>0</v>
      </c>
      <c r="E49">
        <f>IF(Расчёты!F49=0,0,IF(Расчёты!G49=1,N('Сценарный анализ'!$B$5),IF(Расчёты!G49=2,N('Сценарный анализ'!$B$6),IF(Расчёты!G49=3,N('Сценарный анализ'!$B$7),N('Сценарный анализ'!$B$7)*(1+N('Сценарный анализ'!$B$8))^(Расчёты!G49-3)))))</f>
        <v>0</v>
      </c>
      <c r="F49">
        <f>IF(OR(Расчёты!F49=0,N('Исходные данные'!$B$5)=0,E49=0),0,N('Исходные данные'!$B$5)*E49*IF(AND(B49&lt;='Исходные данные'!$B$30,Расчёты!C49&gt;='Исходные данные'!$B$30),(Расчёты!C49-'Исходные данные'!$B$30+1)/DAY(Расчёты!C49),1))</f>
        <v>0</v>
      </c>
      <c r="G49">
        <f>IF(AND(Расчёты!F49&gt;0,Расчёты!F49&lt;=N('Исходные данные'!$B$37)),-F49,0)</f>
        <v>0</v>
      </c>
      <c r="H49">
        <f>IF(OR(Расчёты!F49=0,Расчёты!F49&lt;=N('Исходные данные'!$B$37)),0,-(F49+G49)*N('Сценарный анализ'!$B$9))</f>
        <v>0</v>
      </c>
      <c r="I49">
        <f t="shared" si="21"/>
        <v>0</v>
      </c>
      <c r="J49">
        <f>IF('Исходные данные'!$B$51="Да",I49*N('Исходные данные'!$B$52),0)</f>
        <v>0</v>
      </c>
      <c r="K49">
        <f t="shared" si="22"/>
        <v>0</v>
      </c>
      <c r="L49">
        <f>I49+(Расчёты!Y49-Расчёты!L49)</f>
        <v>0</v>
      </c>
      <c r="M49">
        <f t="shared" si="33"/>
        <v>0</v>
      </c>
      <c r="N49">
        <f>IF('Исходные данные'!$B$51="Да",-MAX(0,J49+Расчёты!R49+Расчёты!V49-Расчёты!P49-Расчёты!T49-M49),0)</f>
        <v>0</v>
      </c>
      <c r="O49">
        <f>IF('Исходные данные'!$B$51="Да",MAX(0,M49+Расчёты!P49+Расчёты!T49-J49-Расчёты!R49-Расчёты!V49),0)</f>
        <v>0</v>
      </c>
      <c r="P49">
        <f>IF('Исходные данные'!$B$53="Выручка",MAX(0,I49+(Расчёты!Q49-Расчёты!R49)+(Расчёты!U49-Расчёты!V49)),IF('Исходные данные'!$B$53="Прибыль до налога",MAX(0,I49+(Расчёты!Q49-Расчёты!R49)+(Расчёты!U49-Расчёты!V49)+N('Исходные данные'!$B$54)*((Расчёты!O49+Расчёты!P49)+(Расчёты!S49+Расчёты!T49)+Расчёты!W49+Расчёты!X49)+IF('Исходные данные'!$B$55="Да",Расчёты!AG49,0)-N('Исходные данные'!$B$56)/12),IF('Исходные данные'!$B$53="Пользовательская база",MAX(0,N('Исходные данные'!$B$57)/12),0)))</f>
        <v>0</v>
      </c>
      <c r="Q49">
        <f>IF(D49=1,-P49*N('Исходные данные'!$B$50),0)</f>
        <v>0</v>
      </c>
      <c r="R49">
        <f t="shared" si="23"/>
        <v>0</v>
      </c>
      <c r="S49">
        <f>IF(OR(D49&lt;&gt;1,B49="",'Исходные данные'!$B$91="",N('Исходные данные'!$B$80)&lt;=0,'Исходные данные'!$B$88=""),0,IF(AND(YEAR(B49)=YEAR('Исходные данные'!$B$91),MONTH(B49)=MONTH('Исходные данные'!$B$91)),MAX(0,IF('Исходные данные'!$B$88="Последние 12 месяцев",SUMIFS($L$2:$L$194,$B$2:$B$194,"&gt;="&amp;EDATE(B49,-11),$B$2:$B$194,"&lt;="&amp;B49),IF('Исходные данные'!$B$88="Пользовательский NOI",N('Исходные данные'!$B$89),R49))/N('Исходные данные'!$B$80)*(1+N('Исходные данные'!$B$81))),0))</f>
        <v>0</v>
      </c>
      <c r="T49">
        <f>-S49*N('Исходные данные'!$B$73)</f>
        <v>0</v>
      </c>
      <c r="U49">
        <f>IF(S49=0,0,-N('Исходные данные'!$B$87)-IF('Исходные данные'!$B$82="Да",IF('Исходные данные'!$B$84="С выручки",S49,IF('Исходные данные'!$B$84="С прибыли",MAX(0,S49+T49-IF('Исходные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49">
        <f t="shared" si="24"/>
        <v>0</v>
      </c>
      <c r="W49">
        <f>IF(D49=1,Расчёты!AZ49+K49+N49+Q49+V49,0)</f>
        <v>0</v>
      </c>
      <c r="X49" t="str">
        <f t="shared" si="34"/>
        <v/>
      </c>
      <c r="Y49">
        <f>IF(OR(D49=0,'Исходные данные'!$B$9="",'Исходные данные'!$B$90=""),0,W49/(1+'Исходные данные'!$B$90)^((C49-'Исходные данные'!$B$9)/365))</f>
        <v>0</v>
      </c>
      <c r="Z49">
        <f>IF(D49=1,K49+Расчёты!O49+Расчёты!Q49+Расчёты!S49+Расчёты!U49+Расчёты!W49+Расчёты!X49+N49+Q49,0)</f>
        <v>0</v>
      </c>
      <c r="AA49">
        <f>IF(AND(D49=1,X49&gt;=0,X48&lt;0,MIN($X$2:X49)&lt;0),1,0)</f>
        <v>0</v>
      </c>
      <c r="AB49">
        <f>IF(Расчёты!F49=0,0,IF(Расчёты!G49=1,N('Сценарный анализ'!$C$5),IF(Расчёты!G49=2,N('Сценарный анализ'!$C$6),IF(Расчёты!G49=3,N('Сценарный анализ'!$C$7),N('Сценарный анализ'!$C$7)*(1+N('Сценарный анализ'!$C$8))^(Расчёты!G49-3)))))</f>
        <v>0</v>
      </c>
      <c r="AC49">
        <f>IF(OR(Расчёты!F49=0,N('Исходные данные'!$B$5)=0,AB49=0),0,N('Исходные данные'!$B$5)*AB49*IF(AND(B49&lt;='Исходные данные'!$B$30,Расчёты!C49&gt;='Исходные данные'!$B$30),(Расчёты!C49-'Исходные данные'!$B$30+1)/DAY(Расчёты!C49),1))</f>
        <v>0</v>
      </c>
      <c r="AD49">
        <f>IF(AND(Расчёты!F49&gt;0,Расчёты!F49&lt;=N('Исходные данные'!$B$37)),-AC49,0)</f>
        <v>0</v>
      </c>
      <c r="AE49">
        <f>IF(OR(Расчёты!F49=0,Расчёты!F49&lt;=N('Исходные данные'!$B$37)),0,-(AC49+AD49)*N('Сценарный анализ'!$C$9))</f>
        <v>0</v>
      </c>
      <c r="AF49">
        <f t="shared" si="25"/>
        <v>0</v>
      </c>
      <c r="AG49">
        <f>IF('Исходные данные'!$B$51="Да",AF49*N('Исходные данные'!$B$52),0)</f>
        <v>0</v>
      </c>
      <c r="AH49">
        <f t="shared" si="26"/>
        <v>0</v>
      </c>
      <c r="AI49">
        <f>AF49+(Расчёты!Y49-Расчёты!L49)</f>
        <v>0</v>
      </c>
      <c r="AJ49">
        <f t="shared" si="35"/>
        <v>0</v>
      </c>
      <c r="AK49">
        <f>IF('Исходные данные'!$B$51="Да",-MAX(0,AG49+Расчёты!R49+Расчёты!V49-Расчёты!P49-Расчёты!T49-AJ49),0)</f>
        <v>0</v>
      </c>
      <c r="AL49">
        <f>IF('Исходные данные'!$B$51="Да",MAX(0,AJ49+Расчёты!P49+Расчёты!T49-AG49-Расчёты!R49-Расчёты!V49),0)</f>
        <v>0</v>
      </c>
      <c r="AM49">
        <f>IF('Исходные данные'!$B$53="Выручка",MAX(0,AF49+(Расчёты!Q49-Расчёты!R49)+(Расчёты!U49-Расчёты!V49)),IF('Исходные данные'!$B$53="Прибыль до налога",MAX(0,AF49+(Расчёты!Q49-Расчёты!R49)+(Расчёты!U49-Расчёты!V49)+N('Исходные данные'!$B$54)*((Расчёты!O49+Расчёты!P49)+(Расчёты!S49+Расчёты!T49)+Расчёты!W49+Расчёты!X49)+IF('Исходные данные'!$B$55="Да",Расчёты!AG49,0)-N('Исходные данные'!$B$56)/12),IF('Исходные данные'!$B$53="Пользовательская база",MAX(0,N('Исходные данные'!$B$57)/12),0)))</f>
        <v>0</v>
      </c>
      <c r="AN49">
        <f>IF(D49=1,-AM49*N('Исходные данные'!$B$50),0)</f>
        <v>0</v>
      </c>
      <c r="AO49">
        <f t="shared" si="27"/>
        <v>0</v>
      </c>
      <c r="AP49">
        <f>IF(OR(D49&lt;&gt;1,B49="",'Исходные данные'!$B$91="",N('Исходные данные'!$B$80)&lt;=0,'Исходные данные'!$B$88=""),0,IF(AND(YEAR(B49)=YEAR('Исходные данные'!$B$91),MONTH(B49)=MONTH('Исходные данные'!$B$91)),MAX(0,IF('Исходные данные'!$B$88="Последние 12 месяцев",SUMIFS($AI$2:$AI$194,$B$2:$B$194,"&gt;="&amp;EDATE(B49,-11),$B$2:$B$194,"&lt;="&amp;B49),IF('Исходные данные'!$B$88="Пользовательский NOI",N('Исходные данные'!$B$89),AO49))/N('Исходные данные'!$B$80)*(1+N('Исходные данные'!$B$81))),0))</f>
        <v>0</v>
      </c>
      <c r="AQ49">
        <f>-AP49*N('Исходные данные'!$B$73)</f>
        <v>0</v>
      </c>
      <c r="AR49">
        <f>IF(AP49=0,0,-N('Исходные данные'!$B$87)-IF('Исходные данные'!$B$82="Да",IF('Исходные данные'!$B$84="С выручки",AP49,IF('Исходные данные'!$B$84="С прибыли",MAX(0,AP49+AQ49-IF('Исходные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49">
        <f t="shared" si="28"/>
        <v>0</v>
      </c>
      <c r="AT49">
        <f>IF(D49=1,Расчёты!AZ49+AH49+AK49+AN49+AS49,0)</f>
        <v>0</v>
      </c>
      <c r="AU49" t="str">
        <f t="shared" si="36"/>
        <v/>
      </c>
      <c r="AV49">
        <f>IF(OR(D49=0,'Исходные данные'!$B$9="",'Исходные данные'!$B$90=""),0,AT49/(1+'Исходные данные'!$B$90)^((C49-'Исходные данные'!$B$9)/365))</f>
        <v>0</v>
      </c>
      <c r="AW49">
        <f>IF(D49=1,AH49+Расчёты!O49+Расчёты!Q49+Расчёты!S49+Расчёты!U49+Расчёты!W49+Расчёты!X49+AK49+AN49,0)</f>
        <v>0</v>
      </c>
      <c r="AX49">
        <f>IF(AND(D49=1,AU49&gt;=0,AU48&lt;0,MIN($AU$2:AU49)&lt;0),1,0)</f>
        <v>0</v>
      </c>
      <c r="AY49">
        <f>IF(Расчёты!F49=0,0,IF(Расчёты!G49=1,N('Сценарный анализ'!$D$5),IF(Расчёты!G49=2,N('Сценарный анализ'!$D$6),IF(Расчёты!G49=3,N('Сценарный анализ'!$D$7),N('Сценарный анализ'!$D$7)*(1+N('Сценарный анализ'!$D$8))^(Расчёты!G49-3)))))</f>
        <v>0</v>
      </c>
      <c r="AZ49">
        <f>IF(OR(Расчёты!F49=0,N('Исходные данные'!$B$5)=0,AY49=0),0,N('Исходные данные'!$B$5)*AY49*IF(AND(B49&lt;='Исходные данные'!$B$30,Расчёты!C49&gt;='Исходные данные'!$B$30),(Расчёты!C49-'Исходные данные'!$B$30+1)/DAY(Расчёты!C49),1))</f>
        <v>0</v>
      </c>
      <c r="BA49">
        <f>IF(AND(Расчёты!F49&gt;0,Расчёты!F49&lt;=N('Исходные данные'!$B$37)),-AZ49,0)</f>
        <v>0</v>
      </c>
      <c r="BB49">
        <f>IF(OR(Расчёты!F49=0,Расчёты!F49&lt;=N('Исходные данные'!$B$37)),0,-(AZ49+BA49)*N('Сценарный анализ'!$D$9))</f>
        <v>0</v>
      </c>
      <c r="BC49">
        <f t="shared" si="29"/>
        <v>0</v>
      </c>
      <c r="BD49">
        <f>IF('Исходные данные'!$B$51="Да",BC49*N('Исходные данные'!$B$52),0)</f>
        <v>0</v>
      </c>
      <c r="BE49">
        <f t="shared" si="30"/>
        <v>0</v>
      </c>
      <c r="BF49">
        <f>BC49+(Расчёты!Y49-Расчёты!L49)</f>
        <v>0</v>
      </c>
      <c r="BG49">
        <f t="shared" si="37"/>
        <v>0</v>
      </c>
      <c r="BH49">
        <f>IF('Исходные данные'!$B$51="Да",-MAX(0,BD49+Расчёты!R49+Расчёты!V49-Расчёты!P49-Расчёты!T49-BG49),0)</f>
        <v>0</v>
      </c>
      <c r="BI49">
        <f>IF('Исходные данные'!$B$51="Да",MAX(0,BG49+Расчёты!P49+Расчёты!T49-BD49-Расчёты!R49-Расчёты!V49),0)</f>
        <v>0</v>
      </c>
      <c r="BJ49">
        <f>IF('Исходные данные'!$B$53="Выручка",MAX(0,BC49+(Расчёты!Q49-Расчёты!R49)+(Расчёты!U49-Расчёты!V49)),IF('Исходные данные'!$B$53="Прибыль до налога",MAX(0,BC49+(Расчёты!Q49-Расчёты!R49)+(Расчёты!U49-Расчёты!V49)+N('Исходные данные'!$B$54)*((Расчёты!O49+Расчёты!P49)+(Расчёты!S49+Расчёты!T49)+Расчёты!W49+Расчёты!X49)+IF('Исходные данные'!$B$55="Да",Расчёты!AG49,0)-N('Исходные данные'!$B$56)/12),IF('Исходные данные'!$B$53="Пользовательская база",MAX(0,N('Исходные данные'!$B$57)/12),0)))</f>
        <v>0</v>
      </c>
      <c r="BK49">
        <f>IF(D49=1,-BJ49*N('Исходные данные'!$B$50),0)</f>
        <v>0</v>
      </c>
      <c r="BL49">
        <f t="shared" si="31"/>
        <v>0</v>
      </c>
      <c r="BM49">
        <f>IF(OR(D49&lt;&gt;1,B49="",'Исходные данные'!$B$91="",N('Исходные данные'!$B$80)&lt;=0,'Исходные данные'!$B$88=""),0,IF(AND(YEAR(B49)=YEAR('Исходные данные'!$B$91),MONTH(B49)=MONTH('Исходные данные'!$B$91)),MAX(0,IF('Исходные данные'!$B$88="Последние 12 месяцев",SUMIFS($BF$2:$BF$194,$B$2:$B$194,"&gt;="&amp;EDATE(B49,-11),$B$2:$B$194,"&lt;="&amp;B49),IF('Исходные данные'!$B$88="Пользовательский NOI",N('Исходные данные'!$B$89),BL49))/N('Исходные данные'!$B$80)*(1+N('Исходные данные'!$B$81))),0))</f>
        <v>0</v>
      </c>
      <c r="BN49">
        <f>-BM49*N('Исходные данные'!$B$73)</f>
        <v>0</v>
      </c>
      <c r="BO49">
        <f>IF(BM49=0,0,-N('Исходные данные'!$B$87)-IF('Исходные данные'!$B$82="Да",IF('Исходные данные'!$B$84="С выручки",BM49,IF('Исходные данные'!$B$84="С прибыли",MAX(0,BM49+BN49-IF('Исходные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49">
        <f t="shared" si="32"/>
        <v>0</v>
      </c>
      <c r="BQ49">
        <f>IF(D49=1,Расчёты!AZ49+BE49+BH49+BK49+BP49,0)</f>
        <v>0</v>
      </c>
      <c r="BR49" t="str">
        <f t="shared" si="38"/>
        <v/>
      </c>
      <c r="BS49">
        <f>IF(OR(D49=0,'Исходные данные'!$B$9="",'Исходные данные'!$B$90=""),0,BQ49/(1+'Исходные данные'!$B$90)^((C49-'Исходные данные'!$B$9)/365))</f>
        <v>0</v>
      </c>
      <c r="BT49">
        <f>IF(D49=1,BE49+Расчёты!O49+Расчёты!Q49+Расчёты!S49+Расчёты!U49+Расчёты!W49+Расчёты!X49+BH49+BK49,0)</f>
        <v>0</v>
      </c>
      <c r="BU49">
        <f>IF(AND(D49=1,BR49&gt;=0,BR48&lt;0,MIN($BR$2:BR49)&lt;0),1,0)</f>
        <v>0</v>
      </c>
      <c r="BV49">
        <f>Расчёты!AZ49+K49+N49-P49*N('Исходные данные'!$B$50)</f>
        <v>0</v>
      </c>
      <c r="BW49">
        <f t="shared" si="18"/>
        <v>0</v>
      </c>
      <c r="BX49">
        <f>IF(AND(BW49&gt;=0,BW48&lt;0,MIN($BW$2:BW49)&lt;0),1,0)</f>
        <v>0</v>
      </c>
      <c r="BY49">
        <f>Расчёты!AZ49+AH49+AK49-AM49*N('Исходные данные'!$B$50)</f>
        <v>0</v>
      </c>
      <c r="BZ49">
        <f t="shared" si="19"/>
        <v>0</v>
      </c>
      <c r="CA49">
        <f>IF(AND(BZ49&gt;=0,BZ48&lt;0,MIN($BZ$2:BZ49)&lt;0),1,0)</f>
        <v>0</v>
      </c>
      <c r="CB49">
        <f>Расчёты!AZ49+BE49+BH49-BJ49*N('Исходные данные'!$B$50)</f>
        <v>0</v>
      </c>
      <c r="CC49">
        <f t="shared" si="20"/>
        <v>0</v>
      </c>
      <c r="CD49">
        <f>IF(AND(CC49&gt;=0,CC48&lt;0,MIN($CC$2:CC49)&lt;0),1,0)</f>
        <v>0</v>
      </c>
    </row>
    <row r="50" spans="1:82" x14ac:dyDescent="0.2">
      <c r="A50">
        <f>Расчёты!A50</f>
        <v>49</v>
      </c>
      <c r="B50" t="str">
        <f>Расчёты!B50</f>
        <v/>
      </c>
      <c r="C50" t="str">
        <f>Расчёты!D50</f>
        <v/>
      </c>
      <c r="D50">
        <f>Расчёты!E50</f>
        <v>0</v>
      </c>
      <c r="E50">
        <f>IF(Расчёты!F50=0,0,IF(Расчёты!G50=1,N('Сценарный анализ'!$B$5),IF(Расчёты!G50=2,N('Сценарный анализ'!$B$6),IF(Расчёты!G50=3,N('Сценарный анализ'!$B$7),N('Сценарный анализ'!$B$7)*(1+N('Сценарный анализ'!$B$8))^(Расчёты!G50-3)))))</f>
        <v>0</v>
      </c>
      <c r="F50">
        <f>IF(OR(Расчёты!F50=0,N('Исходные данные'!$B$5)=0,E50=0),0,N('Исходные данные'!$B$5)*E50*IF(AND(B50&lt;='Исходные данные'!$B$30,Расчёты!C50&gt;='Исходные данные'!$B$30),(Расчёты!C50-'Исходные данные'!$B$30+1)/DAY(Расчёты!C50),1))</f>
        <v>0</v>
      </c>
      <c r="G50">
        <f>IF(AND(Расчёты!F50&gt;0,Расчёты!F50&lt;=N('Исходные данные'!$B$37)),-F50,0)</f>
        <v>0</v>
      </c>
      <c r="H50">
        <f>IF(OR(Расчёты!F50=0,Расчёты!F50&lt;=N('Исходные данные'!$B$37)),0,-(F50+G50)*N('Сценарный анализ'!$B$9))</f>
        <v>0</v>
      </c>
      <c r="I50">
        <f t="shared" si="21"/>
        <v>0</v>
      </c>
      <c r="J50">
        <f>IF('Исходные данные'!$B$51="Да",I50*N('Исходные данные'!$B$52),0)</f>
        <v>0</v>
      </c>
      <c r="K50">
        <f t="shared" si="22"/>
        <v>0</v>
      </c>
      <c r="L50">
        <f>I50+(Расчёты!Y50-Расчёты!L50)</f>
        <v>0</v>
      </c>
      <c r="M50">
        <f t="shared" si="33"/>
        <v>0</v>
      </c>
      <c r="N50">
        <f>IF('Исходные данные'!$B$51="Да",-MAX(0,J50+Расчёты!R50+Расчёты!V50-Расчёты!P50-Расчёты!T50-M50),0)</f>
        <v>0</v>
      </c>
      <c r="O50">
        <f>IF('Исходные данные'!$B$51="Да",MAX(0,M50+Расчёты!P50+Расчёты!T50-J50-Расчёты!R50-Расчёты!V50),0)</f>
        <v>0</v>
      </c>
      <c r="P50">
        <f>IF('Исходные данные'!$B$53="Выручка",MAX(0,I50+(Расчёты!Q50-Расчёты!R50)+(Расчёты!U50-Расчёты!V50)),IF('Исходные данные'!$B$53="Прибыль до налога",MAX(0,I50+(Расчёты!Q50-Расчёты!R50)+(Расчёты!U50-Расчёты!V50)+N('Исходные данные'!$B$54)*((Расчёты!O50+Расчёты!P50)+(Расчёты!S50+Расчёты!T50)+Расчёты!W50+Расчёты!X50)+IF('Исходные данные'!$B$55="Да",Расчёты!AG50,0)-N('Исходные данные'!$B$56)/12),IF('Исходные данные'!$B$53="Пользовательская база",MAX(0,N('Исходные данные'!$B$57)/12),0)))</f>
        <v>0</v>
      </c>
      <c r="Q50">
        <f>IF(D50=1,-P50*N('Исходные данные'!$B$50),0)</f>
        <v>0</v>
      </c>
      <c r="R50">
        <f t="shared" si="23"/>
        <v>0</v>
      </c>
      <c r="S50">
        <f>IF(OR(D50&lt;&gt;1,B50="",'Исходные данные'!$B$91="",N('Исходные данные'!$B$80)&lt;=0,'Исходные данные'!$B$88=""),0,IF(AND(YEAR(B50)=YEAR('Исходные данные'!$B$91),MONTH(B50)=MONTH('Исходные данные'!$B$91)),MAX(0,IF('Исходные данные'!$B$88="Последние 12 месяцев",SUMIFS($L$2:$L$194,$B$2:$B$194,"&gt;="&amp;EDATE(B50,-11),$B$2:$B$194,"&lt;="&amp;B50),IF('Исходные данные'!$B$88="Пользовательский NOI",N('Исходные данные'!$B$89),R50))/N('Исходные данные'!$B$80)*(1+N('Исходные данные'!$B$81))),0))</f>
        <v>0</v>
      </c>
      <c r="T50">
        <f>-S50*N('Исходные данные'!$B$73)</f>
        <v>0</v>
      </c>
      <c r="U50">
        <f>IF(S50=0,0,-N('Исходные данные'!$B$87)-IF('Исходные данные'!$B$82="Да",IF('Исходные данные'!$B$84="С выручки",S50,IF('Исходные данные'!$B$84="С прибыли",MAX(0,S50+T50-IF('Исходные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50">
        <f t="shared" si="24"/>
        <v>0</v>
      </c>
      <c r="W50">
        <f>IF(D50=1,Расчёты!AZ50+K50+N50+Q50+V50,0)</f>
        <v>0</v>
      </c>
      <c r="X50" t="str">
        <f t="shared" si="34"/>
        <v/>
      </c>
      <c r="Y50">
        <f>IF(OR(D50=0,'Исходные данные'!$B$9="",'Исходные данные'!$B$90=""),0,W50/(1+'Исходные данные'!$B$90)^((C50-'Исходные данные'!$B$9)/365))</f>
        <v>0</v>
      </c>
      <c r="Z50">
        <f>IF(D50=1,K50+Расчёты!O50+Расчёты!Q50+Расчёты!S50+Расчёты!U50+Расчёты!W50+Расчёты!X50+N50+Q50,0)</f>
        <v>0</v>
      </c>
      <c r="AA50">
        <f>IF(AND(D50=1,X50&gt;=0,X49&lt;0,MIN($X$2:X50)&lt;0),1,0)</f>
        <v>0</v>
      </c>
      <c r="AB50">
        <f>IF(Расчёты!F50=0,0,IF(Расчёты!G50=1,N('Сценарный анализ'!$C$5),IF(Расчёты!G50=2,N('Сценарный анализ'!$C$6),IF(Расчёты!G50=3,N('Сценарный анализ'!$C$7),N('Сценарный анализ'!$C$7)*(1+N('Сценарный анализ'!$C$8))^(Расчёты!G50-3)))))</f>
        <v>0</v>
      </c>
      <c r="AC50">
        <f>IF(OR(Расчёты!F50=0,N('Исходные данные'!$B$5)=0,AB50=0),0,N('Исходные данные'!$B$5)*AB50*IF(AND(B50&lt;='Исходные данные'!$B$30,Расчёты!C50&gt;='Исходные данные'!$B$30),(Расчёты!C50-'Исходные данные'!$B$30+1)/DAY(Расчёты!C50),1))</f>
        <v>0</v>
      </c>
      <c r="AD50">
        <f>IF(AND(Расчёты!F50&gt;0,Расчёты!F50&lt;=N('Исходные данные'!$B$37)),-AC50,0)</f>
        <v>0</v>
      </c>
      <c r="AE50">
        <f>IF(OR(Расчёты!F50=0,Расчёты!F50&lt;=N('Исходные данные'!$B$37)),0,-(AC50+AD50)*N('Сценарный анализ'!$C$9))</f>
        <v>0</v>
      </c>
      <c r="AF50">
        <f t="shared" si="25"/>
        <v>0</v>
      </c>
      <c r="AG50">
        <f>IF('Исходные данные'!$B$51="Да",AF50*N('Исходные данные'!$B$52),0)</f>
        <v>0</v>
      </c>
      <c r="AH50">
        <f t="shared" si="26"/>
        <v>0</v>
      </c>
      <c r="AI50">
        <f>AF50+(Расчёты!Y50-Расчёты!L50)</f>
        <v>0</v>
      </c>
      <c r="AJ50">
        <f t="shared" si="35"/>
        <v>0</v>
      </c>
      <c r="AK50">
        <f>IF('Исходные данные'!$B$51="Да",-MAX(0,AG50+Расчёты!R50+Расчёты!V50-Расчёты!P50-Расчёты!T50-AJ50),0)</f>
        <v>0</v>
      </c>
      <c r="AL50">
        <f>IF('Исходные данные'!$B$51="Да",MAX(0,AJ50+Расчёты!P50+Расчёты!T50-AG50-Расчёты!R50-Расчёты!V50),0)</f>
        <v>0</v>
      </c>
      <c r="AM50">
        <f>IF('Исходные данные'!$B$53="Выручка",MAX(0,AF50+(Расчёты!Q50-Расчёты!R50)+(Расчёты!U50-Расчёты!V50)),IF('Исходные данные'!$B$53="Прибыль до налога",MAX(0,AF50+(Расчёты!Q50-Расчёты!R50)+(Расчёты!U50-Расчёты!V50)+N('Исходные данные'!$B$54)*((Расчёты!O50+Расчёты!P50)+(Расчёты!S50+Расчёты!T50)+Расчёты!W50+Расчёты!X50)+IF('Исходные данные'!$B$55="Да",Расчёты!AG50,0)-N('Исходные данные'!$B$56)/12),IF('Исходные данные'!$B$53="Пользовательская база",MAX(0,N('Исходные данные'!$B$57)/12),0)))</f>
        <v>0</v>
      </c>
      <c r="AN50">
        <f>IF(D50=1,-AM50*N('Исходные данные'!$B$50),0)</f>
        <v>0</v>
      </c>
      <c r="AO50">
        <f t="shared" si="27"/>
        <v>0</v>
      </c>
      <c r="AP50">
        <f>IF(OR(D50&lt;&gt;1,B50="",'Исходные данные'!$B$91="",N('Исходные данные'!$B$80)&lt;=0,'Исходные данные'!$B$88=""),0,IF(AND(YEAR(B50)=YEAR('Исходные данные'!$B$91),MONTH(B50)=MONTH('Исходные данные'!$B$91)),MAX(0,IF('Исходные данные'!$B$88="Последние 12 месяцев",SUMIFS($AI$2:$AI$194,$B$2:$B$194,"&gt;="&amp;EDATE(B50,-11),$B$2:$B$194,"&lt;="&amp;B50),IF('Исходные данные'!$B$88="Пользовательский NOI",N('Исходные данные'!$B$89),AO50))/N('Исходные данные'!$B$80)*(1+N('Исходные данные'!$B$81))),0))</f>
        <v>0</v>
      </c>
      <c r="AQ50">
        <f>-AP50*N('Исходные данные'!$B$73)</f>
        <v>0</v>
      </c>
      <c r="AR50">
        <f>IF(AP50=0,0,-N('Исходные данные'!$B$87)-IF('Исходные данные'!$B$82="Да",IF('Исходные данные'!$B$84="С выручки",AP50,IF('Исходные данные'!$B$84="С прибыли",MAX(0,AP50+AQ50-IF('Исходные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50">
        <f t="shared" si="28"/>
        <v>0</v>
      </c>
      <c r="AT50">
        <f>IF(D50=1,Расчёты!AZ50+AH50+AK50+AN50+AS50,0)</f>
        <v>0</v>
      </c>
      <c r="AU50" t="str">
        <f t="shared" si="36"/>
        <v/>
      </c>
      <c r="AV50">
        <f>IF(OR(D50=0,'Исходные данные'!$B$9="",'Исходные данные'!$B$90=""),0,AT50/(1+'Исходные данные'!$B$90)^((C50-'Исходные данные'!$B$9)/365))</f>
        <v>0</v>
      </c>
      <c r="AW50">
        <f>IF(D50=1,AH50+Расчёты!O50+Расчёты!Q50+Расчёты!S50+Расчёты!U50+Расчёты!W50+Расчёты!X50+AK50+AN50,0)</f>
        <v>0</v>
      </c>
      <c r="AX50">
        <f>IF(AND(D50=1,AU50&gt;=0,AU49&lt;0,MIN($AU$2:AU50)&lt;0),1,0)</f>
        <v>0</v>
      </c>
      <c r="AY50">
        <f>IF(Расчёты!F50=0,0,IF(Расчёты!G50=1,N('Сценарный анализ'!$D$5),IF(Расчёты!G50=2,N('Сценарный анализ'!$D$6),IF(Расчёты!G50=3,N('Сценарный анализ'!$D$7),N('Сценарный анализ'!$D$7)*(1+N('Сценарный анализ'!$D$8))^(Расчёты!G50-3)))))</f>
        <v>0</v>
      </c>
      <c r="AZ50">
        <f>IF(OR(Расчёты!F50=0,N('Исходные данные'!$B$5)=0,AY50=0),0,N('Исходные данные'!$B$5)*AY50*IF(AND(B50&lt;='Исходные данные'!$B$30,Расчёты!C50&gt;='Исходные данные'!$B$30),(Расчёты!C50-'Исходные данные'!$B$30+1)/DAY(Расчёты!C50),1))</f>
        <v>0</v>
      </c>
      <c r="BA50">
        <f>IF(AND(Расчёты!F50&gt;0,Расчёты!F50&lt;=N('Исходные данные'!$B$37)),-AZ50,0)</f>
        <v>0</v>
      </c>
      <c r="BB50">
        <f>IF(OR(Расчёты!F50=0,Расчёты!F50&lt;=N('Исходные данные'!$B$37)),0,-(AZ50+BA50)*N('Сценарный анализ'!$D$9))</f>
        <v>0</v>
      </c>
      <c r="BC50">
        <f t="shared" si="29"/>
        <v>0</v>
      </c>
      <c r="BD50">
        <f>IF('Исходные данные'!$B$51="Да",BC50*N('Исходные данные'!$B$52),0)</f>
        <v>0</v>
      </c>
      <c r="BE50">
        <f t="shared" si="30"/>
        <v>0</v>
      </c>
      <c r="BF50">
        <f>BC50+(Расчёты!Y50-Расчёты!L50)</f>
        <v>0</v>
      </c>
      <c r="BG50">
        <f t="shared" si="37"/>
        <v>0</v>
      </c>
      <c r="BH50">
        <f>IF('Исходные данные'!$B$51="Да",-MAX(0,BD50+Расчёты!R50+Расчёты!V50-Расчёты!P50-Расчёты!T50-BG50),0)</f>
        <v>0</v>
      </c>
      <c r="BI50">
        <f>IF('Исходные данные'!$B$51="Да",MAX(0,BG50+Расчёты!P50+Расчёты!T50-BD50-Расчёты!R50-Расчёты!V50),0)</f>
        <v>0</v>
      </c>
      <c r="BJ50">
        <f>IF('Исходные данные'!$B$53="Выручка",MAX(0,BC50+(Расчёты!Q50-Расчёты!R50)+(Расчёты!U50-Расчёты!V50)),IF('Исходные данные'!$B$53="Прибыль до налога",MAX(0,BC50+(Расчёты!Q50-Расчёты!R50)+(Расчёты!U50-Расчёты!V50)+N('Исходные данные'!$B$54)*((Расчёты!O50+Расчёты!P50)+(Расчёты!S50+Расчёты!T50)+Расчёты!W50+Расчёты!X50)+IF('Исходные данные'!$B$55="Да",Расчёты!AG50,0)-N('Исходные данные'!$B$56)/12),IF('Исходные данные'!$B$53="Пользовательская база",MAX(0,N('Исходные данные'!$B$57)/12),0)))</f>
        <v>0</v>
      </c>
      <c r="BK50">
        <f>IF(D50=1,-BJ50*N('Исходные данные'!$B$50),0)</f>
        <v>0</v>
      </c>
      <c r="BL50">
        <f t="shared" si="31"/>
        <v>0</v>
      </c>
      <c r="BM50">
        <f>IF(OR(D50&lt;&gt;1,B50="",'Исходные данные'!$B$91="",N('Исходные данные'!$B$80)&lt;=0,'Исходные данные'!$B$88=""),0,IF(AND(YEAR(B50)=YEAR('Исходные данные'!$B$91),MONTH(B50)=MONTH('Исходные данные'!$B$91)),MAX(0,IF('Исходные данные'!$B$88="Последние 12 месяцев",SUMIFS($BF$2:$BF$194,$B$2:$B$194,"&gt;="&amp;EDATE(B50,-11),$B$2:$B$194,"&lt;="&amp;B50),IF('Исходные данные'!$B$88="Пользовательский NOI",N('Исходные данные'!$B$89),BL50))/N('Исходные данные'!$B$80)*(1+N('Исходные данные'!$B$81))),0))</f>
        <v>0</v>
      </c>
      <c r="BN50">
        <f>-BM50*N('Исходные данные'!$B$73)</f>
        <v>0</v>
      </c>
      <c r="BO50">
        <f>IF(BM50=0,0,-N('Исходные данные'!$B$87)-IF('Исходные данные'!$B$82="Да",IF('Исходные данные'!$B$84="С выручки",BM50,IF('Исходные данные'!$B$84="С прибыли",MAX(0,BM50+BN50-IF('Исходные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50">
        <f t="shared" si="32"/>
        <v>0</v>
      </c>
      <c r="BQ50">
        <f>IF(D50=1,Расчёты!AZ50+BE50+BH50+BK50+BP50,0)</f>
        <v>0</v>
      </c>
      <c r="BR50" t="str">
        <f t="shared" si="38"/>
        <v/>
      </c>
      <c r="BS50">
        <f>IF(OR(D50=0,'Исходные данные'!$B$9="",'Исходные данные'!$B$90=""),0,BQ50/(1+'Исходные данные'!$B$90)^((C50-'Исходные данные'!$B$9)/365))</f>
        <v>0</v>
      </c>
      <c r="BT50">
        <f>IF(D50=1,BE50+Расчёты!O50+Расчёты!Q50+Расчёты!S50+Расчёты!U50+Расчёты!W50+Расчёты!X50+BH50+BK50,0)</f>
        <v>0</v>
      </c>
      <c r="BU50">
        <f>IF(AND(D50=1,BR50&gt;=0,BR49&lt;0,MIN($BR$2:BR50)&lt;0),1,0)</f>
        <v>0</v>
      </c>
      <c r="BV50">
        <f>Расчёты!AZ50+K50+N50-P50*N('Исходные данные'!$B$50)</f>
        <v>0</v>
      </c>
      <c r="BW50">
        <f t="shared" si="18"/>
        <v>0</v>
      </c>
      <c r="BX50">
        <f>IF(AND(BW50&gt;=0,BW49&lt;0,MIN($BW$2:BW50)&lt;0),1,0)</f>
        <v>0</v>
      </c>
      <c r="BY50">
        <f>Расчёты!AZ50+AH50+AK50-AM50*N('Исходные данные'!$B$50)</f>
        <v>0</v>
      </c>
      <c r="BZ50">
        <f t="shared" si="19"/>
        <v>0</v>
      </c>
      <c r="CA50">
        <f>IF(AND(BZ50&gt;=0,BZ49&lt;0,MIN($BZ$2:BZ50)&lt;0),1,0)</f>
        <v>0</v>
      </c>
      <c r="CB50">
        <f>Расчёты!AZ50+BE50+BH50-BJ50*N('Исходные данные'!$B$50)</f>
        <v>0</v>
      </c>
      <c r="CC50">
        <f t="shared" si="20"/>
        <v>0</v>
      </c>
      <c r="CD50">
        <f>IF(AND(CC50&gt;=0,CC49&lt;0,MIN($CC$2:CC50)&lt;0),1,0)</f>
        <v>0</v>
      </c>
    </row>
    <row r="51" spans="1:82" x14ac:dyDescent="0.2">
      <c r="A51">
        <f>Расчёты!A51</f>
        <v>50</v>
      </c>
      <c r="B51" t="str">
        <f>Расчёты!B51</f>
        <v/>
      </c>
      <c r="C51" t="str">
        <f>Расчёты!D51</f>
        <v/>
      </c>
      <c r="D51">
        <f>Расчёты!E51</f>
        <v>0</v>
      </c>
      <c r="E51">
        <f>IF(Расчёты!F51=0,0,IF(Расчёты!G51=1,N('Сценарный анализ'!$B$5),IF(Расчёты!G51=2,N('Сценарный анализ'!$B$6),IF(Расчёты!G51=3,N('Сценарный анализ'!$B$7),N('Сценарный анализ'!$B$7)*(1+N('Сценарный анализ'!$B$8))^(Расчёты!G51-3)))))</f>
        <v>0</v>
      </c>
      <c r="F51">
        <f>IF(OR(Расчёты!F51=0,N('Исходные данные'!$B$5)=0,E51=0),0,N('Исходные данные'!$B$5)*E51*IF(AND(B51&lt;='Исходные данные'!$B$30,Расчёты!C51&gt;='Исходные данные'!$B$30),(Расчёты!C51-'Исходные данные'!$B$30+1)/DAY(Расчёты!C51),1))</f>
        <v>0</v>
      </c>
      <c r="G51">
        <f>IF(AND(Расчёты!F51&gt;0,Расчёты!F51&lt;=N('Исходные данные'!$B$37)),-F51,0)</f>
        <v>0</v>
      </c>
      <c r="H51">
        <f>IF(OR(Расчёты!F51=0,Расчёты!F51&lt;=N('Исходные данные'!$B$37)),0,-(F51+G51)*N('Сценарный анализ'!$B$9))</f>
        <v>0</v>
      </c>
      <c r="I51">
        <f t="shared" si="21"/>
        <v>0</v>
      </c>
      <c r="J51">
        <f>IF('Исходные данные'!$B$51="Да",I51*N('Исходные данные'!$B$52),0)</f>
        <v>0</v>
      </c>
      <c r="K51">
        <f t="shared" si="22"/>
        <v>0</v>
      </c>
      <c r="L51">
        <f>I51+(Расчёты!Y51-Расчёты!L51)</f>
        <v>0</v>
      </c>
      <c r="M51">
        <f t="shared" si="33"/>
        <v>0</v>
      </c>
      <c r="N51">
        <f>IF('Исходные данные'!$B$51="Да",-MAX(0,J51+Расчёты!R51+Расчёты!V51-Расчёты!P51-Расчёты!T51-M51),0)</f>
        <v>0</v>
      </c>
      <c r="O51">
        <f>IF('Исходные данные'!$B$51="Да",MAX(0,M51+Расчёты!P51+Расчёты!T51-J51-Расчёты!R51-Расчёты!V51),0)</f>
        <v>0</v>
      </c>
      <c r="P51">
        <f>IF('Исходные данные'!$B$53="Выручка",MAX(0,I51+(Расчёты!Q51-Расчёты!R51)+(Расчёты!U51-Расчёты!V51)),IF('Исходные данные'!$B$53="Прибыль до налога",MAX(0,I51+(Расчёты!Q51-Расчёты!R51)+(Расчёты!U51-Расчёты!V51)+N('Исходные данные'!$B$54)*((Расчёты!O51+Расчёты!P51)+(Расчёты!S51+Расчёты!T51)+Расчёты!W51+Расчёты!X51)+IF('Исходные данные'!$B$55="Да",Расчёты!AG51,0)-N('Исходные данные'!$B$56)/12),IF('Исходные данные'!$B$53="Пользовательская база",MAX(0,N('Исходные данные'!$B$57)/12),0)))</f>
        <v>0</v>
      </c>
      <c r="Q51">
        <f>IF(D51=1,-P51*N('Исходные данные'!$B$50),0)</f>
        <v>0</v>
      </c>
      <c r="R51">
        <f t="shared" si="23"/>
        <v>0</v>
      </c>
      <c r="S51">
        <f>IF(OR(D51&lt;&gt;1,B51="",'Исходные данные'!$B$91="",N('Исходные данные'!$B$80)&lt;=0,'Исходные данные'!$B$88=""),0,IF(AND(YEAR(B51)=YEAR('Исходные данные'!$B$91),MONTH(B51)=MONTH('Исходные данные'!$B$91)),MAX(0,IF('Исходные данные'!$B$88="Последние 12 месяцев",SUMIFS($L$2:$L$194,$B$2:$B$194,"&gt;="&amp;EDATE(B51,-11),$B$2:$B$194,"&lt;="&amp;B51),IF('Исходные данные'!$B$88="Пользовательский NOI",N('Исходные данные'!$B$89),R51))/N('Исходные данные'!$B$80)*(1+N('Исходные данные'!$B$81))),0))</f>
        <v>0</v>
      </c>
      <c r="T51">
        <f>-S51*N('Исходные данные'!$B$73)</f>
        <v>0</v>
      </c>
      <c r="U51">
        <f>IF(S51=0,0,-N('Исходные данные'!$B$87)-IF('Исходные данные'!$B$82="Да",IF('Исходные данные'!$B$84="С выручки",S51,IF('Исходные данные'!$B$84="С прибыли",MAX(0,S51+T51-IF('Исходные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51">
        <f t="shared" si="24"/>
        <v>0</v>
      </c>
      <c r="W51">
        <f>IF(D51=1,Расчёты!AZ51+K51+N51+Q51+V51,0)</f>
        <v>0</v>
      </c>
      <c r="X51" t="str">
        <f t="shared" si="34"/>
        <v/>
      </c>
      <c r="Y51">
        <f>IF(OR(D51=0,'Исходные данные'!$B$9="",'Исходные данные'!$B$90=""),0,W51/(1+'Исходные данные'!$B$90)^((C51-'Исходные данные'!$B$9)/365))</f>
        <v>0</v>
      </c>
      <c r="Z51">
        <f>IF(D51=1,K51+Расчёты!O51+Расчёты!Q51+Расчёты!S51+Расчёты!U51+Расчёты!W51+Расчёты!X51+N51+Q51,0)</f>
        <v>0</v>
      </c>
      <c r="AA51">
        <f>IF(AND(D51=1,X51&gt;=0,X50&lt;0,MIN($X$2:X51)&lt;0),1,0)</f>
        <v>0</v>
      </c>
      <c r="AB51">
        <f>IF(Расчёты!F51=0,0,IF(Расчёты!G51=1,N('Сценарный анализ'!$C$5),IF(Расчёты!G51=2,N('Сценарный анализ'!$C$6),IF(Расчёты!G51=3,N('Сценарный анализ'!$C$7),N('Сценарный анализ'!$C$7)*(1+N('Сценарный анализ'!$C$8))^(Расчёты!G51-3)))))</f>
        <v>0</v>
      </c>
      <c r="AC51">
        <f>IF(OR(Расчёты!F51=0,N('Исходные данные'!$B$5)=0,AB51=0),0,N('Исходные данные'!$B$5)*AB51*IF(AND(B51&lt;='Исходные данные'!$B$30,Расчёты!C51&gt;='Исходные данные'!$B$30),(Расчёты!C51-'Исходные данные'!$B$30+1)/DAY(Расчёты!C51),1))</f>
        <v>0</v>
      </c>
      <c r="AD51">
        <f>IF(AND(Расчёты!F51&gt;0,Расчёты!F51&lt;=N('Исходные данные'!$B$37)),-AC51,0)</f>
        <v>0</v>
      </c>
      <c r="AE51">
        <f>IF(OR(Расчёты!F51=0,Расчёты!F51&lt;=N('Исходные данные'!$B$37)),0,-(AC51+AD51)*N('Сценарный анализ'!$C$9))</f>
        <v>0</v>
      </c>
      <c r="AF51">
        <f t="shared" si="25"/>
        <v>0</v>
      </c>
      <c r="AG51">
        <f>IF('Исходные данные'!$B$51="Да",AF51*N('Исходные данные'!$B$52),0)</f>
        <v>0</v>
      </c>
      <c r="AH51">
        <f t="shared" si="26"/>
        <v>0</v>
      </c>
      <c r="AI51">
        <f>AF51+(Расчёты!Y51-Расчёты!L51)</f>
        <v>0</v>
      </c>
      <c r="AJ51">
        <f t="shared" si="35"/>
        <v>0</v>
      </c>
      <c r="AK51">
        <f>IF('Исходные данные'!$B$51="Да",-MAX(0,AG51+Расчёты!R51+Расчёты!V51-Расчёты!P51-Расчёты!T51-AJ51),0)</f>
        <v>0</v>
      </c>
      <c r="AL51">
        <f>IF('Исходные данные'!$B$51="Да",MAX(0,AJ51+Расчёты!P51+Расчёты!T51-AG51-Расчёты!R51-Расчёты!V51),0)</f>
        <v>0</v>
      </c>
      <c r="AM51">
        <f>IF('Исходные данные'!$B$53="Выручка",MAX(0,AF51+(Расчёты!Q51-Расчёты!R51)+(Расчёты!U51-Расчёты!V51)),IF('Исходные данные'!$B$53="Прибыль до налога",MAX(0,AF51+(Расчёты!Q51-Расчёты!R51)+(Расчёты!U51-Расчёты!V51)+N('Исходные данные'!$B$54)*((Расчёты!O51+Расчёты!P51)+(Расчёты!S51+Расчёты!T51)+Расчёты!W51+Расчёты!X51)+IF('Исходные данные'!$B$55="Да",Расчёты!AG51,0)-N('Исходные данные'!$B$56)/12),IF('Исходные данные'!$B$53="Пользовательская база",MAX(0,N('Исходные данные'!$B$57)/12),0)))</f>
        <v>0</v>
      </c>
      <c r="AN51">
        <f>IF(D51=1,-AM51*N('Исходные данные'!$B$50),0)</f>
        <v>0</v>
      </c>
      <c r="AO51">
        <f t="shared" si="27"/>
        <v>0</v>
      </c>
      <c r="AP51">
        <f>IF(OR(D51&lt;&gt;1,B51="",'Исходные данные'!$B$91="",N('Исходные данные'!$B$80)&lt;=0,'Исходные данные'!$B$88=""),0,IF(AND(YEAR(B51)=YEAR('Исходные данные'!$B$91),MONTH(B51)=MONTH('Исходные данные'!$B$91)),MAX(0,IF('Исходные данные'!$B$88="Последние 12 месяцев",SUMIFS($AI$2:$AI$194,$B$2:$B$194,"&gt;="&amp;EDATE(B51,-11),$B$2:$B$194,"&lt;="&amp;B51),IF('Исходные данные'!$B$88="Пользовательский NOI",N('Исходные данные'!$B$89),AO51))/N('Исходные данные'!$B$80)*(1+N('Исходные данные'!$B$81))),0))</f>
        <v>0</v>
      </c>
      <c r="AQ51">
        <f>-AP51*N('Исходные данные'!$B$73)</f>
        <v>0</v>
      </c>
      <c r="AR51">
        <f>IF(AP51=0,0,-N('Исходные данные'!$B$87)-IF('Исходные данные'!$B$82="Да",IF('Исходные данные'!$B$84="С выручки",AP51,IF('Исходные данные'!$B$84="С прибыли",MAX(0,AP51+AQ51-IF('Исходные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51">
        <f t="shared" si="28"/>
        <v>0</v>
      </c>
      <c r="AT51">
        <f>IF(D51=1,Расчёты!AZ51+AH51+AK51+AN51+AS51,0)</f>
        <v>0</v>
      </c>
      <c r="AU51" t="str">
        <f t="shared" si="36"/>
        <v/>
      </c>
      <c r="AV51">
        <f>IF(OR(D51=0,'Исходные данные'!$B$9="",'Исходные данные'!$B$90=""),0,AT51/(1+'Исходные данные'!$B$90)^((C51-'Исходные данные'!$B$9)/365))</f>
        <v>0</v>
      </c>
      <c r="AW51">
        <f>IF(D51=1,AH51+Расчёты!O51+Расчёты!Q51+Расчёты!S51+Расчёты!U51+Расчёты!W51+Расчёты!X51+AK51+AN51,0)</f>
        <v>0</v>
      </c>
      <c r="AX51">
        <f>IF(AND(D51=1,AU51&gt;=0,AU50&lt;0,MIN($AU$2:AU51)&lt;0),1,0)</f>
        <v>0</v>
      </c>
      <c r="AY51">
        <f>IF(Расчёты!F51=0,0,IF(Расчёты!G51=1,N('Сценарный анализ'!$D$5),IF(Расчёты!G51=2,N('Сценарный анализ'!$D$6),IF(Расчёты!G51=3,N('Сценарный анализ'!$D$7),N('Сценарный анализ'!$D$7)*(1+N('Сценарный анализ'!$D$8))^(Расчёты!G51-3)))))</f>
        <v>0</v>
      </c>
      <c r="AZ51">
        <f>IF(OR(Расчёты!F51=0,N('Исходные данные'!$B$5)=0,AY51=0),0,N('Исходные данные'!$B$5)*AY51*IF(AND(B51&lt;='Исходные данные'!$B$30,Расчёты!C51&gt;='Исходные данные'!$B$30),(Расчёты!C51-'Исходные данные'!$B$30+1)/DAY(Расчёты!C51),1))</f>
        <v>0</v>
      </c>
      <c r="BA51">
        <f>IF(AND(Расчёты!F51&gt;0,Расчёты!F51&lt;=N('Исходные данные'!$B$37)),-AZ51,0)</f>
        <v>0</v>
      </c>
      <c r="BB51">
        <f>IF(OR(Расчёты!F51=0,Расчёты!F51&lt;=N('Исходные данные'!$B$37)),0,-(AZ51+BA51)*N('Сценарный анализ'!$D$9))</f>
        <v>0</v>
      </c>
      <c r="BC51">
        <f t="shared" si="29"/>
        <v>0</v>
      </c>
      <c r="BD51">
        <f>IF('Исходные данные'!$B$51="Да",BC51*N('Исходные данные'!$B$52),0)</f>
        <v>0</v>
      </c>
      <c r="BE51">
        <f t="shared" si="30"/>
        <v>0</v>
      </c>
      <c r="BF51">
        <f>BC51+(Расчёты!Y51-Расчёты!L51)</f>
        <v>0</v>
      </c>
      <c r="BG51">
        <f t="shared" si="37"/>
        <v>0</v>
      </c>
      <c r="BH51">
        <f>IF('Исходные данные'!$B$51="Да",-MAX(0,BD51+Расчёты!R51+Расчёты!V51-Расчёты!P51-Расчёты!T51-BG51),0)</f>
        <v>0</v>
      </c>
      <c r="BI51">
        <f>IF('Исходные данные'!$B$51="Да",MAX(0,BG51+Расчёты!P51+Расчёты!T51-BD51-Расчёты!R51-Расчёты!V51),0)</f>
        <v>0</v>
      </c>
      <c r="BJ51">
        <f>IF('Исходные данные'!$B$53="Выручка",MAX(0,BC51+(Расчёты!Q51-Расчёты!R51)+(Расчёты!U51-Расчёты!V51)),IF('Исходные данные'!$B$53="Прибыль до налога",MAX(0,BC51+(Расчёты!Q51-Расчёты!R51)+(Расчёты!U51-Расчёты!V51)+N('Исходные данные'!$B$54)*((Расчёты!O51+Расчёты!P51)+(Расчёты!S51+Расчёты!T51)+Расчёты!W51+Расчёты!X51)+IF('Исходные данные'!$B$55="Да",Расчёты!AG51,0)-N('Исходные данные'!$B$56)/12),IF('Исходные данные'!$B$53="Пользовательская база",MAX(0,N('Исходные данные'!$B$57)/12),0)))</f>
        <v>0</v>
      </c>
      <c r="BK51">
        <f>IF(D51=1,-BJ51*N('Исходные данные'!$B$50),0)</f>
        <v>0</v>
      </c>
      <c r="BL51">
        <f t="shared" si="31"/>
        <v>0</v>
      </c>
      <c r="BM51">
        <f>IF(OR(D51&lt;&gt;1,B51="",'Исходные данные'!$B$91="",N('Исходные данные'!$B$80)&lt;=0,'Исходные данные'!$B$88=""),0,IF(AND(YEAR(B51)=YEAR('Исходные данные'!$B$91),MONTH(B51)=MONTH('Исходные данные'!$B$91)),MAX(0,IF('Исходные данные'!$B$88="Последние 12 месяцев",SUMIFS($BF$2:$BF$194,$B$2:$B$194,"&gt;="&amp;EDATE(B51,-11),$B$2:$B$194,"&lt;="&amp;B51),IF('Исходные данные'!$B$88="Пользовательский NOI",N('Исходные данные'!$B$89),BL51))/N('Исходные данные'!$B$80)*(1+N('Исходные данные'!$B$81))),0))</f>
        <v>0</v>
      </c>
      <c r="BN51">
        <f>-BM51*N('Исходные данные'!$B$73)</f>
        <v>0</v>
      </c>
      <c r="BO51">
        <f>IF(BM51=0,0,-N('Исходные данные'!$B$87)-IF('Исходные данные'!$B$82="Да",IF('Исходные данные'!$B$84="С выручки",BM51,IF('Исходные данные'!$B$84="С прибыли",MAX(0,BM51+BN51-IF('Исходные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51">
        <f t="shared" si="32"/>
        <v>0</v>
      </c>
      <c r="BQ51">
        <f>IF(D51=1,Расчёты!AZ51+BE51+BH51+BK51+BP51,0)</f>
        <v>0</v>
      </c>
      <c r="BR51" t="str">
        <f t="shared" si="38"/>
        <v/>
      </c>
      <c r="BS51">
        <f>IF(OR(D51=0,'Исходные данные'!$B$9="",'Исходные данные'!$B$90=""),0,BQ51/(1+'Исходные данные'!$B$90)^((C51-'Исходные данные'!$B$9)/365))</f>
        <v>0</v>
      </c>
      <c r="BT51">
        <f>IF(D51=1,BE51+Расчёты!O51+Расчёты!Q51+Расчёты!S51+Расчёты!U51+Расчёты!W51+Расчёты!X51+BH51+BK51,0)</f>
        <v>0</v>
      </c>
      <c r="BU51">
        <f>IF(AND(D51=1,BR51&gt;=0,BR50&lt;0,MIN($BR$2:BR51)&lt;0),1,0)</f>
        <v>0</v>
      </c>
      <c r="BV51">
        <f>Расчёты!AZ51+K51+N51-P51*N('Исходные данные'!$B$50)</f>
        <v>0</v>
      </c>
      <c r="BW51">
        <f t="shared" si="18"/>
        <v>0</v>
      </c>
      <c r="BX51">
        <f>IF(AND(BW51&gt;=0,BW50&lt;0,MIN($BW$2:BW51)&lt;0),1,0)</f>
        <v>0</v>
      </c>
      <c r="BY51">
        <f>Расчёты!AZ51+AH51+AK51-AM51*N('Исходные данные'!$B$50)</f>
        <v>0</v>
      </c>
      <c r="BZ51">
        <f t="shared" si="19"/>
        <v>0</v>
      </c>
      <c r="CA51">
        <f>IF(AND(BZ51&gt;=0,BZ50&lt;0,MIN($BZ$2:BZ51)&lt;0),1,0)</f>
        <v>0</v>
      </c>
      <c r="CB51">
        <f>Расчёты!AZ51+BE51+BH51-BJ51*N('Исходные данные'!$B$50)</f>
        <v>0</v>
      </c>
      <c r="CC51">
        <f t="shared" si="20"/>
        <v>0</v>
      </c>
      <c r="CD51">
        <f>IF(AND(CC51&gt;=0,CC50&lt;0,MIN($CC$2:CC51)&lt;0),1,0)</f>
        <v>0</v>
      </c>
    </row>
    <row r="52" spans="1:82" x14ac:dyDescent="0.2">
      <c r="A52">
        <f>Расчёты!A52</f>
        <v>51</v>
      </c>
      <c r="B52" t="str">
        <f>Расчёты!B52</f>
        <v/>
      </c>
      <c r="C52" t="str">
        <f>Расчёты!D52</f>
        <v/>
      </c>
      <c r="D52">
        <f>Расчёты!E52</f>
        <v>0</v>
      </c>
      <c r="E52">
        <f>IF(Расчёты!F52=0,0,IF(Расчёты!G52=1,N('Сценарный анализ'!$B$5),IF(Расчёты!G52=2,N('Сценарный анализ'!$B$6),IF(Расчёты!G52=3,N('Сценарный анализ'!$B$7),N('Сценарный анализ'!$B$7)*(1+N('Сценарный анализ'!$B$8))^(Расчёты!G52-3)))))</f>
        <v>0</v>
      </c>
      <c r="F52">
        <f>IF(OR(Расчёты!F52=0,N('Исходные данные'!$B$5)=0,E52=0),0,N('Исходные данные'!$B$5)*E52*IF(AND(B52&lt;='Исходные данные'!$B$30,Расчёты!C52&gt;='Исходные данные'!$B$30),(Расчёты!C52-'Исходные данные'!$B$30+1)/DAY(Расчёты!C52),1))</f>
        <v>0</v>
      </c>
      <c r="G52">
        <f>IF(AND(Расчёты!F52&gt;0,Расчёты!F52&lt;=N('Исходные данные'!$B$37)),-F52,0)</f>
        <v>0</v>
      </c>
      <c r="H52">
        <f>IF(OR(Расчёты!F52=0,Расчёты!F52&lt;=N('Исходные данные'!$B$37)),0,-(F52+G52)*N('Сценарный анализ'!$B$9))</f>
        <v>0</v>
      </c>
      <c r="I52">
        <f t="shared" si="21"/>
        <v>0</v>
      </c>
      <c r="J52">
        <f>IF('Исходные данные'!$B$51="Да",I52*N('Исходные данные'!$B$52),0)</f>
        <v>0</v>
      </c>
      <c r="K52">
        <f t="shared" si="22"/>
        <v>0</v>
      </c>
      <c r="L52">
        <f>I52+(Расчёты!Y52-Расчёты!L52)</f>
        <v>0</v>
      </c>
      <c r="M52">
        <f t="shared" si="33"/>
        <v>0</v>
      </c>
      <c r="N52">
        <f>IF('Исходные данные'!$B$51="Да",-MAX(0,J52+Расчёты!R52+Расчёты!V52-Расчёты!P52-Расчёты!T52-M52),0)</f>
        <v>0</v>
      </c>
      <c r="O52">
        <f>IF('Исходные данные'!$B$51="Да",MAX(0,M52+Расчёты!P52+Расчёты!T52-J52-Расчёты!R52-Расчёты!V52),0)</f>
        <v>0</v>
      </c>
      <c r="P52">
        <f>IF('Исходные данные'!$B$53="Выручка",MAX(0,I52+(Расчёты!Q52-Расчёты!R52)+(Расчёты!U52-Расчёты!V52)),IF('Исходные данные'!$B$53="Прибыль до налога",MAX(0,I52+(Расчёты!Q52-Расчёты!R52)+(Расчёты!U52-Расчёты!V52)+N('Исходные данные'!$B$54)*((Расчёты!O52+Расчёты!P52)+(Расчёты!S52+Расчёты!T52)+Расчёты!W52+Расчёты!X52)+IF('Исходные данные'!$B$55="Да",Расчёты!AG52,0)-N('Исходные данные'!$B$56)/12),IF('Исходные данные'!$B$53="Пользовательская база",MAX(0,N('Исходные данные'!$B$57)/12),0)))</f>
        <v>0</v>
      </c>
      <c r="Q52">
        <f>IF(D52=1,-P52*N('Исходные данные'!$B$50),0)</f>
        <v>0</v>
      </c>
      <c r="R52">
        <f t="shared" si="23"/>
        <v>0</v>
      </c>
      <c r="S52">
        <f>IF(OR(D52&lt;&gt;1,B52="",'Исходные данные'!$B$91="",N('Исходные данные'!$B$80)&lt;=0,'Исходные данные'!$B$88=""),0,IF(AND(YEAR(B52)=YEAR('Исходные данные'!$B$91),MONTH(B52)=MONTH('Исходные данные'!$B$91)),MAX(0,IF('Исходные данные'!$B$88="Последние 12 месяцев",SUMIFS($L$2:$L$194,$B$2:$B$194,"&gt;="&amp;EDATE(B52,-11),$B$2:$B$194,"&lt;="&amp;B52),IF('Исходные данные'!$B$88="Пользовательский NOI",N('Исходные данные'!$B$89),R52))/N('Исходные данные'!$B$80)*(1+N('Исходные данные'!$B$81))),0))</f>
        <v>0</v>
      </c>
      <c r="T52">
        <f>-S52*N('Исходные данные'!$B$73)</f>
        <v>0</v>
      </c>
      <c r="U52">
        <f>IF(S52=0,0,-N('Исходные данные'!$B$87)-IF('Исходные данные'!$B$82="Да",IF('Исходные данные'!$B$84="С выручки",S52,IF('Исходные данные'!$B$84="С прибыли",MAX(0,S52+T52-IF('Исходные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52">
        <f t="shared" si="24"/>
        <v>0</v>
      </c>
      <c r="W52">
        <f>IF(D52=1,Расчёты!AZ52+K52+N52+Q52+V52,0)</f>
        <v>0</v>
      </c>
      <c r="X52" t="str">
        <f t="shared" si="34"/>
        <v/>
      </c>
      <c r="Y52">
        <f>IF(OR(D52=0,'Исходные данные'!$B$9="",'Исходные данные'!$B$90=""),0,W52/(1+'Исходные данные'!$B$90)^((C52-'Исходные данные'!$B$9)/365))</f>
        <v>0</v>
      </c>
      <c r="Z52">
        <f>IF(D52=1,K52+Расчёты!O52+Расчёты!Q52+Расчёты!S52+Расчёты!U52+Расчёты!W52+Расчёты!X52+N52+Q52,0)</f>
        <v>0</v>
      </c>
      <c r="AA52">
        <f>IF(AND(D52=1,X52&gt;=0,X51&lt;0,MIN($X$2:X52)&lt;0),1,0)</f>
        <v>0</v>
      </c>
      <c r="AB52">
        <f>IF(Расчёты!F52=0,0,IF(Расчёты!G52=1,N('Сценарный анализ'!$C$5),IF(Расчёты!G52=2,N('Сценарный анализ'!$C$6),IF(Расчёты!G52=3,N('Сценарный анализ'!$C$7),N('Сценарный анализ'!$C$7)*(1+N('Сценарный анализ'!$C$8))^(Расчёты!G52-3)))))</f>
        <v>0</v>
      </c>
      <c r="AC52">
        <f>IF(OR(Расчёты!F52=0,N('Исходные данные'!$B$5)=0,AB52=0),0,N('Исходные данные'!$B$5)*AB52*IF(AND(B52&lt;='Исходные данные'!$B$30,Расчёты!C52&gt;='Исходные данные'!$B$30),(Расчёты!C52-'Исходные данные'!$B$30+1)/DAY(Расчёты!C52),1))</f>
        <v>0</v>
      </c>
      <c r="AD52">
        <f>IF(AND(Расчёты!F52&gt;0,Расчёты!F52&lt;=N('Исходные данные'!$B$37)),-AC52,0)</f>
        <v>0</v>
      </c>
      <c r="AE52">
        <f>IF(OR(Расчёты!F52=0,Расчёты!F52&lt;=N('Исходные данные'!$B$37)),0,-(AC52+AD52)*N('Сценарный анализ'!$C$9))</f>
        <v>0</v>
      </c>
      <c r="AF52">
        <f t="shared" si="25"/>
        <v>0</v>
      </c>
      <c r="AG52">
        <f>IF('Исходные данные'!$B$51="Да",AF52*N('Исходные данные'!$B$52),0)</f>
        <v>0</v>
      </c>
      <c r="AH52">
        <f t="shared" si="26"/>
        <v>0</v>
      </c>
      <c r="AI52">
        <f>AF52+(Расчёты!Y52-Расчёты!L52)</f>
        <v>0</v>
      </c>
      <c r="AJ52">
        <f t="shared" si="35"/>
        <v>0</v>
      </c>
      <c r="AK52">
        <f>IF('Исходные данные'!$B$51="Да",-MAX(0,AG52+Расчёты!R52+Расчёты!V52-Расчёты!P52-Расчёты!T52-AJ52),0)</f>
        <v>0</v>
      </c>
      <c r="AL52">
        <f>IF('Исходные данные'!$B$51="Да",MAX(0,AJ52+Расчёты!P52+Расчёты!T52-AG52-Расчёты!R52-Расчёты!V52),0)</f>
        <v>0</v>
      </c>
      <c r="AM52">
        <f>IF('Исходные данные'!$B$53="Выручка",MAX(0,AF52+(Расчёты!Q52-Расчёты!R52)+(Расчёты!U52-Расчёты!V52)),IF('Исходные данные'!$B$53="Прибыль до налога",MAX(0,AF52+(Расчёты!Q52-Расчёты!R52)+(Расчёты!U52-Расчёты!V52)+N('Исходные данные'!$B$54)*((Расчёты!O52+Расчёты!P52)+(Расчёты!S52+Расчёты!T52)+Расчёты!W52+Расчёты!X52)+IF('Исходные данные'!$B$55="Да",Расчёты!AG52,0)-N('Исходные данные'!$B$56)/12),IF('Исходные данные'!$B$53="Пользовательская база",MAX(0,N('Исходные данные'!$B$57)/12),0)))</f>
        <v>0</v>
      </c>
      <c r="AN52">
        <f>IF(D52=1,-AM52*N('Исходные данные'!$B$50),0)</f>
        <v>0</v>
      </c>
      <c r="AO52">
        <f t="shared" si="27"/>
        <v>0</v>
      </c>
      <c r="AP52">
        <f>IF(OR(D52&lt;&gt;1,B52="",'Исходные данные'!$B$91="",N('Исходные данные'!$B$80)&lt;=0,'Исходные данные'!$B$88=""),0,IF(AND(YEAR(B52)=YEAR('Исходные данные'!$B$91),MONTH(B52)=MONTH('Исходные данные'!$B$91)),MAX(0,IF('Исходные данные'!$B$88="Последние 12 месяцев",SUMIFS($AI$2:$AI$194,$B$2:$B$194,"&gt;="&amp;EDATE(B52,-11),$B$2:$B$194,"&lt;="&amp;B52),IF('Исходные данные'!$B$88="Пользовательский NOI",N('Исходные данные'!$B$89),AO52))/N('Исходные данные'!$B$80)*(1+N('Исходные данные'!$B$81))),0))</f>
        <v>0</v>
      </c>
      <c r="AQ52">
        <f>-AP52*N('Исходные данные'!$B$73)</f>
        <v>0</v>
      </c>
      <c r="AR52">
        <f>IF(AP52=0,0,-N('Исходные данные'!$B$87)-IF('Исходные данные'!$B$82="Да",IF('Исходные данные'!$B$84="С выручки",AP52,IF('Исходные данные'!$B$84="С прибыли",MAX(0,AP52+AQ52-IF('Исходные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52">
        <f t="shared" si="28"/>
        <v>0</v>
      </c>
      <c r="AT52">
        <f>IF(D52=1,Расчёты!AZ52+AH52+AK52+AN52+AS52,0)</f>
        <v>0</v>
      </c>
      <c r="AU52" t="str">
        <f t="shared" si="36"/>
        <v/>
      </c>
      <c r="AV52">
        <f>IF(OR(D52=0,'Исходные данные'!$B$9="",'Исходные данные'!$B$90=""),0,AT52/(1+'Исходные данные'!$B$90)^((C52-'Исходные данные'!$B$9)/365))</f>
        <v>0</v>
      </c>
      <c r="AW52">
        <f>IF(D52=1,AH52+Расчёты!O52+Расчёты!Q52+Расчёты!S52+Расчёты!U52+Расчёты!W52+Расчёты!X52+AK52+AN52,0)</f>
        <v>0</v>
      </c>
      <c r="AX52">
        <f>IF(AND(D52=1,AU52&gt;=0,AU51&lt;0,MIN($AU$2:AU52)&lt;0),1,0)</f>
        <v>0</v>
      </c>
      <c r="AY52">
        <f>IF(Расчёты!F52=0,0,IF(Расчёты!G52=1,N('Сценарный анализ'!$D$5),IF(Расчёты!G52=2,N('Сценарный анализ'!$D$6),IF(Расчёты!G52=3,N('Сценарный анализ'!$D$7),N('Сценарный анализ'!$D$7)*(1+N('Сценарный анализ'!$D$8))^(Расчёты!G52-3)))))</f>
        <v>0</v>
      </c>
      <c r="AZ52">
        <f>IF(OR(Расчёты!F52=0,N('Исходные данные'!$B$5)=0,AY52=0),0,N('Исходные данные'!$B$5)*AY52*IF(AND(B52&lt;='Исходные данные'!$B$30,Расчёты!C52&gt;='Исходные данные'!$B$30),(Расчёты!C52-'Исходные данные'!$B$30+1)/DAY(Расчёты!C52),1))</f>
        <v>0</v>
      </c>
      <c r="BA52">
        <f>IF(AND(Расчёты!F52&gt;0,Расчёты!F52&lt;=N('Исходные данные'!$B$37)),-AZ52,0)</f>
        <v>0</v>
      </c>
      <c r="BB52">
        <f>IF(OR(Расчёты!F52=0,Расчёты!F52&lt;=N('Исходные данные'!$B$37)),0,-(AZ52+BA52)*N('Сценарный анализ'!$D$9))</f>
        <v>0</v>
      </c>
      <c r="BC52">
        <f t="shared" si="29"/>
        <v>0</v>
      </c>
      <c r="BD52">
        <f>IF('Исходные данные'!$B$51="Да",BC52*N('Исходные данные'!$B$52),0)</f>
        <v>0</v>
      </c>
      <c r="BE52">
        <f t="shared" si="30"/>
        <v>0</v>
      </c>
      <c r="BF52">
        <f>BC52+(Расчёты!Y52-Расчёты!L52)</f>
        <v>0</v>
      </c>
      <c r="BG52">
        <f t="shared" si="37"/>
        <v>0</v>
      </c>
      <c r="BH52">
        <f>IF('Исходные данные'!$B$51="Да",-MAX(0,BD52+Расчёты!R52+Расчёты!V52-Расчёты!P52-Расчёты!T52-BG52),0)</f>
        <v>0</v>
      </c>
      <c r="BI52">
        <f>IF('Исходные данные'!$B$51="Да",MAX(0,BG52+Расчёты!P52+Расчёты!T52-BD52-Расчёты!R52-Расчёты!V52),0)</f>
        <v>0</v>
      </c>
      <c r="BJ52">
        <f>IF('Исходные данные'!$B$53="Выручка",MAX(0,BC52+(Расчёты!Q52-Расчёты!R52)+(Расчёты!U52-Расчёты!V52)),IF('Исходные данные'!$B$53="Прибыль до налога",MAX(0,BC52+(Расчёты!Q52-Расчёты!R52)+(Расчёты!U52-Расчёты!V52)+N('Исходные данные'!$B$54)*((Расчёты!O52+Расчёты!P52)+(Расчёты!S52+Расчёты!T52)+Расчёты!W52+Расчёты!X52)+IF('Исходные данные'!$B$55="Да",Расчёты!AG52,0)-N('Исходные данные'!$B$56)/12),IF('Исходные данные'!$B$53="Пользовательская база",MAX(0,N('Исходные данные'!$B$57)/12),0)))</f>
        <v>0</v>
      </c>
      <c r="BK52">
        <f>IF(D52=1,-BJ52*N('Исходные данные'!$B$50),0)</f>
        <v>0</v>
      </c>
      <c r="BL52">
        <f t="shared" si="31"/>
        <v>0</v>
      </c>
      <c r="BM52">
        <f>IF(OR(D52&lt;&gt;1,B52="",'Исходные данные'!$B$91="",N('Исходные данные'!$B$80)&lt;=0,'Исходные данные'!$B$88=""),0,IF(AND(YEAR(B52)=YEAR('Исходные данные'!$B$91),MONTH(B52)=MONTH('Исходные данные'!$B$91)),MAX(0,IF('Исходные данные'!$B$88="Последние 12 месяцев",SUMIFS($BF$2:$BF$194,$B$2:$B$194,"&gt;="&amp;EDATE(B52,-11),$B$2:$B$194,"&lt;="&amp;B52),IF('Исходные данные'!$B$88="Пользовательский NOI",N('Исходные данные'!$B$89),BL52))/N('Исходные данные'!$B$80)*(1+N('Исходные данные'!$B$81))),0))</f>
        <v>0</v>
      </c>
      <c r="BN52">
        <f>-BM52*N('Исходные данные'!$B$73)</f>
        <v>0</v>
      </c>
      <c r="BO52">
        <f>IF(BM52=0,0,-N('Исходные данные'!$B$87)-IF('Исходные данные'!$B$82="Да",IF('Исходные данные'!$B$84="С выручки",BM52,IF('Исходные данные'!$B$84="С прибыли",MAX(0,BM52+BN52-IF('Исходные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52">
        <f t="shared" si="32"/>
        <v>0</v>
      </c>
      <c r="BQ52">
        <f>IF(D52=1,Расчёты!AZ52+BE52+BH52+BK52+BP52,0)</f>
        <v>0</v>
      </c>
      <c r="BR52" t="str">
        <f t="shared" si="38"/>
        <v/>
      </c>
      <c r="BS52">
        <f>IF(OR(D52=0,'Исходные данные'!$B$9="",'Исходные данные'!$B$90=""),0,BQ52/(1+'Исходные данные'!$B$90)^((C52-'Исходные данные'!$B$9)/365))</f>
        <v>0</v>
      </c>
      <c r="BT52">
        <f>IF(D52=1,BE52+Расчёты!O52+Расчёты!Q52+Расчёты!S52+Расчёты!U52+Расчёты!W52+Расчёты!X52+BH52+BK52,0)</f>
        <v>0</v>
      </c>
      <c r="BU52">
        <f>IF(AND(D52=1,BR52&gt;=0,BR51&lt;0,MIN($BR$2:BR52)&lt;0),1,0)</f>
        <v>0</v>
      </c>
      <c r="BV52">
        <f>Расчёты!AZ52+K52+N52-P52*N('Исходные данные'!$B$50)</f>
        <v>0</v>
      </c>
      <c r="BW52">
        <f t="shared" si="18"/>
        <v>0</v>
      </c>
      <c r="BX52">
        <f>IF(AND(BW52&gt;=0,BW51&lt;0,MIN($BW$2:BW52)&lt;0),1,0)</f>
        <v>0</v>
      </c>
      <c r="BY52">
        <f>Расчёты!AZ52+AH52+AK52-AM52*N('Исходные данные'!$B$50)</f>
        <v>0</v>
      </c>
      <c r="BZ52">
        <f t="shared" si="19"/>
        <v>0</v>
      </c>
      <c r="CA52">
        <f>IF(AND(BZ52&gt;=0,BZ51&lt;0,MIN($BZ$2:BZ52)&lt;0),1,0)</f>
        <v>0</v>
      </c>
      <c r="CB52">
        <f>Расчёты!AZ52+BE52+BH52-BJ52*N('Исходные данные'!$B$50)</f>
        <v>0</v>
      </c>
      <c r="CC52">
        <f t="shared" si="20"/>
        <v>0</v>
      </c>
      <c r="CD52">
        <f>IF(AND(CC52&gt;=0,CC51&lt;0,MIN($CC$2:CC52)&lt;0),1,0)</f>
        <v>0</v>
      </c>
    </row>
    <row r="53" spans="1:82" x14ac:dyDescent="0.2">
      <c r="A53">
        <f>Расчёты!A53</f>
        <v>52</v>
      </c>
      <c r="B53" t="str">
        <f>Расчёты!B53</f>
        <v/>
      </c>
      <c r="C53" t="str">
        <f>Расчёты!D53</f>
        <v/>
      </c>
      <c r="D53">
        <f>Расчёты!E53</f>
        <v>0</v>
      </c>
      <c r="E53">
        <f>IF(Расчёты!F53=0,0,IF(Расчёты!G53=1,N('Сценарный анализ'!$B$5),IF(Расчёты!G53=2,N('Сценарный анализ'!$B$6),IF(Расчёты!G53=3,N('Сценарный анализ'!$B$7),N('Сценарный анализ'!$B$7)*(1+N('Сценарный анализ'!$B$8))^(Расчёты!G53-3)))))</f>
        <v>0</v>
      </c>
      <c r="F53">
        <f>IF(OR(Расчёты!F53=0,N('Исходные данные'!$B$5)=0,E53=0),0,N('Исходные данные'!$B$5)*E53*IF(AND(B53&lt;='Исходные данные'!$B$30,Расчёты!C53&gt;='Исходные данные'!$B$30),(Расчёты!C53-'Исходные данные'!$B$30+1)/DAY(Расчёты!C53),1))</f>
        <v>0</v>
      </c>
      <c r="G53">
        <f>IF(AND(Расчёты!F53&gt;0,Расчёты!F53&lt;=N('Исходные данные'!$B$37)),-F53,0)</f>
        <v>0</v>
      </c>
      <c r="H53">
        <f>IF(OR(Расчёты!F53=0,Расчёты!F53&lt;=N('Исходные данные'!$B$37)),0,-(F53+G53)*N('Сценарный анализ'!$B$9))</f>
        <v>0</v>
      </c>
      <c r="I53">
        <f t="shared" si="21"/>
        <v>0</v>
      </c>
      <c r="J53">
        <f>IF('Исходные данные'!$B$51="Да",I53*N('Исходные данные'!$B$52),0)</f>
        <v>0</v>
      </c>
      <c r="K53">
        <f t="shared" si="22"/>
        <v>0</v>
      </c>
      <c r="L53">
        <f>I53+(Расчёты!Y53-Расчёты!L53)</f>
        <v>0</v>
      </c>
      <c r="M53">
        <f t="shared" si="33"/>
        <v>0</v>
      </c>
      <c r="N53">
        <f>IF('Исходные данные'!$B$51="Да",-MAX(0,J53+Расчёты!R53+Расчёты!V53-Расчёты!P53-Расчёты!T53-M53),0)</f>
        <v>0</v>
      </c>
      <c r="O53">
        <f>IF('Исходные данные'!$B$51="Да",MAX(0,M53+Расчёты!P53+Расчёты!T53-J53-Расчёты!R53-Расчёты!V53),0)</f>
        <v>0</v>
      </c>
      <c r="P53">
        <f>IF('Исходные данные'!$B$53="Выручка",MAX(0,I53+(Расчёты!Q53-Расчёты!R53)+(Расчёты!U53-Расчёты!V53)),IF('Исходные данные'!$B$53="Прибыль до налога",MAX(0,I53+(Расчёты!Q53-Расчёты!R53)+(Расчёты!U53-Расчёты!V53)+N('Исходные данные'!$B$54)*((Расчёты!O53+Расчёты!P53)+(Расчёты!S53+Расчёты!T53)+Расчёты!W53+Расчёты!X53)+IF('Исходные данные'!$B$55="Да",Расчёты!AG53,0)-N('Исходные данные'!$B$56)/12),IF('Исходные данные'!$B$53="Пользовательская база",MAX(0,N('Исходные данные'!$B$57)/12),0)))</f>
        <v>0</v>
      </c>
      <c r="Q53">
        <f>IF(D53=1,-P53*N('Исходные данные'!$B$50),0)</f>
        <v>0</v>
      </c>
      <c r="R53">
        <f t="shared" si="23"/>
        <v>0</v>
      </c>
      <c r="S53">
        <f>IF(OR(D53&lt;&gt;1,B53="",'Исходные данные'!$B$91="",N('Исходные данные'!$B$80)&lt;=0,'Исходные данные'!$B$88=""),0,IF(AND(YEAR(B53)=YEAR('Исходные данные'!$B$91),MONTH(B53)=MONTH('Исходные данные'!$B$91)),MAX(0,IF('Исходные данные'!$B$88="Последние 12 месяцев",SUMIFS($L$2:$L$194,$B$2:$B$194,"&gt;="&amp;EDATE(B53,-11),$B$2:$B$194,"&lt;="&amp;B53),IF('Исходные данные'!$B$88="Пользовательский NOI",N('Исходные данные'!$B$89),R53))/N('Исходные данные'!$B$80)*(1+N('Исходные данные'!$B$81))),0))</f>
        <v>0</v>
      </c>
      <c r="T53">
        <f>-S53*N('Исходные данные'!$B$73)</f>
        <v>0</v>
      </c>
      <c r="U53">
        <f>IF(S53=0,0,-N('Исходные данные'!$B$87)-IF('Исходные данные'!$B$82="Да",IF('Исходные данные'!$B$84="С выручки",S53,IF('Исходные данные'!$B$84="С прибыли",MAX(0,S53+T53-IF('Исходные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53">
        <f t="shared" si="24"/>
        <v>0</v>
      </c>
      <c r="W53">
        <f>IF(D53=1,Расчёты!AZ53+K53+N53+Q53+V53,0)</f>
        <v>0</v>
      </c>
      <c r="X53" t="str">
        <f t="shared" si="34"/>
        <v/>
      </c>
      <c r="Y53">
        <f>IF(OR(D53=0,'Исходные данные'!$B$9="",'Исходные данные'!$B$90=""),0,W53/(1+'Исходные данные'!$B$90)^((C53-'Исходные данные'!$B$9)/365))</f>
        <v>0</v>
      </c>
      <c r="Z53">
        <f>IF(D53=1,K53+Расчёты!O53+Расчёты!Q53+Расчёты!S53+Расчёты!U53+Расчёты!W53+Расчёты!X53+N53+Q53,0)</f>
        <v>0</v>
      </c>
      <c r="AA53">
        <f>IF(AND(D53=1,X53&gt;=0,X52&lt;0,MIN($X$2:X53)&lt;0),1,0)</f>
        <v>0</v>
      </c>
      <c r="AB53">
        <f>IF(Расчёты!F53=0,0,IF(Расчёты!G53=1,N('Сценарный анализ'!$C$5),IF(Расчёты!G53=2,N('Сценарный анализ'!$C$6),IF(Расчёты!G53=3,N('Сценарный анализ'!$C$7),N('Сценарный анализ'!$C$7)*(1+N('Сценарный анализ'!$C$8))^(Расчёты!G53-3)))))</f>
        <v>0</v>
      </c>
      <c r="AC53">
        <f>IF(OR(Расчёты!F53=0,N('Исходные данные'!$B$5)=0,AB53=0),0,N('Исходные данные'!$B$5)*AB53*IF(AND(B53&lt;='Исходные данные'!$B$30,Расчёты!C53&gt;='Исходные данные'!$B$30),(Расчёты!C53-'Исходные данные'!$B$30+1)/DAY(Расчёты!C53),1))</f>
        <v>0</v>
      </c>
      <c r="AD53">
        <f>IF(AND(Расчёты!F53&gt;0,Расчёты!F53&lt;=N('Исходные данные'!$B$37)),-AC53,0)</f>
        <v>0</v>
      </c>
      <c r="AE53">
        <f>IF(OR(Расчёты!F53=0,Расчёты!F53&lt;=N('Исходные данные'!$B$37)),0,-(AC53+AD53)*N('Сценарный анализ'!$C$9))</f>
        <v>0</v>
      </c>
      <c r="AF53">
        <f t="shared" si="25"/>
        <v>0</v>
      </c>
      <c r="AG53">
        <f>IF('Исходные данные'!$B$51="Да",AF53*N('Исходные данные'!$B$52),0)</f>
        <v>0</v>
      </c>
      <c r="AH53">
        <f t="shared" si="26"/>
        <v>0</v>
      </c>
      <c r="AI53">
        <f>AF53+(Расчёты!Y53-Расчёты!L53)</f>
        <v>0</v>
      </c>
      <c r="AJ53">
        <f t="shared" si="35"/>
        <v>0</v>
      </c>
      <c r="AK53">
        <f>IF('Исходные данные'!$B$51="Да",-MAX(0,AG53+Расчёты!R53+Расчёты!V53-Расчёты!P53-Расчёты!T53-AJ53),0)</f>
        <v>0</v>
      </c>
      <c r="AL53">
        <f>IF('Исходные данные'!$B$51="Да",MAX(0,AJ53+Расчёты!P53+Расчёты!T53-AG53-Расчёты!R53-Расчёты!V53),0)</f>
        <v>0</v>
      </c>
      <c r="AM53">
        <f>IF('Исходные данные'!$B$53="Выручка",MAX(0,AF53+(Расчёты!Q53-Расчёты!R53)+(Расчёты!U53-Расчёты!V53)),IF('Исходные данные'!$B$53="Прибыль до налога",MAX(0,AF53+(Расчёты!Q53-Расчёты!R53)+(Расчёты!U53-Расчёты!V53)+N('Исходные данные'!$B$54)*((Расчёты!O53+Расчёты!P53)+(Расчёты!S53+Расчёты!T53)+Расчёты!W53+Расчёты!X53)+IF('Исходные данные'!$B$55="Да",Расчёты!AG53,0)-N('Исходные данные'!$B$56)/12),IF('Исходные данные'!$B$53="Пользовательская база",MAX(0,N('Исходные данные'!$B$57)/12),0)))</f>
        <v>0</v>
      </c>
      <c r="AN53">
        <f>IF(D53=1,-AM53*N('Исходные данные'!$B$50),0)</f>
        <v>0</v>
      </c>
      <c r="AO53">
        <f t="shared" si="27"/>
        <v>0</v>
      </c>
      <c r="AP53">
        <f>IF(OR(D53&lt;&gt;1,B53="",'Исходные данные'!$B$91="",N('Исходные данные'!$B$80)&lt;=0,'Исходные данные'!$B$88=""),0,IF(AND(YEAR(B53)=YEAR('Исходные данные'!$B$91),MONTH(B53)=MONTH('Исходные данные'!$B$91)),MAX(0,IF('Исходные данные'!$B$88="Последние 12 месяцев",SUMIFS($AI$2:$AI$194,$B$2:$B$194,"&gt;="&amp;EDATE(B53,-11),$B$2:$B$194,"&lt;="&amp;B53),IF('Исходные данные'!$B$88="Пользовательский NOI",N('Исходные данные'!$B$89),AO53))/N('Исходные данные'!$B$80)*(1+N('Исходные данные'!$B$81))),0))</f>
        <v>0</v>
      </c>
      <c r="AQ53">
        <f>-AP53*N('Исходные данные'!$B$73)</f>
        <v>0</v>
      </c>
      <c r="AR53">
        <f>IF(AP53=0,0,-N('Исходные данные'!$B$87)-IF('Исходные данные'!$B$82="Да",IF('Исходные данные'!$B$84="С выручки",AP53,IF('Исходные данные'!$B$84="С прибыли",MAX(0,AP53+AQ53-IF('Исходные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53">
        <f t="shared" si="28"/>
        <v>0</v>
      </c>
      <c r="AT53">
        <f>IF(D53=1,Расчёты!AZ53+AH53+AK53+AN53+AS53,0)</f>
        <v>0</v>
      </c>
      <c r="AU53" t="str">
        <f t="shared" si="36"/>
        <v/>
      </c>
      <c r="AV53">
        <f>IF(OR(D53=0,'Исходные данные'!$B$9="",'Исходные данные'!$B$90=""),0,AT53/(1+'Исходные данные'!$B$90)^((C53-'Исходные данные'!$B$9)/365))</f>
        <v>0</v>
      </c>
      <c r="AW53">
        <f>IF(D53=1,AH53+Расчёты!O53+Расчёты!Q53+Расчёты!S53+Расчёты!U53+Расчёты!W53+Расчёты!X53+AK53+AN53,0)</f>
        <v>0</v>
      </c>
      <c r="AX53">
        <f>IF(AND(D53=1,AU53&gt;=0,AU52&lt;0,MIN($AU$2:AU53)&lt;0),1,0)</f>
        <v>0</v>
      </c>
      <c r="AY53">
        <f>IF(Расчёты!F53=0,0,IF(Расчёты!G53=1,N('Сценарный анализ'!$D$5),IF(Расчёты!G53=2,N('Сценарный анализ'!$D$6),IF(Расчёты!G53=3,N('Сценарный анализ'!$D$7),N('Сценарный анализ'!$D$7)*(1+N('Сценарный анализ'!$D$8))^(Расчёты!G53-3)))))</f>
        <v>0</v>
      </c>
      <c r="AZ53">
        <f>IF(OR(Расчёты!F53=0,N('Исходные данные'!$B$5)=0,AY53=0),0,N('Исходные данные'!$B$5)*AY53*IF(AND(B53&lt;='Исходные данные'!$B$30,Расчёты!C53&gt;='Исходные данные'!$B$30),(Расчёты!C53-'Исходные данные'!$B$30+1)/DAY(Расчёты!C53),1))</f>
        <v>0</v>
      </c>
      <c r="BA53">
        <f>IF(AND(Расчёты!F53&gt;0,Расчёты!F53&lt;=N('Исходные данные'!$B$37)),-AZ53,0)</f>
        <v>0</v>
      </c>
      <c r="BB53">
        <f>IF(OR(Расчёты!F53=0,Расчёты!F53&lt;=N('Исходные данные'!$B$37)),0,-(AZ53+BA53)*N('Сценарный анализ'!$D$9))</f>
        <v>0</v>
      </c>
      <c r="BC53">
        <f t="shared" si="29"/>
        <v>0</v>
      </c>
      <c r="BD53">
        <f>IF('Исходные данные'!$B$51="Да",BC53*N('Исходные данные'!$B$52),0)</f>
        <v>0</v>
      </c>
      <c r="BE53">
        <f t="shared" si="30"/>
        <v>0</v>
      </c>
      <c r="BF53">
        <f>BC53+(Расчёты!Y53-Расчёты!L53)</f>
        <v>0</v>
      </c>
      <c r="BG53">
        <f t="shared" si="37"/>
        <v>0</v>
      </c>
      <c r="BH53">
        <f>IF('Исходные данные'!$B$51="Да",-MAX(0,BD53+Расчёты!R53+Расчёты!V53-Расчёты!P53-Расчёты!T53-BG53),0)</f>
        <v>0</v>
      </c>
      <c r="BI53">
        <f>IF('Исходные данные'!$B$51="Да",MAX(0,BG53+Расчёты!P53+Расчёты!T53-BD53-Расчёты!R53-Расчёты!V53),0)</f>
        <v>0</v>
      </c>
      <c r="BJ53">
        <f>IF('Исходные данные'!$B$53="Выручка",MAX(0,BC53+(Расчёты!Q53-Расчёты!R53)+(Расчёты!U53-Расчёты!V53)),IF('Исходные данные'!$B$53="Прибыль до налога",MAX(0,BC53+(Расчёты!Q53-Расчёты!R53)+(Расчёты!U53-Расчёты!V53)+N('Исходные данные'!$B$54)*((Расчёты!O53+Расчёты!P53)+(Расчёты!S53+Расчёты!T53)+Расчёты!W53+Расчёты!X53)+IF('Исходные данные'!$B$55="Да",Расчёты!AG53,0)-N('Исходные данные'!$B$56)/12),IF('Исходные данные'!$B$53="Пользовательская база",MAX(0,N('Исходные данные'!$B$57)/12),0)))</f>
        <v>0</v>
      </c>
      <c r="BK53">
        <f>IF(D53=1,-BJ53*N('Исходные данные'!$B$50),0)</f>
        <v>0</v>
      </c>
      <c r="BL53">
        <f t="shared" si="31"/>
        <v>0</v>
      </c>
      <c r="BM53">
        <f>IF(OR(D53&lt;&gt;1,B53="",'Исходные данные'!$B$91="",N('Исходные данные'!$B$80)&lt;=0,'Исходные данные'!$B$88=""),0,IF(AND(YEAR(B53)=YEAR('Исходные данные'!$B$91),MONTH(B53)=MONTH('Исходные данные'!$B$91)),MAX(0,IF('Исходные данные'!$B$88="Последние 12 месяцев",SUMIFS($BF$2:$BF$194,$B$2:$B$194,"&gt;="&amp;EDATE(B53,-11),$B$2:$B$194,"&lt;="&amp;B53),IF('Исходные данные'!$B$88="Пользовательский NOI",N('Исходные данные'!$B$89),BL53))/N('Исходные данные'!$B$80)*(1+N('Исходные данные'!$B$81))),0))</f>
        <v>0</v>
      </c>
      <c r="BN53">
        <f>-BM53*N('Исходные данные'!$B$73)</f>
        <v>0</v>
      </c>
      <c r="BO53">
        <f>IF(BM53=0,0,-N('Исходные данные'!$B$87)-IF('Исходные данные'!$B$82="Да",IF('Исходные данные'!$B$84="С выручки",BM53,IF('Исходные данные'!$B$84="С прибыли",MAX(0,BM53+BN53-IF('Исходные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53">
        <f t="shared" si="32"/>
        <v>0</v>
      </c>
      <c r="BQ53">
        <f>IF(D53=1,Расчёты!AZ53+BE53+BH53+BK53+BP53,0)</f>
        <v>0</v>
      </c>
      <c r="BR53" t="str">
        <f t="shared" si="38"/>
        <v/>
      </c>
      <c r="BS53">
        <f>IF(OR(D53=0,'Исходные данные'!$B$9="",'Исходные данные'!$B$90=""),0,BQ53/(1+'Исходные данные'!$B$90)^((C53-'Исходные данные'!$B$9)/365))</f>
        <v>0</v>
      </c>
      <c r="BT53">
        <f>IF(D53=1,BE53+Расчёты!O53+Расчёты!Q53+Расчёты!S53+Расчёты!U53+Расчёты!W53+Расчёты!X53+BH53+BK53,0)</f>
        <v>0</v>
      </c>
      <c r="BU53">
        <f>IF(AND(D53=1,BR53&gt;=0,BR52&lt;0,MIN($BR$2:BR53)&lt;0),1,0)</f>
        <v>0</v>
      </c>
      <c r="BV53">
        <f>Расчёты!AZ53+K53+N53-P53*N('Исходные данные'!$B$50)</f>
        <v>0</v>
      </c>
      <c r="BW53">
        <f t="shared" si="18"/>
        <v>0</v>
      </c>
      <c r="BX53">
        <f>IF(AND(BW53&gt;=0,BW52&lt;0,MIN($BW$2:BW53)&lt;0),1,0)</f>
        <v>0</v>
      </c>
      <c r="BY53">
        <f>Расчёты!AZ53+AH53+AK53-AM53*N('Исходные данные'!$B$50)</f>
        <v>0</v>
      </c>
      <c r="BZ53">
        <f t="shared" si="19"/>
        <v>0</v>
      </c>
      <c r="CA53">
        <f>IF(AND(BZ53&gt;=0,BZ52&lt;0,MIN($BZ$2:BZ53)&lt;0),1,0)</f>
        <v>0</v>
      </c>
      <c r="CB53">
        <f>Расчёты!AZ53+BE53+BH53-BJ53*N('Исходные данные'!$B$50)</f>
        <v>0</v>
      </c>
      <c r="CC53">
        <f t="shared" si="20"/>
        <v>0</v>
      </c>
      <c r="CD53">
        <f>IF(AND(CC53&gt;=0,CC52&lt;0,MIN($CC$2:CC53)&lt;0),1,0)</f>
        <v>0</v>
      </c>
    </row>
    <row r="54" spans="1:82" x14ac:dyDescent="0.2">
      <c r="A54">
        <f>Расчёты!A54</f>
        <v>53</v>
      </c>
      <c r="B54" t="str">
        <f>Расчёты!B54</f>
        <v/>
      </c>
      <c r="C54" t="str">
        <f>Расчёты!D54</f>
        <v/>
      </c>
      <c r="D54">
        <f>Расчёты!E54</f>
        <v>0</v>
      </c>
      <c r="E54">
        <f>IF(Расчёты!F54=0,0,IF(Расчёты!G54=1,N('Сценарный анализ'!$B$5),IF(Расчёты!G54=2,N('Сценарный анализ'!$B$6),IF(Расчёты!G54=3,N('Сценарный анализ'!$B$7),N('Сценарный анализ'!$B$7)*(1+N('Сценарный анализ'!$B$8))^(Расчёты!G54-3)))))</f>
        <v>0</v>
      </c>
      <c r="F54">
        <f>IF(OR(Расчёты!F54=0,N('Исходные данные'!$B$5)=0,E54=0),0,N('Исходные данные'!$B$5)*E54*IF(AND(B54&lt;='Исходные данные'!$B$30,Расчёты!C54&gt;='Исходные данные'!$B$30),(Расчёты!C54-'Исходные данные'!$B$30+1)/DAY(Расчёты!C54),1))</f>
        <v>0</v>
      </c>
      <c r="G54">
        <f>IF(AND(Расчёты!F54&gt;0,Расчёты!F54&lt;=N('Исходные данные'!$B$37)),-F54,0)</f>
        <v>0</v>
      </c>
      <c r="H54">
        <f>IF(OR(Расчёты!F54=0,Расчёты!F54&lt;=N('Исходные данные'!$B$37)),0,-(F54+G54)*N('Сценарный анализ'!$B$9))</f>
        <v>0</v>
      </c>
      <c r="I54">
        <f t="shared" si="21"/>
        <v>0</v>
      </c>
      <c r="J54">
        <f>IF('Исходные данные'!$B$51="Да",I54*N('Исходные данные'!$B$52),0)</f>
        <v>0</v>
      </c>
      <c r="K54">
        <f t="shared" si="22"/>
        <v>0</v>
      </c>
      <c r="L54">
        <f>I54+(Расчёты!Y54-Расчёты!L54)</f>
        <v>0</v>
      </c>
      <c r="M54">
        <f t="shared" si="33"/>
        <v>0</v>
      </c>
      <c r="N54">
        <f>IF('Исходные данные'!$B$51="Да",-MAX(0,J54+Расчёты!R54+Расчёты!V54-Расчёты!P54-Расчёты!T54-M54),0)</f>
        <v>0</v>
      </c>
      <c r="O54">
        <f>IF('Исходные данные'!$B$51="Да",MAX(0,M54+Расчёты!P54+Расчёты!T54-J54-Расчёты!R54-Расчёты!V54),0)</f>
        <v>0</v>
      </c>
      <c r="P54">
        <f>IF('Исходные данные'!$B$53="Выручка",MAX(0,I54+(Расчёты!Q54-Расчёты!R54)+(Расчёты!U54-Расчёты!V54)),IF('Исходные данные'!$B$53="Прибыль до налога",MAX(0,I54+(Расчёты!Q54-Расчёты!R54)+(Расчёты!U54-Расчёты!V54)+N('Исходные данные'!$B$54)*((Расчёты!O54+Расчёты!P54)+(Расчёты!S54+Расчёты!T54)+Расчёты!W54+Расчёты!X54)+IF('Исходные данные'!$B$55="Да",Расчёты!AG54,0)-N('Исходные данные'!$B$56)/12),IF('Исходные данные'!$B$53="Пользовательская база",MAX(0,N('Исходные данные'!$B$57)/12),0)))</f>
        <v>0</v>
      </c>
      <c r="Q54">
        <f>IF(D54=1,-P54*N('Исходные данные'!$B$50),0)</f>
        <v>0</v>
      </c>
      <c r="R54">
        <f t="shared" si="23"/>
        <v>0</v>
      </c>
      <c r="S54">
        <f>IF(OR(D54&lt;&gt;1,B54="",'Исходные данные'!$B$91="",N('Исходные данные'!$B$80)&lt;=0,'Исходные данные'!$B$88=""),0,IF(AND(YEAR(B54)=YEAR('Исходные данные'!$B$91),MONTH(B54)=MONTH('Исходные данные'!$B$91)),MAX(0,IF('Исходные данные'!$B$88="Последние 12 месяцев",SUMIFS($L$2:$L$194,$B$2:$B$194,"&gt;="&amp;EDATE(B54,-11),$B$2:$B$194,"&lt;="&amp;B54),IF('Исходные данные'!$B$88="Пользовательский NOI",N('Исходные данные'!$B$89),R54))/N('Исходные данные'!$B$80)*(1+N('Исходные данные'!$B$81))),0))</f>
        <v>0</v>
      </c>
      <c r="T54">
        <f>-S54*N('Исходные данные'!$B$73)</f>
        <v>0</v>
      </c>
      <c r="U54">
        <f>IF(S54=0,0,-N('Исходные данные'!$B$87)-IF('Исходные данные'!$B$82="Да",IF('Исходные данные'!$B$84="С выручки",S54,IF('Исходные данные'!$B$84="С прибыли",MAX(0,S54+T54-IF('Исходные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54">
        <f t="shared" si="24"/>
        <v>0</v>
      </c>
      <c r="W54">
        <f>IF(D54=1,Расчёты!AZ54+K54+N54+Q54+V54,0)</f>
        <v>0</v>
      </c>
      <c r="X54" t="str">
        <f t="shared" si="34"/>
        <v/>
      </c>
      <c r="Y54">
        <f>IF(OR(D54=0,'Исходные данные'!$B$9="",'Исходные данные'!$B$90=""),0,W54/(1+'Исходные данные'!$B$90)^((C54-'Исходные данные'!$B$9)/365))</f>
        <v>0</v>
      </c>
      <c r="Z54">
        <f>IF(D54=1,K54+Расчёты!O54+Расчёты!Q54+Расчёты!S54+Расчёты!U54+Расчёты!W54+Расчёты!X54+N54+Q54,0)</f>
        <v>0</v>
      </c>
      <c r="AA54">
        <f>IF(AND(D54=1,X54&gt;=0,X53&lt;0,MIN($X$2:X54)&lt;0),1,0)</f>
        <v>0</v>
      </c>
      <c r="AB54">
        <f>IF(Расчёты!F54=0,0,IF(Расчёты!G54=1,N('Сценарный анализ'!$C$5),IF(Расчёты!G54=2,N('Сценарный анализ'!$C$6),IF(Расчёты!G54=3,N('Сценарный анализ'!$C$7),N('Сценарный анализ'!$C$7)*(1+N('Сценарный анализ'!$C$8))^(Расчёты!G54-3)))))</f>
        <v>0</v>
      </c>
      <c r="AC54">
        <f>IF(OR(Расчёты!F54=0,N('Исходные данные'!$B$5)=0,AB54=0),0,N('Исходные данные'!$B$5)*AB54*IF(AND(B54&lt;='Исходные данные'!$B$30,Расчёты!C54&gt;='Исходные данные'!$B$30),(Расчёты!C54-'Исходные данные'!$B$30+1)/DAY(Расчёты!C54),1))</f>
        <v>0</v>
      </c>
      <c r="AD54">
        <f>IF(AND(Расчёты!F54&gt;0,Расчёты!F54&lt;=N('Исходные данные'!$B$37)),-AC54,0)</f>
        <v>0</v>
      </c>
      <c r="AE54">
        <f>IF(OR(Расчёты!F54=0,Расчёты!F54&lt;=N('Исходные данные'!$B$37)),0,-(AC54+AD54)*N('Сценарный анализ'!$C$9))</f>
        <v>0</v>
      </c>
      <c r="AF54">
        <f t="shared" si="25"/>
        <v>0</v>
      </c>
      <c r="AG54">
        <f>IF('Исходные данные'!$B$51="Да",AF54*N('Исходные данные'!$B$52),0)</f>
        <v>0</v>
      </c>
      <c r="AH54">
        <f t="shared" si="26"/>
        <v>0</v>
      </c>
      <c r="AI54">
        <f>AF54+(Расчёты!Y54-Расчёты!L54)</f>
        <v>0</v>
      </c>
      <c r="AJ54">
        <f t="shared" si="35"/>
        <v>0</v>
      </c>
      <c r="AK54">
        <f>IF('Исходные данные'!$B$51="Да",-MAX(0,AG54+Расчёты!R54+Расчёты!V54-Расчёты!P54-Расчёты!T54-AJ54),0)</f>
        <v>0</v>
      </c>
      <c r="AL54">
        <f>IF('Исходные данные'!$B$51="Да",MAX(0,AJ54+Расчёты!P54+Расчёты!T54-AG54-Расчёты!R54-Расчёты!V54),0)</f>
        <v>0</v>
      </c>
      <c r="AM54">
        <f>IF('Исходные данные'!$B$53="Выручка",MAX(0,AF54+(Расчёты!Q54-Расчёты!R54)+(Расчёты!U54-Расчёты!V54)),IF('Исходные данные'!$B$53="Прибыль до налога",MAX(0,AF54+(Расчёты!Q54-Расчёты!R54)+(Расчёты!U54-Расчёты!V54)+N('Исходные данные'!$B$54)*((Расчёты!O54+Расчёты!P54)+(Расчёты!S54+Расчёты!T54)+Расчёты!W54+Расчёты!X54)+IF('Исходные данные'!$B$55="Да",Расчёты!AG54,0)-N('Исходные данные'!$B$56)/12),IF('Исходные данные'!$B$53="Пользовательская база",MAX(0,N('Исходные данные'!$B$57)/12),0)))</f>
        <v>0</v>
      </c>
      <c r="AN54">
        <f>IF(D54=1,-AM54*N('Исходные данные'!$B$50),0)</f>
        <v>0</v>
      </c>
      <c r="AO54">
        <f t="shared" si="27"/>
        <v>0</v>
      </c>
      <c r="AP54">
        <f>IF(OR(D54&lt;&gt;1,B54="",'Исходные данные'!$B$91="",N('Исходные данные'!$B$80)&lt;=0,'Исходные данные'!$B$88=""),0,IF(AND(YEAR(B54)=YEAR('Исходные данные'!$B$91),MONTH(B54)=MONTH('Исходные данные'!$B$91)),MAX(0,IF('Исходные данные'!$B$88="Последние 12 месяцев",SUMIFS($AI$2:$AI$194,$B$2:$B$194,"&gt;="&amp;EDATE(B54,-11),$B$2:$B$194,"&lt;="&amp;B54),IF('Исходные данные'!$B$88="Пользовательский NOI",N('Исходные данные'!$B$89),AO54))/N('Исходные данные'!$B$80)*(1+N('Исходные данные'!$B$81))),0))</f>
        <v>0</v>
      </c>
      <c r="AQ54">
        <f>-AP54*N('Исходные данные'!$B$73)</f>
        <v>0</v>
      </c>
      <c r="AR54">
        <f>IF(AP54=0,0,-N('Исходные данные'!$B$87)-IF('Исходные данные'!$B$82="Да",IF('Исходные данные'!$B$84="С выручки",AP54,IF('Исходные данные'!$B$84="С прибыли",MAX(0,AP54+AQ54-IF('Исходные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54">
        <f t="shared" si="28"/>
        <v>0</v>
      </c>
      <c r="AT54">
        <f>IF(D54=1,Расчёты!AZ54+AH54+AK54+AN54+AS54,0)</f>
        <v>0</v>
      </c>
      <c r="AU54" t="str">
        <f t="shared" si="36"/>
        <v/>
      </c>
      <c r="AV54">
        <f>IF(OR(D54=0,'Исходные данные'!$B$9="",'Исходные данные'!$B$90=""),0,AT54/(1+'Исходные данные'!$B$90)^((C54-'Исходные данные'!$B$9)/365))</f>
        <v>0</v>
      </c>
      <c r="AW54">
        <f>IF(D54=1,AH54+Расчёты!O54+Расчёты!Q54+Расчёты!S54+Расчёты!U54+Расчёты!W54+Расчёты!X54+AK54+AN54,0)</f>
        <v>0</v>
      </c>
      <c r="AX54">
        <f>IF(AND(D54=1,AU54&gt;=0,AU53&lt;0,MIN($AU$2:AU54)&lt;0),1,0)</f>
        <v>0</v>
      </c>
      <c r="AY54">
        <f>IF(Расчёты!F54=0,0,IF(Расчёты!G54=1,N('Сценарный анализ'!$D$5),IF(Расчёты!G54=2,N('Сценарный анализ'!$D$6),IF(Расчёты!G54=3,N('Сценарный анализ'!$D$7),N('Сценарный анализ'!$D$7)*(1+N('Сценарный анализ'!$D$8))^(Расчёты!G54-3)))))</f>
        <v>0</v>
      </c>
      <c r="AZ54">
        <f>IF(OR(Расчёты!F54=0,N('Исходные данные'!$B$5)=0,AY54=0),0,N('Исходные данные'!$B$5)*AY54*IF(AND(B54&lt;='Исходные данные'!$B$30,Расчёты!C54&gt;='Исходные данные'!$B$30),(Расчёты!C54-'Исходные данные'!$B$30+1)/DAY(Расчёты!C54),1))</f>
        <v>0</v>
      </c>
      <c r="BA54">
        <f>IF(AND(Расчёты!F54&gt;0,Расчёты!F54&lt;=N('Исходные данные'!$B$37)),-AZ54,0)</f>
        <v>0</v>
      </c>
      <c r="BB54">
        <f>IF(OR(Расчёты!F54=0,Расчёты!F54&lt;=N('Исходные данные'!$B$37)),0,-(AZ54+BA54)*N('Сценарный анализ'!$D$9))</f>
        <v>0</v>
      </c>
      <c r="BC54">
        <f t="shared" si="29"/>
        <v>0</v>
      </c>
      <c r="BD54">
        <f>IF('Исходные данные'!$B$51="Да",BC54*N('Исходные данные'!$B$52),0)</f>
        <v>0</v>
      </c>
      <c r="BE54">
        <f t="shared" si="30"/>
        <v>0</v>
      </c>
      <c r="BF54">
        <f>BC54+(Расчёты!Y54-Расчёты!L54)</f>
        <v>0</v>
      </c>
      <c r="BG54">
        <f t="shared" si="37"/>
        <v>0</v>
      </c>
      <c r="BH54">
        <f>IF('Исходные данные'!$B$51="Да",-MAX(0,BD54+Расчёты!R54+Расчёты!V54-Расчёты!P54-Расчёты!T54-BG54),0)</f>
        <v>0</v>
      </c>
      <c r="BI54">
        <f>IF('Исходные данные'!$B$51="Да",MAX(0,BG54+Расчёты!P54+Расчёты!T54-BD54-Расчёты!R54-Расчёты!V54),0)</f>
        <v>0</v>
      </c>
      <c r="BJ54">
        <f>IF('Исходные данные'!$B$53="Выручка",MAX(0,BC54+(Расчёты!Q54-Расчёты!R54)+(Расчёты!U54-Расчёты!V54)),IF('Исходные данные'!$B$53="Прибыль до налога",MAX(0,BC54+(Расчёты!Q54-Расчёты!R54)+(Расчёты!U54-Расчёты!V54)+N('Исходные данные'!$B$54)*((Расчёты!O54+Расчёты!P54)+(Расчёты!S54+Расчёты!T54)+Расчёты!W54+Расчёты!X54)+IF('Исходные данные'!$B$55="Да",Расчёты!AG54,0)-N('Исходные данные'!$B$56)/12),IF('Исходные данные'!$B$53="Пользовательская база",MAX(0,N('Исходные данные'!$B$57)/12),0)))</f>
        <v>0</v>
      </c>
      <c r="BK54">
        <f>IF(D54=1,-BJ54*N('Исходные данные'!$B$50),0)</f>
        <v>0</v>
      </c>
      <c r="BL54">
        <f t="shared" si="31"/>
        <v>0</v>
      </c>
      <c r="BM54">
        <f>IF(OR(D54&lt;&gt;1,B54="",'Исходные данные'!$B$91="",N('Исходные данные'!$B$80)&lt;=0,'Исходные данные'!$B$88=""),0,IF(AND(YEAR(B54)=YEAR('Исходные данные'!$B$91),MONTH(B54)=MONTH('Исходные данные'!$B$91)),MAX(0,IF('Исходные данные'!$B$88="Последние 12 месяцев",SUMIFS($BF$2:$BF$194,$B$2:$B$194,"&gt;="&amp;EDATE(B54,-11),$B$2:$B$194,"&lt;="&amp;B54),IF('Исходные данные'!$B$88="Пользовательский NOI",N('Исходные данные'!$B$89),BL54))/N('Исходные данные'!$B$80)*(1+N('Исходные данные'!$B$81))),0))</f>
        <v>0</v>
      </c>
      <c r="BN54">
        <f>-BM54*N('Исходные данные'!$B$73)</f>
        <v>0</v>
      </c>
      <c r="BO54">
        <f>IF(BM54=0,0,-N('Исходные данные'!$B$87)-IF('Исходные данные'!$B$82="Да",IF('Исходные данные'!$B$84="С выручки",BM54,IF('Исходные данные'!$B$84="С прибыли",MAX(0,BM54+BN54-IF('Исходные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54">
        <f t="shared" si="32"/>
        <v>0</v>
      </c>
      <c r="BQ54">
        <f>IF(D54=1,Расчёты!AZ54+BE54+BH54+BK54+BP54,0)</f>
        <v>0</v>
      </c>
      <c r="BR54" t="str">
        <f t="shared" si="38"/>
        <v/>
      </c>
      <c r="BS54">
        <f>IF(OR(D54=0,'Исходные данные'!$B$9="",'Исходные данные'!$B$90=""),0,BQ54/(1+'Исходные данные'!$B$90)^((C54-'Исходные данные'!$B$9)/365))</f>
        <v>0</v>
      </c>
      <c r="BT54">
        <f>IF(D54=1,BE54+Расчёты!O54+Расчёты!Q54+Расчёты!S54+Расчёты!U54+Расчёты!W54+Расчёты!X54+BH54+BK54,0)</f>
        <v>0</v>
      </c>
      <c r="BU54">
        <f>IF(AND(D54=1,BR54&gt;=0,BR53&lt;0,MIN($BR$2:BR54)&lt;0),1,0)</f>
        <v>0</v>
      </c>
      <c r="BV54">
        <f>Расчёты!AZ54+K54+N54-P54*N('Исходные данные'!$B$50)</f>
        <v>0</v>
      </c>
      <c r="BW54">
        <f t="shared" si="18"/>
        <v>0</v>
      </c>
      <c r="BX54">
        <f>IF(AND(BW54&gt;=0,BW53&lt;0,MIN($BW$2:BW54)&lt;0),1,0)</f>
        <v>0</v>
      </c>
      <c r="BY54">
        <f>Расчёты!AZ54+AH54+AK54-AM54*N('Исходные данные'!$B$50)</f>
        <v>0</v>
      </c>
      <c r="BZ54">
        <f t="shared" si="19"/>
        <v>0</v>
      </c>
      <c r="CA54">
        <f>IF(AND(BZ54&gt;=0,BZ53&lt;0,MIN($BZ$2:BZ54)&lt;0),1,0)</f>
        <v>0</v>
      </c>
      <c r="CB54">
        <f>Расчёты!AZ54+BE54+BH54-BJ54*N('Исходные данные'!$B$50)</f>
        <v>0</v>
      </c>
      <c r="CC54">
        <f t="shared" si="20"/>
        <v>0</v>
      </c>
      <c r="CD54">
        <f>IF(AND(CC54&gt;=0,CC53&lt;0,MIN($CC$2:CC54)&lt;0),1,0)</f>
        <v>0</v>
      </c>
    </row>
    <row r="55" spans="1:82" x14ac:dyDescent="0.2">
      <c r="A55">
        <f>Расчёты!A55</f>
        <v>54</v>
      </c>
      <c r="B55" t="str">
        <f>Расчёты!B55</f>
        <v/>
      </c>
      <c r="C55" t="str">
        <f>Расчёты!D55</f>
        <v/>
      </c>
      <c r="D55">
        <f>Расчёты!E55</f>
        <v>0</v>
      </c>
      <c r="E55">
        <f>IF(Расчёты!F55=0,0,IF(Расчёты!G55=1,N('Сценарный анализ'!$B$5),IF(Расчёты!G55=2,N('Сценарный анализ'!$B$6),IF(Расчёты!G55=3,N('Сценарный анализ'!$B$7),N('Сценарный анализ'!$B$7)*(1+N('Сценарный анализ'!$B$8))^(Расчёты!G55-3)))))</f>
        <v>0</v>
      </c>
      <c r="F55">
        <f>IF(OR(Расчёты!F55=0,N('Исходные данные'!$B$5)=0,E55=0),0,N('Исходные данные'!$B$5)*E55*IF(AND(B55&lt;='Исходные данные'!$B$30,Расчёты!C55&gt;='Исходные данные'!$B$30),(Расчёты!C55-'Исходные данные'!$B$30+1)/DAY(Расчёты!C55),1))</f>
        <v>0</v>
      </c>
      <c r="G55">
        <f>IF(AND(Расчёты!F55&gt;0,Расчёты!F55&lt;=N('Исходные данные'!$B$37)),-F55,0)</f>
        <v>0</v>
      </c>
      <c r="H55">
        <f>IF(OR(Расчёты!F55=0,Расчёты!F55&lt;=N('Исходные данные'!$B$37)),0,-(F55+G55)*N('Сценарный анализ'!$B$9))</f>
        <v>0</v>
      </c>
      <c r="I55">
        <f t="shared" si="21"/>
        <v>0</v>
      </c>
      <c r="J55">
        <f>IF('Исходные данные'!$B$51="Да",I55*N('Исходные данные'!$B$52),0)</f>
        <v>0</v>
      </c>
      <c r="K55">
        <f t="shared" si="22"/>
        <v>0</v>
      </c>
      <c r="L55">
        <f>I55+(Расчёты!Y55-Расчёты!L55)</f>
        <v>0</v>
      </c>
      <c r="M55">
        <f t="shared" si="33"/>
        <v>0</v>
      </c>
      <c r="N55">
        <f>IF('Исходные данные'!$B$51="Да",-MAX(0,J55+Расчёты!R55+Расчёты!V55-Расчёты!P55-Расчёты!T55-M55),0)</f>
        <v>0</v>
      </c>
      <c r="O55">
        <f>IF('Исходные данные'!$B$51="Да",MAX(0,M55+Расчёты!P55+Расчёты!T55-J55-Расчёты!R55-Расчёты!V55),0)</f>
        <v>0</v>
      </c>
      <c r="P55">
        <f>IF('Исходные данные'!$B$53="Выручка",MAX(0,I55+(Расчёты!Q55-Расчёты!R55)+(Расчёты!U55-Расчёты!V55)),IF('Исходные данные'!$B$53="Прибыль до налога",MAX(0,I55+(Расчёты!Q55-Расчёты!R55)+(Расчёты!U55-Расчёты!V55)+N('Исходные данные'!$B$54)*((Расчёты!O55+Расчёты!P55)+(Расчёты!S55+Расчёты!T55)+Расчёты!W55+Расчёты!X55)+IF('Исходные данные'!$B$55="Да",Расчёты!AG55,0)-N('Исходные данные'!$B$56)/12),IF('Исходные данные'!$B$53="Пользовательская база",MAX(0,N('Исходные данные'!$B$57)/12),0)))</f>
        <v>0</v>
      </c>
      <c r="Q55">
        <f>IF(D55=1,-P55*N('Исходные данные'!$B$50),0)</f>
        <v>0</v>
      </c>
      <c r="R55">
        <f t="shared" si="23"/>
        <v>0</v>
      </c>
      <c r="S55">
        <f>IF(OR(D55&lt;&gt;1,B55="",'Исходные данные'!$B$91="",N('Исходные данные'!$B$80)&lt;=0,'Исходные данные'!$B$88=""),0,IF(AND(YEAR(B55)=YEAR('Исходные данные'!$B$91),MONTH(B55)=MONTH('Исходные данные'!$B$91)),MAX(0,IF('Исходные данные'!$B$88="Последние 12 месяцев",SUMIFS($L$2:$L$194,$B$2:$B$194,"&gt;="&amp;EDATE(B55,-11),$B$2:$B$194,"&lt;="&amp;B55),IF('Исходные данные'!$B$88="Пользовательский NOI",N('Исходные данные'!$B$89),R55))/N('Исходные данные'!$B$80)*(1+N('Исходные данные'!$B$81))),0))</f>
        <v>0</v>
      </c>
      <c r="T55">
        <f>-S55*N('Исходные данные'!$B$73)</f>
        <v>0</v>
      </c>
      <c r="U55">
        <f>IF(S55=0,0,-N('Исходные данные'!$B$87)-IF('Исходные данные'!$B$82="Да",IF('Исходные данные'!$B$84="С выручки",S55,IF('Исходные данные'!$B$84="С прибыли",MAX(0,S55+T55-IF('Исходные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55">
        <f t="shared" si="24"/>
        <v>0</v>
      </c>
      <c r="W55">
        <f>IF(D55=1,Расчёты!AZ55+K55+N55+Q55+V55,0)</f>
        <v>0</v>
      </c>
      <c r="X55" t="str">
        <f t="shared" si="34"/>
        <v/>
      </c>
      <c r="Y55">
        <f>IF(OR(D55=0,'Исходные данные'!$B$9="",'Исходные данные'!$B$90=""),0,W55/(1+'Исходные данные'!$B$90)^((C55-'Исходные данные'!$B$9)/365))</f>
        <v>0</v>
      </c>
      <c r="Z55">
        <f>IF(D55=1,K55+Расчёты!O55+Расчёты!Q55+Расчёты!S55+Расчёты!U55+Расчёты!W55+Расчёты!X55+N55+Q55,0)</f>
        <v>0</v>
      </c>
      <c r="AA55">
        <f>IF(AND(D55=1,X55&gt;=0,X54&lt;0,MIN($X$2:X55)&lt;0),1,0)</f>
        <v>0</v>
      </c>
      <c r="AB55">
        <f>IF(Расчёты!F55=0,0,IF(Расчёты!G55=1,N('Сценарный анализ'!$C$5),IF(Расчёты!G55=2,N('Сценарный анализ'!$C$6),IF(Расчёты!G55=3,N('Сценарный анализ'!$C$7),N('Сценарный анализ'!$C$7)*(1+N('Сценарный анализ'!$C$8))^(Расчёты!G55-3)))))</f>
        <v>0</v>
      </c>
      <c r="AC55">
        <f>IF(OR(Расчёты!F55=0,N('Исходные данные'!$B$5)=0,AB55=0),0,N('Исходные данные'!$B$5)*AB55*IF(AND(B55&lt;='Исходные данные'!$B$30,Расчёты!C55&gt;='Исходные данные'!$B$30),(Расчёты!C55-'Исходные данные'!$B$30+1)/DAY(Расчёты!C55),1))</f>
        <v>0</v>
      </c>
      <c r="AD55">
        <f>IF(AND(Расчёты!F55&gt;0,Расчёты!F55&lt;=N('Исходные данные'!$B$37)),-AC55,0)</f>
        <v>0</v>
      </c>
      <c r="AE55">
        <f>IF(OR(Расчёты!F55=0,Расчёты!F55&lt;=N('Исходные данные'!$B$37)),0,-(AC55+AD55)*N('Сценарный анализ'!$C$9))</f>
        <v>0</v>
      </c>
      <c r="AF55">
        <f t="shared" si="25"/>
        <v>0</v>
      </c>
      <c r="AG55">
        <f>IF('Исходные данные'!$B$51="Да",AF55*N('Исходные данные'!$B$52),0)</f>
        <v>0</v>
      </c>
      <c r="AH55">
        <f t="shared" si="26"/>
        <v>0</v>
      </c>
      <c r="AI55">
        <f>AF55+(Расчёты!Y55-Расчёты!L55)</f>
        <v>0</v>
      </c>
      <c r="AJ55">
        <f t="shared" si="35"/>
        <v>0</v>
      </c>
      <c r="AK55">
        <f>IF('Исходные данные'!$B$51="Да",-MAX(0,AG55+Расчёты!R55+Расчёты!V55-Расчёты!P55-Расчёты!T55-AJ55),0)</f>
        <v>0</v>
      </c>
      <c r="AL55">
        <f>IF('Исходные данные'!$B$51="Да",MAX(0,AJ55+Расчёты!P55+Расчёты!T55-AG55-Расчёты!R55-Расчёты!V55),0)</f>
        <v>0</v>
      </c>
      <c r="AM55">
        <f>IF('Исходные данные'!$B$53="Выручка",MAX(0,AF55+(Расчёты!Q55-Расчёты!R55)+(Расчёты!U55-Расчёты!V55)),IF('Исходные данные'!$B$53="Прибыль до налога",MAX(0,AF55+(Расчёты!Q55-Расчёты!R55)+(Расчёты!U55-Расчёты!V55)+N('Исходные данные'!$B$54)*((Расчёты!O55+Расчёты!P55)+(Расчёты!S55+Расчёты!T55)+Расчёты!W55+Расчёты!X55)+IF('Исходные данные'!$B$55="Да",Расчёты!AG55,0)-N('Исходные данные'!$B$56)/12),IF('Исходные данные'!$B$53="Пользовательская база",MAX(0,N('Исходные данные'!$B$57)/12),0)))</f>
        <v>0</v>
      </c>
      <c r="AN55">
        <f>IF(D55=1,-AM55*N('Исходные данные'!$B$50),0)</f>
        <v>0</v>
      </c>
      <c r="AO55">
        <f t="shared" si="27"/>
        <v>0</v>
      </c>
      <c r="AP55">
        <f>IF(OR(D55&lt;&gt;1,B55="",'Исходные данные'!$B$91="",N('Исходные данные'!$B$80)&lt;=0,'Исходные данные'!$B$88=""),0,IF(AND(YEAR(B55)=YEAR('Исходные данные'!$B$91),MONTH(B55)=MONTH('Исходные данные'!$B$91)),MAX(0,IF('Исходные данные'!$B$88="Последние 12 месяцев",SUMIFS($AI$2:$AI$194,$B$2:$B$194,"&gt;="&amp;EDATE(B55,-11),$B$2:$B$194,"&lt;="&amp;B55),IF('Исходные данные'!$B$88="Пользовательский NOI",N('Исходные данные'!$B$89),AO55))/N('Исходные данные'!$B$80)*(1+N('Исходные данные'!$B$81))),0))</f>
        <v>0</v>
      </c>
      <c r="AQ55">
        <f>-AP55*N('Исходные данные'!$B$73)</f>
        <v>0</v>
      </c>
      <c r="AR55">
        <f>IF(AP55=0,0,-N('Исходные данные'!$B$87)-IF('Исходные данные'!$B$82="Да",IF('Исходные данные'!$B$84="С выручки",AP55,IF('Исходные данные'!$B$84="С прибыли",MAX(0,AP55+AQ55-IF('Исходные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55">
        <f t="shared" si="28"/>
        <v>0</v>
      </c>
      <c r="AT55">
        <f>IF(D55=1,Расчёты!AZ55+AH55+AK55+AN55+AS55,0)</f>
        <v>0</v>
      </c>
      <c r="AU55" t="str">
        <f t="shared" si="36"/>
        <v/>
      </c>
      <c r="AV55">
        <f>IF(OR(D55=0,'Исходные данные'!$B$9="",'Исходные данные'!$B$90=""),0,AT55/(1+'Исходные данные'!$B$90)^((C55-'Исходные данные'!$B$9)/365))</f>
        <v>0</v>
      </c>
      <c r="AW55">
        <f>IF(D55=1,AH55+Расчёты!O55+Расчёты!Q55+Расчёты!S55+Расчёты!U55+Расчёты!W55+Расчёты!X55+AK55+AN55,0)</f>
        <v>0</v>
      </c>
      <c r="AX55">
        <f>IF(AND(D55=1,AU55&gt;=0,AU54&lt;0,MIN($AU$2:AU55)&lt;0),1,0)</f>
        <v>0</v>
      </c>
      <c r="AY55">
        <f>IF(Расчёты!F55=0,0,IF(Расчёты!G55=1,N('Сценарный анализ'!$D$5),IF(Расчёты!G55=2,N('Сценарный анализ'!$D$6),IF(Расчёты!G55=3,N('Сценарный анализ'!$D$7),N('Сценарный анализ'!$D$7)*(1+N('Сценарный анализ'!$D$8))^(Расчёты!G55-3)))))</f>
        <v>0</v>
      </c>
      <c r="AZ55">
        <f>IF(OR(Расчёты!F55=0,N('Исходные данные'!$B$5)=0,AY55=0),0,N('Исходные данные'!$B$5)*AY55*IF(AND(B55&lt;='Исходные данные'!$B$30,Расчёты!C55&gt;='Исходные данные'!$B$30),(Расчёты!C55-'Исходные данные'!$B$30+1)/DAY(Расчёты!C55),1))</f>
        <v>0</v>
      </c>
      <c r="BA55">
        <f>IF(AND(Расчёты!F55&gt;0,Расчёты!F55&lt;=N('Исходные данные'!$B$37)),-AZ55,0)</f>
        <v>0</v>
      </c>
      <c r="BB55">
        <f>IF(OR(Расчёты!F55=0,Расчёты!F55&lt;=N('Исходные данные'!$B$37)),0,-(AZ55+BA55)*N('Сценарный анализ'!$D$9))</f>
        <v>0</v>
      </c>
      <c r="BC55">
        <f t="shared" si="29"/>
        <v>0</v>
      </c>
      <c r="BD55">
        <f>IF('Исходные данные'!$B$51="Да",BC55*N('Исходные данные'!$B$52),0)</f>
        <v>0</v>
      </c>
      <c r="BE55">
        <f t="shared" si="30"/>
        <v>0</v>
      </c>
      <c r="BF55">
        <f>BC55+(Расчёты!Y55-Расчёты!L55)</f>
        <v>0</v>
      </c>
      <c r="BG55">
        <f t="shared" si="37"/>
        <v>0</v>
      </c>
      <c r="BH55">
        <f>IF('Исходные данные'!$B$51="Да",-MAX(0,BD55+Расчёты!R55+Расчёты!V55-Расчёты!P55-Расчёты!T55-BG55),0)</f>
        <v>0</v>
      </c>
      <c r="BI55">
        <f>IF('Исходные данные'!$B$51="Да",MAX(0,BG55+Расчёты!P55+Расчёты!T55-BD55-Расчёты!R55-Расчёты!V55),0)</f>
        <v>0</v>
      </c>
      <c r="BJ55">
        <f>IF('Исходные данные'!$B$53="Выручка",MAX(0,BC55+(Расчёты!Q55-Расчёты!R55)+(Расчёты!U55-Расчёты!V55)),IF('Исходные данные'!$B$53="Прибыль до налога",MAX(0,BC55+(Расчёты!Q55-Расчёты!R55)+(Расчёты!U55-Расчёты!V55)+N('Исходные данные'!$B$54)*((Расчёты!O55+Расчёты!P55)+(Расчёты!S55+Расчёты!T55)+Расчёты!W55+Расчёты!X55)+IF('Исходные данные'!$B$55="Да",Расчёты!AG55,0)-N('Исходные данные'!$B$56)/12),IF('Исходные данные'!$B$53="Пользовательская база",MAX(0,N('Исходные данные'!$B$57)/12),0)))</f>
        <v>0</v>
      </c>
      <c r="BK55">
        <f>IF(D55=1,-BJ55*N('Исходные данные'!$B$50),0)</f>
        <v>0</v>
      </c>
      <c r="BL55">
        <f t="shared" si="31"/>
        <v>0</v>
      </c>
      <c r="BM55">
        <f>IF(OR(D55&lt;&gt;1,B55="",'Исходные данные'!$B$91="",N('Исходные данные'!$B$80)&lt;=0,'Исходные данные'!$B$88=""),0,IF(AND(YEAR(B55)=YEAR('Исходные данные'!$B$91),MONTH(B55)=MONTH('Исходные данные'!$B$91)),MAX(0,IF('Исходные данные'!$B$88="Последние 12 месяцев",SUMIFS($BF$2:$BF$194,$B$2:$B$194,"&gt;="&amp;EDATE(B55,-11),$B$2:$B$194,"&lt;="&amp;B55),IF('Исходные данные'!$B$88="Пользовательский NOI",N('Исходные данные'!$B$89),BL55))/N('Исходные данные'!$B$80)*(1+N('Исходные данные'!$B$81))),0))</f>
        <v>0</v>
      </c>
      <c r="BN55">
        <f>-BM55*N('Исходные данные'!$B$73)</f>
        <v>0</v>
      </c>
      <c r="BO55">
        <f>IF(BM55=0,0,-N('Исходные данные'!$B$87)-IF('Исходные данные'!$B$82="Да",IF('Исходные данные'!$B$84="С выручки",BM55,IF('Исходные данные'!$B$84="С прибыли",MAX(0,BM55+BN55-IF('Исходные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55">
        <f t="shared" si="32"/>
        <v>0</v>
      </c>
      <c r="BQ55">
        <f>IF(D55=1,Расчёты!AZ55+BE55+BH55+BK55+BP55,0)</f>
        <v>0</v>
      </c>
      <c r="BR55" t="str">
        <f t="shared" si="38"/>
        <v/>
      </c>
      <c r="BS55">
        <f>IF(OR(D55=0,'Исходные данные'!$B$9="",'Исходные данные'!$B$90=""),0,BQ55/(1+'Исходные данные'!$B$90)^((C55-'Исходные данные'!$B$9)/365))</f>
        <v>0</v>
      </c>
      <c r="BT55">
        <f>IF(D55=1,BE55+Расчёты!O55+Расчёты!Q55+Расчёты!S55+Расчёты!U55+Расчёты!W55+Расчёты!X55+BH55+BK55,0)</f>
        <v>0</v>
      </c>
      <c r="BU55">
        <f>IF(AND(D55=1,BR55&gt;=0,BR54&lt;0,MIN($BR$2:BR55)&lt;0),1,0)</f>
        <v>0</v>
      </c>
      <c r="BV55">
        <f>Расчёты!AZ55+K55+N55-P55*N('Исходные данные'!$B$50)</f>
        <v>0</v>
      </c>
      <c r="BW55">
        <f t="shared" si="18"/>
        <v>0</v>
      </c>
      <c r="BX55">
        <f>IF(AND(BW55&gt;=0,BW54&lt;0,MIN($BW$2:BW55)&lt;0),1,0)</f>
        <v>0</v>
      </c>
      <c r="BY55">
        <f>Расчёты!AZ55+AH55+AK55-AM55*N('Исходные данные'!$B$50)</f>
        <v>0</v>
      </c>
      <c r="BZ55">
        <f t="shared" si="19"/>
        <v>0</v>
      </c>
      <c r="CA55">
        <f>IF(AND(BZ55&gt;=0,BZ54&lt;0,MIN($BZ$2:BZ55)&lt;0),1,0)</f>
        <v>0</v>
      </c>
      <c r="CB55">
        <f>Расчёты!AZ55+BE55+BH55-BJ55*N('Исходные данные'!$B$50)</f>
        <v>0</v>
      </c>
      <c r="CC55">
        <f t="shared" si="20"/>
        <v>0</v>
      </c>
      <c r="CD55">
        <f>IF(AND(CC55&gt;=0,CC54&lt;0,MIN($CC$2:CC55)&lt;0),1,0)</f>
        <v>0</v>
      </c>
    </row>
    <row r="56" spans="1:82" x14ac:dyDescent="0.2">
      <c r="A56">
        <f>Расчёты!A56</f>
        <v>55</v>
      </c>
      <c r="B56" t="str">
        <f>Расчёты!B56</f>
        <v/>
      </c>
      <c r="C56" t="str">
        <f>Расчёты!D56</f>
        <v/>
      </c>
      <c r="D56">
        <f>Расчёты!E56</f>
        <v>0</v>
      </c>
      <c r="E56">
        <f>IF(Расчёты!F56=0,0,IF(Расчёты!G56=1,N('Сценарный анализ'!$B$5),IF(Расчёты!G56=2,N('Сценарный анализ'!$B$6),IF(Расчёты!G56=3,N('Сценарный анализ'!$B$7),N('Сценарный анализ'!$B$7)*(1+N('Сценарный анализ'!$B$8))^(Расчёты!G56-3)))))</f>
        <v>0</v>
      </c>
      <c r="F56">
        <f>IF(OR(Расчёты!F56=0,N('Исходные данные'!$B$5)=0,E56=0),0,N('Исходные данные'!$B$5)*E56*IF(AND(B56&lt;='Исходные данные'!$B$30,Расчёты!C56&gt;='Исходные данные'!$B$30),(Расчёты!C56-'Исходные данные'!$B$30+1)/DAY(Расчёты!C56),1))</f>
        <v>0</v>
      </c>
      <c r="G56">
        <f>IF(AND(Расчёты!F56&gt;0,Расчёты!F56&lt;=N('Исходные данные'!$B$37)),-F56,0)</f>
        <v>0</v>
      </c>
      <c r="H56">
        <f>IF(OR(Расчёты!F56=0,Расчёты!F56&lt;=N('Исходные данные'!$B$37)),0,-(F56+G56)*N('Сценарный анализ'!$B$9))</f>
        <v>0</v>
      </c>
      <c r="I56">
        <f t="shared" si="21"/>
        <v>0</v>
      </c>
      <c r="J56">
        <f>IF('Исходные данные'!$B$51="Да",I56*N('Исходные данные'!$B$52),0)</f>
        <v>0</v>
      </c>
      <c r="K56">
        <f t="shared" si="22"/>
        <v>0</v>
      </c>
      <c r="L56">
        <f>I56+(Расчёты!Y56-Расчёты!L56)</f>
        <v>0</v>
      </c>
      <c r="M56">
        <f t="shared" si="33"/>
        <v>0</v>
      </c>
      <c r="N56">
        <f>IF('Исходные данные'!$B$51="Да",-MAX(0,J56+Расчёты!R56+Расчёты!V56-Расчёты!P56-Расчёты!T56-M56),0)</f>
        <v>0</v>
      </c>
      <c r="O56">
        <f>IF('Исходные данные'!$B$51="Да",MAX(0,M56+Расчёты!P56+Расчёты!T56-J56-Расчёты!R56-Расчёты!V56),0)</f>
        <v>0</v>
      </c>
      <c r="P56">
        <f>IF('Исходные данные'!$B$53="Выручка",MAX(0,I56+(Расчёты!Q56-Расчёты!R56)+(Расчёты!U56-Расчёты!V56)),IF('Исходные данные'!$B$53="Прибыль до налога",MAX(0,I56+(Расчёты!Q56-Расчёты!R56)+(Расчёты!U56-Расчёты!V56)+N('Исходные данные'!$B$54)*((Расчёты!O56+Расчёты!P56)+(Расчёты!S56+Расчёты!T56)+Расчёты!W56+Расчёты!X56)+IF('Исходные данные'!$B$55="Да",Расчёты!AG56,0)-N('Исходные данные'!$B$56)/12),IF('Исходные данные'!$B$53="Пользовательская база",MAX(0,N('Исходные данные'!$B$57)/12),0)))</f>
        <v>0</v>
      </c>
      <c r="Q56">
        <f>IF(D56=1,-P56*N('Исходные данные'!$B$50),0)</f>
        <v>0</v>
      </c>
      <c r="R56">
        <f t="shared" si="23"/>
        <v>0</v>
      </c>
      <c r="S56">
        <f>IF(OR(D56&lt;&gt;1,B56="",'Исходные данные'!$B$91="",N('Исходные данные'!$B$80)&lt;=0,'Исходные данные'!$B$88=""),0,IF(AND(YEAR(B56)=YEAR('Исходные данные'!$B$91),MONTH(B56)=MONTH('Исходные данные'!$B$91)),MAX(0,IF('Исходные данные'!$B$88="Последние 12 месяцев",SUMIFS($L$2:$L$194,$B$2:$B$194,"&gt;="&amp;EDATE(B56,-11),$B$2:$B$194,"&lt;="&amp;B56),IF('Исходные данные'!$B$88="Пользовательский NOI",N('Исходные данные'!$B$89),R56))/N('Исходные данные'!$B$80)*(1+N('Исходные данные'!$B$81))),0))</f>
        <v>0</v>
      </c>
      <c r="T56">
        <f>-S56*N('Исходные данные'!$B$73)</f>
        <v>0</v>
      </c>
      <c r="U56">
        <f>IF(S56=0,0,-N('Исходные данные'!$B$87)-IF('Исходные данные'!$B$82="Да",IF('Исходные данные'!$B$84="С выручки",S56,IF('Исходные данные'!$B$84="С прибыли",MAX(0,S56+T56-IF('Исходные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56">
        <f t="shared" si="24"/>
        <v>0</v>
      </c>
      <c r="W56">
        <f>IF(D56=1,Расчёты!AZ56+K56+N56+Q56+V56,0)</f>
        <v>0</v>
      </c>
      <c r="X56" t="str">
        <f t="shared" si="34"/>
        <v/>
      </c>
      <c r="Y56">
        <f>IF(OR(D56=0,'Исходные данные'!$B$9="",'Исходные данные'!$B$90=""),0,W56/(1+'Исходные данные'!$B$90)^((C56-'Исходные данные'!$B$9)/365))</f>
        <v>0</v>
      </c>
      <c r="Z56">
        <f>IF(D56=1,K56+Расчёты!O56+Расчёты!Q56+Расчёты!S56+Расчёты!U56+Расчёты!W56+Расчёты!X56+N56+Q56,0)</f>
        <v>0</v>
      </c>
      <c r="AA56">
        <f>IF(AND(D56=1,X56&gt;=0,X55&lt;0,MIN($X$2:X56)&lt;0),1,0)</f>
        <v>0</v>
      </c>
      <c r="AB56">
        <f>IF(Расчёты!F56=0,0,IF(Расчёты!G56=1,N('Сценарный анализ'!$C$5),IF(Расчёты!G56=2,N('Сценарный анализ'!$C$6),IF(Расчёты!G56=3,N('Сценарный анализ'!$C$7),N('Сценарный анализ'!$C$7)*(1+N('Сценарный анализ'!$C$8))^(Расчёты!G56-3)))))</f>
        <v>0</v>
      </c>
      <c r="AC56">
        <f>IF(OR(Расчёты!F56=0,N('Исходные данные'!$B$5)=0,AB56=0),0,N('Исходные данные'!$B$5)*AB56*IF(AND(B56&lt;='Исходные данные'!$B$30,Расчёты!C56&gt;='Исходные данные'!$B$30),(Расчёты!C56-'Исходные данные'!$B$30+1)/DAY(Расчёты!C56),1))</f>
        <v>0</v>
      </c>
      <c r="AD56">
        <f>IF(AND(Расчёты!F56&gt;0,Расчёты!F56&lt;=N('Исходные данные'!$B$37)),-AC56,0)</f>
        <v>0</v>
      </c>
      <c r="AE56">
        <f>IF(OR(Расчёты!F56=0,Расчёты!F56&lt;=N('Исходные данные'!$B$37)),0,-(AC56+AD56)*N('Сценарный анализ'!$C$9))</f>
        <v>0</v>
      </c>
      <c r="AF56">
        <f t="shared" si="25"/>
        <v>0</v>
      </c>
      <c r="AG56">
        <f>IF('Исходные данные'!$B$51="Да",AF56*N('Исходные данные'!$B$52),0)</f>
        <v>0</v>
      </c>
      <c r="AH56">
        <f t="shared" si="26"/>
        <v>0</v>
      </c>
      <c r="AI56">
        <f>AF56+(Расчёты!Y56-Расчёты!L56)</f>
        <v>0</v>
      </c>
      <c r="AJ56">
        <f t="shared" si="35"/>
        <v>0</v>
      </c>
      <c r="AK56">
        <f>IF('Исходные данные'!$B$51="Да",-MAX(0,AG56+Расчёты!R56+Расчёты!V56-Расчёты!P56-Расчёты!T56-AJ56),0)</f>
        <v>0</v>
      </c>
      <c r="AL56">
        <f>IF('Исходные данные'!$B$51="Да",MAX(0,AJ56+Расчёты!P56+Расчёты!T56-AG56-Расчёты!R56-Расчёты!V56),0)</f>
        <v>0</v>
      </c>
      <c r="AM56">
        <f>IF('Исходные данные'!$B$53="Выручка",MAX(0,AF56+(Расчёты!Q56-Расчёты!R56)+(Расчёты!U56-Расчёты!V56)),IF('Исходные данные'!$B$53="Прибыль до налога",MAX(0,AF56+(Расчёты!Q56-Расчёты!R56)+(Расчёты!U56-Расчёты!V56)+N('Исходные данные'!$B$54)*((Расчёты!O56+Расчёты!P56)+(Расчёты!S56+Расчёты!T56)+Расчёты!W56+Расчёты!X56)+IF('Исходные данные'!$B$55="Да",Расчёты!AG56,0)-N('Исходные данные'!$B$56)/12),IF('Исходные данные'!$B$53="Пользовательская база",MAX(0,N('Исходные данные'!$B$57)/12),0)))</f>
        <v>0</v>
      </c>
      <c r="AN56">
        <f>IF(D56=1,-AM56*N('Исходные данные'!$B$50),0)</f>
        <v>0</v>
      </c>
      <c r="AO56">
        <f t="shared" si="27"/>
        <v>0</v>
      </c>
      <c r="AP56">
        <f>IF(OR(D56&lt;&gt;1,B56="",'Исходные данные'!$B$91="",N('Исходные данные'!$B$80)&lt;=0,'Исходные данные'!$B$88=""),0,IF(AND(YEAR(B56)=YEAR('Исходные данные'!$B$91),MONTH(B56)=MONTH('Исходные данные'!$B$91)),MAX(0,IF('Исходные данные'!$B$88="Последние 12 месяцев",SUMIFS($AI$2:$AI$194,$B$2:$B$194,"&gt;="&amp;EDATE(B56,-11),$B$2:$B$194,"&lt;="&amp;B56),IF('Исходные данные'!$B$88="Пользовательский NOI",N('Исходные данные'!$B$89),AO56))/N('Исходные данные'!$B$80)*(1+N('Исходные данные'!$B$81))),0))</f>
        <v>0</v>
      </c>
      <c r="AQ56">
        <f>-AP56*N('Исходные данные'!$B$73)</f>
        <v>0</v>
      </c>
      <c r="AR56">
        <f>IF(AP56=0,0,-N('Исходные данные'!$B$87)-IF('Исходные данные'!$B$82="Да",IF('Исходные данные'!$B$84="С выручки",AP56,IF('Исходные данные'!$B$84="С прибыли",MAX(0,AP56+AQ56-IF('Исходные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56">
        <f t="shared" si="28"/>
        <v>0</v>
      </c>
      <c r="AT56">
        <f>IF(D56=1,Расчёты!AZ56+AH56+AK56+AN56+AS56,0)</f>
        <v>0</v>
      </c>
      <c r="AU56" t="str">
        <f t="shared" si="36"/>
        <v/>
      </c>
      <c r="AV56">
        <f>IF(OR(D56=0,'Исходные данные'!$B$9="",'Исходные данные'!$B$90=""),0,AT56/(1+'Исходные данные'!$B$90)^((C56-'Исходные данные'!$B$9)/365))</f>
        <v>0</v>
      </c>
      <c r="AW56">
        <f>IF(D56=1,AH56+Расчёты!O56+Расчёты!Q56+Расчёты!S56+Расчёты!U56+Расчёты!W56+Расчёты!X56+AK56+AN56,0)</f>
        <v>0</v>
      </c>
      <c r="AX56">
        <f>IF(AND(D56=1,AU56&gt;=0,AU55&lt;0,MIN($AU$2:AU56)&lt;0),1,0)</f>
        <v>0</v>
      </c>
      <c r="AY56">
        <f>IF(Расчёты!F56=0,0,IF(Расчёты!G56=1,N('Сценарный анализ'!$D$5),IF(Расчёты!G56=2,N('Сценарный анализ'!$D$6),IF(Расчёты!G56=3,N('Сценарный анализ'!$D$7),N('Сценарный анализ'!$D$7)*(1+N('Сценарный анализ'!$D$8))^(Расчёты!G56-3)))))</f>
        <v>0</v>
      </c>
      <c r="AZ56">
        <f>IF(OR(Расчёты!F56=0,N('Исходные данные'!$B$5)=0,AY56=0),0,N('Исходные данные'!$B$5)*AY56*IF(AND(B56&lt;='Исходные данные'!$B$30,Расчёты!C56&gt;='Исходные данные'!$B$30),(Расчёты!C56-'Исходные данные'!$B$30+1)/DAY(Расчёты!C56),1))</f>
        <v>0</v>
      </c>
      <c r="BA56">
        <f>IF(AND(Расчёты!F56&gt;0,Расчёты!F56&lt;=N('Исходные данные'!$B$37)),-AZ56,0)</f>
        <v>0</v>
      </c>
      <c r="BB56">
        <f>IF(OR(Расчёты!F56=0,Расчёты!F56&lt;=N('Исходные данные'!$B$37)),0,-(AZ56+BA56)*N('Сценарный анализ'!$D$9))</f>
        <v>0</v>
      </c>
      <c r="BC56">
        <f t="shared" si="29"/>
        <v>0</v>
      </c>
      <c r="BD56">
        <f>IF('Исходные данные'!$B$51="Да",BC56*N('Исходные данные'!$B$52),0)</f>
        <v>0</v>
      </c>
      <c r="BE56">
        <f t="shared" si="30"/>
        <v>0</v>
      </c>
      <c r="BF56">
        <f>BC56+(Расчёты!Y56-Расчёты!L56)</f>
        <v>0</v>
      </c>
      <c r="BG56">
        <f t="shared" si="37"/>
        <v>0</v>
      </c>
      <c r="BH56">
        <f>IF('Исходные данные'!$B$51="Да",-MAX(0,BD56+Расчёты!R56+Расчёты!V56-Расчёты!P56-Расчёты!T56-BG56),0)</f>
        <v>0</v>
      </c>
      <c r="BI56">
        <f>IF('Исходные данные'!$B$51="Да",MAX(0,BG56+Расчёты!P56+Расчёты!T56-BD56-Расчёты!R56-Расчёты!V56),0)</f>
        <v>0</v>
      </c>
      <c r="BJ56">
        <f>IF('Исходные данные'!$B$53="Выручка",MAX(0,BC56+(Расчёты!Q56-Расчёты!R56)+(Расчёты!U56-Расчёты!V56)),IF('Исходные данные'!$B$53="Прибыль до налога",MAX(0,BC56+(Расчёты!Q56-Расчёты!R56)+(Расчёты!U56-Расчёты!V56)+N('Исходные данные'!$B$54)*((Расчёты!O56+Расчёты!P56)+(Расчёты!S56+Расчёты!T56)+Расчёты!W56+Расчёты!X56)+IF('Исходные данные'!$B$55="Да",Расчёты!AG56,0)-N('Исходные данные'!$B$56)/12),IF('Исходные данные'!$B$53="Пользовательская база",MAX(0,N('Исходные данные'!$B$57)/12),0)))</f>
        <v>0</v>
      </c>
      <c r="BK56">
        <f>IF(D56=1,-BJ56*N('Исходные данные'!$B$50),0)</f>
        <v>0</v>
      </c>
      <c r="BL56">
        <f t="shared" si="31"/>
        <v>0</v>
      </c>
      <c r="BM56">
        <f>IF(OR(D56&lt;&gt;1,B56="",'Исходные данные'!$B$91="",N('Исходные данные'!$B$80)&lt;=0,'Исходные данные'!$B$88=""),0,IF(AND(YEAR(B56)=YEAR('Исходные данные'!$B$91),MONTH(B56)=MONTH('Исходные данные'!$B$91)),MAX(0,IF('Исходные данные'!$B$88="Последние 12 месяцев",SUMIFS($BF$2:$BF$194,$B$2:$B$194,"&gt;="&amp;EDATE(B56,-11),$B$2:$B$194,"&lt;="&amp;B56),IF('Исходные данные'!$B$88="Пользовательский NOI",N('Исходные данные'!$B$89),BL56))/N('Исходные данные'!$B$80)*(1+N('Исходные данные'!$B$81))),0))</f>
        <v>0</v>
      </c>
      <c r="BN56">
        <f>-BM56*N('Исходные данные'!$B$73)</f>
        <v>0</v>
      </c>
      <c r="BO56">
        <f>IF(BM56=0,0,-N('Исходные данные'!$B$87)-IF('Исходные данные'!$B$82="Да",IF('Исходные данные'!$B$84="С выручки",BM56,IF('Исходные данные'!$B$84="С прибыли",MAX(0,BM56+BN56-IF('Исходные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56">
        <f t="shared" si="32"/>
        <v>0</v>
      </c>
      <c r="BQ56">
        <f>IF(D56=1,Расчёты!AZ56+BE56+BH56+BK56+BP56,0)</f>
        <v>0</v>
      </c>
      <c r="BR56" t="str">
        <f t="shared" si="38"/>
        <v/>
      </c>
      <c r="BS56">
        <f>IF(OR(D56=0,'Исходные данные'!$B$9="",'Исходные данные'!$B$90=""),0,BQ56/(1+'Исходные данные'!$B$90)^((C56-'Исходные данные'!$B$9)/365))</f>
        <v>0</v>
      </c>
      <c r="BT56">
        <f>IF(D56=1,BE56+Расчёты!O56+Расчёты!Q56+Расчёты!S56+Расчёты!U56+Расчёты!W56+Расчёты!X56+BH56+BK56,0)</f>
        <v>0</v>
      </c>
      <c r="BU56">
        <f>IF(AND(D56=1,BR56&gt;=0,BR55&lt;0,MIN($BR$2:BR56)&lt;0),1,0)</f>
        <v>0</v>
      </c>
      <c r="BV56">
        <f>Расчёты!AZ56+K56+N56-P56*N('Исходные данные'!$B$50)</f>
        <v>0</v>
      </c>
      <c r="BW56">
        <f t="shared" si="18"/>
        <v>0</v>
      </c>
      <c r="BX56">
        <f>IF(AND(BW56&gt;=0,BW55&lt;0,MIN($BW$2:BW56)&lt;0),1,0)</f>
        <v>0</v>
      </c>
      <c r="BY56">
        <f>Расчёты!AZ56+AH56+AK56-AM56*N('Исходные данные'!$B$50)</f>
        <v>0</v>
      </c>
      <c r="BZ56">
        <f t="shared" si="19"/>
        <v>0</v>
      </c>
      <c r="CA56">
        <f>IF(AND(BZ56&gt;=0,BZ55&lt;0,MIN($BZ$2:BZ56)&lt;0),1,0)</f>
        <v>0</v>
      </c>
      <c r="CB56">
        <f>Расчёты!AZ56+BE56+BH56-BJ56*N('Исходные данные'!$B$50)</f>
        <v>0</v>
      </c>
      <c r="CC56">
        <f t="shared" si="20"/>
        <v>0</v>
      </c>
      <c r="CD56">
        <f>IF(AND(CC56&gt;=0,CC55&lt;0,MIN($CC$2:CC56)&lt;0),1,0)</f>
        <v>0</v>
      </c>
    </row>
    <row r="57" spans="1:82" x14ac:dyDescent="0.2">
      <c r="A57">
        <f>Расчёты!A57</f>
        <v>56</v>
      </c>
      <c r="B57" t="str">
        <f>Расчёты!B57</f>
        <v/>
      </c>
      <c r="C57" t="str">
        <f>Расчёты!D57</f>
        <v/>
      </c>
      <c r="D57">
        <f>Расчёты!E57</f>
        <v>0</v>
      </c>
      <c r="E57">
        <f>IF(Расчёты!F57=0,0,IF(Расчёты!G57=1,N('Сценарный анализ'!$B$5),IF(Расчёты!G57=2,N('Сценарный анализ'!$B$6),IF(Расчёты!G57=3,N('Сценарный анализ'!$B$7),N('Сценарный анализ'!$B$7)*(1+N('Сценарный анализ'!$B$8))^(Расчёты!G57-3)))))</f>
        <v>0</v>
      </c>
      <c r="F57">
        <f>IF(OR(Расчёты!F57=0,N('Исходные данные'!$B$5)=0,E57=0),0,N('Исходные данные'!$B$5)*E57*IF(AND(B57&lt;='Исходные данные'!$B$30,Расчёты!C57&gt;='Исходные данные'!$B$30),(Расчёты!C57-'Исходные данные'!$B$30+1)/DAY(Расчёты!C57),1))</f>
        <v>0</v>
      </c>
      <c r="G57">
        <f>IF(AND(Расчёты!F57&gt;0,Расчёты!F57&lt;=N('Исходные данные'!$B$37)),-F57,0)</f>
        <v>0</v>
      </c>
      <c r="H57">
        <f>IF(OR(Расчёты!F57=0,Расчёты!F57&lt;=N('Исходные данные'!$B$37)),0,-(F57+G57)*N('Сценарный анализ'!$B$9))</f>
        <v>0</v>
      </c>
      <c r="I57">
        <f t="shared" si="21"/>
        <v>0</v>
      </c>
      <c r="J57">
        <f>IF('Исходные данные'!$B$51="Да",I57*N('Исходные данные'!$B$52),0)</f>
        <v>0</v>
      </c>
      <c r="K57">
        <f t="shared" si="22"/>
        <v>0</v>
      </c>
      <c r="L57">
        <f>I57+(Расчёты!Y57-Расчёты!L57)</f>
        <v>0</v>
      </c>
      <c r="M57">
        <f t="shared" si="33"/>
        <v>0</v>
      </c>
      <c r="N57">
        <f>IF('Исходные данные'!$B$51="Да",-MAX(0,J57+Расчёты!R57+Расчёты!V57-Расчёты!P57-Расчёты!T57-M57),0)</f>
        <v>0</v>
      </c>
      <c r="O57">
        <f>IF('Исходные данные'!$B$51="Да",MAX(0,M57+Расчёты!P57+Расчёты!T57-J57-Расчёты!R57-Расчёты!V57),0)</f>
        <v>0</v>
      </c>
      <c r="P57">
        <f>IF('Исходные данные'!$B$53="Выручка",MAX(0,I57+(Расчёты!Q57-Расчёты!R57)+(Расчёты!U57-Расчёты!V57)),IF('Исходные данные'!$B$53="Прибыль до налога",MAX(0,I57+(Расчёты!Q57-Расчёты!R57)+(Расчёты!U57-Расчёты!V57)+N('Исходные данные'!$B$54)*((Расчёты!O57+Расчёты!P57)+(Расчёты!S57+Расчёты!T57)+Расчёты!W57+Расчёты!X57)+IF('Исходные данные'!$B$55="Да",Расчёты!AG57,0)-N('Исходные данные'!$B$56)/12),IF('Исходные данные'!$B$53="Пользовательская база",MAX(0,N('Исходные данные'!$B$57)/12),0)))</f>
        <v>0</v>
      </c>
      <c r="Q57">
        <f>IF(D57=1,-P57*N('Исходные данные'!$B$50),0)</f>
        <v>0</v>
      </c>
      <c r="R57">
        <f t="shared" si="23"/>
        <v>0</v>
      </c>
      <c r="S57">
        <f>IF(OR(D57&lt;&gt;1,B57="",'Исходные данные'!$B$91="",N('Исходные данные'!$B$80)&lt;=0,'Исходные данные'!$B$88=""),0,IF(AND(YEAR(B57)=YEAR('Исходные данные'!$B$91),MONTH(B57)=MONTH('Исходные данные'!$B$91)),MAX(0,IF('Исходные данные'!$B$88="Последние 12 месяцев",SUMIFS($L$2:$L$194,$B$2:$B$194,"&gt;="&amp;EDATE(B57,-11),$B$2:$B$194,"&lt;="&amp;B57),IF('Исходные данные'!$B$88="Пользовательский NOI",N('Исходные данные'!$B$89),R57))/N('Исходные данные'!$B$80)*(1+N('Исходные данные'!$B$81))),0))</f>
        <v>0</v>
      </c>
      <c r="T57">
        <f>-S57*N('Исходные данные'!$B$73)</f>
        <v>0</v>
      </c>
      <c r="U57">
        <f>IF(S57=0,0,-N('Исходные данные'!$B$87)-IF('Исходные данные'!$B$82="Да",IF('Исходные данные'!$B$84="С выручки",S57,IF('Исходные данные'!$B$84="С прибыли",MAX(0,S57+T57-IF('Исходные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57">
        <f t="shared" si="24"/>
        <v>0</v>
      </c>
      <c r="W57">
        <f>IF(D57=1,Расчёты!AZ57+K57+N57+Q57+V57,0)</f>
        <v>0</v>
      </c>
      <c r="X57" t="str">
        <f t="shared" si="34"/>
        <v/>
      </c>
      <c r="Y57">
        <f>IF(OR(D57=0,'Исходные данные'!$B$9="",'Исходные данные'!$B$90=""),0,W57/(1+'Исходные данные'!$B$90)^((C57-'Исходные данные'!$B$9)/365))</f>
        <v>0</v>
      </c>
      <c r="Z57">
        <f>IF(D57=1,K57+Расчёты!O57+Расчёты!Q57+Расчёты!S57+Расчёты!U57+Расчёты!W57+Расчёты!X57+N57+Q57,0)</f>
        <v>0</v>
      </c>
      <c r="AA57">
        <f>IF(AND(D57=1,X57&gt;=0,X56&lt;0,MIN($X$2:X57)&lt;0),1,0)</f>
        <v>0</v>
      </c>
      <c r="AB57">
        <f>IF(Расчёты!F57=0,0,IF(Расчёты!G57=1,N('Сценарный анализ'!$C$5),IF(Расчёты!G57=2,N('Сценарный анализ'!$C$6),IF(Расчёты!G57=3,N('Сценарный анализ'!$C$7),N('Сценарный анализ'!$C$7)*(1+N('Сценарный анализ'!$C$8))^(Расчёты!G57-3)))))</f>
        <v>0</v>
      </c>
      <c r="AC57">
        <f>IF(OR(Расчёты!F57=0,N('Исходные данные'!$B$5)=0,AB57=0),0,N('Исходные данные'!$B$5)*AB57*IF(AND(B57&lt;='Исходные данные'!$B$30,Расчёты!C57&gt;='Исходные данные'!$B$30),(Расчёты!C57-'Исходные данные'!$B$30+1)/DAY(Расчёты!C57),1))</f>
        <v>0</v>
      </c>
      <c r="AD57">
        <f>IF(AND(Расчёты!F57&gt;0,Расчёты!F57&lt;=N('Исходные данные'!$B$37)),-AC57,0)</f>
        <v>0</v>
      </c>
      <c r="AE57">
        <f>IF(OR(Расчёты!F57=0,Расчёты!F57&lt;=N('Исходные данные'!$B$37)),0,-(AC57+AD57)*N('Сценарный анализ'!$C$9))</f>
        <v>0</v>
      </c>
      <c r="AF57">
        <f t="shared" si="25"/>
        <v>0</v>
      </c>
      <c r="AG57">
        <f>IF('Исходные данные'!$B$51="Да",AF57*N('Исходные данные'!$B$52),0)</f>
        <v>0</v>
      </c>
      <c r="AH57">
        <f t="shared" si="26"/>
        <v>0</v>
      </c>
      <c r="AI57">
        <f>AF57+(Расчёты!Y57-Расчёты!L57)</f>
        <v>0</v>
      </c>
      <c r="AJ57">
        <f t="shared" si="35"/>
        <v>0</v>
      </c>
      <c r="AK57">
        <f>IF('Исходные данные'!$B$51="Да",-MAX(0,AG57+Расчёты!R57+Расчёты!V57-Расчёты!P57-Расчёты!T57-AJ57),0)</f>
        <v>0</v>
      </c>
      <c r="AL57">
        <f>IF('Исходные данные'!$B$51="Да",MAX(0,AJ57+Расчёты!P57+Расчёты!T57-AG57-Расчёты!R57-Расчёты!V57),0)</f>
        <v>0</v>
      </c>
      <c r="AM57">
        <f>IF('Исходные данные'!$B$53="Выручка",MAX(0,AF57+(Расчёты!Q57-Расчёты!R57)+(Расчёты!U57-Расчёты!V57)),IF('Исходные данные'!$B$53="Прибыль до налога",MAX(0,AF57+(Расчёты!Q57-Расчёты!R57)+(Расчёты!U57-Расчёты!V57)+N('Исходные данные'!$B$54)*((Расчёты!O57+Расчёты!P57)+(Расчёты!S57+Расчёты!T57)+Расчёты!W57+Расчёты!X57)+IF('Исходные данные'!$B$55="Да",Расчёты!AG57,0)-N('Исходные данные'!$B$56)/12),IF('Исходные данные'!$B$53="Пользовательская база",MAX(0,N('Исходные данные'!$B$57)/12),0)))</f>
        <v>0</v>
      </c>
      <c r="AN57">
        <f>IF(D57=1,-AM57*N('Исходные данные'!$B$50),0)</f>
        <v>0</v>
      </c>
      <c r="AO57">
        <f t="shared" si="27"/>
        <v>0</v>
      </c>
      <c r="AP57">
        <f>IF(OR(D57&lt;&gt;1,B57="",'Исходные данные'!$B$91="",N('Исходные данные'!$B$80)&lt;=0,'Исходные данные'!$B$88=""),0,IF(AND(YEAR(B57)=YEAR('Исходные данные'!$B$91),MONTH(B57)=MONTH('Исходные данные'!$B$91)),MAX(0,IF('Исходные данные'!$B$88="Последние 12 месяцев",SUMIFS($AI$2:$AI$194,$B$2:$B$194,"&gt;="&amp;EDATE(B57,-11),$B$2:$B$194,"&lt;="&amp;B57),IF('Исходные данные'!$B$88="Пользовательский NOI",N('Исходные данные'!$B$89),AO57))/N('Исходные данные'!$B$80)*(1+N('Исходные данные'!$B$81))),0))</f>
        <v>0</v>
      </c>
      <c r="AQ57">
        <f>-AP57*N('Исходные данные'!$B$73)</f>
        <v>0</v>
      </c>
      <c r="AR57">
        <f>IF(AP57=0,0,-N('Исходные данные'!$B$87)-IF('Исходные данные'!$B$82="Да",IF('Исходные данные'!$B$84="С выручки",AP57,IF('Исходные данные'!$B$84="С прибыли",MAX(0,AP57+AQ57-IF('Исходные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57">
        <f t="shared" si="28"/>
        <v>0</v>
      </c>
      <c r="AT57">
        <f>IF(D57=1,Расчёты!AZ57+AH57+AK57+AN57+AS57,0)</f>
        <v>0</v>
      </c>
      <c r="AU57" t="str">
        <f t="shared" si="36"/>
        <v/>
      </c>
      <c r="AV57">
        <f>IF(OR(D57=0,'Исходные данные'!$B$9="",'Исходные данные'!$B$90=""),0,AT57/(1+'Исходные данные'!$B$90)^((C57-'Исходные данные'!$B$9)/365))</f>
        <v>0</v>
      </c>
      <c r="AW57">
        <f>IF(D57=1,AH57+Расчёты!O57+Расчёты!Q57+Расчёты!S57+Расчёты!U57+Расчёты!W57+Расчёты!X57+AK57+AN57,0)</f>
        <v>0</v>
      </c>
      <c r="AX57">
        <f>IF(AND(D57=1,AU57&gt;=0,AU56&lt;0,MIN($AU$2:AU57)&lt;0),1,0)</f>
        <v>0</v>
      </c>
      <c r="AY57">
        <f>IF(Расчёты!F57=0,0,IF(Расчёты!G57=1,N('Сценарный анализ'!$D$5),IF(Расчёты!G57=2,N('Сценарный анализ'!$D$6),IF(Расчёты!G57=3,N('Сценарный анализ'!$D$7),N('Сценарный анализ'!$D$7)*(1+N('Сценарный анализ'!$D$8))^(Расчёты!G57-3)))))</f>
        <v>0</v>
      </c>
      <c r="AZ57">
        <f>IF(OR(Расчёты!F57=0,N('Исходные данные'!$B$5)=0,AY57=0),0,N('Исходные данные'!$B$5)*AY57*IF(AND(B57&lt;='Исходные данные'!$B$30,Расчёты!C57&gt;='Исходные данные'!$B$30),(Расчёты!C57-'Исходные данные'!$B$30+1)/DAY(Расчёты!C57),1))</f>
        <v>0</v>
      </c>
      <c r="BA57">
        <f>IF(AND(Расчёты!F57&gt;0,Расчёты!F57&lt;=N('Исходные данные'!$B$37)),-AZ57,0)</f>
        <v>0</v>
      </c>
      <c r="BB57">
        <f>IF(OR(Расчёты!F57=0,Расчёты!F57&lt;=N('Исходные данные'!$B$37)),0,-(AZ57+BA57)*N('Сценарный анализ'!$D$9))</f>
        <v>0</v>
      </c>
      <c r="BC57">
        <f t="shared" si="29"/>
        <v>0</v>
      </c>
      <c r="BD57">
        <f>IF('Исходные данные'!$B$51="Да",BC57*N('Исходные данные'!$B$52),0)</f>
        <v>0</v>
      </c>
      <c r="BE57">
        <f t="shared" si="30"/>
        <v>0</v>
      </c>
      <c r="BF57">
        <f>BC57+(Расчёты!Y57-Расчёты!L57)</f>
        <v>0</v>
      </c>
      <c r="BG57">
        <f t="shared" si="37"/>
        <v>0</v>
      </c>
      <c r="BH57">
        <f>IF('Исходные данные'!$B$51="Да",-MAX(0,BD57+Расчёты!R57+Расчёты!V57-Расчёты!P57-Расчёты!T57-BG57),0)</f>
        <v>0</v>
      </c>
      <c r="BI57">
        <f>IF('Исходные данные'!$B$51="Да",MAX(0,BG57+Расчёты!P57+Расчёты!T57-BD57-Расчёты!R57-Расчёты!V57),0)</f>
        <v>0</v>
      </c>
      <c r="BJ57">
        <f>IF('Исходные данные'!$B$53="Выручка",MAX(0,BC57+(Расчёты!Q57-Расчёты!R57)+(Расчёты!U57-Расчёты!V57)),IF('Исходные данные'!$B$53="Прибыль до налога",MAX(0,BC57+(Расчёты!Q57-Расчёты!R57)+(Расчёты!U57-Расчёты!V57)+N('Исходные данные'!$B$54)*((Расчёты!O57+Расчёты!P57)+(Расчёты!S57+Расчёты!T57)+Расчёты!W57+Расчёты!X57)+IF('Исходные данные'!$B$55="Да",Расчёты!AG57,0)-N('Исходные данные'!$B$56)/12),IF('Исходные данные'!$B$53="Пользовательская база",MAX(0,N('Исходные данные'!$B$57)/12),0)))</f>
        <v>0</v>
      </c>
      <c r="BK57">
        <f>IF(D57=1,-BJ57*N('Исходные данные'!$B$50),0)</f>
        <v>0</v>
      </c>
      <c r="BL57">
        <f t="shared" si="31"/>
        <v>0</v>
      </c>
      <c r="BM57">
        <f>IF(OR(D57&lt;&gt;1,B57="",'Исходные данные'!$B$91="",N('Исходные данные'!$B$80)&lt;=0,'Исходные данные'!$B$88=""),0,IF(AND(YEAR(B57)=YEAR('Исходные данные'!$B$91),MONTH(B57)=MONTH('Исходные данные'!$B$91)),MAX(0,IF('Исходные данные'!$B$88="Последние 12 месяцев",SUMIFS($BF$2:$BF$194,$B$2:$B$194,"&gt;="&amp;EDATE(B57,-11),$B$2:$B$194,"&lt;="&amp;B57),IF('Исходные данные'!$B$88="Пользовательский NOI",N('Исходные данные'!$B$89),BL57))/N('Исходные данные'!$B$80)*(1+N('Исходные данные'!$B$81))),0))</f>
        <v>0</v>
      </c>
      <c r="BN57">
        <f>-BM57*N('Исходные данные'!$B$73)</f>
        <v>0</v>
      </c>
      <c r="BO57">
        <f>IF(BM57=0,0,-N('Исходные данные'!$B$87)-IF('Исходные данные'!$B$82="Да",IF('Исходные данные'!$B$84="С выручки",BM57,IF('Исходные данные'!$B$84="С прибыли",MAX(0,BM57+BN57-IF('Исходные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57">
        <f t="shared" si="32"/>
        <v>0</v>
      </c>
      <c r="BQ57">
        <f>IF(D57=1,Расчёты!AZ57+BE57+BH57+BK57+BP57,0)</f>
        <v>0</v>
      </c>
      <c r="BR57" t="str">
        <f t="shared" si="38"/>
        <v/>
      </c>
      <c r="BS57">
        <f>IF(OR(D57=0,'Исходные данные'!$B$9="",'Исходные данные'!$B$90=""),0,BQ57/(1+'Исходные данные'!$B$90)^((C57-'Исходные данные'!$B$9)/365))</f>
        <v>0</v>
      </c>
      <c r="BT57">
        <f>IF(D57=1,BE57+Расчёты!O57+Расчёты!Q57+Расчёты!S57+Расчёты!U57+Расчёты!W57+Расчёты!X57+BH57+BK57,0)</f>
        <v>0</v>
      </c>
      <c r="BU57">
        <f>IF(AND(D57=1,BR57&gt;=0,BR56&lt;0,MIN($BR$2:BR57)&lt;0),1,0)</f>
        <v>0</v>
      </c>
      <c r="BV57">
        <f>Расчёты!AZ57+K57+N57-P57*N('Исходные данные'!$B$50)</f>
        <v>0</v>
      </c>
      <c r="BW57">
        <f t="shared" si="18"/>
        <v>0</v>
      </c>
      <c r="BX57">
        <f>IF(AND(BW57&gt;=0,BW56&lt;0,MIN($BW$2:BW57)&lt;0),1,0)</f>
        <v>0</v>
      </c>
      <c r="BY57">
        <f>Расчёты!AZ57+AH57+AK57-AM57*N('Исходные данные'!$B$50)</f>
        <v>0</v>
      </c>
      <c r="BZ57">
        <f t="shared" si="19"/>
        <v>0</v>
      </c>
      <c r="CA57">
        <f>IF(AND(BZ57&gt;=0,BZ56&lt;0,MIN($BZ$2:BZ57)&lt;0),1,0)</f>
        <v>0</v>
      </c>
      <c r="CB57">
        <f>Расчёты!AZ57+BE57+BH57-BJ57*N('Исходные данные'!$B$50)</f>
        <v>0</v>
      </c>
      <c r="CC57">
        <f t="shared" si="20"/>
        <v>0</v>
      </c>
      <c r="CD57">
        <f>IF(AND(CC57&gt;=0,CC56&lt;0,MIN($CC$2:CC57)&lt;0),1,0)</f>
        <v>0</v>
      </c>
    </row>
    <row r="58" spans="1:82" x14ac:dyDescent="0.2">
      <c r="A58">
        <f>Расчёты!A58</f>
        <v>57</v>
      </c>
      <c r="B58" t="str">
        <f>Расчёты!B58</f>
        <v/>
      </c>
      <c r="C58" t="str">
        <f>Расчёты!D58</f>
        <v/>
      </c>
      <c r="D58">
        <f>Расчёты!E58</f>
        <v>0</v>
      </c>
      <c r="E58">
        <f>IF(Расчёты!F58=0,0,IF(Расчёты!G58=1,N('Сценарный анализ'!$B$5),IF(Расчёты!G58=2,N('Сценарный анализ'!$B$6),IF(Расчёты!G58=3,N('Сценарный анализ'!$B$7),N('Сценарный анализ'!$B$7)*(1+N('Сценарный анализ'!$B$8))^(Расчёты!G58-3)))))</f>
        <v>0</v>
      </c>
      <c r="F58">
        <f>IF(OR(Расчёты!F58=0,N('Исходные данные'!$B$5)=0,E58=0),0,N('Исходные данные'!$B$5)*E58*IF(AND(B58&lt;='Исходные данные'!$B$30,Расчёты!C58&gt;='Исходные данные'!$B$30),(Расчёты!C58-'Исходные данные'!$B$30+1)/DAY(Расчёты!C58),1))</f>
        <v>0</v>
      </c>
      <c r="G58">
        <f>IF(AND(Расчёты!F58&gt;0,Расчёты!F58&lt;=N('Исходные данные'!$B$37)),-F58,0)</f>
        <v>0</v>
      </c>
      <c r="H58">
        <f>IF(OR(Расчёты!F58=0,Расчёты!F58&lt;=N('Исходные данные'!$B$37)),0,-(F58+G58)*N('Сценарный анализ'!$B$9))</f>
        <v>0</v>
      </c>
      <c r="I58">
        <f t="shared" si="21"/>
        <v>0</v>
      </c>
      <c r="J58">
        <f>IF('Исходные данные'!$B$51="Да",I58*N('Исходные данные'!$B$52),0)</f>
        <v>0</v>
      </c>
      <c r="K58">
        <f t="shared" si="22"/>
        <v>0</v>
      </c>
      <c r="L58">
        <f>I58+(Расчёты!Y58-Расчёты!L58)</f>
        <v>0</v>
      </c>
      <c r="M58">
        <f t="shared" si="33"/>
        <v>0</v>
      </c>
      <c r="N58">
        <f>IF('Исходные данные'!$B$51="Да",-MAX(0,J58+Расчёты!R58+Расчёты!V58-Расчёты!P58-Расчёты!T58-M58),0)</f>
        <v>0</v>
      </c>
      <c r="O58">
        <f>IF('Исходные данные'!$B$51="Да",MAX(0,M58+Расчёты!P58+Расчёты!T58-J58-Расчёты!R58-Расчёты!V58),0)</f>
        <v>0</v>
      </c>
      <c r="P58">
        <f>IF('Исходные данные'!$B$53="Выручка",MAX(0,I58+(Расчёты!Q58-Расчёты!R58)+(Расчёты!U58-Расчёты!V58)),IF('Исходные данные'!$B$53="Прибыль до налога",MAX(0,I58+(Расчёты!Q58-Расчёты!R58)+(Расчёты!U58-Расчёты!V58)+N('Исходные данные'!$B$54)*((Расчёты!O58+Расчёты!P58)+(Расчёты!S58+Расчёты!T58)+Расчёты!W58+Расчёты!X58)+IF('Исходные данные'!$B$55="Да",Расчёты!AG58,0)-N('Исходные данные'!$B$56)/12),IF('Исходные данные'!$B$53="Пользовательская база",MAX(0,N('Исходные данные'!$B$57)/12),0)))</f>
        <v>0</v>
      </c>
      <c r="Q58">
        <f>IF(D58=1,-P58*N('Исходные данные'!$B$50),0)</f>
        <v>0</v>
      </c>
      <c r="R58">
        <f t="shared" si="23"/>
        <v>0</v>
      </c>
      <c r="S58">
        <f>IF(OR(D58&lt;&gt;1,B58="",'Исходные данные'!$B$91="",N('Исходные данные'!$B$80)&lt;=0,'Исходные данные'!$B$88=""),0,IF(AND(YEAR(B58)=YEAR('Исходные данные'!$B$91),MONTH(B58)=MONTH('Исходные данные'!$B$91)),MAX(0,IF('Исходные данные'!$B$88="Последние 12 месяцев",SUMIFS($L$2:$L$194,$B$2:$B$194,"&gt;="&amp;EDATE(B58,-11),$B$2:$B$194,"&lt;="&amp;B58),IF('Исходные данные'!$B$88="Пользовательский NOI",N('Исходные данные'!$B$89),R58))/N('Исходные данные'!$B$80)*(1+N('Исходные данные'!$B$81))),0))</f>
        <v>0</v>
      </c>
      <c r="T58">
        <f>-S58*N('Исходные данные'!$B$73)</f>
        <v>0</v>
      </c>
      <c r="U58">
        <f>IF(S58=0,0,-N('Исходные данные'!$B$87)-IF('Исходные данные'!$B$82="Да",IF('Исходные данные'!$B$84="С выручки",S58,IF('Исходные данные'!$B$84="С прибыли",MAX(0,S58+T58-IF('Исходные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58">
        <f t="shared" si="24"/>
        <v>0</v>
      </c>
      <c r="W58">
        <f>IF(D58=1,Расчёты!AZ58+K58+N58+Q58+V58,0)</f>
        <v>0</v>
      </c>
      <c r="X58" t="str">
        <f t="shared" si="34"/>
        <v/>
      </c>
      <c r="Y58">
        <f>IF(OR(D58=0,'Исходные данные'!$B$9="",'Исходные данные'!$B$90=""),0,W58/(1+'Исходные данные'!$B$90)^((C58-'Исходные данные'!$B$9)/365))</f>
        <v>0</v>
      </c>
      <c r="Z58">
        <f>IF(D58=1,K58+Расчёты!O58+Расчёты!Q58+Расчёты!S58+Расчёты!U58+Расчёты!W58+Расчёты!X58+N58+Q58,0)</f>
        <v>0</v>
      </c>
      <c r="AA58">
        <f>IF(AND(D58=1,X58&gt;=0,X57&lt;0,MIN($X$2:X58)&lt;0),1,0)</f>
        <v>0</v>
      </c>
      <c r="AB58">
        <f>IF(Расчёты!F58=0,0,IF(Расчёты!G58=1,N('Сценарный анализ'!$C$5),IF(Расчёты!G58=2,N('Сценарный анализ'!$C$6),IF(Расчёты!G58=3,N('Сценарный анализ'!$C$7),N('Сценарный анализ'!$C$7)*(1+N('Сценарный анализ'!$C$8))^(Расчёты!G58-3)))))</f>
        <v>0</v>
      </c>
      <c r="AC58">
        <f>IF(OR(Расчёты!F58=0,N('Исходные данные'!$B$5)=0,AB58=0),0,N('Исходные данные'!$B$5)*AB58*IF(AND(B58&lt;='Исходные данные'!$B$30,Расчёты!C58&gt;='Исходные данные'!$B$30),(Расчёты!C58-'Исходные данные'!$B$30+1)/DAY(Расчёты!C58),1))</f>
        <v>0</v>
      </c>
      <c r="AD58">
        <f>IF(AND(Расчёты!F58&gt;0,Расчёты!F58&lt;=N('Исходные данные'!$B$37)),-AC58,0)</f>
        <v>0</v>
      </c>
      <c r="AE58">
        <f>IF(OR(Расчёты!F58=0,Расчёты!F58&lt;=N('Исходные данные'!$B$37)),0,-(AC58+AD58)*N('Сценарный анализ'!$C$9))</f>
        <v>0</v>
      </c>
      <c r="AF58">
        <f t="shared" si="25"/>
        <v>0</v>
      </c>
      <c r="AG58">
        <f>IF('Исходные данные'!$B$51="Да",AF58*N('Исходные данные'!$B$52),0)</f>
        <v>0</v>
      </c>
      <c r="AH58">
        <f t="shared" si="26"/>
        <v>0</v>
      </c>
      <c r="AI58">
        <f>AF58+(Расчёты!Y58-Расчёты!L58)</f>
        <v>0</v>
      </c>
      <c r="AJ58">
        <f t="shared" si="35"/>
        <v>0</v>
      </c>
      <c r="AK58">
        <f>IF('Исходные данные'!$B$51="Да",-MAX(0,AG58+Расчёты!R58+Расчёты!V58-Расчёты!P58-Расчёты!T58-AJ58),0)</f>
        <v>0</v>
      </c>
      <c r="AL58">
        <f>IF('Исходные данные'!$B$51="Да",MAX(0,AJ58+Расчёты!P58+Расчёты!T58-AG58-Расчёты!R58-Расчёты!V58),0)</f>
        <v>0</v>
      </c>
      <c r="AM58">
        <f>IF('Исходные данные'!$B$53="Выручка",MAX(0,AF58+(Расчёты!Q58-Расчёты!R58)+(Расчёты!U58-Расчёты!V58)),IF('Исходные данные'!$B$53="Прибыль до налога",MAX(0,AF58+(Расчёты!Q58-Расчёты!R58)+(Расчёты!U58-Расчёты!V58)+N('Исходные данные'!$B$54)*((Расчёты!O58+Расчёты!P58)+(Расчёты!S58+Расчёты!T58)+Расчёты!W58+Расчёты!X58)+IF('Исходные данные'!$B$55="Да",Расчёты!AG58,0)-N('Исходные данные'!$B$56)/12),IF('Исходные данные'!$B$53="Пользовательская база",MAX(0,N('Исходные данные'!$B$57)/12),0)))</f>
        <v>0</v>
      </c>
      <c r="AN58">
        <f>IF(D58=1,-AM58*N('Исходные данные'!$B$50),0)</f>
        <v>0</v>
      </c>
      <c r="AO58">
        <f t="shared" si="27"/>
        <v>0</v>
      </c>
      <c r="AP58">
        <f>IF(OR(D58&lt;&gt;1,B58="",'Исходные данные'!$B$91="",N('Исходные данные'!$B$80)&lt;=0,'Исходные данные'!$B$88=""),0,IF(AND(YEAR(B58)=YEAR('Исходные данные'!$B$91),MONTH(B58)=MONTH('Исходные данные'!$B$91)),MAX(0,IF('Исходные данные'!$B$88="Последние 12 месяцев",SUMIFS($AI$2:$AI$194,$B$2:$B$194,"&gt;="&amp;EDATE(B58,-11),$B$2:$B$194,"&lt;="&amp;B58),IF('Исходные данные'!$B$88="Пользовательский NOI",N('Исходные данные'!$B$89),AO58))/N('Исходные данные'!$B$80)*(1+N('Исходные данные'!$B$81))),0))</f>
        <v>0</v>
      </c>
      <c r="AQ58">
        <f>-AP58*N('Исходные данные'!$B$73)</f>
        <v>0</v>
      </c>
      <c r="AR58">
        <f>IF(AP58=0,0,-N('Исходные данные'!$B$87)-IF('Исходные данные'!$B$82="Да",IF('Исходные данные'!$B$84="С выручки",AP58,IF('Исходные данные'!$B$84="С прибыли",MAX(0,AP58+AQ58-IF('Исходные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58">
        <f t="shared" si="28"/>
        <v>0</v>
      </c>
      <c r="AT58">
        <f>IF(D58=1,Расчёты!AZ58+AH58+AK58+AN58+AS58,0)</f>
        <v>0</v>
      </c>
      <c r="AU58" t="str">
        <f t="shared" si="36"/>
        <v/>
      </c>
      <c r="AV58">
        <f>IF(OR(D58=0,'Исходные данные'!$B$9="",'Исходные данные'!$B$90=""),0,AT58/(1+'Исходные данные'!$B$90)^((C58-'Исходные данные'!$B$9)/365))</f>
        <v>0</v>
      </c>
      <c r="AW58">
        <f>IF(D58=1,AH58+Расчёты!O58+Расчёты!Q58+Расчёты!S58+Расчёты!U58+Расчёты!W58+Расчёты!X58+AK58+AN58,0)</f>
        <v>0</v>
      </c>
      <c r="AX58">
        <f>IF(AND(D58=1,AU58&gt;=0,AU57&lt;0,MIN($AU$2:AU58)&lt;0),1,0)</f>
        <v>0</v>
      </c>
      <c r="AY58">
        <f>IF(Расчёты!F58=0,0,IF(Расчёты!G58=1,N('Сценарный анализ'!$D$5),IF(Расчёты!G58=2,N('Сценарный анализ'!$D$6),IF(Расчёты!G58=3,N('Сценарный анализ'!$D$7),N('Сценарный анализ'!$D$7)*(1+N('Сценарный анализ'!$D$8))^(Расчёты!G58-3)))))</f>
        <v>0</v>
      </c>
      <c r="AZ58">
        <f>IF(OR(Расчёты!F58=0,N('Исходные данные'!$B$5)=0,AY58=0),0,N('Исходные данные'!$B$5)*AY58*IF(AND(B58&lt;='Исходные данные'!$B$30,Расчёты!C58&gt;='Исходные данные'!$B$30),(Расчёты!C58-'Исходные данные'!$B$30+1)/DAY(Расчёты!C58),1))</f>
        <v>0</v>
      </c>
      <c r="BA58">
        <f>IF(AND(Расчёты!F58&gt;0,Расчёты!F58&lt;=N('Исходные данные'!$B$37)),-AZ58,0)</f>
        <v>0</v>
      </c>
      <c r="BB58">
        <f>IF(OR(Расчёты!F58=0,Расчёты!F58&lt;=N('Исходные данные'!$B$37)),0,-(AZ58+BA58)*N('Сценарный анализ'!$D$9))</f>
        <v>0</v>
      </c>
      <c r="BC58">
        <f t="shared" si="29"/>
        <v>0</v>
      </c>
      <c r="BD58">
        <f>IF('Исходные данные'!$B$51="Да",BC58*N('Исходные данные'!$B$52),0)</f>
        <v>0</v>
      </c>
      <c r="BE58">
        <f t="shared" si="30"/>
        <v>0</v>
      </c>
      <c r="BF58">
        <f>BC58+(Расчёты!Y58-Расчёты!L58)</f>
        <v>0</v>
      </c>
      <c r="BG58">
        <f t="shared" si="37"/>
        <v>0</v>
      </c>
      <c r="BH58">
        <f>IF('Исходные данные'!$B$51="Да",-MAX(0,BD58+Расчёты!R58+Расчёты!V58-Расчёты!P58-Расчёты!T58-BG58),0)</f>
        <v>0</v>
      </c>
      <c r="BI58">
        <f>IF('Исходные данные'!$B$51="Да",MAX(0,BG58+Расчёты!P58+Расчёты!T58-BD58-Расчёты!R58-Расчёты!V58),0)</f>
        <v>0</v>
      </c>
      <c r="BJ58">
        <f>IF('Исходные данные'!$B$53="Выручка",MAX(0,BC58+(Расчёты!Q58-Расчёты!R58)+(Расчёты!U58-Расчёты!V58)),IF('Исходные данные'!$B$53="Прибыль до налога",MAX(0,BC58+(Расчёты!Q58-Расчёты!R58)+(Расчёты!U58-Расчёты!V58)+N('Исходные данные'!$B$54)*((Расчёты!O58+Расчёты!P58)+(Расчёты!S58+Расчёты!T58)+Расчёты!W58+Расчёты!X58)+IF('Исходные данные'!$B$55="Да",Расчёты!AG58,0)-N('Исходные данные'!$B$56)/12),IF('Исходные данные'!$B$53="Пользовательская база",MAX(0,N('Исходные данные'!$B$57)/12),0)))</f>
        <v>0</v>
      </c>
      <c r="BK58">
        <f>IF(D58=1,-BJ58*N('Исходные данные'!$B$50),0)</f>
        <v>0</v>
      </c>
      <c r="BL58">
        <f t="shared" si="31"/>
        <v>0</v>
      </c>
      <c r="BM58">
        <f>IF(OR(D58&lt;&gt;1,B58="",'Исходные данные'!$B$91="",N('Исходные данные'!$B$80)&lt;=0,'Исходные данные'!$B$88=""),0,IF(AND(YEAR(B58)=YEAR('Исходные данные'!$B$91),MONTH(B58)=MONTH('Исходные данные'!$B$91)),MAX(0,IF('Исходные данные'!$B$88="Последние 12 месяцев",SUMIFS($BF$2:$BF$194,$B$2:$B$194,"&gt;="&amp;EDATE(B58,-11),$B$2:$B$194,"&lt;="&amp;B58),IF('Исходные данные'!$B$88="Пользовательский NOI",N('Исходные данные'!$B$89),BL58))/N('Исходные данные'!$B$80)*(1+N('Исходные данные'!$B$81))),0))</f>
        <v>0</v>
      </c>
      <c r="BN58">
        <f>-BM58*N('Исходные данные'!$B$73)</f>
        <v>0</v>
      </c>
      <c r="BO58">
        <f>IF(BM58=0,0,-N('Исходные данные'!$B$87)-IF('Исходные данные'!$B$82="Да",IF('Исходные данные'!$B$84="С выручки",BM58,IF('Исходные данные'!$B$84="С прибыли",MAX(0,BM58+BN58-IF('Исходные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58">
        <f t="shared" si="32"/>
        <v>0</v>
      </c>
      <c r="BQ58">
        <f>IF(D58=1,Расчёты!AZ58+BE58+BH58+BK58+BP58,0)</f>
        <v>0</v>
      </c>
      <c r="BR58" t="str">
        <f t="shared" si="38"/>
        <v/>
      </c>
      <c r="BS58">
        <f>IF(OR(D58=0,'Исходные данные'!$B$9="",'Исходные данные'!$B$90=""),0,BQ58/(1+'Исходные данные'!$B$90)^((C58-'Исходные данные'!$B$9)/365))</f>
        <v>0</v>
      </c>
      <c r="BT58">
        <f>IF(D58=1,BE58+Расчёты!O58+Расчёты!Q58+Расчёты!S58+Расчёты!U58+Расчёты!W58+Расчёты!X58+BH58+BK58,0)</f>
        <v>0</v>
      </c>
      <c r="BU58">
        <f>IF(AND(D58=1,BR58&gt;=0,BR57&lt;0,MIN($BR$2:BR58)&lt;0),1,0)</f>
        <v>0</v>
      </c>
      <c r="BV58">
        <f>Расчёты!AZ58+K58+N58-P58*N('Исходные данные'!$B$50)</f>
        <v>0</v>
      </c>
      <c r="BW58">
        <f t="shared" si="18"/>
        <v>0</v>
      </c>
      <c r="BX58">
        <f>IF(AND(BW58&gt;=0,BW57&lt;0,MIN($BW$2:BW58)&lt;0),1,0)</f>
        <v>0</v>
      </c>
      <c r="BY58">
        <f>Расчёты!AZ58+AH58+AK58-AM58*N('Исходные данные'!$B$50)</f>
        <v>0</v>
      </c>
      <c r="BZ58">
        <f t="shared" si="19"/>
        <v>0</v>
      </c>
      <c r="CA58">
        <f>IF(AND(BZ58&gt;=0,BZ57&lt;0,MIN($BZ$2:BZ58)&lt;0),1,0)</f>
        <v>0</v>
      </c>
      <c r="CB58">
        <f>Расчёты!AZ58+BE58+BH58-BJ58*N('Исходные данные'!$B$50)</f>
        <v>0</v>
      </c>
      <c r="CC58">
        <f t="shared" si="20"/>
        <v>0</v>
      </c>
      <c r="CD58">
        <f>IF(AND(CC58&gt;=0,CC57&lt;0,MIN($CC$2:CC58)&lt;0),1,0)</f>
        <v>0</v>
      </c>
    </row>
    <row r="59" spans="1:82" x14ac:dyDescent="0.2">
      <c r="A59">
        <f>Расчёты!A59</f>
        <v>58</v>
      </c>
      <c r="B59" t="str">
        <f>Расчёты!B59</f>
        <v/>
      </c>
      <c r="C59" t="str">
        <f>Расчёты!D59</f>
        <v/>
      </c>
      <c r="D59">
        <f>Расчёты!E59</f>
        <v>0</v>
      </c>
      <c r="E59">
        <f>IF(Расчёты!F59=0,0,IF(Расчёты!G59=1,N('Сценарный анализ'!$B$5),IF(Расчёты!G59=2,N('Сценарный анализ'!$B$6),IF(Расчёты!G59=3,N('Сценарный анализ'!$B$7),N('Сценарный анализ'!$B$7)*(1+N('Сценарный анализ'!$B$8))^(Расчёты!G59-3)))))</f>
        <v>0</v>
      </c>
      <c r="F59">
        <f>IF(OR(Расчёты!F59=0,N('Исходные данные'!$B$5)=0,E59=0),0,N('Исходные данные'!$B$5)*E59*IF(AND(B59&lt;='Исходные данные'!$B$30,Расчёты!C59&gt;='Исходные данные'!$B$30),(Расчёты!C59-'Исходные данные'!$B$30+1)/DAY(Расчёты!C59),1))</f>
        <v>0</v>
      </c>
      <c r="G59">
        <f>IF(AND(Расчёты!F59&gt;0,Расчёты!F59&lt;=N('Исходные данные'!$B$37)),-F59,0)</f>
        <v>0</v>
      </c>
      <c r="H59">
        <f>IF(OR(Расчёты!F59=0,Расчёты!F59&lt;=N('Исходные данные'!$B$37)),0,-(F59+G59)*N('Сценарный анализ'!$B$9))</f>
        <v>0</v>
      </c>
      <c r="I59">
        <f t="shared" si="21"/>
        <v>0</v>
      </c>
      <c r="J59">
        <f>IF('Исходные данные'!$B$51="Да",I59*N('Исходные данные'!$B$52),0)</f>
        <v>0</v>
      </c>
      <c r="K59">
        <f t="shared" si="22"/>
        <v>0</v>
      </c>
      <c r="L59">
        <f>I59+(Расчёты!Y59-Расчёты!L59)</f>
        <v>0</v>
      </c>
      <c r="M59">
        <f t="shared" si="33"/>
        <v>0</v>
      </c>
      <c r="N59">
        <f>IF('Исходные данные'!$B$51="Да",-MAX(0,J59+Расчёты!R59+Расчёты!V59-Расчёты!P59-Расчёты!T59-M59),0)</f>
        <v>0</v>
      </c>
      <c r="O59">
        <f>IF('Исходные данные'!$B$51="Да",MAX(0,M59+Расчёты!P59+Расчёты!T59-J59-Расчёты!R59-Расчёты!V59),0)</f>
        <v>0</v>
      </c>
      <c r="P59">
        <f>IF('Исходные данные'!$B$53="Выручка",MAX(0,I59+(Расчёты!Q59-Расчёты!R59)+(Расчёты!U59-Расчёты!V59)),IF('Исходные данные'!$B$53="Прибыль до налога",MAX(0,I59+(Расчёты!Q59-Расчёты!R59)+(Расчёты!U59-Расчёты!V59)+N('Исходные данные'!$B$54)*((Расчёты!O59+Расчёты!P59)+(Расчёты!S59+Расчёты!T59)+Расчёты!W59+Расчёты!X59)+IF('Исходные данные'!$B$55="Да",Расчёты!AG59,0)-N('Исходные данные'!$B$56)/12),IF('Исходные данные'!$B$53="Пользовательская база",MAX(0,N('Исходные данные'!$B$57)/12),0)))</f>
        <v>0</v>
      </c>
      <c r="Q59">
        <f>IF(D59=1,-P59*N('Исходные данные'!$B$50),0)</f>
        <v>0</v>
      </c>
      <c r="R59">
        <f t="shared" si="23"/>
        <v>0</v>
      </c>
      <c r="S59">
        <f>IF(OR(D59&lt;&gt;1,B59="",'Исходные данные'!$B$91="",N('Исходные данные'!$B$80)&lt;=0,'Исходные данные'!$B$88=""),0,IF(AND(YEAR(B59)=YEAR('Исходные данные'!$B$91),MONTH(B59)=MONTH('Исходные данные'!$B$91)),MAX(0,IF('Исходные данные'!$B$88="Последние 12 месяцев",SUMIFS($L$2:$L$194,$B$2:$B$194,"&gt;="&amp;EDATE(B59,-11),$B$2:$B$194,"&lt;="&amp;B59),IF('Исходные данные'!$B$88="Пользовательский NOI",N('Исходные данные'!$B$89),R59))/N('Исходные данные'!$B$80)*(1+N('Исходные данные'!$B$81))),0))</f>
        <v>0</v>
      </c>
      <c r="T59">
        <f>-S59*N('Исходные данные'!$B$73)</f>
        <v>0</v>
      </c>
      <c r="U59">
        <f>IF(S59=0,0,-N('Исходные данные'!$B$87)-IF('Исходные данные'!$B$82="Да",IF('Исходные данные'!$B$84="С выручки",S59,IF('Исходные данные'!$B$84="С прибыли",MAX(0,S59+T59-IF('Исходные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59">
        <f t="shared" si="24"/>
        <v>0</v>
      </c>
      <c r="W59">
        <f>IF(D59=1,Расчёты!AZ59+K59+N59+Q59+V59,0)</f>
        <v>0</v>
      </c>
      <c r="X59" t="str">
        <f t="shared" si="34"/>
        <v/>
      </c>
      <c r="Y59">
        <f>IF(OR(D59=0,'Исходные данные'!$B$9="",'Исходные данные'!$B$90=""),0,W59/(1+'Исходные данные'!$B$90)^((C59-'Исходные данные'!$B$9)/365))</f>
        <v>0</v>
      </c>
      <c r="Z59">
        <f>IF(D59=1,K59+Расчёты!O59+Расчёты!Q59+Расчёты!S59+Расчёты!U59+Расчёты!W59+Расчёты!X59+N59+Q59,0)</f>
        <v>0</v>
      </c>
      <c r="AA59">
        <f>IF(AND(D59=1,X59&gt;=0,X58&lt;0,MIN($X$2:X59)&lt;0),1,0)</f>
        <v>0</v>
      </c>
      <c r="AB59">
        <f>IF(Расчёты!F59=0,0,IF(Расчёты!G59=1,N('Сценарный анализ'!$C$5),IF(Расчёты!G59=2,N('Сценарный анализ'!$C$6),IF(Расчёты!G59=3,N('Сценарный анализ'!$C$7),N('Сценарный анализ'!$C$7)*(1+N('Сценарный анализ'!$C$8))^(Расчёты!G59-3)))))</f>
        <v>0</v>
      </c>
      <c r="AC59">
        <f>IF(OR(Расчёты!F59=0,N('Исходные данные'!$B$5)=0,AB59=0),0,N('Исходные данные'!$B$5)*AB59*IF(AND(B59&lt;='Исходные данные'!$B$30,Расчёты!C59&gt;='Исходные данные'!$B$30),(Расчёты!C59-'Исходные данные'!$B$30+1)/DAY(Расчёты!C59),1))</f>
        <v>0</v>
      </c>
      <c r="AD59">
        <f>IF(AND(Расчёты!F59&gt;0,Расчёты!F59&lt;=N('Исходные данные'!$B$37)),-AC59,0)</f>
        <v>0</v>
      </c>
      <c r="AE59">
        <f>IF(OR(Расчёты!F59=0,Расчёты!F59&lt;=N('Исходные данные'!$B$37)),0,-(AC59+AD59)*N('Сценарный анализ'!$C$9))</f>
        <v>0</v>
      </c>
      <c r="AF59">
        <f t="shared" si="25"/>
        <v>0</v>
      </c>
      <c r="AG59">
        <f>IF('Исходные данные'!$B$51="Да",AF59*N('Исходные данные'!$B$52),0)</f>
        <v>0</v>
      </c>
      <c r="AH59">
        <f t="shared" si="26"/>
        <v>0</v>
      </c>
      <c r="AI59">
        <f>AF59+(Расчёты!Y59-Расчёты!L59)</f>
        <v>0</v>
      </c>
      <c r="AJ59">
        <f t="shared" si="35"/>
        <v>0</v>
      </c>
      <c r="AK59">
        <f>IF('Исходные данные'!$B$51="Да",-MAX(0,AG59+Расчёты!R59+Расчёты!V59-Расчёты!P59-Расчёты!T59-AJ59),0)</f>
        <v>0</v>
      </c>
      <c r="AL59">
        <f>IF('Исходные данные'!$B$51="Да",MAX(0,AJ59+Расчёты!P59+Расчёты!T59-AG59-Расчёты!R59-Расчёты!V59),0)</f>
        <v>0</v>
      </c>
      <c r="AM59">
        <f>IF('Исходные данные'!$B$53="Выручка",MAX(0,AF59+(Расчёты!Q59-Расчёты!R59)+(Расчёты!U59-Расчёты!V59)),IF('Исходные данные'!$B$53="Прибыль до налога",MAX(0,AF59+(Расчёты!Q59-Расчёты!R59)+(Расчёты!U59-Расчёты!V59)+N('Исходные данные'!$B$54)*((Расчёты!O59+Расчёты!P59)+(Расчёты!S59+Расчёты!T59)+Расчёты!W59+Расчёты!X59)+IF('Исходные данные'!$B$55="Да",Расчёты!AG59,0)-N('Исходные данные'!$B$56)/12),IF('Исходные данные'!$B$53="Пользовательская база",MAX(0,N('Исходные данные'!$B$57)/12),0)))</f>
        <v>0</v>
      </c>
      <c r="AN59">
        <f>IF(D59=1,-AM59*N('Исходные данные'!$B$50),0)</f>
        <v>0</v>
      </c>
      <c r="AO59">
        <f t="shared" si="27"/>
        <v>0</v>
      </c>
      <c r="AP59">
        <f>IF(OR(D59&lt;&gt;1,B59="",'Исходные данные'!$B$91="",N('Исходные данные'!$B$80)&lt;=0,'Исходные данные'!$B$88=""),0,IF(AND(YEAR(B59)=YEAR('Исходные данные'!$B$91),MONTH(B59)=MONTH('Исходные данные'!$B$91)),MAX(0,IF('Исходные данные'!$B$88="Последние 12 месяцев",SUMIFS($AI$2:$AI$194,$B$2:$B$194,"&gt;="&amp;EDATE(B59,-11),$B$2:$B$194,"&lt;="&amp;B59),IF('Исходные данные'!$B$88="Пользовательский NOI",N('Исходные данные'!$B$89),AO59))/N('Исходные данные'!$B$80)*(1+N('Исходные данные'!$B$81))),0))</f>
        <v>0</v>
      </c>
      <c r="AQ59">
        <f>-AP59*N('Исходные данные'!$B$73)</f>
        <v>0</v>
      </c>
      <c r="AR59">
        <f>IF(AP59=0,0,-N('Исходные данные'!$B$87)-IF('Исходные данные'!$B$82="Да",IF('Исходные данные'!$B$84="С выручки",AP59,IF('Исходные данные'!$B$84="С прибыли",MAX(0,AP59+AQ59-IF('Исходные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59">
        <f t="shared" si="28"/>
        <v>0</v>
      </c>
      <c r="AT59">
        <f>IF(D59=1,Расчёты!AZ59+AH59+AK59+AN59+AS59,0)</f>
        <v>0</v>
      </c>
      <c r="AU59" t="str">
        <f t="shared" si="36"/>
        <v/>
      </c>
      <c r="AV59">
        <f>IF(OR(D59=0,'Исходные данные'!$B$9="",'Исходные данные'!$B$90=""),0,AT59/(1+'Исходные данные'!$B$90)^((C59-'Исходные данные'!$B$9)/365))</f>
        <v>0</v>
      </c>
      <c r="AW59">
        <f>IF(D59=1,AH59+Расчёты!O59+Расчёты!Q59+Расчёты!S59+Расчёты!U59+Расчёты!W59+Расчёты!X59+AK59+AN59,0)</f>
        <v>0</v>
      </c>
      <c r="AX59">
        <f>IF(AND(D59=1,AU59&gt;=0,AU58&lt;0,MIN($AU$2:AU59)&lt;0),1,0)</f>
        <v>0</v>
      </c>
      <c r="AY59">
        <f>IF(Расчёты!F59=0,0,IF(Расчёты!G59=1,N('Сценарный анализ'!$D$5),IF(Расчёты!G59=2,N('Сценарный анализ'!$D$6),IF(Расчёты!G59=3,N('Сценарный анализ'!$D$7),N('Сценарный анализ'!$D$7)*(1+N('Сценарный анализ'!$D$8))^(Расчёты!G59-3)))))</f>
        <v>0</v>
      </c>
      <c r="AZ59">
        <f>IF(OR(Расчёты!F59=0,N('Исходные данные'!$B$5)=0,AY59=0),0,N('Исходные данные'!$B$5)*AY59*IF(AND(B59&lt;='Исходные данные'!$B$30,Расчёты!C59&gt;='Исходные данные'!$B$30),(Расчёты!C59-'Исходные данные'!$B$30+1)/DAY(Расчёты!C59),1))</f>
        <v>0</v>
      </c>
      <c r="BA59">
        <f>IF(AND(Расчёты!F59&gt;0,Расчёты!F59&lt;=N('Исходные данные'!$B$37)),-AZ59,0)</f>
        <v>0</v>
      </c>
      <c r="BB59">
        <f>IF(OR(Расчёты!F59=0,Расчёты!F59&lt;=N('Исходные данные'!$B$37)),0,-(AZ59+BA59)*N('Сценарный анализ'!$D$9))</f>
        <v>0</v>
      </c>
      <c r="BC59">
        <f t="shared" si="29"/>
        <v>0</v>
      </c>
      <c r="BD59">
        <f>IF('Исходные данные'!$B$51="Да",BC59*N('Исходные данные'!$B$52),0)</f>
        <v>0</v>
      </c>
      <c r="BE59">
        <f t="shared" si="30"/>
        <v>0</v>
      </c>
      <c r="BF59">
        <f>BC59+(Расчёты!Y59-Расчёты!L59)</f>
        <v>0</v>
      </c>
      <c r="BG59">
        <f t="shared" si="37"/>
        <v>0</v>
      </c>
      <c r="BH59">
        <f>IF('Исходные данные'!$B$51="Да",-MAX(0,BD59+Расчёты!R59+Расчёты!V59-Расчёты!P59-Расчёты!T59-BG59),0)</f>
        <v>0</v>
      </c>
      <c r="BI59">
        <f>IF('Исходные данные'!$B$51="Да",MAX(0,BG59+Расчёты!P59+Расчёты!T59-BD59-Расчёты!R59-Расчёты!V59),0)</f>
        <v>0</v>
      </c>
      <c r="BJ59">
        <f>IF('Исходные данные'!$B$53="Выручка",MAX(0,BC59+(Расчёты!Q59-Расчёты!R59)+(Расчёты!U59-Расчёты!V59)),IF('Исходные данные'!$B$53="Прибыль до налога",MAX(0,BC59+(Расчёты!Q59-Расчёты!R59)+(Расчёты!U59-Расчёты!V59)+N('Исходные данные'!$B$54)*((Расчёты!O59+Расчёты!P59)+(Расчёты!S59+Расчёты!T59)+Расчёты!W59+Расчёты!X59)+IF('Исходные данные'!$B$55="Да",Расчёты!AG59,0)-N('Исходные данные'!$B$56)/12),IF('Исходные данные'!$B$53="Пользовательская база",MAX(0,N('Исходные данные'!$B$57)/12),0)))</f>
        <v>0</v>
      </c>
      <c r="BK59">
        <f>IF(D59=1,-BJ59*N('Исходные данные'!$B$50),0)</f>
        <v>0</v>
      </c>
      <c r="BL59">
        <f t="shared" si="31"/>
        <v>0</v>
      </c>
      <c r="BM59">
        <f>IF(OR(D59&lt;&gt;1,B59="",'Исходные данные'!$B$91="",N('Исходные данные'!$B$80)&lt;=0,'Исходные данные'!$B$88=""),0,IF(AND(YEAR(B59)=YEAR('Исходные данные'!$B$91),MONTH(B59)=MONTH('Исходные данные'!$B$91)),MAX(0,IF('Исходные данные'!$B$88="Последние 12 месяцев",SUMIFS($BF$2:$BF$194,$B$2:$B$194,"&gt;="&amp;EDATE(B59,-11),$B$2:$B$194,"&lt;="&amp;B59),IF('Исходные данные'!$B$88="Пользовательский NOI",N('Исходные данные'!$B$89),BL59))/N('Исходные данные'!$B$80)*(1+N('Исходные данные'!$B$81))),0))</f>
        <v>0</v>
      </c>
      <c r="BN59">
        <f>-BM59*N('Исходные данные'!$B$73)</f>
        <v>0</v>
      </c>
      <c r="BO59">
        <f>IF(BM59=0,0,-N('Исходные данные'!$B$87)-IF('Исходные данные'!$B$82="Да",IF('Исходные данные'!$B$84="С выручки",BM59,IF('Исходные данные'!$B$84="С прибыли",MAX(0,BM59+BN59-IF('Исходные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59">
        <f t="shared" si="32"/>
        <v>0</v>
      </c>
      <c r="BQ59">
        <f>IF(D59=1,Расчёты!AZ59+BE59+BH59+BK59+BP59,0)</f>
        <v>0</v>
      </c>
      <c r="BR59" t="str">
        <f t="shared" si="38"/>
        <v/>
      </c>
      <c r="BS59">
        <f>IF(OR(D59=0,'Исходные данные'!$B$9="",'Исходные данные'!$B$90=""),0,BQ59/(1+'Исходные данные'!$B$90)^((C59-'Исходные данные'!$B$9)/365))</f>
        <v>0</v>
      </c>
      <c r="BT59">
        <f>IF(D59=1,BE59+Расчёты!O59+Расчёты!Q59+Расчёты!S59+Расчёты!U59+Расчёты!W59+Расчёты!X59+BH59+BK59,0)</f>
        <v>0</v>
      </c>
      <c r="BU59">
        <f>IF(AND(D59=1,BR59&gt;=0,BR58&lt;0,MIN($BR$2:BR59)&lt;0),1,0)</f>
        <v>0</v>
      </c>
      <c r="BV59">
        <f>Расчёты!AZ59+K59+N59-P59*N('Исходные данные'!$B$50)</f>
        <v>0</v>
      </c>
      <c r="BW59">
        <f t="shared" si="18"/>
        <v>0</v>
      </c>
      <c r="BX59">
        <f>IF(AND(BW59&gt;=0,BW58&lt;0,MIN($BW$2:BW59)&lt;0),1,0)</f>
        <v>0</v>
      </c>
      <c r="BY59">
        <f>Расчёты!AZ59+AH59+AK59-AM59*N('Исходные данные'!$B$50)</f>
        <v>0</v>
      </c>
      <c r="BZ59">
        <f t="shared" si="19"/>
        <v>0</v>
      </c>
      <c r="CA59">
        <f>IF(AND(BZ59&gt;=0,BZ58&lt;0,MIN($BZ$2:BZ59)&lt;0),1,0)</f>
        <v>0</v>
      </c>
      <c r="CB59">
        <f>Расчёты!AZ59+BE59+BH59-BJ59*N('Исходные данные'!$B$50)</f>
        <v>0</v>
      </c>
      <c r="CC59">
        <f t="shared" si="20"/>
        <v>0</v>
      </c>
      <c r="CD59">
        <f>IF(AND(CC59&gt;=0,CC58&lt;0,MIN($CC$2:CC59)&lt;0),1,0)</f>
        <v>0</v>
      </c>
    </row>
    <row r="60" spans="1:82" x14ac:dyDescent="0.2">
      <c r="A60">
        <f>Расчёты!A60</f>
        <v>59</v>
      </c>
      <c r="B60" t="str">
        <f>Расчёты!B60</f>
        <v/>
      </c>
      <c r="C60" t="str">
        <f>Расчёты!D60</f>
        <v/>
      </c>
      <c r="D60">
        <f>Расчёты!E60</f>
        <v>0</v>
      </c>
      <c r="E60">
        <f>IF(Расчёты!F60=0,0,IF(Расчёты!G60=1,N('Сценарный анализ'!$B$5),IF(Расчёты!G60=2,N('Сценарный анализ'!$B$6),IF(Расчёты!G60=3,N('Сценарный анализ'!$B$7),N('Сценарный анализ'!$B$7)*(1+N('Сценарный анализ'!$B$8))^(Расчёты!G60-3)))))</f>
        <v>0</v>
      </c>
      <c r="F60">
        <f>IF(OR(Расчёты!F60=0,N('Исходные данные'!$B$5)=0,E60=0),0,N('Исходные данные'!$B$5)*E60*IF(AND(B60&lt;='Исходные данные'!$B$30,Расчёты!C60&gt;='Исходные данные'!$B$30),(Расчёты!C60-'Исходные данные'!$B$30+1)/DAY(Расчёты!C60),1))</f>
        <v>0</v>
      </c>
      <c r="G60">
        <f>IF(AND(Расчёты!F60&gt;0,Расчёты!F60&lt;=N('Исходные данные'!$B$37)),-F60,0)</f>
        <v>0</v>
      </c>
      <c r="H60">
        <f>IF(OR(Расчёты!F60=0,Расчёты!F60&lt;=N('Исходные данные'!$B$37)),0,-(F60+G60)*N('Сценарный анализ'!$B$9))</f>
        <v>0</v>
      </c>
      <c r="I60">
        <f t="shared" si="21"/>
        <v>0</v>
      </c>
      <c r="J60">
        <f>IF('Исходные данные'!$B$51="Да",I60*N('Исходные данные'!$B$52),0)</f>
        <v>0</v>
      </c>
      <c r="K60">
        <f t="shared" si="22"/>
        <v>0</v>
      </c>
      <c r="L60">
        <f>I60+(Расчёты!Y60-Расчёты!L60)</f>
        <v>0</v>
      </c>
      <c r="M60">
        <f t="shared" si="33"/>
        <v>0</v>
      </c>
      <c r="N60">
        <f>IF('Исходные данные'!$B$51="Да",-MAX(0,J60+Расчёты!R60+Расчёты!V60-Расчёты!P60-Расчёты!T60-M60),0)</f>
        <v>0</v>
      </c>
      <c r="O60">
        <f>IF('Исходные данные'!$B$51="Да",MAX(0,M60+Расчёты!P60+Расчёты!T60-J60-Расчёты!R60-Расчёты!V60),0)</f>
        <v>0</v>
      </c>
      <c r="P60">
        <f>IF('Исходные данные'!$B$53="Выручка",MAX(0,I60+(Расчёты!Q60-Расчёты!R60)+(Расчёты!U60-Расчёты!V60)),IF('Исходные данные'!$B$53="Прибыль до налога",MAX(0,I60+(Расчёты!Q60-Расчёты!R60)+(Расчёты!U60-Расчёты!V60)+N('Исходные данные'!$B$54)*((Расчёты!O60+Расчёты!P60)+(Расчёты!S60+Расчёты!T60)+Расчёты!W60+Расчёты!X60)+IF('Исходные данные'!$B$55="Да",Расчёты!AG60,0)-N('Исходные данные'!$B$56)/12),IF('Исходные данные'!$B$53="Пользовательская база",MAX(0,N('Исходные данные'!$B$57)/12),0)))</f>
        <v>0</v>
      </c>
      <c r="Q60">
        <f>IF(D60=1,-P60*N('Исходные данные'!$B$50),0)</f>
        <v>0</v>
      </c>
      <c r="R60">
        <f t="shared" si="23"/>
        <v>0</v>
      </c>
      <c r="S60">
        <f>IF(OR(D60&lt;&gt;1,B60="",'Исходные данные'!$B$91="",N('Исходные данные'!$B$80)&lt;=0,'Исходные данные'!$B$88=""),0,IF(AND(YEAR(B60)=YEAR('Исходные данные'!$B$91),MONTH(B60)=MONTH('Исходные данные'!$B$91)),MAX(0,IF('Исходные данные'!$B$88="Последние 12 месяцев",SUMIFS($L$2:$L$194,$B$2:$B$194,"&gt;="&amp;EDATE(B60,-11),$B$2:$B$194,"&lt;="&amp;B60),IF('Исходные данные'!$B$88="Пользовательский NOI",N('Исходные данные'!$B$89),R60))/N('Исходные данные'!$B$80)*(1+N('Исходные данные'!$B$81))),0))</f>
        <v>0</v>
      </c>
      <c r="T60">
        <f>-S60*N('Исходные данные'!$B$73)</f>
        <v>0</v>
      </c>
      <c r="U60">
        <f>IF(S60=0,0,-N('Исходные данные'!$B$87)-IF('Исходные данные'!$B$82="Да",IF('Исходные данные'!$B$84="С выручки",S60,IF('Исходные данные'!$B$84="С прибыли",MAX(0,S60+T60-IF('Исходные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60">
        <f t="shared" si="24"/>
        <v>0</v>
      </c>
      <c r="W60">
        <f>IF(D60=1,Расчёты!AZ60+K60+N60+Q60+V60,0)</f>
        <v>0</v>
      </c>
      <c r="X60" t="str">
        <f t="shared" si="34"/>
        <v/>
      </c>
      <c r="Y60">
        <f>IF(OR(D60=0,'Исходные данные'!$B$9="",'Исходные данные'!$B$90=""),0,W60/(1+'Исходные данные'!$B$90)^((C60-'Исходные данные'!$B$9)/365))</f>
        <v>0</v>
      </c>
      <c r="Z60">
        <f>IF(D60=1,K60+Расчёты!O60+Расчёты!Q60+Расчёты!S60+Расчёты!U60+Расчёты!W60+Расчёты!X60+N60+Q60,0)</f>
        <v>0</v>
      </c>
      <c r="AA60">
        <f>IF(AND(D60=1,X60&gt;=0,X59&lt;0,MIN($X$2:X60)&lt;0),1,0)</f>
        <v>0</v>
      </c>
      <c r="AB60">
        <f>IF(Расчёты!F60=0,0,IF(Расчёты!G60=1,N('Сценарный анализ'!$C$5),IF(Расчёты!G60=2,N('Сценарный анализ'!$C$6),IF(Расчёты!G60=3,N('Сценарный анализ'!$C$7),N('Сценарный анализ'!$C$7)*(1+N('Сценарный анализ'!$C$8))^(Расчёты!G60-3)))))</f>
        <v>0</v>
      </c>
      <c r="AC60">
        <f>IF(OR(Расчёты!F60=0,N('Исходные данные'!$B$5)=0,AB60=0),0,N('Исходные данные'!$B$5)*AB60*IF(AND(B60&lt;='Исходные данные'!$B$30,Расчёты!C60&gt;='Исходные данные'!$B$30),(Расчёты!C60-'Исходные данные'!$B$30+1)/DAY(Расчёты!C60),1))</f>
        <v>0</v>
      </c>
      <c r="AD60">
        <f>IF(AND(Расчёты!F60&gt;0,Расчёты!F60&lt;=N('Исходные данные'!$B$37)),-AC60,0)</f>
        <v>0</v>
      </c>
      <c r="AE60">
        <f>IF(OR(Расчёты!F60=0,Расчёты!F60&lt;=N('Исходные данные'!$B$37)),0,-(AC60+AD60)*N('Сценарный анализ'!$C$9))</f>
        <v>0</v>
      </c>
      <c r="AF60">
        <f t="shared" si="25"/>
        <v>0</v>
      </c>
      <c r="AG60">
        <f>IF('Исходные данные'!$B$51="Да",AF60*N('Исходные данные'!$B$52),0)</f>
        <v>0</v>
      </c>
      <c r="AH60">
        <f t="shared" si="26"/>
        <v>0</v>
      </c>
      <c r="AI60">
        <f>AF60+(Расчёты!Y60-Расчёты!L60)</f>
        <v>0</v>
      </c>
      <c r="AJ60">
        <f t="shared" si="35"/>
        <v>0</v>
      </c>
      <c r="AK60">
        <f>IF('Исходные данные'!$B$51="Да",-MAX(0,AG60+Расчёты!R60+Расчёты!V60-Расчёты!P60-Расчёты!T60-AJ60),0)</f>
        <v>0</v>
      </c>
      <c r="AL60">
        <f>IF('Исходные данные'!$B$51="Да",MAX(0,AJ60+Расчёты!P60+Расчёты!T60-AG60-Расчёты!R60-Расчёты!V60),0)</f>
        <v>0</v>
      </c>
      <c r="AM60">
        <f>IF('Исходные данные'!$B$53="Выручка",MAX(0,AF60+(Расчёты!Q60-Расчёты!R60)+(Расчёты!U60-Расчёты!V60)),IF('Исходные данные'!$B$53="Прибыль до налога",MAX(0,AF60+(Расчёты!Q60-Расчёты!R60)+(Расчёты!U60-Расчёты!V60)+N('Исходные данные'!$B$54)*((Расчёты!O60+Расчёты!P60)+(Расчёты!S60+Расчёты!T60)+Расчёты!W60+Расчёты!X60)+IF('Исходные данные'!$B$55="Да",Расчёты!AG60,0)-N('Исходные данные'!$B$56)/12),IF('Исходные данные'!$B$53="Пользовательская база",MAX(0,N('Исходные данные'!$B$57)/12),0)))</f>
        <v>0</v>
      </c>
      <c r="AN60">
        <f>IF(D60=1,-AM60*N('Исходные данные'!$B$50),0)</f>
        <v>0</v>
      </c>
      <c r="AO60">
        <f t="shared" si="27"/>
        <v>0</v>
      </c>
      <c r="AP60">
        <f>IF(OR(D60&lt;&gt;1,B60="",'Исходные данные'!$B$91="",N('Исходные данные'!$B$80)&lt;=0,'Исходные данные'!$B$88=""),0,IF(AND(YEAR(B60)=YEAR('Исходные данные'!$B$91),MONTH(B60)=MONTH('Исходные данные'!$B$91)),MAX(0,IF('Исходные данные'!$B$88="Последние 12 месяцев",SUMIFS($AI$2:$AI$194,$B$2:$B$194,"&gt;="&amp;EDATE(B60,-11),$B$2:$B$194,"&lt;="&amp;B60),IF('Исходные данные'!$B$88="Пользовательский NOI",N('Исходные данные'!$B$89),AO60))/N('Исходные данные'!$B$80)*(1+N('Исходные данные'!$B$81))),0))</f>
        <v>0</v>
      </c>
      <c r="AQ60">
        <f>-AP60*N('Исходные данные'!$B$73)</f>
        <v>0</v>
      </c>
      <c r="AR60">
        <f>IF(AP60=0,0,-N('Исходные данные'!$B$87)-IF('Исходные данные'!$B$82="Да",IF('Исходные данные'!$B$84="С выручки",AP60,IF('Исходные данные'!$B$84="С прибыли",MAX(0,AP60+AQ60-IF('Исходные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60">
        <f t="shared" si="28"/>
        <v>0</v>
      </c>
      <c r="AT60">
        <f>IF(D60=1,Расчёты!AZ60+AH60+AK60+AN60+AS60,0)</f>
        <v>0</v>
      </c>
      <c r="AU60" t="str">
        <f t="shared" si="36"/>
        <v/>
      </c>
      <c r="AV60">
        <f>IF(OR(D60=0,'Исходные данные'!$B$9="",'Исходные данные'!$B$90=""),0,AT60/(1+'Исходные данные'!$B$90)^((C60-'Исходные данные'!$B$9)/365))</f>
        <v>0</v>
      </c>
      <c r="AW60">
        <f>IF(D60=1,AH60+Расчёты!O60+Расчёты!Q60+Расчёты!S60+Расчёты!U60+Расчёты!W60+Расчёты!X60+AK60+AN60,0)</f>
        <v>0</v>
      </c>
      <c r="AX60">
        <f>IF(AND(D60=1,AU60&gt;=0,AU59&lt;0,MIN($AU$2:AU60)&lt;0),1,0)</f>
        <v>0</v>
      </c>
      <c r="AY60">
        <f>IF(Расчёты!F60=0,0,IF(Расчёты!G60=1,N('Сценарный анализ'!$D$5),IF(Расчёты!G60=2,N('Сценарный анализ'!$D$6),IF(Расчёты!G60=3,N('Сценарный анализ'!$D$7),N('Сценарный анализ'!$D$7)*(1+N('Сценарный анализ'!$D$8))^(Расчёты!G60-3)))))</f>
        <v>0</v>
      </c>
      <c r="AZ60">
        <f>IF(OR(Расчёты!F60=0,N('Исходные данные'!$B$5)=0,AY60=0),0,N('Исходные данные'!$B$5)*AY60*IF(AND(B60&lt;='Исходные данные'!$B$30,Расчёты!C60&gt;='Исходные данные'!$B$30),(Расчёты!C60-'Исходные данные'!$B$30+1)/DAY(Расчёты!C60),1))</f>
        <v>0</v>
      </c>
      <c r="BA60">
        <f>IF(AND(Расчёты!F60&gt;0,Расчёты!F60&lt;=N('Исходные данные'!$B$37)),-AZ60,0)</f>
        <v>0</v>
      </c>
      <c r="BB60">
        <f>IF(OR(Расчёты!F60=0,Расчёты!F60&lt;=N('Исходные данные'!$B$37)),0,-(AZ60+BA60)*N('Сценарный анализ'!$D$9))</f>
        <v>0</v>
      </c>
      <c r="BC60">
        <f t="shared" si="29"/>
        <v>0</v>
      </c>
      <c r="BD60">
        <f>IF('Исходные данные'!$B$51="Да",BC60*N('Исходные данные'!$B$52),0)</f>
        <v>0</v>
      </c>
      <c r="BE60">
        <f t="shared" si="30"/>
        <v>0</v>
      </c>
      <c r="BF60">
        <f>BC60+(Расчёты!Y60-Расчёты!L60)</f>
        <v>0</v>
      </c>
      <c r="BG60">
        <f t="shared" si="37"/>
        <v>0</v>
      </c>
      <c r="BH60">
        <f>IF('Исходные данные'!$B$51="Да",-MAX(0,BD60+Расчёты!R60+Расчёты!V60-Расчёты!P60-Расчёты!T60-BG60),0)</f>
        <v>0</v>
      </c>
      <c r="BI60">
        <f>IF('Исходные данные'!$B$51="Да",MAX(0,BG60+Расчёты!P60+Расчёты!T60-BD60-Расчёты!R60-Расчёты!V60),0)</f>
        <v>0</v>
      </c>
      <c r="BJ60">
        <f>IF('Исходные данные'!$B$53="Выручка",MAX(0,BC60+(Расчёты!Q60-Расчёты!R60)+(Расчёты!U60-Расчёты!V60)),IF('Исходные данные'!$B$53="Прибыль до налога",MAX(0,BC60+(Расчёты!Q60-Расчёты!R60)+(Расчёты!U60-Расчёты!V60)+N('Исходные данные'!$B$54)*((Расчёты!O60+Расчёты!P60)+(Расчёты!S60+Расчёты!T60)+Расчёты!W60+Расчёты!X60)+IF('Исходные данные'!$B$55="Да",Расчёты!AG60,0)-N('Исходные данные'!$B$56)/12),IF('Исходные данные'!$B$53="Пользовательская база",MAX(0,N('Исходные данные'!$B$57)/12),0)))</f>
        <v>0</v>
      </c>
      <c r="BK60">
        <f>IF(D60=1,-BJ60*N('Исходные данные'!$B$50),0)</f>
        <v>0</v>
      </c>
      <c r="BL60">
        <f t="shared" si="31"/>
        <v>0</v>
      </c>
      <c r="BM60">
        <f>IF(OR(D60&lt;&gt;1,B60="",'Исходные данные'!$B$91="",N('Исходные данные'!$B$80)&lt;=0,'Исходные данные'!$B$88=""),0,IF(AND(YEAR(B60)=YEAR('Исходные данные'!$B$91),MONTH(B60)=MONTH('Исходные данные'!$B$91)),MAX(0,IF('Исходные данные'!$B$88="Последние 12 месяцев",SUMIFS($BF$2:$BF$194,$B$2:$B$194,"&gt;="&amp;EDATE(B60,-11),$B$2:$B$194,"&lt;="&amp;B60),IF('Исходные данные'!$B$88="Пользовательский NOI",N('Исходные данные'!$B$89),BL60))/N('Исходные данные'!$B$80)*(1+N('Исходные данные'!$B$81))),0))</f>
        <v>0</v>
      </c>
      <c r="BN60">
        <f>-BM60*N('Исходные данные'!$B$73)</f>
        <v>0</v>
      </c>
      <c r="BO60">
        <f>IF(BM60=0,0,-N('Исходные данные'!$B$87)-IF('Исходные данные'!$B$82="Да",IF('Исходные данные'!$B$84="С выручки",BM60,IF('Исходные данные'!$B$84="С прибыли",MAX(0,BM60+BN60-IF('Исходные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60">
        <f t="shared" si="32"/>
        <v>0</v>
      </c>
      <c r="BQ60">
        <f>IF(D60=1,Расчёты!AZ60+BE60+BH60+BK60+BP60,0)</f>
        <v>0</v>
      </c>
      <c r="BR60" t="str">
        <f t="shared" si="38"/>
        <v/>
      </c>
      <c r="BS60">
        <f>IF(OR(D60=0,'Исходные данные'!$B$9="",'Исходные данные'!$B$90=""),0,BQ60/(1+'Исходные данные'!$B$90)^((C60-'Исходные данные'!$B$9)/365))</f>
        <v>0</v>
      </c>
      <c r="BT60">
        <f>IF(D60=1,BE60+Расчёты!O60+Расчёты!Q60+Расчёты!S60+Расчёты!U60+Расчёты!W60+Расчёты!X60+BH60+BK60,0)</f>
        <v>0</v>
      </c>
      <c r="BU60">
        <f>IF(AND(D60=1,BR60&gt;=0,BR59&lt;0,MIN($BR$2:BR60)&lt;0),1,0)</f>
        <v>0</v>
      </c>
      <c r="BV60">
        <f>Расчёты!AZ60+K60+N60-P60*N('Исходные данные'!$B$50)</f>
        <v>0</v>
      </c>
      <c r="BW60">
        <f t="shared" si="18"/>
        <v>0</v>
      </c>
      <c r="BX60">
        <f>IF(AND(BW60&gt;=0,BW59&lt;0,MIN($BW$2:BW60)&lt;0),1,0)</f>
        <v>0</v>
      </c>
      <c r="BY60">
        <f>Расчёты!AZ60+AH60+AK60-AM60*N('Исходные данные'!$B$50)</f>
        <v>0</v>
      </c>
      <c r="BZ60">
        <f t="shared" si="19"/>
        <v>0</v>
      </c>
      <c r="CA60">
        <f>IF(AND(BZ60&gt;=0,BZ59&lt;0,MIN($BZ$2:BZ60)&lt;0),1,0)</f>
        <v>0</v>
      </c>
      <c r="CB60">
        <f>Расчёты!AZ60+BE60+BH60-BJ60*N('Исходные данные'!$B$50)</f>
        <v>0</v>
      </c>
      <c r="CC60">
        <f t="shared" si="20"/>
        <v>0</v>
      </c>
      <c r="CD60">
        <f>IF(AND(CC60&gt;=0,CC59&lt;0,MIN($CC$2:CC60)&lt;0),1,0)</f>
        <v>0</v>
      </c>
    </row>
    <row r="61" spans="1:82" x14ac:dyDescent="0.2">
      <c r="A61">
        <f>Расчёты!A61</f>
        <v>60</v>
      </c>
      <c r="B61" t="str">
        <f>Расчёты!B61</f>
        <v/>
      </c>
      <c r="C61" t="str">
        <f>Расчёты!D61</f>
        <v/>
      </c>
      <c r="D61">
        <f>Расчёты!E61</f>
        <v>0</v>
      </c>
      <c r="E61">
        <f>IF(Расчёты!F61=0,0,IF(Расчёты!G61=1,N('Сценарный анализ'!$B$5),IF(Расчёты!G61=2,N('Сценарный анализ'!$B$6),IF(Расчёты!G61=3,N('Сценарный анализ'!$B$7),N('Сценарный анализ'!$B$7)*(1+N('Сценарный анализ'!$B$8))^(Расчёты!G61-3)))))</f>
        <v>0</v>
      </c>
      <c r="F61">
        <f>IF(OR(Расчёты!F61=0,N('Исходные данные'!$B$5)=0,E61=0),0,N('Исходные данные'!$B$5)*E61*IF(AND(B61&lt;='Исходные данные'!$B$30,Расчёты!C61&gt;='Исходные данные'!$B$30),(Расчёты!C61-'Исходные данные'!$B$30+1)/DAY(Расчёты!C61),1))</f>
        <v>0</v>
      </c>
      <c r="G61">
        <f>IF(AND(Расчёты!F61&gt;0,Расчёты!F61&lt;=N('Исходные данные'!$B$37)),-F61,0)</f>
        <v>0</v>
      </c>
      <c r="H61">
        <f>IF(OR(Расчёты!F61=0,Расчёты!F61&lt;=N('Исходные данные'!$B$37)),0,-(F61+G61)*N('Сценарный анализ'!$B$9))</f>
        <v>0</v>
      </c>
      <c r="I61">
        <f t="shared" si="21"/>
        <v>0</v>
      </c>
      <c r="J61">
        <f>IF('Исходные данные'!$B$51="Да",I61*N('Исходные данные'!$B$52),0)</f>
        <v>0</v>
      </c>
      <c r="K61">
        <f t="shared" si="22"/>
        <v>0</v>
      </c>
      <c r="L61">
        <f>I61+(Расчёты!Y61-Расчёты!L61)</f>
        <v>0</v>
      </c>
      <c r="M61">
        <f t="shared" si="33"/>
        <v>0</v>
      </c>
      <c r="N61">
        <f>IF('Исходные данные'!$B$51="Да",-MAX(0,J61+Расчёты!R61+Расчёты!V61-Расчёты!P61-Расчёты!T61-M61),0)</f>
        <v>0</v>
      </c>
      <c r="O61">
        <f>IF('Исходные данные'!$B$51="Да",MAX(0,M61+Расчёты!P61+Расчёты!T61-J61-Расчёты!R61-Расчёты!V61),0)</f>
        <v>0</v>
      </c>
      <c r="P61">
        <f>IF('Исходные данные'!$B$53="Выручка",MAX(0,I61+(Расчёты!Q61-Расчёты!R61)+(Расчёты!U61-Расчёты!V61)),IF('Исходные данные'!$B$53="Прибыль до налога",MAX(0,I61+(Расчёты!Q61-Расчёты!R61)+(Расчёты!U61-Расчёты!V61)+N('Исходные данные'!$B$54)*((Расчёты!O61+Расчёты!P61)+(Расчёты!S61+Расчёты!T61)+Расчёты!W61+Расчёты!X61)+IF('Исходные данные'!$B$55="Да",Расчёты!AG61,0)-N('Исходные данные'!$B$56)/12),IF('Исходные данные'!$B$53="Пользовательская база",MAX(0,N('Исходные данные'!$B$57)/12),0)))</f>
        <v>0</v>
      </c>
      <c r="Q61">
        <f>IF(D61=1,-P61*N('Исходные данные'!$B$50),0)</f>
        <v>0</v>
      </c>
      <c r="R61">
        <f t="shared" si="23"/>
        <v>0</v>
      </c>
      <c r="S61">
        <f>IF(OR(D61&lt;&gt;1,B61="",'Исходные данные'!$B$91="",N('Исходные данные'!$B$80)&lt;=0,'Исходные данные'!$B$88=""),0,IF(AND(YEAR(B61)=YEAR('Исходные данные'!$B$91),MONTH(B61)=MONTH('Исходные данные'!$B$91)),MAX(0,IF('Исходные данные'!$B$88="Последние 12 месяцев",SUMIFS($L$2:$L$194,$B$2:$B$194,"&gt;="&amp;EDATE(B61,-11),$B$2:$B$194,"&lt;="&amp;B61),IF('Исходные данные'!$B$88="Пользовательский NOI",N('Исходные данные'!$B$89),R61))/N('Исходные данные'!$B$80)*(1+N('Исходные данные'!$B$81))),0))</f>
        <v>0</v>
      </c>
      <c r="T61">
        <f>-S61*N('Исходные данные'!$B$73)</f>
        <v>0</v>
      </c>
      <c r="U61">
        <f>IF(S61=0,0,-N('Исходные данные'!$B$87)-IF('Исходные данные'!$B$82="Да",IF('Исходные данные'!$B$84="С выручки",S61,IF('Исходные данные'!$B$84="С прибыли",MAX(0,S61+T61-IF('Исходные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61">
        <f t="shared" si="24"/>
        <v>0</v>
      </c>
      <c r="W61">
        <f>IF(D61=1,Расчёты!AZ61+K61+N61+Q61+V61,0)</f>
        <v>0</v>
      </c>
      <c r="X61" t="str">
        <f t="shared" si="34"/>
        <v/>
      </c>
      <c r="Y61">
        <f>IF(OR(D61=0,'Исходные данные'!$B$9="",'Исходные данные'!$B$90=""),0,W61/(1+'Исходные данные'!$B$90)^((C61-'Исходные данные'!$B$9)/365))</f>
        <v>0</v>
      </c>
      <c r="Z61">
        <f>IF(D61=1,K61+Расчёты!O61+Расчёты!Q61+Расчёты!S61+Расчёты!U61+Расчёты!W61+Расчёты!X61+N61+Q61,0)</f>
        <v>0</v>
      </c>
      <c r="AA61">
        <f>IF(AND(D61=1,X61&gt;=0,X60&lt;0,MIN($X$2:X61)&lt;0),1,0)</f>
        <v>0</v>
      </c>
      <c r="AB61">
        <f>IF(Расчёты!F61=0,0,IF(Расчёты!G61=1,N('Сценарный анализ'!$C$5),IF(Расчёты!G61=2,N('Сценарный анализ'!$C$6),IF(Расчёты!G61=3,N('Сценарный анализ'!$C$7),N('Сценарный анализ'!$C$7)*(1+N('Сценарный анализ'!$C$8))^(Расчёты!G61-3)))))</f>
        <v>0</v>
      </c>
      <c r="AC61">
        <f>IF(OR(Расчёты!F61=0,N('Исходные данные'!$B$5)=0,AB61=0),0,N('Исходные данные'!$B$5)*AB61*IF(AND(B61&lt;='Исходные данные'!$B$30,Расчёты!C61&gt;='Исходные данные'!$B$30),(Расчёты!C61-'Исходные данные'!$B$30+1)/DAY(Расчёты!C61),1))</f>
        <v>0</v>
      </c>
      <c r="AD61">
        <f>IF(AND(Расчёты!F61&gt;0,Расчёты!F61&lt;=N('Исходные данные'!$B$37)),-AC61,0)</f>
        <v>0</v>
      </c>
      <c r="AE61">
        <f>IF(OR(Расчёты!F61=0,Расчёты!F61&lt;=N('Исходные данные'!$B$37)),0,-(AC61+AD61)*N('Сценарный анализ'!$C$9))</f>
        <v>0</v>
      </c>
      <c r="AF61">
        <f t="shared" si="25"/>
        <v>0</v>
      </c>
      <c r="AG61">
        <f>IF('Исходные данные'!$B$51="Да",AF61*N('Исходные данные'!$B$52),0)</f>
        <v>0</v>
      </c>
      <c r="AH61">
        <f t="shared" si="26"/>
        <v>0</v>
      </c>
      <c r="AI61">
        <f>AF61+(Расчёты!Y61-Расчёты!L61)</f>
        <v>0</v>
      </c>
      <c r="AJ61">
        <f t="shared" si="35"/>
        <v>0</v>
      </c>
      <c r="AK61">
        <f>IF('Исходные данные'!$B$51="Да",-MAX(0,AG61+Расчёты!R61+Расчёты!V61-Расчёты!P61-Расчёты!T61-AJ61),0)</f>
        <v>0</v>
      </c>
      <c r="AL61">
        <f>IF('Исходные данные'!$B$51="Да",MAX(0,AJ61+Расчёты!P61+Расчёты!T61-AG61-Расчёты!R61-Расчёты!V61),0)</f>
        <v>0</v>
      </c>
      <c r="AM61">
        <f>IF('Исходные данные'!$B$53="Выручка",MAX(0,AF61+(Расчёты!Q61-Расчёты!R61)+(Расчёты!U61-Расчёты!V61)),IF('Исходные данные'!$B$53="Прибыль до налога",MAX(0,AF61+(Расчёты!Q61-Расчёты!R61)+(Расчёты!U61-Расчёты!V61)+N('Исходные данные'!$B$54)*((Расчёты!O61+Расчёты!P61)+(Расчёты!S61+Расчёты!T61)+Расчёты!W61+Расчёты!X61)+IF('Исходные данные'!$B$55="Да",Расчёты!AG61,0)-N('Исходные данные'!$B$56)/12),IF('Исходные данные'!$B$53="Пользовательская база",MAX(0,N('Исходные данные'!$B$57)/12),0)))</f>
        <v>0</v>
      </c>
      <c r="AN61">
        <f>IF(D61=1,-AM61*N('Исходные данные'!$B$50),0)</f>
        <v>0</v>
      </c>
      <c r="AO61">
        <f t="shared" si="27"/>
        <v>0</v>
      </c>
      <c r="AP61">
        <f>IF(OR(D61&lt;&gt;1,B61="",'Исходные данные'!$B$91="",N('Исходные данные'!$B$80)&lt;=0,'Исходные данные'!$B$88=""),0,IF(AND(YEAR(B61)=YEAR('Исходные данные'!$B$91),MONTH(B61)=MONTH('Исходные данные'!$B$91)),MAX(0,IF('Исходные данные'!$B$88="Последние 12 месяцев",SUMIFS($AI$2:$AI$194,$B$2:$B$194,"&gt;="&amp;EDATE(B61,-11),$B$2:$B$194,"&lt;="&amp;B61),IF('Исходные данные'!$B$88="Пользовательский NOI",N('Исходные данные'!$B$89),AO61))/N('Исходные данные'!$B$80)*(1+N('Исходные данные'!$B$81))),0))</f>
        <v>0</v>
      </c>
      <c r="AQ61">
        <f>-AP61*N('Исходные данные'!$B$73)</f>
        <v>0</v>
      </c>
      <c r="AR61">
        <f>IF(AP61=0,0,-N('Исходные данные'!$B$87)-IF('Исходные данные'!$B$82="Да",IF('Исходные данные'!$B$84="С выручки",AP61,IF('Исходные данные'!$B$84="С прибыли",MAX(0,AP61+AQ61-IF('Исходные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61">
        <f t="shared" si="28"/>
        <v>0</v>
      </c>
      <c r="AT61">
        <f>IF(D61=1,Расчёты!AZ61+AH61+AK61+AN61+AS61,0)</f>
        <v>0</v>
      </c>
      <c r="AU61" t="str">
        <f t="shared" si="36"/>
        <v/>
      </c>
      <c r="AV61">
        <f>IF(OR(D61=0,'Исходные данные'!$B$9="",'Исходные данные'!$B$90=""),0,AT61/(1+'Исходные данные'!$B$90)^((C61-'Исходные данные'!$B$9)/365))</f>
        <v>0</v>
      </c>
      <c r="AW61">
        <f>IF(D61=1,AH61+Расчёты!O61+Расчёты!Q61+Расчёты!S61+Расчёты!U61+Расчёты!W61+Расчёты!X61+AK61+AN61,0)</f>
        <v>0</v>
      </c>
      <c r="AX61">
        <f>IF(AND(D61=1,AU61&gt;=0,AU60&lt;0,MIN($AU$2:AU61)&lt;0),1,0)</f>
        <v>0</v>
      </c>
      <c r="AY61">
        <f>IF(Расчёты!F61=0,0,IF(Расчёты!G61=1,N('Сценарный анализ'!$D$5),IF(Расчёты!G61=2,N('Сценарный анализ'!$D$6),IF(Расчёты!G61=3,N('Сценарный анализ'!$D$7),N('Сценарный анализ'!$D$7)*(1+N('Сценарный анализ'!$D$8))^(Расчёты!G61-3)))))</f>
        <v>0</v>
      </c>
      <c r="AZ61">
        <f>IF(OR(Расчёты!F61=0,N('Исходные данные'!$B$5)=0,AY61=0),0,N('Исходные данные'!$B$5)*AY61*IF(AND(B61&lt;='Исходные данные'!$B$30,Расчёты!C61&gt;='Исходные данные'!$B$30),(Расчёты!C61-'Исходные данные'!$B$30+1)/DAY(Расчёты!C61),1))</f>
        <v>0</v>
      </c>
      <c r="BA61">
        <f>IF(AND(Расчёты!F61&gt;0,Расчёты!F61&lt;=N('Исходные данные'!$B$37)),-AZ61,0)</f>
        <v>0</v>
      </c>
      <c r="BB61">
        <f>IF(OR(Расчёты!F61=0,Расчёты!F61&lt;=N('Исходные данные'!$B$37)),0,-(AZ61+BA61)*N('Сценарный анализ'!$D$9))</f>
        <v>0</v>
      </c>
      <c r="BC61">
        <f t="shared" si="29"/>
        <v>0</v>
      </c>
      <c r="BD61">
        <f>IF('Исходные данные'!$B$51="Да",BC61*N('Исходные данные'!$B$52),0)</f>
        <v>0</v>
      </c>
      <c r="BE61">
        <f t="shared" si="30"/>
        <v>0</v>
      </c>
      <c r="BF61">
        <f>BC61+(Расчёты!Y61-Расчёты!L61)</f>
        <v>0</v>
      </c>
      <c r="BG61">
        <f t="shared" si="37"/>
        <v>0</v>
      </c>
      <c r="BH61">
        <f>IF('Исходные данные'!$B$51="Да",-MAX(0,BD61+Расчёты!R61+Расчёты!V61-Расчёты!P61-Расчёты!T61-BG61),0)</f>
        <v>0</v>
      </c>
      <c r="BI61">
        <f>IF('Исходные данные'!$B$51="Да",MAX(0,BG61+Расчёты!P61+Расчёты!T61-BD61-Расчёты!R61-Расчёты!V61),0)</f>
        <v>0</v>
      </c>
      <c r="BJ61">
        <f>IF('Исходные данные'!$B$53="Выручка",MAX(0,BC61+(Расчёты!Q61-Расчёты!R61)+(Расчёты!U61-Расчёты!V61)),IF('Исходные данные'!$B$53="Прибыль до налога",MAX(0,BC61+(Расчёты!Q61-Расчёты!R61)+(Расчёты!U61-Расчёты!V61)+N('Исходные данные'!$B$54)*((Расчёты!O61+Расчёты!P61)+(Расчёты!S61+Расчёты!T61)+Расчёты!W61+Расчёты!X61)+IF('Исходные данные'!$B$55="Да",Расчёты!AG61,0)-N('Исходные данные'!$B$56)/12),IF('Исходные данные'!$B$53="Пользовательская база",MAX(0,N('Исходные данные'!$B$57)/12),0)))</f>
        <v>0</v>
      </c>
      <c r="BK61">
        <f>IF(D61=1,-BJ61*N('Исходные данные'!$B$50),0)</f>
        <v>0</v>
      </c>
      <c r="BL61">
        <f t="shared" si="31"/>
        <v>0</v>
      </c>
      <c r="BM61">
        <f>IF(OR(D61&lt;&gt;1,B61="",'Исходные данные'!$B$91="",N('Исходные данные'!$B$80)&lt;=0,'Исходные данные'!$B$88=""),0,IF(AND(YEAR(B61)=YEAR('Исходные данные'!$B$91),MONTH(B61)=MONTH('Исходные данные'!$B$91)),MAX(0,IF('Исходные данные'!$B$88="Последние 12 месяцев",SUMIFS($BF$2:$BF$194,$B$2:$B$194,"&gt;="&amp;EDATE(B61,-11),$B$2:$B$194,"&lt;="&amp;B61),IF('Исходные данные'!$B$88="Пользовательский NOI",N('Исходные данные'!$B$89),BL61))/N('Исходные данные'!$B$80)*(1+N('Исходные данные'!$B$81))),0))</f>
        <v>0</v>
      </c>
      <c r="BN61">
        <f>-BM61*N('Исходные данные'!$B$73)</f>
        <v>0</v>
      </c>
      <c r="BO61">
        <f>IF(BM61=0,0,-N('Исходные данные'!$B$87)-IF('Исходные данные'!$B$82="Да",IF('Исходные данные'!$B$84="С выручки",BM61,IF('Исходные данные'!$B$84="С прибыли",MAX(0,BM61+BN61-IF('Исходные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61">
        <f t="shared" si="32"/>
        <v>0</v>
      </c>
      <c r="BQ61">
        <f>IF(D61=1,Расчёты!AZ61+BE61+BH61+BK61+BP61,0)</f>
        <v>0</v>
      </c>
      <c r="BR61" t="str">
        <f t="shared" si="38"/>
        <v/>
      </c>
      <c r="BS61">
        <f>IF(OR(D61=0,'Исходные данные'!$B$9="",'Исходные данные'!$B$90=""),0,BQ61/(1+'Исходные данные'!$B$90)^((C61-'Исходные данные'!$B$9)/365))</f>
        <v>0</v>
      </c>
      <c r="BT61">
        <f>IF(D61=1,BE61+Расчёты!O61+Расчёты!Q61+Расчёты!S61+Расчёты!U61+Расчёты!W61+Расчёты!X61+BH61+BK61,0)</f>
        <v>0</v>
      </c>
      <c r="BU61">
        <f>IF(AND(D61=1,BR61&gt;=0,BR60&lt;0,MIN($BR$2:BR61)&lt;0),1,0)</f>
        <v>0</v>
      </c>
      <c r="BV61">
        <f>Расчёты!AZ61+K61+N61-P61*N('Исходные данные'!$B$50)</f>
        <v>0</v>
      </c>
      <c r="BW61">
        <f t="shared" si="18"/>
        <v>0</v>
      </c>
      <c r="BX61">
        <f>IF(AND(BW61&gt;=0,BW60&lt;0,MIN($BW$2:BW61)&lt;0),1,0)</f>
        <v>0</v>
      </c>
      <c r="BY61">
        <f>Расчёты!AZ61+AH61+AK61-AM61*N('Исходные данные'!$B$50)</f>
        <v>0</v>
      </c>
      <c r="BZ61">
        <f t="shared" si="19"/>
        <v>0</v>
      </c>
      <c r="CA61">
        <f>IF(AND(BZ61&gt;=0,BZ60&lt;0,MIN($BZ$2:BZ61)&lt;0),1,0)</f>
        <v>0</v>
      </c>
      <c r="CB61">
        <f>Расчёты!AZ61+BE61+BH61-BJ61*N('Исходные данные'!$B$50)</f>
        <v>0</v>
      </c>
      <c r="CC61">
        <f t="shared" si="20"/>
        <v>0</v>
      </c>
      <c r="CD61">
        <f>IF(AND(CC61&gt;=0,CC60&lt;0,MIN($CC$2:CC61)&lt;0),1,0)</f>
        <v>0</v>
      </c>
    </row>
    <row r="62" spans="1:82" x14ac:dyDescent="0.2">
      <c r="A62">
        <f>Расчёты!A62</f>
        <v>61</v>
      </c>
      <c r="B62" t="str">
        <f>Расчёты!B62</f>
        <v/>
      </c>
      <c r="C62" t="str">
        <f>Расчёты!D62</f>
        <v/>
      </c>
      <c r="D62">
        <f>Расчёты!E62</f>
        <v>0</v>
      </c>
      <c r="E62">
        <f>IF(Расчёты!F62=0,0,IF(Расчёты!G62=1,N('Сценарный анализ'!$B$5),IF(Расчёты!G62=2,N('Сценарный анализ'!$B$6),IF(Расчёты!G62=3,N('Сценарный анализ'!$B$7),N('Сценарный анализ'!$B$7)*(1+N('Сценарный анализ'!$B$8))^(Расчёты!G62-3)))))</f>
        <v>0</v>
      </c>
      <c r="F62">
        <f>IF(OR(Расчёты!F62=0,N('Исходные данные'!$B$5)=0,E62=0),0,N('Исходные данные'!$B$5)*E62*IF(AND(B62&lt;='Исходные данные'!$B$30,Расчёты!C62&gt;='Исходные данные'!$B$30),(Расчёты!C62-'Исходные данные'!$B$30+1)/DAY(Расчёты!C62),1))</f>
        <v>0</v>
      </c>
      <c r="G62">
        <f>IF(AND(Расчёты!F62&gt;0,Расчёты!F62&lt;=N('Исходные данные'!$B$37)),-F62,0)</f>
        <v>0</v>
      </c>
      <c r="H62">
        <f>IF(OR(Расчёты!F62=0,Расчёты!F62&lt;=N('Исходные данные'!$B$37)),0,-(F62+G62)*N('Сценарный анализ'!$B$9))</f>
        <v>0</v>
      </c>
      <c r="I62">
        <f t="shared" si="21"/>
        <v>0</v>
      </c>
      <c r="J62">
        <f>IF('Исходные данные'!$B$51="Да",I62*N('Исходные данные'!$B$52),0)</f>
        <v>0</v>
      </c>
      <c r="K62">
        <f t="shared" si="22"/>
        <v>0</v>
      </c>
      <c r="L62">
        <f>I62+(Расчёты!Y62-Расчёты!L62)</f>
        <v>0</v>
      </c>
      <c r="M62">
        <f t="shared" si="33"/>
        <v>0</v>
      </c>
      <c r="N62">
        <f>IF('Исходные данные'!$B$51="Да",-MAX(0,J62+Расчёты!R62+Расчёты!V62-Расчёты!P62-Расчёты!T62-M62),0)</f>
        <v>0</v>
      </c>
      <c r="O62">
        <f>IF('Исходные данные'!$B$51="Да",MAX(0,M62+Расчёты!P62+Расчёты!T62-J62-Расчёты!R62-Расчёты!V62),0)</f>
        <v>0</v>
      </c>
      <c r="P62">
        <f>IF('Исходные данные'!$B$53="Выручка",MAX(0,I62+(Расчёты!Q62-Расчёты!R62)+(Расчёты!U62-Расчёты!V62)),IF('Исходные данные'!$B$53="Прибыль до налога",MAX(0,I62+(Расчёты!Q62-Расчёты!R62)+(Расчёты!U62-Расчёты!V62)+N('Исходные данные'!$B$54)*((Расчёты!O62+Расчёты!P62)+(Расчёты!S62+Расчёты!T62)+Расчёты!W62+Расчёты!X62)+IF('Исходные данные'!$B$55="Да",Расчёты!AG62,0)-N('Исходные данные'!$B$56)/12),IF('Исходные данные'!$B$53="Пользовательская база",MAX(0,N('Исходные данные'!$B$57)/12),0)))</f>
        <v>0</v>
      </c>
      <c r="Q62">
        <f>IF(D62=1,-P62*N('Исходные данные'!$B$50),0)</f>
        <v>0</v>
      </c>
      <c r="R62">
        <f t="shared" si="23"/>
        <v>0</v>
      </c>
      <c r="S62">
        <f>IF(OR(D62&lt;&gt;1,B62="",'Исходные данные'!$B$91="",N('Исходные данные'!$B$80)&lt;=0,'Исходные данные'!$B$88=""),0,IF(AND(YEAR(B62)=YEAR('Исходные данные'!$B$91),MONTH(B62)=MONTH('Исходные данные'!$B$91)),MAX(0,IF('Исходные данные'!$B$88="Последние 12 месяцев",SUMIFS($L$2:$L$194,$B$2:$B$194,"&gt;="&amp;EDATE(B62,-11),$B$2:$B$194,"&lt;="&amp;B62),IF('Исходные данные'!$B$88="Пользовательский NOI",N('Исходные данные'!$B$89),R62))/N('Исходные данные'!$B$80)*(1+N('Исходные данные'!$B$81))),0))</f>
        <v>0</v>
      </c>
      <c r="T62">
        <f>-S62*N('Исходные данные'!$B$73)</f>
        <v>0</v>
      </c>
      <c r="U62">
        <f>IF(S62=0,0,-N('Исходные данные'!$B$87)-IF('Исходные данные'!$B$82="Да",IF('Исходные данные'!$B$84="С выручки",S62,IF('Исходные данные'!$B$84="С прибыли",MAX(0,S62+T62-IF('Исходные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62">
        <f t="shared" si="24"/>
        <v>0</v>
      </c>
      <c r="W62">
        <f>IF(D62=1,Расчёты!AZ62+K62+N62+Q62+V62,0)</f>
        <v>0</v>
      </c>
      <c r="X62" t="str">
        <f t="shared" si="34"/>
        <v/>
      </c>
      <c r="Y62">
        <f>IF(OR(D62=0,'Исходные данные'!$B$9="",'Исходные данные'!$B$90=""),0,W62/(1+'Исходные данные'!$B$90)^((C62-'Исходные данные'!$B$9)/365))</f>
        <v>0</v>
      </c>
      <c r="Z62">
        <f>IF(D62=1,K62+Расчёты!O62+Расчёты!Q62+Расчёты!S62+Расчёты!U62+Расчёты!W62+Расчёты!X62+N62+Q62,0)</f>
        <v>0</v>
      </c>
      <c r="AA62">
        <f>IF(AND(D62=1,X62&gt;=0,X61&lt;0,MIN($X$2:X62)&lt;0),1,0)</f>
        <v>0</v>
      </c>
      <c r="AB62">
        <f>IF(Расчёты!F62=0,0,IF(Расчёты!G62=1,N('Сценарный анализ'!$C$5),IF(Расчёты!G62=2,N('Сценарный анализ'!$C$6),IF(Расчёты!G62=3,N('Сценарный анализ'!$C$7),N('Сценарный анализ'!$C$7)*(1+N('Сценарный анализ'!$C$8))^(Расчёты!G62-3)))))</f>
        <v>0</v>
      </c>
      <c r="AC62">
        <f>IF(OR(Расчёты!F62=0,N('Исходные данные'!$B$5)=0,AB62=0),0,N('Исходные данные'!$B$5)*AB62*IF(AND(B62&lt;='Исходные данные'!$B$30,Расчёты!C62&gt;='Исходные данные'!$B$30),(Расчёты!C62-'Исходные данные'!$B$30+1)/DAY(Расчёты!C62),1))</f>
        <v>0</v>
      </c>
      <c r="AD62">
        <f>IF(AND(Расчёты!F62&gt;0,Расчёты!F62&lt;=N('Исходные данные'!$B$37)),-AC62,0)</f>
        <v>0</v>
      </c>
      <c r="AE62">
        <f>IF(OR(Расчёты!F62=0,Расчёты!F62&lt;=N('Исходные данные'!$B$37)),0,-(AC62+AD62)*N('Сценарный анализ'!$C$9))</f>
        <v>0</v>
      </c>
      <c r="AF62">
        <f t="shared" si="25"/>
        <v>0</v>
      </c>
      <c r="AG62">
        <f>IF('Исходные данные'!$B$51="Да",AF62*N('Исходные данные'!$B$52),0)</f>
        <v>0</v>
      </c>
      <c r="AH62">
        <f t="shared" si="26"/>
        <v>0</v>
      </c>
      <c r="AI62">
        <f>AF62+(Расчёты!Y62-Расчёты!L62)</f>
        <v>0</v>
      </c>
      <c r="AJ62">
        <f t="shared" si="35"/>
        <v>0</v>
      </c>
      <c r="AK62">
        <f>IF('Исходные данные'!$B$51="Да",-MAX(0,AG62+Расчёты!R62+Расчёты!V62-Расчёты!P62-Расчёты!T62-AJ62),0)</f>
        <v>0</v>
      </c>
      <c r="AL62">
        <f>IF('Исходные данные'!$B$51="Да",MAX(0,AJ62+Расчёты!P62+Расчёты!T62-AG62-Расчёты!R62-Расчёты!V62),0)</f>
        <v>0</v>
      </c>
      <c r="AM62">
        <f>IF('Исходные данные'!$B$53="Выручка",MAX(0,AF62+(Расчёты!Q62-Расчёты!R62)+(Расчёты!U62-Расчёты!V62)),IF('Исходные данные'!$B$53="Прибыль до налога",MAX(0,AF62+(Расчёты!Q62-Расчёты!R62)+(Расчёты!U62-Расчёты!V62)+N('Исходные данные'!$B$54)*((Расчёты!O62+Расчёты!P62)+(Расчёты!S62+Расчёты!T62)+Расчёты!W62+Расчёты!X62)+IF('Исходные данные'!$B$55="Да",Расчёты!AG62,0)-N('Исходные данные'!$B$56)/12),IF('Исходные данные'!$B$53="Пользовательская база",MAX(0,N('Исходные данные'!$B$57)/12),0)))</f>
        <v>0</v>
      </c>
      <c r="AN62">
        <f>IF(D62=1,-AM62*N('Исходные данные'!$B$50),0)</f>
        <v>0</v>
      </c>
      <c r="AO62">
        <f t="shared" si="27"/>
        <v>0</v>
      </c>
      <c r="AP62">
        <f>IF(OR(D62&lt;&gt;1,B62="",'Исходные данные'!$B$91="",N('Исходные данные'!$B$80)&lt;=0,'Исходные данные'!$B$88=""),0,IF(AND(YEAR(B62)=YEAR('Исходные данные'!$B$91),MONTH(B62)=MONTH('Исходные данные'!$B$91)),MAX(0,IF('Исходные данные'!$B$88="Последние 12 месяцев",SUMIFS($AI$2:$AI$194,$B$2:$B$194,"&gt;="&amp;EDATE(B62,-11),$B$2:$B$194,"&lt;="&amp;B62),IF('Исходные данные'!$B$88="Пользовательский NOI",N('Исходные данные'!$B$89),AO62))/N('Исходные данные'!$B$80)*(1+N('Исходные данные'!$B$81))),0))</f>
        <v>0</v>
      </c>
      <c r="AQ62">
        <f>-AP62*N('Исходные данные'!$B$73)</f>
        <v>0</v>
      </c>
      <c r="AR62">
        <f>IF(AP62=0,0,-N('Исходные данные'!$B$87)-IF('Исходные данные'!$B$82="Да",IF('Исходные данные'!$B$84="С выручки",AP62,IF('Исходные данные'!$B$84="С прибыли",MAX(0,AP62+AQ62-IF('Исходные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62">
        <f t="shared" si="28"/>
        <v>0</v>
      </c>
      <c r="AT62">
        <f>IF(D62=1,Расчёты!AZ62+AH62+AK62+AN62+AS62,0)</f>
        <v>0</v>
      </c>
      <c r="AU62" t="str">
        <f t="shared" si="36"/>
        <v/>
      </c>
      <c r="AV62">
        <f>IF(OR(D62=0,'Исходные данные'!$B$9="",'Исходные данные'!$B$90=""),0,AT62/(1+'Исходные данные'!$B$90)^((C62-'Исходные данные'!$B$9)/365))</f>
        <v>0</v>
      </c>
      <c r="AW62">
        <f>IF(D62=1,AH62+Расчёты!O62+Расчёты!Q62+Расчёты!S62+Расчёты!U62+Расчёты!W62+Расчёты!X62+AK62+AN62,0)</f>
        <v>0</v>
      </c>
      <c r="AX62">
        <f>IF(AND(D62=1,AU62&gt;=0,AU61&lt;0,MIN($AU$2:AU62)&lt;0),1,0)</f>
        <v>0</v>
      </c>
      <c r="AY62">
        <f>IF(Расчёты!F62=0,0,IF(Расчёты!G62=1,N('Сценарный анализ'!$D$5),IF(Расчёты!G62=2,N('Сценарный анализ'!$D$6),IF(Расчёты!G62=3,N('Сценарный анализ'!$D$7),N('Сценарный анализ'!$D$7)*(1+N('Сценарный анализ'!$D$8))^(Расчёты!G62-3)))))</f>
        <v>0</v>
      </c>
      <c r="AZ62">
        <f>IF(OR(Расчёты!F62=0,N('Исходные данные'!$B$5)=0,AY62=0),0,N('Исходные данные'!$B$5)*AY62*IF(AND(B62&lt;='Исходные данные'!$B$30,Расчёты!C62&gt;='Исходные данные'!$B$30),(Расчёты!C62-'Исходные данные'!$B$30+1)/DAY(Расчёты!C62),1))</f>
        <v>0</v>
      </c>
      <c r="BA62">
        <f>IF(AND(Расчёты!F62&gt;0,Расчёты!F62&lt;=N('Исходные данные'!$B$37)),-AZ62,0)</f>
        <v>0</v>
      </c>
      <c r="BB62">
        <f>IF(OR(Расчёты!F62=0,Расчёты!F62&lt;=N('Исходные данные'!$B$37)),0,-(AZ62+BA62)*N('Сценарный анализ'!$D$9))</f>
        <v>0</v>
      </c>
      <c r="BC62">
        <f t="shared" si="29"/>
        <v>0</v>
      </c>
      <c r="BD62">
        <f>IF('Исходные данные'!$B$51="Да",BC62*N('Исходные данные'!$B$52),0)</f>
        <v>0</v>
      </c>
      <c r="BE62">
        <f t="shared" si="30"/>
        <v>0</v>
      </c>
      <c r="BF62">
        <f>BC62+(Расчёты!Y62-Расчёты!L62)</f>
        <v>0</v>
      </c>
      <c r="BG62">
        <f t="shared" si="37"/>
        <v>0</v>
      </c>
      <c r="BH62">
        <f>IF('Исходные данные'!$B$51="Да",-MAX(0,BD62+Расчёты!R62+Расчёты!V62-Расчёты!P62-Расчёты!T62-BG62),0)</f>
        <v>0</v>
      </c>
      <c r="BI62">
        <f>IF('Исходные данные'!$B$51="Да",MAX(0,BG62+Расчёты!P62+Расчёты!T62-BD62-Расчёты!R62-Расчёты!V62),0)</f>
        <v>0</v>
      </c>
      <c r="BJ62">
        <f>IF('Исходные данные'!$B$53="Выручка",MAX(0,BC62+(Расчёты!Q62-Расчёты!R62)+(Расчёты!U62-Расчёты!V62)),IF('Исходные данные'!$B$53="Прибыль до налога",MAX(0,BC62+(Расчёты!Q62-Расчёты!R62)+(Расчёты!U62-Расчёты!V62)+N('Исходные данные'!$B$54)*((Расчёты!O62+Расчёты!P62)+(Расчёты!S62+Расчёты!T62)+Расчёты!W62+Расчёты!X62)+IF('Исходные данные'!$B$55="Да",Расчёты!AG62,0)-N('Исходные данные'!$B$56)/12),IF('Исходные данные'!$B$53="Пользовательская база",MAX(0,N('Исходные данные'!$B$57)/12),0)))</f>
        <v>0</v>
      </c>
      <c r="BK62">
        <f>IF(D62=1,-BJ62*N('Исходные данные'!$B$50),0)</f>
        <v>0</v>
      </c>
      <c r="BL62">
        <f t="shared" si="31"/>
        <v>0</v>
      </c>
      <c r="BM62">
        <f>IF(OR(D62&lt;&gt;1,B62="",'Исходные данные'!$B$91="",N('Исходные данные'!$B$80)&lt;=0,'Исходные данные'!$B$88=""),0,IF(AND(YEAR(B62)=YEAR('Исходные данные'!$B$91),MONTH(B62)=MONTH('Исходные данные'!$B$91)),MAX(0,IF('Исходные данные'!$B$88="Последние 12 месяцев",SUMIFS($BF$2:$BF$194,$B$2:$B$194,"&gt;="&amp;EDATE(B62,-11),$B$2:$B$194,"&lt;="&amp;B62),IF('Исходные данные'!$B$88="Пользовательский NOI",N('Исходные данные'!$B$89),BL62))/N('Исходные данные'!$B$80)*(1+N('Исходные данные'!$B$81))),0))</f>
        <v>0</v>
      </c>
      <c r="BN62">
        <f>-BM62*N('Исходные данные'!$B$73)</f>
        <v>0</v>
      </c>
      <c r="BO62">
        <f>IF(BM62=0,0,-N('Исходные данные'!$B$87)-IF('Исходные данные'!$B$82="Да",IF('Исходные данные'!$B$84="С выручки",BM62,IF('Исходные данные'!$B$84="С прибыли",MAX(0,BM62+BN62-IF('Исходные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62">
        <f t="shared" si="32"/>
        <v>0</v>
      </c>
      <c r="BQ62">
        <f>IF(D62=1,Расчёты!AZ62+BE62+BH62+BK62+BP62,0)</f>
        <v>0</v>
      </c>
      <c r="BR62" t="str">
        <f t="shared" si="38"/>
        <v/>
      </c>
      <c r="BS62">
        <f>IF(OR(D62=0,'Исходные данные'!$B$9="",'Исходные данные'!$B$90=""),0,BQ62/(1+'Исходные данные'!$B$90)^((C62-'Исходные данные'!$B$9)/365))</f>
        <v>0</v>
      </c>
      <c r="BT62">
        <f>IF(D62=1,BE62+Расчёты!O62+Расчёты!Q62+Расчёты!S62+Расчёты!U62+Расчёты!W62+Расчёты!X62+BH62+BK62,0)</f>
        <v>0</v>
      </c>
      <c r="BU62">
        <f>IF(AND(D62=1,BR62&gt;=0,BR61&lt;0,MIN($BR$2:BR62)&lt;0),1,0)</f>
        <v>0</v>
      </c>
      <c r="BV62">
        <f>Расчёты!AZ62+K62+N62-P62*N('Исходные данные'!$B$50)</f>
        <v>0</v>
      </c>
      <c r="BW62">
        <f t="shared" si="18"/>
        <v>0</v>
      </c>
      <c r="BX62">
        <f>IF(AND(BW62&gt;=0,BW61&lt;0,MIN($BW$2:BW62)&lt;0),1,0)</f>
        <v>0</v>
      </c>
      <c r="BY62">
        <f>Расчёты!AZ62+AH62+AK62-AM62*N('Исходные данные'!$B$50)</f>
        <v>0</v>
      </c>
      <c r="BZ62">
        <f t="shared" si="19"/>
        <v>0</v>
      </c>
      <c r="CA62">
        <f>IF(AND(BZ62&gt;=0,BZ61&lt;0,MIN($BZ$2:BZ62)&lt;0),1,0)</f>
        <v>0</v>
      </c>
      <c r="CB62">
        <f>Расчёты!AZ62+BE62+BH62-BJ62*N('Исходные данные'!$B$50)</f>
        <v>0</v>
      </c>
      <c r="CC62">
        <f t="shared" si="20"/>
        <v>0</v>
      </c>
      <c r="CD62">
        <f>IF(AND(CC62&gt;=0,CC61&lt;0,MIN($CC$2:CC62)&lt;0),1,0)</f>
        <v>0</v>
      </c>
    </row>
    <row r="63" spans="1:82" x14ac:dyDescent="0.2">
      <c r="A63">
        <f>Расчёты!A63</f>
        <v>62</v>
      </c>
      <c r="B63" t="str">
        <f>Расчёты!B63</f>
        <v/>
      </c>
      <c r="C63" t="str">
        <f>Расчёты!D63</f>
        <v/>
      </c>
      <c r="D63">
        <f>Расчёты!E63</f>
        <v>0</v>
      </c>
      <c r="E63">
        <f>IF(Расчёты!F63=0,0,IF(Расчёты!G63=1,N('Сценарный анализ'!$B$5),IF(Расчёты!G63=2,N('Сценарный анализ'!$B$6),IF(Расчёты!G63=3,N('Сценарный анализ'!$B$7),N('Сценарный анализ'!$B$7)*(1+N('Сценарный анализ'!$B$8))^(Расчёты!G63-3)))))</f>
        <v>0</v>
      </c>
      <c r="F63">
        <f>IF(OR(Расчёты!F63=0,N('Исходные данные'!$B$5)=0,E63=0),0,N('Исходные данные'!$B$5)*E63*IF(AND(B63&lt;='Исходные данные'!$B$30,Расчёты!C63&gt;='Исходные данные'!$B$30),(Расчёты!C63-'Исходные данные'!$B$30+1)/DAY(Расчёты!C63),1))</f>
        <v>0</v>
      </c>
      <c r="G63">
        <f>IF(AND(Расчёты!F63&gt;0,Расчёты!F63&lt;=N('Исходные данные'!$B$37)),-F63,0)</f>
        <v>0</v>
      </c>
      <c r="H63">
        <f>IF(OR(Расчёты!F63=0,Расчёты!F63&lt;=N('Исходные данные'!$B$37)),0,-(F63+G63)*N('Сценарный анализ'!$B$9))</f>
        <v>0</v>
      </c>
      <c r="I63">
        <f t="shared" si="21"/>
        <v>0</v>
      </c>
      <c r="J63">
        <f>IF('Исходные данные'!$B$51="Да",I63*N('Исходные данные'!$B$52),0)</f>
        <v>0</v>
      </c>
      <c r="K63">
        <f t="shared" si="22"/>
        <v>0</v>
      </c>
      <c r="L63">
        <f>I63+(Расчёты!Y63-Расчёты!L63)</f>
        <v>0</v>
      </c>
      <c r="M63">
        <f t="shared" si="33"/>
        <v>0</v>
      </c>
      <c r="N63">
        <f>IF('Исходные данные'!$B$51="Да",-MAX(0,J63+Расчёты!R63+Расчёты!V63-Расчёты!P63-Расчёты!T63-M63),0)</f>
        <v>0</v>
      </c>
      <c r="O63">
        <f>IF('Исходные данные'!$B$51="Да",MAX(0,M63+Расчёты!P63+Расчёты!T63-J63-Расчёты!R63-Расчёты!V63),0)</f>
        <v>0</v>
      </c>
      <c r="P63">
        <f>IF('Исходные данные'!$B$53="Выручка",MAX(0,I63+(Расчёты!Q63-Расчёты!R63)+(Расчёты!U63-Расчёты!V63)),IF('Исходные данные'!$B$53="Прибыль до налога",MAX(0,I63+(Расчёты!Q63-Расчёты!R63)+(Расчёты!U63-Расчёты!V63)+N('Исходные данные'!$B$54)*((Расчёты!O63+Расчёты!P63)+(Расчёты!S63+Расчёты!T63)+Расчёты!W63+Расчёты!X63)+IF('Исходные данные'!$B$55="Да",Расчёты!AG63,0)-N('Исходные данные'!$B$56)/12),IF('Исходные данные'!$B$53="Пользовательская база",MAX(0,N('Исходные данные'!$B$57)/12),0)))</f>
        <v>0</v>
      </c>
      <c r="Q63">
        <f>IF(D63=1,-P63*N('Исходные данные'!$B$50),0)</f>
        <v>0</v>
      </c>
      <c r="R63">
        <f t="shared" si="23"/>
        <v>0</v>
      </c>
      <c r="S63">
        <f>IF(OR(D63&lt;&gt;1,B63="",'Исходные данные'!$B$91="",N('Исходные данные'!$B$80)&lt;=0,'Исходные данные'!$B$88=""),0,IF(AND(YEAR(B63)=YEAR('Исходные данные'!$B$91),MONTH(B63)=MONTH('Исходные данные'!$B$91)),MAX(0,IF('Исходные данные'!$B$88="Последние 12 месяцев",SUMIFS($L$2:$L$194,$B$2:$B$194,"&gt;="&amp;EDATE(B63,-11),$B$2:$B$194,"&lt;="&amp;B63),IF('Исходные данные'!$B$88="Пользовательский NOI",N('Исходные данные'!$B$89),R63))/N('Исходные данные'!$B$80)*(1+N('Исходные данные'!$B$81))),0))</f>
        <v>0</v>
      </c>
      <c r="T63">
        <f>-S63*N('Исходные данные'!$B$73)</f>
        <v>0</v>
      </c>
      <c r="U63">
        <f>IF(S63=0,0,-N('Исходные данные'!$B$87)-IF('Исходные данные'!$B$82="Да",IF('Исходные данные'!$B$84="С выручки",S63,IF('Исходные данные'!$B$84="С прибыли",MAX(0,S63+T63-IF('Исходные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63">
        <f t="shared" si="24"/>
        <v>0</v>
      </c>
      <c r="W63">
        <f>IF(D63=1,Расчёты!AZ63+K63+N63+Q63+V63,0)</f>
        <v>0</v>
      </c>
      <c r="X63" t="str">
        <f t="shared" si="34"/>
        <v/>
      </c>
      <c r="Y63">
        <f>IF(OR(D63=0,'Исходные данные'!$B$9="",'Исходные данные'!$B$90=""),0,W63/(1+'Исходные данные'!$B$90)^((C63-'Исходные данные'!$B$9)/365))</f>
        <v>0</v>
      </c>
      <c r="Z63">
        <f>IF(D63=1,K63+Расчёты!O63+Расчёты!Q63+Расчёты!S63+Расчёты!U63+Расчёты!W63+Расчёты!X63+N63+Q63,0)</f>
        <v>0</v>
      </c>
      <c r="AA63">
        <f>IF(AND(D63=1,X63&gt;=0,X62&lt;0,MIN($X$2:X63)&lt;0),1,0)</f>
        <v>0</v>
      </c>
      <c r="AB63">
        <f>IF(Расчёты!F63=0,0,IF(Расчёты!G63=1,N('Сценарный анализ'!$C$5),IF(Расчёты!G63=2,N('Сценарный анализ'!$C$6),IF(Расчёты!G63=3,N('Сценарный анализ'!$C$7),N('Сценарный анализ'!$C$7)*(1+N('Сценарный анализ'!$C$8))^(Расчёты!G63-3)))))</f>
        <v>0</v>
      </c>
      <c r="AC63">
        <f>IF(OR(Расчёты!F63=0,N('Исходные данные'!$B$5)=0,AB63=0),0,N('Исходные данные'!$B$5)*AB63*IF(AND(B63&lt;='Исходные данные'!$B$30,Расчёты!C63&gt;='Исходные данные'!$B$30),(Расчёты!C63-'Исходные данные'!$B$30+1)/DAY(Расчёты!C63),1))</f>
        <v>0</v>
      </c>
      <c r="AD63">
        <f>IF(AND(Расчёты!F63&gt;0,Расчёты!F63&lt;=N('Исходные данные'!$B$37)),-AC63,0)</f>
        <v>0</v>
      </c>
      <c r="AE63">
        <f>IF(OR(Расчёты!F63=0,Расчёты!F63&lt;=N('Исходные данные'!$B$37)),0,-(AC63+AD63)*N('Сценарный анализ'!$C$9))</f>
        <v>0</v>
      </c>
      <c r="AF63">
        <f t="shared" si="25"/>
        <v>0</v>
      </c>
      <c r="AG63">
        <f>IF('Исходные данные'!$B$51="Да",AF63*N('Исходные данные'!$B$52),0)</f>
        <v>0</v>
      </c>
      <c r="AH63">
        <f t="shared" si="26"/>
        <v>0</v>
      </c>
      <c r="AI63">
        <f>AF63+(Расчёты!Y63-Расчёты!L63)</f>
        <v>0</v>
      </c>
      <c r="AJ63">
        <f t="shared" si="35"/>
        <v>0</v>
      </c>
      <c r="AK63">
        <f>IF('Исходные данные'!$B$51="Да",-MAX(0,AG63+Расчёты!R63+Расчёты!V63-Расчёты!P63-Расчёты!T63-AJ63),0)</f>
        <v>0</v>
      </c>
      <c r="AL63">
        <f>IF('Исходные данные'!$B$51="Да",MAX(0,AJ63+Расчёты!P63+Расчёты!T63-AG63-Расчёты!R63-Расчёты!V63),0)</f>
        <v>0</v>
      </c>
      <c r="AM63">
        <f>IF('Исходные данные'!$B$53="Выручка",MAX(0,AF63+(Расчёты!Q63-Расчёты!R63)+(Расчёты!U63-Расчёты!V63)),IF('Исходные данные'!$B$53="Прибыль до налога",MAX(0,AF63+(Расчёты!Q63-Расчёты!R63)+(Расчёты!U63-Расчёты!V63)+N('Исходные данные'!$B$54)*((Расчёты!O63+Расчёты!P63)+(Расчёты!S63+Расчёты!T63)+Расчёты!W63+Расчёты!X63)+IF('Исходные данные'!$B$55="Да",Расчёты!AG63,0)-N('Исходные данные'!$B$56)/12),IF('Исходные данные'!$B$53="Пользовательская база",MAX(0,N('Исходные данные'!$B$57)/12),0)))</f>
        <v>0</v>
      </c>
      <c r="AN63">
        <f>IF(D63=1,-AM63*N('Исходные данные'!$B$50),0)</f>
        <v>0</v>
      </c>
      <c r="AO63">
        <f t="shared" si="27"/>
        <v>0</v>
      </c>
      <c r="AP63">
        <f>IF(OR(D63&lt;&gt;1,B63="",'Исходные данные'!$B$91="",N('Исходные данные'!$B$80)&lt;=0,'Исходные данные'!$B$88=""),0,IF(AND(YEAR(B63)=YEAR('Исходные данные'!$B$91),MONTH(B63)=MONTH('Исходные данные'!$B$91)),MAX(0,IF('Исходные данные'!$B$88="Последние 12 месяцев",SUMIFS($AI$2:$AI$194,$B$2:$B$194,"&gt;="&amp;EDATE(B63,-11),$B$2:$B$194,"&lt;="&amp;B63),IF('Исходные данные'!$B$88="Пользовательский NOI",N('Исходные данные'!$B$89),AO63))/N('Исходные данные'!$B$80)*(1+N('Исходные данные'!$B$81))),0))</f>
        <v>0</v>
      </c>
      <c r="AQ63">
        <f>-AP63*N('Исходные данные'!$B$73)</f>
        <v>0</v>
      </c>
      <c r="AR63">
        <f>IF(AP63=0,0,-N('Исходные данные'!$B$87)-IF('Исходные данные'!$B$82="Да",IF('Исходные данные'!$B$84="С выручки",AP63,IF('Исходные данные'!$B$84="С прибыли",MAX(0,AP63+AQ63-IF('Исходные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63">
        <f t="shared" si="28"/>
        <v>0</v>
      </c>
      <c r="AT63">
        <f>IF(D63=1,Расчёты!AZ63+AH63+AK63+AN63+AS63,0)</f>
        <v>0</v>
      </c>
      <c r="AU63" t="str">
        <f t="shared" si="36"/>
        <v/>
      </c>
      <c r="AV63">
        <f>IF(OR(D63=0,'Исходные данные'!$B$9="",'Исходные данные'!$B$90=""),0,AT63/(1+'Исходные данные'!$B$90)^((C63-'Исходные данные'!$B$9)/365))</f>
        <v>0</v>
      </c>
      <c r="AW63">
        <f>IF(D63=1,AH63+Расчёты!O63+Расчёты!Q63+Расчёты!S63+Расчёты!U63+Расчёты!W63+Расчёты!X63+AK63+AN63,0)</f>
        <v>0</v>
      </c>
      <c r="AX63">
        <f>IF(AND(D63=1,AU63&gt;=0,AU62&lt;0,MIN($AU$2:AU63)&lt;0),1,0)</f>
        <v>0</v>
      </c>
      <c r="AY63">
        <f>IF(Расчёты!F63=0,0,IF(Расчёты!G63=1,N('Сценарный анализ'!$D$5),IF(Расчёты!G63=2,N('Сценарный анализ'!$D$6),IF(Расчёты!G63=3,N('Сценарный анализ'!$D$7),N('Сценарный анализ'!$D$7)*(1+N('Сценарный анализ'!$D$8))^(Расчёты!G63-3)))))</f>
        <v>0</v>
      </c>
      <c r="AZ63">
        <f>IF(OR(Расчёты!F63=0,N('Исходные данные'!$B$5)=0,AY63=0),0,N('Исходные данные'!$B$5)*AY63*IF(AND(B63&lt;='Исходные данные'!$B$30,Расчёты!C63&gt;='Исходные данные'!$B$30),(Расчёты!C63-'Исходные данные'!$B$30+1)/DAY(Расчёты!C63),1))</f>
        <v>0</v>
      </c>
      <c r="BA63">
        <f>IF(AND(Расчёты!F63&gt;0,Расчёты!F63&lt;=N('Исходные данные'!$B$37)),-AZ63,0)</f>
        <v>0</v>
      </c>
      <c r="BB63">
        <f>IF(OR(Расчёты!F63=0,Расчёты!F63&lt;=N('Исходные данные'!$B$37)),0,-(AZ63+BA63)*N('Сценарный анализ'!$D$9))</f>
        <v>0</v>
      </c>
      <c r="BC63">
        <f t="shared" si="29"/>
        <v>0</v>
      </c>
      <c r="BD63">
        <f>IF('Исходные данные'!$B$51="Да",BC63*N('Исходные данные'!$B$52),0)</f>
        <v>0</v>
      </c>
      <c r="BE63">
        <f t="shared" si="30"/>
        <v>0</v>
      </c>
      <c r="BF63">
        <f>BC63+(Расчёты!Y63-Расчёты!L63)</f>
        <v>0</v>
      </c>
      <c r="BG63">
        <f t="shared" si="37"/>
        <v>0</v>
      </c>
      <c r="BH63">
        <f>IF('Исходные данные'!$B$51="Да",-MAX(0,BD63+Расчёты!R63+Расчёты!V63-Расчёты!P63-Расчёты!T63-BG63),0)</f>
        <v>0</v>
      </c>
      <c r="BI63">
        <f>IF('Исходные данные'!$B$51="Да",MAX(0,BG63+Расчёты!P63+Расчёты!T63-BD63-Расчёты!R63-Расчёты!V63),0)</f>
        <v>0</v>
      </c>
      <c r="BJ63">
        <f>IF('Исходные данные'!$B$53="Выручка",MAX(0,BC63+(Расчёты!Q63-Расчёты!R63)+(Расчёты!U63-Расчёты!V63)),IF('Исходные данные'!$B$53="Прибыль до налога",MAX(0,BC63+(Расчёты!Q63-Расчёты!R63)+(Расчёты!U63-Расчёты!V63)+N('Исходные данные'!$B$54)*((Расчёты!O63+Расчёты!P63)+(Расчёты!S63+Расчёты!T63)+Расчёты!W63+Расчёты!X63)+IF('Исходные данные'!$B$55="Да",Расчёты!AG63,0)-N('Исходные данные'!$B$56)/12),IF('Исходные данные'!$B$53="Пользовательская база",MAX(0,N('Исходные данные'!$B$57)/12),0)))</f>
        <v>0</v>
      </c>
      <c r="BK63">
        <f>IF(D63=1,-BJ63*N('Исходные данные'!$B$50),0)</f>
        <v>0</v>
      </c>
      <c r="BL63">
        <f t="shared" si="31"/>
        <v>0</v>
      </c>
      <c r="BM63">
        <f>IF(OR(D63&lt;&gt;1,B63="",'Исходные данные'!$B$91="",N('Исходные данные'!$B$80)&lt;=0,'Исходные данные'!$B$88=""),0,IF(AND(YEAR(B63)=YEAR('Исходные данные'!$B$91),MONTH(B63)=MONTH('Исходные данные'!$B$91)),MAX(0,IF('Исходные данные'!$B$88="Последние 12 месяцев",SUMIFS($BF$2:$BF$194,$B$2:$B$194,"&gt;="&amp;EDATE(B63,-11),$B$2:$B$194,"&lt;="&amp;B63),IF('Исходные данные'!$B$88="Пользовательский NOI",N('Исходные данные'!$B$89),BL63))/N('Исходные данные'!$B$80)*(1+N('Исходные данные'!$B$81))),0))</f>
        <v>0</v>
      </c>
      <c r="BN63">
        <f>-BM63*N('Исходные данные'!$B$73)</f>
        <v>0</v>
      </c>
      <c r="BO63">
        <f>IF(BM63=0,0,-N('Исходные данные'!$B$87)-IF('Исходные данные'!$B$82="Да",IF('Исходные данные'!$B$84="С выручки",BM63,IF('Исходные данные'!$B$84="С прибыли",MAX(0,BM63+BN63-IF('Исходные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63">
        <f t="shared" si="32"/>
        <v>0</v>
      </c>
      <c r="BQ63">
        <f>IF(D63=1,Расчёты!AZ63+BE63+BH63+BK63+BP63,0)</f>
        <v>0</v>
      </c>
      <c r="BR63" t="str">
        <f t="shared" si="38"/>
        <v/>
      </c>
      <c r="BS63">
        <f>IF(OR(D63=0,'Исходные данные'!$B$9="",'Исходные данные'!$B$90=""),0,BQ63/(1+'Исходные данные'!$B$90)^((C63-'Исходные данные'!$B$9)/365))</f>
        <v>0</v>
      </c>
      <c r="BT63">
        <f>IF(D63=1,BE63+Расчёты!O63+Расчёты!Q63+Расчёты!S63+Расчёты!U63+Расчёты!W63+Расчёты!X63+BH63+BK63,0)</f>
        <v>0</v>
      </c>
      <c r="BU63">
        <f>IF(AND(D63=1,BR63&gt;=0,BR62&lt;0,MIN($BR$2:BR63)&lt;0),1,0)</f>
        <v>0</v>
      </c>
      <c r="BV63">
        <f>Расчёты!AZ63+K63+N63-P63*N('Исходные данные'!$B$50)</f>
        <v>0</v>
      </c>
      <c r="BW63">
        <f t="shared" si="18"/>
        <v>0</v>
      </c>
      <c r="BX63">
        <f>IF(AND(BW63&gt;=0,BW62&lt;0,MIN($BW$2:BW63)&lt;0),1,0)</f>
        <v>0</v>
      </c>
      <c r="BY63">
        <f>Расчёты!AZ63+AH63+AK63-AM63*N('Исходные данные'!$B$50)</f>
        <v>0</v>
      </c>
      <c r="BZ63">
        <f t="shared" si="19"/>
        <v>0</v>
      </c>
      <c r="CA63">
        <f>IF(AND(BZ63&gt;=0,BZ62&lt;0,MIN($BZ$2:BZ63)&lt;0),1,0)</f>
        <v>0</v>
      </c>
      <c r="CB63">
        <f>Расчёты!AZ63+BE63+BH63-BJ63*N('Исходные данные'!$B$50)</f>
        <v>0</v>
      </c>
      <c r="CC63">
        <f t="shared" si="20"/>
        <v>0</v>
      </c>
      <c r="CD63">
        <f>IF(AND(CC63&gt;=0,CC62&lt;0,MIN($CC$2:CC63)&lt;0),1,0)</f>
        <v>0</v>
      </c>
    </row>
    <row r="64" spans="1:82" x14ac:dyDescent="0.2">
      <c r="A64">
        <f>Расчёты!A64</f>
        <v>63</v>
      </c>
      <c r="B64" t="str">
        <f>Расчёты!B64</f>
        <v/>
      </c>
      <c r="C64" t="str">
        <f>Расчёты!D64</f>
        <v/>
      </c>
      <c r="D64">
        <f>Расчёты!E64</f>
        <v>0</v>
      </c>
      <c r="E64">
        <f>IF(Расчёты!F64=0,0,IF(Расчёты!G64=1,N('Сценарный анализ'!$B$5),IF(Расчёты!G64=2,N('Сценарный анализ'!$B$6),IF(Расчёты!G64=3,N('Сценарный анализ'!$B$7),N('Сценарный анализ'!$B$7)*(1+N('Сценарный анализ'!$B$8))^(Расчёты!G64-3)))))</f>
        <v>0</v>
      </c>
      <c r="F64">
        <f>IF(OR(Расчёты!F64=0,N('Исходные данные'!$B$5)=0,E64=0),0,N('Исходные данные'!$B$5)*E64*IF(AND(B64&lt;='Исходные данные'!$B$30,Расчёты!C64&gt;='Исходные данные'!$B$30),(Расчёты!C64-'Исходные данные'!$B$30+1)/DAY(Расчёты!C64),1))</f>
        <v>0</v>
      </c>
      <c r="G64">
        <f>IF(AND(Расчёты!F64&gt;0,Расчёты!F64&lt;=N('Исходные данные'!$B$37)),-F64,0)</f>
        <v>0</v>
      </c>
      <c r="H64">
        <f>IF(OR(Расчёты!F64=0,Расчёты!F64&lt;=N('Исходные данные'!$B$37)),0,-(F64+G64)*N('Сценарный анализ'!$B$9))</f>
        <v>0</v>
      </c>
      <c r="I64">
        <f t="shared" si="21"/>
        <v>0</v>
      </c>
      <c r="J64">
        <f>IF('Исходные данные'!$B$51="Да",I64*N('Исходные данные'!$B$52),0)</f>
        <v>0</v>
      </c>
      <c r="K64">
        <f t="shared" si="22"/>
        <v>0</v>
      </c>
      <c r="L64">
        <f>I64+(Расчёты!Y64-Расчёты!L64)</f>
        <v>0</v>
      </c>
      <c r="M64">
        <f t="shared" si="33"/>
        <v>0</v>
      </c>
      <c r="N64">
        <f>IF('Исходные данные'!$B$51="Да",-MAX(0,J64+Расчёты!R64+Расчёты!V64-Расчёты!P64-Расчёты!T64-M64),0)</f>
        <v>0</v>
      </c>
      <c r="O64">
        <f>IF('Исходные данные'!$B$51="Да",MAX(0,M64+Расчёты!P64+Расчёты!T64-J64-Расчёты!R64-Расчёты!V64),0)</f>
        <v>0</v>
      </c>
      <c r="P64">
        <f>IF('Исходные данные'!$B$53="Выручка",MAX(0,I64+(Расчёты!Q64-Расчёты!R64)+(Расчёты!U64-Расчёты!V64)),IF('Исходные данные'!$B$53="Прибыль до налога",MAX(0,I64+(Расчёты!Q64-Расчёты!R64)+(Расчёты!U64-Расчёты!V64)+N('Исходные данные'!$B$54)*((Расчёты!O64+Расчёты!P64)+(Расчёты!S64+Расчёты!T64)+Расчёты!W64+Расчёты!X64)+IF('Исходные данные'!$B$55="Да",Расчёты!AG64,0)-N('Исходные данные'!$B$56)/12),IF('Исходные данные'!$B$53="Пользовательская база",MAX(0,N('Исходные данные'!$B$57)/12),0)))</f>
        <v>0</v>
      </c>
      <c r="Q64">
        <f>IF(D64=1,-P64*N('Исходные данные'!$B$50),0)</f>
        <v>0</v>
      </c>
      <c r="R64">
        <f t="shared" si="23"/>
        <v>0</v>
      </c>
      <c r="S64">
        <f>IF(OR(D64&lt;&gt;1,B64="",'Исходные данные'!$B$91="",N('Исходные данные'!$B$80)&lt;=0,'Исходные данные'!$B$88=""),0,IF(AND(YEAR(B64)=YEAR('Исходные данные'!$B$91),MONTH(B64)=MONTH('Исходные данные'!$B$91)),MAX(0,IF('Исходные данные'!$B$88="Последние 12 месяцев",SUMIFS($L$2:$L$194,$B$2:$B$194,"&gt;="&amp;EDATE(B64,-11),$B$2:$B$194,"&lt;="&amp;B64),IF('Исходные данные'!$B$88="Пользовательский NOI",N('Исходные данные'!$B$89),R64))/N('Исходные данные'!$B$80)*(1+N('Исходные данные'!$B$81))),0))</f>
        <v>0</v>
      </c>
      <c r="T64">
        <f>-S64*N('Исходные данные'!$B$73)</f>
        <v>0</v>
      </c>
      <c r="U64">
        <f>IF(S64=0,0,-N('Исходные данные'!$B$87)-IF('Исходные данные'!$B$82="Да",IF('Исходные данные'!$B$84="С выручки",S64,IF('Исходные данные'!$B$84="С прибыли",MAX(0,S64+T64-IF('Исходные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64">
        <f t="shared" si="24"/>
        <v>0</v>
      </c>
      <c r="W64">
        <f>IF(D64=1,Расчёты!AZ64+K64+N64+Q64+V64,0)</f>
        <v>0</v>
      </c>
      <c r="X64" t="str">
        <f t="shared" si="34"/>
        <v/>
      </c>
      <c r="Y64">
        <f>IF(OR(D64=0,'Исходные данные'!$B$9="",'Исходные данные'!$B$90=""),0,W64/(1+'Исходные данные'!$B$90)^((C64-'Исходные данные'!$B$9)/365))</f>
        <v>0</v>
      </c>
      <c r="Z64">
        <f>IF(D64=1,K64+Расчёты!O64+Расчёты!Q64+Расчёты!S64+Расчёты!U64+Расчёты!W64+Расчёты!X64+N64+Q64,0)</f>
        <v>0</v>
      </c>
      <c r="AA64">
        <f>IF(AND(D64=1,X64&gt;=0,X63&lt;0,MIN($X$2:X64)&lt;0),1,0)</f>
        <v>0</v>
      </c>
      <c r="AB64">
        <f>IF(Расчёты!F64=0,0,IF(Расчёты!G64=1,N('Сценарный анализ'!$C$5),IF(Расчёты!G64=2,N('Сценарный анализ'!$C$6),IF(Расчёты!G64=3,N('Сценарный анализ'!$C$7),N('Сценарный анализ'!$C$7)*(1+N('Сценарный анализ'!$C$8))^(Расчёты!G64-3)))))</f>
        <v>0</v>
      </c>
      <c r="AC64">
        <f>IF(OR(Расчёты!F64=0,N('Исходные данные'!$B$5)=0,AB64=0),0,N('Исходные данные'!$B$5)*AB64*IF(AND(B64&lt;='Исходные данные'!$B$30,Расчёты!C64&gt;='Исходные данные'!$B$30),(Расчёты!C64-'Исходные данные'!$B$30+1)/DAY(Расчёты!C64),1))</f>
        <v>0</v>
      </c>
      <c r="AD64">
        <f>IF(AND(Расчёты!F64&gt;0,Расчёты!F64&lt;=N('Исходные данные'!$B$37)),-AC64,0)</f>
        <v>0</v>
      </c>
      <c r="AE64">
        <f>IF(OR(Расчёты!F64=0,Расчёты!F64&lt;=N('Исходные данные'!$B$37)),0,-(AC64+AD64)*N('Сценарный анализ'!$C$9))</f>
        <v>0</v>
      </c>
      <c r="AF64">
        <f t="shared" si="25"/>
        <v>0</v>
      </c>
      <c r="AG64">
        <f>IF('Исходные данные'!$B$51="Да",AF64*N('Исходные данные'!$B$52),0)</f>
        <v>0</v>
      </c>
      <c r="AH64">
        <f t="shared" si="26"/>
        <v>0</v>
      </c>
      <c r="AI64">
        <f>AF64+(Расчёты!Y64-Расчёты!L64)</f>
        <v>0</v>
      </c>
      <c r="AJ64">
        <f t="shared" si="35"/>
        <v>0</v>
      </c>
      <c r="AK64">
        <f>IF('Исходные данные'!$B$51="Да",-MAX(0,AG64+Расчёты!R64+Расчёты!V64-Расчёты!P64-Расчёты!T64-AJ64),0)</f>
        <v>0</v>
      </c>
      <c r="AL64">
        <f>IF('Исходные данные'!$B$51="Да",MAX(0,AJ64+Расчёты!P64+Расчёты!T64-AG64-Расчёты!R64-Расчёты!V64),0)</f>
        <v>0</v>
      </c>
      <c r="AM64">
        <f>IF('Исходные данные'!$B$53="Выручка",MAX(0,AF64+(Расчёты!Q64-Расчёты!R64)+(Расчёты!U64-Расчёты!V64)),IF('Исходные данные'!$B$53="Прибыль до налога",MAX(0,AF64+(Расчёты!Q64-Расчёты!R64)+(Расчёты!U64-Расчёты!V64)+N('Исходные данные'!$B$54)*((Расчёты!O64+Расчёты!P64)+(Расчёты!S64+Расчёты!T64)+Расчёты!W64+Расчёты!X64)+IF('Исходные данные'!$B$55="Да",Расчёты!AG64,0)-N('Исходные данные'!$B$56)/12),IF('Исходные данные'!$B$53="Пользовательская база",MAX(0,N('Исходные данные'!$B$57)/12),0)))</f>
        <v>0</v>
      </c>
      <c r="AN64">
        <f>IF(D64=1,-AM64*N('Исходные данные'!$B$50),0)</f>
        <v>0</v>
      </c>
      <c r="AO64">
        <f t="shared" si="27"/>
        <v>0</v>
      </c>
      <c r="AP64">
        <f>IF(OR(D64&lt;&gt;1,B64="",'Исходные данные'!$B$91="",N('Исходные данные'!$B$80)&lt;=0,'Исходные данные'!$B$88=""),0,IF(AND(YEAR(B64)=YEAR('Исходные данные'!$B$91),MONTH(B64)=MONTH('Исходные данные'!$B$91)),MAX(0,IF('Исходные данные'!$B$88="Последние 12 месяцев",SUMIFS($AI$2:$AI$194,$B$2:$B$194,"&gt;="&amp;EDATE(B64,-11),$B$2:$B$194,"&lt;="&amp;B64),IF('Исходные данные'!$B$88="Пользовательский NOI",N('Исходные данные'!$B$89),AO64))/N('Исходные данные'!$B$80)*(1+N('Исходные данные'!$B$81))),0))</f>
        <v>0</v>
      </c>
      <c r="AQ64">
        <f>-AP64*N('Исходные данные'!$B$73)</f>
        <v>0</v>
      </c>
      <c r="AR64">
        <f>IF(AP64=0,0,-N('Исходные данные'!$B$87)-IF('Исходные данные'!$B$82="Да",IF('Исходные данные'!$B$84="С выручки",AP64,IF('Исходные данные'!$B$84="С прибыли",MAX(0,AP64+AQ64-IF('Исходные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64">
        <f t="shared" si="28"/>
        <v>0</v>
      </c>
      <c r="AT64">
        <f>IF(D64=1,Расчёты!AZ64+AH64+AK64+AN64+AS64,0)</f>
        <v>0</v>
      </c>
      <c r="AU64" t="str">
        <f t="shared" si="36"/>
        <v/>
      </c>
      <c r="AV64">
        <f>IF(OR(D64=0,'Исходные данные'!$B$9="",'Исходные данные'!$B$90=""),0,AT64/(1+'Исходные данные'!$B$90)^((C64-'Исходные данные'!$B$9)/365))</f>
        <v>0</v>
      </c>
      <c r="AW64">
        <f>IF(D64=1,AH64+Расчёты!O64+Расчёты!Q64+Расчёты!S64+Расчёты!U64+Расчёты!W64+Расчёты!X64+AK64+AN64,0)</f>
        <v>0</v>
      </c>
      <c r="AX64">
        <f>IF(AND(D64=1,AU64&gt;=0,AU63&lt;0,MIN($AU$2:AU64)&lt;0),1,0)</f>
        <v>0</v>
      </c>
      <c r="AY64">
        <f>IF(Расчёты!F64=0,0,IF(Расчёты!G64=1,N('Сценарный анализ'!$D$5),IF(Расчёты!G64=2,N('Сценарный анализ'!$D$6),IF(Расчёты!G64=3,N('Сценарный анализ'!$D$7),N('Сценарный анализ'!$D$7)*(1+N('Сценарный анализ'!$D$8))^(Расчёты!G64-3)))))</f>
        <v>0</v>
      </c>
      <c r="AZ64">
        <f>IF(OR(Расчёты!F64=0,N('Исходные данные'!$B$5)=0,AY64=0),0,N('Исходные данные'!$B$5)*AY64*IF(AND(B64&lt;='Исходные данные'!$B$30,Расчёты!C64&gt;='Исходные данные'!$B$30),(Расчёты!C64-'Исходные данные'!$B$30+1)/DAY(Расчёты!C64),1))</f>
        <v>0</v>
      </c>
      <c r="BA64">
        <f>IF(AND(Расчёты!F64&gt;0,Расчёты!F64&lt;=N('Исходные данные'!$B$37)),-AZ64,0)</f>
        <v>0</v>
      </c>
      <c r="BB64">
        <f>IF(OR(Расчёты!F64=0,Расчёты!F64&lt;=N('Исходные данные'!$B$37)),0,-(AZ64+BA64)*N('Сценарный анализ'!$D$9))</f>
        <v>0</v>
      </c>
      <c r="BC64">
        <f t="shared" si="29"/>
        <v>0</v>
      </c>
      <c r="BD64">
        <f>IF('Исходные данные'!$B$51="Да",BC64*N('Исходные данные'!$B$52),0)</f>
        <v>0</v>
      </c>
      <c r="BE64">
        <f t="shared" si="30"/>
        <v>0</v>
      </c>
      <c r="BF64">
        <f>BC64+(Расчёты!Y64-Расчёты!L64)</f>
        <v>0</v>
      </c>
      <c r="BG64">
        <f t="shared" si="37"/>
        <v>0</v>
      </c>
      <c r="BH64">
        <f>IF('Исходные данные'!$B$51="Да",-MAX(0,BD64+Расчёты!R64+Расчёты!V64-Расчёты!P64-Расчёты!T64-BG64),0)</f>
        <v>0</v>
      </c>
      <c r="BI64">
        <f>IF('Исходные данные'!$B$51="Да",MAX(0,BG64+Расчёты!P64+Расчёты!T64-BD64-Расчёты!R64-Расчёты!V64),0)</f>
        <v>0</v>
      </c>
      <c r="BJ64">
        <f>IF('Исходные данные'!$B$53="Выручка",MAX(0,BC64+(Расчёты!Q64-Расчёты!R64)+(Расчёты!U64-Расчёты!V64)),IF('Исходные данные'!$B$53="Прибыль до налога",MAX(0,BC64+(Расчёты!Q64-Расчёты!R64)+(Расчёты!U64-Расчёты!V64)+N('Исходные данные'!$B$54)*((Расчёты!O64+Расчёты!P64)+(Расчёты!S64+Расчёты!T64)+Расчёты!W64+Расчёты!X64)+IF('Исходные данные'!$B$55="Да",Расчёты!AG64,0)-N('Исходные данные'!$B$56)/12),IF('Исходные данные'!$B$53="Пользовательская база",MAX(0,N('Исходные данные'!$B$57)/12),0)))</f>
        <v>0</v>
      </c>
      <c r="BK64">
        <f>IF(D64=1,-BJ64*N('Исходные данные'!$B$50),0)</f>
        <v>0</v>
      </c>
      <c r="BL64">
        <f t="shared" si="31"/>
        <v>0</v>
      </c>
      <c r="BM64">
        <f>IF(OR(D64&lt;&gt;1,B64="",'Исходные данные'!$B$91="",N('Исходные данные'!$B$80)&lt;=0,'Исходные данные'!$B$88=""),0,IF(AND(YEAR(B64)=YEAR('Исходные данные'!$B$91),MONTH(B64)=MONTH('Исходные данные'!$B$91)),MAX(0,IF('Исходные данные'!$B$88="Последние 12 месяцев",SUMIFS($BF$2:$BF$194,$B$2:$B$194,"&gt;="&amp;EDATE(B64,-11),$B$2:$B$194,"&lt;="&amp;B64),IF('Исходные данные'!$B$88="Пользовательский NOI",N('Исходные данные'!$B$89),BL64))/N('Исходные данные'!$B$80)*(1+N('Исходные данные'!$B$81))),0))</f>
        <v>0</v>
      </c>
      <c r="BN64">
        <f>-BM64*N('Исходные данные'!$B$73)</f>
        <v>0</v>
      </c>
      <c r="BO64">
        <f>IF(BM64=0,0,-N('Исходные данные'!$B$87)-IF('Исходные данные'!$B$82="Да",IF('Исходные данные'!$B$84="С выручки",BM64,IF('Исходные данные'!$B$84="С прибыли",MAX(0,BM64+BN64-IF('Исходные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64">
        <f t="shared" si="32"/>
        <v>0</v>
      </c>
      <c r="BQ64">
        <f>IF(D64=1,Расчёты!AZ64+BE64+BH64+BK64+BP64,0)</f>
        <v>0</v>
      </c>
      <c r="BR64" t="str">
        <f t="shared" si="38"/>
        <v/>
      </c>
      <c r="BS64">
        <f>IF(OR(D64=0,'Исходные данные'!$B$9="",'Исходные данные'!$B$90=""),0,BQ64/(1+'Исходные данные'!$B$90)^((C64-'Исходные данные'!$B$9)/365))</f>
        <v>0</v>
      </c>
      <c r="BT64">
        <f>IF(D64=1,BE64+Расчёты!O64+Расчёты!Q64+Расчёты!S64+Расчёты!U64+Расчёты!W64+Расчёты!X64+BH64+BK64,0)</f>
        <v>0</v>
      </c>
      <c r="BU64">
        <f>IF(AND(D64=1,BR64&gt;=0,BR63&lt;0,MIN($BR$2:BR64)&lt;0),1,0)</f>
        <v>0</v>
      </c>
      <c r="BV64">
        <f>Расчёты!AZ64+K64+N64-P64*N('Исходные данные'!$B$50)</f>
        <v>0</v>
      </c>
      <c r="BW64">
        <f t="shared" si="18"/>
        <v>0</v>
      </c>
      <c r="BX64">
        <f>IF(AND(BW64&gt;=0,BW63&lt;0,MIN($BW$2:BW64)&lt;0),1,0)</f>
        <v>0</v>
      </c>
      <c r="BY64">
        <f>Расчёты!AZ64+AH64+AK64-AM64*N('Исходные данные'!$B$50)</f>
        <v>0</v>
      </c>
      <c r="BZ64">
        <f t="shared" si="19"/>
        <v>0</v>
      </c>
      <c r="CA64">
        <f>IF(AND(BZ64&gt;=0,BZ63&lt;0,MIN($BZ$2:BZ64)&lt;0),1,0)</f>
        <v>0</v>
      </c>
      <c r="CB64">
        <f>Расчёты!AZ64+BE64+BH64-BJ64*N('Исходные данные'!$B$50)</f>
        <v>0</v>
      </c>
      <c r="CC64">
        <f t="shared" si="20"/>
        <v>0</v>
      </c>
      <c r="CD64">
        <f>IF(AND(CC64&gt;=0,CC63&lt;0,MIN($CC$2:CC64)&lt;0),1,0)</f>
        <v>0</v>
      </c>
    </row>
    <row r="65" spans="1:82" x14ac:dyDescent="0.2">
      <c r="A65">
        <f>Расчёты!A65</f>
        <v>64</v>
      </c>
      <c r="B65" t="str">
        <f>Расчёты!B65</f>
        <v/>
      </c>
      <c r="C65" t="str">
        <f>Расчёты!D65</f>
        <v/>
      </c>
      <c r="D65">
        <f>Расчёты!E65</f>
        <v>0</v>
      </c>
      <c r="E65">
        <f>IF(Расчёты!F65=0,0,IF(Расчёты!G65=1,N('Сценарный анализ'!$B$5),IF(Расчёты!G65=2,N('Сценарный анализ'!$B$6),IF(Расчёты!G65=3,N('Сценарный анализ'!$B$7),N('Сценарный анализ'!$B$7)*(1+N('Сценарный анализ'!$B$8))^(Расчёты!G65-3)))))</f>
        <v>0</v>
      </c>
      <c r="F65">
        <f>IF(OR(Расчёты!F65=0,N('Исходные данные'!$B$5)=0,E65=0),0,N('Исходные данные'!$B$5)*E65*IF(AND(B65&lt;='Исходные данные'!$B$30,Расчёты!C65&gt;='Исходные данные'!$B$30),(Расчёты!C65-'Исходные данные'!$B$30+1)/DAY(Расчёты!C65),1))</f>
        <v>0</v>
      </c>
      <c r="G65">
        <f>IF(AND(Расчёты!F65&gt;0,Расчёты!F65&lt;=N('Исходные данные'!$B$37)),-F65,0)</f>
        <v>0</v>
      </c>
      <c r="H65">
        <f>IF(OR(Расчёты!F65=0,Расчёты!F65&lt;=N('Исходные данные'!$B$37)),0,-(F65+G65)*N('Сценарный анализ'!$B$9))</f>
        <v>0</v>
      </c>
      <c r="I65">
        <f t="shared" si="21"/>
        <v>0</v>
      </c>
      <c r="J65">
        <f>IF('Исходные данные'!$B$51="Да",I65*N('Исходные данные'!$B$52),0)</f>
        <v>0</v>
      </c>
      <c r="K65">
        <f t="shared" si="22"/>
        <v>0</v>
      </c>
      <c r="L65">
        <f>I65+(Расчёты!Y65-Расчёты!L65)</f>
        <v>0</v>
      </c>
      <c r="M65">
        <f t="shared" si="33"/>
        <v>0</v>
      </c>
      <c r="N65">
        <f>IF('Исходные данные'!$B$51="Да",-MAX(0,J65+Расчёты!R65+Расчёты!V65-Расчёты!P65-Расчёты!T65-M65),0)</f>
        <v>0</v>
      </c>
      <c r="O65">
        <f>IF('Исходные данные'!$B$51="Да",MAX(0,M65+Расчёты!P65+Расчёты!T65-J65-Расчёты!R65-Расчёты!V65),0)</f>
        <v>0</v>
      </c>
      <c r="P65">
        <f>IF('Исходные данные'!$B$53="Выручка",MAX(0,I65+(Расчёты!Q65-Расчёты!R65)+(Расчёты!U65-Расчёты!V65)),IF('Исходные данные'!$B$53="Прибыль до налога",MAX(0,I65+(Расчёты!Q65-Расчёты!R65)+(Расчёты!U65-Расчёты!V65)+N('Исходные данные'!$B$54)*((Расчёты!O65+Расчёты!P65)+(Расчёты!S65+Расчёты!T65)+Расчёты!W65+Расчёты!X65)+IF('Исходные данные'!$B$55="Да",Расчёты!AG65,0)-N('Исходные данные'!$B$56)/12),IF('Исходные данные'!$B$53="Пользовательская база",MAX(0,N('Исходные данные'!$B$57)/12),0)))</f>
        <v>0</v>
      </c>
      <c r="Q65">
        <f>IF(D65=1,-P65*N('Исходные данные'!$B$50),0)</f>
        <v>0</v>
      </c>
      <c r="R65">
        <f t="shared" si="23"/>
        <v>0</v>
      </c>
      <c r="S65">
        <f>IF(OR(D65&lt;&gt;1,B65="",'Исходные данные'!$B$91="",N('Исходные данные'!$B$80)&lt;=0,'Исходные данные'!$B$88=""),0,IF(AND(YEAR(B65)=YEAR('Исходные данные'!$B$91),MONTH(B65)=MONTH('Исходные данные'!$B$91)),MAX(0,IF('Исходные данные'!$B$88="Последние 12 месяцев",SUMIFS($L$2:$L$194,$B$2:$B$194,"&gt;="&amp;EDATE(B65,-11),$B$2:$B$194,"&lt;="&amp;B65),IF('Исходные данные'!$B$88="Пользовательский NOI",N('Исходные данные'!$B$89),R65))/N('Исходные данные'!$B$80)*(1+N('Исходные данные'!$B$81))),0))</f>
        <v>0</v>
      </c>
      <c r="T65">
        <f>-S65*N('Исходные данные'!$B$73)</f>
        <v>0</v>
      </c>
      <c r="U65">
        <f>IF(S65=0,0,-N('Исходные данные'!$B$87)-IF('Исходные данные'!$B$82="Да",IF('Исходные данные'!$B$84="С выручки",S65,IF('Исходные данные'!$B$84="С прибыли",MAX(0,S65+T65-IF('Исходные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65">
        <f t="shared" si="24"/>
        <v>0</v>
      </c>
      <c r="W65">
        <f>IF(D65=1,Расчёты!AZ65+K65+N65+Q65+V65,0)</f>
        <v>0</v>
      </c>
      <c r="X65" t="str">
        <f t="shared" si="34"/>
        <v/>
      </c>
      <c r="Y65">
        <f>IF(OR(D65=0,'Исходные данные'!$B$9="",'Исходные данные'!$B$90=""),0,W65/(1+'Исходные данные'!$B$90)^((C65-'Исходные данные'!$B$9)/365))</f>
        <v>0</v>
      </c>
      <c r="Z65">
        <f>IF(D65=1,K65+Расчёты!O65+Расчёты!Q65+Расчёты!S65+Расчёты!U65+Расчёты!W65+Расчёты!X65+N65+Q65,0)</f>
        <v>0</v>
      </c>
      <c r="AA65">
        <f>IF(AND(D65=1,X65&gt;=0,X64&lt;0,MIN($X$2:X65)&lt;0),1,0)</f>
        <v>0</v>
      </c>
      <c r="AB65">
        <f>IF(Расчёты!F65=0,0,IF(Расчёты!G65=1,N('Сценарный анализ'!$C$5),IF(Расчёты!G65=2,N('Сценарный анализ'!$C$6),IF(Расчёты!G65=3,N('Сценарный анализ'!$C$7),N('Сценарный анализ'!$C$7)*(1+N('Сценарный анализ'!$C$8))^(Расчёты!G65-3)))))</f>
        <v>0</v>
      </c>
      <c r="AC65">
        <f>IF(OR(Расчёты!F65=0,N('Исходные данные'!$B$5)=0,AB65=0),0,N('Исходные данные'!$B$5)*AB65*IF(AND(B65&lt;='Исходные данные'!$B$30,Расчёты!C65&gt;='Исходные данные'!$B$30),(Расчёты!C65-'Исходные данные'!$B$30+1)/DAY(Расчёты!C65),1))</f>
        <v>0</v>
      </c>
      <c r="AD65">
        <f>IF(AND(Расчёты!F65&gt;0,Расчёты!F65&lt;=N('Исходные данные'!$B$37)),-AC65,0)</f>
        <v>0</v>
      </c>
      <c r="AE65">
        <f>IF(OR(Расчёты!F65=0,Расчёты!F65&lt;=N('Исходные данные'!$B$37)),0,-(AC65+AD65)*N('Сценарный анализ'!$C$9))</f>
        <v>0</v>
      </c>
      <c r="AF65">
        <f t="shared" si="25"/>
        <v>0</v>
      </c>
      <c r="AG65">
        <f>IF('Исходные данные'!$B$51="Да",AF65*N('Исходные данные'!$B$52),0)</f>
        <v>0</v>
      </c>
      <c r="AH65">
        <f t="shared" si="26"/>
        <v>0</v>
      </c>
      <c r="AI65">
        <f>AF65+(Расчёты!Y65-Расчёты!L65)</f>
        <v>0</v>
      </c>
      <c r="AJ65">
        <f t="shared" si="35"/>
        <v>0</v>
      </c>
      <c r="AK65">
        <f>IF('Исходные данные'!$B$51="Да",-MAX(0,AG65+Расчёты!R65+Расчёты!V65-Расчёты!P65-Расчёты!T65-AJ65),0)</f>
        <v>0</v>
      </c>
      <c r="AL65">
        <f>IF('Исходные данные'!$B$51="Да",MAX(0,AJ65+Расчёты!P65+Расчёты!T65-AG65-Расчёты!R65-Расчёты!V65),0)</f>
        <v>0</v>
      </c>
      <c r="AM65">
        <f>IF('Исходные данные'!$B$53="Выручка",MAX(0,AF65+(Расчёты!Q65-Расчёты!R65)+(Расчёты!U65-Расчёты!V65)),IF('Исходные данные'!$B$53="Прибыль до налога",MAX(0,AF65+(Расчёты!Q65-Расчёты!R65)+(Расчёты!U65-Расчёты!V65)+N('Исходные данные'!$B$54)*((Расчёты!O65+Расчёты!P65)+(Расчёты!S65+Расчёты!T65)+Расчёты!W65+Расчёты!X65)+IF('Исходные данные'!$B$55="Да",Расчёты!AG65,0)-N('Исходные данные'!$B$56)/12),IF('Исходные данные'!$B$53="Пользовательская база",MAX(0,N('Исходные данные'!$B$57)/12),0)))</f>
        <v>0</v>
      </c>
      <c r="AN65">
        <f>IF(D65=1,-AM65*N('Исходные данные'!$B$50),0)</f>
        <v>0</v>
      </c>
      <c r="AO65">
        <f t="shared" si="27"/>
        <v>0</v>
      </c>
      <c r="AP65">
        <f>IF(OR(D65&lt;&gt;1,B65="",'Исходные данные'!$B$91="",N('Исходные данные'!$B$80)&lt;=0,'Исходные данные'!$B$88=""),0,IF(AND(YEAR(B65)=YEAR('Исходные данные'!$B$91),MONTH(B65)=MONTH('Исходные данные'!$B$91)),MAX(0,IF('Исходные данные'!$B$88="Последние 12 месяцев",SUMIFS($AI$2:$AI$194,$B$2:$B$194,"&gt;="&amp;EDATE(B65,-11),$B$2:$B$194,"&lt;="&amp;B65),IF('Исходные данные'!$B$88="Пользовательский NOI",N('Исходные данные'!$B$89),AO65))/N('Исходные данные'!$B$80)*(1+N('Исходные данные'!$B$81))),0))</f>
        <v>0</v>
      </c>
      <c r="AQ65">
        <f>-AP65*N('Исходные данные'!$B$73)</f>
        <v>0</v>
      </c>
      <c r="AR65">
        <f>IF(AP65=0,0,-N('Исходные данные'!$B$87)-IF('Исходные данные'!$B$82="Да",IF('Исходные данные'!$B$84="С выручки",AP65,IF('Исходные данные'!$B$84="С прибыли",MAX(0,AP65+AQ65-IF('Исходные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65">
        <f t="shared" si="28"/>
        <v>0</v>
      </c>
      <c r="AT65">
        <f>IF(D65=1,Расчёты!AZ65+AH65+AK65+AN65+AS65,0)</f>
        <v>0</v>
      </c>
      <c r="AU65" t="str">
        <f t="shared" si="36"/>
        <v/>
      </c>
      <c r="AV65">
        <f>IF(OR(D65=0,'Исходные данные'!$B$9="",'Исходные данные'!$B$90=""),0,AT65/(1+'Исходные данные'!$B$90)^((C65-'Исходные данные'!$B$9)/365))</f>
        <v>0</v>
      </c>
      <c r="AW65">
        <f>IF(D65=1,AH65+Расчёты!O65+Расчёты!Q65+Расчёты!S65+Расчёты!U65+Расчёты!W65+Расчёты!X65+AK65+AN65,0)</f>
        <v>0</v>
      </c>
      <c r="AX65">
        <f>IF(AND(D65=1,AU65&gt;=0,AU64&lt;0,MIN($AU$2:AU65)&lt;0),1,0)</f>
        <v>0</v>
      </c>
      <c r="AY65">
        <f>IF(Расчёты!F65=0,0,IF(Расчёты!G65=1,N('Сценарный анализ'!$D$5),IF(Расчёты!G65=2,N('Сценарный анализ'!$D$6),IF(Расчёты!G65=3,N('Сценарный анализ'!$D$7),N('Сценарный анализ'!$D$7)*(1+N('Сценарный анализ'!$D$8))^(Расчёты!G65-3)))))</f>
        <v>0</v>
      </c>
      <c r="AZ65">
        <f>IF(OR(Расчёты!F65=0,N('Исходные данные'!$B$5)=0,AY65=0),0,N('Исходные данные'!$B$5)*AY65*IF(AND(B65&lt;='Исходные данные'!$B$30,Расчёты!C65&gt;='Исходные данные'!$B$30),(Расчёты!C65-'Исходные данные'!$B$30+1)/DAY(Расчёты!C65),1))</f>
        <v>0</v>
      </c>
      <c r="BA65">
        <f>IF(AND(Расчёты!F65&gt;0,Расчёты!F65&lt;=N('Исходные данные'!$B$37)),-AZ65,0)</f>
        <v>0</v>
      </c>
      <c r="BB65">
        <f>IF(OR(Расчёты!F65=0,Расчёты!F65&lt;=N('Исходные данные'!$B$37)),0,-(AZ65+BA65)*N('Сценарный анализ'!$D$9))</f>
        <v>0</v>
      </c>
      <c r="BC65">
        <f t="shared" si="29"/>
        <v>0</v>
      </c>
      <c r="BD65">
        <f>IF('Исходные данные'!$B$51="Да",BC65*N('Исходные данные'!$B$52),0)</f>
        <v>0</v>
      </c>
      <c r="BE65">
        <f t="shared" si="30"/>
        <v>0</v>
      </c>
      <c r="BF65">
        <f>BC65+(Расчёты!Y65-Расчёты!L65)</f>
        <v>0</v>
      </c>
      <c r="BG65">
        <f t="shared" si="37"/>
        <v>0</v>
      </c>
      <c r="BH65">
        <f>IF('Исходные данные'!$B$51="Да",-MAX(0,BD65+Расчёты!R65+Расчёты!V65-Расчёты!P65-Расчёты!T65-BG65),0)</f>
        <v>0</v>
      </c>
      <c r="BI65">
        <f>IF('Исходные данные'!$B$51="Да",MAX(0,BG65+Расчёты!P65+Расчёты!T65-BD65-Расчёты!R65-Расчёты!V65),0)</f>
        <v>0</v>
      </c>
      <c r="BJ65">
        <f>IF('Исходные данные'!$B$53="Выручка",MAX(0,BC65+(Расчёты!Q65-Расчёты!R65)+(Расчёты!U65-Расчёты!V65)),IF('Исходные данные'!$B$53="Прибыль до налога",MAX(0,BC65+(Расчёты!Q65-Расчёты!R65)+(Расчёты!U65-Расчёты!V65)+N('Исходные данные'!$B$54)*((Расчёты!O65+Расчёты!P65)+(Расчёты!S65+Расчёты!T65)+Расчёты!W65+Расчёты!X65)+IF('Исходные данные'!$B$55="Да",Расчёты!AG65,0)-N('Исходные данные'!$B$56)/12),IF('Исходные данные'!$B$53="Пользовательская база",MAX(0,N('Исходные данные'!$B$57)/12),0)))</f>
        <v>0</v>
      </c>
      <c r="BK65">
        <f>IF(D65=1,-BJ65*N('Исходные данные'!$B$50),0)</f>
        <v>0</v>
      </c>
      <c r="BL65">
        <f t="shared" si="31"/>
        <v>0</v>
      </c>
      <c r="BM65">
        <f>IF(OR(D65&lt;&gt;1,B65="",'Исходные данные'!$B$91="",N('Исходные данные'!$B$80)&lt;=0,'Исходные данные'!$B$88=""),0,IF(AND(YEAR(B65)=YEAR('Исходные данные'!$B$91),MONTH(B65)=MONTH('Исходные данные'!$B$91)),MAX(0,IF('Исходные данные'!$B$88="Последние 12 месяцев",SUMIFS($BF$2:$BF$194,$B$2:$B$194,"&gt;="&amp;EDATE(B65,-11),$B$2:$B$194,"&lt;="&amp;B65),IF('Исходные данные'!$B$88="Пользовательский NOI",N('Исходные данные'!$B$89),BL65))/N('Исходные данные'!$B$80)*(1+N('Исходные данные'!$B$81))),0))</f>
        <v>0</v>
      </c>
      <c r="BN65">
        <f>-BM65*N('Исходные данные'!$B$73)</f>
        <v>0</v>
      </c>
      <c r="BO65">
        <f>IF(BM65=0,0,-N('Исходные данные'!$B$87)-IF('Исходные данные'!$B$82="Да",IF('Исходные данные'!$B$84="С выручки",BM65,IF('Исходные данные'!$B$84="С прибыли",MAX(0,BM65+BN65-IF('Исходные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65">
        <f t="shared" si="32"/>
        <v>0</v>
      </c>
      <c r="BQ65">
        <f>IF(D65=1,Расчёты!AZ65+BE65+BH65+BK65+BP65,0)</f>
        <v>0</v>
      </c>
      <c r="BR65" t="str">
        <f t="shared" si="38"/>
        <v/>
      </c>
      <c r="BS65">
        <f>IF(OR(D65=0,'Исходные данные'!$B$9="",'Исходные данные'!$B$90=""),0,BQ65/(1+'Исходные данные'!$B$90)^((C65-'Исходные данные'!$B$9)/365))</f>
        <v>0</v>
      </c>
      <c r="BT65">
        <f>IF(D65=1,BE65+Расчёты!O65+Расчёты!Q65+Расчёты!S65+Расчёты!U65+Расчёты!W65+Расчёты!X65+BH65+BK65,0)</f>
        <v>0</v>
      </c>
      <c r="BU65">
        <f>IF(AND(D65=1,BR65&gt;=0,BR64&lt;0,MIN($BR$2:BR65)&lt;0),1,0)</f>
        <v>0</v>
      </c>
      <c r="BV65">
        <f>Расчёты!AZ65+K65+N65-P65*N('Исходные данные'!$B$50)</f>
        <v>0</v>
      </c>
      <c r="BW65">
        <f t="shared" si="18"/>
        <v>0</v>
      </c>
      <c r="BX65">
        <f>IF(AND(BW65&gt;=0,BW64&lt;0,MIN($BW$2:BW65)&lt;0),1,0)</f>
        <v>0</v>
      </c>
      <c r="BY65">
        <f>Расчёты!AZ65+AH65+AK65-AM65*N('Исходные данные'!$B$50)</f>
        <v>0</v>
      </c>
      <c r="BZ65">
        <f t="shared" si="19"/>
        <v>0</v>
      </c>
      <c r="CA65">
        <f>IF(AND(BZ65&gt;=0,BZ64&lt;0,MIN($BZ$2:BZ65)&lt;0),1,0)</f>
        <v>0</v>
      </c>
      <c r="CB65">
        <f>Расчёты!AZ65+BE65+BH65-BJ65*N('Исходные данные'!$B$50)</f>
        <v>0</v>
      </c>
      <c r="CC65">
        <f t="shared" si="20"/>
        <v>0</v>
      </c>
      <c r="CD65">
        <f>IF(AND(CC65&gt;=0,CC64&lt;0,MIN($CC$2:CC65)&lt;0),1,0)</f>
        <v>0</v>
      </c>
    </row>
    <row r="66" spans="1:82" x14ac:dyDescent="0.2">
      <c r="A66">
        <f>Расчёты!A66</f>
        <v>65</v>
      </c>
      <c r="B66" t="str">
        <f>Расчёты!B66</f>
        <v/>
      </c>
      <c r="C66" t="str">
        <f>Расчёты!D66</f>
        <v/>
      </c>
      <c r="D66">
        <f>Расчёты!E66</f>
        <v>0</v>
      </c>
      <c r="E66">
        <f>IF(Расчёты!F66=0,0,IF(Расчёты!G66=1,N('Сценарный анализ'!$B$5),IF(Расчёты!G66=2,N('Сценарный анализ'!$B$6),IF(Расчёты!G66=3,N('Сценарный анализ'!$B$7),N('Сценарный анализ'!$B$7)*(1+N('Сценарный анализ'!$B$8))^(Расчёты!G66-3)))))</f>
        <v>0</v>
      </c>
      <c r="F66">
        <f>IF(OR(Расчёты!F66=0,N('Исходные данные'!$B$5)=0,E66=0),0,N('Исходные данные'!$B$5)*E66*IF(AND(B66&lt;='Исходные данные'!$B$30,Расчёты!C66&gt;='Исходные данные'!$B$30),(Расчёты!C66-'Исходные данные'!$B$30+1)/DAY(Расчёты!C66),1))</f>
        <v>0</v>
      </c>
      <c r="G66">
        <f>IF(AND(Расчёты!F66&gt;0,Расчёты!F66&lt;=N('Исходные данные'!$B$37)),-F66,0)</f>
        <v>0</v>
      </c>
      <c r="H66">
        <f>IF(OR(Расчёты!F66=0,Расчёты!F66&lt;=N('Исходные данные'!$B$37)),0,-(F66+G66)*N('Сценарный анализ'!$B$9))</f>
        <v>0</v>
      </c>
      <c r="I66">
        <f t="shared" ref="I66:I97" si="39">F66+G66+H66</f>
        <v>0</v>
      </c>
      <c r="J66">
        <f>IF('Исходные данные'!$B$51="Да",I66*N('Исходные данные'!$B$52),0)</f>
        <v>0</v>
      </c>
      <c r="K66">
        <f t="shared" ref="K66:K97" si="40">I66+J66</f>
        <v>0</v>
      </c>
      <c r="L66">
        <f>I66+(Расчёты!Y66-Расчёты!L66)</f>
        <v>0</v>
      </c>
      <c r="M66">
        <f t="shared" si="33"/>
        <v>0</v>
      </c>
      <c r="N66">
        <f>IF('Исходные данные'!$B$51="Да",-MAX(0,J66+Расчёты!R66+Расчёты!V66-Расчёты!P66-Расчёты!T66-M66),0)</f>
        <v>0</v>
      </c>
      <c r="O66">
        <f>IF('Исходные данные'!$B$51="Да",MAX(0,M66+Расчёты!P66+Расчёты!T66-J66-Расчёты!R66-Расчёты!V66),0)</f>
        <v>0</v>
      </c>
      <c r="P66">
        <f>IF('Исходные данные'!$B$53="Выручка",MAX(0,I66+(Расчёты!Q66-Расчёты!R66)+(Расчёты!U66-Расчёты!V66)),IF('Исходные данные'!$B$53="Прибыль до налога",MAX(0,I66+(Расчёты!Q66-Расчёты!R66)+(Расчёты!U66-Расчёты!V66)+N('Исходные данные'!$B$54)*((Расчёты!O66+Расчёты!P66)+(Расчёты!S66+Расчёты!T66)+Расчёты!W66+Расчёты!X66)+IF('Исходные данные'!$B$55="Да",Расчёты!AG66,0)-N('Исходные данные'!$B$56)/12),IF('Исходные данные'!$B$53="Пользовательская база",MAX(0,N('Исходные данные'!$B$57)/12),0)))</f>
        <v>0</v>
      </c>
      <c r="Q66">
        <f>IF(D66=1,-P66*N('Исходные данные'!$B$50),0)</f>
        <v>0</v>
      </c>
      <c r="R66">
        <f t="shared" ref="R66:R97" si="41">IF(B66="",0,SUMIFS($L$2:$L$194,$B$2:$B$194,"&gt;"&amp;B66,$B$2:$B$194,"&lt;="&amp;EDATE(B66,12)))</f>
        <v>0</v>
      </c>
      <c r="S66">
        <f>IF(OR(D66&lt;&gt;1,B66="",'Исходные данные'!$B$91="",N('Исходные данные'!$B$80)&lt;=0,'Исходные данные'!$B$88=""),0,IF(AND(YEAR(B66)=YEAR('Исходные данные'!$B$91),MONTH(B66)=MONTH('Исходные данные'!$B$91)),MAX(0,IF('Исходные данные'!$B$88="Последние 12 месяцев",SUMIFS($L$2:$L$194,$B$2:$B$194,"&gt;="&amp;EDATE(B66,-11),$B$2:$B$194,"&lt;="&amp;B66),IF('Исходные данные'!$B$88="Пользовательский NOI",N('Исходные данные'!$B$89),R66))/N('Исходные данные'!$B$80)*(1+N('Исходные данные'!$B$81))),0))</f>
        <v>0</v>
      </c>
      <c r="T66">
        <f>-S66*N('Исходные данные'!$B$73)</f>
        <v>0</v>
      </c>
      <c r="U66">
        <f>IF(S66=0,0,-N('Исходные данные'!$B$87)-IF('Исходные данные'!$B$82="Да",IF('Исходные данные'!$B$84="С выручки",S66,IF('Исходные данные'!$B$84="С прибыли",MAX(0,S66+T66-IF('Исходные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66">
        <f t="shared" ref="V66:V97" si="42">S66+T66+U66</f>
        <v>0</v>
      </c>
      <c r="W66">
        <f>IF(D66=1,Расчёты!AZ66+K66+N66+Q66+V66,0)</f>
        <v>0</v>
      </c>
      <c r="X66" t="str">
        <f t="shared" si="34"/>
        <v/>
      </c>
      <c r="Y66">
        <f>IF(OR(D66=0,'Исходные данные'!$B$9="",'Исходные данные'!$B$90=""),0,W66/(1+'Исходные данные'!$B$90)^((C66-'Исходные данные'!$B$9)/365))</f>
        <v>0</v>
      </c>
      <c r="Z66">
        <f>IF(D66=1,K66+Расчёты!O66+Расчёты!Q66+Расчёты!S66+Расчёты!U66+Расчёты!W66+Расчёты!X66+N66+Q66,0)</f>
        <v>0</v>
      </c>
      <c r="AA66">
        <f>IF(AND(D66=1,X66&gt;=0,X65&lt;0,MIN($X$2:X66)&lt;0),1,0)</f>
        <v>0</v>
      </c>
      <c r="AB66">
        <f>IF(Расчёты!F66=0,0,IF(Расчёты!G66=1,N('Сценарный анализ'!$C$5),IF(Расчёты!G66=2,N('Сценарный анализ'!$C$6),IF(Расчёты!G66=3,N('Сценарный анализ'!$C$7),N('Сценарный анализ'!$C$7)*(1+N('Сценарный анализ'!$C$8))^(Расчёты!G66-3)))))</f>
        <v>0</v>
      </c>
      <c r="AC66">
        <f>IF(OR(Расчёты!F66=0,N('Исходные данные'!$B$5)=0,AB66=0),0,N('Исходные данные'!$B$5)*AB66*IF(AND(B66&lt;='Исходные данные'!$B$30,Расчёты!C66&gt;='Исходные данные'!$B$30),(Расчёты!C66-'Исходные данные'!$B$30+1)/DAY(Расчёты!C66),1))</f>
        <v>0</v>
      </c>
      <c r="AD66">
        <f>IF(AND(Расчёты!F66&gt;0,Расчёты!F66&lt;=N('Исходные данные'!$B$37)),-AC66,0)</f>
        <v>0</v>
      </c>
      <c r="AE66">
        <f>IF(OR(Расчёты!F66=0,Расчёты!F66&lt;=N('Исходные данные'!$B$37)),0,-(AC66+AD66)*N('Сценарный анализ'!$C$9))</f>
        <v>0</v>
      </c>
      <c r="AF66">
        <f t="shared" ref="AF66:AF97" si="43">AC66+AD66+AE66</f>
        <v>0</v>
      </c>
      <c r="AG66">
        <f>IF('Исходные данные'!$B$51="Да",AF66*N('Исходные данные'!$B$52),0)</f>
        <v>0</v>
      </c>
      <c r="AH66">
        <f t="shared" ref="AH66:AH97" si="44">AF66+AG66</f>
        <v>0</v>
      </c>
      <c r="AI66">
        <f>AF66+(Расчёты!Y66-Расчёты!L66)</f>
        <v>0</v>
      </c>
      <c r="AJ66">
        <f t="shared" si="35"/>
        <v>0</v>
      </c>
      <c r="AK66">
        <f>IF('Исходные данные'!$B$51="Да",-MAX(0,AG66+Расчёты!R66+Расчёты!V66-Расчёты!P66-Расчёты!T66-AJ66),0)</f>
        <v>0</v>
      </c>
      <c r="AL66">
        <f>IF('Исходные данные'!$B$51="Да",MAX(0,AJ66+Расчёты!P66+Расчёты!T66-AG66-Расчёты!R66-Расчёты!V66),0)</f>
        <v>0</v>
      </c>
      <c r="AM66">
        <f>IF('Исходные данные'!$B$53="Выручка",MAX(0,AF66+(Расчёты!Q66-Расчёты!R66)+(Расчёты!U66-Расчёты!V66)),IF('Исходные данные'!$B$53="Прибыль до налога",MAX(0,AF66+(Расчёты!Q66-Расчёты!R66)+(Расчёты!U66-Расчёты!V66)+N('Исходные данные'!$B$54)*((Расчёты!O66+Расчёты!P66)+(Расчёты!S66+Расчёты!T66)+Расчёты!W66+Расчёты!X66)+IF('Исходные данные'!$B$55="Да",Расчёты!AG66,0)-N('Исходные данные'!$B$56)/12),IF('Исходные данные'!$B$53="Пользовательская база",MAX(0,N('Исходные данные'!$B$57)/12),0)))</f>
        <v>0</v>
      </c>
      <c r="AN66">
        <f>IF(D66=1,-AM66*N('Исходные данные'!$B$50),0)</f>
        <v>0</v>
      </c>
      <c r="AO66">
        <f t="shared" ref="AO66:AO97" si="45">IF(B66="",0,SUMIFS($AI$2:$AI$194,$B$2:$B$194,"&gt;"&amp;B66,$B$2:$B$194,"&lt;="&amp;EDATE(B66,12)))</f>
        <v>0</v>
      </c>
      <c r="AP66">
        <f>IF(OR(D66&lt;&gt;1,B66="",'Исходные данные'!$B$91="",N('Исходные данные'!$B$80)&lt;=0,'Исходные данные'!$B$88=""),0,IF(AND(YEAR(B66)=YEAR('Исходные данные'!$B$91),MONTH(B66)=MONTH('Исходные данные'!$B$91)),MAX(0,IF('Исходные данные'!$B$88="Последние 12 месяцев",SUMIFS($AI$2:$AI$194,$B$2:$B$194,"&gt;="&amp;EDATE(B66,-11),$B$2:$B$194,"&lt;="&amp;B66),IF('Исходные данные'!$B$88="Пользовательский NOI",N('Исходные данные'!$B$89),AO66))/N('Исходные данные'!$B$80)*(1+N('Исходные данные'!$B$81))),0))</f>
        <v>0</v>
      </c>
      <c r="AQ66">
        <f>-AP66*N('Исходные данные'!$B$73)</f>
        <v>0</v>
      </c>
      <c r="AR66">
        <f>IF(AP66=0,0,-N('Исходные данные'!$B$87)-IF('Исходные данные'!$B$82="Да",IF('Исходные данные'!$B$84="С выручки",AP66,IF('Исходные данные'!$B$84="С прибыли",MAX(0,AP66+AQ66-IF('Исходные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66">
        <f t="shared" ref="AS66:AS97" si="46">AP66+AQ66+AR66</f>
        <v>0</v>
      </c>
      <c r="AT66">
        <f>IF(D66=1,Расчёты!AZ66+AH66+AK66+AN66+AS66,0)</f>
        <v>0</v>
      </c>
      <c r="AU66" t="str">
        <f t="shared" si="36"/>
        <v/>
      </c>
      <c r="AV66">
        <f>IF(OR(D66=0,'Исходные данные'!$B$9="",'Исходные данные'!$B$90=""),0,AT66/(1+'Исходные данные'!$B$90)^((C66-'Исходные данные'!$B$9)/365))</f>
        <v>0</v>
      </c>
      <c r="AW66">
        <f>IF(D66=1,AH66+Расчёты!O66+Расчёты!Q66+Расчёты!S66+Расчёты!U66+Расчёты!W66+Расчёты!X66+AK66+AN66,0)</f>
        <v>0</v>
      </c>
      <c r="AX66">
        <f>IF(AND(D66=1,AU66&gt;=0,AU65&lt;0,MIN($AU$2:AU66)&lt;0),1,0)</f>
        <v>0</v>
      </c>
      <c r="AY66">
        <f>IF(Расчёты!F66=0,0,IF(Расчёты!G66=1,N('Сценарный анализ'!$D$5),IF(Расчёты!G66=2,N('Сценарный анализ'!$D$6),IF(Расчёты!G66=3,N('Сценарный анализ'!$D$7),N('Сценарный анализ'!$D$7)*(1+N('Сценарный анализ'!$D$8))^(Расчёты!G66-3)))))</f>
        <v>0</v>
      </c>
      <c r="AZ66">
        <f>IF(OR(Расчёты!F66=0,N('Исходные данные'!$B$5)=0,AY66=0),0,N('Исходные данные'!$B$5)*AY66*IF(AND(B66&lt;='Исходные данные'!$B$30,Расчёты!C66&gt;='Исходные данные'!$B$30),(Расчёты!C66-'Исходные данные'!$B$30+1)/DAY(Расчёты!C66),1))</f>
        <v>0</v>
      </c>
      <c r="BA66">
        <f>IF(AND(Расчёты!F66&gt;0,Расчёты!F66&lt;=N('Исходные данные'!$B$37)),-AZ66,0)</f>
        <v>0</v>
      </c>
      <c r="BB66">
        <f>IF(OR(Расчёты!F66=0,Расчёты!F66&lt;=N('Исходные данные'!$B$37)),0,-(AZ66+BA66)*N('Сценарный анализ'!$D$9))</f>
        <v>0</v>
      </c>
      <c r="BC66">
        <f t="shared" ref="BC66:BC97" si="47">AZ66+BA66+BB66</f>
        <v>0</v>
      </c>
      <c r="BD66">
        <f>IF('Исходные данные'!$B$51="Да",BC66*N('Исходные данные'!$B$52),0)</f>
        <v>0</v>
      </c>
      <c r="BE66">
        <f t="shared" ref="BE66:BE97" si="48">BC66+BD66</f>
        <v>0</v>
      </c>
      <c r="BF66">
        <f>BC66+(Расчёты!Y66-Расчёты!L66)</f>
        <v>0</v>
      </c>
      <c r="BG66">
        <f t="shared" si="37"/>
        <v>0</v>
      </c>
      <c r="BH66">
        <f>IF('Исходные данные'!$B$51="Да",-MAX(0,BD66+Расчёты!R66+Расчёты!V66-Расчёты!P66-Расчёты!T66-BG66),0)</f>
        <v>0</v>
      </c>
      <c r="BI66">
        <f>IF('Исходные данные'!$B$51="Да",MAX(0,BG66+Расчёты!P66+Расчёты!T66-BD66-Расчёты!R66-Расчёты!V66),0)</f>
        <v>0</v>
      </c>
      <c r="BJ66">
        <f>IF('Исходные данные'!$B$53="Выручка",MAX(0,BC66+(Расчёты!Q66-Расчёты!R66)+(Расчёты!U66-Расчёты!V66)),IF('Исходные данные'!$B$53="Прибыль до налога",MAX(0,BC66+(Расчёты!Q66-Расчёты!R66)+(Расчёты!U66-Расчёты!V66)+N('Исходные данные'!$B$54)*((Расчёты!O66+Расчёты!P66)+(Расчёты!S66+Расчёты!T66)+Расчёты!W66+Расчёты!X66)+IF('Исходные данные'!$B$55="Да",Расчёты!AG66,0)-N('Исходные данные'!$B$56)/12),IF('Исходные данные'!$B$53="Пользовательская база",MAX(0,N('Исходные данные'!$B$57)/12),0)))</f>
        <v>0</v>
      </c>
      <c r="BK66">
        <f>IF(D66=1,-BJ66*N('Исходные данные'!$B$50),0)</f>
        <v>0</v>
      </c>
      <c r="BL66">
        <f t="shared" ref="BL66:BL97" si="49">IF(B66="",0,SUMIFS($BF$2:$BF$194,$B$2:$B$194,"&gt;"&amp;B66,$B$2:$B$194,"&lt;="&amp;EDATE(B66,12)))</f>
        <v>0</v>
      </c>
      <c r="BM66">
        <f>IF(OR(D66&lt;&gt;1,B66="",'Исходные данные'!$B$91="",N('Исходные данные'!$B$80)&lt;=0,'Исходные данные'!$B$88=""),0,IF(AND(YEAR(B66)=YEAR('Исходные данные'!$B$91),MONTH(B66)=MONTH('Исходные данные'!$B$91)),MAX(0,IF('Исходные данные'!$B$88="Последние 12 месяцев",SUMIFS($BF$2:$BF$194,$B$2:$B$194,"&gt;="&amp;EDATE(B66,-11),$B$2:$B$194,"&lt;="&amp;B66),IF('Исходные данные'!$B$88="Пользовательский NOI",N('Исходные данные'!$B$89),BL66))/N('Исходные данные'!$B$80)*(1+N('Исходные данные'!$B$81))),0))</f>
        <v>0</v>
      </c>
      <c r="BN66">
        <f>-BM66*N('Исходные данные'!$B$73)</f>
        <v>0</v>
      </c>
      <c r="BO66">
        <f>IF(BM66=0,0,-N('Исходные данные'!$B$87)-IF('Исходные данные'!$B$82="Да",IF('Исходные данные'!$B$84="С выручки",BM66,IF('Исходные данные'!$B$84="С прибыли",MAX(0,BM66+BN66-IF('Исходные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66">
        <f t="shared" ref="BP66:BP97" si="50">BM66+BN66+BO66</f>
        <v>0</v>
      </c>
      <c r="BQ66">
        <f>IF(D66=1,Расчёты!AZ66+BE66+BH66+BK66+BP66,0)</f>
        <v>0</v>
      </c>
      <c r="BR66" t="str">
        <f t="shared" si="38"/>
        <v/>
      </c>
      <c r="BS66">
        <f>IF(OR(D66=0,'Исходные данные'!$B$9="",'Исходные данные'!$B$90=""),0,BQ66/(1+'Исходные данные'!$B$90)^((C66-'Исходные данные'!$B$9)/365))</f>
        <v>0</v>
      </c>
      <c r="BT66">
        <f>IF(D66=1,BE66+Расчёты!O66+Расчёты!Q66+Расчёты!S66+Расчёты!U66+Расчёты!W66+Расчёты!X66+BH66+BK66,0)</f>
        <v>0</v>
      </c>
      <c r="BU66">
        <f>IF(AND(D66=1,BR66&gt;=0,BR65&lt;0,MIN($BR$2:BR66)&lt;0),1,0)</f>
        <v>0</v>
      </c>
      <c r="BV66">
        <f>Расчёты!AZ66+K66+N66-P66*N('Исходные данные'!$B$50)</f>
        <v>0</v>
      </c>
      <c r="BW66">
        <f t="shared" si="18"/>
        <v>0</v>
      </c>
      <c r="BX66">
        <f>IF(AND(BW66&gt;=0,BW65&lt;0,MIN($BW$2:BW66)&lt;0),1,0)</f>
        <v>0</v>
      </c>
      <c r="BY66">
        <f>Расчёты!AZ66+AH66+AK66-AM66*N('Исходные данные'!$B$50)</f>
        <v>0</v>
      </c>
      <c r="BZ66">
        <f t="shared" si="19"/>
        <v>0</v>
      </c>
      <c r="CA66">
        <f>IF(AND(BZ66&gt;=0,BZ65&lt;0,MIN($BZ$2:BZ66)&lt;0),1,0)</f>
        <v>0</v>
      </c>
      <c r="CB66">
        <f>Расчёты!AZ66+BE66+BH66-BJ66*N('Исходные данные'!$B$50)</f>
        <v>0</v>
      </c>
      <c r="CC66">
        <f t="shared" si="20"/>
        <v>0</v>
      </c>
      <c r="CD66">
        <f>IF(AND(CC66&gt;=0,CC65&lt;0,MIN($CC$2:CC66)&lt;0),1,0)</f>
        <v>0</v>
      </c>
    </row>
    <row r="67" spans="1:82" x14ac:dyDescent="0.2">
      <c r="A67">
        <f>Расчёты!A67</f>
        <v>66</v>
      </c>
      <c r="B67" t="str">
        <f>Расчёты!B67</f>
        <v/>
      </c>
      <c r="C67" t="str">
        <f>Расчёты!D67</f>
        <v/>
      </c>
      <c r="D67">
        <f>Расчёты!E67</f>
        <v>0</v>
      </c>
      <c r="E67">
        <f>IF(Расчёты!F67=0,0,IF(Расчёты!G67=1,N('Сценарный анализ'!$B$5),IF(Расчёты!G67=2,N('Сценарный анализ'!$B$6),IF(Расчёты!G67=3,N('Сценарный анализ'!$B$7),N('Сценарный анализ'!$B$7)*(1+N('Сценарный анализ'!$B$8))^(Расчёты!G67-3)))))</f>
        <v>0</v>
      </c>
      <c r="F67">
        <f>IF(OR(Расчёты!F67=0,N('Исходные данные'!$B$5)=0,E67=0),0,N('Исходные данные'!$B$5)*E67*IF(AND(B67&lt;='Исходные данные'!$B$30,Расчёты!C67&gt;='Исходные данные'!$B$30),(Расчёты!C67-'Исходные данные'!$B$30+1)/DAY(Расчёты!C67),1))</f>
        <v>0</v>
      </c>
      <c r="G67">
        <f>IF(AND(Расчёты!F67&gt;0,Расчёты!F67&lt;=N('Исходные данные'!$B$37)),-F67,0)</f>
        <v>0</v>
      </c>
      <c r="H67">
        <f>IF(OR(Расчёты!F67=0,Расчёты!F67&lt;=N('Исходные данные'!$B$37)),0,-(F67+G67)*N('Сценарный анализ'!$B$9))</f>
        <v>0</v>
      </c>
      <c r="I67">
        <f t="shared" si="39"/>
        <v>0</v>
      </c>
      <c r="J67">
        <f>IF('Исходные данные'!$B$51="Да",I67*N('Исходные данные'!$B$52),0)</f>
        <v>0</v>
      </c>
      <c r="K67">
        <f t="shared" si="40"/>
        <v>0</v>
      </c>
      <c r="L67">
        <f>I67+(Расчёты!Y67-Расчёты!L67)</f>
        <v>0</v>
      </c>
      <c r="M67">
        <f t="shared" ref="M67:M98" si="51">O66</f>
        <v>0</v>
      </c>
      <c r="N67">
        <f>IF('Исходные данные'!$B$51="Да",-MAX(0,J67+Расчёты!R67+Расчёты!V67-Расчёты!P67-Расчёты!T67-M67),0)</f>
        <v>0</v>
      </c>
      <c r="O67">
        <f>IF('Исходные данные'!$B$51="Да",MAX(0,M67+Расчёты!P67+Расчёты!T67-J67-Расчёты!R67-Расчёты!V67),0)</f>
        <v>0</v>
      </c>
      <c r="P67">
        <f>IF('Исходные данные'!$B$53="Выручка",MAX(0,I67+(Расчёты!Q67-Расчёты!R67)+(Расчёты!U67-Расчёты!V67)),IF('Исходные данные'!$B$53="Прибыль до налога",MAX(0,I67+(Расчёты!Q67-Расчёты!R67)+(Расчёты!U67-Расчёты!V67)+N('Исходные данные'!$B$54)*((Расчёты!O67+Расчёты!P67)+(Расчёты!S67+Расчёты!T67)+Расчёты!W67+Расчёты!X67)+IF('Исходные данные'!$B$55="Да",Расчёты!AG67,0)-N('Исходные данные'!$B$56)/12),IF('Исходные данные'!$B$53="Пользовательская база",MAX(0,N('Исходные данные'!$B$57)/12),0)))</f>
        <v>0</v>
      </c>
      <c r="Q67">
        <f>IF(D67=1,-P67*N('Исходные данные'!$B$50),0)</f>
        <v>0</v>
      </c>
      <c r="R67">
        <f t="shared" si="41"/>
        <v>0</v>
      </c>
      <c r="S67">
        <f>IF(OR(D67&lt;&gt;1,B67="",'Исходные данные'!$B$91="",N('Исходные данные'!$B$80)&lt;=0,'Исходные данные'!$B$88=""),0,IF(AND(YEAR(B67)=YEAR('Исходные данные'!$B$91),MONTH(B67)=MONTH('Исходные данные'!$B$91)),MAX(0,IF('Исходные данные'!$B$88="Последние 12 месяцев",SUMIFS($L$2:$L$194,$B$2:$B$194,"&gt;="&amp;EDATE(B67,-11),$B$2:$B$194,"&lt;="&amp;B67),IF('Исходные данные'!$B$88="Пользовательский NOI",N('Исходные данные'!$B$89),R67))/N('Исходные данные'!$B$80)*(1+N('Исходные данные'!$B$81))),0))</f>
        <v>0</v>
      </c>
      <c r="T67">
        <f>-S67*N('Исходные данные'!$B$73)</f>
        <v>0</v>
      </c>
      <c r="U67">
        <f>IF(S67=0,0,-N('Исходные данные'!$B$87)-IF('Исходные данные'!$B$82="Да",IF('Исходные данные'!$B$84="С выручки",S67,IF('Исходные данные'!$B$84="С прибыли",MAX(0,S67+T67-IF('Исходные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67">
        <f t="shared" si="42"/>
        <v>0</v>
      </c>
      <c r="W67">
        <f>IF(D67=1,Расчёты!AZ67+K67+N67+Q67+V67,0)</f>
        <v>0</v>
      </c>
      <c r="X67" t="str">
        <f t="shared" ref="X67:X98" si="52">IF(D67=1,X66+W67,"")</f>
        <v/>
      </c>
      <c r="Y67">
        <f>IF(OR(D67=0,'Исходные данные'!$B$9="",'Исходные данные'!$B$90=""),0,W67/(1+'Исходные данные'!$B$90)^((C67-'Исходные данные'!$B$9)/365))</f>
        <v>0</v>
      </c>
      <c r="Z67">
        <f>IF(D67=1,K67+Расчёты!O67+Расчёты!Q67+Расчёты!S67+Расчёты!U67+Расчёты!W67+Расчёты!X67+N67+Q67,0)</f>
        <v>0</v>
      </c>
      <c r="AA67">
        <f>IF(AND(D67=1,X67&gt;=0,X66&lt;0,MIN($X$2:X67)&lt;0),1,0)</f>
        <v>0</v>
      </c>
      <c r="AB67">
        <f>IF(Расчёты!F67=0,0,IF(Расчёты!G67=1,N('Сценарный анализ'!$C$5),IF(Расчёты!G67=2,N('Сценарный анализ'!$C$6),IF(Расчёты!G67=3,N('Сценарный анализ'!$C$7),N('Сценарный анализ'!$C$7)*(1+N('Сценарный анализ'!$C$8))^(Расчёты!G67-3)))))</f>
        <v>0</v>
      </c>
      <c r="AC67">
        <f>IF(OR(Расчёты!F67=0,N('Исходные данные'!$B$5)=0,AB67=0),0,N('Исходные данные'!$B$5)*AB67*IF(AND(B67&lt;='Исходные данные'!$B$30,Расчёты!C67&gt;='Исходные данные'!$B$30),(Расчёты!C67-'Исходные данные'!$B$30+1)/DAY(Расчёты!C67),1))</f>
        <v>0</v>
      </c>
      <c r="AD67">
        <f>IF(AND(Расчёты!F67&gt;0,Расчёты!F67&lt;=N('Исходные данные'!$B$37)),-AC67,0)</f>
        <v>0</v>
      </c>
      <c r="AE67">
        <f>IF(OR(Расчёты!F67=0,Расчёты!F67&lt;=N('Исходные данные'!$B$37)),0,-(AC67+AD67)*N('Сценарный анализ'!$C$9))</f>
        <v>0</v>
      </c>
      <c r="AF67">
        <f t="shared" si="43"/>
        <v>0</v>
      </c>
      <c r="AG67">
        <f>IF('Исходные данные'!$B$51="Да",AF67*N('Исходные данные'!$B$52),0)</f>
        <v>0</v>
      </c>
      <c r="AH67">
        <f t="shared" si="44"/>
        <v>0</v>
      </c>
      <c r="AI67">
        <f>AF67+(Расчёты!Y67-Расчёты!L67)</f>
        <v>0</v>
      </c>
      <c r="AJ67">
        <f t="shared" ref="AJ67:AJ98" si="53">AL66</f>
        <v>0</v>
      </c>
      <c r="AK67">
        <f>IF('Исходные данные'!$B$51="Да",-MAX(0,AG67+Расчёты!R67+Расчёты!V67-Расчёты!P67-Расчёты!T67-AJ67),0)</f>
        <v>0</v>
      </c>
      <c r="AL67">
        <f>IF('Исходные данные'!$B$51="Да",MAX(0,AJ67+Расчёты!P67+Расчёты!T67-AG67-Расчёты!R67-Расчёты!V67),0)</f>
        <v>0</v>
      </c>
      <c r="AM67">
        <f>IF('Исходные данные'!$B$53="Выручка",MAX(0,AF67+(Расчёты!Q67-Расчёты!R67)+(Расчёты!U67-Расчёты!V67)),IF('Исходные данные'!$B$53="Прибыль до налога",MAX(0,AF67+(Расчёты!Q67-Расчёты!R67)+(Расчёты!U67-Расчёты!V67)+N('Исходные данные'!$B$54)*((Расчёты!O67+Расчёты!P67)+(Расчёты!S67+Расчёты!T67)+Расчёты!W67+Расчёты!X67)+IF('Исходные данные'!$B$55="Да",Расчёты!AG67,0)-N('Исходные данные'!$B$56)/12),IF('Исходные данные'!$B$53="Пользовательская база",MAX(0,N('Исходные данные'!$B$57)/12),0)))</f>
        <v>0</v>
      </c>
      <c r="AN67">
        <f>IF(D67=1,-AM67*N('Исходные данные'!$B$50),0)</f>
        <v>0</v>
      </c>
      <c r="AO67">
        <f t="shared" si="45"/>
        <v>0</v>
      </c>
      <c r="AP67">
        <f>IF(OR(D67&lt;&gt;1,B67="",'Исходные данные'!$B$91="",N('Исходные данные'!$B$80)&lt;=0,'Исходные данные'!$B$88=""),0,IF(AND(YEAR(B67)=YEAR('Исходные данные'!$B$91),MONTH(B67)=MONTH('Исходные данные'!$B$91)),MAX(0,IF('Исходные данные'!$B$88="Последние 12 месяцев",SUMIFS($AI$2:$AI$194,$B$2:$B$194,"&gt;="&amp;EDATE(B67,-11),$B$2:$B$194,"&lt;="&amp;B67),IF('Исходные данные'!$B$88="Пользовательский NOI",N('Исходные данные'!$B$89),AO67))/N('Исходные данные'!$B$80)*(1+N('Исходные данные'!$B$81))),0))</f>
        <v>0</v>
      </c>
      <c r="AQ67">
        <f>-AP67*N('Исходные данные'!$B$73)</f>
        <v>0</v>
      </c>
      <c r="AR67">
        <f>IF(AP67=0,0,-N('Исходные данные'!$B$87)-IF('Исходные данные'!$B$82="Да",IF('Исходные данные'!$B$84="С выручки",AP67,IF('Исходные данные'!$B$84="С прибыли",MAX(0,AP67+AQ67-IF('Исходные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67">
        <f t="shared" si="46"/>
        <v>0</v>
      </c>
      <c r="AT67">
        <f>IF(D67=1,Расчёты!AZ67+AH67+AK67+AN67+AS67,0)</f>
        <v>0</v>
      </c>
      <c r="AU67" t="str">
        <f t="shared" ref="AU67:AU98" si="54">IF(D67=1,AU66+AT67,"")</f>
        <v/>
      </c>
      <c r="AV67">
        <f>IF(OR(D67=0,'Исходные данные'!$B$9="",'Исходные данные'!$B$90=""),0,AT67/(1+'Исходные данные'!$B$90)^((C67-'Исходные данные'!$B$9)/365))</f>
        <v>0</v>
      </c>
      <c r="AW67">
        <f>IF(D67=1,AH67+Расчёты!O67+Расчёты!Q67+Расчёты!S67+Расчёты!U67+Расчёты!W67+Расчёты!X67+AK67+AN67,0)</f>
        <v>0</v>
      </c>
      <c r="AX67">
        <f>IF(AND(D67=1,AU67&gt;=0,AU66&lt;0,MIN($AU$2:AU67)&lt;0),1,0)</f>
        <v>0</v>
      </c>
      <c r="AY67">
        <f>IF(Расчёты!F67=0,0,IF(Расчёты!G67=1,N('Сценарный анализ'!$D$5),IF(Расчёты!G67=2,N('Сценарный анализ'!$D$6),IF(Расчёты!G67=3,N('Сценарный анализ'!$D$7),N('Сценарный анализ'!$D$7)*(1+N('Сценарный анализ'!$D$8))^(Расчёты!G67-3)))))</f>
        <v>0</v>
      </c>
      <c r="AZ67">
        <f>IF(OR(Расчёты!F67=0,N('Исходные данные'!$B$5)=0,AY67=0),0,N('Исходные данные'!$B$5)*AY67*IF(AND(B67&lt;='Исходные данные'!$B$30,Расчёты!C67&gt;='Исходные данные'!$B$30),(Расчёты!C67-'Исходные данные'!$B$30+1)/DAY(Расчёты!C67),1))</f>
        <v>0</v>
      </c>
      <c r="BA67">
        <f>IF(AND(Расчёты!F67&gt;0,Расчёты!F67&lt;=N('Исходные данные'!$B$37)),-AZ67,0)</f>
        <v>0</v>
      </c>
      <c r="BB67">
        <f>IF(OR(Расчёты!F67=0,Расчёты!F67&lt;=N('Исходные данные'!$B$37)),0,-(AZ67+BA67)*N('Сценарный анализ'!$D$9))</f>
        <v>0</v>
      </c>
      <c r="BC67">
        <f t="shared" si="47"/>
        <v>0</v>
      </c>
      <c r="BD67">
        <f>IF('Исходные данные'!$B$51="Да",BC67*N('Исходные данные'!$B$52),0)</f>
        <v>0</v>
      </c>
      <c r="BE67">
        <f t="shared" si="48"/>
        <v>0</v>
      </c>
      <c r="BF67">
        <f>BC67+(Расчёты!Y67-Расчёты!L67)</f>
        <v>0</v>
      </c>
      <c r="BG67">
        <f t="shared" ref="BG67:BG98" si="55">BI66</f>
        <v>0</v>
      </c>
      <c r="BH67">
        <f>IF('Исходные данные'!$B$51="Да",-MAX(0,BD67+Расчёты!R67+Расчёты!V67-Расчёты!P67-Расчёты!T67-BG67),0)</f>
        <v>0</v>
      </c>
      <c r="BI67">
        <f>IF('Исходные данные'!$B$51="Да",MAX(0,BG67+Расчёты!P67+Расчёты!T67-BD67-Расчёты!R67-Расчёты!V67),0)</f>
        <v>0</v>
      </c>
      <c r="BJ67">
        <f>IF('Исходные данные'!$B$53="Выручка",MAX(0,BC67+(Расчёты!Q67-Расчёты!R67)+(Расчёты!U67-Расчёты!V67)),IF('Исходные данные'!$B$53="Прибыль до налога",MAX(0,BC67+(Расчёты!Q67-Расчёты!R67)+(Расчёты!U67-Расчёты!V67)+N('Исходные данные'!$B$54)*((Расчёты!O67+Расчёты!P67)+(Расчёты!S67+Расчёты!T67)+Расчёты!W67+Расчёты!X67)+IF('Исходные данные'!$B$55="Да",Расчёты!AG67,0)-N('Исходные данные'!$B$56)/12),IF('Исходные данные'!$B$53="Пользовательская база",MAX(0,N('Исходные данные'!$B$57)/12),0)))</f>
        <v>0</v>
      </c>
      <c r="BK67">
        <f>IF(D67=1,-BJ67*N('Исходные данные'!$B$50),0)</f>
        <v>0</v>
      </c>
      <c r="BL67">
        <f t="shared" si="49"/>
        <v>0</v>
      </c>
      <c r="BM67">
        <f>IF(OR(D67&lt;&gt;1,B67="",'Исходные данные'!$B$91="",N('Исходные данные'!$B$80)&lt;=0,'Исходные данные'!$B$88=""),0,IF(AND(YEAR(B67)=YEAR('Исходные данные'!$B$91),MONTH(B67)=MONTH('Исходные данные'!$B$91)),MAX(0,IF('Исходные данные'!$B$88="Последние 12 месяцев",SUMIFS($BF$2:$BF$194,$B$2:$B$194,"&gt;="&amp;EDATE(B67,-11),$B$2:$B$194,"&lt;="&amp;B67),IF('Исходные данные'!$B$88="Пользовательский NOI",N('Исходные данные'!$B$89),BL67))/N('Исходные данные'!$B$80)*(1+N('Исходные данные'!$B$81))),0))</f>
        <v>0</v>
      </c>
      <c r="BN67">
        <f>-BM67*N('Исходные данные'!$B$73)</f>
        <v>0</v>
      </c>
      <c r="BO67">
        <f>IF(BM67=0,0,-N('Исходные данные'!$B$87)-IF('Исходные данные'!$B$82="Да",IF('Исходные данные'!$B$84="С выручки",BM67,IF('Исходные данные'!$B$84="С прибыли",MAX(0,BM67+BN67-IF('Исходные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67">
        <f t="shared" si="50"/>
        <v>0</v>
      </c>
      <c r="BQ67">
        <f>IF(D67=1,Расчёты!AZ67+BE67+BH67+BK67+BP67,0)</f>
        <v>0</v>
      </c>
      <c r="BR67" t="str">
        <f t="shared" ref="BR67:BR98" si="56">IF(D67=1,BR66+BQ67,"")</f>
        <v/>
      </c>
      <c r="BS67">
        <f>IF(OR(D67=0,'Исходные данные'!$B$9="",'Исходные данные'!$B$90=""),0,BQ67/(1+'Исходные данные'!$B$90)^((C67-'Исходные данные'!$B$9)/365))</f>
        <v>0</v>
      </c>
      <c r="BT67">
        <f>IF(D67=1,BE67+Расчёты!O67+Расчёты!Q67+Расчёты!S67+Расчёты!U67+Расчёты!W67+Расчёты!X67+BH67+BK67,0)</f>
        <v>0</v>
      </c>
      <c r="BU67">
        <f>IF(AND(D67=1,BR67&gt;=0,BR66&lt;0,MIN($BR$2:BR67)&lt;0),1,0)</f>
        <v>0</v>
      </c>
      <c r="BV67">
        <f>Расчёты!AZ67+K67+N67-P67*N('Исходные данные'!$B$50)</f>
        <v>0</v>
      </c>
      <c r="BW67">
        <f t="shared" si="18"/>
        <v>0</v>
      </c>
      <c r="BX67">
        <f>IF(AND(BW67&gt;=0,BW66&lt;0,MIN($BW$2:BW67)&lt;0),1,0)</f>
        <v>0</v>
      </c>
      <c r="BY67">
        <f>Расчёты!AZ67+AH67+AK67-AM67*N('Исходные данные'!$B$50)</f>
        <v>0</v>
      </c>
      <c r="BZ67">
        <f t="shared" si="19"/>
        <v>0</v>
      </c>
      <c r="CA67">
        <f>IF(AND(BZ67&gt;=0,BZ66&lt;0,MIN($BZ$2:BZ67)&lt;0),1,0)</f>
        <v>0</v>
      </c>
      <c r="CB67">
        <f>Расчёты!AZ67+BE67+BH67-BJ67*N('Исходные данные'!$B$50)</f>
        <v>0</v>
      </c>
      <c r="CC67">
        <f t="shared" si="20"/>
        <v>0</v>
      </c>
      <c r="CD67">
        <f>IF(AND(CC67&gt;=0,CC66&lt;0,MIN($CC$2:CC67)&lt;0),1,0)</f>
        <v>0</v>
      </c>
    </row>
    <row r="68" spans="1:82" x14ac:dyDescent="0.2">
      <c r="A68">
        <f>Расчёты!A68</f>
        <v>67</v>
      </c>
      <c r="B68" t="str">
        <f>Расчёты!B68</f>
        <v/>
      </c>
      <c r="C68" t="str">
        <f>Расчёты!D68</f>
        <v/>
      </c>
      <c r="D68">
        <f>Расчёты!E68</f>
        <v>0</v>
      </c>
      <c r="E68">
        <f>IF(Расчёты!F68=0,0,IF(Расчёты!G68=1,N('Сценарный анализ'!$B$5),IF(Расчёты!G68=2,N('Сценарный анализ'!$B$6),IF(Расчёты!G68=3,N('Сценарный анализ'!$B$7),N('Сценарный анализ'!$B$7)*(1+N('Сценарный анализ'!$B$8))^(Расчёты!G68-3)))))</f>
        <v>0</v>
      </c>
      <c r="F68">
        <f>IF(OR(Расчёты!F68=0,N('Исходные данные'!$B$5)=0,E68=0),0,N('Исходные данные'!$B$5)*E68*IF(AND(B68&lt;='Исходные данные'!$B$30,Расчёты!C68&gt;='Исходные данные'!$B$30),(Расчёты!C68-'Исходные данные'!$B$30+1)/DAY(Расчёты!C68),1))</f>
        <v>0</v>
      </c>
      <c r="G68">
        <f>IF(AND(Расчёты!F68&gt;0,Расчёты!F68&lt;=N('Исходные данные'!$B$37)),-F68,0)</f>
        <v>0</v>
      </c>
      <c r="H68">
        <f>IF(OR(Расчёты!F68=0,Расчёты!F68&lt;=N('Исходные данные'!$B$37)),0,-(F68+G68)*N('Сценарный анализ'!$B$9))</f>
        <v>0</v>
      </c>
      <c r="I68">
        <f t="shared" si="39"/>
        <v>0</v>
      </c>
      <c r="J68">
        <f>IF('Исходные данные'!$B$51="Да",I68*N('Исходные данные'!$B$52),0)</f>
        <v>0</v>
      </c>
      <c r="K68">
        <f t="shared" si="40"/>
        <v>0</v>
      </c>
      <c r="L68">
        <f>I68+(Расчёты!Y68-Расчёты!L68)</f>
        <v>0</v>
      </c>
      <c r="M68">
        <f t="shared" si="51"/>
        <v>0</v>
      </c>
      <c r="N68">
        <f>IF('Исходные данные'!$B$51="Да",-MAX(0,J68+Расчёты!R68+Расчёты!V68-Расчёты!P68-Расчёты!T68-M68),0)</f>
        <v>0</v>
      </c>
      <c r="O68">
        <f>IF('Исходные данные'!$B$51="Да",MAX(0,M68+Расчёты!P68+Расчёты!T68-J68-Расчёты!R68-Расчёты!V68),0)</f>
        <v>0</v>
      </c>
      <c r="P68">
        <f>IF('Исходные данные'!$B$53="Выручка",MAX(0,I68+(Расчёты!Q68-Расчёты!R68)+(Расчёты!U68-Расчёты!V68)),IF('Исходные данные'!$B$53="Прибыль до налога",MAX(0,I68+(Расчёты!Q68-Расчёты!R68)+(Расчёты!U68-Расчёты!V68)+N('Исходные данные'!$B$54)*((Расчёты!O68+Расчёты!P68)+(Расчёты!S68+Расчёты!T68)+Расчёты!W68+Расчёты!X68)+IF('Исходные данные'!$B$55="Да",Расчёты!AG68,0)-N('Исходные данные'!$B$56)/12),IF('Исходные данные'!$B$53="Пользовательская база",MAX(0,N('Исходные данные'!$B$57)/12),0)))</f>
        <v>0</v>
      </c>
      <c r="Q68">
        <f>IF(D68=1,-P68*N('Исходные данные'!$B$50),0)</f>
        <v>0</v>
      </c>
      <c r="R68">
        <f t="shared" si="41"/>
        <v>0</v>
      </c>
      <c r="S68">
        <f>IF(OR(D68&lt;&gt;1,B68="",'Исходные данные'!$B$91="",N('Исходные данные'!$B$80)&lt;=0,'Исходные данные'!$B$88=""),0,IF(AND(YEAR(B68)=YEAR('Исходные данные'!$B$91),MONTH(B68)=MONTH('Исходные данные'!$B$91)),MAX(0,IF('Исходные данные'!$B$88="Последние 12 месяцев",SUMIFS($L$2:$L$194,$B$2:$B$194,"&gt;="&amp;EDATE(B68,-11),$B$2:$B$194,"&lt;="&amp;B68),IF('Исходные данные'!$B$88="Пользовательский NOI",N('Исходные данные'!$B$89),R68))/N('Исходные данные'!$B$80)*(1+N('Исходные данные'!$B$81))),0))</f>
        <v>0</v>
      </c>
      <c r="T68">
        <f>-S68*N('Исходные данные'!$B$73)</f>
        <v>0</v>
      </c>
      <c r="U68">
        <f>IF(S68=0,0,-N('Исходные данные'!$B$87)-IF('Исходные данные'!$B$82="Да",IF('Исходные данные'!$B$84="С выручки",S68,IF('Исходные данные'!$B$84="С прибыли",MAX(0,S68+T68-IF('Исходные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68">
        <f t="shared" si="42"/>
        <v>0</v>
      </c>
      <c r="W68">
        <f>IF(D68=1,Расчёты!AZ68+K68+N68+Q68+V68,0)</f>
        <v>0</v>
      </c>
      <c r="X68" t="str">
        <f t="shared" si="52"/>
        <v/>
      </c>
      <c r="Y68">
        <f>IF(OR(D68=0,'Исходные данные'!$B$9="",'Исходные данные'!$B$90=""),0,W68/(1+'Исходные данные'!$B$90)^((C68-'Исходные данные'!$B$9)/365))</f>
        <v>0</v>
      </c>
      <c r="Z68">
        <f>IF(D68=1,K68+Расчёты!O68+Расчёты!Q68+Расчёты!S68+Расчёты!U68+Расчёты!W68+Расчёты!X68+N68+Q68,0)</f>
        <v>0</v>
      </c>
      <c r="AA68">
        <f>IF(AND(D68=1,X68&gt;=0,X67&lt;0,MIN($X$2:X68)&lt;0),1,0)</f>
        <v>0</v>
      </c>
      <c r="AB68">
        <f>IF(Расчёты!F68=0,0,IF(Расчёты!G68=1,N('Сценарный анализ'!$C$5),IF(Расчёты!G68=2,N('Сценарный анализ'!$C$6),IF(Расчёты!G68=3,N('Сценарный анализ'!$C$7),N('Сценарный анализ'!$C$7)*(1+N('Сценарный анализ'!$C$8))^(Расчёты!G68-3)))))</f>
        <v>0</v>
      </c>
      <c r="AC68">
        <f>IF(OR(Расчёты!F68=0,N('Исходные данные'!$B$5)=0,AB68=0),0,N('Исходные данные'!$B$5)*AB68*IF(AND(B68&lt;='Исходные данные'!$B$30,Расчёты!C68&gt;='Исходные данные'!$B$30),(Расчёты!C68-'Исходные данные'!$B$30+1)/DAY(Расчёты!C68),1))</f>
        <v>0</v>
      </c>
      <c r="AD68">
        <f>IF(AND(Расчёты!F68&gt;0,Расчёты!F68&lt;=N('Исходные данные'!$B$37)),-AC68,0)</f>
        <v>0</v>
      </c>
      <c r="AE68">
        <f>IF(OR(Расчёты!F68=0,Расчёты!F68&lt;=N('Исходные данные'!$B$37)),0,-(AC68+AD68)*N('Сценарный анализ'!$C$9))</f>
        <v>0</v>
      </c>
      <c r="AF68">
        <f t="shared" si="43"/>
        <v>0</v>
      </c>
      <c r="AG68">
        <f>IF('Исходные данные'!$B$51="Да",AF68*N('Исходные данные'!$B$52),0)</f>
        <v>0</v>
      </c>
      <c r="AH68">
        <f t="shared" si="44"/>
        <v>0</v>
      </c>
      <c r="AI68">
        <f>AF68+(Расчёты!Y68-Расчёты!L68)</f>
        <v>0</v>
      </c>
      <c r="AJ68">
        <f t="shared" si="53"/>
        <v>0</v>
      </c>
      <c r="AK68">
        <f>IF('Исходные данные'!$B$51="Да",-MAX(0,AG68+Расчёты!R68+Расчёты!V68-Расчёты!P68-Расчёты!T68-AJ68),0)</f>
        <v>0</v>
      </c>
      <c r="AL68">
        <f>IF('Исходные данные'!$B$51="Да",MAX(0,AJ68+Расчёты!P68+Расчёты!T68-AG68-Расчёты!R68-Расчёты!V68),0)</f>
        <v>0</v>
      </c>
      <c r="AM68">
        <f>IF('Исходные данные'!$B$53="Выручка",MAX(0,AF68+(Расчёты!Q68-Расчёты!R68)+(Расчёты!U68-Расчёты!V68)),IF('Исходные данные'!$B$53="Прибыль до налога",MAX(0,AF68+(Расчёты!Q68-Расчёты!R68)+(Расчёты!U68-Расчёты!V68)+N('Исходные данные'!$B$54)*((Расчёты!O68+Расчёты!P68)+(Расчёты!S68+Расчёты!T68)+Расчёты!W68+Расчёты!X68)+IF('Исходные данные'!$B$55="Да",Расчёты!AG68,0)-N('Исходные данные'!$B$56)/12),IF('Исходные данные'!$B$53="Пользовательская база",MAX(0,N('Исходные данные'!$B$57)/12),0)))</f>
        <v>0</v>
      </c>
      <c r="AN68">
        <f>IF(D68=1,-AM68*N('Исходные данные'!$B$50),0)</f>
        <v>0</v>
      </c>
      <c r="AO68">
        <f t="shared" si="45"/>
        <v>0</v>
      </c>
      <c r="AP68">
        <f>IF(OR(D68&lt;&gt;1,B68="",'Исходные данные'!$B$91="",N('Исходные данные'!$B$80)&lt;=0,'Исходные данные'!$B$88=""),0,IF(AND(YEAR(B68)=YEAR('Исходные данные'!$B$91),MONTH(B68)=MONTH('Исходные данные'!$B$91)),MAX(0,IF('Исходные данные'!$B$88="Последние 12 месяцев",SUMIFS($AI$2:$AI$194,$B$2:$B$194,"&gt;="&amp;EDATE(B68,-11),$B$2:$B$194,"&lt;="&amp;B68),IF('Исходные данные'!$B$88="Пользовательский NOI",N('Исходные данные'!$B$89),AO68))/N('Исходные данные'!$B$80)*(1+N('Исходные данные'!$B$81))),0))</f>
        <v>0</v>
      </c>
      <c r="AQ68">
        <f>-AP68*N('Исходные данные'!$B$73)</f>
        <v>0</v>
      </c>
      <c r="AR68">
        <f>IF(AP68=0,0,-N('Исходные данные'!$B$87)-IF('Исходные данные'!$B$82="Да",IF('Исходные данные'!$B$84="С выручки",AP68,IF('Исходные данные'!$B$84="С прибыли",MAX(0,AP68+AQ68-IF('Исходные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68">
        <f t="shared" si="46"/>
        <v>0</v>
      </c>
      <c r="AT68">
        <f>IF(D68=1,Расчёты!AZ68+AH68+AK68+AN68+AS68,0)</f>
        <v>0</v>
      </c>
      <c r="AU68" t="str">
        <f t="shared" si="54"/>
        <v/>
      </c>
      <c r="AV68">
        <f>IF(OR(D68=0,'Исходные данные'!$B$9="",'Исходные данные'!$B$90=""),0,AT68/(1+'Исходные данные'!$B$90)^((C68-'Исходные данные'!$B$9)/365))</f>
        <v>0</v>
      </c>
      <c r="AW68">
        <f>IF(D68=1,AH68+Расчёты!O68+Расчёты!Q68+Расчёты!S68+Расчёты!U68+Расчёты!W68+Расчёты!X68+AK68+AN68,0)</f>
        <v>0</v>
      </c>
      <c r="AX68">
        <f>IF(AND(D68=1,AU68&gt;=0,AU67&lt;0,MIN($AU$2:AU68)&lt;0),1,0)</f>
        <v>0</v>
      </c>
      <c r="AY68">
        <f>IF(Расчёты!F68=0,0,IF(Расчёты!G68=1,N('Сценарный анализ'!$D$5),IF(Расчёты!G68=2,N('Сценарный анализ'!$D$6),IF(Расчёты!G68=3,N('Сценарный анализ'!$D$7),N('Сценарный анализ'!$D$7)*(1+N('Сценарный анализ'!$D$8))^(Расчёты!G68-3)))))</f>
        <v>0</v>
      </c>
      <c r="AZ68">
        <f>IF(OR(Расчёты!F68=0,N('Исходные данные'!$B$5)=0,AY68=0),0,N('Исходные данные'!$B$5)*AY68*IF(AND(B68&lt;='Исходные данные'!$B$30,Расчёты!C68&gt;='Исходные данные'!$B$30),(Расчёты!C68-'Исходные данные'!$B$30+1)/DAY(Расчёты!C68),1))</f>
        <v>0</v>
      </c>
      <c r="BA68">
        <f>IF(AND(Расчёты!F68&gt;0,Расчёты!F68&lt;=N('Исходные данные'!$B$37)),-AZ68,0)</f>
        <v>0</v>
      </c>
      <c r="BB68">
        <f>IF(OR(Расчёты!F68=0,Расчёты!F68&lt;=N('Исходные данные'!$B$37)),0,-(AZ68+BA68)*N('Сценарный анализ'!$D$9))</f>
        <v>0</v>
      </c>
      <c r="BC68">
        <f t="shared" si="47"/>
        <v>0</v>
      </c>
      <c r="BD68">
        <f>IF('Исходные данные'!$B$51="Да",BC68*N('Исходные данные'!$B$52),0)</f>
        <v>0</v>
      </c>
      <c r="BE68">
        <f t="shared" si="48"/>
        <v>0</v>
      </c>
      <c r="BF68">
        <f>BC68+(Расчёты!Y68-Расчёты!L68)</f>
        <v>0</v>
      </c>
      <c r="BG68">
        <f t="shared" si="55"/>
        <v>0</v>
      </c>
      <c r="BH68">
        <f>IF('Исходные данные'!$B$51="Да",-MAX(0,BD68+Расчёты!R68+Расчёты!V68-Расчёты!P68-Расчёты!T68-BG68),0)</f>
        <v>0</v>
      </c>
      <c r="BI68">
        <f>IF('Исходные данные'!$B$51="Да",MAX(0,BG68+Расчёты!P68+Расчёты!T68-BD68-Расчёты!R68-Расчёты!V68),0)</f>
        <v>0</v>
      </c>
      <c r="BJ68">
        <f>IF('Исходные данные'!$B$53="Выручка",MAX(0,BC68+(Расчёты!Q68-Расчёты!R68)+(Расчёты!U68-Расчёты!V68)),IF('Исходные данные'!$B$53="Прибыль до налога",MAX(0,BC68+(Расчёты!Q68-Расчёты!R68)+(Расчёты!U68-Расчёты!V68)+N('Исходные данные'!$B$54)*((Расчёты!O68+Расчёты!P68)+(Расчёты!S68+Расчёты!T68)+Расчёты!W68+Расчёты!X68)+IF('Исходные данные'!$B$55="Да",Расчёты!AG68,0)-N('Исходные данные'!$B$56)/12),IF('Исходные данные'!$B$53="Пользовательская база",MAX(0,N('Исходные данные'!$B$57)/12),0)))</f>
        <v>0</v>
      </c>
      <c r="BK68">
        <f>IF(D68=1,-BJ68*N('Исходные данные'!$B$50),0)</f>
        <v>0</v>
      </c>
      <c r="BL68">
        <f t="shared" si="49"/>
        <v>0</v>
      </c>
      <c r="BM68">
        <f>IF(OR(D68&lt;&gt;1,B68="",'Исходные данные'!$B$91="",N('Исходные данные'!$B$80)&lt;=0,'Исходные данные'!$B$88=""),0,IF(AND(YEAR(B68)=YEAR('Исходные данные'!$B$91),MONTH(B68)=MONTH('Исходные данные'!$B$91)),MAX(0,IF('Исходные данные'!$B$88="Последние 12 месяцев",SUMIFS($BF$2:$BF$194,$B$2:$B$194,"&gt;="&amp;EDATE(B68,-11),$B$2:$B$194,"&lt;="&amp;B68),IF('Исходные данные'!$B$88="Пользовательский NOI",N('Исходные данные'!$B$89),BL68))/N('Исходные данные'!$B$80)*(1+N('Исходные данные'!$B$81))),0))</f>
        <v>0</v>
      </c>
      <c r="BN68">
        <f>-BM68*N('Исходные данные'!$B$73)</f>
        <v>0</v>
      </c>
      <c r="BO68">
        <f>IF(BM68=0,0,-N('Исходные данные'!$B$87)-IF('Исходные данные'!$B$82="Да",IF('Исходные данные'!$B$84="С выручки",BM68,IF('Исходные данные'!$B$84="С прибыли",MAX(0,BM68+BN68-IF('Исходные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68">
        <f t="shared" si="50"/>
        <v>0</v>
      </c>
      <c r="BQ68">
        <f>IF(D68=1,Расчёты!AZ68+BE68+BH68+BK68+BP68,0)</f>
        <v>0</v>
      </c>
      <c r="BR68" t="str">
        <f t="shared" si="56"/>
        <v/>
      </c>
      <c r="BS68">
        <f>IF(OR(D68=0,'Исходные данные'!$B$9="",'Исходные данные'!$B$90=""),0,BQ68/(1+'Исходные данные'!$B$90)^((C68-'Исходные данные'!$B$9)/365))</f>
        <v>0</v>
      </c>
      <c r="BT68">
        <f>IF(D68=1,BE68+Расчёты!O68+Расчёты!Q68+Расчёты!S68+Расчёты!U68+Расчёты!W68+Расчёты!X68+BH68+BK68,0)</f>
        <v>0</v>
      </c>
      <c r="BU68">
        <f>IF(AND(D68=1,BR68&gt;=0,BR67&lt;0,MIN($BR$2:BR68)&lt;0),1,0)</f>
        <v>0</v>
      </c>
      <c r="BV68">
        <f>Расчёты!AZ68+K68+N68-P68*N('Исходные данные'!$B$50)</f>
        <v>0</v>
      </c>
      <c r="BW68">
        <f t="shared" ref="BW68:BW131" si="57">BW67+BV68</f>
        <v>0</v>
      </c>
      <c r="BX68">
        <f>IF(AND(BW68&gt;=0,BW67&lt;0,MIN($BW$2:BW68)&lt;0),1,0)</f>
        <v>0</v>
      </c>
      <c r="BY68">
        <f>Расчёты!AZ68+AH68+AK68-AM68*N('Исходные данные'!$B$50)</f>
        <v>0</v>
      </c>
      <c r="BZ68">
        <f t="shared" ref="BZ68:BZ131" si="58">BZ67+BY68</f>
        <v>0</v>
      </c>
      <c r="CA68">
        <f>IF(AND(BZ68&gt;=0,BZ67&lt;0,MIN($BZ$2:BZ68)&lt;0),1,0)</f>
        <v>0</v>
      </c>
      <c r="CB68">
        <f>Расчёты!AZ68+BE68+BH68-BJ68*N('Исходные данные'!$B$50)</f>
        <v>0</v>
      </c>
      <c r="CC68">
        <f t="shared" ref="CC68:CC131" si="59">CC67+CB68</f>
        <v>0</v>
      </c>
      <c r="CD68">
        <f>IF(AND(CC68&gt;=0,CC67&lt;0,MIN($CC$2:CC68)&lt;0),1,0)</f>
        <v>0</v>
      </c>
    </row>
    <row r="69" spans="1:82" x14ac:dyDescent="0.2">
      <c r="A69">
        <f>Расчёты!A69</f>
        <v>68</v>
      </c>
      <c r="B69" t="str">
        <f>Расчёты!B69</f>
        <v/>
      </c>
      <c r="C69" t="str">
        <f>Расчёты!D69</f>
        <v/>
      </c>
      <c r="D69">
        <f>Расчёты!E69</f>
        <v>0</v>
      </c>
      <c r="E69">
        <f>IF(Расчёты!F69=0,0,IF(Расчёты!G69=1,N('Сценарный анализ'!$B$5),IF(Расчёты!G69=2,N('Сценарный анализ'!$B$6),IF(Расчёты!G69=3,N('Сценарный анализ'!$B$7),N('Сценарный анализ'!$B$7)*(1+N('Сценарный анализ'!$B$8))^(Расчёты!G69-3)))))</f>
        <v>0</v>
      </c>
      <c r="F69">
        <f>IF(OR(Расчёты!F69=0,N('Исходные данные'!$B$5)=0,E69=0),0,N('Исходные данные'!$B$5)*E69*IF(AND(B69&lt;='Исходные данные'!$B$30,Расчёты!C69&gt;='Исходные данные'!$B$30),(Расчёты!C69-'Исходные данные'!$B$30+1)/DAY(Расчёты!C69),1))</f>
        <v>0</v>
      </c>
      <c r="G69">
        <f>IF(AND(Расчёты!F69&gt;0,Расчёты!F69&lt;=N('Исходные данные'!$B$37)),-F69,0)</f>
        <v>0</v>
      </c>
      <c r="H69">
        <f>IF(OR(Расчёты!F69=0,Расчёты!F69&lt;=N('Исходные данные'!$B$37)),0,-(F69+G69)*N('Сценарный анализ'!$B$9))</f>
        <v>0</v>
      </c>
      <c r="I69">
        <f t="shared" si="39"/>
        <v>0</v>
      </c>
      <c r="J69">
        <f>IF('Исходные данные'!$B$51="Да",I69*N('Исходные данные'!$B$52),0)</f>
        <v>0</v>
      </c>
      <c r="K69">
        <f t="shared" si="40"/>
        <v>0</v>
      </c>
      <c r="L69">
        <f>I69+(Расчёты!Y69-Расчёты!L69)</f>
        <v>0</v>
      </c>
      <c r="M69">
        <f t="shared" si="51"/>
        <v>0</v>
      </c>
      <c r="N69">
        <f>IF('Исходные данные'!$B$51="Да",-MAX(0,J69+Расчёты!R69+Расчёты!V69-Расчёты!P69-Расчёты!T69-M69),0)</f>
        <v>0</v>
      </c>
      <c r="O69">
        <f>IF('Исходные данные'!$B$51="Да",MAX(0,M69+Расчёты!P69+Расчёты!T69-J69-Расчёты!R69-Расчёты!V69),0)</f>
        <v>0</v>
      </c>
      <c r="P69">
        <f>IF('Исходные данные'!$B$53="Выручка",MAX(0,I69+(Расчёты!Q69-Расчёты!R69)+(Расчёты!U69-Расчёты!V69)),IF('Исходные данные'!$B$53="Прибыль до налога",MAX(0,I69+(Расчёты!Q69-Расчёты!R69)+(Расчёты!U69-Расчёты!V69)+N('Исходные данные'!$B$54)*((Расчёты!O69+Расчёты!P69)+(Расчёты!S69+Расчёты!T69)+Расчёты!W69+Расчёты!X69)+IF('Исходные данные'!$B$55="Да",Расчёты!AG69,0)-N('Исходные данные'!$B$56)/12),IF('Исходные данные'!$B$53="Пользовательская база",MAX(0,N('Исходные данные'!$B$57)/12),0)))</f>
        <v>0</v>
      </c>
      <c r="Q69">
        <f>IF(D69=1,-P69*N('Исходные данные'!$B$50),0)</f>
        <v>0</v>
      </c>
      <c r="R69">
        <f t="shared" si="41"/>
        <v>0</v>
      </c>
      <c r="S69">
        <f>IF(OR(D69&lt;&gt;1,B69="",'Исходные данные'!$B$91="",N('Исходные данные'!$B$80)&lt;=0,'Исходные данные'!$B$88=""),0,IF(AND(YEAR(B69)=YEAR('Исходные данные'!$B$91),MONTH(B69)=MONTH('Исходные данные'!$B$91)),MAX(0,IF('Исходные данные'!$B$88="Последние 12 месяцев",SUMIFS($L$2:$L$194,$B$2:$B$194,"&gt;="&amp;EDATE(B69,-11),$B$2:$B$194,"&lt;="&amp;B69),IF('Исходные данные'!$B$88="Пользовательский NOI",N('Исходные данные'!$B$89),R69))/N('Исходные данные'!$B$80)*(1+N('Исходные данные'!$B$81))),0))</f>
        <v>0</v>
      </c>
      <c r="T69">
        <f>-S69*N('Исходные данные'!$B$73)</f>
        <v>0</v>
      </c>
      <c r="U69">
        <f>IF(S69=0,0,-N('Исходные данные'!$B$87)-IF('Исходные данные'!$B$82="Да",IF('Исходные данные'!$B$84="С выручки",S69,IF('Исходные данные'!$B$84="С прибыли",MAX(0,S69+T69-IF('Исходные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69">
        <f t="shared" si="42"/>
        <v>0</v>
      </c>
      <c r="W69">
        <f>IF(D69=1,Расчёты!AZ69+K69+N69+Q69+V69,0)</f>
        <v>0</v>
      </c>
      <c r="X69" t="str">
        <f t="shared" si="52"/>
        <v/>
      </c>
      <c r="Y69">
        <f>IF(OR(D69=0,'Исходные данные'!$B$9="",'Исходные данные'!$B$90=""),0,W69/(1+'Исходные данные'!$B$90)^((C69-'Исходные данные'!$B$9)/365))</f>
        <v>0</v>
      </c>
      <c r="Z69">
        <f>IF(D69=1,K69+Расчёты!O69+Расчёты!Q69+Расчёты!S69+Расчёты!U69+Расчёты!W69+Расчёты!X69+N69+Q69,0)</f>
        <v>0</v>
      </c>
      <c r="AA69">
        <f>IF(AND(D69=1,X69&gt;=0,X68&lt;0,MIN($X$2:X69)&lt;0),1,0)</f>
        <v>0</v>
      </c>
      <c r="AB69">
        <f>IF(Расчёты!F69=0,0,IF(Расчёты!G69=1,N('Сценарный анализ'!$C$5),IF(Расчёты!G69=2,N('Сценарный анализ'!$C$6),IF(Расчёты!G69=3,N('Сценарный анализ'!$C$7),N('Сценарный анализ'!$C$7)*(1+N('Сценарный анализ'!$C$8))^(Расчёты!G69-3)))))</f>
        <v>0</v>
      </c>
      <c r="AC69">
        <f>IF(OR(Расчёты!F69=0,N('Исходные данные'!$B$5)=0,AB69=0),0,N('Исходные данные'!$B$5)*AB69*IF(AND(B69&lt;='Исходные данные'!$B$30,Расчёты!C69&gt;='Исходные данные'!$B$30),(Расчёты!C69-'Исходные данные'!$B$30+1)/DAY(Расчёты!C69),1))</f>
        <v>0</v>
      </c>
      <c r="AD69">
        <f>IF(AND(Расчёты!F69&gt;0,Расчёты!F69&lt;=N('Исходные данные'!$B$37)),-AC69,0)</f>
        <v>0</v>
      </c>
      <c r="AE69">
        <f>IF(OR(Расчёты!F69=0,Расчёты!F69&lt;=N('Исходные данные'!$B$37)),0,-(AC69+AD69)*N('Сценарный анализ'!$C$9))</f>
        <v>0</v>
      </c>
      <c r="AF69">
        <f t="shared" si="43"/>
        <v>0</v>
      </c>
      <c r="AG69">
        <f>IF('Исходные данные'!$B$51="Да",AF69*N('Исходные данные'!$B$52),0)</f>
        <v>0</v>
      </c>
      <c r="AH69">
        <f t="shared" si="44"/>
        <v>0</v>
      </c>
      <c r="AI69">
        <f>AF69+(Расчёты!Y69-Расчёты!L69)</f>
        <v>0</v>
      </c>
      <c r="AJ69">
        <f t="shared" si="53"/>
        <v>0</v>
      </c>
      <c r="AK69">
        <f>IF('Исходные данные'!$B$51="Да",-MAX(0,AG69+Расчёты!R69+Расчёты!V69-Расчёты!P69-Расчёты!T69-AJ69),0)</f>
        <v>0</v>
      </c>
      <c r="AL69">
        <f>IF('Исходные данные'!$B$51="Да",MAX(0,AJ69+Расчёты!P69+Расчёты!T69-AG69-Расчёты!R69-Расчёты!V69),0)</f>
        <v>0</v>
      </c>
      <c r="AM69">
        <f>IF('Исходные данные'!$B$53="Выручка",MAX(0,AF69+(Расчёты!Q69-Расчёты!R69)+(Расчёты!U69-Расчёты!V69)),IF('Исходные данные'!$B$53="Прибыль до налога",MAX(0,AF69+(Расчёты!Q69-Расчёты!R69)+(Расчёты!U69-Расчёты!V69)+N('Исходные данные'!$B$54)*((Расчёты!O69+Расчёты!P69)+(Расчёты!S69+Расчёты!T69)+Расчёты!W69+Расчёты!X69)+IF('Исходные данные'!$B$55="Да",Расчёты!AG69,0)-N('Исходные данные'!$B$56)/12),IF('Исходные данные'!$B$53="Пользовательская база",MAX(0,N('Исходные данные'!$B$57)/12),0)))</f>
        <v>0</v>
      </c>
      <c r="AN69">
        <f>IF(D69=1,-AM69*N('Исходные данные'!$B$50),0)</f>
        <v>0</v>
      </c>
      <c r="AO69">
        <f t="shared" si="45"/>
        <v>0</v>
      </c>
      <c r="AP69">
        <f>IF(OR(D69&lt;&gt;1,B69="",'Исходные данные'!$B$91="",N('Исходные данные'!$B$80)&lt;=0,'Исходные данные'!$B$88=""),0,IF(AND(YEAR(B69)=YEAR('Исходные данные'!$B$91),MONTH(B69)=MONTH('Исходные данные'!$B$91)),MAX(0,IF('Исходные данные'!$B$88="Последние 12 месяцев",SUMIFS($AI$2:$AI$194,$B$2:$B$194,"&gt;="&amp;EDATE(B69,-11),$B$2:$B$194,"&lt;="&amp;B69),IF('Исходные данные'!$B$88="Пользовательский NOI",N('Исходные данные'!$B$89),AO69))/N('Исходные данные'!$B$80)*(1+N('Исходные данные'!$B$81))),0))</f>
        <v>0</v>
      </c>
      <c r="AQ69">
        <f>-AP69*N('Исходные данные'!$B$73)</f>
        <v>0</v>
      </c>
      <c r="AR69">
        <f>IF(AP69=0,0,-N('Исходные данные'!$B$87)-IF('Исходные данные'!$B$82="Да",IF('Исходные данные'!$B$84="С выручки",AP69,IF('Исходные данные'!$B$84="С прибыли",MAX(0,AP69+AQ69-IF('Исходные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69">
        <f t="shared" si="46"/>
        <v>0</v>
      </c>
      <c r="AT69">
        <f>IF(D69=1,Расчёты!AZ69+AH69+AK69+AN69+AS69,0)</f>
        <v>0</v>
      </c>
      <c r="AU69" t="str">
        <f t="shared" si="54"/>
        <v/>
      </c>
      <c r="AV69">
        <f>IF(OR(D69=0,'Исходные данные'!$B$9="",'Исходные данные'!$B$90=""),0,AT69/(1+'Исходные данные'!$B$90)^((C69-'Исходные данные'!$B$9)/365))</f>
        <v>0</v>
      </c>
      <c r="AW69">
        <f>IF(D69=1,AH69+Расчёты!O69+Расчёты!Q69+Расчёты!S69+Расчёты!U69+Расчёты!W69+Расчёты!X69+AK69+AN69,0)</f>
        <v>0</v>
      </c>
      <c r="AX69">
        <f>IF(AND(D69=1,AU69&gt;=0,AU68&lt;0,MIN($AU$2:AU69)&lt;0),1,0)</f>
        <v>0</v>
      </c>
      <c r="AY69">
        <f>IF(Расчёты!F69=0,0,IF(Расчёты!G69=1,N('Сценарный анализ'!$D$5),IF(Расчёты!G69=2,N('Сценарный анализ'!$D$6),IF(Расчёты!G69=3,N('Сценарный анализ'!$D$7),N('Сценарный анализ'!$D$7)*(1+N('Сценарный анализ'!$D$8))^(Расчёты!G69-3)))))</f>
        <v>0</v>
      </c>
      <c r="AZ69">
        <f>IF(OR(Расчёты!F69=0,N('Исходные данные'!$B$5)=0,AY69=0),0,N('Исходные данные'!$B$5)*AY69*IF(AND(B69&lt;='Исходные данные'!$B$30,Расчёты!C69&gt;='Исходные данные'!$B$30),(Расчёты!C69-'Исходные данные'!$B$30+1)/DAY(Расчёты!C69),1))</f>
        <v>0</v>
      </c>
      <c r="BA69">
        <f>IF(AND(Расчёты!F69&gt;0,Расчёты!F69&lt;=N('Исходные данные'!$B$37)),-AZ69,0)</f>
        <v>0</v>
      </c>
      <c r="BB69">
        <f>IF(OR(Расчёты!F69=0,Расчёты!F69&lt;=N('Исходные данные'!$B$37)),0,-(AZ69+BA69)*N('Сценарный анализ'!$D$9))</f>
        <v>0</v>
      </c>
      <c r="BC69">
        <f t="shared" si="47"/>
        <v>0</v>
      </c>
      <c r="BD69">
        <f>IF('Исходные данные'!$B$51="Да",BC69*N('Исходные данные'!$B$52),0)</f>
        <v>0</v>
      </c>
      <c r="BE69">
        <f t="shared" si="48"/>
        <v>0</v>
      </c>
      <c r="BF69">
        <f>BC69+(Расчёты!Y69-Расчёты!L69)</f>
        <v>0</v>
      </c>
      <c r="BG69">
        <f t="shared" si="55"/>
        <v>0</v>
      </c>
      <c r="BH69">
        <f>IF('Исходные данные'!$B$51="Да",-MAX(0,BD69+Расчёты!R69+Расчёты!V69-Расчёты!P69-Расчёты!T69-BG69),0)</f>
        <v>0</v>
      </c>
      <c r="BI69">
        <f>IF('Исходные данные'!$B$51="Да",MAX(0,BG69+Расчёты!P69+Расчёты!T69-BD69-Расчёты!R69-Расчёты!V69),0)</f>
        <v>0</v>
      </c>
      <c r="BJ69">
        <f>IF('Исходные данные'!$B$53="Выручка",MAX(0,BC69+(Расчёты!Q69-Расчёты!R69)+(Расчёты!U69-Расчёты!V69)),IF('Исходные данные'!$B$53="Прибыль до налога",MAX(0,BC69+(Расчёты!Q69-Расчёты!R69)+(Расчёты!U69-Расчёты!V69)+N('Исходные данные'!$B$54)*((Расчёты!O69+Расчёты!P69)+(Расчёты!S69+Расчёты!T69)+Расчёты!W69+Расчёты!X69)+IF('Исходные данные'!$B$55="Да",Расчёты!AG69,0)-N('Исходные данные'!$B$56)/12),IF('Исходные данные'!$B$53="Пользовательская база",MAX(0,N('Исходные данные'!$B$57)/12),0)))</f>
        <v>0</v>
      </c>
      <c r="BK69">
        <f>IF(D69=1,-BJ69*N('Исходные данные'!$B$50),0)</f>
        <v>0</v>
      </c>
      <c r="BL69">
        <f t="shared" si="49"/>
        <v>0</v>
      </c>
      <c r="BM69">
        <f>IF(OR(D69&lt;&gt;1,B69="",'Исходные данные'!$B$91="",N('Исходные данные'!$B$80)&lt;=0,'Исходные данные'!$B$88=""),0,IF(AND(YEAR(B69)=YEAR('Исходные данные'!$B$91),MONTH(B69)=MONTH('Исходные данные'!$B$91)),MAX(0,IF('Исходные данные'!$B$88="Последние 12 месяцев",SUMIFS($BF$2:$BF$194,$B$2:$B$194,"&gt;="&amp;EDATE(B69,-11),$B$2:$B$194,"&lt;="&amp;B69),IF('Исходные данные'!$B$88="Пользовательский NOI",N('Исходные данные'!$B$89),BL69))/N('Исходные данные'!$B$80)*(1+N('Исходные данные'!$B$81))),0))</f>
        <v>0</v>
      </c>
      <c r="BN69">
        <f>-BM69*N('Исходные данные'!$B$73)</f>
        <v>0</v>
      </c>
      <c r="BO69">
        <f>IF(BM69=0,0,-N('Исходные данные'!$B$87)-IF('Исходные данные'!$B$82="Да",IF('Исходные данные'!$B$84="С выручки",BM69,IF('Исходные данные'!$B$84="С прибыли",MAX(0,BM69+BN69-IF('Исходные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69">
        <f t="shared" si="50"/>
        <v>0</v>
      </c>
      <c r="BQ69">
        <f>IF(D69=1,Расчёты!AZ69+BE69+BH69+BK69+BP69,0)</f>
        <v>0</v>
      </c>
      <c r="BR69" t="str">
        <f t="shared" si="56"/>
        <v/>
      </c>
      <c r="BS69">
        <f>IF(OR(D69=0,'Исходные данные'!$B$9="",'Исходные данные'!$B$90=""),0,BQ69/(1+'Исходные данные'!$B$90)^((C69-'Исходные данные'!$B$9)/365))</f>
        <v>0</v>
      </c>
      <c r="BT69">
        <f>IF(D69=1,BE69+Расчёты!O69+Расчёты!Q69+Расчёты!S69+Расчёты!U69+Расчёты!W69+Расчёты!X69+BH69+BK69,0)</f>
        <v>0</v>
      </c>
      <c r="BU69">
        <f>IF(AND(D69=1,BR69&gt;=0,BR68&lt;0,MIN($BR$2:BR69)&lt;0),1,0)</f>
        <v>0</v>
      </c>
      <c r="BV69">
        <f>Расчёты!AZ69+K69+N69-P69*N('Исходные данные'!$B$50)</f>
        <v>0</v>
      </c>
      <c r="BW69">
        <f t="shared" si="57"/>
        <v>0</v>
      </c>
      <c r="BX69">
        <f>IF(AND(BW69&gt;=0,BW68&lt;0,MIN($BW$2:BW69)&lt;0),1,0)</f>
        <v>0</v>
      </c>
      <c r="BY69">
        <f>Расчёты!AZ69+AH69+AK69-AM69*N('Исходные данные'!$B$50)</f>
        <v>0</v>
      </c>
      <c r="BZ69">
        <f t="shared" si="58"/>
        <v>0</v>
      </c>
      <c r="CA69">
        <f>IF(AND(BZ69&gt;=0,BZ68&lt;0,MIN($BZ$2:BZ69)&lt;0),1,0)</f>
        <v>0</v>
      </c>
      <c r="CB69">
        <f>Расчёты!AZ69+BE69+BH69-BJ69*N('Исходные данные'!$B$50)</f>
        <v>0</v>
      </c>
      <c r="CC69">
        <f t="shared" si="59"/>
        <v>0</v>
      </c>
      <c r="CD69">
        <f>IF(AND(CC69&gt;=0,CC68&lt;0,MIN($CC$2:CC69)&lt;0),1,0)</f>
        <v>0</v>
      </c>
    </row>
    <row r="70" spans="1:82" x14ac:dyDescent="0.2">
      <c r="A70">
        <f>Расчёты!A70</f>
        <v>69</v>
      </c>
      <c r="B70" t="str">
        <f>Расчёты!B70</f>
        <v/>
      </c>
      <c r="C70" t="str">
        <f>Расчёты!D70</f>
        <v/>
      </c>
      <c r="D70">
        <f>Расчёты!E70</f>
        <v>0</v>
      </c>
      <c r="E70">
        <f>IF(Расчёты!F70=0,0,IF(Расчёты!G70=1,N('Сценарный анализ'!$B$5),IF(Расчёты!G70=2,N('Сценарный анализ'!$B$6),IF(Расчёты!G70=3,N('Сценарный анализ'!$B$7),N('Сценарный анализ'!$B$7)*(1+N('Сценарный анализ'!$B$8))^(Расчёты!G70-3)))))</f>
        <v>0</v>
      </c>
      <c r="F70">
        <f>IF(OR(Расчёты!F70=0,N('Исходные данные'!$B$5)=0,E70=0),0,N('Исходные данные'!$B$5)*E70*IF(AND(B70&lt;='Исходные данные'!$B$30,Расчёты!C70&gt;='Исходные данные'!$B$30),(Расчёты!C70-'Исходные данные'!$B$30+1)/DAY(Расчёты!C70),1))</f>
        <v>0</v>
      </c>
      <c r="G70">
        <f>IF(AND(Расчёты!F70&gt;0,Расчёты!F70&lt;=N('Исходные данные'!$B$37)),-F70,0)</f>
        <v>0</v>
      </c>
      <c r="H70">
        <f>IF(OR(Расчёты!F70=0,Расчёты!F70&lt;=N('Исходные данные'!$B$37)),0,-(F70+G70)*N('Сценарный анализ'!$B$9))</f>
        <v>0</v>
      </c>
      <c r="I70">
        <f t="shared" si="39"/>
        <v>0</v>
      </c>
      <c r="J70">
        <f>IF('Исходные данные'!$B$51="Да",I70*N('Исходные данные'!$B$52),0)</f>
        <v>0</v>
      </c>
      <c r="K70">
        <f t="shared" si="40"/>
        <v>0</v>
      </c>
      <c r="L70">
        <f>I70+(Расчёты!Y70-Расчёты!L70)</f>
        <v>0</v>
      </c>
      <c r="M70">
        <f t="shared" si="51"/>
        <v>0</v>
      </c>
      <c r="N70">
        <f>IF('Исходные данные'!$B$51="Да",-MAX(0,J70+Расчёты!R70+Расчёты!V70-Расчёты!P70-Расчёты!T70-M70),0)</f>
        <v>0</v>
      </c>
      <c r="O70">
        <f>IF('Исходные данные'!$B$51="Да",MAX(0,M70+Расчёты!P70+Расчёты!T70-J70-Расчёты!R70-Расчёты!V70),0)</f>
        <v>0</v>
      </c>
      <c r="P70">
        <f>IF('Исходные данные'!$B$53="Выручка",MAX(0,I70+(Расчёты!Q70-Расчёты!R70)+(Расчёты!U70-Расчёты!V70)),IF('Исходные данные'!$B$53="Прибыль до налога",MAX(0,I70+(Расчёты!Q70-Расчёты!R70)+(Расчёты!U70-Расчёты!V70)+N('Исходные данные'!$B$54)*((Расчёты!O70+Расчёты!P70)+(Расчёты!S70+Расчёты!T70)+Расчёты!W70+Расчёты!X70)+IF('Исходные данные'!$B$55="Да",Расчёты!AG70,0)-N('Исходные данные'!$B$56)/12),IF('Исходные данные'!$B$53="Пользовательская база",MAX(0,N('Исходные данные'!$B$57)/12),0)))</f>
        <v>0</v>
      </c>
      <c r="Q70">
        <f>IF(D70=1,-P70*N('Исходные данные'!$B$50),0)</f>
        <v>0</v>
      </c>
      <c r="R70">
        <f t="shared" si="41"/>
        <v>0</v>
      </c>
      <c r="S70">
        <f>IF(OR(D70&lt;&gt;1,B70="",'Исходные данные'!$B$91="",N('Исходные данные'!$B$80)&lt;=0,'Исходные данные'!$B$88=""),0,IF(AND(YEAR(B70)=YEAR('Исходные данные'!$B$91),MONTH(B70)=MONTH('Исходные данные'!$B$91)),MAX(0,IF('Исходные данные'!$B$88="Последние 12 месяцев",SUMIFS($L$2:$L$194,$B$2:$B$194,"&gt;="&amp;EDATE(B70,-11),$B$2:$B$194,"&lt;="&amp;B70),IF('Исходные данные'!$B$88="Пользовательский NOI",N('Исходные данные'!$B$89),R70))/N('Исходные данные'!$B$80)*(1+N('Исходные данные'!$B$81))),0))</f>
        <v>0</v>
      </c>
      <c r="T70">
        <f>-S70*N('Исходные данные'!$B$73)</f>
        <v>0</v>
      </c>
      <c r="U70">
        <f>IF(S70=0,0,-N('Исходные данные'!$B$87)-IF('Исходные данные'!$B$82="Да",IF('Исходные данные'!$B$84="С выручки",S70,IF('Исходные данные'!$B$84="С прибыли",MAX(0,S70+T70-IF('Исходные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70">
        <f t="shared" si="42"/>
        <v>0</v>
      </c>
      <c r="W70">
        <f>IF(D70=1,Расчёты!AZ70+K70+N70+Q70+V70,0)</f>
        <v>0</v>
      </c>
      <c r="X70" t="str">
        <f t="shared" si="52"/>
        <v/>
      </c>
      <c r="Y70">
        <f>IF(OR(D70=0,'Исходные данные'!$B$9="",'Исходные данные'!$B$90=""),0,W70/(1+'Исходные данные'!$B$90)^((C70-'Исходные данные'!$B$9)/365))</f>
        <v>0</v>
      </c>
      <c r="Z70">
        <f>IF(D70=1,K70+Расчёты!O70+Расчёты!Q70+Расчёты!S70+Расчёты!U70+Расчёты!W70+Расчёты!X70+N70+Q70,0)</f>
        <v>0</v>
      </c>
      <c r="AA70">
        <f>IF(AND(D70=1,X70&gt;=0,X69&lt;0,MIN($X$2:X70)&lt;0),1,0)</f>
        <v>0</v>
      </c>
      <c r="AB70">
        <f>IF(Расчёты!F70=0,0,IF(Расчёты!G70=1,N('Сценарный анализ'!$C$5),IF(Расчёты!G70=2,N('Сценарный анализ'!$C$6),IF(Расчёты!G70=3,N('Сценарный анализ'!$C$7),N('Сценарный анализ'!$C$7)*(1+N('Сценарный анализ'!$C$8))^(Расчёты!G70-3)))))</f>
        <v>0</v>
      </c>
      <c r="AC70">
        <f>IF(OR(Расчёты!F70=0,N('Исходные данные'!$B$5)=0,AB70=0),0,N('Исходные данные'!$B$5)*AB70*IF(AND(B70&lt;='Исходные данные'!$B$30,Расчёты!C70&gt;='Исходные данные'!$B$30),(Расчёты!C70-'Исходные данные'!$B$30+1)/DAY(Расчёты!C70),1))</f>
        <v>0</v>
      </c>
      <c r="AD70">
        <f>IF(AND(Расчёты!F70&gt;0,Расчёты!F70&lt;=N('Исходные данные'!$B$37)),-AC70,0)</f>
        <v>0</v>
      </c>
      <c r="AE70">
        <f>IF(OR(Расчёты!F70=0,Расчёты!F70&lt;=N('Исходные данные'!$B$37)),0,-(AC70+AD70)*N('Сценарный анализ'!$C$9))</f>
        <v>0</v>
      </c>
      <c r="AF70">
        <f t="shared" si="43"/>
        <v>0</v>
      </c>
      <c r="AG70">
        <f>IF('Исходные данные'!$B$51="Да",AF70*N('Исходные данные'!$B$52),0)</f>
        <v>0</v>
      </c>
      <c r="AH70">
        <f t="shared" si="44"/>
        <v>0</v>
      </c>
      <c r="AI70">
        <f>AF70+(Расчёты!Y70-Расчёты!L70)</f>
        <v>0</v>
      </c>
      <c r="AJ70">
        <f t="shared" si="53"/>
        <v>0</v>
      </c>
      <c r="AK70">
        <f>IF('Исходные данные'!$B$51="Да",-MAX(0,AG70+Расчёты!R70+Расчёты!V70-Расчёты!P70-Расчёты!T70-AJ70),0)</f>
        <v>0</v>
      </c>
      <c r="AL70">
        <f>IF('Исходные данные'!$B$51="Да",MAX(0,AJ70+Расчёты!P70+Расчёты!T70-AG70-Расчёты!R70-Расчёты!V70),0)</f>
        <v>0</v>
      </c>
      <c r="AM70">
        <f>IF('Исходные данные'!$B$53="Выручка",MAX(0,AF70+(Расчёты!Q70-Расчёты!R70)+(Расчёты!U70-Расчёты!V70)),IF('Исходные данные'!$B$53="Прибыль до налога",MAX(0,AF70+(Расчёты!Q70-Расчёты!R70)+(Расчёты!U70-Расчёты!V70)+N('Исходные данные'!$B$54)*((Расчёты!O70+Расчёты!P70)+(Расчёты!S70+Расчёты!T70)+Расчёты!W70+Расчёты!X70)+IF('Исходные данные'!$B$55="Да",Расчёты!AG70,0)-N('Исходные данные'!$B$56)/12),IF('Исходные данные'!$B$53="Пользовательская база",MAX(0,N('Исходные данные'!$B$57)/12),0)))</f>
        <v>0</v>
      </c>
      <c r="AN70">
        <f>IF(D70=1,-AM70*N('Исходные данные'!$B$50),0)</f>
        <v>0</v>
      </c>
      <c r="AO70">
        <f t="shared" si="45"/>
        <v>0</v>
      </c>
      <c r="AP70">
        <f>IF(OR(D70&lt;&gt;1,B70="",'Исходные данные'!$B$91="",N('Исходные данные'!$B$80)&lt;=0,'Исходные данные'!$B$88=""),0,IF(AND(YEAR(B70)=YEAR('Исходные данные'!$B$91),MONTH(B70)=MONTH('Исходные данные'!$B$91)),MAX(0,IF('Исходные данные'!$B$88="Последние 12 месяцев",SUMIFS($AI$2:$AI$194,$B$2:$B$194,"&gt;="&amp;EDATE(B70,-11),$B$2:$B$194,"&lt;="&amp;B70),IF('Исходные данные'!$B$88="Пользовательский NOI",N('Исходные данные'!$B$89),AO70))/N('Исходные данные'!$B$80)*(1+N('Исходные данные'!$B$81))),0))</f>
        <v>0</v>
      </c>
      <c r="AQ70">
        <f>-AP70*N('Исходные данные'!$B$73)</f>
        <v>0</v>
      </c>
      <c r="AR70">
        <f>IF(AP70=0,0,-N('Исходные данные'!$B$87)-IF('Исходные данные'!$B$82="Да",IF('Исходные данные'!$B$84="С выручки",AP70,IF('Исходные данные'!$B$84="С прибыли",MAX(0,AP70+AQ70-IF('Исходные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70">
        <f t="shared" si="46"/>
        <v>0</v>
      </c>
      <c r="AT70">
        <f>IF(D70=1,Расчёты!AZ70+AH70+AK70+AN70+AS70,0)</f>
        <v>0</v>
      </c>
      <c r="AU70" t="str">
        <f t="shared" si="54"/>
        <v/>
      </c>
      <c r="AV70">
        <f>IF(OR(D70=0,'Исходные данные'!$B$9="",'Исходные данные'!$B$90=""),0,AT70/(1+'Исходные данные'!$B$90)^((C70-'Исходные данные'!$B$9)/365))</f>
        <v>0</v>
      </c>
      <c r="AW70">
        <f>IF(D70=1,AH70+Расчёты!O70+Расчёты!Q70+Расчёты!S70+Расчёты!U70+Расчёты!W70+Расчёты!X70+AK70+AN70,0)</f>
        <v>0</v>
      </c>
      <c r="AX70">
        <f>IF(AND(D70=1,AU70&gt;=0,AU69&lt;0,MIN($AU$2:AU70)&lt;0),1,0)</f>
        <v>0</v>
      </c>
      <c r="AY70">
        <f>IF(Расчёты!F70=0,0,IF(Расчёты!G70=1,N('Сценарный анализ'!$D$5),IF(Расчёты!G70=2,N('Сценарный анализ'!$D$6),IF(Расчёты!G70=3,N('Сценарный анализ'!$D$7),N('Сценарный анализ'!$D$7)*(1+N('Сценарный анализ'!$D$8))^(Расчёты!G70-3)))))</f>
        <v>0</v>
      </c>
      <c r="AZ70">
        <f>IF(OR(Расчёты!F70=0,N('Исходные данные'!$B$5)=0,AY70=0),0,N('Исходные данные'!$B$5)*AY70*IF(AND(B70&lt;='Исходные данные'!$B$30,Расчёты!C70&gt;='Исходные данные'!$B$30),(Расчёты!C70-'Исходные данные'!$B$30+1)/DAY(Расчёты!C70),1))</f>
        <v>0</v>
      </c>
      <c r="BA70">
        <f>IF(AND(Расчёты!F70&gt;0,Расчёты!F70&lt;=N('Исходные данные'!$B$37)),-AZ70,0)</f>
        <v>0</v>
      </c>
      <c r="BB70">
        <f>IF(OR(Расчёты!F70=0,Расчёты!F70&lt;=N('Исходные данные'!$B$37)),0,-(AZ70+BA70)*N('Сценарный анализ'!$D$9))</f>
        <v>0</v>
      </c>
      <c r="BC70">
        <f t="shared" si="47"/>
        <v>0</v>
      </c>
      <c r="BD70">
        <f>IF('Исходные данные'!$B$51="Да",BC70*N('Исходные данные'!$B$52),0)</f>
        <v>0</v>
      </c>
      <c r="BE70">
        <f t="shared" si="48"/>
        <v>0</v>
      </c>
      <c r="BF70">
        <f>BC70+(Расчёты!Y70-Расчёты!L70)</f>
        <v>0</v>
      </c>
      <c r="BG70">
        <f t="shared" si="55"/>
        <v>0</v>
      </c>
      <c r="BH70">
        <f>IF('Исходные данные'!$B$51="Да",-MAX(0,BD70+Расчёты!R70+Расчёты!V70-Расчёты!P70-Расчёты!T70-BG70),0)</f>
        <v>0</v>
      </c>
      <c r="BI70">
        <f>IF('Исходные данные'!$B$51="Да",MAX(0,BG70+Расчёты!P70+Расчёты!T70-BD70-Расчёты!R70-Расчёты!V70),0)</f>
        <v>0</v>
      </c>
      <c r="BJ70">
        <f>IF('Исходные данные'!$B$53="Выручка",MAX(0,BC70+(Расчёты!Q70-Расчёты!R70)+(Расчёты!U70-Расчёты!V70)),IF('Исходные данные'!$B$53="Прибыль до налога",MAX(0,BC70+(Расчёты!Q70-Расчёты!R70)+(Расчёты!U70-Расчёты!V70)+N('Исходные данные'!$B$54)*((Расчёты!O70+Расчёты!P70)+(Расчёты!S70+Расчёты!T70)+Расчёты!W70+Расчёты!X70)+IF('Исходные данные'!$B$55="Да",Расчёты!AG70,0)-N('Исходные данные'!$B$56)/12),IF('Исходные данные'!$B$53="Пользовательская база",MAX(0,N('Исходные данные'!$B$57)/12),0)))</f>
        <v>0</v>
      </c>
      <c r="BK70">
        <f>IF(D70=1,-BJ70*N('Исходные данные'!$B$50),0)</f>
        <v>0</v>
      </c>
      <c r="BL70">
        <f t="shared" si="49"/>
        <v>0</v>
      </c>
      <c r="BM70">
        <f>IF(OR(D70&lt;&gt;1,B70="",'Исходные данные'!$B$91="",N('Исходные данные'!$B$80)&lt;=0,'Исходные данные'!$B$88=""),0,IF(AND(YEAR(B70)=YEAR('Исходные данные'!$B$91),MONTH(B70)=MONTH('Исходные данные'!$B$91)),MAX(0,IF('Исходные данные'!$B$88="Последние 12 месяцев",SUMIFS($BF$2:$BF$194,$B$2:$B$194,"&gt;="&amp;EDATE(B70,-11),$B$2:$B$194,"&lt;="&amp;B70),IF('Исходные данные'!$B$88="Пользовательский NOI",N('Исходные данные'!$B$89),BL70))/N('Исходные данные'!$B$80)*(1+N('Исходные данные'!$B$81))),0))</f>
        <v>0</v>
      </c>
      <c r="BN70">
        <f>-BM70*N('Исходные данные'!$B$73)</f>
        <v>0</v>
      </c>
      <c r="BO70">
        <f>IF(BM70=0,0,-N('Исходные данные'!$B$87)-IF('Исходные данные'!$B$82="Да",IF('Исходные данные'!$B$84="С выручки",BM70,IF('Исходные данные'!$B$84="С прибыли",MAX(0,BM70+BN70-IF('Исходные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70">
        <f t="shared" si="50"/>
        <v>0</v>
      </c>
      <c r="BQ70">
        <f>IF(D70=1,Расчёты!AZ70+BE70+BH70+BK70+BP70,0)</f>
        <v>0</v>
      </c>
      <c r="BR70" t="str">
        <f t="shared" si="56"/>
        <v/>
      </c>
      <c r="BS70">
        <f>IF(OR(D70=0,'Исходные данные'!$B$9="",'Исходные данные'!$B$90=""),0,BQ70/(1+'Исходные данные'!$B$90)^((C70-'Исходные данные'!$B$9)/365))</f>
        <v>0</v>
      </c>
      <c r="BT70">
        <f>IF(D70=1,BE70+Расчёты!O70+Расчёты!Q70+Расчёты!S70+Расчёты!U70+Расчёты!W70+Расчёты!X70+BH70+BK70,0)</f>
        <v>0</v>
      </c>
      <c r="BU70">
        <f>IF(AND(D70=1,BR70&gt;=0,BR69&lt;0,MIN($BR$2:BR70)&lt;0),1,0)</f>
        <v>0</v>
      </c>
      <c r="BV70">
        <f>Расчёты!AZ70+K70+N70-P70*N('Исходные данные'!$B$50)</f>
        <v>0</v>
      </c>
      <c r="BW70">
        <f t="shared" si="57"/>
        <v>0</v>
      </c>
      <c r="BX70">
        <f>IF(AND(BW70&gt;=0,BW69&lt;0,MIN($BW$2:BW70)&lt;0),1,0)</f>
        <v>0</v>
      </c>
      <c r="BY70">
        <f>Расчёты!AZ70+AH70+AK70-AM70*N('Исходные данные'!$B$50)</f>
        <v>0</v>
      </c>
      <c r="BZ70">
        <f t="shared" si="58"/>
        <v>0</v>
      </c>
      <c r="CA70">
        <f>IF(AND(BZ70&gt;=0,BZ69&lt;0,MIN($BZ$2:BZ70)&lt;0),1,0)</f>
        <v>0</v>
      </c>
      <c r="CB70">
        <f>Расчёты!AZ70+BE70+BH70-BJ70*N('Исходные данные'!$B$50)</f>
        <v>0</v>
      </c>
      <c r="CC70">
        <f t="shared" si="59"/>
        <v>0</v>
      </c>
      <c r="CD70">
        <f>IF(AND(CC70&gt;=0,CC69&lt;0,MIN($CC$2:CC70)&lt;0),1,0)</f>
        <v>0</v>
      </c>
    </row>
    <row r="71" spans="1:82" x14ac:dyDescent="0.2">
      <c r="A71">
        <f>Расчёты!A71</f>
        <v>70</v>
      </c>
      <c r="B71" t="str">
        <f>Расчёты!B71</f>
        <v/>
      </c>
      <c r="C71" t="str">
        <f>Расчёты!D71</f>
        <v/>
      </c>
      <c r="D71">
        <f>Расчёты!E71</f>
        <v>0</v>
      </c>
      <c r="E71">
        <f>IF(Расчёты!F71=0,0,IF(Расчёты!G71=1,N('Сценарный анализ'!$B$5),IF(Расчёты!G71=2,N('Сценарный анализ'!$B$6),IF(Расчёты!G71=3,N('Сценарный анализ'!$B$7),N('Сценарный анализ'!$B$7)*(1+N('Сценарный анализ'!$B$8))^(Расчёты!G71-3)))))</f>
        <v>0</v>
      </c>
      <c r="F71">
        <f>IF(OR(Расчёты!F71=0,N('Исходные данные'!$B$5)=0,E71=0),0,N('Исходные данные'!$B$5)*E71*IF(AND(B71&lt;='Исходные данные'!$B$30,Расчёты!C71&gt;='Исходные данные'!$B$30),(Расчёты!C71-'Исходные данные'!$B$30+1)/DAY(Расчёты!C71),1))</f>
        <v>0</v>
      </c>
      <c r="G71">
        <f>IF(AND(Расчёты!F71&gt;0,Расчёты!F71&lt;=N('Исходные данные'!$B$37)),-F71,0)</f>
        <v>0</v>
      </c>
      <c r="H71">
        <f>IF(OR(Расчёты!F71=0,Расчёты!F71&lt;=N('Исходные данные'!$B$37)),0,-(F71+G71)*N('Сценарный анализ'!$B$9))</f>
        <v>0</v>
      </c>
      <c r="I71">
        <f t="shared" si="39"/>
        <v>0</v>
      </c>
      <c r="J71">
        <f>IF('Исходные данные'!$B$51="Да",I71*N('Исходные данные'!$B$52),0)</f>
        <v>0</v>
      </c>
      <c r="K71">
        <f t="shared" si="40"/>
        <v>0</v>
      </c>
      <c r="L71">
        <f>I71+(Расчёты!Y71-Расчёты!L71)</f>
        <v>0</v>
      </c>
      <c r="M71">
        <f t="shared" si="51"/>
        <v>0</v>
      </c>
      <c r="N71">
        <f>IF('Исходные данные'!$B$51="Да",-MAX(0,J71+Расчёты!R71+Расчёты!V71-Расчёты!P71-Расчёты!T71-M71),0)</f>
        <v>0</v>
      </c>
      <c r="O71">
        <f>IF('Исходные данные'!$B$51="Да",MAX(0,M71+Расчёты!P71+Расчёты!T71-J71-Расчёты!R71-Расчёты!V71),0)</f>
        <v>0</v>
      </c>
      <c r="P71">
        <f>IF('Исходные данные'!$B$53="Выручка",MAX(0,I71+(Расчёты!Q71-Расчёты!R71)+(Расчёты!U71-Расчёты!V71)),IF('Исходные данные'!$B$53="Прибыль до налога",MAX(0,I71+(Расчёты!Q71-Расчёты!R71)+(Расчёты!U71-Расчёты!V71)+N('Исходные данные'!$B$54)*((Расчёты!O71+Расчёты!P71)+(Расчёты!S71+Расчёты!T71)+Расчёты!W71+Расчёты!X71)+IF('Исходные данные'!$B$55="Да",Расчёты!AG71,0)-N('Исходные данные'!$B$56)/12),IF('Исходные данные'!$B$53="Пользовательская база",MAX(0,N('Исходные данные'!$B$57)/12),0)))</f>
        <v>0</v>
      </c>
      <c r="Q71">
        <f>IF(D71=1,-P71*N('Исходные данные'!$B$50),0)</f>
        <v>0</v>
      </c>
      <c r="R71">
        <f t="shared" si="41"/>
        <v>0</v>
      </c>
      <c r="S71">
        <f>IF(OR(D71&lt;&gt;1,B71="",'Исходные данные'!$B$91="",N('Исходные данные'!$B$80)&lt;=0,'Исходные данные'!$B$88=""),0,IF(AND(YEAR(B71)=YEAR('Исходные данные'!$B$91),MONTH(B71)=MONTH('Исходные данные'!$B$91)),MAX(0,IF('Исходные данные'!$B$88="Последние 12 месяцев",SUMIFS($L$2:$L$194,$B$2:$B$194,"&gt;="&amp;EDATE(B71,-11),$B$2:$B$194,"&lt;="&amp;B71),IF('Исходные данные'!$B$88="Пользовательский NOI",N('Исходные данные'!$B$89),R71))/N('Исходные данные'!$B$80)*(1+N('Исходные данные'!$B$81))),0))</f>
        <v>0</v>
      </c>
      <c r="T71">
        <f>-S71*N('Исходные данные'!$B$73)</f>
        <v>0</v>
      </c>
      <c r="U71">
        <f>IF(S71=0,0,-N('Исходные данные'!$B$87)-IF('Исходные данные'!$B$82="Да",IF('Исходные данные'!$B$84="С выручки",S71,IF('Исходные данные'!$B$84="С прибыли",MAX(0,S71+T71-IF('Исходные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71">
        <f t="shared" si="42"/>
        <v>0</v>
      </c>
      <c r="W71">
        <f>IF(D71=1,Расчёты!AZ71+K71+N71+Q71+V71,0)</f>
        <v>0</v>
      </c>
      <c r="X71" t="str">
        <f t="shared" si="52"/>
        <v/>
      </c>
      <c r="Y71">
        <f>IF(OR(D71=0,'Исходные данные'!$B$9="",'Исходные данные'!$B$90=""),0,W71/(1+'Исходные данные'!$B$90)^((C71-'Исходные данные'!$B$9)/365))</f>
        <v>0</v>
      </c>
      <c r="Z71">
        <f>IF(D71=1,K71+Расчёты!O71+Расчёты!Q71+Расчёты!S71+Расчёты!U71+Расчёты!W71+Расчёты!X71+N71+Q71,0)</f>
        <v>0</v>
      </c>
      <c r="AA71">
        <f>IF(AND(D71=1,X71&gt;=0,X70&lt;0,MIN($X$2:X71)&lt;0),1,0)</f>
        <v>0</v>
      </c>
      <c r="AB71">
        <f>IF(Расчёты!F71=0,0,IF(Расчёты!G71=1,N('Сценарный анализ'!$C$5),IF(Расчёты!G71=2,N('Сценарный анализ'!$C$6),IF(Расчёты!G71=3,N('Сценарный анализ'!$C$7),N('Сценарный анализ'!$C$7)*(1+N('Сценарный анализ'!$C$8))^(Расчёты!G71-3)))))</f>
        <v>0</v>
      </c>
      <c r="AC71">
        <f>IF(OR(Расчёты!F71=0,N('Исходные данные'!$B$5)=0,AB71=0),0,N('Исходные данные'!$B$5)*AB71*IF(AND(B71&lt;='Исходные данные'!$B$30,Расчёты!C71&gt;='Исходные данные'!$B$30),(Расчёты!C71-'Исходные данные'!$B$30+1)/DAY(Расчёты!C71),1))</f>
        <v>0</v>
      </c>
      <c r="AD71">
        <f>IF(AND(Расчёты!F71&gt;0,Расчёты!F71&lt;=N('Исходные данные'!$B$37)),-AC71,0)</f>
        <v>0</v>
      </c>
      <c r="AE71">
        <f>IF(OR(Расчёты!F71=0,Расчёты!F71&lt;=N('Исходные данные'!$B$37)),0,-(AC71+AD71)*N('Сценарный анализ'!$C$9))</f>
        <v>0</v>
      </c>
      <c r="AF71">
        <f t="shared" si="43"/>
        <v>0</v>
      </c>
      <c r="AG71">
        <f>IF('Исходные данные'!$B$51="Да",AF71*N('Исходные данные'!$B$52),0)</f>
        <v>0</v>
      </c>
      <c r="AH71">
        <f t="shared" si="44"/>
        <v>0</v>
      </c>
      <c r="AI71">
        <f>AF71+(Расчёты!Y71-Расчёты!L71)</f>
        <v>0</v>
      </c>
      <c r="AJ71">
        <f t="shared" si="53"/>
        <v>0</v>
      </c>
      <c r="AK71">
        <f>IF('Исходные данные'!$B$51="Да",-MAX(0,AG71+Расчёты!R71+Расчёты!V71-Расчёты!P71-Расчёты!T71-AJ71),0)</f>
        <v>0</v>
      </c>
      <c r="AL71">
        <f>IF('Исходные данные'!$B$51="Да",MAX(0,AJ71+Расчёты!P71+Расчёты!T71-AG71-Расчёты!R71-Расчёты!V71),0)</f>
        <v>0</v>
      </c>
      <c r="AM71">
        <f>IF('Исходные данные'!$B$53="Выручка",MAX(0,AF71+(Расчёты!Q71-Расчёты!R71)+(Расчёты!U71-Расчёты!V71)),IF('Исходные данные'!$B$53="Прибыль до налога",MAX(0,AF71+(Расчёты!Q71-Расчёты!R71)+(Расчёты!U71-Расчёты!V71)+N('Исходные данные'!$B$54)*((Расчёты!O71+Расчёты!P71)+(Расчёты!S71+Расчёты!T71)+Расчёты!W71+Расчёты!X71)+IF('Исходные данные'!$B$55="Да",Расчёты!AG71,0)-N('Исходные данные'!$B$56)/12),IF('Исходные данные'!$B$53="Пользовательская база",MAX(0,N('Исходные данные'!$B$57)/12),0)))</f>
        <v>0</v>
      </c>
      <c r="AN71">
        <f>IF(D71=1,-AM71*N('Исходные данные'!$B$50),0)</f>
        <v>0</v>
      </c>
      <c r="AO71">
        <f t="shared" si="45"/>
        <v>0</v>
      </c>
      <c r="AP71">
        <f>IF(OR(D71&lt;&gt;1,B71="",'Исходные данные'!$B$91="",N('Исходные данные'!$B$80)&lt;=0,'Исходные данные'!$B$88=""),0,IF(AND(YEAR(B71)=YEAR('Исходные данные'!$B$91),MONTH(B71)=MONTH('Исходные данные'!$B$91)),MAX(0,IF('Исходные данные'!$B$88="Последние 12 месяцев",SUMIFS($AI$2:$AI$194,$B$2:$B$194,"&gt;="&amp;EDATE(B71,-11),$B$2:$B$194,"&lt;="&amp;B71),IF('Исходные данные'!$B$88="Пользовательский NOI",N('Исходные данные'!$B$89),AO71))/N('Исходные данные'!$B$80)*(1+N('Исходные данные'!$B$81))),0))</f>
        <v>0</v>
      </c>
      <c r="AQ71">
        <f>-AP71*N('Исходные данные'!$B$73)</f>
        <v>0</v>
      </c>
      <c r="AR71">
        <f>IF(AP71=0,0,-N('Исходные данные'!$B$87)-IF('Исходные данные'!$B$82="Да",IF('Исходные данные'!$B$84="С выручки",AP71,IF('Исходные данные'!$B$84="С прибыли",MAX(0,AP71+AQ71-IF('Исходные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71">
        <f t="shared" si="46"/>
        <v>0</v>
      </c>
      <c r="AT71">
        <f>IF(D71=1,Расчёты!AZ71+AH71+AK71+AN71+AS71,0)</f>
        <v>0</v>
      </c>
      <c r="AU71" t="str">
        <f t="shared" si="54"/>
        <v/>
      </c>
      <c r="AV71">
        <f>IF(OR(D71=0,'Исходные данные'!$B$9="",'Исходные данные'!$B$90=""),0,AT71/(1+'Исходные данные'!$B$90)^((C71-'Исходные данные'!$B$9)/365))</f>
        <v>0</v>
      </c>
      <c r="AW71">
        <f>IF(D71=1,AH71+Расчёты!O71+Расчёты!Q71+Расчёты!S71+Расчёты!U71+Расчёты!W71+Расчёты!X71+AK71+AN71,0)</f>
        <v>0</v>
      </c>
      <c r="AX71">
        <f>IF(AND(D71=1,AU71&gt;=0,AU70&lt;0,MIN($AU$2:AU71)&lt;0),1,0)</f>
        <v>0</v>
      </c>
      <c r="AY71">
        <f>IF(Расчёты!F71=0,0,IF(Расчёты!G71=1,N('Сценарный анализ'!$D$5),IF(Расчёты!G71=2,N('Сценарный анализ'!$D$6),IF(Расчёты!G71=3,N('Сценарный анализ'!$D$7),N('Сценарный анализ'!$D$7)*(1+N('Сценарный анализ'!$D$8))^(Расчёты!G71-3)))))</f>
        <v>0</v>
      </c>
      <c r="AZ71">
        <f>IF(OR(Расчёты!F71=0,N('Исходные данные'!$B$5)=0,AY71=0),0,N('Исходные данные'!$B$5)*AY71*IF(AND(B71&lt;='Исходные данные'!$B$30,Расчёты!C71&gt;='Исходные данные'!$B$30),(Расчёты!C71-'Исходные данные'!$B$30+1)/DAY(Расчёты!C71),1))</f>
        <v>0</v>
      </c>
      <c r="BA71">
        <f>IF(AND(Расчёты!F71&gt;0,Расчёты!F71&lt;=N('Исходные данные'!$B$37)),-AZ71,0)</f>
        <v>0</v>
      </c>
      <c r="BB71">
        <f>IF(OR(Расчёты!F71=0,Расчёты!F71&lt;=N('Исходные данные'!$B$37)),0,-(AZ71+BA71)*N('Сценарный анализ'!$D$9))</f>
        <v>0</v>
      </c>
      <c r="BC71">
        <f t="shared" si="47"/>
        <v>0</v>
      </c>
      <c r="BD71">
        <f>IF('Исходные данные'!$B$51="Да",BC71*N('Исходные данные'!$B$52),0)</f>
        <v>0</v>
      </c>
      <c r="BE71">
        <f t="shared" si="48"/>
        <v>0</v>
      </c>
      <c r="BF71">
        <f>BC71+(Расчёты!Y71-Расчёты!L71)</f>
        <v>0</v>
      </c>
      <c r="BG71">
        <f t="shared" si="55"/>
        <v>0</v>
      </c>
      <c r="BH71">
        <f>IF('Исходные данные'!$B$51="Да",-MAX(0,BD71+Расчёты!R71+Расчёты!V71-Расчёты!P71-Расчёты!T71-BG71),0)</f>
        <v>0</v>
      </c>
      <c r="BI71">
        <f>IF('Исходные данные'!$B$51="Да",MAX(0,BG71+Расчёты!P71+Расчёты!T71-BD71-Расчёты!R71-Расчёты!V71),0)</f>
        <v>0</v>
      </c>
      <c r="BJ71">
        <f>IF('Исходные данные'!$B$53="Выручка",MAX(0,BC71+(Расчёты!Q71-Расчёты!R71)+(Расчёты!U71-Расчёты!V71)),IF('Исходные данные'!$B$53="Прибыль до налога",MAX(0,BC71+(Расчёты!Q71-Расчёты!R71)+(Расчёты!U71-Расчёты!V71)+N('Исходные данные'!$B$54)*((Расчёты!O71+Расчёты!P71)+(Расчёты!S71+Расчёты!T71)+Расчёты!W71+Расчёты!X71)+IF('Исходные данные'!$B$55="Да",Расчёты!AG71,0)-N('Исходные данные'!$B$56)/12),IF('Исходные данные'!$B$53="Пользовательская база",MAX(0,N('Исходные данные'!$B$57)/12),0)))</f>
        <v>0</v>
      </c>
      <c r="BK71">
        <f>IF(D71=1,-BJ71*N('Исходные данные'!$B$50),0)</f>
        <v>0</v>
      </c>
      <c r="BL71">
        <f t="shared" si="49"/>
        <v>0</v>
      </c>
      <c r="BM71">
        <f>IF(OR(D71&lt;&gt;1,B71="",'Исходные данные'!$B$91="",N('Исходные данные'!$B$80)&lt;=0,'Исходные данные'!$B$88=""),0,IF(AND(YEAR(B71)=YEAR('Исходные данные'!$B$91),MONTH(B71)=MONTH('Исходные данные'!$B$91)),MAX(0,IF('Исходные данные'!$B$88="Последние 12 месяцев",SUMIFS($BF$2:$BF$194,$B$2:$B$194,"&gt;="&amp;EDATE(B71,-11),$B$2:$B$194,"&lt;="&amp;B71),IF('Исходные данные'!$B$88="Пользовательский NOI",N('Исходные данные'!$B$89),BL71))/N('Исходные данные'!$B$80)*(1+N('Исходные данные'!$B$81))),0))</f>
        <v>0</v>
      </c>
      <c r="BN71">
        <f>-BM71*N('Исходные данные'!$B$73)</f>
        <v>0</v>
      </c>
      <c r="BO71">
        <f>IF(BM71=0,0,-N('Исходные данные'!$B$87)-IF('Исходные данные'!$B$82="Да",IF('Исходные данные'!$B$84="С выручки",BM71,IF('Исходные данные'!$B$84="С прибыли",MAX(0,BM71+BN71-IF('Исходные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71">
        <f t="shared" si="50"/>
        <v>0</v>
      </c>
      <c r="BQ71">
        <f>IF(D71=1,Расчёты!AZ71+BE71+BH71+BK71+BP71,0)</f>
        <v>0</v>
      </c>
      <c r="BR71" t="str">
        <f t="shared" si="56"/>
        <v/>
      </c>
      <c r="BS71">
        <f>IF(OR(D71=0,'Исходные данные'!$B$9="",'Исходные данные'!$B$90=""),0,BQ71/(1+'Исходные данные'!$B$90)^((C71-'Исходные данные'!$B$9)/365))</f>
        <v>0</v>
      </c>
      <c r="BT71">
        <f>IF(D71=1,BE71+Расчёты!O71+Расчёты!Q71+Расчёты!S71+Расчёты!U71+Расчёты!W71+Расчёты!X71+BH71+BK71,0)</f>
        <v>0</v>
      </c>
      <c r="BU71">
        <f>IF(AND(D71=1,BR71&gt;=0,BR70&lt;0,MIN($BR$2:BR71)&lt;0),1,0)</f>
        <v>0</v>
      </c>
      <c r="BV71">
        <f>Расчёты!AZ71+K71+N71-P71*N('Исходные данные'!$B$50)</f>
        <v>0</v>
      </c>
      <c r="BW71">
        <f t="shared" si="57"/>
        <v>0</v>
      </c>
      <c r="BX71">
        <f>IF(AND(BW71&gt;=0,BW70&lt;0,MIN($BW$2:BW71)&lt;0),1,0)</f>
        <v>0</v>
      </c>
      <c r="BY71">
        <f>Расчёты!AZ71+AH71+AK71-AM71*N('Исходные данные'!$B$50)</f>
        <v>0</v>
      </c>
      <c r="BZ71">
        <f t="shared" si="58"/>
        <v>0</v>
      </c>
      <c r="CA71">
        <f>IF(AND(BZ71&gt;=0,BZ70&lt;0,MIN($BZ$2:BZ71)&lt;0),1,0)</f>
        <v>0</v>
      </c>
      <c r="CB71">
        <f>Расчёты!AZ71+BE71+BH71-BJ71*N('Исходные данные'!$B$50)</f>
        <v>0</v>
      </c>
      <c r="CC71">
        <f t="shared" si="59"/>
        <v>0</v>
      </c>
      <c r="CD71">
        <f>IF(AND(CC71&gt;=0,CC70&lt;0,MIN($CC$2:CC71)&lt;0),1,0)</f>
        <v>0</v>
      </c>
    </row>
    <row r="72" spans="1:82" x14ac:dyDescent="0.2">
      <c r="A72">
        <f>Расчёты!A72</f>
        <v>71</v>
      </c>
      <c r="B72" t="str">
        <f>Расчёты!B72</f>
        <v/>
      </c>
      <c r="C72" t="str">
        <f>Расчёты!D72</f>
        <v/>
      </c>
      <c r="D72">
        <f>Расчёты!E72</f>
        <v>0</v>
      </c>
      <c r="E72">
        <f>IF(Расчёты!F72=0,0,IF(Расчёты!G72=1,N('Сценарный анализ'!$B$5),IF(Расчёты!G72=2,N('Сценарный анализ'!$B$6),IF(Расчёты!G72=3,N('Сценарный анализ'!$B$7),N('Сценарный анализ'!$B$7)*(1+N('Сценарный анализ'!$B$8))^(Расчёты!G72-3)))))</f>
        <v>0</v>
      </c>
      <c r="F72">
        <f>IF(OR(Расчёты!F72=0,N('Исходные данные'!$B$5)=0,E72=0),0,N('Исходные данные'!$B$5)*E72*IF(AND(B72&lt;='Исходные данные'!$B$30,Расчёты!C72&gt;='Исходные данные'!$B$30),(Расчёты!C72-'Исходные данные'!$B$30+1)/DAY(Расчёты!C72),1))</f>
        <v>0</v>
      </c>
      <c r="G72">
        <f>IF(AND(Расчёты!F72&gt;0,Расчёты!F72&lt;=N('Исходные данные'!$B$37)),-F72,0)</f>
        <v>0</v>
      </c>
      <c r="H72">
        <f>IF(OR(Расчёты!F72=0,Расчёты!F72&lt;=N('Исходные данные'!$B$37)),0,-(F72+G72)*N('Сценарный анализ'!$B$9))</f>
        <v>0</v>
      </c>
      <c r="I72">
        <f t="shared" si="39"/>
        <v>0</v>
      </c>
      <c r="J72">
        <f>IF('Исходные данные'!$B$51="Да",I72*N('Исходные данные'!$B$52),0)</f>
        <v>0</v>
      </c>
      <c r="K72">
        <f t="shared" si="40"/>
        <v>0</v>
      </c>
      <c r="L72">
        <f>I72+(Расчёты!Y72-Расчёты!L72)</f>
        <v>0</v>
      </c>
      <c r="M72">
        <f t="shared" si="51"/>
        <v>0</v>
      </c>
      <c r="N72">
        <f>IF('Исходные данные'!$B$51="Да",-MAX(0,J72+Расчёты!R72+Расчёты!V72-Расчёты!P72-Расчёты!T72-M72),0)</f>
        <v>0</v>
      </c>
      <c r="O72">
        <f>IF('Исходные данные'!$B$51="Да",MAX(0,M72+Расчёты!P72+Расчёты!T72-J72-Расчёты!R72-Расчёты!V72),0)</f>
        <v>0</v>
      </c>
      <c r="P72">
        <f>IF('Исходные данные'!$B$53="Выручка",MAX(0,I72+(Расчёты!Q72-Расчёты!R72)+(Расчёты!U72-Расчёты!V72)),IF('Исходные данные'!$B$53="Прибыль до налога",MAX(0,I72+(Расчёты!Q72-Расчёты!R72)+(Расчёты!U72-Расчёты!V72)+N('Исходные данные'!$B$54)*((Расчёты!O72+Расчёты!P72)+(Расчёты!S72+Расчёты!T72)+Расчёты!W72+Расчёты!X72)+IF('Исходные данные'!$B$55="Да",Расчёты!AG72,0)-N('Исходные данные'!$B$56)/12),IF('Исходные данные'!$B$53="Пользовательская база",MAX(0,N('Исходные данные'!$B$57)/12),0)))</f>
        <v>0</v>
      </c>
      <c r="Q72">
        <f>IF(D72=1,-P72*N('Исходные данные'!$B$50),0)</f>
        <v>0</v>
      </c>
      <c r="R72">
        <f t="shared" si="41"/>
        <v>0</v>
      </c>
      <c r="S72">
        <f>IF(OR(D72&lt;&gt;1,B72="",'Исходные данные'!$B$91="",N('Исходные данные'!$B$80)&lt;=0,'Исходные данные'!$B$88=""),0,IF(AND(YEAR(B72)=YEAR('Исходные данные'!$B$91),MONTH(B72)=MONTH('Исходные данные'!$B$91)),MAX(0,IF('Исходные данные'!$B$88="Последние 12 месяцев",SUMIFS($L$2:$L$194,$B$2:$B$194,"&gt;="&amp;EDATE(B72,-11),$B$2:$B$194,"&lt;="&amp;B72),IF('Исходные данные'!$B$88="Пользовательский NOI",N('Исходные данные'!$B$89),R72))/N('Исходные данные'!$B$80)*(1+N('Исходные данные'!$B$81))),0))</f>
        <v>0</v>
      </c>
      <c r="T72">
        <f>-S72*N('Исходные данные'!$B$73)</f>
        <v>0</v>
      </c>
      <c r="U72">
        <f>IF(S72=0,0,-N('Исходные данные'!$B$87)-IF('Исходные данные'!$B$82="Да",IF('Исходные данные'!$B$84="С выручки",S72,IF('Исходные данные'!$B$84="С прибыли",MAX(0,S72+T72-IF('Исходные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72">
        <f t="shared" si="42"/>
        <v>0</v>
      </c>
      <c r="W72">
        <f>IF(D72=1,Расчёты!AZ72+K72+N72+Q72+V72,0)</f>
        <v>0</v>
      </c>
      <c r="X72" t="str">
        <f t="shared" si="52"/>
        <v/>
      </c>
      <c r="Y72">
        <f>IF(OR(D72=0,'Исходные данные'!$B$9="",'Исходные данные'!$B$90=""),0,W72/(1+'Исходные данные'!$B$90)^((C72-'Исходные данные'!$B$9)/365))</f>
        <v>0</v>
      </c>
      <c r="Z72">
        <f>IF(D72=1,K72+Расчёты!O72+Расчёты!Q72+Расчёты!S72+Расчёты!U72+Расчёты!W72+Расчёты!X72+N72+Q72,0)</f>
        <v>0</v>
      </c>
      <c r="AA72">
        <f>IF(AND(D72=1,X72&gt;=0,X71&lt;0,MIN($X$2:X72)&lt;0),1,0)</f>
        <v>0</v>
      </c>
      <c r="AB72">
        <f>IF(Расчёты!F72=0,0,IF(Расчёты!G72=1,N('Сценарный анализ'!$C$5),IF(Расчёты!G72=2,N('Сценарный анализ'!$C$6),IF(Расчёты!G72=3,N('Сценарный анализ'!$C$7),N('Сценарный анализ'!$C$7)*(1+N('Сценарный анализ'!$C$8))^(Расчёты!G72-3)))))</f>
        <v>0</v>
      </c>
      <c r="AC72">
        <f>IF(OR(Расчёты!F72=0,N('Исходные данные'!$B$5)=0,AB72=0),0,N('Исходные данные'!$B$5)*AB72*IF(AND(B72&lt;='Исходные данные'!$B$30,Расчёты!C72&gt;='Исходные данные'!$B$30),(Расчёты!C72-'Исходные данные'!$B$30+1)/DAY(Расчёты!C72),1))</f>
        <v>0</v>
      </c>
      <c r="AD72">
        <f>IF(AND(Расчёты!F72&gt;0,Расчёты!F72&lt;=N('Исходные данные'!$B$37)),-AC72,0)</f>
        <v>0</v>
      </c>
      <c r="AE72">
        <f>IF(OR(Расчёты!F72=0,Расчёты!F72&lt;=N('Исходные данные'!$B$37)),0,-(AC72+AD72)*N('Сценарный анализ'!$C$9))</f>
        <v>0</v>
      </c>
      <c r="AF72">
        <f t="shared" si="43"/>
        <v>0</v>
      </c>
      <c r="AG72">
        <f>IF('Исходные данные'!$B$51="Да",AF72*N('Исходные данные'!$B$52),0)</f>
        <v>0</v>
      </c>
      <c r="AH72">
        <f t="shared" si="44"/>
        <v>0</v>
      </c>
      <c r="AI72">
        <f>AF72+(Расчёты!Y72-Расчёты!L72)</f>
        <v>0</v>
      </c>
      <c r="AJ72">
        <f t="shared" si="53"/>
        <v>0</v>
      </c>
      <c r="AK72">
        <f>IF('Исходные данные'!$B$51="Да",-MAX(0,AG72+Расчёты!R72+Расчёты!V72-Расчёты!P72-Расчёты!T72-AJ72),0)</f>
        <v>0</v>
      </c>
      <c r="AL72">
        <f>IF('Исходные данные'!$B$51="Да",MAX(0,AJ72+Расчёты!P72+Расчёты!T72-AG72-Расчёты!R72-Расчёты!V72),0)</f>
        <v>0</v>
      </c>
      <c r="AM72">
        <f>IF('Исходные данные'!$B$53="Выручка",MAX(0,AF72+(Расчёты!Q72-Расчёты!R72)+(Расчёты!U72-Расчёты!V72)),IF('Исходные данные'!$B$53="Прибыль до налога",MAX(0,AF72+(Расчёты!Q72-Расчёты!R72)+(Расчёты!U72-Расчёты!V72)+N('Исходные данные'!$B$54)*((Расчёты!O72+Расчёты!P72)+(Расчёты!S72+Расчёты!T72)+Расчёты!W72+Расчёты!X72)+IF('Исходные данные'!$B$55="Да",Расчёты!AG72,0)-N('Исходные данные'!$B$56)/12),IF('Исходные данные'!$B$53="Пользовательская база",MAX(0,N('Исходные данные'!$B$57)/12),0)))</f>
        <v>0</v>
      </c>
      <c r="AN72">
        <f>IF(D72=1,-AM72*N('Исходные данные'!$B$50),0)</f>
        <v>0</v>
      </c>
      <c r="AO72">
        <f t="shared" si="45"/>
        <v>0</v>
      </c>
      <c r="AP72">
        <f>IF(OR(D72&lt;&gt;1,B72="",'Исходные данные'!$B$91="",N('Исходные данные'!$B$80)&lt;=0,'Исходные данные'!$B$88=""),0,IF(AND(YEAR(B72)=YEAR('Исходные данные'!$B$91),MONTH(B72)=MONTH('Исходные данные'!$B$91)),MAX(0,IF('Исходные данные'!$B$88="Последние 12 месяцев",SUMIFS($AI$2:$AI$194,$B$2:$B$194,"&gt;="&amp;EDATE(B72,-11),$B$2:$B$194,"&lt;="&amp;B72),IF('Исходные данные'!$B$88="Пользовательский NOI",N('Исходные данные'!$B$89),AO72))/N('Исходные данные'!$B$80)*(1+N('Исходные данные'!$B$81))),0))</f>
        <v>0</v>
      </c>
      <c r="AQ72">
        <f>-AP72*N('Исходные данные'!$B$73)</f>
        <v>0</v>
      </c>
      <c r="AR72">
        <f>IF(AP72=0,0,-N('Исходные данные'!$B$87)-IF('Исходные данные'!$B$82="Да",IF('Исходные данные'!$B$84="С выручки",AP72,IF('Исходные данные'!$B$84="С прибыли",MAX(0,AP72+AQ72-IF('Исходные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72">
        <f t="shared" si="46"/>
        <v>0</v>
      </c>
      <c r="AT72">
        <f>IF(D72=1,Расчёты!AZ72+AH72+AK72+AN72+AS72,0)</f>
        <v>0</v>
      </c>
      <c r="AU72" t="str">
        <f t="shared" si="54"/>
        <v/>
      </c>
      <c r="AV72">
        <f>IF(OR(D72=0,'Исходные данные'!$B$9="",'Исходные данные'!$B$90=""),0,AT72/(1+'Исходные данные'!$B$90)^((C72-'Исходные данные'!$B$9)/365))</f>
        <v>0</v>
      </c>
      <c r="AW72">
        <f>IF(D72=1,AH72+Расчёты!O72+Расчёты!Q72+Расчёты!S72+Расчёты!U72+Расчёты!W72+Расчёты!X72+AK72+AN72,0)</f>
        <v>0</v>
      </c>
      <c r="AX72">
        <f>IF(AND(D72=1,AU72&gt;=0,AU71&lt;0,MIN($AU$2:AU72)&lt;0),1,0)</f>
        <v>0</v>
      </c>
      <c r="AY72">
        <f>IF(Расчёты!F72=0,0,IF(Расчёты!G72=1,N('Сценарный анализ'!$D$5),IF(Расчёты!G72=2,N('Сценарный анализ'!$D$6),IF(Расчёты!G72=3,N('Сценарный анализ'!$D$7),N('Сценарный анализ'!$D$7)*(1+N('Сценарный анализ'!$D$8))^(Расчёты!G72-3)))))</f>
        <v>0</v>
      </c>
      <c r="AZ72">
        <f>IF(OR(Расчёты!F72=0,N('Исходные данные'!$B$5)=0,AY72=0),0,N('Исходные данные'!$B$5)*AY72*IF(AND(B72&lt;='Исходные данные'!$B$30,Расчёты!C72&gt;='Исходные данные'!$B$30),(Расчёты!C72-'Исходные данные'!$B$30+1)/DAY(Расчёты!C72),1))</f>
        <v>0</v>
      </c>
      <c r="BA72">
        <f>IF(AND(Расчёты!F72&gt;0,Расчёты!F72&lt;=N('Исходные данные'!$B$37)),-AZ72,0)</f>
        <v>0</v>
      </c>
      <c r="BB72">
        <f>IF(OR(Расчёты!F72=0,Расчёты!F72&lt;=N('Исходные данные'!$B$37)),0,-(AZ72+BA72)*N('Сценарный анализ'!$D$9))</f>
        <v>0</v>
      </c>
      <c r="BC72">
        <f t="shared" si="47"/>
        <v>0</v>
      </c>
      <c r="BD72">
        <f>IF('Исходные данные'!$B$51="Да",BC72*N('Исходные данные'!$B$52),0)</f>
        <v>0</v>
      </c>
      <c r="BE72">
        <f t="shared" si="48"/>
        <v>0</v>
      </c>
      <c r="BF72">
        <f>BC72+(Расчёты!Y72-Расчёты!L72)</f>
        <v>0</v>
      </c>
      <c r="BG72">
        <f t="shared" si="55"/>
        <v>0</v>
      </c>
      <c r="BH72">
        <f>IF('Исходные данные'!$B$51="Да",-MAX(0,BD72+Расчёты!R72+Расчёты!V72-Расчёты!P72-Расчёты!T72-BG72),0)</f>
        <v>0</v>
      </c>
      <c r="BI72">
        <f>IF('Исходные данные'!$B$51="Да",MAX(0,BG72+Расчёты!P72+Расчёты!T72-BD72-Расчёты!R72-Расчёты!V72),0)</f>
        <v>0</v>
      </c>
      <c r="BJ72">
        <f>IF('Исходные данные'!$B$53="Выручка",MAX(0,BC72+(Расчёты!Q72-Расчёты!R72)+(Расчёты!U72-Расчёты!V72)),IF('Исходные данные'!$B$53="Прибыль до налога",MAX(0,BC72+(Расчёты!Q72-Расчёты!R72)+(Расчёты!U72-Расчёты!V72)+N('Исходные данные'!$B$54)*((Расчёты!O72+Расчёты!P72)+(Расчёты!S72+Расчёты!T72)+Расчёты!W72+Расчёты!X72)+IF('Исходные данные'!$B$55="Да",Расчёты!AG72,0)-N('Исходные данные'!$B$56)/12),IF('Исходные данные'!$B$53="Пользовательская база",MAX(0,N('Исходные данные'!$B$57)/12),0)))</f>
        <v>0</v>
      </c>
      <c r="BK72">
        <f>IF(D72=1,-BJ72*N('Исходные данные'!$B$50),0)</f>
        <v>0</v>
      </c>
      <c r="BL72">
        <f t="shared" si="49"/>
        <v>0</v>
      </c>
      <c r="BM72">
        <f>IF(OR(D72&lt;&gt;1,B72="",'Исходные данные'!$B$91="",N('Исходные данные'!$B$80)&lt;=0,'Исходные данные'!$B$88=""),0,IF(AND(YEAR(B72)=YEAR('Исходные данные'!$B$91),MONTH(B72)=MONTH('Исходные данные'!$B$91)),MAX(0,IF('Исходные данные'!$B$88="Последние 12 месяцев",SUMIFS($BF$2:$BF$194,$B$2:$B$194,"&gt;="&amp;EDATE(B72,-11),$B$2:$B$194,"&lt;="&amp;B72),IF('Исходные данные'!$B$88="Пользовательский NOI",N('Исходные данные'!$B$89),BL72))/N('Исходные данные'!$B$80)*(1+N('Исходные данные'!$B$81))),0))</f>
        <v>0</v>
      </c>
      <c r="BN72">
        <f>-BM72*N('Исходные данные'!$B$73)</f>
        <v>0</v>
      </c>
      <c r="BO72">
        <f>IF(BM72=0,0,-N('Исходные данные'!$B$87)-IF('Исходные данные'!$B$82="Да",IF('Исходные данные'!$B$84="С выручки",BM72,IF('Исходные данные'!$B$84="С прибыли",MAX(0,BM72+BN72-IF('Исходные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72">
        <f t="shared" si="50"/>
        <v>0</v>
      </c>
      <c r="BQ72">
        <f>IF(D72=1,Расчёты!AZ72+BE72+BH72+BK72+BP72,0)</f>
        <v>0</v>
      </c>
      <c r="BR72" t="str">
        <f t="shared" si="56"/>
        <v/>
      </c>
      <c r="BS72">
        <f>IF(OR(D72=0,'Исходные данные'!$B$9="",'Исходные данные'!$B$90=""),0,BQ72/(1+'Исходные данные'!$B$90)^((C72-'Исходные данные'!$B$9)/365))</f>
        <v>0</v>
      </c>
      <c r="BT72">
        <f>IF(D72=1,BE72+Расчёты!O72+Расчёты!Q72+Расчёты!S72+Расчёты!U72+Расчёты!W72+Расчёты!X72+BH72+BK72,0)</f>
        <v>0</v>
      </c>
      <c r="BU72">
        <f>IF(AND(D72=1,BR72&gt;=0,BR71&lt;0,MIN($BR$2:BR72)&lt;0),1,0)</f>
        <v>0</v>
      </c>
      <c r="BV72">
        <f>Расчёты!AZ72+K72+N72-P72*N('Исходные данные'!$B$50)</f>
        <v>0</v>
      </c>
      <c r="BW72">
        <f t="shared" si="57"/>
        <v>0</v>
      </c>
      <c r="BX72">
        <f>IF(AND(BW72&gt;=0,BW71&lt;0,MIN($BW$2:BW72)&lt;0),1,0)</f>
        <v>0</v>
      </c>
      <c r="BY72">
        <f>Расчёты!AZ72+AH72+AK72-AM72*N('Исходные данные'!$B$50)</f>
        <v>0</v>
      </c>
      <c r="BZ72">
        <f t="shared" si="58"/>
        <v>0</v>
      </c>
      <c r="CA72">
        <f>IF(AND(BZ72&gt;=0,BZ71&lt;0,MIN($BZ$2:BZ72)&lt;0),1,0)</f>
        <v>0</v>
      </c>
      <c r="CB72">
        <f>Расчёты!AZ72+BE72+BH72-BJ72*N('Исходные данные'!$B$50)</f>
        <v>0</v>
      </c>
      <c r="CC72">
        <f t="shared" si="59"/>
        <v>0</v>
      </c>
      <c r="CD72">
        <f>IF(AND(CC72&gt;=0,CC71&lt;0,MIN($CC$2:CC72)&lt;0),1,0)</f>
        <v>0</v>
      </c>
    </row>
    <row r="73" spans="1:82" x14ac:dyDescent="0.2">
      <c r="A73">
        <f>Расчёты!A73</f>
        <v>72</v>
      </c>
      <c r="B73" t="str">
        <f>Расчёты!B73</f>
        <v/>
      </c>
      <c r="C73" t="str">
        <f>Расчёты!D73</f>
        <v/>
      </c>
      <c r="D73">
        <f>Расчёты!E73</f>
        <v>0</v>
      </c>
      <c r="E73">
        <f>IF(Расчёты!F73=0,0,IF(Расчёты!G73=1,N('Сценарный анализ'!$B$5),IF(Расчёты!G73=2,N('Сценарный анализ'!$B$6),IF(Расчёты!G73=3,N('Сценарный анализ'!$B$7),N('Сценарный анализ'!$B$7)*(1+N('Сценарный анализ'!$B$8))^(Расчёты!G73-3)))))</f>
        <v>0</v>
      </c>
      <c r="F73">
        <f>IF(OR(Расчёты!F73=0,N('Исходные данные'!$B$5)=0,E73=0),0,N('Исходные данные'!$B$5)*E73*IF(AND(B73&lt;='Исходные данные'!$B$30,Расчёты!C73&gt;='Исходные данные'!$B$30),(Расчёты!C73-'Исходные данные'!$B$30+1)/DAY(Расчёты!C73),1))</f>
        <v>0</v>
      </c>
      <c r="G73">
        <f>IF(AND(Расчёты!F73&gt;0,Расчёты!F73&lt;=N('Исходные данные'!$B$37)),-F73,0)</f>
        <v>0</v>
      </c>
      <c r="H73">
        <f>IF(OR(Расчёты!F73=0,Расчёты!F73&lt;=N('Исходные данные'!$B$37)),0,-(F73+G73)*N('Сценарный анализ'!$B$9))</f>
        <v>0</v>
      </c>
      <c r="I73">
        <f t="shared" si="39"/>
        <v>0</v>
      </c>
      <c r="J73">
        <f>IF('Исходные данные'!$B$51="Да",I73*N('Исходные данные'!$B$52),0)</f>
        <v>0</v>
      </c>
      <c r="K73">
        <f t="shared" si="40"/>
        <v>0</v>
      </c>
      <c r="L73">
        <f>I73+(Расчёты!Y73-Расчёты!L73)</f>
        <v>0</v>
      </c>
      <c r="M73">
        <f t="shared" si="51"/>
        <v>0</v>
      </c>
      <c r="N73">
        <f>IF('Исходные данные'!$B$51="Да",-MAX(0,J73+Расчёты!R73+Расчёты!V73-Расчёты!P73-Расчёты!T73-M73),0)</f>
        <v>0</v>
      </c>
      <c r="O73">
        <f>IF('Исходные данные'!$B$51="Да",MAX(0,M73+Расчёты!P73+Расчёты!T73-J73-Расчёты!R73-Расчёты!V73),0)</f>
        <v>0</v>
      </c>
      <c r="P73">
        <f>IF('Исходные данные'!$B$53="Выручка",MAX(0,I73+(Расчёты!Q73-Расчёты!R73)+(Расчёты!U73-Расчёты!V73)),IF('Исходные данные'!$B$53="Прибыль до налога",MAX(0,I73+(Расчёты!Q73-Расчёты!R73)+(Расчёты!U73-Расчёты!V73)+N('Исходные данные'!$B$54)*((Расчёты!O73+Расчёты!P73)+(Расчёты!S73+Расчёты!T73)+Расчёты!W73+Расчёты!X73)+IF('Исходные данные'!$B$55="Да",Расчёты!AG73,0)-N('Исходные данные'!$B$56)/12),IF('Исходные данные'!$B$53="Пользовательская база",MAX(0,N('Исходные данные'!$B$57)/12),0)))</f>
        <v>0</v>
      </c>
      <c r="Q73">
        <f>IF(D73=1,-P73*N('Исходные данные'!$B$50),0)</f>
        <v>0</v>
      </c>
      <c r="R73">
        <f t="shared" si="41"/>
        <v>0</v>
      </c>
      <c r="S73">
        <f>IF(OR(D73&lt;&gt;1,B73="",'Исходные данные'!$B$91="",N('Исходные данные'!$B$80)&lt;=0,'Исходные данные'!$B$88=""),0,IF(AND(YEAR(B73)=YEAR('Исходные данные'!$B$91),MONTH(B73)=MONTH('Исходные данные'!$B$91)),MAX(0,IF('Исходные данные'!$B$88="Последние 12 месяцев",SUMIFS($L$2:$L$194,$B$2:$B$194,"&gt;="&amp;EDATE(B73,-11),$B$2:$B$194,"&lt;="&amp;B73),IF('Исходные данные'!$B$88="Пользовательский NOI",N('Исходные данные'!$B$89),R73))/N('Исходные данные'!$B$80)*(1+N('Исходные данные'!$B$81))),0))</f>
        <v>0</v>
      </c>
      <c r="T73">
        <f>-S73*N('Исходные данные'!$B$73)</f>
        <v>0</v>
      </c>
      <c r="U73">
        <f>IF(S73=0,0,-N('Исходные данные'!$B$87)-IF('Исходные данные'!$B$82="Да",IF('Исходные данные'!$B$84="С выручки",S73,IF('Исходные данные'!$B$84="С прибыли",MAX(0,S73+T73-IF('Исходные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73">
        <f t="shared" si="42"/>
        <v>0</v>
      </c>
      <c r="W73">
        <f>IF(D73=1,Расчёты!AZ73+K73+N73+Q73+V73,0)</f>
        <v>0</v>
      </c>
      <c r="X73" t="str">
        <f t="shared" si="52"/>
        <v/>
      </c>
      <c r="Y73">
        <f>IF(OR(D73=0,'Исходные данные'!$B$9="",'Исходные данные'!$B$90=""),0,W73/(1+'Исходные данные'!$B$90)^((C73-'Исходные данные'!$B$9)/365))</f>
        <v>0</v>
      </c>
      <c r="Z73">
        <f>IF(D73=1,K73+Расчёты!O73+Расчёты!Q73+Расчёты!S73+Расчёты!U73+Расчёты!W73+Расчёты!X73+N73+Q73,0)</f>
        <v>0</v>
      </c>
      <c r="AA73">
        <f>IF(AND(D73=1,X73&gt;=0,X72&lt;0,MIN($X$2:X73)&lt;0),1,0)</f>
        <v>0</v>
      </c>
      <c r="AB73">
        <f>IF(Расчёты!F73=0,0,IF(Расчёты!G73=1,N('Сценарный анализ'!$C$5),IF(Расчёты!G73=2,N('Сценарный анализ'!$C$6),IF(Расчёты!G73=3,N('Сценарный анализ'!$C$7),N('Сценарный анализ'!$C$7)*(1+N('Сценарный анализ'!$C$8))^(Расчёты!G73-3)))))</f>
        <v>0</v>
      </c>
      <c r="AC73">
        <f>IF(OR(Расчёты!F73=0,N('Исходные данные'!$B$5)=0,AB73=0),0,N('Исходные данные'!$B$5)*AB73*IF(AND(B73&lt;='Исходные данные'!$B$30,Расчёты!C73&gt;='Исходные данные'!$B$30),(Расчёты!C73-'Исходные данные'!$B$30+1)/DAY(Расчёты!C73),1))</f>
        <v>0</v>
      </c>
      <c r="AD73">
        <f>IF(AND(Расчёты!F73&gt;0,Расчёты!F73&lt;=N('Исходные данные'!$B$37)),-AC73,0)</f>
        <v>0</v>
      </c>
      <c r="AE73">
        <f>IF(OR(Расчёты!F73=0,Расчёты!F73&lt;=N('Исходные данные'!$B$37)),0,-(AC73+AD73)*N('Сценарный анализ'!$C$9))</f>
        <v>0</v>
      </c>
      <c r="AF73">
        <f t="shared" si="43"/>
        <v>0</v>
      </c>
      <c r="AG73">
        <f>IF('Исходные данные'!$B$51="Да",AF73*N('Исходные данные'!$B$52),0)</f>
        <v>0</v>
      </c>
      <c r="AH73">
        <f t="shared" si="44"/>
        <v>0</v>
      </c>
      <c r="AI73">
        <f>AF73+(Расчёты!Y73-Расчёты!L73)</f>
        <v>0</v>
      </c>
      <c r="AJ73">
        <f t="shared" si="53"/>
        <v>0</v>
      </c>
      <c r="AK73">
        <f>IF('Исходные данные'!$B$51="Да",-MAX(0,AG73+Расчёты!R73+Расчёты!V73-Расчёты!P73-Расчёты!T73-AJ73),0)</f>
        <v>0</v>
      </c>
      <c r="AL73">
        <f>IF('Исходные данные'!$B$51="Да",MAX(0,AJ73+Расчёты!P73+Расчёты!T73-AG73-Расчёты!R73-Расчёты!V73),0)</f>
        <v>0</v>
      </c>
      <c r="AM73">
        <f>IF('Исходные данные'!$B$53="Выручка",MAX(0,AF73+(Расчёты!Q73-Расчёты!R73)+(Расчёты!U73-Расчёты!V73)),IF('Исходные данные'!$B$53="Прибыль до налога",MAX(0,AF73+(Расчёты!Q73-Расчёты!R73)+(Расчёты!U73-Расчёты!V73)+N('Исходные данные'!$B$54)*((Расчёты!O73+Расчёты!P73)+(Расчёты!S73+Расчёты!T73)+Расчёты!W73+Расчёты!X73)+IF('Исходные данные'!$B$55="Да",Расчёты!AG73,0)-N('Исходные данные'!$B$56)/12),IF('Исходные данные'!$B$53="Пользовательская база",MAX(0,N('Исходные данные'!$B$57)/12),0)))</f>
        <v>0</v>
      </c>
      <c r="AN73">
        <f>IF(D73=1,-AM73*N('Исходные данные'!$B$50),0)</f>
        <v>0</v>
      </c>
      <c r="AO73">
        <f t="shared" si="45"/>
        <v>0</v>
      </c>
      <c r="AP73">
        <f>IF(OR(D73&lt;&gt;1,B73="",'Исходные данные'!$B$91="",N('Исходные данные'!$B$80)&lt;=0,'Исходные данные'!$B$88=""),0,IF(AND(YEAR(B73)=YEAR('Исходные данные'!$B$91),MONTH(B73)=MONTH('Исходные данные'!$B$91)),MAX(0,IF('Исходные данные'!$B$88="Последние 12 месяцев",SUMIFS($AI$2:$AI$194,$B$2:$B$194,"&gt;="&amp;EDATE(B73,-11),$B$2:$B$194,"&lt;="&amp;B73),IF('Исходные данные'!$B$88="Пользовательский NOI",N('Исходные данные'!$B$89),AO73))/N('Исходные данные'!$B$80)*(1+N('Исходные данные'!$B$81))),0))</f>
        <v>0</v>
      </c>
      <c r="AQ73">
        <f>-AP73*N('Исходные данные'!$B$73)</f>
        <v>0</v>
      </c>
      <c r="AR73">
        <f>IF(AP73=0,0,-N('Исходные данные'!$B$87)-IF('Исходные данные'!$B$82="Да",IF('Исходные данные'!$B$84="С выручки",AP73,IF('Исходные данные'!$B$84="С прибыли",MAX(0,AP73+AQ73-IF('Исходные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73">
        <f t="shared" si="46"/>
        <v>0</v>
      </c>
      <c r="AT73">
        <f>IF(D73=1,Расчёты!AZ73+AH73+AK73+AN73+AS73,0)</f>
        <v>0</v>
      </c>
      <c r="AU73" t="str">
        <f t="shared" si="54"/>
        <v/>
      </c>
      <c r="AV73">
        <f>IF(OR(D73=0,'Исходные данные'!$B$9="",'Исходные данные'!$B$90=""),0,AT73/(1+'Исходные данные'!$B$90)^((C73-'Исходные данные'!$B$9)/365))</f>
        <v>0</v>
      </c>
      <c r="AW73">
        <f>IF(D73=1,AH73+Расчёты!O73+Расчёты!Q73+Расчёты!S73+Расчёты!U73+Расчёты!W73+Расчёты!X73+AK73+AN73,0)</f>
        <v>0</v>
      </c>
      <c r="AX73">
        <f>IF(AND(D73=1,AU73&gt;=0,AU72&lt;0,MIN($AU$2:AU73)&lt;0),1,0)</f>
        <v>0</v>
      </c>
      <c r="AY73">
        <f>IF(Расчёты!F73=0,0,IF(Расчёты!G73=1,N('Сценарный анализ'!$D$5),IF(Расчёты!G73=2,N('Сценарный анализ'!$D$6),IF(Расчёты!G73=3,N('Сценарный анализ'!$D$7),N('Сценарный анализ'!$D$7)*(1+N('Сценарный анализ'!$D$8))^(Расчёты!G73-3)))))</f>
        <v>0</v>
      </c>
      <c r="AZ73">
        <f>IF(OR(Расчёты!F73=0,N('Исходные данные'!$B$5)=0,AY73=0),0,N('Исходные данные'!$B$5)*AY73*IF(AND(B73&lt;='Исходные данные'!$B$30,Расчёты!C73&gt;='Исходные данные'!$B$30),(Расчёты!C73-'Исходные данные'!$B$30+1)/DAY(Расчёты!C73),1))</f>
        <v>0</v>
      </c>
      <c r="BA73">
        <f>IF(AND(Расчёты!F73&gt;0,Расчёты!F73&lt;=N('Исходные данные'!$B$37)),-AZ73,0)</f>
        <v>0</v>
      </c>
      <c r="BB73">
        <f>IF(OR(Расчёты!F73=0,Расчёты!F73&lt;=N('Исходные данные'!$B$37)),0,-(AZ73+BA73)*N('Сценарный анализ'!$D$9))</f>
        <v>0</v>
      </c>
      <c r="BC73">
        <f t="shared" si="47"/>
        <v>0</v>
      </c>
      <c r="BD73">
        <f>IF('Исходные данные'!$B$51="Да",BC73*N('Исходные данные'!$B$52),0)</f>
        <v>0</v>
      </c>
      <c r="BE73">
        <f t="shared" si="48"/>
        <v>0</v>
      </c>
      <c r="BF73">
        <f>BC73+(Расчёты!Y73-Расчёты!L73)</f>
        <v>0</v>
      </c>
      <c r="BG73">
        <f t="shared" si="55"/>
        <v>0</v>
      </c>
      <c r="BH73">
        <f>IF('Исходные данные'!$B$51="Да",-MAX(0,BD73+Расчёты!R73+Расчёты!V73-Расчёты!P73-Расчёты!T73-BG73),0)</f>
        <v>0</v>
      </c>
      <c r="BI73">
        <f>IF('Исходные данные'!$B$51="Да",MAX(0,BG73+Расчёты!P73+Расчёты!T73-BD73-Расчёты!R73-Расчёты!V73),0)</f>
        <v>0</v>
      </c>
      <c r="BJ73">
        <f>IF('Исходные данные'!$B$53="Выручка",MAX(0,BC73+(Расчёты!Q73-Расчёты!R73)+(Расчёты!U73-Расчёты!V73)),IF('Исходные данные'!$B$53="Прибыль до налога",MAX(0,BC73+(Расчёты!Q73-Расчёты!R73)+(Расчёты!U73-Расчёты!V73)+N('Исходные данные'!$B$54)*((Расчёты!O73+Расчёты!P73)+(Расчёты!S73+Расчёты!T73)+Расчёты!W73+Расчёты!X73)+IF('Исходные данные'!$B$55="Да",Расчёты!AG73,0)-N('Исходные данные'!$B$56)/12),IF('Исходные данные'!$B$53="Пользовательская база",MAX(0,N('Исходные данные'!$B$57)/12),0)))</f>
        <v>0</v>
      </c>
      <c r="BK73">
        <f>IF(D73=1,-BJ73*N('Исходные данные'!$B$50),0)</f>
        <v>0</v>
      </c>
      <c r="BL73">
        <f t="shared" si="49"/>
        <v>0</v>
      </c>
      <c r="BM73">
        <f>IF(OR(D73&lt;&gt;1,B73="",'Исходные данные'!$B$91="",N('Исходные данные'!$B$80)&lt;=0,'Исходные данные'!$B$88=""),0,IF(AND(YEAR(B73)=YEAR('Исходные данные'!$B$91),MONTH(B73)=MONTH('Исходные данные'!$B$91)),MAX(0,IF('Исходные данные'!$B$88="Последние 12 месяцев",SUMIFS($BF$2:$BF$194,$B$2:$B$194,"&gt;="&amp;EDATE(B73,-11),$B$2:$B$194,"&lt;="&amp;B73),IF('Исходные данные'!$B$88="Пользовательский NOI",N('Исходные данные'!$B$89),BL73))/N('Исходные данные'!$B$80)*(1+N('Исходные данные'!$B$81))),0))</f>
        <v>0</v>
      </c>
      <c r="BN73">
        <f>-BM73*N('Исходные данные'!$B$73)</f>
        <v>0</v>
      </c>
      <c r="BO73">
        <f>IF(BM73=0,0,-N('Исходные данные'!$B$87)-IF('Исходные данные'!$B$82="Да",IF('Исходные данные'!$B$84="С выручки",BM73,IF('Исходные данные'!$B$84="С прибыли",MAX(0,BM73+BN73-IF('Исходные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73">
        <f t="shared" si="50"/>
        <v>0</v>
      </c>
      <c r="BQ73">
        <f>IF(D73=1,Расчёты!AZ73+BE73+BH73+BK73+BP73,0)</f>
        <v>0</v>
      </c>
      <c r="BR73" t="str">
        <f t="shared" si="56"/>
        <v/>
      </c>
      <c r="BS73">
        <f>IF(OR(D73=0,'Исходные данные'!$B$9="",'Исходные данные'!$B$90=""),0,BQ73/(1+'Исходные данные'!$B$90)^((C73-'Исходные данные'!$B$9)/365))</f>
        <v>0</v>
      </c>
      <c r="BT73">
        <f>IF(D73=1,BE73+Расчёты!O73+Расчёты!Q73+Расчёты!S73+Расчёты!U73+Расчёты!W73+Расчёты!X73+BH73+BK73,0)</f>
        <v>0</v>
      </c>
      <c r="BU73">
        <f>IF(AND(D73=1,BR73&gt;=0,BR72&lt;0,MIN($BR$2:BR73)&lt;0),1,0)</f>
        <v>0</v>
      </c>
      <c r="BV73">
        <f>Расчёты!AZ73+K73+N73-P73*N('Исходные данные'!$B$50)</f>
        <v>0</v>
      </c>
      <c r="BW73">
        <f t="shared" si="57"/>
        <v>0</v>
      </c>
      <c r="BX73">
        <f>IF(AND(BW73&gt;=0,BW72&lt;0,MIN($BW$2:BW73)&lt;0),1,0)</f>
        <v>0</v>
      </c>
      <c r="BY73">
        <f>Расчёты!AZ73+AH73+AK73-AM73*N('Исходные данные'!$B$50)</f>
        <v>0</v>
      </c>
      <c r="BZ73">
        <f t="shared" si="58"/>
        <v>0</v>
      </c>
      <c r="CA73">
        <f>IF(AND(BZ73&gt;=0,BZ72&lt;0,MIN($BZ$2:BZ73)&lt;0),1,0)</f>
        <v>0</v>
      </c>
      <c r="CB73">
        <f>Расчёты!AZ73+BE73+BH73-BJ73*N('Исходные данные'!$B$50)</f>
        <v>0</v>
      </c>
      <c r="CC73">
        <f t="shared" si="59"/>
        <v>0</v>
      </c>
      <c r="CD73">
        <f>IF(AND(CC73&gt;=0,CC72&lt;0,MIN($CC$2:CC73)&lt;0),1,0)</f>
        <v>0</v>
      </c>
    </row>
    <row r="74" spans="1:82" x14ac:dyDescent="0.2">
      <c r="A74">
        <f>Расчёты!A74</f>
        <v>73</v>
      </c>
      <c r="B74" t="str">
        <f>Расчёты!B74</f>
        <v/>
      </c>
      <c r="C74" t="str">
        <f>Расчёты!D74</f>
        <v/>
      </c>
      <c r="D74">
        <f>Расчёты!E74</f>
        <v>0</v>
      </c>
      <c r="E74">
        <f>IF(Расчёты!F74=0,0,IF(Расчёты!G74=1,N('Сценарный анализ'!$B$5),IF(Расчёты!G74=2,N('Сценарный анализ'!$B$6),IF(Расчёты!G74=3,N('Сценарный анализ'!$B$7),N('Сценарный анализ'!$B$7)*(1+N('Сценарный анализ'!$B$8))^(Расчёты!G74-3)))))</f>
        <v>0</v>
      </c>
      <c r="F74">
        <f>IF(OR(Расчёты!F74=0,N('Исходные данные'!$B$5)=0,E74=0),0,N('Исходные данные'!$B$5)*E74*IF(AND(B74&lt;='Исходные данные'!$B$30,Расчёты!C74&gt;='Исходные данные'!$B$30),(Расчёты!C74-'Исходные данные'!$B$30+1)/DAY(Расчёты!C74),1))</f>
        <v>0</v>
      </c>
      <c r="G74">
        <f>IF(AND(Расчёты!F74&gt;0,Расчёты!F74&lt;=N('Исходные данные'!$B$37)),-F74,0)</f>
        <v>0</v>
      </c>
      <c r="H74">
        <f>IF(OR(Расчёты!F74=0,Расчёты!F74&lt;=N('Исходные данные'!$B$37)),0,-(F74+G74)*N('Сценарный анализ'!$B$9))</f>
        <v>0</v>
      </c>
      <c r="I74">
        <f t="shared" si="39"/>
        <v>0</v>
      </c>
      <c r="J74">
        <f>IF('Исходные данные'!$B$51="Да",I74*N('Исходные данные'!$B$52),0)</f>
        <v>0</v>
      </c>
      <c r="K74">
        <f t="shared" si="40"/>
        <v>0</v>
      </c>
      <c r="L74">
        <f>I74+(Расчёты!Y74-Расчёты!L74)</f>
        <v>0</v>
      </c>
      <c r="M74">
        <f t="shared" si="51"/>
        <v>0</v>
      </c>
      <c r="N74">
        <f>IF('Исходные данные'!$B$51="Да",-MAX(0,J74+Расчёты!R74+Расчёты!V74-Расчёты!P74-Расчёты!T74-M74),0)</f>
        <v>0</v>
      </c>
      <c r="O74">
        <f>IF('Исходные данные'!$B$51="Да",MAX(0,M74+Расчёты!P74+Расчёты!T74-J74-Расчёты!R74-Расчёты!V74),0)</f>
        <v>0</v>
      </c>
      <c r="P74">
        <f>IF('Исходные данные'!$B$53="Выручка",MAX(0,I74+(Расчёты!Q74-Расчёты!R74)+(Расчёты!U74-Расчёты!V74)),IF('Исходные данные'!$B$53="Прибыль до налога",MAX(0,I74+(Расчёты!Q74-Расчёты!R74)+(Расчёты!U74-Расчёты!V74)+N('Исходные данные'!$B$54)*((Расчёты!O74+Расчёты!P74)+(Расчёты!S74+Расчёты!T74)+Расчёты!W74+Расчёты!X74)+IF('Исходные данные'!$B$55="Да",Расчёты!AG74,0)-N('Исходные данные'!$B$56)/12),IF('Исходные данные'!$B$53="Пользовательская база",MAX(0,N('Исходные данные'!$B$57)/12),0)))</f>
        <v>0</v>
      </c>
      <c r="Q74">
        <f>IF(D74=1,-P74*N('Исходные данные'!$B$50),0)</f>
        <v>0</v>
      </c>
      <c r="R74">
        <f t="shared" si="41"/>
        <v>0</v>
      </c>
      <c r="S74">
        <f>IF(OR(D74&lt;&gt;1,B74="",'Исходные данные'!$B$91="",N('Исходные данные'!$B$80)&lt;=0,'Исходные данные'!$B$88=""),0,IF(AND(YEAR(B74)=YEAR('Исходные данные'!$B$91),MONTH(B74)=MONTH('Исходные данные'!$B$91)),MAX(0,IF('Исходные данные'!$B$88="Последние 12 месяцев",SUMIFS($L$2:$L$194,$B$2:$B$194,"&gt;="&amp;EDATE(B74,-11),$B$2:$B$194,"&lt;="&amp;B74),IF('Исходные данные'!$B$88="Пользовательский NOI",N('Исходные данные'!$B$89),R74))/N('Исходные данные'!$B$80)*(1+N('Исходные данные'!$B$81))),0))</f>
        <v>0</v>
      </c>
      <c r="T74">
        <f>-S74*N('Исходные данные'!$B$73)</f>
        <v>0</v>
      </c>
      <c r="U74">
        <f>IF(S74=0,0,-N('Исходные данные'!$B$87)-IF('Исходные данные'!$B$82="Да",IF('Исходные данные'!$B$84="С выручки",S74,IF('Исходные данные'!$B$84="С прибыли",MAX(0,S74+T74-IF('Исходные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74">
        <f t="shared" si="42"/>
        <v>0</v>
      </c>
      <c r="W74">
        <f>IF(D74=1,Расчёты!AZ74+K74+N74+Q74+V74,0)</f>
        <v>0</v>
      </c>
      <c r="X74" t="str">
        <f t="shared" si="52"/>
        <v/>
      </c>
      <c r="Y74">
        <f>IF(OR(D74=0,'Исходные данные'!$B$9="",'Исходные данные'!$B$90=""),0,W74/(1+'Исходные данные'!$B$90)^((C74-'Исходные данные'!$B$9)/365))</f>
        <v>0</v>
      </c>
      <c r="Z74">
        <f>IF(D74=1,K74+Расчёты!O74+Расчёты!Q74+Расчёты!S74+Расчёты!U74+Расчёты!W74+Расчёты!X74+N74+Q74,0)</f>
        <v>0</v>
      </c>
      <c r="AA74">
        <f>IF(AND(D74=1,X74&gt;=0,X73&lt;0,MIN($X$2:X74)&lt;0),1,0)</f>
        <v>0</v>
      </c>
      <c r="AB74">
        <f>IF(Расчёты!F74=0,0,IF(Расчёты!G74=1,N('Сценарный анализ'!$C$5),IF(Расчёты!G74=2,N('Сценарный анализ'!$C$6),IF(Расчёты!G74=3,N('Сценарный анализ'!$C$7),N('Сценарный анализ'!$C$7)*(1+N('Сценарный анализ'!$C$8))^(Расчёты!G74-3)))))</f>
        <v>0</v>
      </c>
      <c r="AC74">
        <f>IF(OR(Расчёты!F74=0,N('Исходные данные'!$B$5)=0,AB74=0),0,N('Исходные данные'!$B$5)*AB74*IF(AND(B74&lt;='Исходные данные'!$B$30,Расчёты!C74&gt;='Исходные данные'!$B$30),(Расчёты!C74-'Исходные данные'!$B$30+1)/DAY(Расчёты!C74),1))</f>
        <v>0</v>
      </c>
      <c r="AD74">
        <f>IF(AND(Расчёты!F74&gt;0,Расчёты!F74&lt;=N('Исходные данные'!$B$37)),-AC74,0)</f>
        <v>0</v>
      </c>
      <c r="AE74">
        <f>IF(OR(Расчёты!F74=0,Расчёты!F74&lt;=N('Исходные данные'!$B$37)),0,-(AC74+AD74)*N('Сценарный анализ'!$C$9))</f>
        <v>0</v>
      </c>
      <c r="AF74">
        <f t="shared" si="43"/>
        <v>0</v>
      </c>
      <c r="AG74">
        <f>IF('Исходные данные'!$B$51="Да",AF74*N('Исходные данные'!$B$52),0)</f>
        <v>0</v>
      </c>
      <c r="AH74">
        <f t="shared" si="44"/>
        <v>0</v>
      </c>
      <c r="AI74">
        <f>AF74+(Расчёты!Y74-Расчёты!L74)</f>
        <v>0</v>
      </c>
      <c r="AJ74">
        <f t="shared" si="53"/>
        <v>0</v>
      </c>
      <c r="AK74">
        <f>IF('Исходные данные'!$B$51="Да",-MAX(0,AG74+Расчёты!R74+Расчёты!V74-Расчёты!P74-Расчёты!T74-AJ74),0)</f>
        <v>0</v>
      </c>
      <c r="AL74">
        <f>IF('Исходные данные'!$B$51="Да",MAX(0,AJ74+Расчёты!P74+Расчёты!T74-AG74-Расчёты!R74-Расчёты!V74),0)</f>
        <v>0</v>
      </c>
      <c r="AM74">
        <f>IF('Исходные данные'!$B$53="Выручка",MAX(0,AF74+(Расчёты!Q74-Расчёты!R74)+(Расчёты!U74-Расчёты!V74)),IF('Исходные данные'!$B$53="Прибыль до налога",MAX(0,AF74+(Расчёты!Q74-Расчёты!R74)+(Расчёты!U74-Расчёты!V74)+N('Исходные данные'!$B$54)*((Расчёты!O74+Расчёты!P74)+(Расчёты!S74+Расчёты!T74)+Расчёты!W74+Расчёты!X74)+IF('Исходные данные'!$B$55="Да",Расчёты!AG74,0)-N('Исходные данные'!$B$56)/12),IF('Исходные данные'!$B$53="Пользовательская база",MAX(0,N('Исходные данные'!$B$57)/12),0)))</f>
        <v>0</v>
      </c>
      <c r="AN74">
        <f>IF(D74=1,-AM74*N('Исходные данные'!$B$50),0)</f>
        <v>0</v>
      </c>
      <c r="AO74">
        <f t="shared" si="45"/>
        <v>0</v>
      </c>
      <c r="AP74">
        <f>IF(OR(D74&lt;&gt;1,B74="",'Исходные данные'!$B$91="",N('Исходные данные'!$B$80)&lt;=0,'Исходные данные'!$B$88=""),0,IF(AND(YEAR(B74)=YEAR('Исходные данные'!$B$91),MONTH(B74)=MONTH('Исходные данные'!$B$91)),MAX(0,IF('Исходные данные'!$B$88="Последние 12 месяцев",SUMIFS($AI$2:$AI$194,$B$2:$B$194,"&gt;="&amp;EDATE(B74,-11),$B$2:$B$194,"&lt;="&amp;B74),IF('Исходные данные'!$B$88="Пользовательский NOI",N('Исходные данные'!$B$89),AO74))/N('Исходные данные'!$B$80)*(1+N('Исходные данные'!$B$81))),0))</f>
        <v>0</v>
      </c>
      <c r="AQ74">
        <f>-AP74*N('Исходные данные'!$B$73)</f>
        <v>0</v>
      </c>
      <c r="AR74">
        <f>IF(AP74=0,0,-N('Исходные данные'!$B$87)-IF('Исходные данные'!$B$82="Да",IF('Исходные данные'!$B$84="С выручки",AP74,IF('Исходные данные'!$B$84="С прибыли",MAX(0,AP74+AQ74-IF('Исходные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74">
        <f t="shared" si="46"/>
        <v>0</v>
      </c>
      <c r="AT74">
        <f>IF(D74=1,Расчёты!AZ74+AH74+AK74+AN74+AS74,0)</f>
        <v>0</v>
      </c>
      <c r="AU74" t="str">
        <f t="shared" si="54"/>
        <v/>
      </c>
      <c r="AV74">
        <f>IF(OR(D74=0,'Исходные данные'!$B$9="",'Исходные данные'!$B$90=""),0,AT74/(1+'Исходные данные'!$B$90)^((C74-'Исходные данные'!$B$9)/365))</f>
        <v>0</v>
      </c>
      <c r="AW74">
        <f>IF(D74=1,AH74+Расчёты!O74+Расчёты!Q74+Расчёты!S74+Расчёты!U74+Расчёты!W74+Расчёты!X74+AK74+AN74,0)</f>
        <v>0</v>
      </c>
      <c r="AX74">
        <f>IF(AND(D74=1,AU74&gt;=0,AU73&lt;0,MIN($AU$2:AU74)&lt;0),1,0)</f>
        <v>0</v>
      </c>
      <c r="AY74">
        <f>IF(Расчёты!F74=0,0,IF(Расчёты!G74=1,N('Сценарный анализ'!$D$5),IF(Расчёты!G74=2,N('Сценарный анализ'!$D$6),IF(Расчёты!G74=3,N('Сценарный анализ'!$D$7),N('Сценарный анализ'!$D$7)*(1+N('Сценарный анализ'!$D$8))^(Расчёты!G74-3)))))</f>
        <v>0</v>
      </c>
      <c r="AZ74">
        <f>IF(OR(Расчёты!F74=0,N('Исходные данные'!$B$5)=0,AY74=0),0,N('Исходные данные'!$B$5)*AY74*IF(AND(B74&lt;='Исходные данные'!$B$30,Расчёты!C74&gt;='Исходные данные'!$B$30),(Расчёты!C74-'Исходные данные'!$B$30+1)/DAY(Расчёты!C74),1))</f>
        <v>0</v>
      </c>
      <c r="BA74">
        <f>IF(AND(Расчёты!F74&gt;0,Расчёты!F74&lt;=N('Исходные данные'!$B$37)),-AZ74,0)</f>
        <v>0</v>
      </c>
      <c r="BB74">
        <f>IF(OR(Расчёты!F74=0,Расчёты!F74&lt;=N('Исходные данные'!$B$37)),0,-(AZ74+BA74)*N('Сценарный анализ'!$D$9))</f>
        <v>0</v>
      </c>
      <c r="BC74">
        <f t="shared" si="47"/>
        <v>0</v>
      </c>
      <c r="BD74">
        <f>IF('Исходные данные'!$B$51="Да",BC74*N('Исходные данные'!$B$52),0)</f>
        <v>0</v>
      </c>
      <c r="BE74">
        <f t="shared" si="48"/>
        <v>0</v>
      </c>
      <c r="BF74">
        <f>BC74+(Расчёты!Y74-Расчёты!L74)</f>
        <v>0</v>
      </c>
      <c r="BG74">
        <f t="shared" si="55"/>
        <v>0</v>
      </c>
      <c r="BH74">
        <f>IF('Исходные данные'!$B$51="Да",-MAX(0,BD74+Расчёты!R74+Расчёты!V74-Расчёты!P74-Расчёты!T74-BG74),0)</f>
        <v>0</v>
      </c>
      <c r="BI74">
        <f>IF('Исходные данные'!$B$51="Да",MAX(0,BG74+Расчёты!P74+Расчёты!T74-BD74-Расчёты!R74-Расчёты!V74),0)</f>
        <v>0</v>
      </c>
      <c r="BJ74">
        <f>IF('Исходные данные'!$B$53="Выручка",MAX(0,BC74+(Расчёты!Q74-Расчёты!R74)+(Расчёты!U74-Расчёты!V74)),IF('Исходные данные'!$B$53="Прибыль до налога",MAX(0,BC74+(Расчёты!Q74-Расчёты!R74)+(Расчёты!U74-Расчёты!V74)+N('Исходные данные'!$B$54)*((Расчёты!O74+Расчёты!P74)+(Расчёты!S74+Расчёты!T74)+Расчёты!W74+Расчёты!X74)+IF('Исходные данные'!$B$55="Да",Расчёты!AG74,0)-N('Исходные данные'!$B$56)/12),IF('Исходные данные'!$B$53="Пользовательская база",MAX(0,N('Исходные данные'!$B$57)/12),0)))</f>
        <v>0</v>
      </c>
      <c r="BK74">
        <f>IF(D74=1,-BJ74*N('Исходные данные'!$B$50),0)</f>
        <v>0</v>
      </c>
      <c r="BL74">
        <f t="shared" si="49"/>
        <v>0</v>
      </c>
      <c r="BM74">
        <f>IF(OR(D74&lt;&gt;1,B74="",'Исходные данные'!$B$91="",N('Исходные данные'!$B$80)&lt;=0,'Исходные данные'!$B$88=""),0,IF(AND(YEAR(B74)=YEAR('Исходные данные'!$B$91),MONTH(B74)=MONTH('Исходные данные'!$B$91)),MAX(0,IF('Исходные данные'!$B$88="Последние 12 месяцев",SUMIFS($BF$2:$BF$194,$B$2:$B$194,"&gt;="&amp;EDATE(B74,-11),$B$2:$B$194,"&lt;="&amp;B74),IF('Исходные данные'!$B$88="Пользовательский NOI",N('Исходные данные'!$B$89),BL74))/N('Исходные данные'!$B$80)*(1+N('Исходные данные'!$B$81))),0))</f>
        <v>0</v>
      </c>
      <c r="BN74">
        <f>-BM74*N('Исходные данные'!$B$73)</f>
        <v>0</v>
      </c>
      <c r="BO74">
        <f>IF(BM74=0,0,-N('Исходные данные'!$B$87)-IF('Исходные данные'!$B$82="Да",IF('Исходные данные'!$B$84="С выручки",BM74,IF('Исходные данные'!$B$84="С прибыли",MAX(0,BM74+BN74-IF('Исходные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74">
        <f t="shared" si="50"/>
        <v>0</v>
      </c>
      <c r="BQ74">
        <f>IF(D74=1,Расчёты!AZ74+BE74+BH74+BK74+BP74,0)</f>
        <v>0</v>
      </c>
      <c r="BR74" t="str">
        <f t="shared" si="56"/>
        <v/>
      </c>
      <c r="BS74">
        <f>IF(OR(D74=0,'Исходные данные'!$B$9="",'Исходные данные'!$B$90=""),0,BQ74/(1+'Исходные данные'!$B$90)^((C74-'Исходные данные'!$B$9)/365))</f>
        <v>0</v>
      </c>
      <c r="BT74">
        <f>IF(D74=1,BE74+Расчёты!O74+Расчёты!Q74+Расчёты!S74+Расчёты!U74+Расчёты!W74+Расчёты!X74+BH74+BK74,0)</f>
        <v>0</v>
      </c>
      <c r="BU74">
        <f>IF(AND(D74=1,BR74&gt;=0,BR73&lt;0,MIN($BR$2:BR74)&lt;0),1,0)</f>
        <v>0</v>
      </c>
      <c r="BV74">
        <f>Расчёты!AZ74+K74+N74-P74*N('Исходные данные'!$B$50)</f>
        <v>0</v>
      </c>
      <c r="BW74">
        <f t="shared" si="57"/>
        <v>0</v>
      </c>
      <c r="BX74">
        <f>IF(AND(BW74&gt;=0,BW73&lt;0,MIN($BW$2:BW74)&lt;0),1,0)</f>
        <v>0</v>
      </c>
      <c r="BY74">
        <f>Расчёты!AZ74+AH74+AK74-AM74*N('Исходные данные'!$B$50)</f>
        <v>0</v>
      </c>
      <c r="BZ74">
        <f t="shared" si="58"/>
        <v>0</v>
      </c>
      <c r="CA74">
        <f>IF(AND(BZ74&gt;=0,BZ73&lt;0,MIN($BZ$2:BZ74)&lt;0),1,0)</f>
        <v>0</v>
      </c>
      <c r="CB74">
        <f>Расчёты!AZ74+BE74+BH74-BJ74*N('Исходные данные'!$B$50)</f>
        <v>0</v>
      </c>
      <c r="CC74">
        <f t="shared" si="59"/>
        <v>0</v>
      </c>
      <c r="CD74">
        <f>IF(AND(CC74&gt;=0,CC73&lt;0,MIN($CC$2:CC74)&lt;0),1,0)</f>
        <v>0</v>
      </c>
    </row>
    <row r="75" spans="1:82" x14ac:dyDescent="0.2">
      <c r="A75">
        <f>Расчёты!A75</f>
        <v>74</v>
      </c>
      <c r="B75" t="str">
        <f>Расчёты!B75</f>
        <v/>
      </c>
      <c r="C75" t="str">
        <f>Расчёты!D75</f>
        <v/>
      </c>
      <c r="D75">
        <f>Расчёты!E75</f>
        <v>0</v>
      </c>
      <c r="E75">
        <f>IF(Расчёты!F75=0,0,IF(Расчёты!G75=1,N('Сценарный анализ'!$B$5),IF(Расчёты!G75=2,N('Сценарный анализ'!$B$6),IF(Расчёты!G75=3,N('Сценарный анализ'!$B$7),N('Сценарный анализ'!$B$7)*(1+N('Сценарный анализ'!$B$8))^(Расчёты!G75-3)))))</f>
        <v>0</v>
      </c>
      <c r="F75">
        <f>IF(OR(Расчёты!F75=0,N('Исходные данные'!$B$5)=0,E75=0),0,N('Исходные данные'!$B$5)*E75*IF(AND(B75&lt;='Исходные данные'!$B$30,Расчёты!C75&gt;='Исходные данные'!$B$30),(Расчёты!C75-'Исходные данные'!$B$30+1)/DAY(Расчёты!C75),1))</f>
        <v>0</v>
      </c>
      <c r="G75">
        <f>IF(AND(Расчёты!F75&gt;0,Расчёты!F75&lt;=N('Исходные данные'!$B$37)),-F75,0)</f>
        <v>0</v>
      </c>
      <c r="H75">
        <f>IF(OR(Расчёты!F75=0,Расчёты!F75&lt;=N('Исходные данные'!$B$37)),0,-(F75+G75)*N('Сценарный анализ'!$B$9))</f>
        <v>0</v>
      </c>
      <c r="I75">
        <f t="shared" si="39"/>
        <v>0</v>
      </c>
      <c r="J75">
        <f>IF('Исходные данные'!$B$51="Да",I75*N('Исходные данные'!$B$52),0)</f>
        <v>0</v>
      </c>
      <c r="K75">
        <f t="shared" si="40"/>
        <v>0</v>
      </c>
      <c r="L75">
        <f>I75+(Расчёты!Y75-Расчёты!L75)</f>
        <v>0</v>
      </c>
      <c r="M75">
        <f t="shared" si="51"/>
        <v>0</v>
      </c>
      <c r="N75">
        <f>IF('Исходные данные'!$B$51="Да",-MAX(0,J75+Расчёты!R75+Расчёты!V75-Расчёты!P75-Расчёты!T75-M75),0)</f>
        <v>0</v>
      </c>
      <c r="O75">
        <f>IF('Исходные данные'!$B$51="Да",MAX(0,M75+Расчёты!P75+Расчёты!T75-J75-Расчёты!R75-Расчёты!V75),0)</f>
        <v>0</v>
      </c>
      <c r="P75">
        <f>IF('Исходные данные'!$B$53="Выручка",MAX(0,I75+(Расчёты!Q75-Расчёты!R75)+(Расчёты!U75-Расчёты!V75)),IF('Исходные данные'!$B$53="Прибыль до налога",MAX(0,I75+(Расчёты!Q75-Расчёты!R75)+(Расчёты!U75-Расчёты!V75)+N('Исходные данные'!$B$54)*((Расчёты!O75+Расчёты!P75)+(Расчёты!S75+Расчёты!T75)+Расчёты!W75+Расчёты!X75)+IF('Исходные данные'!$B$55="Да",Расчёты!AG75,0)-N('Исходные данные'!$B$56)/12),IF('Исходные данные'!$B$53="Пользовательская база",MAX(0,N('Исходные данные'!$B$57)/12),0)))</f>
        <v>0</v>
      </c>
      <c r="Q75">
        <f>IF(D75=1,-P75*N('Исходные данные'!$B$50),0)</f>
        <v>0</v>
      </c>
      <c r="R75">
        <f t="shared" si="41"/>
        <v>0</v>
      </c>
      <c r="S75">
        <f>IF(OR(D75&lt;&gt;1,B75="",'Исходные данные'!$B$91="",N('Исходные данные'!$B$80)&lt;=0,'Исходные данные'!$B$88=""),0,IF(AND(YEAR(B75)=YEAR('Исходные данные'!$B$91),MONTH(B75)=MONTH('Исходные данные'!$B$91)),MAX(0,IF('Исходные данные'!$B$88="Последние 12 месяцев",SUMIFS($L$2:$L$194,$B$2:$B$194,"&gt;="&amp;EDATE(B75,-11),$B$2:$B$194,"&lt;="&amp;B75),IF('Исходные данные'!$B$88="Пользовательский NOI",N('Исходные данные'!$B$89),R75))/N('Исходные данные'!$B$80)*(1+N('Исходные данные'!$B$81))),0))</f>
        <v>0</v>
      </c>
      <c r="T75">
        <f>-S75*N('Исходные данные'!$B$73)</f>
        <v>0</v>
      </c>
      <c r="U75">
        <f>IF(S75=0,0,-N('Исходные данные'!$B$87)-IF('Исходные данные'!$B$82="Да",IF('Исходные данные'!$B$84="С выручки",S75,IF('Исходные данные'!$B$84="С прибыли",MAX(0,S75+T75-IF('Исходные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75">
        <f t="shared" si="42"/>
        <v>0</v>
      </c>
      <c r="W75">
        <f>IF(D75=1,Расчёты!AZ75+K75+N75+Q75+V75,0)</f>
        <v>0</v>
      </c>
      <c r="X75" t="str">
        <f t="shared" si="52"/>
        <v/>
      </c>
      <c r="Y75">
        <f>IF(OR(D75=0,'Исходные данные'!$B$9="",'Исходные данные'!$B$90=""),0,W75/(1+'Исходные данные'!$B$90)^((C75-'Исходные данные'!$B$9)/365))</f>
        <v>0</v>
      </c>
      <c r="Z75">
        <f>IF(D75=1,K75+Расчёты!O75+Расчёты!Q75+Расчёты!S75+Расчёты!U75+Расчёты!W75+Расчёты!X75+N75+Q75,0)</f>
        <v>0</v>
      </c>
      <c r="AA75">
        <f>IF(AND(D75=1,X75&gt;=0,X74&lt;0,MIN($X$2:X75)&lt;0),1,0)</f>
        <v>0</v>
      </c>
      <c r="AB75">
        <f>IF(Расчёты!F75=0,0,IF(Расчёты!G75=1,N('Сценарный анализ'!$C$5),IF(Расчёты!G75=2,N('Сценарный анализ'!$C$6),IF(Расчёты!G75=3,N('Сценарный анализ'!$C$7),N('Сценарный анализ'!$C$7)*(1+N('Сценарный анализ'!$C$8))^(Расчёты!G75-3)))))</f>
        <v>0</v>
      </c>
      <c r="AC75">
        <f>IF(OR(Расчёты!F75=0,N('Исходные данные'!$B$5)=0,AB75=0),0,N('Исходные данные'!$B$5)*AB75*IF(AND(B75&lt;='Исходные данные'!$B$30,Расчёты!C75&gt;='Исходные данные'!$B$30),(Расчёты!C75-'Исходные данные'!$B$30+1)/DAY(Расчёты!C75),1))</f>
        <v>0</v>
      </c>
      <c r="AD75">
        <f>IF(AND(Расчёты!F75&gt;0,Расчёты!F75&lt;=N('Исходные данные'!$B$37)),-AC75,0)</f>
        <v>0</v>
      </c>
      <c r="AE75">
        <f>IF(OR(Расчёты!F75=0,Расчёты!F75&lt;=N('Исходные данные'!$B$37)),0,-(AC75+AD75)*N('Сценарный анализ'!$C$9))</f>
        <v>0</v>
      </c>
      <c r="AF75">
        <f t="shared" si="43"/>
        <v>0</v>
      </c>
      <c r="AG75">
        <f>IF('Исходные данные'!$B$51="Да",AF75*N('Исходные данные'!$B$52),0)</f>
        <v>0</v>
      </c>
      <c r="AH75">
        <f t="shared" si="44"/>
        <v>0</v>
      </c>
      <c r="AI75">
        <f>AF75+(Расчёты!Y75-Расчёты!L75)</f>
        <v>0</v>
      </c>
      <c r="AJ75">
        <f t="shared" si="53"/>
        <v>0</v>
      </c>
      <c r="AK75">
        <f>IF('Исходные данные'!$B$51="Да",-MAX(0,AG75+Расчёты!R75+Расчёты!V75-Расчёты!P75-Расчёты!T75-AJ75),0)</f>
        <v>0</v>
      </c>
      <c r="AL75">
        <f>IF('Исходные данные'!$B$51="Да",MAX(0,AJ75+Расчёты!P75+Расчёты!T75-AG75-Расчёты!R75-Расчёты!V75),0)</f>
        <v>0</v>
      </c>
      <c r="AM75">
        <f>IF('Исходные данные'!$B$53="Выручка",MAX(0,AF75+(Расчёты!Q75-Расчёты!R75)+(Расчёты!U75-Расчёты!V75)),IF('Исходные данные'!$B$53="Прибыль до налога",MAX(0,AF75+(Расчёты!Q75-Расчёты!R75)+(Расчёты!U75-Расчёты!V75)+N('Исходные данные'!$B$54)*((Расчёты!O75+Расчёты!P75)+(Расчёты!S75+Расчёты!T75)+Расчёты!W75+Расчёты!X75)+IF('Исходные данные'!$B$55="Да",Расчёты!AG75,0)-N('Исходные данные'!$B$56)/12),IF('Исходные данные'!$B$53="Пользовательская база",MAX(0,N('Исходные данные'!$B$57)/12),0)))</f>
        <v>0</v>
      </c>
      <c r="AN75">
        <f>IF(D75=1,-AM75*N('Исходные данные'!$B$50),0)</f>
        <v>0</v>
      </c>
      <c r="AO75">
        <f t="shared" si="45"/>
        <v>0</v>
      </c>
      <c r="AP75">
        <f>IF(OR(D75&lt;&gt;1,B75="",'Исходные данные'!$B$91="",N('Исходные данные'!$B$80)&lt;=0,'Исходные данные'!$B$88=""),0,IF(AND(YEAR(B75)=YEAR('Исходные данные'!$B$91),MONTH(B75)=MONTH('Исходные данные'!$B$91)),MAX(0,IF('Исходные данные'!$B$88="Последние 12 месяцев",SUMIFS($AI$2:$AI$194,$B$2:$B$194,"&gt;="&amp;EDATE(B75,-11),$B$2:$B$194,"&lt;="&amp;B75),IF('Исходные данные'!$B$88="Пользовательский NOI",N('Исходные данные'!$B$89),AO75))/N('Исходные данные'!$B$80)*(1+N('Исходные данные'!$B$81))),0))</f>
        <v>0</v>
      </c>
      <c r="AQ75">
        <f>-AP75*N('Исходные данные'!$B$73)</f>
        <v>0</v>
      </c>
      <c r="AR75">
        <f>IF(AP75=0,0,-N('Исходные данные'!$B$87)-IF('Исходные данные'!$B$82="Да",IF('Исходные данные'!$B$84="С выручки",AP75,IF('Исходные данные'!$B$84="С прибыли",MAX(0,AP75+AQ75-IF('Исходные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75">
        <f t="shared" si="46"/>
        <v>0</v>
      </c>
      <c r="AT75">
        <f>IF(D75=1,Расчёты!AZ75+AH75+AK75+AN75+AS75,0)</f>
        <v>0</v>
      </c>
      <c r="AU75" t="str">
        <f t="shared" si="54"/>
        <v/>
      </c>
      <c r="AV75">
        <f>IF(OR(D75=0,'Исходные данные'!$B$9="",'Исходные данные'!$B$90=""),0,AT75/(1+'Исходные данные'!$B$90)^((C75-'Исходные данные'!$B$9)/365))</f>
        <v>0</v>
      </c>
      <c r="AW75">
        <f>IF(D75=1,AH75+Расчёты!O75+Расчёты!Q75+Расчёты!S75+Расчёты!U75+Расчёты!W75+Расчёты!X75+AK75+AN75,0)</f>
        <v>0</v>
      </c>
      <c r="AX75">
        <f>IF(AND(D75=1,AU75&gt;=0,AU74&lt;0,MIN($AU$2:AU75)&lt;0),1,0)</f>
        <v>0</v>
      </c>
      <c r="AY75">
        <f>IF(Расчёты!F75=0,0,IF(Расчёты!G75=1,N('Сценарный анализ'!$D$5),IF(Расчёты!G75=2,N('Сценарный анализ'!$D$6),IF(Расчёты!G75=3,N('Сценарный анализ'!$D$7),N('Сценарный анализ'!$D$7)*(1+N('Сценарный анализ'!$D$8))^(Расчёты!G75-3)))))</f>
        <v>0</v>
      </c>
      <c r="AZ75">
        <f>IF(OR(Расчёты!F75=0,N('Исходные данные'!$B$5)=0,AY75=0),0,N('Исходные данные'!$B$5)*AY75*IF(AND(B75&lt;='Исходные данные'!$B$30,Расчёты!C75&gt;='Исходные данные'!$B$30),(Расчёты!C75-'Исходные данные'!$B$30+1)/DAY(Расчёты!C75),1))</f>
        <v>0</v>
      </c>
      <c r="BA75">
        <f>IF(AND(Расчёты!F75&gt;0,Расчёты!F75&lt;=N('Исходные данные'!$B$37)),-AZ75,0)</f>
        <v>0</v>
      </c>
      <c r="BB75">
        <f>IF(OR(Расчёты!F75=0,Расчёты!F75&lt;=N('Исходные данные'!$B$37)),0,-(AZ75+BA75)*N('Сценарный анализ'!$D$9))</f>
        <v>0</v>
      </c>
      <c r="BC75">
        <f t="shared" si="47"/>
        <v>0</v>
      </c>
      <c r="BD75">
        <f>IF('Исходные данные'!$B$51="Да",BC75*N('Исходные данные'!$B$52),0)</f>
        <v>0</v>
      </c>
      <c r="BE75">
        <f t="shared" si="48"/>
        <v>0</v>
      </c>
      <c r="BF75">
        <f>BC75+(Расчёты!Y75-Расчёты!L75)</f>
        <v>0</v>
      </c>
      <c r="BG75">
        <f t="shared" si="55"/>
        <v>0</v>
      </c>
      <c r="BH75">
        <f>IF('Исходные данные'!$B$51="Да",-MAX(0,BD75+Расчёты!R75+Расчёты!V75-Расчёты!P75-Расчёты!T75-BG75),0)</f>
        <v>0</v>
      </c>
      <c r="BI75">
        <f>IF('Исходные данные'!$B$51="Да",MAX(0,BG75+Расчёты!P75+Расчёты!T75-BD75-Расчёты!R75-Расчёты!V75),0)</f>
        <v>0</v>
      </c>
      <c r="BJ75">
        <f>IF('Исходные данные'!$B$53="Выручка",MAX(0,BC75+(Расчёты!Q75-Расчёты!R75)+(Расчёты!U75-Расчёты!V75)),IF('Исходные данные'!$B$53="Прибыль до налога",MAX(0,BC75+(Расчёты!Q75-Расчёты!R75)+(Расчёты!U75-Расчёты!V75)+N('Исходные данные'!$B$54)*((Расчёты!O75+Расчёты!P75)+(Расчёты!S75+Расчёты!T75)+Расчёты!W75+Расчёты!X75)+IF('Исходные данные'!$B$55="Да",Расчёты!AG75,0)-N('Исходные данные'!$B$56)/12),IF('Исходные данные'!$B$53="Пользовательская база",MAX(0,N('Исходные данные'!$B$57)/12),0)))</f>
        <v>0</v>
      </c>
      <c r="BK75">
        <f>IF(D75=1,-BJ75*N('Исходные данные'!$B$50),0)</f>
        <v>0</v>
      </c>
      <c r="BL75">
        <f t="shared" si="49"/>
        <v>0</v>
      </c>
      <c r="BM75">
        <f>IF(OR(D75&lt;&gt;1,B75="",'Исходные данные'!$B$91="",N('Исходные данные'!$B$80)&lt;=0,'Исходные данные'!$B$88=""),0,IF(AND(YEAR(B75)=YEAR('Исходные данные'!$B$91),MONTH(B75)=MONTH('Исходные данные'!$B$91)),MAX(0,IF('Исходные данные'!$B$88="Последние 12 месяцев",SUMIFS($BF$2:$BF$194,$B$2:$B$194,"&gt;="&amp;EDATE(B75,-11),$B$2:$B$194,"&lt;="&amp;B75),IF('Исходные данные'!$B$88="Пользовательский NOI",N('Исходные данные'!$B$89),BL75))/N('Исходные данные'!$B$80)*(1+N('Исходные данные'!$B$81))),0))</f>
        <v>0</v>
      </c>
      <c r="BN75">
        <f>-BM75*N('Исходные данные'!$B$73)</f>
        <v>0</v>
      </c>
      <c r="BO75">
        <f>IF(BM75=0,0,-N('Исходные данные'!$B$87)-IF('Исходные данные'!$B$82="Да",IF('Исходные данные'!$B$84="С выручки",BM75,IF('Исходные данные'!$B$84="С прибыли",MAX(0,BM75+BN75-IF('Исходные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75">
        <f t="shared" si="50"/>
        <v>0</v>
      </c>
      <c r="BQ75">
        <f>IF(D75=1,Расчёты!AZ75+BE75+BH75+BK75+BP75,0)</f>
        <v>0</v>
      </c>
      <c r="BR75" t="str">
        <f t="shared" si="56"/>
        <v/>
      </c>
      <c r="BS75">
        <f>IF(OR(D75=0,'Исходные данные'!$B$9="",'Исходные данные'!$B$90=""),0,BQ75/(1+'Исходные данные'!$B$90)^((C75-'Исходные данные'!$B$9)/365))</f>
        <v>0</v>
      </c>
      <c r="BT75">
        <f>IF(D75=1,BE75+Расчёты!O75+Расчёты!Q75+Расчёты!S75+Расчёты!U75+Расчёты!W75+Расчёты!X75+BH75+BK75,0)</f>
        <v>0</v>
      </c>
      <c r="BU75">
        <f>IF(AND(D75=1,BR75&gt;=0,BR74&lt;0,MIN($BR$2:BR75)&lt;0),1,0)</f>
        <v>0</v>
      </c>
      <c r="BV75">
        <f>Расчёты!AZ75+K75+N75-P75*N('Исходные данные'!$B$50)</f>
        <v>0</v>
      </c>
      <c r="BW75">
        <f t="shared" si="57"/>
        <v>0</v>
      </c>
      <c r="BX75">
        <f>IF(AND(BW75&gt;=0,BW74&lt;0,MIN($BW$2:BW75)&lt;0),1,0)</f>
        <v>0</v>
      </c>
      <c r="BY75">
        <f>Расчёты!AZ75+AH75+AK75-AM75*N('Исходные данные'!$B$50)</f>
        <v>0</v>
      </c>
      <c r="BZ75">
        <f t="shared" si="58"/>
        <v>0</v>
      </c>
      <c r="CA75">
        <f>IF(AND(BZ75&gt;=0,BZ74&lt;0,MIN($BZ$2:BZ75)&lt;0),1,0)</f>
        <v>0</v>
      </c>
      <c r="CB75">
        <f>Расчёты!AZ75+BE75+BH75-BJ75*N('Исходные данные'!$B$50)</f>
        <v>0</v>
      </c>
      <c r="CC75">
        <f t="shared" si="59"/>
        <v>0</v>
      </c>
      <c r="CD75">
        <f>IF(AND(CC75&gt;=0,CC74&lt;0,MIN($CC$2:CC75)&lt;0),1,0)</f>
        <v>0</v>
      </c>
    </row>
    <row r="76" spans="1:82" x14ac:dyDescent="0.2">
      <c r="A76">
        <f>Расчёты!A76</f>
        <v>75</v>
      </c>
      <c r="B76" t="str">
        <f>Расчёты!B76</f>
        <v/>
      </c>
      <c r="C76" t="str">
        <f>Расчёты!D76</f>
        <v/>
      </c>
      <c r="D76">
        <f>Расчёты!E76</f>
        <v>0</v>
      </c>
      <c r="E76">
        <f>IF(Расчёты!F76=0,0,IF(Расчёты!G76=1,N('Сценарный анализ'!$B$5),IF(Расчёты!G76=2,N('Сценарный анализ'!$B$6),IF(Расчёты!G76=3,N('Сценарный анализ'!$B$7),N('Сценарный анализ'!$B$7)*(1+N('Сценарный анализ'!$B$8))^(Расчёты!G76-3)))))</f>
        <v>0</v>
      </c>
      <c r="F76">
        <f>IF(OR(Расчёты!F76=0,N('Исходные данные'!$B$5)=0,E76=0),0,N('Исходные данные'!$B$5)*E76*IF(AND(B76&lt;='Исходные данные'!$B$30,Расчёты!C76&gt;='Исходные данные'!$B$30),(Расчёты!C76-'Исходные данные'!$B$30+1)/DAY(Расчёты!C76),1))</f>
        <v>0</v>
      </c>
      <c r="G76">
        <f>IF(AND(Расчёты!F76&gt;0,Расчёты!F76&lt;=N('Исходные данные'!$B$37)),-F76,0)</f>
        <v>0</v>
      </c>
      <c r="H76">
        <f>IF(OR(Расчёты!F76=0,Расчёты!F76&lt;=N('Исходные данные'!$B$37)),0,-(F76+G76)*N('Сценарный анализ'!$B$9))</f>
        <v>0</v>
      </c>
      <c r="I76">
        <f t="shared" si="39"/>
        <v>0</v>
      </c>
      <c r="J76">
        <f>IF('Исходные данные'!$B$51="Да",I76*N('Исходные данные'!$B$52),0)</f>
        <v>0</v>
      </c>
      <c r="K76">
        <f t="shared" si="40"/>
        <v>0</v>
      </c>
      <c r="L76">
        <f>I76+(Расчёты!Y76-Расчёты!L76)</f>
        <v>0</v>
      </c>
      <c r="M76">
        <f t="shared" si="51"/>
        <v>0</v>
      </c>
      <c r="N76">
        <f>IF('Исходные данные'!$B$51="Да",-MAX(0,J76+Расчёты!R76+Расчёты!V76-Расчёты!P76-Расчёты!T76-M76),0)</f>
        <v>0</v>
      </c>
      <c r="O76">
        <f>IF('Исходные данные'!$B$51="Да",MAX(0,M76+Расчёты!P76+Расчёты!T76-J76-Расчёты!R76-Расчёты!V76),0)</f>
        <v>0</v>
      </c>
      <c r="P76">
        <f>IF('Исходные данные'!$B$53="Выручка",MAX(0,I76+(Расчёты!Q76-Расчёты!R76)+(Расчёты!U76-Расчёты!V76)),IF('Исходные данные'!$B$53="Прибыль до налога",MAX(0,I76+(Расчёты!Q76-Расчёты!R76)+(Расчёты!U76-Расчёты!V76)+N('Исходные данные'!$B$54)*((Расчёты!O76+Расчёты!P76)+(Расчёты!S76+Расчёты!T76)+Расчёты!W76+Расчёты!X76)+IF('Исходные данные'!$B$55="Да",Расчёты!AG76,0)-N('Исходные данные'!$B$56)/12),IF('Исходные данные'!$B$53="Пользовательская база",MAX(0,N('Исходные данные'!$B$57)/12),0)))</f>
        <v>0</v>
      </c>
      <c r="Q76">
        <f>IF(D76=1,-P76*N('Исходные данные'!$B$50),0)</f>
        <v>0</v>
      </c>
      <c r="R76">
        <f t="shared" si="41"/>
        <v>0</v>
      </c>
      <c r="S76">
        <f>IF(OR(D76&lt;&gt;1,B76="",'Исходные данные'!$B$91="",N('Исходные данные'!$B$80)&lt;=0,'Исходные данные'!$B$88=""),0,IF(AND(YEAR(B76)=YEAR('Исходные данные'!$B$91),MONTH(B76)=MONTH('Исходные данные'!$B$91)),MAX(0,IF('Исходные данные'!$B$88="Последние 12 месяцев",SUMIFS($L$2:$L$194,$B$2:$B$194,"&gt;="&amp;EDATE(B76,-11),$B$2:$B$194,"&lt;="&amp;B76),IF('Исходные данные'!$B$88="Пользовательский NOI",N('Исходные данные'!$B$89),R76))/N('Исходные данные'!$B$80)*(1+N('Исходные данные'!$B$81))),0))</f>
        <v>0</v>
      </c>
      <c r="T76">
        <f>-S76*N('Исходные данные'!$B$73)</f>
        <v>0</v>
      </c>
      <c r="U76">
        <f>IF(S76=0,0,-N('Исходные данные'!$B$87)-IF('Исходные данные'!$B$82="Да",IF('Исходные данные'!$B$84="С выручки",S76,IF('Исходные данные'!$B$84="С прибыли",MAX(0,S76+T76-IF('Исходные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76">
        <f t="shared" si="42"/>
        <v>0</v>
      </c>
      <c r="W76">
        <f>IF(D76=1,Расчёты!AZ76+K76+N76+Q76+V76,0)</f>
        <v>0</v>
      </c>
      <c r="X76" t="str">
        <f t="shared" si="52"/>
        <v/>
      </c>
      <c r="Y76">
        <f>IF(OR(D76=0,'Исходные данные'!$B$9="",'Исходные данные'!$B$90=""),0,W76/(1+'Исходные данные'!$B$90)^((C76-'Исходные данные'!$B$9)/365))</f>
        <v>0</v>
      </c>
      <c r="Z76">
        <f>IF(D76=1,K76+Расчёты!O76+Расчёты!Q76+Расчёты!S76+Расчёты!U76+Расчёты!W76+Расчёты!X76+N76+Q76,0)</f>
        <v>0</v>
      </c>
      <c r="AA76">
        <f>IF(AND(D76=1,X76&gt;=0,X75&lt;0,MIN($X$2:X76)&lt;0),1,0)</f>
        <v>0</v>
      </c>
      <c r="AB76">
        <f>IF(Расчёты!F76=0,0,IF(Расчёты!G76=1,N('Сценарный анализ'!$C$5),IF(Расчёты!G76=2,N('Сценарный анализ'!$C$6),IF(Расчёты!G76=3,N('Сценарный анализ'!$C$7),N('Сценарный анализ'!$C$7)*(1+N('Сценарный анализ'!$C$8))^(Расчёты!G76-3)))))</f>
        <v>0</v>
      </c>
      <c r="AC76">
        <f>IF(OR(Расчёты!F76=0,N('Исходные данные'!$B$5)=0,AB76=0),0,N('Исходные данные'!$B$5)*AB76*IF(AND(B76&lt;='Исходные данные'!$B$30,Расчёты!C76&gt;='Исходные данные'!$B$30),(Расчёты!C76-'Исходные данные'!$B$30+1)/DAY(Расчёты!C76),1))</f>
        <v>0</v>
      </c>
      <c r="AD76">
        <f>IF(AND(Расчёты!F76&gt;0,Расчёты!F76&lt;=N('Исходные данные'!$B$37)),-AC76,0)</f>
        <v>0</v>
      </c>
      <c r="AE76">
        <f>IF(OR(Расчёты!F76=0,Расчёты!F76&lt;=N('Исходные данные'!$B$37)),0,-(AC76+AD76)*N('Сценарный анализ'!$C$9))</f>
        <v>0</v>
      </c>
      <c r="AF76">
        <f t="shared" si="43"/>
        <v>0</v>
      </c>
      <c r="AG76">
        <f>IF('Исходные данные'!$B$51="Да",AF76*N('Исходные данные'!$B$52),0)</f>
        <v>0</v>
      </c>
      <c r="AH76">
        <f t="shared" si="44"/>
        <v>0</v>
      </c>
      <c r="AI76">
        <f>AF76+(Расчёты!Y76-Расчёты!L76)</f>
        <v>0</v>
      </c>
      <c r="AJ76">
        <f t="shared" si="53"/>
        <v>0</v>
      </c>
      <c r="AK76">
        <f>IF('Исходные данные'!$B$51="Да",-MAX(0,AG76+Расчёты!R76+Расчёты!V76-Расчёты!P76-Расчёты!T76-AJ76),0)</f>
        <v>0</v>
      </c>
      <c r="AL76">
        <f>IF('Исходные данные'!$B$51="Да",MAX(0,AJ76+Расчёты!P76+Расчёты!T76-AG76-Расчёты!R76-Расчёты!V76),0)</f>
        <v>0</v>
      </c>
      <c r="AM76">
        <f>IF('Исходные данные'!$B$53="Выручка",MAX(0,AF76+(Расчёты!Q76-Расчёты!R76)+(Расчёты!U76-Расчёты!V76)),IF('Исходные данные'!$B$53="Прибыль до налога",MAX(0,AF76+(Расчёты!Q76-Расчёты!R76)+(Расчёты!U76-Расчёты!V76)+N('Исходные данные'!$B$54)*((Расчёты!O76+Расчёты!P76)+(Расчёты!S76+Расчёты!T76)+Расчёты!W76+Расчёты!X76)+IF('Исходные данные'!$B$55="Да",Расчёты!AG76,0)-N('Исходные данные'!$B$56)/12),IF('Исходные данные'!$B$53="Пользовательская база",MAX(0,N('Исходные данные'!$B$57)/12),0)))</f>
        <v>0</v>
      </c>
      <c r="AN76">
        <f>IF(D76=1,-AM76*N('Исходные данные'!$B$50),0)</f>
        <v>0</v>
      </c>
      <c r="AO76">
        <f t="shared" si="45"/>
        <v>0</v>
      </c>
      <c r="AP76">
        <f>IF(OR(D76&lt;&gt;1,B76="",'Исходные данные'!$B$91="",N('Исходные данные'!$B$80)&lt;=0,'Исходные данные'!$B$88=""),0,IF(AND(YEAR(B76)=YEAR('Исходные данные'!$B$91),MONTH(B76)=MONTH('Исходные данные'!$B$91)),MAX(0,IF('Исходные данные'!$B$88="Последние 12 месяцев",SUMIFS($AI$2:$AI$194,$B$2:$B$194,"&gt;="&amp;EDATE(B76,-11),$B$2:$B$194,"&lt;="&amp;B76),IF('Исходные данные'!$B$88="Пользовательский NOI",N('Исходные данные'!$B$89),AO76))/N('Исходные данные'!$B$80)*(1+N('Исходные данные'!$B$81))),0))</f>
        <v>0</v>
      </c>
      <c r="AQ76">
        <f>-AP76*N('Исходные данные'!$B$73)</f>
        <v>0</v>
      </c>
      <c r="AR76">
        <f>IF(AP76=0,0,-N('Исходные данные'!$B$87)-IF('Исходные данные'!$B$82="Да",IF('Исходные данные'!$B$84="С выручки",AP76,IF('Исходные данные'!$B$84="С прибыли",MAX(0,AP76+AQ76-IF('Исходные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76">
        <f t="shared" si="46"/>
        <v>0</v>
      </c>
      <c r="AT76">
        <f>IF(D76=1,Расчёты!AZ76+AH76+AK76+AN76+AS76,0)</f>
        <v>0</v>
      </c>
      <c r="AU76" t="str">
        <f t="shared" si="54"/>
        <v/>
      </c>
      <c r="AV76">
        <f>IF(OR(D76=0,'Исходные данные'!$B$9="",'Исходные данные'!$B$90=""),0,AT76/(1+'Исходные данные'!$B$90)^((C76-'Исходные данные'!$B$9)/365))</f>
        <v>0</v>
      </c>
      <c r="AW76">
        <f>IF(D76=1,AH76+Расчёты!O76+Расчёты!Q76+Расчёты!S76+Расчёты!U76+Расчёты!W76+Расчёты!X76+AK76+AN76,0)</f>
        <v>0</v>
      </c>
      <c r="AX76">
        <f>IF(AND(D76=1,AU76&gt;=0,AU75&lt;0,MIN($AU$2:AU76)&lt;0),1,0)</f>
        <v>0</v>
      </c>
      <c r="AY76">
        <f>IF(Расчёты!F76=0,0,IF(Расчёты!G76=1,N('Сценарный анализ'!$D$5),IF(Расчёты!G76=2,N('Сценарный анализ'!$D$6),IF(Расчёты!G76=3,N('Сценарный анализ'!$D$7),N('Сценарный анализ'!$D$7)*(1+N('Сценарный анализ'!$D$8))^(Расчёты!G76-3)))))</f>
        <v>0</v>
      </c>
      <c r="AZ76">
        <f>IF(OR(Расчёты!F76=0,N('Исходные данные'!$B$5)=0,AY76=0),0,N('Исходные данные'!$B$5)*AY76*IF(AND(B76&lt;='Исходные данные'!$B$30,Расчёты!C76&gt;='Исходные данные'!$B$30),(Расчёты!C76-'Исходные данные'!$B$30+1)/DAY(Расчёты!C76),1))</f>
        <v>0</v>
      </c>
      <c r="BA76">
        <f>IF(AND(Расчёты!F76&gt;0,Расчёты!F76&lt;=N('Исходные данные'!$B$37)),-AZ76,0)</f>
        <v>0</v>
      </c>
      <c r="BB76">
        <f>IF(OR(Расчёты!F76=0,Расчёты!F76&lt;=N('Исходные данные'!$B$37)),0,-(AZ76+BA76)*N('Сценарный анализ'!$D$9))</f>
        <v>0</v>
      </c>
      <c r="BC76">
        <f t="shared" si="47"/>
        <v>0</v>
      </c>
      <c r="BD76">
        <f>IF('Исходные данные'!$B$51="Да",BC76*N('Исходные данные'!$B$52),0)</f>
        <v>0</v>
      </c>
      <c r="BE76">
        <f t="shared" si="48"/>
        <v>0</v>
      </c>
      <c r="BF76">
        <f>BC76+(Расчёты!Y76-Расчёты!L76)</f>
        <v>0</v>
      </c>
      <c r="BG76">
        <f t="shared" si="55"/>
        <v>0</v>
      </c>
      <c r="BH76">
        <f>IF('Исходные данные'!$B$51="Да",-MAX(0,BD76+Расчёты!R76+Расчёты!V76-Расчёты!P76-Расчёты!T76-BG76),0)</f>
        <v>0</v>
      </c>
      <c r="BI76">
        <f>IF('Исходные данные'!$B$51="Да",MAX(0,BG76+Расчёты!P76+Расчёты!T76-BD76-Расчёты!R76-Расчёты!V76),0)</f>
        <v>0</v>
      </c>
      <c r="BJ76">
        <f>IF('Исходные данные'!$B$53="Выручка",MAX(0,BC76+(Расчёты!Q76-Расчёты!R76)+(Расчёты!U76-Расчёты!V76)),IF('Исходные данные'!$B$53="Прибыль до налога",MAX(0,BC76+(Расчёты!Q76-Расчёты!R76)+(Расчёты!U76-Расчёты!V76)+N('Исходные данные'!$B$54)*((Расчёты!O76+Расчёты!P76)+(Расчёты!S76+Расчёты!T76)+Расчёты!W76+Расчёты!X76)+IF('Исходные данные'!$B$55="Да",Расчёты!AG76,0)-N('Исходные данные'!$B$56)/12),IF('Исходные данные'!$B$53="Пользовательская база",MAX(0,N('Исходные данные'!$B$57)/12),0)))</f>
        <v>0</v>
      </c>
      <c r="BK76">
        <f>IF(D76=1,-BJ76*N('Исходные данные'!$B$50),0)</f>
        <v>0</v>
      </c>
      <c r="BL76">
        <f t="shared" si="49"/>
        <v>0</v>
      </c>
      <c r="BM76">
        <f>IF(OR(D76&lt;&gt;1,B76="",'Исходные данные'!$B$91="",N('Исходные данные'!$B$80)&lt;=0,'Исходные данные'!$B$88=""),0,IF(AND(YEAR(B76)=YEAR('Исходные данные'!$B$91),MONTH(B76)=MONTH('Исходные данные'!$B$91)),MAX(0,IF('Исходные данные'!$B$88="Последние 12 месяцев",SUMIFS($BF$2:$BF$194,$B$2:$B$194,"&gt;="&amp;EDATE(B76,-11),$B$2:$B$194,"&lt;="&amp;B76),IF('Исходные данные'!$B$88="Пользовательский NOI",N('Исходные данные'!$B$89),BL76))/N('Исходные данные'!$B$80)*(1+N('Исходные данные'!$B$81))),0))</f>
        <v>0</v>
      </c>
      <c r="BN76">
        <f>-BM76*N('Исходные данные'!$B$73)</f>
        <v>0</v>
      </c>
      <c r="BO76">
        <f>IF(BM76=0,0,-N('Исходные данные'!$B$87)-IF('Исходные данные'!$B$82="Да",IF('Исходные данные'!$B$84="С выручки",BM76,IF('Исходные данные'!$B$84="С прибыли",MAX(0,BM76+BN76-IF('Исходные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76">
        <f t="shared" si="50"/>
        <v>0</v>
      </c>
      <c r="BQ76">
        <f>IF(D76=1,Расчёты!AZ76+BE76+BH76+BK76+BP76,0)</f>
        <v>0</v>
      </c>
      <c r="BR76" t="str">
        <f t="shared" si="56"/>
        <v/>
      </c>
      <c r="BS76">
        <f>IF(OR(D76=0,'Исходные данные'!$B$9="",'Исходные данные'!$B$90=""),0,BQ76/(1+'Исходные данные'!$B$90)^((C76-'Исходные данные'!$B$9)/365))</f>
        <v>0</v>
      </c>
      <c r="BT76">
        <f>IF(D76=1,BE76+Расчёты!O76+Расчёты!Q76+Расчёты!S76+Расчёты!U76+Расчёты!W76+Расчёты!X76+BH76+BK76,0)</f>
        <v>0</v>
      </c>
      <c r="BU76">
        <f>IF(AND(D76=1,BR76&gt;=0,BR75&lt;0,MIN($BR$2:BR76)&lt;0),1,0)</f>
        <v>0</v>
      </c>
      <c r="BV76">
        <f>Расчёты!AZ76+K76+N76-P76*N('Исходные данные'!$B$50)</f>
        <v>0</v>
      </c>
      <c r="BW76">
        <f t="shared" si="57"/>
        <v>0</v>
      </c>
      <c r="BX76">
        <f>IF(AND(BW76&gt;=0,BW75&lt;0,MIN($BW$2:BW76)&lt;0),1,0)</f>
        <v>0</v>
      </c>
      <c r="BY76">
        <f>Расчёты!AZ76+AH76+AK76-AM76*N('Исходные данные'!$B$50)</f>
        <v>0</v>
      </c>
      <c r="BZ76">
        <f t="shared" si="58"/>
        <v>0</v>
      </c>
      <c r="CA76">
        <f>IF(AND(BZ76&gt;=0,BZ75&lt;0,MIN($BZ$2:BZ76)&lt;0),1,0)</f>
        <v>0</v>
      </c>
      <c r="CB76">
        <f>Расчёты!AZ76+BE76+BH76-BJ76*N('Исходные данные'!$B$50)</f>
        <v>0</v>
      </c>
      <c r="CC76">
        <f t="shared" si="59"/>
        <v>0</v>
      </c>
      <c r="CD76">
        <f>IF(AND(CC76&gt;=0,CC75&lt;0,MIN($CC$2:CC76)&lt;0),1,0)</f>
        <v>0</v>
      </c>
    </row>
    <row r="77" spans="1:82" x14ac:dyDescent="0.2">
      <c r="A77">
        <f>Расчёты!A77</f>
        <v>76</v>
      </c>
      <c r="B77" t="str">
        <f>Расчёты!B77</f>
        <v/>
      </c>
      <c r="C77" t="str">
        <f>Расчёты!D77</f>
        <v/>
      </c>
      <c r="D77">
        <f>Расчёты!E77</f>
        <v>0</v>
      </c>
      <c r="E77">
        <f>IF(Расчёты!F77=0,0,IF(Расчёты!G77=1,N('Сценарный анализ'!$B$5),IF(Расчёты!G77=2,N('Сценарный анализ'!$B$6),IF(Расчёты!G77=3,N('Сценарный анализ'!$B$7),N('Сценарный анализ'!$B$7)*(1+N('Сценарный анализ'!$B$8))^(Расчёты!G77-3)))))</f>
        <v>0</v>
      </c>
      <c r="F77">
        <f>IF(OR(Расчёты!F77=0,N('Исходные данные'!$B$5)=0,E77=0),0,N('Исходные данные'!$B$5)*E77*IF(AND(B77&lt;='Исходные данные'!$B$30,Расчёты!C77&gt;='Исходные данные'!$B$30),(Расчёты!C77-'Исходные данные'!$B$30+1)/DAY(Расчёты!C77),1))</f>
        <v>0</v>
      </c>
      <c r="G77">
        <f>IF(AND(Расчёты!F77&gt;0,Расчёты!F77&lt;=N('Исходные данные'!$B$37)),-F77,0)</f>
        <v>0</v>
      </c>
      <c r="H77">
        <f>IF(OR(Расчёты!F77=0,Расчёты!F77&lt;=N('Исходные данные'!$B$37)),0,-(F77+G77)*N('Сценарный анализ'!$B$9))</f>
        <v>0</v>
      </c>
      <c r="I77">
        <f t="shared" si="39"/>
        <v>0</v>
      </c>
      <c r="J77">
        <f>IF('Исходные данные'!$B$51="Да",I77*N('Исходные данные'!$B$52),0)</f>
        <v>0</v>
      </c>
      <c r="K77">
        <f t="shared" si="40"/>
        <v>0</v>
      </c>
      <c r="L77">
        <f>I77+(Расчёты!Y77-Расчёты!L77)</f>
        <v>0</v>
      </c>
      <c r="M77">
        <f t="shared" si="51"/>
        <v>0</v>
      </c>
      <c r="N77">
        <f>IF('Исходные данные'!$B$51="Да",-MAX(0,J77+Расчёты!R77+Расчёты!V77-Расчёты!P77-Расчёты!T77-M77),0)</f>
        <v>0</v>
      </c>
      <c r="O77">
        <f>IF('Исходные данные'!$B$51="Да",MAX(0,M77+Расчёты!P77+Расчёты!T77-J77-Расчёты!R77-Расчёты!V77),0)</f>
        <v>0</v>
      </c>
      <c r="P77">
        <f>IF('Исходные данные'!$B$53="Выручка",MAX(0,I77+(Расчёты!Q77-Расчёты!R77)+(Расчёты!U77-Расчёты!V77)),IF('Исходные данные'!$B$53="Прибыль до налога",MAX(0,I77+(Расчёты!Q77-Расчёты!R77)+(Расчёты!U77-Расчёты!V77)+N('Исходные данные'!$B$54)*((Расчёты!O77+Расчёты!P77)+(Расчёты!S77+Расчёты!T77)+Расчёты!W77+Расчёты!X77)+IF('Исходные данные'!$B$55="Да",Расчёты!AG77,0)-N('Исходные данные'!$B$56)/12),IF('Исходные данные'!$B$53="Пользовательская база",MAX(0,N('Исходные данные'!$B$57)/12),0)))</f>
        <v>0</v>
      </c>
      <c r="Q77">
        <f>IF(D77=1,-P77*N('Исходные данные'!$B$50),0)</f>
        <v>0</v>
      </c>
      <c r="R77">
        <f t="shared" si="41"/>
        <v>0</v>
      </c>
      <c r="S77">
        <f>IF(OR(D77&lt;&gt;1,B77="",'Исходные данные'!$B$91="",N('Исходные данные'!$B$80)&lt;=0,'Исходные данные'!$B$88=""),0,IF(AND(YEAR(B77)=YEAR('Исходные данные'!$B$91),MONTH(B77)=MONTH('Исходные данные'!$B$91)),MAX(0,IF('Исходные данные'!$B$88="Последние 12 месяцев",SUMIFS($L$2:$L$194,$B$2:$B$194,"&gt;="&amp;EDATE(B77,-11),$B$2:$B$194,"&lt;="&amp;B77),IF('Исходные данные'!$B$88="Пользовательский NOI",N('Исходные данные'!$B$89),R77))/N('Исходные данные'!$B$80)*(1+N('Исходные данные'!$B$81))),0))</f>
        <v>0</v>
      </c>
      <c r="T77">
        <f>-S77*N('Исходные данные'!$B$73)</f>
        <v>0</v>
      </c>
      <c r="U77">
        <f>IF(S77=0,0,-N('Исходные данные'!$B$87)-IF('Исходные данные'!$B$82="Да",IF('Исходные данные'!$B$84="С выручки",S77,IF('Исходные данные'!$B$84="С прибыли",MAX(0,S77+T77-IF('Исходные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77">
        <f t="shared" si="42"/>
        <v>0</v>
      </c>
      <c r="W77">
        <f>IF(D77=1,Расчёты!AZ77+K77+N77+Q77+V77,0)</f>
        <v>0</v>
      </c>
      <c r="X77" t="str">
        <f t="shared" si="52"/>
        <v/>
      </c>
      <c r="Y77">
        <f>IF(OR(D77=0,'Исходные данные'!$B$9="",'Исходные данные'!$B$90=""),0,W77/(1+'Исходные данные'!$B$90)^((C77-'Исходные данные'!$B$9)/365))</f>
        <v>0</v>
      </c>
      <c r="Z77">
        <f>IF(D77=1,K77+Расчёты!O77+Расчёты!Q77+Расчёты!S77+Расчёты!U77+Расчёты!W77+Расчёты!X77+N77+Q77,0)</f>
        <v>0</v>
      </c>
      <c r="AA77">
        <f>IF(AND(D77=1,X77&gt;=0,X76&lt;0,MIN($X$2:X77)&lt;0),1,0)</f>
        <v>0</v>
      </c>
      <c r="AB77">
        <f>IF(Расчёты!F77=0,0,IF(Расчёты!G77=1,N('Сценарный анализ'!$C$5),IF(Расчёты!G77=2,N('Сценарный анализ'!$C$6),IF(Расчёты!G77=3,N('Сценарный анализ'!$C$7),N('Сценарный анализ'!$C$7)*(1+N('Сценарный анализ'!$C$8))^(Расчёты!G77-3)))))</f>
        <v>0</v>
      </c>
      <c r="AC77">
        <f>IF(OR(Расчёты!F77=0,N('Исходные данные'!$B$5)=0,AB77=0),0,N('Исходные данные'!$B$5)*AB77*IF(AND(B77&lt;='Исходные данные'!$B$30,Расчёты!C77&gt;='Исходные данные'!$B$30),(Расчёты!C77-'Исходные данные'!$B$30+1)/DAY(Расчёты!C77),1))</f>
        <v>0</v>
      </c>
      <c r="AD77">
        <f>IF(AND(Расчёты!F77&gt;0,Расчёты!F77&lt;=N('Исходные данные'!$B$37)),-AC77,0)</f>
        <v>0</v>
      </c>
      <c r="AE77">
        <f>IF(OR(Расчёты!F77=0,Расчёты!F77&lt;=N('Исходные данные'!$B$37)),0,-(AC77+AD77)*N('Сценарный анализ'!$C$9))</f>
        <v>0</v>
      </c>
      <c r="AF77">
        <f t="shared" si="43"/>
        <v>0</v>
      </c>
      <c r="AG77">
        <f>IF('Исходные данные'!$B$51="Да",AF77*N('Исходные данные'!$B$52),0)</f>
        <v>0</v>
      </c>
      <c r="AH77">
        <f t="shared" si="44"/>
        <v>0</v>
      </c>
      <c r="AI77">
        <f>AF77+(Расчёты!Y77-Расчёты!L77)</f>
        <v>0</v>
      </c>
      <c r="AJ77">
        <f t="shared" si="53"/>
        <v>0</v>
      </c>
      <c r="AK77">
        <f>IF('Исходные данные'!$B$51="Да",-MAX(0,AG77+Расчёты!R77+Расчёты!V77-Расчёты!P77-Расчёты!T77-AJ77),0)</f>
        <v>0</v>
      </c>
      <c r="AL77">
        <f>IF('Исходные данные'!$B$51="Да",MAX(0,AJ77+Расчёты!P77+Расчёты!T77-AG77-Расчёты!R77-Расчёты!V77),0)</f>
        <v>0</v>
      </c>
      <c r="AM77">
        <f>IF('Исходные данные'!$B$53="Выручка",MAX(0,AF77+(Расчёты!Q77-Расчёты!R77)+(Расчёты!U77-Расчёты!V77)),IF('Исходные данные'!$B$53="Прибыль до налога",MAX(0,AF77+(Расчёты!Q77-Расчёты!R77)+(Расчёты!U77-Расчёты!V77)+N('Исходные данные'!$B$54)*((Расчёты!O77+Расчёты!P77)+(Расчёты!S77+Расчёты!T77)+Расчёты!W77+Расчёты!X77)+IF('Исходные данные'!$B$55="Да",Расчёты!AG77,0)-N('Исходные данные'!$B$56)/12),IF('Исходные данные'!$B$53="Пользовательская база",MAX(0,N('Исходные данные'!$B$57)/12),0)))</f>
        <v>0</v>
      </c>
      <c r="AN77">
        <f>IF(D77=1,-AM77*N('Исходные данные'!$B$50),0)</f>
        <v>0</v>
      </c>
      <c r="AO77">
        <f t="shared" si="45"/>
        <v>0</v>
      </c>
      <c r="AP77">
        <f>IF(OR(D77&lt;&gt;1,B77="",'Исходные данные'!$B$91="",N('Исходные данные'!$B$80)&lt;=0,'Исходные данные'!$B$88=""),0,IF(AND(YEAR(B77)=YEAR('Исходные данные'!$B$91),MONTH(B77)=MONTH('Исходные данные'!$B$91)),MAX(0,IF('Исходные данные'!$B$88="Последние 12 месяцев",SUMIFS($AI$2:$AI$194,$B$2:$B$194,"&gt;="&amp;EDATE(B77,-11),$B$2:$B$194,"&lt;="&amp;B77),IF('Исходные данные'!$B$88="Пользовательский NOI",N('Исходные данные'!$B$89),AO77))/N('Исходные данные'!$B$80)*(1+N('Исходные данные'!$B$81))),0))</f>
        <v>0</v>
      </c>
      <c r="AQ77">
        <f>-AP77*N('Исходные данные'!$B$73)</f>
        <v>0</v>
      </c>
      <c r="AR77">
        <f>IF(AP77=0,0,-N('Исходные данные'!$B$87)-IF('Исходные данные'!$B$82="Да",IF('Исходные данные'!$B$84="С выручки",AP77,IF('Исходные данные'!$B$84="С прибыли",MAX(0,AP77+AQ77-IF('Исходные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77">
        <f t="shared" si="46"/>
        <v>0</v>
      </c>
      <c r="AT77">
        <f>IF(D77=1,Расчёты!AZ77+AH77+AK77+AN77+AS77,0)</f>
        <v>0</v>
      </c>
      <c r="AU77" t="str">
        <f t="shared" si="54"/>
        <v/>
      </c>
      <c r="AV77">
        <f>IF(OR(D77=0,'Исходные данные'!$B$9="",'Исходные данные'!$B$90=""),0,AT77/(1+'Исходные данные'!$B$90)^((C77-'Исходные данные'!$B$9)/365))</f>
        <v>0</v>
      </c>
      <c r="AW77">
        <f>IF(D77=1,AH77+Расчёты!O77+Расчёты!Q77+Расчёты!S77+Расчёты!U77+Расчёты!W77+Расчёты!X77+AK77+AN77,0)</f>
        <v>0</v>
      </c>
      <c r="AX77">
        <f>IF(AND(D77=1,AU77&gt;=0,AU76&lt;0,MIN($AU$2:AU77)&lt;0),1,0)</f>
        <v>0</v>
      </c>
      <c r="AY77">
        <f>IF(Расчёты!F77=0,0,IF(Расчёты!G77=1,N('Сценарный анализ'!$D$5),IF(Расчёты!G77=2,N('Сценарный анализ'!$D$6),IF(Расчёты!G77=3,N('Сценарный анализ'!$D$7),N('Сценарный анализ'!$D$7)*(1+N('Сценарный анализ'!$D$8))^(Расчёты!G77-3)))))</f>
        <v>0</v>
      </c>
      <c r="AZ77">
        <f>IF(OR(Расчёты!F77=0,N('Исходные данные'!$B$5)=0,AY77=0),0,N('Исходные данные'!$B$5)*AY77*IF(AND(B77&lt;='Исходные данные'!$B$30,Расчёты!C77&gt;='Исходные данные'!$B$30),(Расчёты!C77-'Исходные данные'!$B$30+1)/DAY(Расчёты!C77),1))</f>
        <v>0</v>
      </c>
      <c r="BA77">
        <f>IF(AND(Расчёты!F77&gt;0,Расчёты!F77&lt;=N('Исходные данные'!$B$37)),-AZ77,0)</f>
        <v>0</v>
      </c>
      <c r="BB77">
        <f>IF(OR(Расчёты!F77=0,Расчёты!F77&lt;=N('Исходные данные'!$B$37)),0,-(AZ77+BA77)*N('Сценарный анализ'!$D$9))</f>
        <v>0</v>
      </c>
      <c r="BC77">
        <f t="shared" si="47"/>
        <v>0</v>
      </c>
      <c r="BD77">
        <f>IF('Исходные данные'!$B$51="Да",BC77*N('Исходные данные'!$B$52),0)</f>
        <v>0</v>
      </c>
      <c r="BE77">
        <f t="shared" si="48"/>
        <v>0</v>
      </c>
      <c r="BF77">
        <f>BC77+(Расчёты!Y77-Расчёты!L77)</f>
        <v>0</v>
      </c>
      <c r="BG77">
        <f t="shared" si="55"/>
        <v>0</v>
      </c>
      <c r="BH77">
        <f>IF('Исходные данные'!$B$51="Да",-MAX(0,BD77+Расчёты!R77+Расчёты!V77-Расчёты!P77-Расчёты!T77-BG77),0)</f>
        <v>0</v>
      </c>
      <c r="BI77">
        <f>IF('Исходные данные'!$B$51="Да",MAX(0,BG77+Расчёты!P77+Расчёты!T77-BD77-Расчёты!R77-Расчёты!V77),0)</f>
        <v>0</v>
      </c>
      <c r="BJ77">
        <f>IF('Исходные данные'!$B$53="Выручка",MAX(0,BC77+(Расчёты!Q77-Расчёты!R77)+(Расчёты!U77-Расчёты!V77)),IF('Исходные данные'!$B$53="Прибыль до налога",MAX(0,BC77+(Расчёты!Q77-Расчёты!R77)+(Расчёты!U77-Расчёты!V77)+N('Исходные данные'!$B$54)*((Расчёты!O77+Расчёты!P77)+(Расчёты!S77+Расчёты!T77)+Расчёты!W77+Расчёты!X77)+IF('Исходные данные'!$B$55="Да",Расчёты!AG77,0)-N('Исходные данные'!$B$56)/12),IF('Исходные данные'!$B$53="Пользовательская база",MAX(0,N('Исходные данные'!$B$57)/12),0)))</f>
        <v>0</v>
      </c>
      <c r="BK77">
        <f>IF(D77=1,-BJ77*N('Исходные данные'!$B$50),0)</f>
        <v>0</v>
      </c>
      <c r="BL77">
        <f t="shared" si="49"/>
        <v>0</v>
      </c>
      <c r="BM77">
        <f>IF(OR(D77&lt;&gt;1,B77="",'Исходные данные'!$B$91="",N('Исходные данные'!$B$80)&lt;=0,'Исходные данные'!$B$88=""),0,IF(AND(YEAR(B77)=YEAR('Исходные данные'!$B$91),MONTH(B77)=MONTH('Исходные данные'!$B$91)),MAX(0,IF('Исходные данные'!$B$88="Последние 12 месяцев",SUMIFS($BF$2:$BF$194,$B$2:$B$194,"&gt;="&amp;EDATE(B77,-11),$B$2:$B$194,"&lt;="&amp;B77),IF('Исходные данные'!$B$88="Пользовательский NOI",N('Исходные данные'!$B$89),BL77))/N('Исходные данные'!$B$80)*(1+N('Исходные данные'!$B$81))),0))</f>
        <v>0</v>
      </c>
      <c r="BN77">
        <f>-BM77*N('Исходные данные'!$B$73)</f>
        <v>0</v>
      </c>
      <c r="BO77">
        <f>IF(BM77=0,0,-N('Исходные данные'!$B$87)-IF('Исходные данные'!$B$82="Да",IF('Исходные данные'!$B$84="С выручки",BM77,IF('Исходные данные'!$B$84="С прибыли",MAX(0,BM77+BN77-IF('Исходные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77">
        <f t="shared" si="50"/>
        <v>0</v>
      </c>
      <c r="BQ77">
        <f>IF(D77=1,Расчёты!AZ77+BE77+BH77+BK77+BP77,0)</f>
        <v>0</v>
      </c>
      <c r="BR77" t="str">
        <f t="shared" si="56"/>
        <v/>
      </c>
      <c r="BS77">
        <f>IF(OR(D77=0,'Исходные данные'!$B$9="",'Исходные данные'!$B$90=""),0,BQ77/(1+'Исходные данные'!$B$90)^((C77-'Исходные данные'!$B$9)/365))</f>
        <v>0</v>
      </c>
      <c r="BT77">
        <f>IF(D77=1,BE77+Расчёты!O77+Расчёты!Q77+Расчёты!S77+Расчёты!U77+Расчёты!W77+Расчёты!X77+BH77+BK77,0)</f>
        <v>0</v>
      </c>
      <c r="BU77">
        <f>IF(AND(D77=1,BR77&gt;=0,BR76&lt;0,MIN($BR$2:BR77)&lt;0),1,0)</f>
        <v>0</v>
      </c>
      <c r="BV77">
        <f>Расчёты!AZ77+K77+N77-P77*N('Исходные данные'!$B$50)</f>
        <v>0</v>
      </c>
      <c r="BW77">
        <f t="shared" si="57"/>
        <v>0</v>
      </c>
      <c r="BX77">
        <f>IF(AND(BW77&gt;=0,BW76&lt;0,MIN($BW$2:BW77)&lt;0),1,0)</f>
        <v>0</v>
      </c>
      <c r="BY77">
        <f>Расчёты!AZ77+AH77+AK77-AM77*N('Исходные данные'!$B$50)</f>
        <v>0</v>
      </c>
      <c r="BZ77">
        <f t="shared" si="58"/>
        <v>0</v>
      </c>
      <c r="CA77">
        <f>IF(AND(BZ77&gt;=0,BZ76&lt;0,MIN($BZ$2:BZ77)&lt;0),1,0)</f>
        <v>0</v>
      </c>
      <c r="CB77">
        <f>Расчёты!AZ77+BE77+BH77-BJ77*N('Исходные данные'!$B$50)</f>
        <v>0</v>
      </c>
      <c r="CC77">
        <f t="shared" si="59"/>
        <v>0</v>
      </c>
      <c r="CD77">
        <f>IF(AND(CC77&gt;=0,CC76&lt;0,MIN($CC$2:CC77)&lt;0),1,0)</f>
        <v>0</v>
      </c>
    </row>
    <row r="78" spans="1:82" x14ac:dyDescent="0.2">
      <c r="A78">
        <f>Расчёты!A78</f>
        <v>77</v>
      </c>
      <c r="B78" t="str">
        <f>Расчёты!B78</f>
        <v/>
      </c>
      <c r="C78" t="str">
        <f>Расчёты!D78</f>
        <v/>
      </c>
      <c r="D78">
        <f>Расчёты!E78</f>
        <v>0</v>
      </c>
      <c r="E78">
        <f>IF(Расчёты!F78=0,0,IF(Расчёты!G78=1,N('Сценарный анализ'!$B$5),IF(Расчёты!G78=2,N('Сценарный анализ'!$B$6),IF(Расчёты!G78=3,N('Сценарный анализ'!$B$7),N('Сценарный анализ'!$B$7)*(1+N('Сценарный анализ'!$B$8))^(Расчёты!G78-3)))))</f>
        <v>0</v>
      </c>
      <c r="F78">
        <f>IF(OR(Расчёты!F78=0,N('Исходные данные'!$B$5)=0,E78=0),0,N('Исходные данные'!$B$5)*E78*IF(AND(B78&lt;='Исходные данные'!$B$30,Расчёты!C78&gt;='Исходные данные'!$B$30),(Расчёты!C78-'Исходные данные'!$B$30+1)/DAY(Расчёты!C78),1))</f>
        <v>0</v>
      </c>
      <c r="G78">
        <f>IF(AND(Расчёты!F78&gt;0,Расчёты!F78&lt;=N('Исходные данные'!$B$37)),-F78,0)</f>
        <v>0</v>
      </c>
      <c r="H78">
        <f>IF(OR(Расчёты!F78=0,Расчёты!F78&lt;=N('Исходные данные'!$B$37)),0,-(F78+G78)*N('Сценарный анализ'!$B$9))</f>
        <v>0</v>
      </c>
      <c r="I78">
        <f t="shared" si="39"/>
        <v>0</v>
      </c>
      <c r="J78">
        <f>IF('Исходные данные'!$B$51="Да",I78*N('Исходные данные'!$B$52),0)</f>
        <v>0</v>
      </c>
      <c r="K78">
        <f t="shared" si="40"/>
        <v>0</v>
      </c>
      <c r="L78">
        <f>I78+(Расчёты!Y78-Расчёты!L78)</f>
        <v>0</v>
      </c>
      <c r="M78">
        <f t="shared" si="51"/>
        <v>0</v>
      </c>
      <c r="N78">
        <f>IF('Исходные данные'!$B$51="Да",-MAX(0,J78+Расчёты!R78+Расчёты!V78-Расчёты!P78-Расчёты!T78-M78),0)</f>
        <v>0</v>
      </c>
      <c r="O78">
        <f>IF('Исходные данные'!$B$51="Да",MAX(0,M78+Расчёты!P78+Расчёты!T78-J78-Расчёты!R78-Расчёты!V78),0)</f>
        <v>0</v>
      </c>
      <c r="P78">
        <f>IF('Исходные данные'!$B$53="Выручка",MAX(0,I78+(Расчёты!Q78-Расчёты!R78)+(Расчёты!U78-Расчёты!V78)),IF('Исходные данные'!$B$53="Прибыль до налога",MAX(0,I78+(Расчёты!Q78-Расчёты!R78)+(Расчёты!U78-Расчёты!V78)+N('Исходные данные'!$B$54)*((Расчёты!O78+Расчёты!P78)+(Расчёты!S78+Расчёты!T78)+Расчёты!W78+Расчёты!X78)+IF('Исходные данные'!$B$55="Да",Расчёты!AG78,0)-N('Исходные данные'!$B$56)/12),IF('Исходные данные'!$B$53="Пользовательская база",MAX(0,N('Исходные данные'!$B$57)/12),0)))</f>
        <v>0</v>
      </c>
      <c r="Q78">
        <f>IF(D78=1,-P78*N('Исходные данные'!$B$50),0)</f>
        <v>0</v>
      </c>
      <c r="R78">
        <f t="shared" si="41"/>
        <v>0</v>
      </c>
      <c r="S78">
        <f>IF(OR(D78&lt;&gt;1,B78="",'Исходные данные'!$B$91="",N('Исходные данные'!$B$80)&lt;=0,'Исходные данные'!$B$88=""),0,IF(AND(YEAR(B78)=YEAR('Исходные данные'!$B$91),MONTH(B78)=MONTH('Исходные данные'!$B$91)),MAX(0,IF('Исходные данные'!$B$88="Последние 12 месяцев",SUMIFS($L$2:$L$194,$B$2:$B$194,"&gt;="&amp;EDATE(B78,-11),$B$2:$B$194,"&lt;="&amp;B78),IF('Исходные данные'!$B$88="Пользовательский NOI",N('Исходные данные'!$B$89),R78))/N('Исходные данные'!$B$80)*(1+N('Исходные данные'!$B$81))),0))</f>
        <v>0</v>
      </c>
      <c r="T78">
        <f>-S78*N('Исходные данные'!$B$73)</f>
        <v>0</v>
      </c>
      <c r="U78">
        <f>IF(S78=0,0,-N('Исходные данные'!$B$87)-IF('Исходные данные'!$B$82="Да",IF('Исходные данные'!$B$84="С выручки",S78,IF('Исходные данные'!$B$84="С прибыли",MAX(0,S78+T78-IF('Исходные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78">
        <f t="shared" si="42"/>
        <v>0</v>
      </c>
      <c r="W78">
        <f>IF(D78=1,Расчёты!AZ78+K78+N78+Q78+V78,0)</f>
        <v>0</v>
      </c>
      <c r="X78" t="str">
        <f t="shared" si="52"/>
        <v/>
      </c>
      <c r="Y78">
        <f>IF(OR(D78=0,'Исходные данные'!$B$9="",'Исходные данные'!$B$90=""),0,W78/(1+'Исходные данные'!$B$90)^((C78-'Исходные данные'!$B$9)/365))</f>
        <v>0</v>
      </c>
      <c r="Z78">
        <f>IF(D78=1,K78+Расчёты!O78+Расчёты!Q78+Расчёты!S78+Расчёты!U78+Расчёты!W78+Расчёты!X78+N78+Q78,0)</f>
        <v>0</v>
      </c>
      <c r="AA78">
        <f>IF(AND(D78=1,X78&gt;=0,X77&lt;0,MIN($X$2:X78)&lt;0),1,0)</f>
        <v>0</v>
      </c>
      <c r="AB78">
        <f>IF(Расчёты!F78=0,0,IF(Расчёты!G78=1,N('Сценарный анализ'!$C$5),IF(Расчёты!G78=2,N('Сценарный анализ'!$C$6),IF(Расчёты!G78=3,N('Сценарный анализ'!$C$7),N('Сценарный анализ'!$C$7)*(1+N('Сценарный анализ'!$C$8))^(Расчёты!G78-3)))))</f>
        <v>0</v>
      </c>
      <c r="AC78">
        <f>IF(OR(Расчёты!F78=0,N('Исходные данные'!$B$5)=0,AB78=0),0,N('Исходные данные'!$B$5)*AB78*IF(AND(B78&lt;='Исходные данные'!$B$30,Расчёты!C78&gt;='Исходные данные'!$B$30),(Расчёты!C78-'Исходные данные'!$B$30+1)/DAY(Расчёты!C78),1))</f>
        <v>0</v>
      </c>
      <c r="AD78">
        <f>IF(AND(Расчёты!F78&gt;0,Расчёты!F78&lt;=N('Исходные данные'!$B$37)),-AC78,0)</f>
        <v>0</v>
      </c>
      <c r="AE78">
        <f>IF(OR(Расчёты!F78=0,Расчёты!F78&lt;=N('Исходные данные'!$B$37)),0,-(AC78+AD78)*N('Сценарный анализ'!$C$9))</f>
        <v>0</v>
      </c>
      <c r="AF78">
        <f t="shared" si="43"/>
        <v>0</v>
      </c>
      <c r="AG78">
        <f>IF('Исходные данные'!$B$51="Да",AF78*N('Исходные данные'!$B$52),0)</f>
        <v>0</v>
      </c>
      <c r="AH78">
        <f t="shared" si="44"/>
        <v>0</v>
      </c>
      <c r="AI78">
        <f>AF78+(Расчёты!Y78-Расчёты!L78)</f>
        <v>0</v>
      </c>
      <c r="AJ78">
        <f t="shared" si="53"/>
        <v>0</v>
      </c>
      <c r="AK78">
        <f>IF('Исходные данные'!$B$51="Да",-MAX(0,AG78+Расчёты!R78+Расчёты!V78-Расчёты!P78-Расчёты!T78-AJ78),0)</f>
        <v>0</v>
      </c>
      <c r="AL78">
        <f>IF('Исходные данные'!$B$51="Да",MAX(0,AJ78+Расчёты!P78+Расчёты!T78-AG78-Расчёты!R78-Расчёты!V78),0)</f>
        <v>0</v>
      </c>
      <c r="AM78">
        <f>IF('Исходные данные'!$B$53="Выручка",MAX(0,AF78+(Расчёты!Q78-Расчёты!R78)+(Расчёты!U78-Расчёты!V78)),IF('Исходные данные'!$B$53="Прибыль до налога",MAX(0,AF78+(Расчёты!Q78-Расчёты!R78)+(Расчёты!U78-Расчёты!V78)+N('Исходные данные'!$B$54)*((Расчёты!O78+Расчёты!P78)+(Расчёты!S78+Расчёты!T78)+Расчёты!W78+Расчёты!X78)+IF('Исходные данные'!$B$55="Да",Расчёты!AG78,0)-N('Исходные данные'!$B$56)/12),IF('Исходные данные'!$B$53="Пользовательская база",MAX(0,N('Исходные данные'!$B$57)/12),0)))</f>
        <v>0</v>
      </c>
      <c r="AN78">
        <f>IF(D78=1,-AM78*N('Исходные данные'!$B$50),0)</f>
        <v>0</v>
      </c>
      <c r="AO78">
        <f t="shared" si="45"/>
        <v>0</v>
      </c>
      <c r="AP78">
        <f>IF(OR(D78&lt;&gt;1,B78="",'Исходные данные'!$B$91="",N('Исходные данные'!$B$80)&lt;=0,'Исходные данные'!$B$88=""),0,IF(AND(YEAR(B78)=YEAR('Исходные данные'!$B$91),MONTH(B78)=MONTH('Исходные данные'!$B$91)),MAX(0,IF('Исходные данные'!$B$88="Последние 12 месяцев",SUMIFS($AI$2:$AI$194,$B$2:$B$194,"&gt;="&amp;EDATE(B78,-11),$B$2:$B$194,"&lt;="&amp;B78),IF('Исходные данные'!$B$88="Пользовательский NOI",N('Исходные данные'!$B$89),AO78))/N('Исходные данные'!$B$80)*(1+N('Исходные данные'!$B$81))),0))</f>
        <v>0</v>
      </c>
      <c r="AQ78">
        <f>-AP78*N('Исходные данные'!$B$73)</f>
        <v>0</v>
      </c>
      <c r="AR78">
        <f>IF(AP78=0,0,-N('Исходные данные'!$B$87)-IF('Исходные данные'!$B$82="Да",IF('Исходные данные'!$B$84="С выручки",AP78,IF('Исходные данные'!$B$84="С прибыли",MAX(0,AP78+AQ78-IF('Исходные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78">
        <f t="shared" si="46"/>
        <v>0</v>
      </c>
      <c r="AT78">
        <f>IF(D78=1,Расчёты!AZ78+AH78+AK78+AN78+AS78,0)</f>
        <v>0</v>
      </c>
      <c r="AU78" t="str">
        <f t="shared" si="54"/>
        <v/>
      </c>
      <c r="AV78">
        <f>IF(OR(D78=0,'Исходные данные'!$B$9="",'Исходные данные'!$B$90=""),0,AT78/(1+'Исходные данные'!$B$90)^((C78-'Исходные данные'!$B$9)/365))</f>
        <v>0</v>
      </c>
      <c r="AW78">
        <f>IF(D78=1,AH78+Расчёты!O78+Расчёты!Q78+Расчёты!S78+Расчёты!U78+Расчёты!W78+Расчёты!X78+AK78+AN78,0)</f>
        <v>0</v>
      </c>
      <c r="AX78">
        <f>IF(AND(D78=1,AU78&gt;=0,AU77&lt;0,MIN($AU$2:AU78)&lt;0),1,0)</f>
        <v>0</v>
      </c>
      <c r="AY78">
        <f>IF(Расчёты!F78=0,0,IF(Расчёты!G78=1,N('Сценарный анализ'!$D$5),IF(Расчёты!G78=2,N('Сценарный анализ'!$D$6),IF(Расчёты!G78=3,N('Сценарный анализ'!$D$7),N('Сценарный анализ'!$D$7)*(1+N('Сценарный анализ'!$D$8))^(Расчёты!G78-3)))))</f>
        <v>0</v>
      </c>
      <c r="AZ78">
        <f>IF(OR(Расчёты!F78=0,N('Исходные данные'!$B$5)=0,AY78=0),0,N('Исходные данные'!$B$5)*AY78*IF(AND(B78&lt;='Исходные данные'!$B$30,Расчёты!C78&gt;='Исходные данные'!$B$30),(Расчёты!C78-'Исходные данные'!$B$30+1)/DAY(Расчёты!C78),1))</f>
        <v>0</v>
      </c>
      <c r="BA78">
        <f>IF(AND(Расчёты!F78&gt;0,Расчёты!F78&lt;=N('Исходные данные'!$B$37)),-AZ78,0)</f>
        <v>0</v>
      </c>
      <c r="BB78">
        <f>IF(OR(Расчёты!F78=0,Расчёты!F78&lt;=N('Исходные данные'!$B$37)),0,-(AZ78+BA78)*N('Сценарный анализ'!$D$9))</f>
        <v>0</v>
      </c>
      <c r="BC78">
        <f t="shared" si="47"/>
        <v>0</v>
      </c>
      <c r="BD78">
        <f>IF('Исходные данные'!$B$51="Да",BC78*N('Исходные данные'!$B$52),0)</f>
        <v>0</v>
      </c>
      <c r="BE78">
        <f t="shared" si="48"/>
        <v>0</v>
      </c>
      <c r="BF78">
        <f>BC78+(Расчёты!Y78-Расчёты!L78)</f>
        <v>0</v>
      </c>
      <c r="BG78">
        <f t="shared" si="55"/>
        <v>0</v>
      </c>
      <c r="BH78">
        <f>IF('Исходные данные'!$B$51="Да",-MAX(0,BD78+Расчёты!R78+Расчёты!V78-Расчёты!P78-Расчёты!T78-BG78),0)</f>
        <v>0</v>
      </c>
      <c r="BI78">
        <f>IF('Исходные данные'!$B$51="Да",MAX(0,BG78+Расчёты!P78+Расчёты!T78-BD78-Расчёты!R78-Расчёты!V78),0)</f>
        <v>0</v>
      </c>
      <c r="BJ78">
        <f>IF('Исходные данные'!$B$53="Выручка",MAX(0,BC78+(Расчёты!Q78-Расчёты!R78)+(Расчёты!U78-Расчёты!V78)),IF('Исходные данные'!$B$53="Прибыль до налога",MAX(0,BC78+(Расчёты!Q78-Расчёты!R78)+(Расчёты!U78-Расчёты!V78)+N('Исходные данные'!$B$54)*((Расчёты!O78+Расчёты!P78)+(Расчёты!S78+Расчёты!T78)+Расчёты!W78+Расчёты!X78)+IF('Исходные данные'!$B$55="Да",Расчёты!AG78,0)-N('Исходные данные'!$B$56)/12),IF('Исходные данные'!$B$53="Пользовательская база",MAX(0,N('Исходные данные'!$B$57)/12),0)))</f>
        <v>0</v>
      </c>
      <c r="BK78">
        <f>IF(D78=1,-BJ78*N('Исходные данные'!$B$50),0)</f>
        <v>0</v>
      </c>
      <c r="BL78">
        <f t="shared" si="49"/>
        <v>0</v>
      </c>
      <c r="BM78">
        <f>IF(OR(D78&lt;&gt;1,B78="",'Исходные данные'!$B$91="",N('Исходные данные'!$B$80)&lt;=0,'Исходные данные'!$B$88=""),0,IF(AND(YEAR(B78)=YEAR('Исходные данные'!$B$91),MONTH(B78)=MONTH('Исходные данные'!$B$91)),MAX(0,IF('Исходные данные'!$B$88="Последние 12 месяцев",SUMIFS($BF$2:$BF$194,$B$2:$B$194,"&gt;="&amp;EDATE(B78,-11),$B$2:$B$194,"&lt;="&amp;B78),IF('Исходные данные'!$B$88="Пользовательский NOI",N('Исходные данные'!$B$89),BL78))/N('Исходные данные'!$B$80)*(1+N('Исходные данные'!$B$81))),0))</f>
        <v>0</v>
      </c>
      <c r="BN78">
        <f>-BM78*N('Исходные данные'!$B$73)</f>
        <v>0</v>
      </c>
      <c r="BO78">
        <f>IF(BM78=0,0,-N('Исходные данные'!$B$87)-IF('Исходные данные'!$B$82="Да",IF('Исходные данные'!$B$84="С выручки",BM78,IF('Исходные данные'!$B$84="С прибыли",MAX(0,BM78+BN78-IF('Исходные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78">
        <f t="shared" si="50"/>
        <v>0</v>
      </c>
      <c r="BQ78">
        <f>IF(D78=1,Расчёты!AZ78+BE78+BH78+BK78+BP78,0)</f>
        <v>0</v>
      </c>
      <c r="BR78" t="str">
        <f t="shared" si="56"/>
        <v/>
      </c>
      <c r="BS78">
        <f>IF(OR(D78=0,'Исходные данные'!$B$9="",'Исходные данные'!$B$90=""),0,BQ78/(1+'Исходные данные'!$B$90)^((C78-'Исходные данные'!$B$9)/365))</f>
        <v>0</v>
      </c>
      <c r="BT78">
        <f>IF(D78=1,BE78+Расчёты!O78+Расчёты!Q78+Расчёты!S78+Расчёты!U78+Расчёты!W78+Расчёты!X78+BH78+BK78,0)</f>
        <v>0</v>
      </c>
      <c r="BU78">
        <f>IF(AND(D78=1,BR78&gt;=0,BR77&lt;0,MIN($BR$2:BR78)&lt;0),1,0)</f>
        <v>0</v>
      </c>
      <c r="BV78">
        <f>Расчёты!AZ78+K78+N78-P78*N('Исходные данные'!$B$50)</f>
        <v>0</v>
      </c>
      <c r="BW78">
        <f t="shared" si="57"/>
        <v>0</v>
      </c>
      <c r="BX78">
        <f>IF(AND(BW78&gt;=0,BW77&lt;0,MIN($BW$2:BW78)&lt;0),1,0)</f>
        <v>0</v>
      </c>
      <c r="BY78">
        <f>Расчёты!AZ78+AH78+AK78-AM78*N('Исходные данные'!$B$50)</f>
        <v>0</v>
      </c>
      <c r="BZ78">
        <f t="shared" si="58"/>
        <v>0</v>
      </c>
      <c r="CA78">
        <f>IF(AND(BZ78&gt;=0,BZ77&lt;0,MIN($BZ$2:BZ78)&lt;0),1,0)</f>
        <v>0</v>
      </c>
      <c r="CB78">
        <f>Расчёты!AZ78+BE78+BH78-BJ78*N('Исходные данные'!$B$50)</f>
        <v>0</v>
      </c>
      <c r="CC78">
        <f t="shared" si="59"/>
        <v>0</v>
      </c>
      <c r="CD78">
        <f>IF(AND(CC78&gt;=0,CC77&lt;0,MIN($CC$2:CC78)&lt;0),1,0)</f>
        <v>0</v>
      </c>
    </row>
    <row r="79" spans="1:82" x14ac:dyDescent="0.2">
      <c r="A79">
        <f>Расчёты!A79</f>
        <v>78</v>
      </c>
      <c r="B79" t="str">
        <f>Расчёты!B79</f>
        <v/>
      </c>
      <c r="C79" t="str">
        <f>Расчёты!D79</f>
        <v/>
      </c>
      <c r="D79">
        <f>Расчёты!E79</f>
        <v>0</v>
      </c>
      <c r="E79">
        <f>IF(Расчёты!F79=0,0,IF(Расчёты!G79=1,N('Сценарный анализ'!$B$5),IF(Расчёты!G79=2,N('Сценарный анализ'!$B$6),IF(Расчёты!G79=3,N('Сценарный анализ'!$B$7),N('Сценарный анализ'!$B$7)*(1+N('Сценарный анализ'!$B$8))^(Расчёты!G79-3)))))</f>
        <v>0</v>
      </c>
      <c r="F79">
        <f>IF(OR(Расчёты!F79=0,N('Исходные данные'!$B$5)=0,E79=0),0,N('Исходные данные'!$B$5)*E79*IF(AND(B79&lt;='Исходные данные'!$B$30,Расчёты!C79&gt;='Исходные данные'!$B$30),(Расчёты!C79-'Исходные данные'!$B$30+1)/DAY(Расчёты!C79),1))</f>
        <v>0</v>
      </c>
      <c r="G79">
        <f>IF(AND(Расчёты!F79&gt;0,Расчёты!F79&lt;=N('Исходные данные'!$B$37)),-F79,0)</f>
        <v>0</v>
      </c>
      <c r="H79">
        <f>IF(OR(Расчёты!F79=0,Расчёты!F79&lt;=N('Исходные данные'!$B$37)),0,-(F79+G79)*N('Сценарный анализ'!$B$9))</f>
        <v>0</v>
      </c>
      <c r="I79">
        <f t="shared" si="39"/>
        <v>0</v>
      </c>
      <c r="J79">
        <f>IF('Исходные данные'!$B$51="Да",I79*N('Исходные данные'!$B$52),0)</f>
        <v>0</v>
      </c>
      <c r="K79">
        <f t="shared" si="40"/>
        <v>0</v>
      </c>
      <c r="L79">
        <f>I79+(Расчёты!Y79-Расчёты!L79)</f>
        <v>0</v>
      </c>
      <c r="M79">
        <f t="shared" si="51"/>
        <v>0</v>
      </c>
      <c r="N79">
        <f>IF('Исходные данные'!$B$51="Да",-MAX(0,J79+Расчёты!R79+Расчёты!V79-Расчёты!P79-Расчёты!T79-M79),0)</f>
        <v>0</v>
      </c>
      <c r="O79">
        <f>IF('Исходные данные'!$B$51="Да",MAX(0,M79+Расчёты!P79+Расчёты!T79-J79-Расчёты!R79-Расчёты!V79),0)</f>
        <v>0</v>
      </c>
      <c r="P79">
        <f>IF('Исходные данные'!$B$53="Выручка",MAX(0,I79+(Расчёты!Q79-Расчёты!R79)+(Расчёты!U79-Расчёты!V79)),IF('Исходные данные'!$B$53="Прибыль до налога",MAX(0,I79+(Расчёты!Q79-Расчёты!R79)+(Расчёты!U79-Расчёты!V79)+N('Исходные данные'!$B$54)*((Расчёты!O79+Расчёты!P79)+(Расчёты!S79+Расчёты!T79)+Расчёты!W79+Расчёты!X79)+IF('Исходные данные'!$B$55="Да",Расчёты!AG79,0)-N('Исходные данные'!$B$56)/12),IF('Исходные данные'!$B$53="Пользовательская база",MAX(0,N('Исходные данные'!$B$57)/12),0)))</f>
        <v>0</v>
      </c>
      <c r="Q79">
        <f>IF(D79=1,-P79*N('Исходные данные'!$B$50),0)</f>
        <v>0</v>
      </c>
      <c r="R79">
        <f t="shared" si="41"/>
        <v>0</v>
      </c>
      <c r="S79">
        <f>IF(OR(D79&lt;&gt;1,B79="",'Исходные данные'!$B$91="",N('Исходные данные'!$B$80)&lt;=0,'Исходные данные'!$B$88=""),0,IF(AND(YEAR(B79)=YEAR('Исходные данные'!$B$91),MONTH(B79)=MONTH('Исходные данные'!$B$91)),MAX(0,IF('Исходные данные'!$B$88="Последние 12 месяцев",SUMIFS($L$2:$L$194,$B$2:$B$194,"&gt;="&amp;EDATE(B79,-11),$B$2:$B$194,"&lt;="&amp;B79),IF('Исходные данные'!$B$88="Пользовательский NOI",N('Исходные данные'!$B$89),R79))/N('Исходные данные'!$B$80)*(1+N('Исходные данные'!$B$81))),0))</f>
        <v>0</v>
      </c>
      <c r="T79">
        <f>-S79*N('Исходные данные'!$B$73)</f>
        <v>0</v>
      </c>
      <c r="U79">
        <f>IF(S79=0,0,-N('Исходные данные'!$B$87)-IF('Исходные данные'!$B$82="Да",IF('Исходные данные'!$B$84="С выручки",S79,IF('Исходные данные'!$B$84="С прибыли",MAX(0,S79+T79-IF('Исходные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79">
        <f t="shared" si="42"/>
        <v>0</v>
      </c>
      <c r="W79">
        <f>IF(D79=1,Расчёты!AZ79+K79+N79+Q79+V79,0)</f>
        <v>0</v>
      </c>
      <c r="X79" t="str">
        <f t="shared" si="52"/>
        <v/>
      </c>
      <c r="Y79">
        <f>IF(OR(D79=0,'Исходные данные'!$B$9="",'Исходные данные'!$B$90=""),0,W79/(1+'Исходные данные'!$B$90)^((C79-'Исходные данные'!$B$9)/365))</f>
        <v>0</v>
      </c>
      <c r="Z79">
        <f>IF(D79=1,K79+Расчёты!O79+Расчёты!Q79+Расчёты!S79+Расчёты!U79+Расчёты!W79+Расчёты!X79+N79+Q79,0)</f>
        <v>0</v>
      </c>
      <c r="AA79">
        <f>IF(AND(D79=1,X79&gt;=0,X78&lt;0,MIN($X$2:X79)&lt;0),1,0)</f>
        <v>0</v>
      </c>
      <c r="AB79">
        <f>IF(Расчёты!F79=0,0,IF(Расчёты!G79=1,N('Сценарный анализ'!$C$5),IF(Расчёты!G79=2,N('Сценарный анализ'!$C$6),IF(Расчёты!G79=3,N('Сценарный анализ'!$C$7),N('Сценарный анализ'!$C$7)*(1+N('Сценарный анализ'!$C$8))^(Расчёты!G79-3)))))</f>
        <v>0</v>
      </c>
      <c r="AC79">
        <f>IF(OR(Расчёты!F79=0,N('Исходные данные'!$B$5)=0,AB79=0),0,N('Исходные данные'!$B$5)*AB79*IF(AND(B79&lt;='Исходные данные'!$B$30,Расчёты!C79&gt;='Исходные данные'!$B$30),(Расчёты!C79-'Исходные данные'!$B$30+1)/DAY(Расчёты!C79),1))</f>
        <v>0</v>
      </c>
      <c r="AD79">
        <f>IF(AND(Расчёты!F79&gt;0,Расчёты!F79&lt;=N('Исходные данные'!$B$37)),-AC79,0)</f>
        <v>0</v>
      </c>
      <c r="AE79">
        <f>IF(OR(Расчёты!F79=0,Расчёты!F79&lt;=N('Исходные данные'!$B$37)),0,-(AC79+AD79)*N('Сценарный анализ'!$C$9))</f>
        <v>0</v>
      </c>
      <c r="AF79">
        <f t="shared" si="43"/>
        <v>0</v>
      </c>
      <c r="AG79">
        <f>IF('Исходные данные'!$B$51="Да",AF79*N('Исходные данные'!$B$52),0)</f>
        <v>0</v>
      </c>
      <c r="AH79">
        <f t="shared" si="44"/>
        <v>0</v>
      </c>
      <c r="AI79">
        <f>AF79+(Расчёты!Y79-Расчёты!L79)</f>
        <v>0</v>
      </c>
      <c r="AJ79">
        <f t="shared" si="53"/>
        <v>0</v>
      </c>
      <c r="AK79">
        <f>IF('Исходные данные'!$B$51="Да",-MAX(0,AG79+Расчёты!R79+Расчёты!V79-Расчёты!P79-Расчёты!T79-AJ79),0)</f>
        <v>0</v>
      </c>
      <c r="AL79">
        <f>IF('Исходные данные'!$B$51="Да",MAX(0,AJ79+Расчёты!P79+Расчёты!T79-AG79-Расчёты!R79-Расчёты!V79),0)</f>
        <v>0</v>
      </c>
      <c r="AM79">
        <f>IF('Исходные данные'!$B$53="Выручка",MAX(0,AF79+(Расчёты!Q79-Расчёты!R79)+(Расчёты!U79-Расчёты!V79)),IF('Исходные данные'!$B$53="Прибыль до налога",MAX(0,AF79+(Расчёты!Q79-Расчёты!R79)+(Расчёты!U79-Расчёты!V79)+N('Исходные данные'!$B$54)*((Расчёты!O79+Расчёты!P79)+(Расчёты!S79+Расчёты!T79)+Расчёты!W79+Расчёты!X79)+IF('Исходные данные'!$B$55="Да",Расчёты!AG79,0)-N('Исходные данные'!$B$56)/12),IF('Исходные данные'!$B$53="Пользовательская база",MAX(0,N('Исходные данные'!$B$57)/12),0)))</f>
        <v>0</v>
      </c>
      <c r="AN79">
        <f>IF(D79=1,-AM79*N('Исходные данные'!$B$50),0)</f>
        <v>0</v>
      </c>
      <c r="AO79">
        <f t="shared" si="45"/>
        <v>0</v>
      </c>
      <c r="AP79">
        <f>IF(OR(D79&lt;&gt;1,B79="",'Исходные данные'!$B$91="",N('Исходные данные'!$B$80)&lt;=0,'Исходные данные'!$B$88=""),0,IF(AND(YEAR(B79)=YEAR('Исходные данные'!$B$91),MONTH(B79)=MONTH('Исходные данные'!$B$91)),MAX(0,IF('Исходные данные'!$B$88="Последние 12 месяцев",SUMIFS($AI$2:$AI$194,$B$2:$B$194,"&gt;="&amp;EDATE(B79,-11),$B$2:$B$194,"&lt;="&amp;B79),IF('Исходные данные'!$B$88="Пользовательский NOI",N('Исходные данные'!$B$89),AO79))/N('Исходные данные'!$B$80)*(1+N('Исходные данные'!$B$81))),0))</f>
        <v>0</v>
      </c>
      <c r="AQ79">
        <f>-AP79*N('Исходные данные'!$B$73)</f>
        <v>0</v>
      </c>
      <c r="AR79">
        <f>IF(AP79=0,0,-N('Исходные данные'!$B$87)-IF('Исходные данные'!$B$82="Да",IF('Исходные данные'!$B$84="С выручки",AP79,IF('Исходные данные'!$B$84="С прибыли",MAX(0,AP79+AQ79-IF('Исходные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79">
        <f t="shared" si="46"/>
        <v>0</v>
      </c>
      <c r="AT79">
        <f>IF(D79=1,Расчёты!AZ79+AH79+AK79+AN79+AS79,0)</f>
        <v>0</v>
      </c>
      <c r="AU79" t="str">
        <f t="shared" si="54"/>
        <v/>
      </c>
      <c r="AV79">
        <f>IF(OR(D79=0,'Исходные данные'!$B$9="",'Исходные данные'!$B$90=""),0,AT79/(1+'Исходные данные'!$B$90)^((C79-'Исходные данные'!$B$9)/365))</f>
        <v>0</v>
      </c>
      <c r="AW79">
        <f>IF(D79=1,AH79+Расчёты!O79+Расчёты!Q79+Расчёты!S79+Расчёты!U79+Расчёты!W79+Расчёты!X79+AK79+AN79,0)</f>
        <v>0</v>
      </c>
      <c r="AX79">
        <f>IF(AND(D79=1,AU79&gt;=0,AU78&lt;0,MIN($AU$2:AU79)&lt;0),1,0)</f>
        <v>0</v>
      </c>
      <c r="AY79">
        <f>IF(Расчёты!F79=0,0,IF(Расчёты!G79=1,N('Сценарный анализ'!$D$5),IF(Расчёты!G79=2,N('Сценарный анализ'!$D$6),IF(Расчёты!G79=3,N('Сценарный анализ'!$D$7),N('Сценарный анализ'!$D$7)*(1+N('Сценарный анализ'!$D$8))^(Расчёты!G79-3)))))</f>
        <v>0</v>
      </c>
      <c r="AZ79">
        <f>IF(OR(Расчёты!F79=0,N('Исходные данные'!$B$5)=0,AY79=0),0,N('Исходные данные'!$B$5)*AY79*IF(AND(B79&lt;='Исходные данные'!$B$30,Расчёты!C79&gt;='Исходные данные'!$B$30),(Расчёты!C79-'Исходные данные'!$B$30+1)/DAY(Расчёты!C79),1))</f>
        <v>0</v>
      </c>
      <c r="BA79">
        <f>IF(AND(Расчёты!F79&gt;0,Расчёты!F79&lt;=N('Исходные данные'!$B$37)),-AZ79,0)</f>
        <v>0</v>
      </c>
      <c r="BB79">
        <f>IF(OR(Расчёты!F79=0,Расчёты!F79&lt;=N('Исходные данные'!$B$37)),0,-(AZ79+BA79)*N('Сценарный анализ'!$D$9))</f>
        <v>0</v>
      </c>
      <c r="BC79">
        <f t="shared" si="47"/>
        <v>0</v>
      </c>
      <c r="BD79">
        <f>IF('Исходные данные'!$B$51="Да",BC79*N('Исходные данные'!$B$52),0)</f>
        <v>0</v>
      </c>
      <c r="BE79">
        <f t="shared" si="48"/>
        <v>0</v>
      </c>
      <c r="BF79">
        <f>BC79+(Расчёты!Y79-Расчёты!L79)</f>
        <v>0</v>
      </c>
      <c r="BG79">
        <f t="shared" si="55"/>
        <v>0</v>
      </c>
      <c r="BH79">
        <f>IF('Исходные данные'!$B$51="Да",-MAX(0,BD79+Расчёты!R79+Расчёты!V79-Расчёты!P79-Расчёты!T79-BG79),0)</f>
        <v>0</v>
      </c>
      <c r="BI79">
        <f>IF('Исходные данные'!$B$51="Да",MAX(0,BG79+Расчёты!P79+Расчёты!T79-BD79-Расчёты!R79-Расчёты!V79),0)</f>
        <v>0</v>
      </c>
      <c r="BJ79">
        <f>IF('Исходные данные'!$B$53="Выручка",MAX(0,BC79+(Расчёты!Q79-Расчёты!R79)+(Расчёты!U79-Расчёты!V79)),IF('Исходные данные'!$B$53="Прибыль до налога",MAX(0,BC79+(Расчёты!Q79-Расчёты!R79)+(Расчёты!U79-Расчёты!V79)+N('Исходные данные'!$B$54)*((Расчёты!O79+Расчёты!P79)+(Расчёты!S79+Расчёты!T79)+Расчёты!W79+Расчёты!X79)+IF('Исходные данные'!$B$55="Да",Расчёты!AG79,0)-N('Исходные данные'!$B$56)/12),IF('Исходные данные'!$B$53="Пользовательская база",MAX(0,N('Исходные данные'!$B$57)/12),0)))</f>
        <v>0</v>
      </c>
      <c r="BK79">
        <f>IF(D79=1,-BJ79*N('Исходные данные'!$B$50),0)</f>
        <v>0</v>
      </c>
      <c r="BL79">
        <f t="shared" si="49"/>
        <v>0</v>
      </c>
      <c r="BM79">
        <f>IF(OR(D79&lt;&gt;1,B79="",'Исходные данные'!$B$91="",N('Исходные данные'!$B$80)&lt;=0,'Исходные данные'!$B$88=""),0,IF(AND(YEAR(B79)=YEAR('Исходные данные'!$B$91),MONTH(B79)=MONTH('Исходные данные'!$B$91)),MAX(0,IF('Исходные данные'!$B$88="Последние 12 месяцев",SUMIFS($BF$2:$BF$194,$B$2:$B$194,"&gt;="&amp;EDATE(B79,-11),$B$2:$B$194,"&lt;="&amp;B79),IF('Исходные данные'!$B$88="Пользовательский NOI",N('Исходные данные'!$B$89),BL79))/N('Исходные данные'!$B$80)*(1+N('Исходные данные'!$B$81))),0))</f>
        <v>0</v>
      </c>
      <c r="BN79">
        <f>-BM79*N('Исходные данные'!$B$73)</f>
        <v>0</v>
      </c>
      <c r="BO79">
        <f>IF(BM79=0,0,-N('Исходные данные'!$B$87)-IF('Исходные данные'!$B$82="Да",IF('Исходные данные'!$B$84="С выручки",BM79,IF('Исходные данные'!$B$84="С прибыли",MAX(0,BM79+BN79-IF('Исходные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79">
        <f t="shared" si="50"/>
        <v>0</v>
      </c>
      <c r="BQ79">
        <f>IF(D79=1,Расчёты!AZ79+BE79+BH79+BK79+BP79,0)</f>
        <v>0</v>
      </c>
      <c r="BR79" t="str">
        <f t="shared" si="56"/>
        <v/>
      </c>
      <c r="BS79">
        <f>IF(OR(D79=0,'Исходные данные'!$B$9="",'Исходные данные'!$B$90=""),0,BQ79/(1+'Исходные данные'!$B$90)^((C79-'Исходные данные'!$B$9)/365))</f>
        <v>0</v>
      </c>
      <c r="BT79">
        <f>IF(D79=1,BE79+Расчёты!O79+Расчёты!Q79+Расчёты!S79+Расчёты!U79+Расчёты!W79+Расчёты!X79+BH79+BK79,0)</f>
        <v>0</v>
      </c>
      <c r="BU79">
        <f>IF(AND(D79=1,BR79&gt;=0,BR78&lt;0,MIN($BR$2:BR79)&lt;0),1,0)</f>
        <v>0</v>
      </c>
      <c r="BV79">
        <f>Расчёты!AZ79+K79+N79-P79*N('Исходные данные'!$B$50)</f>
        <v>0</v>
      </c>
      <c r="BW79">
        <f t="shared" si="57"/>
        <v>0</v>
      </c>
      <c r="BX79">
        <f>IF(AND(BW79&gt;=0,BW78&lt;0,MIN($BW$2:BW79)&lt;0),1,0)</f>
        <v>0</v>
      </c>
      <c r="BY79">
        <f>Расчёты!AZ79+AH79+AK79-AM79*N('Исходные данные'!$B$50)</f>
        <v>0</v>
      </c>
      <c r="BZ79">
        <f t="shared" si="58"/>
        <v>0</v>
      </c>
      <c r="CA79">
        <f>IF(AND(BZ79&gt;=0,BZ78&lt;0,MIN($BZ$2:BZ79)&lt;0),1,0)</f>
        <v>0</v>
      </c>
      <c r="CB79">
        <f>Расчёты!AZ79+BE79+BH79-BJ79*N('Исходные данные'!$B$50)</f>
        <v>0</v>
      </c>
      <c r="CC79">
        <f t="shared" si="59"/>
        <v>0</v>
      </c>
      <c r="CD79">
        <f>IF(AND(CC79&gt;=0,CC78&lt;0,MIN($CC$2:CC79)&lt;0),1,0)</f>
        <v>0</v>
      </c>
    </row>
    <row r="80" spans="1:82" x14ac:dyDescent="0.2">
      <c r="A80">
        <f>Расчёты!A80</f>
        <v>79</v>
      </c>
      <c r="B80" t="str">
        <f>Расчёты!B80</f>
        <v/>
      </c>
      <c r="C80" t="str">
        <f>Расчёты!D80</f>
        <v/>
      </c>
      <c r="D80">
        <f>Расчёты!E80</f>
        <v>0</v>
      </c>
      <c r="E80">
        <f>IF(Расчёты!F80=0,0,IF(Расчёты!G80=1,N('Сценарный анализ'!$B$5),IF(Расчёты!G80=2,N('Сценарный анализ'!$B$6),IF(Расчёты!G80=3,N('Сценарный анализ'!$B$7),N('Сценарный анализ'!$B$7)*(1+N('Сценарный анализ'!$B$8))^(Расчёты!G80-3)))))</f>
        <v>0</v>
      </c>
      <c r="F80">
        <f>IF(OR(Расчёты!F80=0,N('Исходные данные'!$B$5)=0,E80=0),0,N('Исходные данные'!$B$5)*E80*IF(AND(B80&lt;='Исходные данные'!$B$30,Расчёты!C80&gt;='Исходные данные'!$B$30),(Расчёты!C80-'Исходные данные'!$B$30+1)/DAY(Расчёты!C80),1))</f>
        <v>0</v>
      </c>
      <c r="G80">
        <f>IF(AND(Расчёты!F80&gt;0,Расчёты!F80&lt;=N('Исходные данные'!$B$37)),-F80,0)</f>
        <v>0</v>
      </c>
      <c r="H80">
        <f>IF(OR(Расчёты!F80=0,Расчёты!F80&lt;=N('Исходные данные'!$B$37)),0,-(F80+G80)*N('Сценарный анализ'!$B$9))</f>
        <v>0</v>
      </c>
      <c r="I80">
        <f t="shared" si="39"/>
        <v>0</v>
      </c>
      <c r="J80">
        <f>IF('Исходные данные'!$B$51="Да",I80*N('Исходные данные'!$B$52),0)</f>
        <v>0</v>
      </c>
      <c r="K80">
        <f t="shared" si="40"/>
        <v>0</v>
      </c>
      <c r="L80">
        <f>I80+(Расчёты!Y80-Расчёты!L80)</f>
        <v>0</v>
      </c>
      <c r="M80">
        <f t="shared" si="51"/>
        <v>0</v>
      </c>
      <c r="N80">
        <f>IF('Исходные данные'!$B$51="Да",-MAX(0,J80+Расчёты!R80+Расчёты!V80-Расчёты!P80-Расчёты!T80-M80),0)</f>
        <v>0</v>
      </c>
      <c r="O80">
        <f>IF('Исходные данные'!$B$51="Да",MAX(0,M80+Расчёты!P80+Расчёты!T80-J80-Расчёты!R80-Расчёты!V80),0)</f>
        <v>0</v>
      </c>
      <c r="P80">
        <f>IF('Исходные данные'!$B$53="Выручка",MAX(0,I80+(Расчёты!Q80-Расчёты!R80)+(Расчёты!U80-Расчёты!V80)),IF('Исходные данные'!$B$53="Прибыль до налога",MAX(0,I80+(Расчёты!Q80-Расчёты!R80)+(Расчёты!U80-Расчёты!V80)+N('Исходные данные'!$B$54)*((Расчёты!O80+Расчёты!P80)+(Расчёты!S80+Расчёты!T80)+Расчёты!W80+Расчёты!X80)+IF('Исходные данные'!$B$55="Да",Расчёты!AG80,0)-N('Исходные данные'!$B$56)/12),IF('Исходные данные'!$B$53="Пользовательская база",MAX(0,N('Исходные данные'!$B$57)/12),0)))</f>
        <v>0</v>
      </c>
      <c r="Q80">
        <f>IF(D80=1,-P80*N('Исходные данные'!$B$50),0)</f>
        <v>0</v>
      </c>
      <c r="R80">
        <f t="shared" si="41"/>
        <v>0</v>
      </c>
      <c r="S80">
        <f>IF(OR(D80&lt;&gt;1,B80="",'Исходные данные'!$B$91="",N('Исходные данные'!$B$80)&lt;=0,'Исходные данные'!$B$88=""),0,IF(AND(YEAR(B80)=YEAR('Исходные данные'!$B$91),MONTH(B80)=MONTH('Исходные данные'!$B$91)),MAX(0,IF('Исходные данные'!$B$88="Последние 12 месяцев",SUMIFS($L$2:$L$194,$B$2:$B$194,"&gt;="&amp;EDATE(B80,-11),$B$2:$B$194,"&lt;="&amp;B80),IF('Исходные данные'!$B$88="Пользовательский NOI",N('Исходные данные'!$B$89),R80))/N('Исходные данные'!$B$80)*(1+N('Исходные данные'!$B$81))),0))</f>
        <v>0</v>
      </c>
      <c r="T80">
        <f>-S80*N('Исходные данные'!$B$73)</f>
        <v>0</v>
      </c>
      <c r="U80">
        <f>IF(S80=0,0,-N('Исходные данные'!$B$87)-IF('Исходные данные'!$B$82="Да",IF('Исходные данные'!$B$84="С выручки",S80,IF('Исходные данные'!$B$84="С прибыли",MAX(0,S80+T80-IF('Исходные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80">
        <f t="shared" si="42"/>
        <v>0</v>
      </c>
      <c r="W80">
        <f>IF(D80=1,Расчёты!AZ80+K80+N80+Q80+V80,0)</f>
        <v>0</v>
      </c>
      <c r="X80" t="str">
        <f t="shared" si="52"/>
        <v/>
      </c>
      <c r="Y80">
        <f>IF(OR(D80=0,'Исходные данные'!$B$9="",'Исходные данные'!$B$90=""),0,W80/(1+'Исходные данные'!$B$90)^((C80-'Исходные данные'!$B$9)/365))</f>
        <v>0</v>
      </c>
      <c r="Z80">
        <f>IF(D80=1,K80+Расчёты!O80+Расчёты!Q80+Расчёты!S80+Расчёты!U80+Расчёты!W80+Расчёты!X80+N80+Q80,0)</f>
        <v>0</v>
      </c>
      <c r="AA80">
        <f>IF(AND(D80=1,X80&gt;=0,X79&lt;0,MIN($X$2:X80)&lt;0),1,0)</f>
        <v>0</v>
      </c>
      <c r="AB80">
        <f>IF(Расчёты!F80=0,0,IF(Расчёты!G80=1,N('Сценарный анализ'!$C$5),IF(Расчёты!G80=2,N('Сценарный анализ'!$C$6),IF(Расчёты!G80=3,N('Сценарный анализ'!$C$7),N('Сценарный анализ'!$C$7)*(1+N('Сценарный анализ'!$C$8))^(Расчёты!G80-3)))))</f>
        <v>0</v>
      </c>
      <c r="AC80">
        <f>IF(OR(Расчёты!F80=0,N('Исходные данные'!$B$5)=0,AB80=0),0,N('Исходные данные'!$B$5)*AB80*IF(AND(B80&lt;='Исходные данные'!$B$30,Расчёты!C80&gt;='Исходные данные'!$B$30),(Расчёты!C80-'Исходные данные'!$B$30+1)/DAY(Расчёты!C80),1))</f>
        <v>0</v>
      </c>
      <c r="AD80">
        <f>IF(AND(Расчёты!F80&gt;0,Расчёты!F80&lt;=N('Исходные данные'!$B$37)),-AC80,0)</f>
        <v>0</v>
      </c>
      <c r="AE80">
        <f>IF(OR(Расчёты!F80=0,Расчёты!F80&lt;=N('Исходные данные'!$B$37)),0,-(AC80+AD80)*N('Сценарный анализ'!$C$9))</f>
        <v>0</v>
      </c>
      <c r="AF80">
        <f t="shared" si="43"/>
        <v>0</v>
      </c>
      <c r="AG80">
        <f>IF('Исходные данные'!$B$51="Да",AF80*N('Исходные данные'!$B$52),0)</f>
        <v>0</v>
      </c>
      <c r="AH80">
        <f t="shared" si="44"/>
        <v>0</v>
      </c>
      <c r="AI80">
        <f>AF80+(Расчёты!Y80-Расчёты!L80)</f>
        <v>0</v>
      </c>
      <c r="AJ80">
        <f t="shared" si="53"/>
        <v>0</v>
      </c>
      <c r="AK80">
        <f>IF('Исходные данные'!$B$51="Да",-MAX(0,AG80+Расчёты!R80+Расчёты!V80-Расчёты!P80-Расчёты!T80-AJ80),0)</f>
        <v>0</v>
      </c>
      <c r="AL80">
        <f>IF('Исходные данные'!$B$51="Да",MAX(0,AJ80+Расчёты!P80+Расчёты!T80-AG80-Расчёты!R80-Расчёты!V80),0)</f>
        <v>0</v>
      </c>
      <c r="AM80">
        <f>IF('Исходные данные'!$B$53="Выручка",MAX(0,AF80+(Расчёты!Q80-Расчёты!R80)+(Расчёты!U80-Расчёты!V80)),IF('Исходные данные'!$B$53="Прибыль до налога",MAX(0,AF80+(Расчёты!Q80-Расчёты!R80)+(Расчёты!U80-Расчёты!V80)+N('Исходные данные'!$B$54)*((Расчёты!O80+Расчёты!P80)+(Расчёты!S80+Расчёты!T80)+Расчёты!W80+Расчёты!X80)+IF('Исходные данные'!$B$55="Да",Расчёты!AG80,0)-N('Исходные данные'!$B$56)/12),IF('Исходные данные'!$B$53="Пользовательская база",MAX(0,N('Исходные данные'!$B$57)/12),0)))</f>
        <v>0</v>
      </c>
      <c r="AN80">
        <f>IF(D80=1,-AM80*N('Исходные данные'!$B$50),0)</f>
        <v>0</v>
      </c>
      <c r="AO80">
        <f t="shared" si="45"/>
        <v>0</v>
      </c>
      <c r="AP80">
        <f>IF(OR(D80&lt;&gt;1,B80="",'Исходные данные'!$B$91="",N('Исходные данные'!$B$80)&lt;=0,'Исходные данные'!$B$88=""),0,IF(AND(YEAR(B80)=YEAR('Исходные данные'!$B$91),MONTH(B80)=MONTH('Исходные данные'!$B$91)),MAX(0,IF('Исходные данные'!$B$88="Последние 12 месяцев",SUMIFS($AI$2:$AI$194,$B$2:$B$194,"&gt;="&amp;EDATE(B80,-11),$B$2:$B$194,"&lt;="&amp;B80),IF('Исходные данные'!$B$88="Пользовательский NOI",N('Исходные данные'!$B$89),AO80))/N('Исходные данные'!$B$80)*(1+N('Исходные данные'!$B$81))),0))</f>
        <v>0</v>
      </c>
      <c r="AQ80">
        <f>-AP80*N('Исходные данные'!$B$73)</f>
        <v>0</v>
      </c>
      <c r="AR80">
        <f>IF(AP80=0,0,-N('Исходные данные'!$B$87)-IF('Исходные данные'!$B$82="Да",IF('Исходные данные'!$B$84="С выручки",AP80,IF('Исходные данные'!$B$84="С прибыли",MAX(0,AP80+AQ80-IF('Исходные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80">
        <f t="shared" si="46"/>
        <v>0</v>
      </c>
      <c r="AT80">
        <f>IF(D80=1,Расчёты!AZ80+AH80+AK80+AN80+AS80,0)</f>
        <v>0</v>
      </c>
      <c r="AU80" t="str">
        <f t="shared" si="54"/>
        <v/>
      </c>
      <c r="AV80">
        <f>IF(OR(D80=0,'Исходные данные'!$B$9="",'Исходные данные'!$B$90=""),0,AT80/(1+'Исходные данные'!$B$90)^((C80-'Исходные данные'!$B$9)/365))</f>
        <v>0</v>
      </c>
      <c r="AW80">
        <f>IF(D80=1,AH80+Расчёты!O80+Расчёты!Q80+Расчёты!S80+Расчёты!U80+Расчёты!W80+Расчёты!X80+AK80+AN80,0)</f>
        <v>0</v>
      </c>
      <c r="AX80">
        <f>IF(AND(D80=1,AU80&gt;=0,AU79&lt;0,MIN($AU$2:AU80)&lt;0),1,0)</f>
        <v>0</v>
      </c>
      <c r="AY80">
        <f>IF(Расчёты!F80=0,0,IF(Расчёты!G80=1,N('Сценарный анализ'!$D$5),IF(Расчёты!G80=2,N('Сценарный анализ'!$D$6),IF(Расчёты!G80=3,N('Сценарный анализ'!$D$7),N('Сценарный анализ'!$D$7)*(1+N('Сценарный анализ'!$D$8))^(Расчёты!G80-3)))))</f>
        <v>0</v>
      </c>
      <c r="AZ80">
        <f>IF(OR(Расчёты!F80=0,N('Исходные данные'!$B$5)=0,AY80=0),0,N('Исходные данные'!$B$5)*AY80*IF(AND(B80&lt;='Исходные данные'!$B$30,Расчёты!C80&gt;='Исходные данные'!$B$30),(Расчёты!C80-'Исходные данные'!$B$30+1)/DAY(Расчёты!C80),1))</f>
        <v>0</v>
      </c>
      <c r="BA80">
        <f>IF(AND(Расчёты!F80&gt;0,Расчёты!F80&lt;=N('Исходные данные'!$B$37)),-AZ80,0)</f>
        <v>0</v>
      </c>
      <c r="BB80">
        <f>IF(OR(Расчёты!F80=0,Расчёты!F80&lt;=N('Исходные данные'!$B$37)),0,-(AZ80+BA80)*N('Сценарный анализ'!$D$9))</f>
        <v>0</v>
      </c>
      <c r="BC80">
        <f t="shared" si="47"/>
        <v>0</v>
      </c>
      <c r="BD80">
        <f>IF('Исходные данные'!$B$51="Да",BC80*N('Исходные данные'!$B$52),0)</f>
        <v>0</v>
      </c>
      <c r="BE80">
        <f t="shared" si="48"/>
        <v>0</v>
      </c>
      <c r="BF80">
        <f>BC80+(Расчёты!Y80-Расчёты!L80)</f>
        <v>0</v>
      </c>
      <c r="BG80">
        <f t="shared" si="55"/>
        <v>0</v>
      </c>
      <c r="BH80">
        <f>IF('Исходные данные'!$B$51="Да",-MAX(0,BD80+Расчёты!R80+Расчёты!V80-Расчёты!P80-Расчёты!T80-BG80),0)</f>
        <v>0</v>
      </c>
      <c r="BI80">
        <f>IF('Исходные данные'!$B$51="Да",MAX(0,BG80+Расчёты!P80+Расчёты!T80-BD80-Расчёты!R80-Расчёты!V80),0)</f>
        <v>0</v>
      </c>
      <c r="BJ80">
        <f>IF('Исходные данные'!$B$53="Выручка",MAX(0,BC80+(Расчёты!Q80-Расчёты!R80)+(Расчёты!U80-Расчёты!V80)),IF('Исходные данные'!$B$53="Прибыль до налога",MAX(0,BC80+(Расчёты!Q80-Расчёты!R80)+(Расчёты!U80-Расчёты!V80)+N('Исходные данные'!$B$54)*((Расчёты!O80+Расчёты!P80)+(Расчёты!S80+Расчёты!T80)+Расчёты!W80+Расчёты!X80)+IF('Исходные данные'!$B$55="Да",Расчёты!AG80,0)-N('Исходные данные'!$B$56)/12),IF('Исходные данные'!$B$53="Пользовательская база",MAX(0,N('Исходные данные'!$B$57)/12),0)))</f>
        <v>0</v>
      </c>
      <c r="BK80">
        <f>IF(D80=1,-BJ80*N('Исходные данные'!$B$50),0)</f>
        <v>0</v>
      </c>
      <c r="BL80">
        <f t="shared" si="49"/>
        <v>0</v>
      </c>
      <c r="BM80">
        <f>IF(OR(D80&lt;&gt;1,B80="",'Исходные данные'!$B$91="",N('Исходные данные'!$B$80)&lt;=0,'Исходные данные'!$B$88=""),0,IF(AND(YEAR(B80)=YEAR('Исходные данные'!$B$91),MONTH(B80)=MONTH('Исходные данные'!$B$91)),MAX(0,IF('Исходные данные'!$B$88="Последние 12 месяцев",SUMIFS($BF$2:$BF$194,$B$2:$B$194,"&gt;="&amp;EDATE(B80,-11),$B$2:$B$194,"&lt;="&amp;B80),IF('Исходные данные'!$B$88="Пользовательский NOI",N('Исходные данные'!$B$89),BL80))/N('Исходные данные'!$B$80)*(1+N('Исходные данные'!$B$81))),0))</f>
        <v>0</v>
      </c>
      <c r="BN80">
        <f>-BM80*N('Исходные данные'!$B$73)</f>
        <v>0</v>
      </c>
      <c r="BO80">
        <f>IF(BM80=0,0,-N('Исходные данные'!$B$87)-IF('Исходные данные'!$B$82="Да",IF('Исходные данные'!$B$84="С выручки",BM80,IF('Исходные данные'!$B$84="С прибыли",MAX(0,BM80+BN80-IF('Исходные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80">
        <f t="shared" si="50"/>
        <v>0</v>
      </c>
      <c r="BQ80">
        <f>IF(D80=1,Расчёты!AZ80+BE80+BH80+BK80+BP80,0)</f>
        <v>0</v>
      </c>
      <c r="BR80" t="str">
        <f t="shared" si="56"/>
        <v/>
      </c>
      <c r="BS80">
        <f>IF(OR(D80=0,'Исходные данные'!$B$9="",'Исходные данные'!$B$90=""),0,BQ80/(1+'Исходные данные'!$B$90)^((C80-'Исходные данные'!$B$9)/365))</f>
        <v>0</v>
      </c>
      <c r="BT80">
        <f>IF(D80=1,BE80+Расчёты!O80+Расчёты!Q80+Расчёты!S80+Расчёты!U80+Расчёты!W80+Расчёты!X80+BH80+BK80,0)</f>
        <v>0</v>
      </c>
      <c r="BU80">
        <f>IF(AND(D80=1,BR80&gt;=0,BR79&lt;0,MIN($BR$2:BR80)&lt;0),1,0)</f>
        <v>0</v>
      </c>
      <c r="BV80">
        <f>Расчёты!AZ80+K80+N80-P80*N('Исходные данные'!$B$50)</f>
        <v>0</v>
      </c>
      <c r="BW80">
        <f t="shared" si="57"/>
        <v>0</v>
      </c>
      <c r="BX80">
        <f>IF(AND(BW80&gt;=0,BW79&lt;0,MIN($BW$2:BW80)&lt;0),1,0)</f>
        <v>0</v>
      </c>
      <c r="BY80">
        <f>Расчёты!AZ80+AH80+AK80-AM80*N('Исходные данные'!$B$50)</f>
        <v>0</v>
      </c>
      <c r="BZ80">
        <f t="shared" si="58"/>
        <v>0</v>
      </c>
      <c r="CA80">
        <f>IF(AND(BZ80&gt;=0,BZ79&lt;0,MIN($BZ$2:BZ80)&lt;0),1,0)</f>
        <v>0</v>
      </c>
      <c r="CB80">
        <f>Расчёты!AZ80+BE80+BH80-BJ80*N('Исходные данные'!$B$50)</f>
        <v>0</v>
      </c>
      <c r="CC80">
        <f t="shared" si="59"/>
        <v>0</v>
      </c>
      <c r="CD80">
        <f>IF(AND(CC80&gt;=0,CC79&lt;0,MIN($CC$2:CC80)&lt;0),1,0)</f>
        <v>0</v>
      </c>
    </row>
    <row r="81" spans="1:82" x14ac:dyDescent="0.2">
      <c r="A81">
        <f>Расчёты!A81</f>
        <v>80</v>
      </c>
      <c r="B81" t="str">
        <f>Расчёты!B81</f>
        <v/>
      </c>
      <c r="C81" t="str">
        <f>Расчёты!D81</f>
        <v/>
      </c>
      <c r="D81">
        <f>Расчёты!E81</f>
        <v>0</v>
      </c>
      <c r="E81">
        <f>IF(Расчёты!F81=0,0,IF(Расчёты!G81=1,N('Сценарный анализ'!$B$5),IF(Расчёты!G81=2,N('Сценарный анализ'!$B$6),IF(Расчёты!G81=3,N('Сценарный анализ'!$B$7),N('Сценарный анализ'!$B$7)*(1+N('Сценарный анализ'!$B$8))^(Расчёты!G81-3)))))</f>
        <v>0</v>
      </c>
      <c r="F81">
        <f>IF(OR(Расчёты!F81=0,N('Исходные данные'!$B$5)=0,E81=0),0,N('Исходные данные'!$B$5)*E81*IF(AND(B81&lt;='Исходные данные'!$B$30,Расчёты!C81&gt;='Исходные данные'!$B$30),(Расчёты!C81-'Исходные данные'!$B$30+1)/DAY(Расчёты!C81),1))</f>
        <v>0</v>
      </c>
      <c r="G81">
        <f>IF(AND(Расчёты!F81&gt;0,Расчёты!F81&lt;=N('Исходные данные'!$B$37)),-F81,0)</f>
        <v>0</v>
      </c>
      <c r="H81">
        <f>IF(OR(Расчёты!F81=0,Расчёты!F81&lt;=N('Исходные данные'!$B$37)),0,-(F81+G81)*N('Сценарный анализ'!$B$9))</f>
        <v>0</v>
      </c>
      <c r="I81">
        <f t="shared" si="39"/>
        <v>0</v>
      </c>
      <c r="J81">
        <f>IF('Исходные данные'!$B$51="Да",I81*N('Исходные данные'!$B$52),0)</f>
        <v>0</v>
      </c>
      <c r="K81">
        <f t="shared" si="40"/>
        <v>0</v>
      </c>
      <c r="L81">
        <f>I81+(Расчёты!Y81-Расчёты!L81)</f>
        <v>0</v>
      </c>
      <c r="M81">
        <f t="shared" si="51"/>
        <v>0</v>
      </c>
      <c r="N81">
        <f>IF('Исходные данные'!$B$51="Да",-MAX(0,J81+Расчёты!R81+Расчёты!V81-Расчёты!P81-Расчёты!T81-M81),0)</f>
        <v>0</v>
      </c>
      <c r="O81">
        <f>IF('Исходные данные'!$B$51="Да",MAX(0,M81+Расчёты!P81+Расчёты!T81-J81-Расчёты!R81-Расчёты!V81),0)</f>
        <v>0</v>
      </c>
      <c r="P81">
        <f>IF('Исходные данные'!$B$53="Выручка",MAX(0,I81+(Расчёты!Q81-Расчёты!R81)+(Расчёты!U81-Расчёты!V81)),IF('Исходные данные'!$B$53="Прибыль до налога",MAX(0,I81+(Расчёты!Q81-Расчёты!R81)+(Расчёты!U81-Расчёты!V81)+N('Исходные данные'!$B$54)*((Расчёты!O81+Расчёты!P81)+(Расчёты!S81+Расчёты!T81)+Расчёты!W81+Расчёты!X81)+IF('Исходные данные'!$B$55="Да",Расчёты!AG81,0)-N('Исходные данные'!$B$56)/12),IF('Исходные данные'!$B$53="Пользовательская база",MAX(0,N('Исходные данные'!$B$57)/12),0)))</f>
        <v>0</v>
      </c>
      <c r="Q81">
        <f>IF(D81=1,-P81*N('Исходные данные'!$B$50),0)</f>
        <v>0</v>
      </c>
      <c r="R81">
        <f t="shared" si="41"/>
        <v>0</v>
      </c>
      <c r="S81">
        <f>IF(OR(D81&lt;&gt;1,B81="",'Исходные данные'!$B$91="",N('Исходные данные'!$B$80)&lt;=0,'Исходные данные'!$B$88=""),0,IF(AND(YEAR(B81)=YEAR('Исходные данные'!$B$91),MONTH(B81)=MONTH('Исходные данные'!$B$91)),MAX(0,IF('Исходные данные'!$B$88="Последние 12 месяцев",SUMIFS($L$2:$L$194,$B$2:$B$194,"&gt;="&amp;EDATE(B81,-11),$B$2:$B$194,"&lt;="&amp;B81),IF('Исходные данные'!$B$88="Пользовательский NOI",N('Исходные данные'!$B$89),R81))/N('Исходные данные'!$B$80)*(1+N('Исходные данные'!$B$81))),0))</f>
        <v>0</v>
      </c>
      <c r="T81">
        <f>-S81*N('Исходные данные'!$B$73)</f>
        <v>0</v>
      </c>
      <c r="U81">
        <f>IF(S81=0,0,-N('Исходные данные'!$B$87)-IF('Исходные данные'!$B$82="Да",IF('Исходные данные'!$B$84="С выручки",S81,IF('Исходные данные'!$B$84="С прибыли",MAX(0,S81+T81-IF('Исходные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81">
        <f t="shared" si="42"/>
        <v>0</v>
      </c>
      <c r="W81">
        <f>IF(D81=1,Расчёты!AZ81+K81+N81+Q81+V81,0)</f>
        <v>0</v>
      </c>
      <c r="X81" t="str">
        <f t="shared" si="52"/>
        <v/>
      </c>
      <c r="Y81">
        <f>IF(OR(D81=0,'Исходные данные'!$B$9="",'Исходные данные'!$B$90=""),0,W81/(1+'Исходные данные'!$B$90)^((C81-'Исходные данные'!$B$9)/365))</f>
        <v>0</v>
      </c>
      <c r="Z81">
        <f>IF(D81=1,K81+Расчёты!O81+Расчёты!Q81+Расчёты!S81+Расчёты!U81+Расчёты!W81+Расчёты!X81+N81+Q81,0)</f>
        <v>0</v>
      </c>
      <c r="AA81">
        <f>IF(AND(D81=1,X81&gt;=0,X80&lt;0,MIN($X$2:X81)&lt;0),1,0)</f>
        <v>0</v>
      </c>
      <c r="AB81">
        <f>IF(Расчёты!F81=0,0,IF(Расчёты!G81=1,N('Сценарный анализ'!$C$5),IF(Расчёты!G81=2,N('Сценарный анализ'!$C$6),IF(Расчёты!G81=3,N('Сценарный анализ'!$C$7),N('Сценарный анализ'!$C$7)*(1+N('Сценарный анализ'!$C$8))^(Расчёты!G81-3)))))</f>
        <v>0</v>
      </c>
      <c r="AC81">
        <f>IF(OR(Расчёты!F81=0,N('Исходные данные'!$B$5)=0,AB81=0),0,N('Исходные данные'!$B$5)*AB81*IF(AND(B81&lt;='Исходные данные'!$B$30,Расчёты!C81&gt;='Исходные данные'!$B$30),(Расчёты!C81-'Исходные данные'!$B$30+1)/DAY(Расчёты!C81),1))</f>
        <v>0</v>
      </c>
      <c r="AD81">
        <f>IF(AND(Расчёты!F81&gt;0,Расчёты!F81&lt;=N('Исходные данные'!$B$37)),-AC81,0)</f>
        <v>0</v>
      </c>
      <c r="AE81">
        <f>IF(OR(Расчёты!F81=0,Расчёты!F81&lt;=N('Исходные данные'!$B$37)),0,-(AC81+AD81)*N('Сценарный анализ'!$C$9))</f>
        <v>0</v>
      </c>
      <c r="AF81">
        <f t="shared" si="43"/>
        <v>0</v>
      </c>
      <c r="AG81">
        <f>IF('Исходные данные'!$B$51="Да",AF81*N('Исходные данные'!$B$52),0)</f>
        <v>0</v>
      </c>
      <c r="AH81">
        <f t="shared" si="44"/>
        <v>0</v>
      </c>
      <c r="AI81">
        <f>AF81+(Расчёты!Y81-Расчёты!L81)</f>
        <v>0</v>
      </c>
      <c r="AJ81">
        <f t="shared" si="53"/>
        <v>0</v>
      </c>
      <c r="AK81">
        <f>IF('Исходные данные'!$B$51="Да",-MAX(0,AG81+Расчёты!R81+Расчёты!V81-Расчёты!P81-Расчёты!T81-AJ81),0)</f>
        <v>0</v>
      </c>
      <c r="AL81">
        <f>IF('Исходные данные'!$B$51="Да",MAX(0,AJ81+Расчёты!P81+Расчёты!T81-AG81-Расчёты!R81-Расчёты!V81),0)</f>
        <v>0</v>
      </c>
      <c r="AM81">
        <f>IF('Исходные данные'!$B$53="Выручка",MAX(0,AF81+(Расчёты!Q81-Расчёты!R81)+(Расчёты!U81-Расчёты!V81)),IF('Исходные данные'!$B$53="Прибыль до налога",MAX(0,AF81+(Расчёты!Q81-Расчёты!R81)+(Расчёты!U81-Расчёты!V81)+N('Исходные данные'!$B$54)*((Расчёты!O81+Расчёты!P81)+(Расчёты!S81+Расчёты!T81)+Расчёты!W81+Расчёты!X81)+IF('Исходные данные'!$B$55="Да",Расчёты!AG81,0)-N('Исходные данные'!$B$56)/12),IF('Исходные данные'!$B$53="Пользовательская база",MAX(0,N('Исходные данные'!$B$57)/12),0)))</f>
        <v>0</v>
      </c>
      <c r="AN81">
        <f>IF(D81=1,-AM81*N('Исходные данные'!$B$50),0)</f>
        <v>0</v>
      </c>
      <c r="AO81">
        <f t="shared" si="45"/>
        <v>0</v>
      </c>
      <c r="AP81">
        <f>IF(OR(D81&lt;&gt;1,B81="",'Исходные данные'!$B$91="",N('Исходные данные'!$B$80)&lt;=0,'Исходные данные'!$B$88=""),0,IF(AND(YEAR(B81)=YEAR('Исходные данные'!$B$91),MONTH(B81)=MONTH('Исходные данные'!$B$91)),MAX(0,IF('Исходные данные'!$B$88="Последние 12 месяцев",SUMIFS($AI$2:$AI$194,$B$2:$B$194,"&gt;="&amp;EDATE(B81,-11),$B$2:$B$194,"&lt;="&amp;B81),IF('Исходные данные'!$B$88="Пользовательский NOI",N('Исходные данные'!$B$89),AO81))/N('Исходные данные'!$B$80)*(1+N('Исходные данные'!$B$81))),0))</f>
        <v>0</v>
      </c>
      <c r="AQ81">
        <f>-AP81*N('Исходные данные'!$B$73)</f>
        <v>0</v>
      </c>
      <c r="AR81">
        <f>IF(AP81=0,0,-N('Исходные данные'!$B$87)-IF('Исходные данные'!$B$82="Да",IF('Исходные данные'!$B$84="С выручки",AP81,IF('Исходные данные'!$B$84="С прибыли",MAX(0,AP81+AQ81-IF('Исходные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81">
        <f t="shared" si="46"/>
        <v>0</v>
      </c>
      <c r="AT81">
        <f>IF(D81=1,Расчёты!AZ81+AH81+AK81+AN81+AS81,0)</f>
        <v>0</v>
      </c>
      <c r="AU81" t="str">
        <f t="shared" si="54"/>
        <v/>
      </c>
      <c r="AV81">
        <f>IF(OR(D81=0,'Исходные данные'!$B$9="",'Исходные данные'!$B$90=""),0,AT81/(1+'Исходные данные'!$B$90)^((C81-'Исходные данные'!$B$9)/365))</f>
        <v>0</v>
      </c>
      <c r="AW81">
        <f>IF(D81=1,AH81+Расчёты!O81+Расчёты!Q81+Расчёты!S81+Расчёты!U81+Расчёты!W81+Расчёты!X81+AK81+AN81,0)</f>
        <v>0</v>
      </c>
      <c r="AX81">
        <f>IF(AND(D81=1,AU81&gt;=0,AU80&lt;0,MIN($AU$2:AU81)&lt;0),1,0)</f>
        <v>0</v>
      </c>
      <c r="AY81">
        <f>IF(Расчёты!F81=0,0,IF(Расчёты!G81=1,N('Сценарный анализ'!$D$5),IF(Расчёты!G81=2,N('Сценарный анализ'!$D$6),IF(Расчёты!G81=3,N('Сценарный анализ'!$D$7),N('Сценарный анализ'!$D$7)*(1+N('Сценарный анализ'!$D$8))^(Расчёты!G81-3)))))</f>
        <v>0</v>
      </c>
      <c r="AZ81">
        <f>IF(OR(Расчёты!F81=0,N('Исходные данные'!$B$5)=0,AY81=0),0,N('Исходные данные'!$B$5)*AY81*IF(AND(B81&lt;='Исходные данные'!$B$30,Расчёты!C81&gt;='Исходные данные'!$B$30),(Расчёты!C81-'Исходные данные'!$B$30+1)/DAY(Расчёты!C81),1))</f>
        <v>0</v>
      </c>
      <c r="BA81">
        <f>IF(AND(Расчёты!F81&gt;0,Расчёты!F81&lt;=N('Исходные данные'!$B$37)),-AZ81,0)</f>
        <v>0</v>
      </c>
      <c r="BB81">
        <f>IF(OR(Расчёты!F81=0,Расчёты!F81&lt;=N('Исходные данные'!$B$37)),0,-(AZ81+BA81)*N('Сценарный анализ'!$D$9))</f>
        <v>0</v>
      </c>
      <c r="BC81">
        <f t="shared" si="47"/>
        <v>0</v>
      </c>
      <c r="BD81">
        <f>IF('Исходные данные'!$B$51="Да",BC81*N('Исходные данные'!$B$52),0)</f>
        <v>0</v>
      </c>
      <c r="BE81">
        <f t="shared" si="48"/>
        <v>0</v>
      </c>
      <c r="BF81">
        <f>BC81+(Расчёты!Y81-Расчёты!L81)</f>
        <v>0</v>
      </c>
      <c r="BG81">
        <f t="shared" si="55"/>
        <v>0</v>
      </c>
      <c r="BH81">
        <f>IF('Исходные данные'!$B$51="Да",-MAX(0,BD81+Расчёты!R81+Расчёты!V81-Расчёты!P81-Расчёты!T81-BG81),0)</f>
        <v>0</v>
      </c>
      <c r="BI81">
        <f>IF('Исходные данные'!$B$51="Да",MAX(0,BG81+Расчёты!P81+Расчёты!T81-BD81-Расчёты!R81-Расчёты!V81),0)</f>
        <v>0</v>
      </c>
      <c r="BJ81">
        <f>IF('Исходные данные'!$B$53="Выручка",MAX(0,BC81+(Расчёты!Q81-Расчёты!R81)+(Расчёты!U81-Расчёты!V81)),IF('Исходные данные'!$B$53="Прибыль до налога",MAX(0,BC81+(Расчёты!Q81-Расчёты!R81)+(Расчёты!U81-Расчёты!V81)+N('Исходные данные'!$B$54)*((Расчёты!O81+Расчёты!P81)+(Расчёты!S81+Расчёты!T81)+Расчёты!W81+Расчёты!X81)+IF('Исходные данные'!$B$55="Да",Расчёты!AG81,0)-N('Исходные данные'!$B$56)/12),IF('Исходные данные'!$B$53="Пользовательская база",MAX(0,N('Исходные данные'!$B$57)/12),0)))</f>
        <v>0</v>
      </c>
      <c r="BK81">
        <f>IF(D81=1,-BJ81*N('Исходные данные'!$B$50),0)</f>
        <v>0</v>
      </c>
      <c r="BL81">
        <f t="shared" si="49"/>
        <v>0</v>
      </c>
      <c r="BM81">
        <f>IF(OR(D81&lt;&gt;1,B81="",'Исходные данные'!$B$91="",N('Исходные данные'!$B$80)&lt;=0,'Исходные данные'!$B$88=""),0,IF(AND(YEAR(B81)=YEAR('Исходные данные'!$B$91),MONTH(B81)=MONTH('Исходные данные'!$B$91)),MAX(0,IF('Исходные данные'!$B$88="Последние 12 месяцев",SUMIFS($BF$2:$BF$194,$B$2:$B$194,"&gt;="&amp;EDATE(B81,-11),$B$2:$B$194,"&lt;="&amp;B81),IF('Исходные данные'!$B$88="Пользовательский NOI",N('Исходные данные'!$B$89),BL81))/N('Исходные данные'!$B$80)*(1+N('Исходные данные'!$B$81))),0))</f>
        <v>0</v>
      </c>
      <c r="BN81">
        <f>-BM81*N('Исходные данные'!$B$73)</f>
        <v>0</v>
      </c>
      <c r="BO81">
        <f>IF(BM81=0,0,-N('Исходные данные'!$B$87)-IF('Исходные данные'!$B$82="Да",IF('Исходные данные'!$B$84="С выручки",BM81,IF('Исходные данные'!$B$84="С прибыли",MAX(0,BM81+BN81-IF('Исходные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81">
        <f t="shared" si="50"/>
        <v>0</v>
      </c>
      <c r="BQ81">
        <f>IF(D81=1,Расчёты!AZ81+BE81+BH81+BK81+BP81,0)</f>
        <v>0</v>
      </c>
      <c r="BR81" t="str">
        <f t="shared" si="56"/>
        <v/>
      </c>
      <c r="BS81">
        <f>IF(OR(D81=0,'Исходные данные'!$B$9="",'Исходные данные'!$B$90=""),0,BQ81/(1+'Исходные данные'!$B$90)^((C81-'Исходные данные'!$B$9)/365))</f>
        <v>0</v>
      </c>
      <c r="BT81">
        <f>IF(D81=1,BE81+Расчёты!O81+Расчёты!Q81+Расчёты!S81+Расчёты!U81+Расчёты!W81+Расчёты!X81+BH81+BK81,0)</f>
        <v>0</v>
      </c>
      <c r="BU81">
        <f>IF(AND(D81=1,BR81&gt;=0,BR80&lt;0,MIN($BR$2:BR81)&lt;0),1,0)</f>
        <v>0</v>
      </c>
      <c r="BV81">
        <f>Расчёты!AZ81+K81+N81-P81*N('Исходные данные'!$B$50)</f>
        <v>0</v>
      </c>
      <c r="BW81">
        <f t="shared" si="57"/>
        <v>0</v>
      </c>
      <c r="BX81">
        <f>IF(AND(BW81&gt;=0,BW80&lt;0,MIN($BW$2:BW81)&lt;0),1,0)</f>
        <v>0</v>
      </c>
      <c r="BY81">
        <f>Расчёты!AZ81+AH81+AK81-AM81*N('Исходные данные'!$B$50)</f>
        <v>0</v>
      </c>
      <c r="BZ81">
        <f t="shared" si="58"/>
        <v>0</v>
      </c>
      <c r="CA81">
        <f>IF(AND(BZ81&gt;=0,BZ80&lt;0,MIN($BZ$2:BZ81)&lt;0),1,0)</f>
        <v>0</v>
      </c>
      <c r="CB81">
        <f>Расчёты!AZ81+BE81+BH81-BJ81*N('Исходные данные'!$B$50)</f>
        <v>0</v>
      </c>
      <c r="CC81">
        <f t="shared" si="59"/>
        <v>0</v>
      </c>
      <c r="CD81">
        <f>IF(AND(CC81&gt;=0,CC80&lt;0,MIN($CC$2:CC81)&lt;0),1,0)</f>
        <v>0</v>
      </c>
    </row>
    <row r="82" spans="1:82" x14ac:dyDescent="0.2">
      <c r="A82">
        <f>Расчёты!A82</f>
        <v>81</v>
      </c>
      <c r="B82" t="str">
        <f>Расчёты!B82</f>
        <v/>
      </c>
      <c r="C82" t="str">
        <f>Расчёты!D82</f>
        <v/>
      </c>
      <c r="D82">
        <f>Расчёты!E82</f>
        <v>0</v>
      </c>
      <c r="E82">
        <f>IF(Расчёты!F82=0,0,IF(Расчёты!G82=1,N('Сценарный анализ'!$B$5),IF(Расчёты!G82=2,N('Сценарный анализ'!$B$6),IF(Расчёты!G82=3,N('Сценарный анализ'!$B$7),N('Сценарный анализ'!$B$7)*(1+N('Сценарный анализ'!$B$8))^(Расчёты!G82-3)))))</f>
        <v>0</v>
      </c>
      <c r="F82">
        <f>IF(OR(Расчёты!F82=0,N('Исходные данные'!$B$5)=0,E82=0),0,N('Исходные данные'!$B$5)*E82*IF(AND(B82&lt;='Исходные данные'!$B$30,Расчёты!C82&gt;='Исходные данные'!$B$30),(Расчёты!C82-'Исходные данные'!$B$30+1)/DAY(Расчёты!C82),1))</f>
        <v>0</v>
      </c>
      <c r="G82">
        <f>IF(AND(Расчёты!F82&gt;0,Расчёты!F82&lt;=N('Исходные данные'!$B$37)),-F82,0)</f>
        <v>0</v>
      </c>
      <c r="H82">
        <f>IF(OR(Расчёты!F82=0,Расчёты!F82&lt;=N('Исходные данные'!$B$37)),0,-(F82+G82)*N('Сценарный анализ'!$B$9))</f>
        <v>0</v>
      </c>
      <c r="I82">
        <f t="shared" si="39"/>
        <v>0</v>
      </c>
      <c r="J82">
        <f>IF('Исходные данные'!$B$51="Да",I82*N('Исходные данные'!$B$52),0)</f>
        <v>0</v>
      </c>
      <c r="K82">
        <f t="shared" si="40"/>
        <v>0</v>
      </c>
      <c r="L82">
        <f>I82+(Расчёты!Y82-Расчёты!L82)</f>
        <v>0</v>
      </c>
      <c r="M82">
        <f t="shared" si="51"/>
        <v>0</v>
      </c>
      <c r="N82">
        <f>IF('Исходные данные'!$B$51="Да",-MAX(0,J82+Расчёты!R82+Расчёты!V82-Расчёты!P82-Расчёты!T82-M82),0)</f>
        <v>0</v>
      </c>
      <c r="O82">
        <f>IF('Исходные данные'!$B$51="Да",MAX(0,M82+Расчёты!P82+Расчёты!T82-J82-Расчёты!R82-Расчёты!V82),0)</f>
        <v>0</v>
      </c>
      <c r="P82">
        <f>IF('Исходные данные'!$B$53="Выручка",MAX(0,I82+(Расчёты!Q82-Расчёты!R82)+(Расчёты!U82-Расчёты!V82)),IF('Исходные данные'!$B$53="Прибыль до налога",MAX(0,I82+(Расчёты!Q82-Расчёты!R82)+(Расчёты!U82-Расчёты!V82)+N('Исходные данные'!$B$54)*((Расчёты!O82+Расчёты!P82)+(Расчёты!S82+Расчёты!T82)+Расчёты!W82+Расчёты!X82)+IF('Исходные данные'!$B$55="Да",Расчёты!AG82,0)-N('Исходные данные'!$B$56)/12),IF('Исходные данные'!$B$53="Пользовательская база",MAX(0,N('Исходные данные'!$B$57)/12),0)))</f>
        <v>0</v>
      </c>
      <c r="Q82">
        <f>IF(D82=1,-P82*N('Исходные данные'!$B$50),0)</f>
        <v>0</v>
      </c>
      <c r="R82">
        <f t="shared" si="41"/>
        <v>0</v>
      </c>
      <c r="S82">
        <f>IF(OR(D82&lt;&gt;1,B82="",'Исходные данные'!$B$91="",N('Исходные данные'!$B$80)&lt;=0,'Исходные данные'!$B$88=""),0,IF(AND(YEAR(B82)=YEAR('Исходные данные'!$B$91),MONTH(B82)=MONTH('Исходные данные'!$B$91)),MAX(0,IF('Исходные данные'!$B$88="Последние 12 месяцев",SUMIFS($L$2:$L$194,$B$2:$B$194,"&gt;="&amp;EDATE(B82,-11),$B$2:$B$194,"&lt;="&amp;B82),IF('Исходные данные'!$B$88="Пользовательский NOI",N('Исходные данные'!$B$89),R82))/N('Исходные данные'!$B$80)*(1+N('Исходные данные'!$B$81))),0))</f>
        <v>0</v>
      </c>
      <c r="T82">
        <f>-S82*N('Исходные данные'!$B$73)</f>
        <v>0</v>
      </c>
      <c r="U82">
        <f>IF(S82=0,0,-N('Исходные данные'!$B$87)-IF('Исходные данные'!$B$82="Да",IF('Исходные данные'!$B$84="С выручки",S82,IF('Исходные данные'!$B$84="С прибыли",MAX(0,S82+T82-IF('Исходные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82">
        <f t="shared" si="42"/>
        <v>0</v>
      </c>
      <c r="W82">
        <f>IF(D82=1,Расчёты!AZ82+K82+N82+Q82+V82,0)</f>
        <v>0</v>
      </c>
      <c r="X82" t="str">
        <f t="shared" si="52"/>
        <v/>
      </c>
      <c r="Y82">
        <f>IF(OR(D82=0,'Исходные данные'!$B$9="",'Исходные данные'!$B$90=""),0,W82/(1+'Исходные данные'!$B$90)^((C82-'Исходные данные'!$B$9)/365))</f>
        <v>0</v>
      </c>
      <c r="Z82">
        <f>IF(D82=1,K82+Расчёты!O82+Расчёты!Q82+Расчёты!S82+Расчёты!U82+Расчёты!W82+Расчёты!X82+N82+Q82,0)</f>
        <v>0</v>
      </c>
      <c r="AA82">
        <f>IF(AND(D82=1,X82&gt;=0,X81&lt;0,MIN($X$2:X82)&lt;0),1,0)</f>
        <v>0</v>
      </c>
      <c r="AB82">
        <f>IF(Расчёты!F82=0,0,IF(Расчёты!G82=1,N('Сценарный анализ'!$C$5),IF(Расчёты!G82=2,N('Сценарный анализ'!$C$6),IF(Расчёты!G82=3,N('Сценарный анализ'!$C$7),N('Сценарный анализ'!$C$7)*(1+N('Сценарный анализ'!$C$8))^(Расчёты!G82-3)))))</f>
        <v>0</v>
      </c>
      <c r="AC82">
        <f>IF(OR(Расчёты!F82=0,N('Исходные данные'!$B$5)=0,AB82=0),0,N('Исходные данные'!$B$5)*AB82*IF(AND(B82&lt;='Исходные данные'!$B$30,Расчёты!C82&gt;='Исходные данные'!$B$30),(Расчёты!C82-'Исходные данные'!$B$30+1)/DAY(Расчёты!C82),1))</f>
        <v>0</v>
      </c>
      <c r="AD82">
        <f>IF(AND(Расчёты!F82&gt;0,Расчёты!F82&lt;=N('Исходные данные'!$B$37)),-AC82,0)</f>
        <v>0</v>
      </c>
      <c r="AE82">
        <f>IF(OR(Расчёты!F82=0,Расчёты!F82&lt;=N('Исходные данные'!$B$37)),0,-(AC82+AD82)*N('Сценарный анализ'!$C$9))</f>
        <v>0</v>
      </c>
      <c r="AF82">
        <f t="shared" si="43"/>
        <v>0</v>
      </c>
      <c r="AG82">
        <f>IF('Исходные данные'!$B$51="Да",AF82*N('Исходные данные'!$B$52),0)</f>
        <v>0</v>
      </c>
      <c r="AH82">
        <f t="shared" si="44"/>
        <v>0</v>
      </c>
      <c r="AI82">
        <f>AF82+(Расчёты!Y82-Расчёты!L82)</f>
        <v>0</v>
      </c>
      <c r="AJ82">
        <f t="shared" si="53"/>
        <v>0</v>
      </c>
      <c r="AK82">
        <f>IF('Исходные данные'!$B$51="Да",-MAX(0,AG82+Расчёты!R82+Расчёты!V82-Расчёты!P82-Расчёты!T82-AJ82),0)</f>
        <v>0</v>
      </c>
      <c r="AL82">
        <f>IF('Исходные данные'!$B$51="Да",MAX(0,AJ82+Расчёты!P82+Расчёты!T82-AG82-Расчёты!R82-Расчёты!V82),0)</f>
        <v>0</v>
      </c>
      <c r="AM82">
        <f>IF('Исходные данные'!$B$53="Выручка",MAX(0,AF82+(Расчёты!Q82-Расчёты!R82)+(Расчёты!U82-Расчёты!V82)),IF('Исходные данные'!$B$53="Прибыль до налога",MAX(0,AF82+(Расчёты!Q82-Расчёты!R82)+(Расчёты!U82-Расчёты!V82)+N('Исходные данные'!$B$54)*((Расчёты!O82+Расчёты!P82)+(Расчёты!S82+Расчёты!T82)+Расчёты!W82+Расчёты!X82)+IF('Исходные данные'!$B$55="Да",Расчёты!AG82,0)-N('Исходные данные'!$B$56)/12),IF('Исходные данные'!$B$53="Пользовательская база",MAX(0,N('Исходные данные'!$B$57)/12),0)))</f>
        <v>0</v>
      </c>
      <c r="AN82">
        <f>IF(D82=1,-AM82*N('Исходные данные'!$B$50),0)</f>
        <v>0</v>
      </c>
      <c r="AO82">
        <f t="shared" si="45"/>
        <v>0</v>
      </c>
      <c r="AP82">
        <f>IF(OR(D82&lt;&gt;1,B82="",'Исходные данные'!$B$91="",N('Исходные данные'!$B$80)&lt;=0,'Исходные данные'!$B$88=""),0,IF(AND(YEAR(B82)=YEAR('Исходные данные'!$B$91),MONTH(B82)=MONTH('Исходные данные'!$B$91)),MAX(0,IF('Исходные данные'!$B$88="Последние 12 месяцев",SUMIFS($AI$2:$AI$194,$B$2:$B$194,"&gt;="&amp;EDATE(B82,-11),$B$2:$B$194,"&lt;="&amp;B82),IF('Исходные данные'!$B$88="Пользовательский NOI",N('Исходные данные'!$B$89),AO82))/N('Исходные данные'!$B$80)*(1+N('Исходные данные'!$B$81))),0))</f>
        <v>0</v>
      </c>
      <c r="AQ82">
        <f>-AP82*N('Исходные данные'!$B$73)</f>
        <v>0</v>
      </c>
      <c r="AR82">
        <f>IF(AP82=0,0,-N('Исходные данные'!$B$87)-IF('Исходные данные'!$B$82="Да",IF('Исходные данные'!$B$84="С выручки",AP82,IF('Исходные данные'!$B$84="С прибыли",MAX(0,AP82+AQ82-IF('Исходные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82">
        <f t="shared" si="46"/>
        <v>0</v>
      </c>
      <c r="AT82">
        <f>IF(D82=1,Расчёты!AZ82+AH82+AK82+AN82+AS82,0)</f>
        <v>0</v>
      </c>
      <c r="AU82" t="str">
        <f t="shared" si="54"/>
        <v/>
      </c>
      <c r="AV82">
        <f>IF(OR(D82=0,'Исходные данные'!$B$9="",'Исходные данные'!$B$90=""),0,AT82/(1+'Исходные данные'!$B$90)^((C82-'Исходные данные'!$B$9)/365))</f>
        <v>0</v>
      </c>
      <c r="AW82">
        <f>IF(D82=1,AH82+Расчёты!O82+Расчёты!Q82+Расчёты!S82+Расчёты!U82+Расчёты!W82+Расчёты!X82+AK82+AN82,0)</f>
        <v>0</v>
      </c>
      <c r="AX82">
        <f>IF(AND(D82=1,AU82&gt;=0,AU81&lt;0,MIN($AU$2:AU82)&lt;0),1,0)</f>
        <v>0</v>
      </c>
      <c r="AY82">
        <f>IF(Расчёты!F82=0,0,IF(Расчёты!G82=1,N('Сценарный анализ'!$D$5),IF(Расчёты!G82=2,N('Сценарный анализ'!$D$6),IF(Расчёты!G82=3,N('Сценарный анализ'!$D$7),N('Сценарный анализ'!$D$7)*(1+N('Сценарный анализ'!$D$8))^(Расчёты!G82-3)))))</f>
        <v>0</v>
      </c>
      <c r="AZ82">
        <f>IF(OR(Расчёты!F82=0,N('Исходные данные'!$B$5)=0,AY82=0),0,N('Исходные данные'!$B$5)*AY82*IF(AND(B82&lt;='Исходные данные'!$B$30,Расчёты!C82&gt;='Исходные данные'!$B$30),(Расчёты!C82-'Исходные данные'!$B$30+1)/DAY(Расчёты!C82),1))</f>
        <v>0</v>
      </c>
      <c r="BA82">
        <f>IF(AND(Расчёты!F82&gt;0,Расчёты!F82&lt;=N('Исходные данные'!$B$37)),-AZ82,0)</f>
        <v>0</v>
      </c>
      <c r="BB82">
        <f>IF(OR(Расчёты!F82=0,Расчёты!F82&lt;=N('Исходные данные'!$B$37)),0,-(AZ82+BA82)*N('Сценарный анализ'!$D$9))</f>
        <v>0</v>
      </c>
      <c r="BC82">
        <f t="shared" si="47"/>
        <v>0</v>
      </c>
      <c r="BD82">
        <f>IF('Исходные данные'!$B$51="Да",BC82*N('Исходные данные'!$B$52),0)</f>
        <v>0</v>
      </c>
      <c r="BE82">
        <f t="shared" si="48"/>
        <v>0</v>
      </c>
      <c r="BF82">
        <f>BC82+(Расчёты!Y82-Расчёты!L82)</f>
        <v>0</v>
      </c>
      <c r="BG82">
        <f t="shared" si="55"/>
        <v>0</v>
      </c>
      <c r="BH82">
        <f>IF('Исходные данные'!$B$51="Да",-MAX(0,BD82+Расчёты!R82+Расчёты!V82-Расчёты!P82-Расчёты!T82-BG82),0)</f>
        <v>0</v>
      </c>
      <c r="BI82">
        <f>IF('Исходные данные'!$B$51="Да",MAX(0,BG82+Расчёты!P82+Расчёты!T82-BD82-Расчёты!R82-Расчёты!V82),0)</f>
        <v>0</v>
      </c>
      <c r="BJ82">
        <f>IF('Исходные данные'!$B$53="Выручка",MAX(0,BC82+(Расчёты!Q82-Расчёты!R82)+(Расчёты!U82-Расчёты!V82)),IF('Исходные данные'!$B$53="Прибыль до налога",MAX(0,BC82+(Расчёты!Q82-Расчёты!R82)+(Расчёты!U82-Расчёты!V82)+N('Исходные данные'!$B$54)*((Расчёты!O82+Расчёты!P82)+(Расчёты!S82+Расчёты!T82)+Расчёты!W82+Расчёты!X82)+IF('Исходные данные'!$B$55="Да",Расчёты!AG82,0)-N('Исходные данные'!$B$56)/12),IF('Исходные данные'!$B$53="Пользовательская база",MAX(0,N('Исходные данные'!$B$57)/12),0)))</f>
        <v>0</v>
      </c>
      <c r="BK82">
        <f>IF(D82=1,-BJ82*N('Исходные данные'!$B$50),0)</f>
        <v>0</v>
      </c>
      <c r="BL82">
        <f t="shared" si="49"/>
        <v>0</v>
      </c>
      <c r="BM82">
        <f>IF(OR(D82&lt;&gt;1,B82="",'Исходные данные'!$B$91="",N('Исходные данные'!$B$80)&lt;=0,'Исходные данные'!$B$88=""),0,IF(AND(YEAR(B82)=YEAR('Исходные данные'!$B$91),MONTH(B82)=MONTH('Исходные данные'!$B$91)),MAX(0,IF('Исходные данные'!$B$88="Последние 12 месяцев",SUMIFS($BF$2:$BF$194,$B$2:$B$194,"&gt;="&amp;EDATE(B82,-11),$B$2:$B$194,"&lt;="&amp;B82),IF('Исходные данные'!$B$88="Пользовательский NOI",N('Исходные данные'!$B$89),BL82))/N('Исходные данные'!$B$80)*(1+N('Исходные данные'!$B$81))),0))</f>
        <v>0</v>
      </c>
      <c r="BN82">
        <f>-BM82*N('Исходные данные'!$B$73)</f>
        <v>0</v>
      </c>
      <c r="BO82">
        <f>IF(BM82=0,0,-N('Исходные данные'!$B$87)-IF('Исходные данные'!$B$82="Да",IF('Исходные данные'!$B$84="С выручки",BM82,IF('Исходные данные'!$B$84="С прибыли",MAX(0,BM82+BN82-IF('Исходные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82">
        <f t="shared" si="50"/>
        <v>0</v>
      </c>
      <c r="BQ82">
        <f>IF(D82=1,Расчёты!AZ82+BE82+BH82+BK82+BP82,0)</f>
        <v>0</v>
      </c>
      <c r="BR82" t="str">
        <f t="shared" si="56"/>
        <v/>
      </c>
      <c r="BS82">
        <f>IF(OR(D82=0,'Исходные данные'!$B$9="",'Исходные данные'!$B$90=""),0,BQ82/(1+'Исходные данные'!$B$90)^((C82-'Исходные данные'!$B$9)/365))</f>
        <v>0</v>
      </c>
      <c r="BT82">
        <f>IF(D82=1,BE82+Расчёты!O82+Расчёты!Q82+Расчёты!S82+Расчёты!U82+Расчёты!W82+Расчёты!X82+BH82+BK82,0)</f>
        <v>0</v>
      </c>
      <c r="BU82">
        <f>IF(AND(D82=1,BR82&gt;=0,BR81&lt;0,MIN($BR$2:BR82)&lt;0),1,0)</f>
        <v>0</v>
      </c>
      <c r="BV82">
        <f>Расчёты!AZ82+K82+N82-P82*N('Исходные данные'!$B$50)</f>
        <v>0</v>
      </c>
      <c r="BW82">
        <f t="shared" si="57"/>
        <v>0</v>
      </c>
      <c r="BX82">
        <f>IF(AND(BW82&gt;=0,BW81&lt;0,MIN($BW$2:BW82)&lt;0),1,0)</f>
        <v>0</v>
      </c>
      <c r="BY82">
        <f>Расчёты!AZ82+AH82+AK82-AM82*N('Исходные данные'!$B$50)</f>
        <v>0</v>
      </c>
      <c r="BZ82">
        <f t="shared" si="58"/>
        <v>0</v>
      </c>
      <c r="CA82">
        <f>IF(AND(BZ82&gt;=0,BZ81&lt;0,MIN($BZ$2:BZ82)&lt;0),1,0)</f>
        <v>0</v>
      </c>
      <c r="CB82">
        <f>Расчёты!AZ82+BE82+BH82-BJ82*N('Исходные данные'!$B$50)</f>
        <v>0</v>
      </c>
      <c r="CC82">
        <f t="shared" si="59"/>
        <v>0</v>
      </c>
      <c r="CD82">
        <f>IF(AND(CC82&gt;=0,CC81&lt;0,MIN($CC$2:CC82)&lt;0),1,0)</f>
        <v>0</v>
      </c>
    </row>
    <row r="83" spans="1:82" x14ac:dyDescent="0.2">
      <c r="A83">
        <f>Расчёты!A83</f>
        <v>82</v>
      </c>
      <c r="B83" t="str">
        <f>Расчёты!B83</f>
        <v/>
      </c>
      <c r="C83" t="str">
        <f>Расчёты!D83</f>
        <v/>
      </c>
      <c r="D83">
        <f>Расчёты!E83</f>
        <v>0</v>
      </c>
      <c r="E83">
        <f>IF(Расчёты!F83=0,0,IF(Расчёты!G83=1,N('Сценарный анализ'!$B$5),IF(Расчёты!G83=2,N('Сценарный анализ'!$B$6),IF(Расчёты!G83=3,N('Сценарный анализ'!$B$7),N('Сценарный анализ'!$B$7)*(1+N('Сценарный анализ'!$B$8))^(Расчёты!G83-3)))))</f>
        <v>0</v>
      </c>
      <c r="F83">
        <f>IF(OR(Расчёты!F83=0,N('Исходные данные'!$B$5)=0,E83=0),0,N('Исходные данные'!$B$5)*E83*IF(AND(B83&lt;='Исходные данные'!$B$30,Расчёты!C83&gt;='Исходные данные'!$B$30),(Расчёты!C83-'Исходные данные'!$B$30+1)/DAY(Расчёты!C83),1))</f>
        <v>0</v>
      </c>
      <c r="G83">
        <f>IF(AND(Расчёты!F83&gt;0,Расчёты!F83&lt;=N('Исходные данные'!$B$37)),-F83,0)</f>
        <v>0</v>
      </c>
      <c r="H83">
        <f>IF(OR(Расчёты!F83=0,Расчёты!F83&lt;=N('Исходные данные'!$B$37)),0,-(F83+G83)*N('Сценарный анализ'!$B$9))</f>
        <v>0</v>
      </c>
      <c r="I83">
        <f t="shared" si="39"/>
        <v>0</v>
      </c>
      <c r="J83">
        <f>IF('Исходные данные'!$B$51="Да",I83*N('Исходные данные'!$B$52),0)</f>
        <v>0</v>
      </c>
      <c r="K83">
        <f t="shared" si="40"/>
        <v>0</v>
      </c>
      <c r="L83">
        <f>I83+(Расчёты!Y83-Расчёты!L83)</f>
        <v>0</v>
      </c>
      <c r="M83">
        <f t="shared" si="51"/>
        <v>0</v>
      </c>
      <c r="N83">
        <f>IF('Исходные данные'!$B$51="Да",-MAX(0,J83+Расчёты!R83+Расчёты!V83-Расчёты!P83-Расчёты!T83-M83),0)</f>
        <v>0</v>
      </c>
      <c r="O83">
        <f>IF('Исходные данные'!$B$51="Да",MAX(0,M83+Расчёты!P83+Расчёты!T83-J83-Расчёты!R83-Расчёты!V83),0)</f>
        <v>0</v>
      </c>
      <c r="P83">
        <f>IF('Исходные данные'!$B$53="Выручка",MAX(0,I83+(Расчёты!Q83-Расчёты!R83)+(Расчёты!U83-Расчёты!V83)),IF('Исходные данные'!$B$53="Прибыль до налога",MAX(0,I83+(Расчёты!Q83-Расчёты!R83)+(Расчёты!U83-Расчёты!V83)+N('Исходные данные'!$B$54)*((Расчёты!O83+Расчёты!P83)+(Расчёты!S83+Расчёты!T83)+Расчёты!W83+Расчёты!X83)+IF('Исходные данные'!$B$55="Да",Расчёты!AG83,0)-N('Исходные данные'!$B$56)/12),IF('Исходные данные'!$B$53="Пользовательская база",MAX(0,N('Исходные данные'!$B$57)/12),0)))</f>
        <v>0</v>
      </c>
      <c r="Q83">
        <f>IF(D83=1,-P83*N('Исходные данные'!$B$50),0)</f>
        <v>0</v>
      </c>
      <c r="R83">
        <f t="shared" si="41"/>
        <v>0</v>
      </c>
      <c r="S83">
        <f>IF(OR(D83&lt;&gt;1,B83="",'Исходные данные'!$B$91="",N('Исходные данные'!$B$80)&lt;=0,'Исходные данные'!$B$88=""),0,IF(AND(YEAR(B83)=YEAR('Исходные данные'!$B$91),MONTH(B83)=MONTH('Исходные данные'!$B$91)),MAX(0,IF('Исходные данные'!$B$88="Последние 12 месяцев",SUMIFS($L$2:$L$194,$B$2:$B$194,"&gt;="&amp;EDATE(B83,-11),$B$2:$B$194,"&lt;="&amp;B83),IF('Исходные данные'!$B$88="Пользовательский NOI",N('Исходные данные'!$B$89),R83))/N('Исходные данные'!$B$80)*(1+N('Исходные данные'!$B$81))),0))</f>
        <v>0</v>
      </c>
      <c r="T83">
        <f>-S83*N('Исходные данные'!$B$73)</f>
        <v>0</v>
      </c>
      <c r="U83">
        <f>IF(S83=0,0,-N('Исходные данные'!$B$87)-IF('Исходные данные'!$B$82="Да",IF('Исходные данные'!$B$84="С выручки",S83,IF('Исходные данные'!$B$84="С прибыли",MAX(0,S83+T83-IF('Исходные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83">
        <f t="shared" si="42"/>
        <v>0</v>
      </c>
      <c r="W83">
        <f>IF(D83=1,Расчёты!AZ83+K83+N83+Q83+V83,0)</f>
        <v>0</v>
      </c>
      <c r="X83" t="str">
        <f t="shared" si="52"/>
        <v/>
      </c>
      <c r="Y83">
        <f>IF(OR(D83=0,'Исходные данные'!$B$9="",'Исходные данные'!$B$90=""),0,W83/(1+'Исходные данные'!$B$90)^((C83-'Исходные данные'!$B$9)/365))</f>
        <v>0</v>
      </c>
      <c r="Z83">
        <f>IF(D83=1,K83+Расчёты!O83+Расчёты!Q83+Расчёты!S83+Расчёты!U83+Расчёты!W83+Расчёты!X83+N83+Q83,0)</f>
        <v>0</v>
      </c>
      <c r="AA83">
        <f>IF(AND(D83=1,X83&gt;=0,X82&lt;0,MIN($X$2:X83)&lt;0),1,0)</f>
        <v>0</v>
      </c>
      <c r="AB83">
        <f>IF(Расчёты!F83=0,0,IF(Расчёты!G83=1,N('Сценарный анализ'!$C$5),IF(Расчёты!G83=2,N('Сценарный анализ'!$C$6),IF(Расчёты!G83=3,N('Сценарный анализ'!$C$7),N('Сценарный анализ'!$C$7)*(1+N('Сценарный анализ'!$C$8))^(Расчёты!G83-3)))))</f>
        <v>0</v>
      </c>
      <c r="AC83">
        <f>IF(OR(Расчёты!F83=0,N('Исходные данные'!$B$5)=0,AB83=0),0,N('Исходные данные'!$B$5)*AB83*IF(AND(B83&lt;='Исходные данные'!$B$30,Расчёты!C83&gt;='Исходные данные'!$B$30),(Расчёты!C83-'Исходные данные'!$B$30+1)/DAY(Расчёты!C83),1))</f>
        <v>0</v>
      </c>
      <c r="AD83">
        <f>IF(AND(Расчёты!F83&gt;0,Расчёты!F83&lt;=N('Исходные данные'!$B$37)),-AC83,0)</f>
        <v>0</v>
      </c>
      <c r="AE83">
        <f>IF(OR(Расчёты!F83=0,Расчёты!F83&lt;=N('Исходные данные'!$B$37)),0,-(AC83+AD83)*N('Сценарный анализ'!$C$9))</f>
        <v>0</v>
      </c>
      <c r="AF83">
        <f t="shared" si="43"/>
        <v>0</v>
      </c>
      <c r="AG83">
        <f>IF('Исходные данные'!$B$51="Да",AF83*N('Исходные данные'!$B$52),0)</f>
        <v>0</v>
      </c>
      <c r="AH83">
        <f t="shared" si="44"/>
        <v>0</v>
      </c>
      <c r="AI83">
        <f>AF83+(Расчёты!Y83-Расчёты!L83)</f>
        <v>0</v>
      </c>
      <c r="AJ83">
        <f t="shared" si="53"/>
        <v>0</v>
      </c>
      <c r="AK83">
        <f>IF('Исходные данные'!$B$51="Да",-MAX(0,AG83+Расчёты!R83+Расчёты!V83-Расчёты!P83-Расчёты!T83-AJ83),0)</f>
        <v>0</v>
      </c>
      <c r="AL83">
        <f>IF('Исходные данные'!$B$51="Да",MAX(0,AJ83+Расчёты!P83+Расчёты!T83-AG83-Расчёты!R83-Расчёты!V83),0)</f>
        <v>0</v>
      </c>
      <c r="AM83">
        <f>IF('Исходные данные'!$B$53="Выручка",MAX(0,AF83+(Расчёты!Q83-Расчёты!R83)+(Расчёты!U83-Расчёты!V83)),IF('Исходные данные'!$B$53="Прибыль до налога",MAX(0,AF83+(Расчёты!Q83-Расчёты!R83)+(Расчёты!U83-Расчёты!V83)+N('Исходные данные'!$B$54)*((Расчёты!O83+Расчёты!P83)+(Расчёты!S83+Расчёты!T83)+Расчёты!W83+Расчёты!X83)+IF('Исходные данные'!$B$55="Да",Расчёты!AG83,0)-N('Исходные данные'!$B$56)/12),IF('Исходные данные'!$B$53="Пользовательская база",MAX(0,N('Исходные данные'!$B$57)/12),0)))</f>
        <v>0</v>
      </c>
      <c r="AN83">
        <f>IF(D83=1,-AM83*N('Исходные данные'!$B$50),0)</f>
        <v>0</v>
      </c>
      <c r="AO83">
        <f t="shared" si="45"/>
        <v>0</v>
      </c>
      <c r="AP83">
        <f>IF(OR(D83&lt;&gt;1,B83="",'Исходные данные'!$B$91="",N('Исходные данные'!$B$80)&lt;=0,'Исходные данные'!$B$88=""),0,IF(AND(YEAR(B83)=YEAR('Исходные данные'!$B$91),MONTH(B83)=MONTH('Исходные данные'!$B$91)),MAX(0,IF('Исходные данные'!$B$88="Последние 12 месяцев",SUMIFS($AI$2:$AI$194,$B$2:$B$194,"&gt;="&amp;EDATE(B83,-11),$B$2:$B$194,"&lt;="&amp;B83),IF('Исходные данные'!$B$88="Пользовательский NOI",N('Исходные данные'!$B$89),AO83))/N('Исходные данные'!$B$80)*(1+N('Исходные данные'!$B$81))),0))</f>
        <v>0</v>
      </c>
      <c r="AQ83">
        <f>-AP83*N('Исходные данные'!$B$73)</f>
        <v>0</v>
      </c>
      <c r="AR83">
        <f>IF(AP83=0,0,-N('Исходные данные'!$B$87)-IF('Исходные данные'!$B$82="Да",IF('Исходные данные'!$B$84="С выручки",AP83,IF('Исходные данные'!$B$84="С прибыли",MAX(0,AP83+AQ83-IF('Исходные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83">
        <f t="shared" si="46"/>
        <v>0</v>
      </c>
      <c r="AT83">
        <f>IF(D83=1,Расчёты!AZ83+AH83+AK83+AN83+AS83,0)</f>
        <v>0</v>
      </c>
      <c r="AU83" t="str">
        <f t="shared" si="54"/>
        <v/>
      </c>
      <c r="AV83">
        <f>IF(OR(D83=0,'Исходные данные'!$B$9="",'Исходные данные'!$B$90=""),0,AT83/(1+'Исходные данные'!$B$90)^((C83-'Исходные данные'!$B$9)/365))</f>
        <v>0</v>
      </c>
      <c r="AW83">
        <f>IF(D83=1,AH83+Расчёты!O83+Расчёты!Q83+Расчёты!S83+Расчёты!U83+Расчёты!W83+Расчёты!X83+AK83+AN83,0)</f>
        <v>0</v>
      </c>
      <c r="AX83">
        <f>IF(AND(D83=1,AU83&gt;=0,AU82&lt;0,MIN($AU$2:AU83)&lt;0),1,0)</f>
        <v>0</v>
      </c>
      <c r="AY83">
        <f>IF(Расчёты!F83=0,0,IF(Расчёты!G83=1,N('Сценарный анализ'!$D$5),IF(Расчёты!G83=2,N('Сценарный анализ'!$D$6),IF(Расчёты!G83=3,N('Сценарный анализ'!$D$7),N('Сценарный анализ'!$D$7)*(1+N('Сценарный анализ'!$D$8))^(Расчёты!G83-3)))))</f>
        <v>0</v>
      </c>
      <c r="AZ83">
        <f>IF(OR(Расчёты!F83=0,N('Исходные данные'!$B$5)=0,AY83=0),0,N('Исходные данные'!$B$5)*AY83*IF(AND(B83&lt;='Исходные данные'!$B$30,Расчёты!C83&gt;='Исходные данные'!$B$30),(Расчёты!C83-'Исходные данные'!$B$30+1)/DAY(Расчёты!C83),1))</f>
        <v>0</v>
      </c>
      <c r="BA83">
        <f>IF(AND(Расчёты!F83&gt;0,Расчёты!F83&lt;=N('Исходные данные'!$B$37)),-AZ83,0)</f>
        <v>0</v>
      </c>
      <c r="BB83">
        <f>IF(OR(Расчёты!F83=0,Расчёты!F83&lt;=N('Исходные данные'!$B$37)),0,-(AZ83+BA83)*N('Сценарный анализ'!$D$9))</f>
        <v>0</v>
      </c>
      <c r="BC83">
        <f t="shared" si="47"/>
        <v>0</v>
      </c>
      <c r="BD83">
        <f>IF('Исходные данные'!$B$51="Да",BC83*N('Исходные данные'!$B$52),0)</f>
        <v>0</v>
      </c>
      <c r="BE83">
        <f t="shared" si="48"/>
        <v>0</v>
      </c>
      <c r="BF83">
        <f>BC83+(Расчёты!Y83-Расчёты!L83)</f>
        <v>0</v>
      </c>
      <c r="BG83">
        <f t="shared" si="55"/>
        <v>0</v>
      </c>
      <c r="BH83">
        <f>IF('Исходные данные'!$B$51="Да",-MAX(0,BD83+Расчёты!R83+Расчёты!V83-Расчёты!P83-Расчёты!T83-BG83),0)</f>
        <v>0</v>
      </c>
      <c r="BI83">
        <f>IF('Исходные данные'!$B$51="Да",MAX(0,BG83+Расчёты!P83+Расчёты!T83-BD83-Расчёты!R83-Расчёты!V83),0)</f>
        <v>0</v>
      </c>
      <c r="BJ83">
        <f>IF('Исходные данные'!$B$53="Выручка",MAX(0,BC83+(Расчёты!Q83-Расчёты!R83)+(Расчёты!U83-Расчёты!V83)),IF('Исходные данные'!$B$53="Прибыль до налога",MAX(0,BC83+(Расчёты!Q83-Расчёты!R83)+(Расчёты!U83-Расчёты!V83)+N('Исходные данные'!$B$54)*((Расчёты!O83+Расчёты!P83)+(Расчёты!S83+Расчёты!T83)+Расчёты!W83+Расчёты!X83)+IF('Исходные данные'!$B$55="Да",Расчёты!AG83,0)-N('Исходные данные'!$B$56)/12),IF('Исходные данные'!$B$53="Пользовательская база",MAX(0,N('Исходные данные'!$B$57)/12),0)))</f>
        <v>0</v>
      </c>
      <c r="BK83">
        <f>IF(D83=1,-BJ83*N('Исходные данные'!$B$50),0)</f>
        <v>0</v>
      </c>
      <c r="BL83">
        <f t="shared" si="49"/>
        <v>0</v>
      </c>
      <c r="BM83">
        <f>IF(OR(D83&lt;&gt;1,B83="",'Исходные данные'!$B$91="",N('Исходные данные'!$B$80)&lt;=0,'Исходные данные'!$B$88=""),0,IF(AND(YEAR(B83)=YEAR('Исходные данные'!$B$91),MONTH(B83)=MONTH('Исходные данные'!$B$91)),MAX(0,IF('Исходные данные'!$B$88="Последние 12 месяцев",SUMIFS($BF$2:$BF$194,$B$2:$B$194,"&gt;="&amp;EDATE(B83,-11),$B$2:$B$194,"&lt;="&amp;B83),IF('Исходные данные'!$B$88="Пользовательский NOI",N('Исходные данные'!$B$89),BL83))/N('Исходные данные'!$B$80)*(1+N('Исходные данные'!$B$81))),0))</f>
        <v>0</v>
      </c>
      <c r="BN83">
        <f>-BM83*N('Исходные данные'!$B$73)</f>
        <v>0</v>
      </c>
      <c r="BO83">
        <f>IF(BM83=0,0,-N('Исходные данные'!$B$87)-IF('Исходные данные'!$B$82="Да",IF('Исходные данные'!$B$84="С выручки",BM83,IF('Исходные данные'!$B$84="С прибыли",MAX(0,BM83+BN83-IF('Исходные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83">
        <f t="shared" si="50"/>
        <v>0</v>
      </c>
      <c r="BQ83">
        <f>IF(D83=1,Расчёты!AZ83+BE83+BH83+BK83+BP83,0)</f>
        <v>0</v>
      </c>
      <c r="BR83" t="str">
        <f t="shared" si="56"/>
        <v/>
      </c>
      <c r="BS83">
        <f>IF(OR(D83=0,'Исходные данные'!$B$9="",'Исходные данные'!$B$90=""),0,BQ83/(1+'Исходные данные'!$B$90)^((C83-'Исходные данные'!$B$9)/365))</f>
        <v>0</v>
      </c>
      <c r="BT83">
        <f>IF(D83=1,BE83+Расчёты!O83+Расчёты!Q83+Расчёты!S83+Расчёты!U83+Расчёты!W83+Расчёты!X83+BH83+BK83,0)</f>
        <v>0</v>
      </c>
      <c r="BU83">
        <f>IF(AND(D83=1,BR83&gt;=0,BR82&lt;0,MIN($BR$2:BR83)&lt;0),1,0)</f>
        <v>0</v>
      </c>
      <c r="BV83">
        <f>Расчёты!AZ83+K83+N83-P83*N('Исходные данные'!$B$50)</f>
        <v>0</v>
      </c>
      <c r="BW83">
        <f t="shared" si="57"/>
        <v>0</v>
      </c>
      <c r="BX83">
        <f>IF(AND(BW83&gt;=0,BW82&lt;0,MIN($BW$2:BW83)&lt;0),1,0)</f>
        <v>0</v>
      </c>
      <c r="BY83">
        <f>Расчёты!AZ83+AH83+AK83-AM83*N('Исходные данные'!$B$50)</f>
        <v>0</v>
      </c>
      <c r="BZ83">
        <f t="shared" si="58"/>
        <v>0</v>
      </c>
      <c r="CA83">
        <f>IF(AND(BZ83&gt;=0,BZ82&lt;0,MIN($BZ$2:BZ83)&lt;0),1,0)</f>
        <v>0</v>
      </c>
      <c r="CB83">
        <f>Расчёты!AZ83+BE83+BH83-BJ83*N('Исходные данные'!$B$50)</f>
        <v>0</v>
      </c>
      <c r="CC83">
        <f t="shared" si="59"/>
        <v>0</v>
      </c>
      <c r="CD83">
        <f>IF(AND(CC83&gt;=0,CC82&lt;0,MIN($CC$2:CC83)&lt;0),1,0)</f>
        <v>0</v>
      </c>
    </row>
    <row r="84" spans="1:82" x14ac:dyDescent="0.2">
      <c r="A84">
        <f>Расчёты!A84</f>
        <v>83</v>
      </c>
      <c r="B84" t="str">
        <f>Расчёты!B84</f>
        <v/>
      </c>
      <c r="C84" t="str">
        <f>Расчёты!D84</f>
        <v/>
      </c>
      <c r="D84">
        <f>Расчёты!E84</f>
        <v>0</v>
      </c>
      <c r="E84">
        <f>IF(Расчёты!F84=0,0,IF(Расчёты!G84=1,N('Сценарный анализ'!$B$5),IF(Расчёты!G84=2,N('Сценарный анализ'!$B$6),IF(Расчёты!G84=3,N('Сценарный анализ'!$B$7),N('Сценарный анализ'!$B$7)*(1+N('Сценарный анализ'!$B$8))^(Расчёты!G84-3)))))</f>
        <v>0</v>
      </c>
      <c r="F84">
        <f>IF(OR(Расчёты!F84=0,N('Исходные данные'!$B$5)=0,E84=0),0,N('Исходные данные'!$B$5)*E84*IF(AND(B84&lt;='Исходные данные'!$B$30,Расчёты!C84&gt;='Исходные данные'!$B$30),(Расчёты!C84-'Исходные данные'!$B$30+1)/DAY(Расчёты!C84),1))</f>
        <v>0</v>
      </c>
      <c r="G84">
        <f>IF(AND(Расчёты!F84&gt;0,Расчёты!F84&lt;=N('Исходные данные'!$B$37)),-F84,0)</f>
        <v>0</v>
      </c>
      <c r="H84">
        <f>IF(OR(Расчёты!F84=0,Расчёты!F84&lt;=N('Исходные данные'!$B$37)),0,-(F84+G84)*N('Сценарный анализ'!$B$9))</f>
        <v>0</v>
      </c>
      <c r="I84">
        <f t="shared" si="39"/>
        <v>0</v>
      </c>
      <c r="J84">
        <f>IF('Исходные данные'!$B$51="Да",I84*N('Исходные данные'!$B$52),0)</f>
        <v>0</v>
      </c>
      <c r="K84">
        <f t="shared" si="40"/>
        <v>0</v>
      </c>
      <c r="L84">
        <f>I84+(Расчёты!Y84-Расчёты!L84)</f>
        <v>0</v>
      </c>
      <c r="M84">
        <f t="shared" si="51"/>
        <v>0</v>
      </c>
      <c r="N84">
        <f>IF('Исходные данные'!$B$51="Да",-MAX(0,J84+Расчёты!R84+Расчёты!V84-Расчёты!P84-Расчёты!T84-M84),0)</f>
        <v>0</v>
      </c>
      <c r="O84">
        <f>IF('Исходные данные'!$B$51="Да",MAX(0,M84+Расчёты!P84+Расчёты!T84-J84-Расчёты!R84-Расчёты!V84),0)</f>
        <v>0</v>
      </c>
      <c r="P84">
        <f>IF('Исходные данные'!$B$53="Выручка",MAX(0,I84+(Расчёты!Q84-Расчёты!R84)+(Расчёты!U84-Расчёты!V84)),IF('Исходные данные'!$B$53="Прибыль до налога",MAX(0,I84+(Расчёты!Q84-Расчёты!R84)+(Расчёты!U84-Расчёты!V84)+N('Исходные данные'!$B$54)*((Расчёты!O84+Расчёты!P84)+(Расчёты!S84+Расчёты!T84)+Расчёты!W84+Расчёты!X84)+IF('Исходные данные'!$B$55="Да",Расчёты!AG84,0)-N('Исходные данные'!$B$56)/12),IF('Исходные данные'!$B$53="Пользовательская база",MAX(0,N('Исходные данные'!$B$57)/12),0)))</f>
        <v>0</v>
      </c>
      <c r="Q84">
        <f>IF(D84=1,-P84*N('Исходные данные'!$B$50),0)</f>
        <v>0</v>
      </c>
      <c r="R84">
        <f t="shared" si="41"/>
        <v>0</v>
      </c>
      <c r="S84">
        <f>IF(OR(D84&lt;&gt;1,B84="",'Исходные данные'!$B$91="",N('Исходные данные'!$B$80)&lt;=0,'Исходные данные'!$B$88=""),0,IF(AND(YEAR(B84)=YEAR('Исходные данные'!$B$91),MONTH(B84)=MONTH('Исходные данные'!$B$91)),MAX(0,IF('Исходные данные'!$B$88="Последние 12 месяцев",SUMIFS($L$2:$L$194,$B$2:$B$194,"&gt;="&amp;EDATE(B84,-11),$B$2:$B$194,"&lt;="&amp;B84),IF('Исходные данные'!$B$88="Пользовательский NOI",N('Исходные данные'!$B$89),R84))/N('Исходные данные'!$B$80)*(1+N('Исходные данные'!$B$81))),0))</f>
        <v>0</v>
      </c>
      <c r="T84">
        <f>-S84*N('Исходные данные'!$B$73)</f>
        <v>0</v>
      </c>
      <c r="U84">
        <f>IF(S84=0,0,-N('Исходные данные'!$B$87)-IF('Исходные данные'!$B$82="Да",IF('Исходные данные'!$B$84="С выручки",S84,IF('Исходные данные'!$B$84="С прибыли",MAX(0,S84+T84-IF('Исходные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84">
        <f t="shared" si="42"/>
        <v>0</v>
      </c>
      <c r="W84">
        <f>IF(D84=1,Расчёты!AZ84+K84+N84+Q84+V84,0)</f>
        <v>0</v>
      </c>
      <c r="X84" t="str">
        <f t="shared" si="52"/>
        <v/>
      </c>
      <c r="Y84">
        <f>IF(OR(D84=0,'Исходные данные'!$B$9="",'Исходные данные'!$B$90=""),0,W84/(1+'Исходные данные'!$B$90)^((C84-'Исходные данные'!$B$9)/365))</f>
        <v>0</v>
      </c>
      <c r="Z84">
        <f>IF(D84=1,K84+Расчёты!O84+Расчёты!Q84+Расчёты!S84+Расчёты!U84+Расчёты!W84+Расчёты!X84+N84+Q84,0)</f>
        <v>0</v>
      </c>
      <c r="AA84">
        <f>IF(AND(D84=1,X84&gt;=0,X83&lt;0,MIN($X$2:X84)&lt;0),1,0)</f>
        <v>0</v>
      </c>
      <c r="AB84">
        <f>IF(Расчёты!F84=0,0,IF(Расчёты!G84=1,N('Сценарный анализ'!$C$5),IF(Расчёты!G84=2,N('Сценарный анализ'!$C$6),IF(Расчёты!G84=3,N('Сценарный анализ'!$C$7),N('Сценарный анализ'!$C$7)*(1+N('Сценарный анализ'!$C$8))^(Расчёты!G84-3)))))</f>
        <v>0</v>
      </c>
      <c r="AC84">
        <f>IF(OR(Расчёты!F84=0,N('Исходные данные'!$B$5)=0,AB84=0),0,N('Исходные данные'!$B$5)*AB84*IF(AND(B84&lt;='Исходные данные'!$B$30,Расчёты!C84&gt;='Исходные данные'!$B$30),(Расчёты!C84-'Исходные данные'!$B$30+1)/DAY(Расчёты!C84),1))</f>
        <v>0</v>
      </c>
      <c r="AD84">
        <f>IF(AND(Расчёты!F84&gt;0,Расчёты!F84&lt;=N('Исходные данные'!$B$37)),-AC84,0)</f>
        <v>0</v>
      </c>
      <c r="AE84">
        <f>IF(OR(Расчёты!F84=0,Расчёты!F84&lt;=N('Исходные данные'!$B$37)),0,-(AC84+AD84)*N('Сценарный анализ'!$C$9))</f>
        <v>0</v>
      </c>
      <c r="AF84">
        <f t="shared" si="43"/>
        <v>0</v>
      </c>
      <c r="AG84">
        <f>IF('Исходные данные'!$B$51="Да",AF84*N('Исходные данные'!$B$52),0)</f>
        <v>0</v>
      </c>
      <c r="AH84">
        <f t="shared" si="44"/>
        <v>0</v>
      </c>
      <c r="AI84">
        <f>AF84+(Расчёты!Y84-Расчёты!L84)</f>
        <v>0</v>
      </c>
      <c r="AJ84">
        <f t="shared" si="53"/>
        <v>0</v>
      </c>
      <c r="AK84">
        <f>IF('Исходные данные'!$B$51="Да",-MAX(0,AG84+Расчёты!R84+Расчёты!V84-Расчёты!P84-Расчёты!T84-AJ84),0)</f>
        <v>0</v>
      </c>
      <c r="AL84">
        <f>IF('Исходные данные'!$B$51="Да",MAX(0,AJ84+Расчёты!P84+Расчёты!T84-AG84-Расчёты!R84-Расчёты!V84),0)</f>
        <v>0</v>
      </c>
      <c r="AM84">
        <f>IF('Исходные данные'!$B$53="Выручка",MAX(0,AF84+(Расчёты!Q84-Расчёты!R84)+(Расчёты!U84-Расчёты!V84)),IF('Исходные данные'!$B$53="Прибыль до налога",MAX(0,AF84+(Расчёты!Q84-Расчёты!R84)+(Расчёты!U84-Расчёты!V84)+N('Исходные данные'!$B$54)*((Расчёты!O84+Расчёты!P84)+(Расчёты!S84+Расчёты!T84)+Расчёты!W84+Расчёты!X84)+IF('Исходные данные'!$B$55="Да",Расчёты!AG84,0)-N('Исходные данные'!$B$56)/12),IF('Исходные данные'!$B$53="Пользовательская база",MAX(0,N('Исходные данные'!$B$57)/12),0)))</f>
        <v>0</v>
      </c>
      <c r="AN84">
        <f>IF(D84=1,-AM84*N('Исходные данные'!$B$50),0)</f>
        <v>0</v>
      </c>
      <c r="AO84">
        <f t="shared" si="45"/>
        <v>0</v>
      </c>
      <c r="AP84">
        <f>IF(OR(D84&lt;&gt;1,B84="",'Исходные данные'!$B$91="",N('Исходные данные'!$B$80)&lt;=0,'Исходные данные'!$B$88=""),0,IF(AND(YEAR(B84)=YEAR('Исходные данные'!$B$91),MONTH(B84)=MONTH('Исходные данные'!$B$91)),MAX(0,IF('Исходные данные'!$B$88="Последние 12 месяцев",SUMIFS($AI$2:$AI$194,$B$2:$B$194,"&gt;="&amp;EDATE(B84,-11),$B$2:$B$194,"&lt;="&amp;B84),IF('Исходные данные'!$B$88="Пользовательский NOI",N('Исходные данные'!$B$89),AO84))/N('Исходные данные'!$B$80)*(1+N('Исходные данные'!$B$81))),0))</f>
        <v>0</v>
      </c>
      <c r="AQ84">
        <f>-AP84*N('Исходные данные'!$B$73)</f>
        <v>0</v>
      </c>
      <c r="AR84">
        <f>IF(AP84=0,0,-N('Исходные данные'!$B$87)-IF('Исходные данные'!$B$82="Да",IF('Исходные данные'!$B$84="С выручки",AP84,IF('Исходные данные'!$B$84="С прибыли",MAX(0,AP84+AQ84-IF('Исходные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84">
        <f t="shared" si="46"/>
        <v>0</v>
      </c>
      <c r="AT84">
        <f>IF(D84=1,Расчёты!AZ84+AH84+AK84+AN84+AS84,0)</f>
        <v>0</v>
      </c>
      <c r="AU84" t="str">
        <f t="shared" si="54"/>
        <v/>
      </c>
      <c r="AV84">
        <f>IF(OR(D84=0,'Исходные данные'!$B$9="",'Исходные данные'!$B$90=""),0,AT84/(1+'Исходные данные'!$B$90)^((C84-'Исходные данные'!$B$9)/365))</f>
        <v>0</v>
      </c>
      <c r="AW84">
        <f>IF(D84=1,AH84+Расчёты!O84+Расчёты!Q84+Расчёты!S84+Расчёты!U84+Расчёты!W84+Расчёты!X84+AK84+AN84,0)</f>
        <v>0</v>
      </c>
      <c r="AX84">
        <f>IF(AND(D84=1,AU84&gt;=0,AU83&lt;0,MIN($AU$2:AU84)&lt;0),1,0)</f>
        <v>0</v>
      </c>
      <c r="AY84">
        <f>IF(Расчёты!F84=0,0,IF(Расчёты!G84=1,N('Сценарный анализ'!$D$5),IF(Расчёты!G84=2,N('Сценарный анализ'!$D$6),IF(Расчёты!G84=3,N('Сценарный анализ'!$D$7),N('Сценарный анализ'!$D$7)*(1+N('Сценарный анализ'!$D$8))^(Расчёты!G84-3)))))</f>
        <v>0</v>
      </c>
      <c r="AZ84">
        <f>IF(OR(Расчёты!F84=0,N('Исходные данные'!$B$5)=0,AY84=0),0,N('Исходные данные'!$B$5)*AY84*IF(AND(B84&lt;='Исходные данные'!$B$30,Расчёты!C84&gt;='Исходные данные'!$B$30),(Расчёты!C84-'Исходные данные'!$B$30+1)/DAY(Расчёты!C84),1))</f>
        <v>0</v>
      </c>
      <c r="BA84">
        <f>IF(AND(Расчёты!F84&gt;0,Расчёты!F84&lt;=N('Исходные данные'!$B$37)),-AZ84,0)</f>
        <v>0</v>
      </c>
      <c r="BB84">
        <f>IF(OR(Расчёты!F84=0,Расчёты!F84&lt;=N('Исходные данные'!$B$37)),0,-(AZ84+BA84)*N('Сценарный анализ'!$D$9))</f>
        <v>0</v>
      </c>
      <c r="BC84">
        <f t="shared" si="47"/>
        <v>0</v>
      </c>
      <c r="BD84">
        <f>IF('Исходные данные'!$B$51="Да",BC84*N('Исходные данные'!$B$52),0)</f>
        <v>0</v>
      </c>
      <c r="BE84">
        <f t="shared" si="48"/>
        <v>0</v>
      </c>
      <c r="BF84">
        <f>BC84+(Расчёты!Y84-Расчёты!L84)</f>
        <v>0</v>
      </c>
      <c r="BG84">
        <f t="shared" si="55"/>
        <v>0</v>
      </c>
      <c r="BH84">
        <f>IF('Исходные данные'!$B$51="Да",-MAX(0,BD84+Расчёты!R84+Расчёты!V84-Расчёты!P84-Расчёты!T84-BG84),0)</f>
        <v>0</v>
      </c>
      <c r="BI84">
        <f>IF('Исходные данные'!$B$51="Да",MAX(0,BG84+Расчёты!P84+Расчёты!T84-BD84-Расчёты!R84-Расчёты!V84),0)</f>
        <v>0</v>
      </c>
      <c r="BJ84">
        <f>IF('Исходные данные'!$B$53="Выручка",MAX(0,BC84+(Расчёты!Q84-Расчёты!R84)+(Расчёты!U84-Расчёты!V84)),IF('Исходные данные'!$B$53="Прибыль до налога",MAX(0,BC84+(Расчёты!Q84-Расчёты!R84)+(Расчёты!U84-Расчёты!V84)+N('Исходные данные'!$B$54)*((Расчёты!O84+Расчёты!P84)+(Расчёты!S84+Расчёты!T84)+Расчёты!W84+Расчёты!X84)+IF('Исходные данные'!$B$55="Да",Расчёты!AG84,0)-N('Исходные данные'!$B$56)/12),IF('Исходные данные'!$B$53="Пользовательская база",MAX(0,N('Исходные данные'!$B$57)/12),0)))</f>
        <v>0</v>
      </c>
      <c r="BK84">
        <f>IF(D84=1,-BJ84*N('Исходные данные'!$B$50),0)</f>
        <v>0</v>
      </c>
      <c r="BL84">
        <f t="shared" si="49"/>
        <v>0</v>
      </c>
      <c r="BM84">
        <f>IF(OR(D84&lt;&gt;1,B84="",'Исходные данные'!$B$91="",N('Исходные данные'!$B$80)&lt;=0,'Исходные данные'!$B$88=""),0,IF(AND(YEAR(B84)=YEAR('Исходные данные'!$B$91),MONTH(B84)=MONTH('Исходные данные'!$B$91)),MAX(0,IF('Исходные данные'!$B$88="Последние 12 месяцев",SUMIFS($BF$2:$BF$194,$B$2:$B$194,"&gt;="&amp;EDATE(B84,-11),$B$2:$B$194,"&lt;="&amp;B84),IF('Исходные данные'!$B$88="Пользовательский NOI",N('Исходные данные'!$B$89),BL84))/N('Исходные данные'!$B$80)*(1+N('Исходные данные'!$B$81))),0))</f>
        <v>0</v>
      </c>
      <c r="BN84">
        <f>-BM84*N('Исходные данные'!$B$73)</f>
        <v>0</v>
      </c>
      <c r="BO84">
        <f>IF(BM84=0,0,-N('Исходные данные'!$B$87)-IF('Исходные данные'!$B$82="Да",IF('Исходные данные'!$B$84="С выручки",BM84,IF('Исходные данные'!$B$84="С прибыли",MAX(0,BM84+BN84-IF('Исходные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84">
        <f t="shared" si="50"/>
        <v>0</v>
      </c>
      <c r="BQ84">
        <f>IF(D84=1,Расчёты!AZ84+BE84+BH84+BK84+BP84,0)</f>
        <v>0</v>
      </c>
      <c r="BR84" t="str">
        <f t="shared" si="56"/>
        <v/>
      </c>
      <c r="BS84">
        <f>IF(OR(D84=0,'Исходные данные'!$B$9="",'Исходные данные'!$B$90=""),0,BQ84/(1+'Исходные данные'!$B$90)^((C84-'Исходные данные'!$B$9)/365))</f>
        <v>0</v>
      </c>
      <c r="BT84">
        <f>IF(D84=1,BE84+Расчёты!O84+Расчёты!Q84+Расчёты!S84+Расчёты!U84+Расчёты!W84+Расчёты!X84+BH84+BK84,0)</f>
        <v>0</v>
      </c>
      <c r="BU84">
        <f>IF(AND(D84=1,BR84&gt;=0,BR83&lt;0,MIN($BR$2:BR84)&lt;0),1,0)</f>
        <v>0</v>
      </c>
      <c r="BV84">
        <f>Расчёты!AZ84+K84+N84-P84*N('Исходные данные'!$B$50)</f>
        <v>0</v>
      </c>
      <c r="BW84">
        <f t="shared" si="57"/>
        <v>0</v>
      </c>
      <c r="BX84">
        <f>IF(AND(BW84&gt;=0,BW83&lt;0,MIN($BW$2:BW84)&lt;0),1,0)</f>
        <v>0</v>
      </c>
      <c r="BY84">
        <f>Расчёты!AZ84+AH84+AK84-AM84*N('Исходные данные'!$B$50)</f>
        <v>0</v>
      </c>
      <c r="BZ84">
        <f t="shared" si="58"/>
        <v>0</v>
      </c>
      <c r="CA84">
        <f>IF(AND(BZ84&gt;=0,BZ83&lt;0,MIN($BZ$2:BZ84)&lt;0),1,0)</f>
        <v>0</v>
      </c>
      <c r="CB84">
        <f>Расчёты!AZ84+BE84+BH84-BJ84*N('Исходные данные'!$B$50)</f>
        <v>0</v>
      </c>
      <c r="CC84">
        <f t="shared" si="59"/>
        <v>0</v>
      </c>
      <c r="CD84">
        <f>IF(AND(CC84&gt;=0,CC83&lt;0,MIN($CC$2:CC84)&lt;0),1,0)</f>
        <v>0</v>
      </c>
    </row>
    <row r="85" spans="1:82" x14ac:dyDescent="0.2">
      <c r="A85">
        <f>Расчёты!A85</f>
        <v>84</v>
      </c>
      <c r="B85" t="str">
        <f>Расчёты!B85</f>
        <v/>
      </c>
      <c r="C85" t="str">
        <f>Расчёты!D85</f>
        <v/>
      </c>
      <c r="D85">
        <f>Расчёты!E85</f>
        <v>0</v>
      </c>
      <c r="E85">
        <f>IF(Расчёты!F85=0,0,IF(Расчёты!G85=1,N('Сценарный анализ'!$B$5),IF(Расчёты!G85=2,N('Сценарный анализ'!$B$6),IF(Расчёты!G85=3,N('Сценарный анализ'!$B$7),N('Сценарный анализ'!$B$7)*(1+N('Сценарный анализ'!$B$8))^(Расчёты!G85-3)))))</f>
        <v>0</v>
      </c>
      <c r="F85">
        <f>IF(OR(Расчёты!F85=0,N('Исходные данные'!$B$5)=0,E85=0),0,N('Исходные данные'!$B$5)*E85*IF(AND(B85&lt;='Исходные данные'!$B$30,Расчёты!C85&gt;='Исходные данные'!$B$30),(Расчёты!C85-'Исходные данные'!$B$30+1)/DAY(Расчёты!C85),1))</f>
        <v>0</v>
      </c>
      <c r="G85">
        <f>IF(AND(Расчёты!F85&gt;0,Расчёты!F85&lt;=N('Исходные данные'!$B$37)),-F85,0)</f>
        <v>0</v>
      </c>
      <c r="H85">
        <f>IF(OR(Расчёты!F85=0,Расчёты!F85&lt;=N('Исходные данные'!$B$37)),0,-(F85+G85)*N('Сценарный анализ'!$B$9))</f>
        <v>0</v>
      </c>
      <c r="I85">
        <f t="shared" si="39"/>
        <v>0</v>
      </c>
      <c r="J85">
        <f>IF('Исходные данные'!$B$51="Да",I85*N('Исходные данные'!$B$52),0)</f>
        <v>0</v>
      </c>
      <c r="K85">
        <f t="shared" si="40"/>
        <v>0</v>
      </c>
      <c r="L85">
        <f>I85+(Расчёты!Y85-Расчёты!L85)</f>
        <v>0</v>
      </c>
      <c r="M85">
        <f t="shared" si="51"/>
        <v>0</v>
      </c>
      <c r="N85">
        <f>IF('Исходные данные'!$B$51="Да",-MAX(0,J85+Расчёты!R85+Расчёты!V85-Расчёты!P85-Расчёты!T85-M85),0)</f>
        <v>0</v>
      </c>
      <c r="O85">
        <f>IF('Исходные данные'!$B$51="Да",MAX(0,M85+Расчёты!P85+Расчёты!T85-J85-Расчёты!R85-Расчёты!V85),0)</f>
        <v>0</v>
      </c>
      <c r="P85">
        <f>IF('Исходные данные'!$B$53="Выручка",MAX(0,I85+(Расчёты!Q85-Расчёты!R85)+(Расчёты!U85-Расчёты!V85)),IF('Исходные данные'!$B$53="Прибыль до налога",MAX(0,I85+(Расчёты!Q85-Расчёты!R85)+(Расчёты!U85-Расчёты!V85)+N('Исходные данные'!$B$54)*((Расчёты!O85+Расчёты!P85)+(Расчёты!S85+Расчёты!T85)+Расчёты!W85+Расчёты!X85)+IF('Исходные данные'!$B$55="Да",Расчёты!AG85,0)-N('Исходные данные'!$B$56)/12),IF('Исходные данные'!$B$53="Пользовательская база",MAX(0,N('Исходные данные'!$B$57)/12),0)))</f>
        <v>0</v>
      </c>
      <c r="Q85">
        <f>IF(D85=1,-P85*N('Исходные данные'!$B$50),0)</f>
        <v>0</v>
      </c>
      <c r="R85">
        <f t="shared" si="41"/>
        <v>0</v>
      </c>
      <c r="S85">
        <f>IF(OR(D85&lt;&gt;1,B85="",'Исходные данные'!$B$91="",N('Исходные данные'!$B$80)&lt;=0,'Исходные данные'!$B$88=""),0,IF(AND(YEAR(B85)=YEAR('Исходные данные'!$B$91),MONTH(B85)=MONTH('Исходные данные'!$B$91)),MAX(0,IF('Исходные данные'!$B$88="Последние 12 месяцев",SUMIFS($L$2:$L$194,$B$2:$B$194,"&gt;="&amp;EDATE(B85,-11),$B$2:$B$194,"&lt;="&amp;B85),IF('Исходные данные'!$B$88="Пользовательский NOI",N('Исходные данные'!$B$89),R85))/N('Исходные данные'!$B$80)*(1+N('Исходные данные'!$B$81))),0))</f>
        <v>0</v>
      </c>
      <c r="T85">
        <f>-S85*N('Исходные данные'!$B$73)</f>
        <v>0</v>
      </c>
      <c r="U85">
        <f>IF(S85=0,0,-N('Исходные данные'!$B$87)-IF('Исходные данные'!$B$82="Да",IF('Исходные данные'!$B$84="С выручки",S85,IF('Исходные данные'!$B$84="С прибыли",MAX(0,S85+T85-IF('Исходные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85">
        <f t="shared" si="42"/>
        <v>0</v>
      </c>
      <c r="W85">
        <f>IF(D85=1,Расчёты!AZ85+K85+N85+Q85+V85,0)</f>
        <v>0</v>
      </c>
      <c r="X85" t="str">
        <f t="shared" si="52"/>
        <v/>
      </c>
      <c r="Y85">
        <f>IF(OR(D85=0,'Исходные данные'!$B$9="",'Исходные данные'!$B$90=""),0,W85/(1+'Исходные данные'!$B$90)^((C85-'Исходные данные'!$B$9)/365))</f>
        <v>0</v>
      </c>
      <c r="Z85">
        <f>IF(D85=1,K85+Расчёты!O85+Расчёты!Q85+Расчёты!S85+Расчёты!U85+Расчёты!W85+Расчёты!X85+N85+Q85,0)</f>
        <v>0</v>
      </c>
      <c r="AA85">
        <f>IF(AND(D85=1,X85&gt;=0,X84&lt;0,MIN($X$2:X85)&lt;0),1,0)</f>
        <v>0</v>
      </c>
      <c r="AB85">
        <f>IF(Расчёты!F85=0,0,IF(Расчёты!G85=1,N('Сценарный анализ'!$C$5),IF(Расчёты!G85=2,N('Сценарный анализ'!$C$6),IF(Расчёты!G85=3,N('Сценарный анализ'!$C$7),N('Сценарный анализ'!$C$7)*(1+N('Сценарный анализ'!$C$8))^(Расчёты!G85-3)))))</f>
        <v>0</v>
      </c>
      <c r="AC85">
        <f>IF(OR(Расчёты!F85=0,N('Исходные данные'!$B$5)=0,AB85=0),0,N('Исходные данные'!$B$5)*AB85*IF(AND(B85&lt;='Исходные данные'!$B$30,Расчёты!C85&gt;='Исходные данные'!$B$30),(Расчёты!C85-'Исходные данные'!$B$30+1)/DAY(Расчёты!C85),1))</f>
        <v>0</v>
      </c>
      <c r="AD85">
        <f>IF(AND(Расчёты!F85&gt;0,Расчёты!F85&lt;=N('Исходные данные'!$B$37)),-AC85,0)</f>
        <v>0</v>
      </c>
      <c r="AE85">
        <f>IF(OR(Расчёты!F85=0,Расчёты!F85&lt;=N('Исходные данные'!$B$37)),0,-(AC85+AD85)*N('Сценарный анализ'!$C$9))</f>
        <v>0</v>
      </c>
      <c r="AF85">
        <f t="shared" si="43"/>
        <v>0</v>
      </c>
      <c r="AG85">
        <f>IF('Исходные данные'!$B$51="Да",AF85*N('Исходные данные'!$B$52),0)</f>
        <v>0</v>
      </c>
      <c r="AH85">
        <f t="shared" si="44"/>
        <v>0</v>
      </c>
      <c r="AI85">
        <f>AF85+(Расчёты!Y85-Расчёты!L85)</f>
        <v>0</v>
      </c>
      <c r="AJ85">
        <f t="shared" si="53"/>
        <v>0</v>
      </c>
      <c r="AK85">
        <f>IF('Исходные данные'!$B$51="Да",-MAX(0,AG85+Расчёты!R85+Расчёты!V85-Расчёты!P85-Расчёты!T85-AJ85),0)</f>
        <v>0</v>
      </c>
      <c r="AL85">
        <f>IF('Исходные данные'!$B$51="Да",MAX(0,AJ85+Расчёты!P85+Расчёты!T85-AG85-Расчёты!R85-Расчёты!V85),0)</f>
        <v>0</v>
      </c>
      <c r="AM85">
        <f>IF('Исходные данные'!$B$53="Выручка",MAX(0,AF85+(Расчёты!Q85-Расчёты!R85)+(Расчёты!U85-Расчёты!V85)),IF('Исходные данные'!$B$53="Прибыль до налога",MAX(0,AF85+(Расчёты!Q85-Расчёты!R85)+(Расчёты!U85-Расчёты!V85)+N('Исходные данные'!$B$54)*((Расчёты!O85+Расчёты!P85)+(Расчёты!S85+Расчёты!T85)+Расчёты!W85+Расчёты!X85)+IF('Исходные данные'!$B$55="Да",Расчёты!AG85,0)-N('Исходные данные'!$B$56)/12),IF('Исходные данные'!$B$53="Пользовательская база",MAX(0,N('Исходные данные'!$B$57)/12),0)))</f>
        <v>0</v>
      </c>
      <c r="AN85">
        <f>IF(D85=1,-AM85*N('Исходные данные'!$B$50),0)</f>
        <v>0</v>
      </c>
      <c r="AO85">
        <f t="shared" si="45"/>
        <v>0</v>
      </c>
      <c r="AP85">
        <f>IF(OR(D85&lt;&gt;1,B85="",'Исходные данные'!$B$91="",N('Исходные данные'!$B$80)&lt;=0,'Исходные данные'!$B$88=""),0,IF(AND(YEAR(B85)=YEAR('Исходные данные'!$B$91),MONTH(B85)=MONTH('Исходные данные'!$B$91)),MAX(0,IF('Исходные данные'!$B$88="Последние 12 месяцев",SUMIFS($AI$2:$AI$194,$B$2:$B$194,"&gt;="&amp;EDATE(B85,-11),$B$2:$B$194,"&lt;="&amp;B85),IF('Исходные данные'!$B$88="Пользовательский NOI",N('Исходные данные'!$B$89),AO85))/N('Исходные данные'!$B$80)*(1+N('Исходные данные'!$B$81))),0))</f>
        <v>0</v>
      </c>
      <c r="AQ85">
        <f>-AP85*N('Исходные данные'!$B$73)</f>
        <v>0</v>
      </c>
      <c r="AR85">
        <f>IF(AP85=0,0,-N('Исходные данные'!$B$87)-IF('Исходные данные'!$B$82="Да",IF('Исходные данные'!$B$84="С выручки",AP85,IF('Исходные данные'!$B$84="С прибыли",MAX(0,AP85+AQ85-IF('Исходные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85">
        <f t="shared" si="46"/>
        <v>0</v>
      </c>
      <c r="AT85">
        <f>IF(D85=1,Расчёты!AZ85+AH85+AK85+AN85+AS85,0)</f>
        <v>0</v>
      </c>
      <c r="AU85" t="str">
        <f t="shared" si="54"/>
        <v/>
      </c>
      <c r="AV85">
        <f>IF(OR(D85=0,'Исходные данные'!$B$9="",'Исходные данные'!$B$90=""),0,AT85/(1+'Исходные данные'!$B$90)^((C85-'Исходные данные'!$B$9)/365))</f>
        <v>0</v>
      </c>
      <c r="AW85">
        <f>IF(D85=1,AH85+Расчёты!O85+Расчёты!Q85+Расчёты!S85+Расчёты!U85+Расчёты!W85+Расчёты!X85+AK85+AN85,0)</f>
        <v>0</v>
      </c>
      <c r="AX85">
        <f>IF(AND(D85=1,AU85&gt;=0,AU84&lt;0,MIN($AU$2:AU85)&lt;0),1,0)</f>
        <v>0</v>
      </c>
      <c r="AY85">
        <f>IF(Расчёты!F85=0,0,IF(Расчёты!G85=1,N('Сценарный анализ'!$D$5),IF(Расчёты!G85=2,N('Сценарный анализ'!$D$6),IF(Расчёты!G85=3,N('Сценарный анализ'!$D$7),N('Сценарный анализ'!$D$7)*(1+N('Сценарный анализ'!$D$8))^(Расчёты!G85-3)))))</f>
        <v>0</v>
      </c>
      <c r="AZ85">
        <f>IF(OR(Расчёты!F85=0,N('Исходные данные'!$B$5)=0,AY85=0),0,N('Исходные данные'!$B$5)*AY85*IF(AND(B85&lt;='Исходные данные'!$B$30,Расчёты!C85&gt;='Исходные данные'!$B$30),(Расчёты!C85-'Исходные данные'!$B$30+1)/DAY(Расчёты!C85),1))</f>
        <v>0</v>
      </c>
      <c r="BA85">
        <f>IF(AND(Расчёты!F85&gt;0,Расчёты!F85&lt;=N('Исходные данные'!$B$37)),-AZ85,0)</f>
        <v>0</v>
      </c>
      <c r="BB85">
        <f>IF(OR(Расчёты!F85=0,Расчёты!F85&lt;=N('Исходные данные'!$B$37)),0,-(AZ85+BA85)*N('Сценарный анализ'!$D$9))</f>
        <v>0</v>
      </c>
      <c r="BC85">
        <f t="shared" si="47"/>
        <v>0</v>
      </c>
      <c r="BD85">
        <f>IF('Исходные данные'!$B$51="Да",BC85*N('Исходные данные'!$B$52),0)</f>
        <v>0</v>
      </c>
      <c r="BE85">
        <f t="shared" si="48"/>
        <v>0</v>
      </c>
      <c r="BF85">
        <f>BC85+(Расчёты!Y85-Расчёты!L85)</f>
        <v>0</v>
      </c>
      <c r="BG85">
        <f t="shared" si="55"/>
        <v>0</v>
      </c>
      <c r="BH85">
        <f>IF('Исходные данные'!$B$51="Да",-MAX(0,BD85+Расчёты!R85+Расчёты!V85-Расчёты!P85-Расчёты!T85-BG85),0)</f>
        <v>0</v>
      </c>
      <c r="BI85">
        <f>IF('Исходные данные'!$B$51="Да",MAX(0,BG85+Расчёты!P85+Расчёты!T85-BD85-Расчёты!R85-Расчёты!V85),0)</f>
        <v>0</v>
      </c>
      <c r="BJ85">
        <f>IF('Исходные данные'!$B$53="Выручка",MAX(0,BC85+(Расчёты!Q85-Расчёты!R85)+(Расчёты!U85-Расчёты!V85)),IF('Исходные данные'!$B$53="Прибыль до налога",MAX(0,BC85+(Расчёты!Q85-Расчёты!R85)+(Расчёты!U85-Расчёты!V85)+N('Исходные данные'!$B$54)*((Расчёты!O85+Расчёты!P85)+(Расчёты!S85+Расчёты!T85)+Расчёты!W85+Расчёты!X85)+IF('Исходные данные'!$B$55="Да",Расчёты!AG85,0)-N('Исходные данные'!$B$56)/12),IF('Исходные данные'!$B$53="Пользовательская база",MAX(0,N('Исходные данные'!$B$57)/12),0)))</f>
        <v>0</v>
      </c>
      <c r="BK85">
        <f>IF(D85=1,-BJ85*N('Исходные данные'!$B$50),0)</f>
        <v>0</v>
      </c>
      <c r="BL85">
        <f t="shared" si="49"/>
        <v>0</v>
      </c>
      <c r="BM85">
        <f>IF(OR(D85&lt;&gt;1,B85="",'Исходные данные'!$B$91="",N('Исходные данные'!$B$80)&lt;=0,'Исходные данные'!$B$88=""),0,IF(AND(YEAR(B85)=YEAR('Исходные данные'!$B$91),MONTH(B85)=MONTH('Исходные данные'!$B$91)),MAX(0,IF('Исходные данные'!$B$88="Последние 12 месяцев",SUMIFS($BF$2:$BF$194,$B$2:$B$194,"&gt;="&amp;EDATE(B85,-11),$B$2:$B$194,"&lt;="&amp;B85),IF('Исходные данные'!$B$88="Пользовательский NOI",N('Исходные данные'!$B$89),BL85))/N('Исходные данные'!$B$80)*(1+N('Исходные данные'!$B$81))),0))</f>
        <v>0</v>
      </c>
      <c r="BN85">
        <f>-BM85*N('Исходные данные'!$B$73)</f>
        <v>0</v>
      </c>
      <c r="BO85">
        <f>IF(BM85=0,0,-N('Исходные данные'!$B$87)-IF('Исходные данные'!$B$82="Да",IF('Исходные данные'!$B$84="С выручки",BM85,IF('Исходные данные'!$B$84="С прибыли",MAX(0,BM85+BN85-IF('Исходные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85">
        <f t="shared" si="50"/>
        <v>0</v>
      </c>
      <c r="BQ85">
        <f>IF(D85=1,Расчёты!AZ85+BE85+BH85+BK85+BP85,0)</f>
        <v>0</v>
      </c>
      <c r="BR85" t="str">
        <f t="shared" si="56"/>
        <v/>
      </c>
      <c r="BS85">
        <f>IF(OR(D85=0,'Исходные данные'!$B$9="",'Исходные данные'!$B$90=""),0,BQ85/(1+'Исходные данные'!$B$90)^((C85-'Исходные данные'!$B$9)/365))</f>
        <v>0</v>
      </c>
      <c r="BT85">
        <f>IF(D85=1,BE85+Расчёты!O85+Расчёты!Q85+Расчёты!S85+Расчёты!U85+Расчёты!W85+Расчёты!X85+BH85+BK85,0)</f>
        <v>0</v>
      </c>
      <c r="BU85">
        <f>IF(AND(D85=1,BR85&gt;=0,BR84&lt;0,MIN($BR$2:BR85)&lt;0),1,0)</f>
        <v>0</v>
      </c>
      <c r="BV85">
        <f>Расчёты!AZ85+K85+N85-P85*N('Исходные данные'!$B$50)</f>
        <v>0</v>
      </c>
      <c r="BW85">
        <f t="shared" si="57"/>
        <v>0</v>
      </c>
      <c r="BX85">
        <f>IF(AND(BW85&gt;=0,BW84&lt;0,MIN($BW$2:BW85)&lt;0),1,0)</f>
        <v>0</v>
      </c>
      <c r="BY85">
        <f>Расчёты!AZ85+AH85+AK85-AM85*N('Исходные данные'!$B$50)</f>
        <v>0</v>
      </c>
      <c r="BZ85">
        <f t="shared" si="58"/>
        <v>0</v>
      </c>
      <c r="CA85">
        <f>IF(AND(BZ85&gt;=0,BZ84&lt;0,MIN($BZ$2:BZ85)&lt;0),1,0)</f>
        <v>0</v>
      </c>
      <c r="CB85">
        <f>Расчёты!AZ85+BE85+BH85-BJ85*N('Исходные данные'!$B$50)</f>
        <v>0</v>
      </c>
      <c r="CC85">
        <f t="shared" si="59"/>
        <v>0</v>
      </c>
      <c r="CD85">
        <f>IF(AND(CC85&gt;=0,CC84&lt;0,MIN($CC$2:CC85)&lt;0),1,0)</f>
        <v>0</v>
      </c>
    </row>
    <row r="86" spans="1:82" x14ac:dyDescent="0.2">
      <c r="A86">
        <f>Расчёты!A86</f>
        <v>85</v>
      </c>
      <c r="B86" t="str">
        <f>Расчёты!B86</f>
        <v/>
      </c>
      <c r="C86" t="str">
        <f>Расчёты!D86</f>
        <v/>
      </c>
      <c r="D86">
        <f>Расчёты!E86</f>
        <v>0</v>
      </c>
      <c r="E86">
        <f>IF(Расчёты!F86=0,0,IF(Расчёты!G86=1,N('Сценарный анализ'!$B$5),IF(Расчёты!G86=2,N('Сценарный анализ'!$B$6),IF(Расчёты!G86=3,N('Сценарный анализ'!$B$7),N('Сценарный анализ'!$B$7)*(1+N('Сценарный анализ'!$B$8))^(Расчёты!G86-3)))))</f>
        <v>0</v>
      </c>
      <c r="F86">
        <f>IF(OR(Расчёты!F86=0,N('Исходные данные'!$B$5)=0,E86=0),0,N('Исходные данные'!$B$5)*E86*IF(AND(B86&lt;='Исходные данные'!$B$30,Расчёты!C86&gt;='Исходные данные'!$B$30),(Расчёты!C86-'Исходные данные'!$B$30+1)/DAY(Расчёты!C86),1))</f>
        <v>0</v>
      </c>
      <c r="G86">
        <f>IF(AND(Расчёты!F86&gt;0,Расчёты!F86&lt;=N('Исходные данные'!$B$37)),-F86,0)</f>
        <v>0</v>
      </c>
      <c r="H86">
        <f>IF(OR(Расчёты!F86=0,Расчёты!F86&lt;=N('Исходные данные'!$B$37)),0,-(F86+G86)*N('Сценарный анализ'!$B$9))</f>
        <v>0</v>
      </c>
      <c r="I86">
        <f t="shared" si="39"/>
        <v>0</v>
      </c>
      <c r="J86">
        <f>IF('Исходные данные'!$B$51="Да",I86*N('Исходные данные'!$B$52),0)</f>
        <v>0</v>
      </c>
      <c r="K86">
        <f t="shared" si="40"/>
        <v>0</v>
      </c>
      <c r="L86">
        <f>I86+(Расчёты!Y86-Расчёты!L86)</f>
        <v>0</v>
      </c>
      <c r="M86">
        <f t="shared" si="51"/>
        <v>0</v>
      </c>
      <c r="N86">
        <f>IF('Исходные данные'!$B$51="Да",-MAX(0,J86+Расчёты!R86+Расчёты!V86-Расчёты!P86-Расчёты!T86-M86),0)</f>
        <v>0</v>
      </c>
      <c r="O86">
        <f>IF('Исходные данные'!$B$51="Да",MAX(0,M86+Расчёты!P86+Расчёты!T86-J86-Расчёты!R86-Расчёты!V86),0)</f>
        <v>0</v>
      </c>
      <c r="P86">
        <f>IF('Исходные данные'!$B$53="Выручка",MAX(0,I86+(Расчёты!Q86-Расчёты!R86)+(Расчёты!U86-Расчёты!V86)),IF('Исходные данные'!$B$53="Прибыль до налога",MAX(0,I86+(Расчёты!Q86-Расчёты!R86)+(Расчёты!U86-Расчёты!V86)+N('Исходные данные'!$B$54)*((Расчёты!O86+Расчёты!P86)+(Расчёты!S86+Расчёты!T86)+Расчёты!W86+Расчёты!X86)+IF('Исходные данные'!$B$55="Да",Расчёты!AG86,0)-N('Исходные данные'!$B$56)/12),IF('Исходные данные'!$B$53="Пользовательская база",MAX(0,N('Исходные данные'!$B$57)/12),0)))</f>
        <v>0</v>
      </c>
      <c r="Q86">
        <f>IF(D86=1,-P86*N('Исходные данные'!$B$50),0)</f>
        <v>0</v>
      </c>
      <c r="R86">
        <f t="shared" si="41"/>
        <v>0</v>
      </c>
      <c r="S86">
        <f>IF(OR(D86&lt;&gt;1,B86="",'Исходные данные'!$B$91="",N('Исходные данные'!$B$80)&lt;=0,'Исходные данные'!$B$88=""),0,IF(AND(YEAR(B86)=YEAR('Исходные данные'!$B$91),MONTH(B86)=MONTH('Исходные данные'!$B$91)),MAX(0,IF('Исходные данные'!$B$88="Последние 12 месяцев",SUMIFS($L$2:$L$194,$B$2:$B$194,"&gt;="&amp;EDATE(B86,-11),$B$2:$B$194,"&lt;="&amp;B86),IF('Исходные данные'!$B$88="Пользовательский NOI",N('Исходные данные'!$B$89),R86))/N('Исходные данные'!$B$80)*(1+N('Исходные данные'!$B$81))),0))</f>
        <v>0</v>
      </c>
      <c r="T86">
        <f>-S86*N('Исходные данные'!$B$73)</f>
        <v>0</v>
      </c>
      <c r="U86">
        <f>IF(S86=0,0,-N('Исходные данные'!$B$87)-IF('Исходные данные'!$B$82="Да",IF('Исходные данные'!$B$84="С выручки",S86,IF('Исходные данные'!$B$84="С прибыли",MAX(0,S86+T86-IF('Исходные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86">
        <f t="shared" si="42"/>
        <v>0</v>
      </c>
      <c r="W86">
        <f>IF(D86=1,Расчёты!AZ86+K86+N86+Q86+V86,0)</f>
        <v>0</v>
      </c>
      <c r="X86" t="str">
        <f t="shared" si="52"/>
        <v/>
      </c>
      <c r="Y86">
        <f>IF(OR(D86=0,'Исходные данные'!$B$9="",'Исходные данные'!$B$90=""),0,W86/(1+'Исходные данные'!$B$90)^((C86-'Исходные данные'!$B$9)/365))</f>
        <v>0</v>
      </c>
      <c r="Z86">
        <f>IF(D86=1,K86+Расчёты!O86+Расчёты!Q86+Расчёты!S86+Расчёты!U86+Расчёты!W86+Расчёты!X86+N86+Q86,0)</f>
        <v>0</v>
      </c>
      <c r="AA86">
        <f>IF(AND(D86=1,X86&gt;=0,X85&lt;0,MIN($X$2:X86)&lt;0),1,0)</f>
        <v>0</v>
      </c>
      <c r="AB86">
        <f>IF(Расчёты!F86=0,0,IF(Расчёты!G86=1,N('Сценарный анализ'!$C$5),IF(Расчёты!G86=2,N('Сценарный анализ'!$C$6),IF(Расчёты!G86=3,N('Сценарный анализ'!$C$7),N('Сценарный анализ'!$C$7)*(1+N('Сценарный анализ'!$C$8))^(Расчёты!G86-3)))))</f>
        <v>0</v>
      </c>
      <c r="AC86">
        <f>IF(OR(Расчёты!F86=0,N('Исходные данные'!$B$5)=0,AB86=0),0,N('Исходные данные'!$B$5)*AB86*IF(AND(B86&lt;='Исходные данные'!$B$30,Расчёты!C86&gt;='Исходные данные'!$B$30),(Расчёты!C86-'Исходные данные'!$B$30+1)/DAY(Расчёты!C86),1))</f>
        <v>0</v>
      </c>
      <c r="AD86">
        <f>IF(AND(Расчёты!F86&gt;0,Расчёты!F86&lt;=N('Исходные данные'!$B$37)),-AC86,0)</f>
        <v>0</v>
      </c>
      <c r="AE86">
        <f>IF(OR(Расчёты!F86=0,Расчёты!F86&lt;=N('Исходные данные'!$B$37)),0,-(AC86+AD86)*N('Сценарный анализ'!$C$9))</f>
        <v>0</v>
      </c>
      <c r="AF86">
        <f t="shared" si="43"/>
        <v>0</v>
      </c>
      <c r="AG86">
        <f>IF('Исходные данные'!$B$51="Да",AF86*N('Исходные данные'!$B$52),0)</f>
        <v>0</v>
      </c>
      <c r="AH86">
        <f t="shared" si="44"/>
        <v>0</v>
      </c>
      <c r="AI86">
        <f>AF86+(Расчёты!Y86-Расчёты!L86)</f>
        <v>0</v>
      </c>
      <c r="AJ86">
        <f t="shared" si="53"/>
        <v>0</v>
      </c>
      <c r="AK86">
        <f>IF('Исходные данные'!$B$51="Да",-MAX(0,AG86+Расчёты!R86+Расчёты!V86-Расчёты!P86-Расчёты!T86-AJ86),0)</f>
        <v>0</v>
      </c>
      <c r="AL86">
        <f>IF('Исходные данные'!$B$51="Да",MAX(0,AJ86+Расчёты!P86+Расчёты!T86-AG86-Расчёты!R86-Расчёты!V86),0)</f>
        <v>0</v>
      </c>
      <c r="AM86">
        <f>IF('Исходные данные'!$B$53="Выручка",MAX(0,AF86+(Расчёты!Q86-Расчёты!R86)+(Расчёты!U86-Расчёты!V86)),IF('Исходные данные'!$B$53="Прибыль до налога",MAX(0,AF86+(Расчёты!Q86-Расчёты!R86)+(Расчёты!U86-Расчёты!V86)+N('Исходные данные'!$B$54)*((Расчёты!O86+Расчёты!P86)+(Расчёты!S86+Расчёты!T86)+Расчёты!W86+Расчёты!X86)+IF('Исходные данные'!$B$55="Да",Расчёты!AG86,0)-N('Исходные данные'!$B$56)/12),IF('Исходные данные'!$B$53="Пользовательская база",MAX(0,N('Исходные данные'!$B$57)/12),0)))</f>
        <v>0</v>
      </c>
      <c r="AN86">
        <f>IF(D86=1,-AM86*N('Исходные данные'!$B$50),0)</f>
        <v>0</v>
      </c>
      <c r="AO86">
        <f t="shared" si="45"/>
        <v>0</v>
      </c>
      <c r="AP86">
        <f>IF(OR(D86&lt;&gt;1,B86="",'Исходные данные'!$B$91="",N('Исходные данные'!$B$80)&lt;=0,'Исходные данные'!$B$88=""),0,IF(AND(YEAR(B86)=YEAR('Исходные данные'!$B$91),MONTH(B86)=MONTH('Исходные данные'!$B$91)),MAX(0,IF('Исходные данные'!$B$88="Последние 12 месяцев",SUMIFS($AI$2:$AI$194,$B$2:$B$194,"&gt;="&amp;EDATE(B86,-11),$B$2:$B$194,"&lt;="&amp;B86),IF('Исходные данные'!$B$88="Пользовательский NOI",N('Исходные данные'!$B$89),AO86))/N('Исходные данные'!$B$80)*(1+N('Исходные данные'!$B$81))),0))</f>
        <v>0</v>
      </c>
      <c r="AQ86">
        <f>-AP86*N('Исходные данные'!$B$73)</f>
        <v>0</v>
      </c>
      <c r="AR86">
        <f>IF(AP86=0,0,-N('Исходные данные'!$B$87)-IF('Исходные данные'!$B$82="Да",IF('Исходные данные'!$B$84="С выручки",AP86,IF('Исходные данные'!$B$84="С прибыли",MAX(0,AP86+AQ86-IF('Исходные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86">
        <f t="shared" si="46"/>
        <v>0</v>
      </c>
      <c r="AT86">
        <f>IF(D86=1,Расчёты!AZ86+AH86+AK86+AN86+AS86,0)</f>
        <v>0</v>
      </c>
      <c r="AU86" t="str">
        <f t="shared" si="54"/>
        <v/>
      </c>
      <c r="AV86">
        <f>IF(OR(D86=0,'Исходные данные'!$B$9="",'Исходные данные'!$B$90=""),0,AT86/(1+'Исходные данные'!$B$90)^((C86-'Исходные данные'!$B$9)/365))</f>
        <v>0</v>
      </c>
      <c r="AW86">
        <f>IF(D86=1,AH86+Расчёты!O86+Расчёты!Q86+Расчёты!S86+Расчёты!U86+Расчёты!W86+Расчёты!X86+AK86+AN86,0)</f>
        <v>0</v>
      </c>
      <c r="AX86">
        <f>IF(AND(D86=1,AU86&gt;=0,AU85&lt;0,MIN($AU$2:AU86)&lt;0),1,0)</f>
        <v>0</v>
      </c>
      <c r="AY86">
        <f>IF(Расчёты!F86=0,0,IF(Расчёты!G86=1,N('Сценарный анализ'!$D$5),IF(Расчёты!G86=2,N('Сценарный анализ'!$D$6),IF(Расчёты!G86=3,N('Сценарный анализ'!$D$7),N('Сценарный анализ'!$D$7)*(1+N('Сценарный анализ'!$D$8))^(Расчёты!G86-3)))))</f>
        <v>0</v>
      </c>
      <c r="AZ86">
        <f>IF(OR(Расчёты!F86=0,N('Исходные данные'!$B$5)=0,AY86=0),0,N('Исходные данные'!$B$5)*AY86*IF(AND(B86&lt;='Исходные данные'!$B$30,Расчёты!C86&gt;='Исходные данные'!$B$30),(Расчёты!C86-'Исходные данные'!$B$30+1)/DAY(Расчёты!C86),1))</f>
        <v>0</v>
      </c>
      <c r="BA86">
        <f>IF(AND(Расчёты!F86&gt;0,Расчёты!F86&lt;=N('Исходные данные'!$B$37)),-AZ86,0)</f>
        <v>0</v>
      </c>
      <c r="BB86">
        <f>IF(OR(Расчёты!F86=0,Расчёты!F86&lt;=N('Исходные данные'!$B$37)),0,-(AZ86+BA86)*N('Сценарный анализ'!$D$9))</f>
        <v>0</v>
      </c>
      <c r="BC86">
        <f t="shared" si="47"/>
        <v>0</v>
      </c>
      <c r="BD86">
        <f>IF('Исходные данные'!$B$51="Да",BC86*N('Исходные данные'!$B$52),0)</f>
        <v>0</v>
      </c>
      <c r="BE86">
        <f t="shared" si="48"/>
        <v>0</v>
      </c>
      <c r="BF86">
        <f>BC86+(Расчёты!Y86-Расчёты!L86)</f>
        <v>0</v>
      </c>
      <c r="BG86">
        <f t="shared" si="55"/>
        <v>0</v>
      </c>
      <c r="BH86">
        <f>IF('Исходные данные'!$B$51="Да",-MAX(0,BD86+Расчёты!R86+Расчёты!V86-Расчёты!P86-Расчёты!T86-BG86),0)</f>
        <v>0</v>
      </c>
      <c r="BI86">
        <f>IF('Исходные данные'!$B$51="Да",MAX(0,BG86+Расчёты!P86+Расчёты!T86-BD86-Расчёты!R86-Расчёты!V86),0)</f>
        <v>0</v>
      </c>
      <c r="BJ86">
        <f>IF('Исходные данные'!$B$53="Выручка",MAX(0,BC86+(Расчёты!Q86-Расчёты!R86)+(Расчёты!U86-Расчёты!V86)),IF('Исходные данные'!$B$53="Прибыль до налога",MAX(0,BC86+(Расчёты!Q86-Расчёты!R86)+(Расчёты!U86-Расчёты!V86)+N('Исходные данные'!$B$54)*((Расчёты!O86+Расчёты!P86)+(Расчёты!S86+Расчёты!T86)+Расчёты!W86+Расчёты!X86)+IF('Исходные данные'!$B$55="Да",Расчёты!AG86,0)-N('Исходные данные'!$B$56)/12),IF('Исходные данные'!$B$53="Пользовательская база",MAX(0,N('Исходные данные'!$B$57)/12),0)))</f>
        <v>0</v>
      </c>
      <c r="BK86">
        <f>IF(D86=1,-BJ86*N('Исходные данные'!$B$50),0)</f>
        <v>0</v>
      </c>
      <c r="BL86">
        <f t="shared" si="49"/>
        <v>0</v>
      </c>
      <c r="BM86">
        <f>IF(OR(D86&lt;&gt;1,B86="",'Исходные данные'!$B$91="",N('Исходные данные'!$B$80)&lt;=0,'Исходные данные'!$B$88=""),0,IF(AND(YEAR(B86)=YEAR('Исходные данные'!$B$91),MONTH(B86)=MONTH('Исходные данные'!$B$91)),MAX(0,IF('Исходные данные'!$B$88="Последние 12 месяцев",SUMIFS($BF$2:$BF$194,$B$2:$B$194,"&gt;="&amp;EDATE(B86,-11),$B$2:$B$194,"&lt;="&amp;B86),IF('Исходные данные'!$B$88="Пользовательский NOI",N('Исходные данные'!$B$89),BL86))/N('Исходные данные'!$B$80)*(1+N('Исходные данные'!$B$81))),0))</f>
        <v>0</v>
      </c>
      <c r="BN86">
        <f>-BM86*N('Исходные данные'!$B$73)</f>
        <v>0</v>
      </c>
      <c r="BO86">
        <f>IF(BM86=0,0,-N('Исходные данные'!$B$87)-IF('Исходные данные'!$B$82="Да",IF('Исходные данные'!$B$84="С выручки",BM86,IF('Исходные данные'!$B$84="С прибыли",MAX(0,BM86+BN86-IF('Исходные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86">
        <f t="shared" si="50"/>
        <v>0</v>
      </c>
      <c r="BQ86">
        <f>IF(D86=1,Расчёты!AZ86+BE86+BH86+BK86+BP86,0)</f>
        <v>0</v>
      </c>
      <c r="BR86" t="str">
        <f t="shared" si="56"/>
        <v/>
      </c>
      <c r="BS86">
        <f>IF(OR(D86=0,'Исходные данные'!$B$9="",'Исходные данные'!$B$90=""),0,BQ86/(1+'Исходные данные'!$B$90)^((C86-'Исходные данные'!$B$9)/365))</f>
        <v>0</v>
      </c>
      <c r="BT86">
        <f>IF(D86=1,BE86+Расчёты!O86+Расчёты!Q86+Расчёты!S86+Расчёты!U86+Расчёты!W86+Расчёты!X86+BH86+BK86,0)</f>
        <v>0</v>
      </c>
      <c r="BU86">
        <f>IF(AND(D86=1,BR86&gt;=0,BR85&lt;0,MIN($BR$2:BR86)&lt;0),1,0)</f>
        <v>0</v>
      </c>
      <c r="BV86">
        <f>Расчёты!AZ86+K86+N86-P86*N('Исходные данные'!$B$50)</f>
        <v>0</v>
      </c>
      <c r="BW86">
        <f t="shared" si="57"/>
        <v>0</v>
      </c>
      <c r="BX86">
        <f>IF(AND(BW86&gt;=0,BW85&lt;0,MIN($BW$2:BW86)&lt;0),1,0)</f>
        <v>0</v>
      </c>
      <c r="BY86">
        <f>Расчёты!AZ86+AH86+AK86-AM86*N('Исходные данные'!$B$50)</f>
        <v>0</v>
      </c>
      <c r="BZ86">
        <f t="shared" si="58"/>
        <v>0</v>
      </c>
      <c r="CA86">
        <f>IF(AND(BZ86&gt;=0,BZ85&lt;0,MIN($BZ$2:BZ86)&lt;0),1,0)</f>
        <v>0</v>
      </c>
      <c r="CB86">
        <f>Расчёты!AZ86+BE86+BH86-BJ86*N('Исходные данные'!$B$50)</f>
        <v>0</v>
      </c>
      <c r="CC86">
        <f t="shared" si="59"/>
        <v>0</v>
      </c>
      <c r="CD86">
        <f>IF(AND(CC86&gt;=0,CC85&lt;0,MIN($CC$2:CC86)&lt;0),1,0)</f>
        <v>0</v>
      </c>
    </row>
    <row r="87" spans="1:82" x14ac:dyDescent="0.2">
      <c r="A87">
        <f>Расчёты!A87</f>
        <v>86</v>
      </c>
      <c r="B87" t="str">
        <f>Расчёты!B87</f>
        <v/>
      </c>
      <c r="C87" t="str">
        <f>Расчёты!D87</f>
        <v/>
      </c>
      <c r="D87">
        <f>Расчёты!E87</f>
        <v>0</v>
      </c>
      <c r="E87">
        <f>IF(Расчёты!F87=0,0,IF(Расчёты!G87=1,N('Сценарный анализ'!$B$5),IF(Расчёты!G87=2,N('Сценарный анализ'!$B$6),IF(Расчёты!G87=3,N('Сценарный анализ'!$B$7),N('Сценарный анализ'!$B$7)*(1+N('Сценарный анализ'!$B$8))^(Расчёты!G87-3)))))</f>
        <v>0</v>
      </c>
      <c r="F87">
        <f>IF(OR(Расчёты!F87=0,N('Исходные данные'!$B$5)=0,E87=0),0,N('Исходные данные'!$B$5)*E87*IF(AND(B87&lt;='Исходные данные'!$B$30,Расчёты!C87&gt;='Исходные данные'!$B$30),(Расчёты!C87-'Исходные данные'!$B$30+1)/DAY(Расчёты!C87),1))</f>
        <v>0</v>
      </c>
      <c r="G87">
        <f>IF(AND(Расчёты!F87&gt;0,Расчёты!F87&lt;=N('Исходные данные'!$B$37)),-F87,0)</f>
        <v>0</v>
      </c>
      <c r="H87">
        <f>IF(OR(Расчёты!F87=0,Расчёты!F87&lt;=N('Исходные данные'!$B$37)),0,-(F87+G87)*N('Сценарный анализ'!$B$9))</f>
        <v>0</v>
      </c>
      <c r="I87">
        <f t="shared" si="39"/>
        <v>0</v>
      </c>
      <c r="J87">
        <f>IF('Исходные данные'!$B$51="Да",I87*N('Исходные данные'!$B$52),0)</f>
        <v>0</v>
      </c>
      <c r="K87">
        <f t="shared" si="40"/>
        <v>0</v>
      </c>
      <c r="L87">
        <f>I87+(Расчёты!Y87-Расчёты!L87)</f>
        <v>0</v>
      </c>
      <c r="M87">
        <f t="shared" si="51"/>
        <v>0</v>
      </c>
      <c r="N87">
        <f>IF('Исходные данные'!$B$51="Да",-MAX(0,J87+Расчёты!R87+Расчёты!V87-Расчёты!P87-Расчёты!T87-M87),0)</f>
        <v>0</v>
      </c>
      <c r="O87">
        <f>IF('Исходные данные'!$B$51="Да",MAX(0,M87+Расчёты!P87+Расчёты!T87-J87-Расчёты!R87-Расчёты!V87),0)</f>
        <v>0</v>
      </c>
      <c r="P87">
        <f>IF('Исходные данные'!$B$53="Выручка",MAX(0,I87+(Расчёты!Q87-Расчёты!R87)+(Расчёты!U87-Расчёты!V87)),IF('Исходные данные'!$B$53="Прибыль до налога",MAX(0,I87+(Расчёты!Q87-Расчёты!R87)+(Расчёты!U87-Расчёты!V87)+N('Исходные данные'!$B$54)*((Расчёты!O87+Расчёты!P87)+(Расчёты!S87+Расчёты!T87)+Расчёты!W87+Расчёты!X87)+IF('Исходные данные'!$B$55="Да",Расчёты!AG87,0)-N('Исходные данные'!$B$56)/12),IF('Исходные данные'!$B$53="Пользовательская база",MAX(0,N('Исходные данные'!$B$57)/12),0)))</f>
        <v>0</v>
      </c>
      <c r="Q87">
        <f>IF(D87=1,-P87*N('Исходные данные'!$B$50),0)</f>
        <v>0</v>
      </c>
      <c r="R87">
        <f t="shared" si="41"/>
        <v>0</v>
      </c>
      <c r="S87">
        <f>IF(OR(D87&lt;&gt;1,B87="",'Исходные данные'!$B$91="",N('Исходные данные'!$B$80)&lt;=0,'Исходные данные'!$B$88=""),0,IF(AND(YEAR(B87)=YEAR('Исходные данные'!$B$91),MONTH(B87)=MONTH('Исходные данные'!$B$91)),MAX(0,IF('Исходные данные'!$B$88="Последние 12 месяцев",SUMIFS($L$2:$L$194,$B$2:$B$194,"&gt;="&amp;EDATE(B87,-11),$B$2:$B$194,"&lt;="&amp;B87),IF('Исходные данные'!$B$88="Пользовательский NOI",N('Исходные данные'!$B$89),R87))/N('Исходные данные'!$B$80)*(1+N('Исходные данные'!$B$81))),0))</f>
        <v>0</v>
      </c>
      <c r="T87">
        <f>-S87*N('Исходные данные'!$B$73)</f>
        <v>0</v>
      </c>
      <c r="U87">
        <f>IF(S87=0,0,-N('Исходные данные'!$B$87)-IF('Исходные данные'!$B$82="Да",IF('Исходные данные'!$B$84="С выручки",S87,IF('Исходные данные'!$B$84="С прибыли",MAX(0,S87+T87-IF('Исходные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87">
        <f t="shared" si="42"/>
        <v>0</v>
      </c>
      <c r="W87">
        <f>IF(D87=1,Расчёты!AZ87+K87+N87+Q87+V87,0)</f>
        <v>0</v>
      </c>
      <c r="X87" t="str">
        <f t="shared" si="52"/>
        <v/>
      </c>
      <c r="Y87">
        <f>IF(OR(D87=0,'Исходные данные'!$B$9="",'Исходные данные'!$B$90=""),0,W87/(1+'Исходные данные'!$B$90)^((C87-'Исходные данные'!$B$9)/365))</f>
        <v>0</v>
      </c>
      <c r="Z87">
        <f>IF(D87=1,K87+Расчёты!O87+Расчёты!Q87+Расчёты!S87+Расчёты!U87+Расчёты!W87+Расчёты!X87+N87+Q87,0)</f>
        <v>0</v>
      </c>
      <c r="AA87">
        <f>IF(AND(D87=1,X87&gt;=0,X86&lt;0,MIN($X$2:X87)&lt;0),1,0)</f>
        <v>0</v>
      </c>
      <c r="AB87">
        <f>IF(Расчёты!F87=0,0,IF(Расчёты!G87=1,N('Сценарный анализ'!$C$5),IF(Расчёты!G87=2,N('Сценарный анализ'!$C$6),IF(Расчёты!G87=3,N('Сценарный анализ'!$C$7),N('Сценарный анализ'!$C$7)*(1+N('Сценарный анализ'!$C$8))^(Расчёты!G87-3)))))</f>
        <v>0</v>
      </c>
      <c r="AC87">
        <f>IF(OR(Расчёты!F87=0,N('Исходные данные'!$B$5)=0,AB87=0),0,N('Исходные данные'!$B$5)*AB87*IF(AND(B87&lt;='Исходные данные'!$B$30,Расчёты!C87&gt;='Исходные данные'!$B$30),(Расчёты!C87-'Исходные данные'!$B$30+1)/DAY(Расчёты!C87),1))</f>
        <v>0</v>
      </c>
      <c r="AD87">
        <f>IF(AND(Расчёты!F87&gt;0,Расчёты!F87&lt;=N('Исходные данные'!$B$37)),-AC87,0)</f>
        <v>0</v>
      </c>
      <c r="AE87">
        <f>IF(OR(Расчёты!F87=0,Расчёты!F87&lt;=N('Исходные данные'!$B$37)),0,-(AC87+AD87)*N('Сценарный анализ'!$C$9))</f>
        <v>0</v>
      </c>
      <c r="AF87">
        <f t="shared" si="43"/>
        <v>0</v>
      </c>
      <c r="AG87">
        <f>IF('Исходные данные'!$B$51="Да",AF87*N('Исходные данные'!$B$52),0)</f>
        <v>0</v>
      </c>
      <c r="AH87">
        <f t="shared" si="44"/>
        <v>0</v>
      </c>
      <c r="AI87">
        <f>AF87+(Расчёты!Y87-Расчёты!L87)</f>
        <v>0</v>
      </c>
      <c r="AJ87">
        <f t="shared" si="53"/>
        <v>0</v>
      </c>
      <c r="AK87">
        <f>IF('Исходные данные'!$B$51="Да",-MAX(0,AG87+Расчёты!R87+Расчёты!V87-Расчёты!P87-Расчёты!T87-AJ87),0)</f>
        <v>0</v>
      </c>
      <c r="AL87">
        <f>IF('Исходные данные'!$B$51="Да",MAX(0,AJ87+Расчёты!P87+Расчёты!T87-AG87-Расчёты!R87-Расчёты!V87),0)</f>
        <v>0</v>
      </c>
      <c r="AM87">
        <f>IF('Исходные данные'!$B$53="Выручка",MAX(0,AF87+(Расчёты!Q87-Расчёты!R87)+(Расчёты!U87-Расчёты!V87)),IF('Исходные данные'!$B$53="Прибыль до налога",MAX(0,AF87+(Расчёты!Q87-Расчёты!R87)+(Расчёты!U87-Расчёты!V87)+N('Исходные данные'!$B$54)*((Расчёты!O87+Расчёты!P87)+(Расчёты!S87+Расчёты!T87)+Расчёты!W87+Расчёты!X87)+IF('Исходные данные'!$B$55="Да",Расчёты!AG87,0)-N('Исходные данные'!$B$56)/12),IF('Исходные данные'!$B$53="Пользовательская база",MAX(0,N('Исходные данные'!$B$57)/12),0)))</f>
        <v>0</v>
      </c>
      <c r="AN87">
        <f>IF(D87=1,-AM87*N('Исходные данные'!$B$50),0)</f>
        <v>0</v>
      </c>
      <c r="AO87">
        <f t="shared" si="45"/>
        <v>0</v>
      </c>
      <c r="AP87">
        <f>IF(OR(D87&lt;&gt;1,B87="",'Исходные данные'!$B$91="",N('Исходные данные'!$B$80)&lt;=0,'Исходные данные'!$B$88=""),0,IF(AND(YEAR(B87)=YEAR('Исходные данные'!$B$91),MONTH(B87)=MONTH('Исходные данные'!$B$91)),MAX(0,IF('Исходные данные'!$B$88="Последние 12 месяцев",SUMIFS($AI$2:$AI$194,$B$2:$B$194,"&gt;="&amp;EDATE(B87,-11),$B$2:$B$194,"&lt;="&amp;B87),IF('Исходные данные'!$B$88="Пользовательский NOI",N('Исходные данные'!$B$89),AO87))/N('Исходные данные'!$B$80)*(1+N('Исходные данные'!$B$81))),0))</f>
        <v>0</v>
      </c>
      <c r="AQ87">
        <f>-AP87*N('Исходные данные'!$B$73)</f>
        <v>0</v>
      </c>
      <c r="AR87">
        <f>IF(AP87=0,0,-N('Исходные данные'!$B$87)-IF('Исходные данные'!$B$82="Да",IF('Исходные данные'!$B$84="С выручки",AP87,IF('Исходные данные'!$B$84="С прибыли",MAX(0,AP87+AQ87-IF('Исходные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87">
        <f t="shared" si="46"/>
        <v>0</v>
      </c>
      <c r="AT87">
        <f>IF(D87=1,Расчёты!AZ87+AH87+AK87+AN87+AS87,0)</f>
        <v>0</v>
      </c>
      <c r="AU87" t="str">
        <f t="shared" si="54"/>
        <v/>
      </c>
      <c r="AV87">
        <f>IF(OR(D87=0,'Исходные данные'!$B$9="",'Исходные данные'!$B$90=""),0,AT87/(1+'Исходные данные'!$B$90)^((C87-'Исходные данные'!$B$9)/365))</f>
        <v>0</v>
      </c>
      <c r="AW87">
        <f>IF(D87=1,AH87+Расчёты!O87+Расчёты!Q87+Расчёты!S87+Расчёты!U87+Расчёты!W87+Расчёты!X87+AK87+AN87,0)</f>
        <v>0</v>
      </c>
      <c r="AX87">
        <f>IF(AND(D87=1,AU87&gt;=0,AU86&lt;0,MIN($AU$2:AU87)&lt;0),1,0)</f>
        <v>0</v>
      </c>
      <c r="AY87">
        <f>IF(Расчёты!F87=0,0,IF(Расчёты!G87=1,N('Сценарный анализ'!$D$5),IF(Расчёты!G87=2,N('Сценарный анализ'!$D$6),IF(Расчёты!G87=3,N('Сценарный анализ'!$D$7),N('Сценарный анализ'!$D$7)*(1+N('Сценарный анализ'!$D$8))^(Расчёты!G87-3)))))</f>
        <v>0</v>
      </c>
      <c r="AZ87">
        <f>IF(OR(Расчёты!F87=0,N('Исходные данные'!$B$5)=0,AY87=0),0,N('Исходные данные'!$B$5)*AY87*IF(AND(B87&lt;='Исходные данные'!$B$30,Расчёты!C87&gt;='Исходные данные'!$B$30),(Расчёты!C87-'Исходные данные'!$B$30+1)/DAY(Расчёты!C87),1))</f>
        <v>0</v>
      </c>
      <c r="BA87">
        <f>IF(AND(Расчёты!F87&gt;0,Расчёты!F87&lt;=N('Исходные данные'!$B$37)),-AZ87,0)</f>
        <v>0</v>
      </c>
      <c r="BB87">
        <f>IF(OR(Расчёты!F87=0,Расчёты!F87&lt;=N('Исходные данные'!$B$37)),0,-(AZ87+BA87)*N('Сценарный анализ'!$D$9))</f>
        <v>0</v>
      </c>
      <c r="BC87">
        <f t="shared" si="47"/>
        <v>0</v>
      </c>
      <c r="BD87">
        <f>IF('Исходные данные'!$B$51="Да",BC87*N('Исходные данные'!$B$52),0)</f>
        <v>0</v>
      </c>
      <c r="BE87">
        <f t="shared" si="48"/>
        <v>0</v>
      </c>
      <c r="BF87">
        <f>BC87+(Расчёты!Y87-Расчёты!L87)</f>
        <v>0</v>
      </c>
      <c r="BG87">
        <f t="shared" si="55"/>
        <v>0</v>
      </c>
      <c r="BH87">
        <f>IF('Исходные данные'!$B$51="Да",-MAX(0,BD87+Расчёты!R87+Расчёты!V87-Расчёты!P87-Расчёты!T87-BG87),0)</f>
        <v>0</v>
      </c>
      <c r="BI87">
        <f>IF('Исходные данные'!$B$51="Да",MAX(0,BG87+Расчёты!P87+Расчёты!T87-BD87-Расчёты!R87-Расчёты!V87),0)</f>
        <v>0</v>
      </c>
      <c r="BJ87">
        <f>IF('Исходные данные'!$B$53="Выручка",MAX(0,BC87+(Расчёты!Q87-Расчёты!R87)+(Расчёты!U87-Расчёты!V87)),IF('Исходные данные'!$B$53="Прибыль до налога",MAX(0,BC87+(Расчёты!Q87-Расчёты!R87)+(Расчёты!U87-Расчёты!V87)+N('Исходные данные'!$B$54)*((Расчёты!O87+Расчёты!P87)+(Расчёты!S87+Расчёты!T87)+Расчёты!W87+Расчёты!X87)+IF('Исходные данные'!$B$55="Да",Расчёты!AG87,0)-N('Исходные данные'!$B$56)/12),IF('Исходные данные'!$B$53="Пользовательская база",MAX(0,N('Исходные данные'!$B$57)/12),0)))</f>
        <v>0</v>
      </c>
      <c r="BK87">
        <f>IF(D87=1,-BJ87*N('Исходные данные'!$B$50),0)</f>
        <v>0</v>
      </c>
      <c r="BL87">
        <f t="shared" si="49"/>
        <v>0</v>
      </c>
      <c r="BM87">
        <f>IF(OR(D87&lt;&gt;1,B87="",'Исходные данные'!$B$91="",N('Исходные данные'!$B$80)&lt;=0,'Исходные данные'!$B$88=""),0,IF(AND(YEAR(B87)=YEAR('Исходные данные'!$B$91),MONTH(B87)=MONTH('Исходные данные'!$B$91)),MAX(0,IF('Исходные данные'!$B$88="Последние 12 месяцев",SUMIFS($BF$2:$BF$194,$B$2:$B$194,"&gt;="&amp;EDATE(B87,-11),$B$2:$B$194,"&lt;="&amp;B87),IF('Исходные данные'!$B$88="Пользовательский NOI",N('Исходные данные'!$B$89),BL87))/N('Исходные данные'!$B$80)*(1+N('Исходные данные'!$B$81))),0))</f>
        <v>0</v>
      </c>
      <c r="BN87">
        <f>-BM87*N('Исходные данные'!$B$73)</f>
        <v>0</v>
      </c>
      <c r="BO87">
        <f>IF(BM87=0,0,-N('Исходные данные'!$B$87)-IF('Исходные данные'!$B$82="Да",IF('Исходные данные'!$B$84="С выручки",BM87,IF('Исходные данные'!$B$84="С прибыли",MAX(0,BM87+BN87-IF('Исходные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87">
        <f t="shared" si="50"/>
        <v>0</v>
      </c>
      <c r="BQ87">
        <f>IF(D87=1,Расчёты!AZ87+BE87+BH87+BK87+BP87,0)</f>
        <v>0</v>
      </c>
      <c r="BR87" t="str">
        <f t="shared" si="56"/>
        <v/>
      </c>
      <c r="BS87">
        <f>IF(OR(D87=0,'Исходные данные'!$B$9="",'Исходные данные'!$B$90=""),0,BQ87/(1+'Исходные данные'!$B$90)^((C87-'Исходные данные'!$B$9)/365))</f>
        <v>0</v>
      </c>
      <c r="BT87">
        <f>IF(D87=1,BE87+Расчёты!O87+Расчёты!Q87+Расчёты!S87+Расчёты!U87+Расчёты!W87+Расчёты!X87+BH87+BK87,0)</f>
        <v>0</v>
      </c>
      <c r="BU87">
        <f>IF(AND(D87=1,BR87&gt;=0,BR86&lt;0,MIN($BR$2:BR87)&lt;0),1,0)</f>
        <v>0</v>
      </c>
      <c r="BV87">
        <f>Расчёты!AZ87+K87+N87-P87*N('Исходные данные'!$B$50)</f>
        <v>0</v>
      </c>
      <c r="BW87">
        <f t="shared" si="57"/>
        <v>0</v>
      </c>
      <c r="BX87">
        <f>IF(AND(BW87&gt;=0,BW86&lt;0,MIN($BW$2:BW87)&lt;0),1,0)</f>
        <v>0</v>
      </c>
      <c r="BY87">
        <f>Расчёты!AZ87+AH87+AK87-AM87*N('Исходные данные'!$B$50)</f>
        <v>0</v>
      </c>
      <c r="BZ87">
        <f t="shared" si="58"/>
        <v>0</v>
      </c>
      <c r="CA87">
        <f>IF(AND(BZ87&gt;=0,BZ86&lt;0,MIN($BZ$2:BZ87)&lt;0),1,0)</f>
        <v>0</v>
      </c>
      <c r="CB87">
        <f>Расчёты!AZ87+BE87+BH87-BJ87*N('Исходные данные'!$B$50)</f>
        <v>0</v>
      </c>
      <c r="CC87">
        <f t="shared" si="59"/>
        <v>0</v>
      </c>
      <c r="CD87">
        <f>IF(AND(CC87&gt;=0,CC86&lt;0,MIN($CC$2:CC87)&lt;0),1,0)</f>
        <v>0</v>
      </c>
    </row>
    <row r="88" spans="1:82" x14ac:dyDescent="0.2">
      <c r="A88">
        <f>Расчёты!A88</f>
        <v>87</v>
      </c>
      <c r="B88" t="str">
        <f>Расчёты!B88</f>
        <v/>
      </c>
      <c r="C88" t="str">
        <f>Расчёты!D88</f>
        <v/>
      </c>
      <c r="D88">
        <f>Расчёты!E88</f>
        <v>0</v>
      </c>
      <c r="E88">
        <f>IF(Расчёты!F88=0,0,IF(Расчёты!G88=1,N('Сценарный анализ'!$B$5),IF(Расчёты!G88=2,N('Сценарный анализ'!$B$6),IF(Расчёты!G88=3,N('Сценарный анализ'!$B$7),N('Сценарный анализ'!$B$7)*(1+N('Сценарный анализ'!$B$8))^(Расчёты!G88-3)))))</f>
        <v>0</v>
      </c>
      <c r="F88">
        <f>IF(OR(Расчёты!F88=0,N('Исходные данные'!$B$5)=0,E88=0),0,N('Исходные данные'!$B$5)*E88*IF(AND(B88&lt;='Исходные данные'!$B$30,Расчёты!C88&gt;='Исходные данные'!$B$30),(Расчёты!C88-'Исходные данные'!$B$30+1)/DAY(Расчёты!C88),1))</f>
        <v>0</v>
      </c>
      <c r="G88">
        <f>IF(AND(Расчёты!F88&gt;0,Расчёты!F88&lt;=N('Исходные данные'!$B$37)),-F88,0)</f>
        <v>0</v>
      </c>
      <c r="H88">
        <f>IF(OR(Расчёты!F88=0,Расчёты!F88&lt;=N('Исходные данные'!$B$37)),0,-(F88+G88)*N('Сценарный анализ'!$B$9))</f>
        <v>0</v>
      </c>
      <c r="I88">
        <f t="shared" si="39"/>
        <v>0</v>
      </c>
      <c r="J88">
        <f>IF('Исходные данные'!$B$51="Да",I88*N('Исходные данные'!$B$52),0)</f>
        <v>0</v>
      </c>
      <c r="K88">
        <f t="shared" si="40"/>
        <v>0</v>
      </c>
      <c r="L88">
        <f>I88+(Расчёты!Y88-Расчёты!L88)</f>
        <v>0</v>
      </c>
      <c r="M88">
        <f t="shared" si="51"/>
        <v>0</v>
      </c>
      <c r="N88">
        <f>IF('Исходные данные'!$B$51="Да",-MAX(0,J88+Расчёты!R88+Расчёты!V88-Расчёты!P88-Расчёты!T88-M88),0)</f>
        <v>0</v>
      </c>
      <c r="O88">
        <f>IF('Исходные данные'!$B$51="Да",MAX(0,M88+Расчёты!P88+Расчёты!T88-J88-Расчёты!R88-Расчёты!V88),0)</f>
        <v>0</v>
      </c>
      <c r="P88">
        <f>IF('Исходные данные'!$B$53="Выручка",MAX(0,I88+(Расчёты!Q88-Расчёты!R88)+(Расчёты!U88-Расчёты!V88)),IF('Исходные данные'!$B$53="Прибыль до налога",MAX(0,I88+(Расчёты!Q88-Расчёты!R88)+(Расчёты!U88-Расчёты!V88)+N('Исходные данные'!$B$54)*((Расчёты!O88+Расчёты!P88)+(Расчёты!S88+Расчёты!T88)+Расчёты!W88+Расчёты!X88)+IF('Исходные данные'!$B$55="Да",Расчёты!AG88,0)-N('Исходные данные'!$B$56)/12),IF('Исходные данные'!$B$53="Пользовательская база",MAX(0,N('Исходные данные'!$B$57)/12),0)))</f>
        <v>0</v>
      </c>
      <c r="Q88">
        <f>IF(D88=1,-P88*N('Исходные данные'!$B$50),0)</f>
        <v>0</v>
      </c>
      <c r="R88">
        <f t="shared" si="41"/>
        <v>0</v>
      </c>
      <c r="S88">
        <f>IF(OR(D88&lt;&gt;1,B88="",'Исходные данные'!$B$91="",N('Исходные данные'!$B$80)&lt;=0,'Исходные данные'!$B$88=""),0,IF(AND(YEAR(B88)=YEAR('Исходные данные'!$B$91),MONTH(B88)=MONTH('Исходные данные'!$B$91)),MAX(0,IF('Исходные данные'!$B$88="Последние 12 месяцев",SUMIFS($L$2:$L$194,$B$2:$B$194,"&gt;="&amp;EDATE(B88,-11),$B$2:$B$194,"&lt;="&amp;B88),IF('Исходные данные'!$B$88="Пользовательский NOI",N('Исходные данные'!$B$89),R88))/N('Исходные данные'!$B$80)*(1+N('Исходные данные'!$B$81))),0))</f>
        <v>0</v>
      </c>
      <c r="T88">
        <f>-S88*N('Исходные данные'!$B$73)</f>
        <v>0</v>
      </c>
      <c r="U88">
        <f>IF(S88=0,0,-N('Исходные данные'!$B$87)-IF('Исходные данные'!$B$82="Да",IF('Исходные данные'!$B$84="С выручки",S88,IF('Исходные данные'!$B$84="С прибыли",MAX(0,S88+T88-IF('Исходные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88">
        <f t="shared" si="42"/>
        <v>0</v>
      </c>
      <c r="W88">
        <f>IF(D88=1,Расчёты!AZ88+K88+N88+Q88+V88,0)</f>
        <v>0</v>
      </c>
      <c r="X88" t="str">
        <f t="shared" si="52"/>
        <v/>
      </c>
      <c r="Y88">
        <f>IF(OR(D88=0,'Исходные данные'!$B$9="",'Исходные данные'!$B$90=""),0,W88/(1+'Исходные данные'!$B$90)^((C88-'Исходные данные'!$B$9)/365))</f>
        <v>0</v>
      </c>
      <c r="Z88">
        <f>IF(D88=1,K88+Расчёты!O88+Расчёты!Q88+Расчёты!S88+Расчёты!U88+Расчёты!W88+Расчёты!X88+N88+Q88,0)</f>
        <v>0</v>
      </c>
      <c r="AA88">
        <f>IF(AND(D88=1,X88&gt;=0,X87&lt;0,MIN($X$2:X88)&lt;0),1,0)</f>
        <v>0</v>
      </c>
      <c r="AB88">
        <f>IF(Расчёты!F88=0,0,IF(Расчёты!G88=1,N('Сценарный анализ'!$C$5),IF(Расчёты!G88=2,N('Сценарный анализ'!$C$6),IF(Расчёты!G88=3,N('Сценарный анализ'!$C$7),N('Сценарный анализ'!$C$7)*(1+N('Сценарный анализ'!$C$8))^(Расчёты!G88-3)))))</f>
        <v>0</v>
      </c>
      <c r="AC88">
        <f>IF(OR(Расчёты!F88=0,N('Исходные данные'!$B$5)=0,AB88=0),0,N('Исходные данные'!$B$5)*AB88*IF(AND(B88&lt;='Исходные данные'!$B$30,Расчёты!C88&gt;='Исходные данные'!$B$30),(Расчёты!C88-'Исходные данные'!$B$30+1)/DAY(Расчёты!C88),1))</f>
        <v>0</v>
      </c>
      <c r="AD88">
        <f>IF(AND(Расчёты!F88&gt;0,Расчёты!F88&lt;=N('Исходные данные'!$B$37)),-AC88,0)</f>
        <v>0</v>
      </c>
      <c r="AE88">
        <f>IF(OR(Расчёты!F88=0,Расчёты!F88&lt;=N('Исходные данные'!$B$37)),0,-(AC88+AD88)*N('Сценарный анализ'!$C$9))</f>
        <v>0</v>
      </c>
      <c r="AF88">
        <f t="shared" si="43"/>
        <v>0</v>
      </c>
      <c r="AG88">
        <f>IF('Исходные данные'!$B$51="Да",AF88*N('Исходные данные'!$B$52),0)</f>
        <v>0</v>
      </c>
      <c r="AH88">
        <f t="shared" si="44"/>
        <v>0</v>
      </c>
      <c r="AI88">
        <f>AF88+(Расчёты!Y88-Расчёты!L88)</f>
        <v>0</v>
      </c>
      <c r="AJ88">
        <f t="shared" si="53"/>
        <v>0</v>
      </c>
      <c r="AK88">
        <f>IF('Исходные данные'!$B$51="Да",-MAX(0,AG88+Расчёты!R88+Расчёты!V88-Расчёты!P88-Расчёты!T88-AJ88),0)</f>
        <v>0</v>
      </c>
      <c r="AL88">
        <f>IF('Исходные данные'!$B$51="Да",MAX(0,AJ88+Расчёты!P88+Расчёты!T88-AG88-Расчёты!R88-Расчёты!V88),0)</f>
        <v>0</v>
      </c>
      <c r="AM88">
        <f>IF('Исходные данные'!$B$53="Выручка",MAX(0,AF88+(Расчёты!Q88-Расчёты!R88)+(Расчёты!U88-Расчёты!V88)),IF('Исходные данные'!$B$53="Прибыль до налога",MAX(0,AF88+(Расчёты!Q88-Расчёты!R88)+(Расчёты!U88-Расчёты!V88)+N('Исходные данные'!$B$54)*((Расчёты!O88+Расчёты!P88)+(Расчёты!S88+Расчёты!T88)+Расчёты!W88+Расчёты!X88)+IF('Исходные данные'!$B$55="Да",Расчёты!AG88,0)-N('Исходные данные'!$B$56)/12),IF('Исходные данные'!$B$53="Пользовательская база",MAX(0,N('Исходные данные'!$B$57)/12),0)))</f>
        <v>0</v>
      </c>
      <c r="AN88">
        <f>IF(D88=1,-AM88*N('Исходные данные'!$B$50),0)</f>
        <v>0</v>
      </c>
      <c r="AO88">
        <f t="shared" si="45"/>
        <v>0</v>
      </c>
      <c r="AP88">
        <f>IF(OR(D88&lt;&gt;1,B88="",'Исходные данные'!$B$91="",N('Исходные данные'!$B$80)&lt;=0,'Исходные данные'!$B$88=""),0,IF(AND(YEAR(B88)=YEAR('Исходные данные'!$B$91),MONTH(B88)=MONTH('Исходные данные'!$B$91)),MAX(0,IF('Исходные данные'!$B$88="Последние 12 месяцев",SUMIFS($AI$2:$AI$194,$B$2:$B$194,"&gt;="&amp;EDATE(B88,-11),$B$2:$B$194,"&lt;="&amp;B88),IF('Исходные данные'!$B$88="Пользовательский NOI",N('Исходные данные'!$B$89),AO88))/N('Исходные данные'!$B$80)*(1+N('Исходные данные'!$B$81))),0))</f>
        <v>0</v>
      </c>
      <c r="AQ88">
        <f>-AP88*N('Исходные данные'!$B$73)</f>
        <v>0</v>
      </c>
      <c r="AR88">
        <f>IF(AP88=0,0,-N('Исходные данные'!$B$87)-IF('Исходные данные'!$B$82="Да",IF('Исходные данные'!$B$84="С выручки",AP88,IF('Исходные данные'!$B$84="С прибыли",MAX(0,AP88+AQ88-IF('Исходные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88">
        <f t="shared" si="46"/>
        <v>0</v>
      </c>
      <c r="AT88">
        <f>IF(D88=1,Расчёты!AZ88+AH88+AK88+AN88+AS88,0)</f>
        <v>0</v>
      </c>
      <c r="AU88" t="str">
        <f t="shared" si="54"/>
        <v/>
      </c>
      <c r="AV88">
        <f>IF(OR(D88=0,'Исходные данные'!$B$9="",'Исходные данные'!$B$90=""),0,AT88/(1+'Исходные данные'!$B$90)^((C88-'Исходные данные'!$B$9)/365))</f>
        <v>0</v>
      </c>
      <c r="AW88">
        <f>IF(D88=1,AH88+Расчёты!O88+Расчёты!Q88+Расчёты!S88+Расчёты!U88+Расчёты!W88+Расчёты!X88+AK88+AN88,0)</f>
        <v>0</v>
      </c>
      <c r="AX88">
        <f>IF(AND(D88=1,AU88&gt;=0,AU87&lt;0,MIN($AU$2:AU88)&lt;0),1,0)</f>
        <v>0</v>
      </c>
      <c r="AY88">
        <f>IF(Расчёты!F88=0,0,IF(Расчёты!G88=1,N('Сценарный анализ'!$D$5),IF(Расчёты!G88=2,N('Сценарный анализ'!$D$6),IF(Расчёты!G88=3,N('Сценарный анализ'!$D$7),N('Сценарный анализ'!$D$7)*(1+N('Сценарный анализ'!$D$8))^(Расчёты!G88-3)))))</f>
        <v>0</v>
      </c>
      <c r="AZ88">
        <f>IF(OR(Расчёты!F88=0,N('Исходные данные'!$B$5)=0,AY88=0),0,N('Исходные данные'!$B$5)*AY88*IF(AND(B88&lt;='Исходные данные'!$B$30,Расчёты!C88&gt;='Исходные данные'!$B$30),(Расчёты!C88-'Исходные данные'!$B$30+1)/DAY(Расчёты!C88),1))</f>
        <v>0</v>
      </c>
      <c r="BA88">
        <f>IF(AND(Расчёты!F88&gt;0,Расчёты!F88&lt;=N('Исходные данные'!$B$37)),-AZ88,0)</f>
        <v>0</v>
      </c>
      <c r="BB88">
        <f>IF(OR(Расчёты!F88=0,Расчёты!F88&lt;=N('Исходные данные'!$B$37)),0,-(AZ88+BA88)*N('Сценарный анализ'!$D$9))</f>
        <v>0</v>
      </c>
      <c r="BC88">
        <f t="shared" si="47"/>
        <v>0</v>
      </c>
      <c r="BD88">
        <f>IF('Исходные данные'!$B$51="Да",BC88*N('Исходные данные'!$B$52),0)</f>
        <v>0</v>
      </c>
      <c r="BE88">
        <f t="shared" si="48"/>
        <v>0</v>
      </c>
      <c r="BF88">
        <f>BC88+(Расчёты!Y88-Расчёты!L88)</f>
        <v>0</v>
      </c>
      <c r="BG88">
        <f t="shared" si="55"/>
        <v>0</v>
      </c>
      <c r="BH88">
        <f>IF('Исходные данные'!$B$51="Да",-MAX(0,BD88+Расчёты!R88+Расчёты!V88-Расчёты!P88-Расчёты!T88-BG88),0)</f>
        <v>0</v>
      </c>
      <c r="BI88">
        <f>IF('Исходные данные'!$B$51="Да",MAX(0,BG88+Расчёты!P88+Расчёты!T88-BD88-Расчёты!R88-Расчёты!V88),0)</f>
        <v>0</v>
      </c>
      <c r="BJ88">
        <f>IF('Исходные данные'!$B$53="Выручка",MAX(0,BC88+(Расчёты!Q88-Расчёты!R88)+(Расчёты!U88-Расчёты!V88)),IF('Исходные данные'!$B$53="Прибыль до налога",MAX(0,BC88+(Расчёты!Q88-Расчёты!R88)+(Расчёты!U88-Расчёты!V88)+N('Исходные данные'!$B$54)*((Расчёты!O88+Расчёты!P88)+(Расчёты!S88+Расчёты!T88)+Расчёты!W88+Расчёты!X88)+IF('Исходные данные'!$B$55="Да",Расчёты!AG88,0)-N('Исходные данные'!$B$56)/12),IF('Исходные данные'!$B$53="Пользовательская база",MAX(0,N('Исходные данные'!$B$57)/12),0)))</f>
        <v>0</v>
      </c>
      <c r="BK88">
        <f>IF(D88=1,-BJ88*N('Исходные данные'!$B$50),0)</f>
        <v>0</v>
      </c>
      <c r="BL88">
        <f t="shared" si="49"/>
        <v>0</v>
      </c>
      <c r="BM88">
        <f>IF(OR(D88&lt;&gt;1,B88="",'Исходные данные'!$B$91="",N('Исходные данные'!$B$80)&lt;=0,'Исходные данные'!$B$88=""),0,IF(AND(YEAR(B88)=YEAR('Исходные данные'!$B$91),MONTH(B88)=MONTH('Исходные данные'!$B$91)),MAX(0,IF('Исходные данные'!$B$88="Последние 12 месяцев",SUMIFS($BF$2:$BF$194,$B$2:$B$194,"&gt;="&amp;EDATE(B88,-11),$B$2:$B$194,"&lt;="&amp;B88),IF('Исходные данные'!$B$88="Пользовательский NOI",N('Исходные данные'!$B$89),BL88))/N('Исходные данные'!$B$80)*(1+N('Исходные данные'!$B$81))),0))</f>
        <v>0</v>
      </c>
      <c r="BN88">
        <f>-BM88*N('Исходные данные'!$B$73)</f>
        <v>0</v>
      </c>
      <c r="BO88">
        <f>IF(BM88=0,0,-N('Исходные данные'!$B$87)-IF('Исходные данные'!$B$82="Да",IF('Исходные данные'!$B$84="С выручки",BM88,IF('Исходные данные'!$B$84="С прибыли",MAX(0,BM88+BN88-IF('Исходные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88">
        <f t="shared" si="50"/>
        <v>0</v>
      </c>
      <c r="BQ88">
        <f>IF(D88=1,Расчёты!AZ88+BE88+BH88+BK88+BP88,0)</f>
        <v>0</v>
      </c>
      <c r="BR88" t="str">
        <f t="shared" si="56"/>
        <v/>
      </c>
      <c r="BS88">
        <f>IF(OR(D88=0,'Исходные данные'!$B$9="",'Исходные данные'!$B$90=""),0,BQ88/(1+'Исходные данные'!$B$90)^((C88-'Исходные данные'!$B$9)/365))</f>
        <v>0</v>
      </c>
      <c r="BT88">
        <f>IF(D88=1,BE88+Расчёты!O88+Расчёты!Q88+Расчёты!S88+Расчёты!U88+Расчёты!W88+Расчёты!X88+BH88+BK88,0)</f>
        <v>0</v>
      </c>
      <c r="BU88">
        <f>IF(AND(D88=1,BR88&gt;=0,BR87&lt;0,MIN($BR$2:BR88)&lt;0),1,0)</f>
        <v>0</v>
      </c>
      <c r="BV88">
        <f>Расчёты!AZ88+K88+N88-P88*N('Исходные данные'!$B$50)</f>
        <v>0</v>
      </c>
      <c r="BW88">
        <f t="shared" si="57"/>
        <v>0</v>
      </c>
      <c r="BX88">
        <f>IF(AND(BW88&gt;=0,BW87&lt;0,MIN($BW$2:BW88)&lt;0),1,0)</f>
        <v>0</v>
      </c>
      <c r="BY88">
        <f>Расчёты!AZ88+AH88+AK88-AM88*N('Исходные данные'!$B$50)</f>
        <v>0</v>
      </c>
      <c r="BZ88">
        <f t="shared" si="58"/>
        <v>0</v>
      </c>
      <c r="CA88">
        <f>IF(AND(BZ88&gt;=0,BZ87&lt;0,MIN($BZ$2:BZ88)&lt;0),1,0)</f>
        <v>0</v>
      </c>
      <c r="CB88">
        <f>Расчёты!AZ88+BE88+BH88-BJ88*N('Исходные данные'!$B$50)</f>
        <v>0</v>
      </c>
      <c r="CC88">
        <f t="shared" si="59"/>
        <v>0</v>
      </c>
      <c r="CD88">
        <f>IF(AND(CC88&gt;=0,CC87&lt;0,MIN($CC$2:CC88)&lt;0),1,0)</f>
        <v>0</v>
      </c>
    </row>
    <row r="89" spans="1:82" x14ac:dyDescent="0.2">
      <c r="A89">
        <f>Расчёты!A89</f>
        <v>88</v>
      </c>
      <c r="B89" t="str">
        <f>Расчёты!B89</f>
        <v/>
      </c>
      <c r="C89" t="str">
        <f>Расчёты!D89</f>
        <v/>
      </c>
      <c r="D89">
        <f>Расчёты!E89</f>
        <v>0</v>
      </c>
      <c r="E89">
        <f>IF(Расчёты!F89=0,0,IF(Расчёты!G89=1,N('Сценарный анализ'!$B$5),IF(Расчёты!G89=2,N('Сценарный анализ'!$B$6),IF(Расчёты!G89=3,N('Сценарный анализ'!$B$7),N('Сценарный анализ'!$B$7)*(1+N('Сценарный анализ'!$B$8))^(Расчёты!G89-3)))))</f>
        <v>0</v>
      </c>
      <c r="F89">
        <f>IF(OR(Расчёты!F89=0,N('Исходные данные'!$B$5)=0,E89=0),0,N('Исходные данные'!$B$5)*E89*IF(AND(B89&lt;='Исходные данные'!$B$30,Расчёты!C89&gt;='Исходные данные'!$B$30),(Расчёты!C89-'Исходные данные'!$B$30+1)/DAY(Расчёты!C89),1))</f>
        <v>0</v>
      </c>
      <c r="G89">
        <f>IF(AND(Расчёты!F89&gt;0,Расчёты!F89&lt;=N('Исходные данные'!$B$37)),-F89,0)</f>
        <v>0</v>
      </c>
      <c r="H89">
        <f>IF(OR(Расчёты!F89=0,Расчёты!F89&lt;=N('Исходные данные'!$B$37)),0,-(F89+G89)*N('Сценарный анализ'!$B$9))</f>
        <v>0</v>
      </c>
      <c r="I89">
        <f t="shared" si="39"/>
        <v>0</v>
      </c>
      <c r="J89">
        <f>IF('Исходные данные'!$B$51="Да",I89*N('Исходные данные'!$B$52),0)</f>
        <v>0</v>
      </c>
      <c r="K89">
        <f t="shared" si="40"/>
        <v>0</v>
      </c>
      <c r="L89">
        <f>I89+(Расчёты!Y89-Расчёты!L89)</f>
        <v>0</v>
      </c>
      <c r="M89">
        <f t="shared" si="51"/>
        <v>0</v>
      </c>
      <c r="N89">
        <f>IF('Исходные данные'!$B$51="Да",-MAX(0,J89+Расчёты!R89+Расчёты!V89-Расчёты!P89-Расчёты!T89-M89),0)</f>
        <v>0</v>
      </c>
      <c r="O89">
        <f>IF('Исходные данные'!$B$51="Да",MAX(0,M89+Расчёты!P89+Расчёты!T89-J89-Расчёты!R89-Расчёты!V89),0)</f>
        <v>0</v>
      </c>
      <c r="P89">
        <f>IF('Исходные данные'!$B$53="Выручка",MAX(0,I89+(Расчёты!Q89-Расчёты!R89)+(Расчёты!U89-Расчёты!V89)),IF('Исходные данные'!$B$53="Прибыль до налога",MAX(0,I89+(Расчёты!Q89-Расчёты!R89)+(Расчёты!U89-Расчёты!V89)+N('Исходные данные'!$B$54)*((Расчёты!O89+Расчёты!P89)+(Расчёты!S89+Расчёты!T89)+Расчёты!W89+Расчёты!X89)+IF('Исходные данные'!$B$55="Да",Расчёты!AG89,0)-N('Исходные данные'!$B$56)/12),IF('Исходные данные'!$B$53="Пользовательская база",MAX(0,N('Исходные данные'!$B$57)/12),0)))</f>
        <v>0</v>
      </c>
      <c r="Q89">
        <f>IF(D89=1,-P89*N('Исходные данные'!$B$50),0)</f>
        <v>0</v>
      </c>
      <c r="R89">
        <f t="shared" si="41"/>
        <v>0</v>
      </c>
      <c r="S89">
        <f>IF(OR(D89&lt;&gt;1,B89="",'Исходные данные'!$B$91="",N('Исходные данные'!$B$80)&lt;=0,'Исходные данные'!$B$88=""),0,IF(AND(YEAR(B89)=YEAR('Исходные данные'!$B$91),MONTH(B89)=MONTH('Исходные данные'!$B$91)),MAX(0,IF('Исходные данные'!$B$88="Последние 12 месяцев",SUMIFS($L$2:$L$194,$B$2:$B$194,"&gt;="&amp;EDATE(B89,-11),$B$2:$B$194,"&lt;="&amp;B89),IF('Исходные данные'!$B$88="Пользовательский NOI",N('Исходные данные'!$B$89),R89))/N('Исходные данные'!$B$80)*(1+N('Исходные данные'!$B$81))),0))</f>
        <v>0</v>
      </c>
      <c r="T89">
        <f>-S89*N('Исходные данные'!$B$73)</f>
        <v>0</v>
      </c>
      <c r="U89">
        <f>IF(S89=0,0,-N('Исходные данные'!$B$87)-IF('Исходные данные'!$B$82="Да",IF('Исходные данные'!$B$84="С выручки",S89,IF('Исходные данные'!$B$84="С прибыли",MAX(0,S89+T89-IF('Исходные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89">
        <f t="shared" si="42"/>
        <v>0</v>
      </c>
      <c r="W89">
        <f>IF(D89=1,Расчёты!AZ89+K89+N89+Q89+V89,0)</f>
        <v>0</v>
      </c>
      <c r="X89" t="str">
        <f t="shared" si="52"/>
        <v/>
      </c>
      <c r="Y89">
        <f>IF(OR(D89=0,'Исходные данные'!$B$9="",'Исходные данные'!$B$90=""),0,W89/(1+'Исходные данные'!$B$90)^((C89-'Исходные данные'!$B$9)/365))</f>
        <v>0</v>
      </c>
      <c r="Z89">
        <f>IF(D89=1,K89+Расчёты!O89+Расчёты!Q89+Расчёты!S89+Расчёты!U89+Расчёты!W89+Расчёты!X89+N89+Q89,0)</f>
        <v>0</v>
      </c>
      <c r="AA89">
        <f>IF(AND(D89=1,X89&gt;=0,X88&lt;0,MIN($X$2:X89)&lt;0),1,0)</f>
        <v>0</v>
      </c>
      <c r="AB89">
        <f>IF(Расчёты!F89=0,0,IF(Расчёты!G89=1,N('Сценарный анализ'!$C$5),IF(Расчёты!G89=2,N('Сценарный анализ'!$C$6),IF(Расчёты!G89=3,N('Сценарный анализ'!$C$7),N('Сценарный анализ'!$C$7)*(1+N('Сценарный анализ'!$C$8))^(Расчёты!G89-3)))))</f>
        <v>0</v>
      </c>
      <c r="AC89">
        <f>IF(OR(Расчёты!F89=0,N('Исходные данные'!$B$5)=0,AB89=0),0,N('Исходные данные'!$B$5)*AB89*IF(AND(B89&lt;='Исходные данные'!$B$30,Расчёты!C89&gt;='Исходные данные'!$B$30),(Расчёты!C89-'Исходные данные'!$B$30+1)/DAY(Расчёты!C89),1))</f>
        <v>0</v>
      </c>
      <c r="AD89">
        <f>IF(AND(Расчёты!F89&gt;0,Расчёты!F89&lt;=N('Исходные данные'!$B$37)),-AC89,0)</f>
        <v>0</v>
      </c>
      <c r="AE89">
        <f>IF(OR(Расчёты!F89=0,Расчёты!F89&lt;=N('Исходные данные'!$B$37)),0,-(AC89+AD89)*N('Сценарный анализ'!$C$9))</f>
        <v>0</v>
      </c>
      <c r="AF89">
        <f t="shared" si="43"/>
        <v>0</v>
      </c>
      <c r="AG89">
        <f>IF('Исходные данные'!$B$51="Да",AF89*N('Исходные данные'!$B$52),0)</f>
        <v>0</v>
      </c>
      <c r="AH89">
        <f t="shared" si="44"/>
        <v>0</v>
      </c>
      <c r="AI89">
        <f>AF89+(Расчёты!Y89-Расчёты!L89)</f>
        <v>0</v>
      </c>
      <c r="AJ89">
        <f t="shared" si="53"/>
        <v>0</v>
      </c>
      <c r="AK89">
        <f>IF('Исходные данные'!$B$51="Да",-MAX(0,AG89+Расчёты!R89+Расчёты!V89-Расчёты!P89-Расчёты!T89-AJ89),0)</f>
        <v>0</v>
      </c>
      <c r="AL89">
        <f>IF('Исходные данные'!$B$51="Да",MAX(0,AJ89+Расчёты!P89+Расчёты!T89-AG89-Расчёты!R89-Расчёты!V89),0)</f>
        <v>0</v>
      </c>
      <c r="AM89">
        <f>IF('Исходные данные'!$B$53="Выручка",MAX(0,AF89+(Расчёты!Q89-Расчёты!R89)+(Расчёты!U89-Расчёты!V89)),IF('Исходные данные'!$B$53="Прибыль до налога",MAX(0,AF89+(Расчёты!Q89-Расчёты!R89)+(Расчёты!U89-Расчёты!V89)+N('Исходные данные'!$B$54)*((Расчёты!O89+Расчёты!P89)+(Расчёты!S89+Расчёты!T89)+Расчёты!W89+Расчёты!X89)+IF('Исходные данные'!$B$55="Да",Расчёты!AG89,0)-N('Исходные данные'!$B$56)/12),IF('Исходные данные'!$B$53="Пользовательская база",MAX(0,N('Исходные данные'!$B$57)/12),0)))</f>
        <v>0</v>
      </c>
      <c r="AN89">
        <f>IF(D89=1,-AM89*N('Исходные данные'!$B$50),0)</f>
        <v>0</v>
      </c>
      <c r="AO89">
        <f t="shared" si="45"/>
        <v>0</v>
      </c>
      <c r="AP89">
        <f>IF(OR(D89&lt;&gt;1,B89="",'Исходные данные'!$B$91="",N('Исходные данные'!$B$80)&lt;=0,'Исходные данные'!$B$88=""),0,IF(AND(YEAR(B89)=YEAR('Исходные данные'!$B$91),MONTH(B89)=MONTH('Исходные данные'!$B$91)),MAX(0,IF('Исходные данные'!$B$88="Последние 12 месяцев",SUMIFS($AI$2:$AI$194,$B$2:$B$194,"&gt;="&amp;EDATE(B89,-11),$B$2:$B$194,"&lt;="&amp;B89),IF('Исходные данные'!$B$88="Пользовательский NOI",N('Исходные данные'!$B$89),AO89))/N('Исходные данные'!$B$80)*(1+N('Исходные данные'!$B$81))),0))</f>
        <v>0</v>
      </c>
      <c r="AQ89">
        <f>-AP89*N('Исходные данные'!$B$73)</f>
        <v>0</v>
      </c>
      <c r="AR89">
        <f>IF(AP89=0,0,-N('Исходные данные'!$B$87)-IF('Исходные данные'!$B$82="Да",IF('Исходные данные'!$B$84="С выручки",AP89,IF('Исходные данные'!$B$84="С прибыли",MAX(0,AP89+AQ89-IF('Исходные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89">
        <f t="shared" si="46"/>
        <v>0</v>
      </c>
      <c r="AT89">
        <f>IF(D89=1,Расчёты!AZ89+AH89+AK89+AN89+AS89,0)</f>
        <v>0</v>
      </c>
      <c r="AU89" t="str">
        <f t="shared" si="54"/>
        <v/>
      </c>
      <c r="AV89">
        <f>IF(OR(D89=0,'Исходные данные'!$B$9="",'Исходные данные'!$B$90=""),0,AT89/(1+'Исходные данные'!$B$90)^((C89-'Исходные данные'!$B$9)/365))</f>
        <v>0</v>
      </c>
      <c r="AW89">
        <f>IF(D89=1,AH89+Расчёты!O89+Расчёты!Q89+Расчёты!S89+Расчёты!U89+Расчёты!W89+Расчёты!X89+AK89+AN89,0)</f>
        <v>0</v>
      </c>
      <c r="AX89">
        <f>IF(AND(D89=1,AU89&gt;=0,AU88&lt;0,MIN($AU$2:AU89)&lt;0),1,0)</f>
        <v>0</v>
      </c>
      <c r="AY89">
        <f>IF(Расчёты!F89=0,0,IF(Расчёты!G89=1,N('Сценарный анализ'!$D$5),IF(Расчёты!G89=2,N('Сценарный анализ'!$D$6),IF(Расчёты!G89=3,N('Сценарный анализ'!$D$7),N('Сценарный анализ'!$D$7)*(1+N('Сценарный анализ'!$D$8))^(Расчёты!G89-3)))))</f>
        <v>0</v>
      </c>
      <c r="AZ89">
        <f>IF(OR(Расчёты!F89=0,N('Исходные данные'!$B$5)=0,AY89=0),0,N('Исходные данные'!$B$5)*AY89*IF(AND(B89&lt;='Исходные данные'!$B$30,Расчёты!C89&gt;='Исходные данные'!$B$30),(Расчёты!C89-'Исходные данные'!$B$30+1)/DAY(Расчёты!C89),1))</f>
        <v>0</v>
      </c>
      <c r="BA89">
        <f>IF(AND(Расчёты!F89&gt;0,Расчёты!F89&lt;=N('Исходные данные'!$B$37)),-AZ89,0)</f>
        <v>0</v>
      </c>
      <c r="BB89">
        <f>IF(OR(Расчёты!F89=0,Расчёты!F89&lt;=N('Исходные данные'!$B$37)),0,-(AZ89+BA89)*N('Сценарный анализ'!$D$9))</f>
        <v>0</v>
      </c>
      <c r="BC89">
        <f t="shared" si="47"/>
        <v>0</v>
      </c>
      <c r="BD89">
        <f>IF('Исходные данные'!$B$51="Да",BC89*N('Исходные данные'!$B$52),0)</f>
        <v>0</v>
      </c>
      <c r="BE89">
        <f t="shared" si="48"/>
        <v>0</v>
      </c>
      <c r="BF89">
        <f>BC89+(Расчёты!Y89-Расчёты!L89)</f>
        <v>0</v>
      </c>
      <c r="BG89">
        <f t="shared" si="55"/>
        <v>0</v>
      </c>
      <c r="BH89">
        <f>IF('Исходные данные'!$B$51="Да",-MAX(0,BD89+Расчёты!R89+Расчёты!V89-Расчёты!P89-Расчёты!T89-BG89),0)</f>
        <v>0</v>
      </c>
      <c r="BI89">
        <f>IF('Исходные данные'!$B$51="Да",MAX(0,BG89+Расчёты!P89+Расчёты!T89-BD89-Расчёты!R89-Расчёты!V89),0)</f>
        <v>0</v>
      </c>
      <c r="BJ89">
        <f>IF('Исходные данные'!$B$53="Выручка",MAX(0,BC89+(Расчёты!Q89-Расчёты!R89)+(Расчёты!U89-Расчёты!V89)),IF('Исходные данные'!$B$53="Прибыль до налога",MAX(0,BC89+(Расчёты!Q89-Расчёты!R89)+(Расчёты!U89-Расчёты!V89)+N('Исходные данные'!$B$54)*((Расчёты!O89+Расчёты!P89)+(Расчёты!S89+Расчёты!T89)+Расчёты!W89+Расчёты!X89)+IF('Исходные данные'!$B$55="Да",Расчёты!AG89,0)-N('Исходные данные'!$B$56)/12),IF('Исходные данные'!$B$53="Пользовательская база",MAX(0,N('Исходные данные'!$B$57)/12),0)))</f>
        <v>0</v>
      </c>
      <c r="BK89">
        <f>IF(D89=1,-BJ89*N('Исходные данные'!$B$50),0)</f>
        <v>0</v>
      </c>
      <c r="BL89">
        <f t="shared" si="49"/>
        <v>0</v>
      </c>
      <c r="BM89">
        <f>IF(OR(D89&lt;&gt;1,B89="",'Исходные данные'!$B$91="",N('Исходные данные'!$B$80)&lt;=0,'Исходные данные'!$B$88=""),0,IF(AND(YEAR(B89)=YEAR('Исходные данные'!$B$91),MONTH(B89)=MONTH('Исходные данные'!$B$91)),MAX(0,IF('Исходные данные'!$B$88="Последние 12 месяцев",SUMIFS($BF$2:$BF$194,$B$2:$B$194,"&gt;="&amp;EDATE(B89,-11),$B$2:$B$194,"&lt;="&amp;B89),IF('Исходные данные'!$B$88="Пользовательский NOI",N('Исходные данные'!$B$89),BL89))/N('Исходные данные'!$B$80)*(1+N('Исходные данные'!$B$81))),0))</f>
        <v>0</v>
      </c>
      <c r="BN89">
        <f>-BM89*N('Исходные данные'!$B$73)</f>
        <v>0</v>
      </c>
      <c r="BO89">
        <f>IF(BM89=0,0,-N('Исходные данные'!$B$87)-IF('Исходные данные'!$B$82="Да",IF('Исходные данные'!$B$84="С выручки",BM89,IF('Исходные данные'!$B$84="С прибыли",MAX(0,BM89+BN89-IF('Исходные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89">
        <f t="shared" si="50"/>
        <v>0</v>
      </c>
      <c r="BQ89">
        <f>IF(D89=1,Расчёты!AZ89+BE89+BH89+BK89+BP89,0)</f>
        <v>0</v>
      </c>
      <c r="BR89" t="str">
        <f t="shared" si="56"/>
        <v/>
      </c>
      <c r="BS89">
        <f>IF(OR(D89=0,'Исходные данные'!$B$9="",'Исходные данные'!$B$90=""),0,BQ89/(1+'Исходные данные'!$B$90)^((C89-'Исходные данные'!$B$9)/365))</f>
        <v>0</v>
      </c>
      <c r="BT89">
        <f>IF(D89=1,BE89+Расчёты!O89+Расчёты!Q89+Расчёты!S89+Расчёты!U89+Расчёты!W89+Расчёты!X89+BH89+BK89,0)</f>
        <v>0</v>
      </c>
      <c r="BU89">
        <f>IF(AND(D89=1,BR89&gt;=0,BR88&lt;0,MIN($BR$2:BR89)&lt;0),1,0)</f>
        <v>0</v>
      </c>
      <c r="BV89">
        <f>Расчёты!AZ89+K89+N89-P89*N('Исходные данные'!$B$50)</f>
        <v>0</v>
      </c>
      <c r="BW89">
        <f t="shared" si="57"/>
        <v>0</v>
      </c>
      <c r="BX89">
        <f>IF(AND(BW89&gt;=0,BW88&lt;0,MIN($BW$2:BW89)&lt;0),1,0)</f>
        <v>0</v>
      </c>
      <c r="BY89">
        <f>Расчёты!AZ89+AH89+AK89-AM89*N('Исходные данные'!$B$50)</f>
        <v>0</v>
      </c>
      <c r="BZ89">
        <f t="shared" si="58"/>
        <v>0</v>
      </c>
      <c r="CA89">
        <f>IF(AND(BZ89&gt;=0,BZ88&lt;0,MIN($BZ$2:BZ89)&lt;0),1,0)</f>
        <v>0</v>
      </c>
      <c r="CB89">
        <f>Расчёты!AZ89+BE89+BH89-BJ89*N('Исходные данные'!$B$50)</f>
        <v>0</v>
      </c>
      <c r="CC89">
        <f t="shared" si="59"/>
        <v>0</v>
      </c>
      <c r="CD89">
        <f>IF(AND(CC89&gt;=0,CC88&lt;0,MIN($CC$2:CC89)&lt;0),1,0)</f>
        <v>0</v>
      </c>
    </row>
    <row r="90" spans="1:82" x14ac:dyDescent="0.2">
      <c r="A90">
        <f>Расчёты!A90</f>
        <v>89</v>
      </c>
      <c r="B90" t="str">
        <f>Расчёты!B90</f>
        <v/>
      </c>
      <c r="C90" t="str">
        <f>Расчёты!D90</f>
        <v/>
      </c>
      <c r="D90">
        <f>Расчёты!E90</f>
        <v>0</v>
      </c>
      <c r="E90">
        <f>IF(Расчёты!F90=0,0,IF(Расчёты!G90=1,N('Сценарный анализ'!$B$5),IF(Расчёты!G90=2,N('Сценарный анализ'!$B$6),IF(Расчёты!G90=3,N('Сценарный анализ'!$B$7),N('Сценарный анализ'!$B$7)*(1+N('Сценарный анализ'!$B$8))^(Расчёты!G90-3)))))</f>
        <v>0</v>
      </c>
      <c r="F90">
        <f>IF(OR(Расчёты!F90=0,N('Исходные данные'!$B$5)=0,E90=0),0,N('Исходные данные'!$B$5)*E90*IF(AND(B90&lt;='Исходные данные'!$B$30,Расчёты!C90&gt;='Исходные данные'!$B$30),(Расчёты!C90-'Исходные данные'!$B$30+1)/DAY(Расчёты!C90),1))</f>
        <v>0</v>
      </c>
      <c r="G90">
        <f>IF(AND(Расчёты!F90&gt;0,Расчёты!F90&lt;=N('Исходные данные'!$B$37)),-F90,0)</f>
        <v>0</v>
      </c>
      <c r="H90">
        <f>IF(OR(Расчёты!F90=0,Расчёты!F90&lt;=N('Исходные данные'!$B$37)),0,-(F90+G90)*N('Сценарный анализ'!$B$9))</f>
        <v>0</v>
      </c>
      <c r="I90">
        <f t="shared" si="39"/>
        <v>0</v>
      </c>
      <c r="J90">
        <f>IF('Исходные данные'!$B$51="Да",I90*N('Исходные данные'!$B$52),0)</f>
        <v>0</v>
      </c>
      <c r="K90">
        <f t="shared" si="40"/>
        <v>0</v>
      </c>
      <c r="L90">
        <f>I90+(Расчёты!Y90-Расчёты!L90)</f>
        <v>0</v>
      </c>
      <c r="M90">
        <f t="shared" si="51"/>
        <v>0</v>
      </c>
      <c r="N90">
        <f>IF('Исходные данные'!$B$51="Да",-MAX(0,J90+Расчёты!R90+Расчёты!V90-Расчёты!P90-Расчёты!T90-M90),0)</f>
        <v>0</v>
      </c>
      <c r="O90">
        <f>IF('Исходные данные'!$B$51="Да",MAX(0,M90+Расчёты!P90+Расчёты!T90-J90-Расчёты!R90-Расчёты!V90),0)</f>
        <v>0</v>
      </c>
      <c r="P90">
        <f>IF('Исходные данные'!$B$53="Выручка",MAX(0,I90+(Расчёты!Q90-Расчёты!R90)+(Расчёты!U90-Расчёты!V90)),IF('Исходные данные'!$B$53="Прибыль до налога",MAX(0,I90+(Расчёты!Q90-Расчёты!R90)+(Расчёты!U90-Расчёты!V90)+N('Исходные данные'!$B$54)*((Расчёты!O90+Расчёты!P90)+(Расчёты!S90+Расчёты!T90)+Расчёты!W90+Расчёты!X90)+IF('Исходные данные'!$B$55="Да",Расчёты!AG90,0)-N('Исходные данные'!$B$56)/12),IF('Исходные данные'!$B$53="Пользовательская база",MAX(0,N('Исходные данные'!$B$57)/12),0)))</f>
        <v>0</v>
      </c>
      <c r="Q90">
        <f>IF(D90=1,-P90*N('Исходные данные'!$B$50),0)</f>
        <v>0</v>
      </c>
      <c r="R90">
        <f t="shared" si="41"/>
        <v>0</v>
      </c>
      <c r="S90">
        <f>IF(OR(D90&lt;&gt;1,B90="",'Исходные данные'!$B$91="",N('Исходные данные'!$B$80)&lt;=0,'Исходные данные'!$B$88=""),0,IF(AND(YEAR(B90)=YEAR('Исходные данные'!$B$91),MONTH(B90)=MONTH('Исходные данные'!$B$91)),MAX(0,IF('Исходные данные'!$B$88="Последние 12 месяцев",SUMIFS($L$2:$L$194,$B$2:$B$194,"&gt;="&amp;EDATE(B90,-11),$B$2:$B$194,"&lt;="&amp;B90),IF('Исходные данные'!$B$88="Пользовательский NOI",N('Исходные данные'!$B$89),R90))/N('Исходные данные'!$B$80)*(1+N('Исходные данные'!$B$81))),0))</f>
        <v>0</v>
      </c>
      <c r="T90">
        <f>-S90*N('Исходные данные'!$B$73)</f>
        <v>0</v>
      </c>
      <c r="U90">
        <f>IF(S90=0,0,-N('Исходные данные'!$B$87)-IF('Исходные данные'!$B$82="Да",IF('Исходные данные'!$B$84="С выручки",S90,IF('Исходные данные'!$B$84="С прибыли",MAX(0,S90+T90-IF('Исходные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90">
        <f t="shared" si="42"/>
        <v>0</v>
      </c>
      <c r="W90">
        <f>IF(D90=1,Расчёты!AZ90+K90+N90+Q90+V90,0)</f>
        <v>0</v>
      </c>
      <c r="X90" t="str">
        <f t="shared" si="52"/>
        <v/>
      </c>
      <c r="Y90">
        <f>IF(OR(D90=0,'Исходные данные'!$B$9="",'Исходные данные'!$B$90=""),0,W90/(1+'Исходные данные'!$B$90)^((C90-'Исходные данные'!$B$9)/365))</f>
        <v>0</v>
      </c>
      <c r="Z90">
        <f>IF(D90=1,K90+Расчёты!O90+Расчёты!Q90+Расчёты!S90+Расчёты!U90+Расчёты!W90+Расчёты!X90+N90+Q90,0)</f>
        <v>0</v>
      </c>
      <c r="AA90">
        <f>IF(AND(D90=1,X90&gt;=0,X89&lt;0,MIN($X$2:X90)&lt;0),1,0)</f>
        <v>0</v>
      </c>
      <c r="AB90">
        <f>IF(Расчёты!F90=0,0,IF(Расчёты!G90=1,N('Сценарный анализ'!$C$5),IF(Расчёты!G90=2,N('Сценарный анализ'!$C$6),IF(Расчёты!G90=3,N('Сценарный анализ'!$C$7),N('Сценарный анализ'!$C$7)*(1+N('Сценарный анализ'!$C$8))^(Расчёты!G90-3)))))</f>
        <v>0</v>
      </c>
      <c r="AC90">
        <f>IF(OR(Расчёты!F90=0,N('Исходные данные'!$B$5)=0,AB90=0),0,N('Исходные данные'!$B$5)*AB90*IF(AND(B90&lt;='Исходные данные'!$B$30,Расчёты!C90&gt;='Исходные данные'!$B$30),(Расчёты!C90-'Исходные данные'!$B$30+1)/DAY(Расчёты!C90),1))</f>
        <v>0</v>
      </c>
      <c r="AD90">
        <f>IF(AND(Расчёты!F90&gt;0,Расчёты!F90&lt;=N('Исходные данные'!$B$37)),-AC90,0)</f>
        <v>0</v>
      </c>
      <c r="AE90">
        <f>IF(OR(Расчёты!F90=0,Расчёты!F90&lt;=N('Исходные данные'!$B$37)),0,-(AC90+AD90)*N('Сценарный анализ'!$C$9))</f>
        <v>0</v>
      </c>
      <c r="AF90">
        <f t="shared" si="43"/>
        <v>0</v>
      </c>
      <c r="AG90">
        <f>IF('Исходные данные'!$B$51="Да",AF90*N('Исходные данные'!$B$52),0)</f>
        <v>0</v>
      </c>
      <c r="AH90">
        <f t="shared" si="44"/>
        <v>0</v>
      </c>
      <c r="AI90">
        <f>AF90+(Расчёты!Y90-Расчёты!L90)</f>
        <v>0</v>
      </c>
      <c r="AJ90">
        <f t="shared" si="53"/>
        <v>0</v>
      </c>
      <c r="AK90">
        <f>IF('Исходные данные'!$B$51="Да",-MAX(0,AG90+Расчёты!R90+Расчёты!V90-Расчёты!P90-Расчёты!T90-AJ90),0)</f>
        <v>0</v>
      </c>
      <c r="AL90">
        <f>IF('Исходные данные'!$B$51="Да",MAX(0,AJ90+Расчёты!P90+Расчёты!T90-AG90-Расчёты!R90-Расчёты!V90),0)</f>
        <v>0</v>
      </c>
      <c r="AM90">
        <f>IF('Исходные данные'!$B$53="Выручка",MAX(0,AF90+(Расчёты!Q90-Расчёты!R90)+(Расчёты!U90-Расчёты!V90)),IF('Исходные данные'!$B$53="Прибыль до налога",MAX(0,AF90+(Расчёты!Q90-Расчёты!R90)+(Расчёты!U90-Расчёты!V90)+N('Исходные данные'!$B$54)*((Расчёты!O90+Расчёты!P90)+(Расчёты!S90+Расчёты!T90)+Расчёты!W90+Расчёты!X90)+IF('Исходные данные'!$B$55="Да",Расчёты!AG90,0)-N('Исходные данные'!$B$56)/12),IF('Исходные данные'!$B$53="Пользовательская база",MAX(0,N('Исходные данные'!$B$57)/12),0)))</f>
        <v>0</v>
      </c>
      <c r="AN90">
        <f>IF(D90=1,-AM90*N('Исходные данные'!$B$50),0)</f>
        <v>0</v>
      </c>
      <c r="AO90">
        <f t="shared" si="45"/>
        <v>0</v>
      </c>
      <c r="AP90">
        <f>IF(OR(D90&lt;&gt;1,B90="",'Исходные данные'!$B$91="",N('Исходные данные'!$B$80)&lt;=0,'Исходные данные'!$B$88=""),0,IF(AND(YEAR(B90)=YEAR('Исходные данные'!$B$91),MONTH(B90)=MONTH('Исходные данные'!$B$91)),MAX(0,IF('Исходные данные'!$B$88="Последние 12 месяцев",SUMIFS($AI$2:$AI$194,$B$2:$B$194,"&gt;="&amp;EDATE(B90,-11),$B$2:$B$194,"&lt;="&amp;B90),IF('Исходные данные'!$B$88="Пользовательский NOI",N('Исходные данные'!$B$89),AO90))/N('Исходные данные'!$B$80)*(1+N('Исходные данные'!$B$81))),0))</f>
        <v>0</v>
      </c>
      <c r="AQ90">
        <f>-AP90*N('Исходные данные'!$B$73)</f>
        <v>0</v>
      </c>
      <c r="AR90">
        <f>IF(AP90=0,0,-N('Исходные данные'!$B$87)-IF('Исходные данные'!$B$82="Да",IF('Исходные данные'!$B$84="С выручки",AP90,IF('Исходные данные'!$B$84="С прибыли",MAX(0,AP90+AQ90-IF('Исходные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90">
        <f t="shared" si="46"/>
        <v>0</v>
      </c>
      <c r="AT90">
        <f>IF(D90=1,Расчёты!AZ90+AH90+AK90+AN90+AS90,0)</f>
        <v>0</v>
      </c>
      <c r="AU90" t="str">
        <f t="shared" si="54"/>
        <v/>
      </c>
      <c r="AV90">
        <f>IF(OR(D90=0,'Исходные данные'!$B$9="",'Исходные данные'!$B$90=""),0,AT90/(1+'Исходные данные'!$B$90)^((C90-'Исходные данные'!$B$9)/365))</f>
        <v>0</v>
      </c>
      <c r="AW90">
        <f>IF(D90=1,AH90+Расчёты!O90+Расчёты!Q90+Расчёты!S90+Расчёты!U90+Расчёты!W90+Расчёты!X90+AK90+AN90,0)</f>
        <v>0</v>
      </c>
      <c r="AX90">
        <f>IF(AND(D90=1,AU90&gt;=0,AU89&lt;0,MIN($AU$2:AU90)&lt;0),1,0)</f>
        <v>0</v>
      </c>
      <c r="AY90">
        <f>IF(Расчёты!F90=0,0,IF(Расчёты!G90=1,N('Сценарный анализ'!$D$5),IF(Расчёты!G90=2,N('Сценарный анализ'!$D$6),IF(Расчёты!G90=3,N('Сценарный анализ'!$D$7),N('Сценарный анализ'!$D$7)*(1+N('Сценарный анализ'!$D$8))^(Расчёты!G90-3)))))</f>
        <v>0</v>
      </c>
      <c r="AZ90">
        <f>IF(OR(Расчёты!F90=0,N('Исходные данные'!$B$5)=0,AY90=0),0,N('Исходные данные'!$B$5)*AY90*IF(AND(B90&lt;='Исходные данные'!$B$30,Расчёты!C90&gt;='Исходные данные'!$B$30),(Расчёты!C90-'Исходные данные'!$B$30+1)/DAY(Расчёты!C90),1))</f>
        <v>0</v>
      </c>
      <c r="BA90">
        <f>IF(AND(Расчёты!F90&gt;0,Расчёты!F90&lt;=N('Исходные данные'!$B$37)),-AZ90,0)</f>
        <v>0</v>
      </c>
      <c r="BB90">
        <f>IF(OR(Расчёты!F90=0,Расчёты!F90&lt;=N('Исходные данные'!$B$37)),0,-(AZ90+BA90)*N('Сценарный анализ'!$D$9))</f>
        <v>0</v>
      </c>
      <c r="BC90">
        <f t="shared" si="47"/>
        <v>0</v>
      </c>
      <c r="BD90">
        <f>IF('Исходные данные'!$B$51="Да",BC90*N('Исходные данные'!$B$52),0)</f>
        <v>0</v>
      </c>
      <c r="BE90">
        <f t="shared" si="48"/>
        <v>0</v>
      </c>
      <c r="BF90">
        <f>BC90+(Расчёты!Y90-Расчёты!L90)</f>
        <v>0</v>
      </c>
      <c r="BG90">
        <f t="shared" si="55"/>
        <v>0</v>
      </c>
      <c r="BH90">
        <f>IF('Исходные данные'!$B$51="Да",-MAX(0,BD90+Расчёты!R90+Расчёты!V90-Расчёты!P90-Расчёты!T90-BG90),0)</f>
        <v>0</v>
      </c>
      <c r="BI90">
        <f>IF('Исходные данные'!$B$51="Да",MAX(0,BG90+Расчёты!P90+Расчёты!T90-BD90-Расчёты!R90-Расчёты!V90),0)</f>
        <v>0</v>
      </c>
      <c r="BJ90">
        <f>IF('Исходные данные'!$B$53="Выручка",MAX(0,BC90+(Расчёты!Q90-Расчёты!R90)+(Расчёты!U90-Расчёты!V90)),IF('Исходные данные'!$B$53="Прибыль до налога",MAX(0,BC90+(Расчёты!Q90-Расчёты!R90)+(Расчёты!U90-Расчёты!V90)+N('Исходные данные'!$B$54)*((Расчёты!O90+Расчёты!P90)+(Расчёты!S90+Расчёты!T90)+Расчёты!W90+Расчёты!X90)+IF('Исходные данные'!$B$55="Да",Расчёты!AG90,0)-N('Исходные данные'!$B$56)/12),IF('Исходные данные'!$B$53="Пользовательская база",MAX(0,N('Исходные данные'!$B$57)/12),0)))</f>
        <v>0</v>
      </c>
      <c r="BK90">
        <f>IF(D90=1,-BJ90*N('Исходные данные'!$B$50),0)</f>
        <v>0</v>
      </c>
      <c r="BL90">
        <f t="shared" si="49"/>
        <v>0</v>
      </c>
      <c r="BM90">
        <f>IF(OR(D90&lt;&gt;1,B90="",'Исходные данные'!$B$91="",N('Исходные данные'!$B$80)&lt;=0,'Исходные данные'!$B$88=""),0,IF(AND(YEAR(B90)=YEAR('Исходные данные'!$B$91),MONTH(B90)=MONTH('Исходные данные'!$B$91)),MAX(0,IF('Исходные данные'!$B$88="Последние 12 месяцев",SUMIFS($BF$2:$BF$194,$B$2:$B$194,"&gt;="&amp;EDATE(B90,-11),$B$2:$B$194,"&lt;="&amp;B90),IF('Исходные данные'!$B$88="Пользовательский NOI",N('Исходные данные'!$B$89),BL90))/N('Исходные данные'!$B$80)*(1+N('Исходные данные'!$B$81))),0))</f>
        <v>0</v>
      </c>
      <c r="BN90">
        <f>-BM90*N('Исходные данные'!$B$73)</f>
        <v>0</v>
      </c>
      <c r="BO90">
        <f>IF(BM90=0,0,-N('Исходные данные'!$B$87)-IF('Исходные данные'!$B$82="Да",IF('Исходные данные'!$B$84="С выручки",BM90,IF('Исходные данные'!$B$84="С прибыли",MAX(0,BM90+BN90-IF('Исходные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90">
        <f t="shared" si="50"/>
        <v>0</v>
      </c>
      <c r="BQ90">
        <f>IF(D90=1,Расчёты!AZ90+BE90+BH90+BK90+BP90,0)</f>
        <v>0</v>
      </c>
      <c r="BR90" t="str">
        <f t="shared" si="56"/>
        <v/>
      </c>
      <c r="BS90">
        <f>IF(OR(D90=0,'Исходные данные'!$B$9="",'Исходные данные'!$B$90=""),0,BQ90/(1+'Исходные данные'!$B$90)^((C90-'Исходные данные'!$B$9)/365))</f>
        <v>0</v>
      </c>
      <c r="BT90">
        <f>IF(D90=1,BE90+Расчёты!O90+Расчёты!Q90+Расчёты!S90+Расчёты!U90+Расчёты!W90+Расчёты!X90+BH90+BK90,0)</f>
        <v>0</v>
      </c>
      <c r="BU90">
        <f>IF(AND(D90=1,BR90&gt;=0,BR89&lt;0,MIN($BR$2:BR90)&lt;0),1,0)</f>
        <v>0</v>
      </c>
      <c r="BV90">
        <f>Расчёты!AZ90+K90+N90-P90*N('Исходные данные'!$B$50)</f>
        <v>0</v>
      </c>
      <c r="BW90">
        <f t="shared" si="57"/>
        <v>0</v>
      </c>
      <c r="BX90">
        <f>IF(AND(BW90&gt;=0,BW89&lt;0,MIN($BW$2:BW90)&lt;0),1,0)</f>
        <v>0</v>
      </c>
      <c r="BY90">
        <f>Расчёты!AZ90+AH90+AK90-AM90*N('Исходные данные'!$B$50)</f>
        <v>0</v>
      </c>
      <c r="BZ90">
        <f t="shared" si="58"/>
        <v>0</v>
      </c>
      <c r="CA90">
        <f>IF(AND(BZ90&gt;=0,BZ89&lt;0,MIN($BZ$2:BZ90)&lt;0),1,0)</f>
        <v>0</v>
      </c>
      <c r="CB90">
        <f>Расчёты!AZ90+BE90+BH90-BJ90*N('Исходные данные'!$B$50)</f>
        <v>0</v>
      </c>
      <c r="CC90">
        <f t="shared" si="59"/>
        <v>0</v>
      </c>
      <c r="CD90">
        <f>IF(AND(CC90&gt;=0,CC89&lt;0,MIN($CC$2:CC90)&lt;0),1,0)</f>
        <v>0</v>
      </c>
    </row>
    <row r="91" spans="1:82" x14ac:dyDescent="0.2">
      <c r="A91">
        <f>Расчёты!A91</f>
        <v>90</v>
      </c>
      <c r="B91" t="str">
        <f>Расчёты!B91</f>
        <v/>
      </c>
      <c r="C91" t="str">
        <f>Расчёты!D91</f>
        <v/>
      </c>
      <c r="D91">
        <f>Расчёты!E91</f>
        <v>0</v>
      </c>
      <c r="E91">
        <f>IF(Расчёты!F91=0,0,IF(Расчёты!G91=1,N('Сценарный анализ'!$B$5),IF(Расчёты!G91=2,N('Сценарный анализ'!$B$6),IF(Расчёты!G91=3,N('Сценарный анализ'!$B$7),N('Сценарный анализ'!$B$7)*(1+N('Сценарный анализ'!$B$8))^(Расчёты!G91-3)))))</f>
        <v>0</v>
      </c>
      <c r="F91">
        <f>IF(OR(Расчёты!F91=0,N('Исходные данные'!$B$5)=0,E91=0),0,N('Исходные данные'!$B$5)*E91*IF(AND(B91&lt;='Исходные данные'!$B$30,Расчёты!C91&gt;='Исходные данные'!$B$30),(Расчёты!C91-'Исходные данные'!$B$30+1)/DAY(Расчёты!C91),1))</f>
        <v>0</v>
      </c>
      <c r="G91">
        <f>IF(AND(Расчёты!F91&gt;0,Расчёты!F91&lt;=N('Исходные данные'!$B$37)),-F91,0)</f>
        <v>0</v>
      </c>
      <c r="H91">
        <f>IF(OR(Расчёты!F91=0,Расчёты!F91&lt;=N('Исходные данные'!$B$37)),0,-(F91+G91)*N('Сценарный анализ'!$B$9))</f>
        <v>0</v>
      </c>
      <c r="I91">
        <f t="shared" si="39"/>
        <v>0</v>
      </c>
      <c r="J91">
        <f>IF('Исходные данные'!$B$51="Да",I91*N('Исходные данные'!$B$52),0)</f>
        <v>0</v>
      </c>
      <c r="K91">
        <f t="shared" si="40"/>
        <v>0</v>
      </c>
      <c r="L91">
        <f>I91+(Расчёты!Y91-Расчёты!L91)</f>
        <v>0</v>
      </c>
      <c r="M91">
        <f t="shared" si="51"/>
        <v>0</v>
      </c>
      <c r="N91">
        <f>IF('Исходные данные'!$B$51="Да",-MAX(0,J91+Расчёты!R91+Расчёты!V91-Расчёты!P91-Расчёты!T91-M91),0)</f>
        <v>0</v>
      </c>
      <c r="O91">
        <f>IF('Исходные данные'!$B$51="Да",MAX(0,M91+Расчёты!P91+Расчёты!T91-J91-Расчёты!R91-Расчёты!V91),0)</f>
        <v>0</v>
      </c>
      <c r="P91">
        <f>IF('Исходные данные'!$B$53="Выручка",MAX(0,I91+(Расчёты!Q91-Расчёты!R91)+(Расчёты!U91-Расчёты!V91)),IF('Исходные данные'!$B$53="Прибыль до налога",MAX(0,I91+(Расчёты!Q91-Расчёты!R91)+(Расчёты!U91-Расчёты!V91)+N('Исходные данные'!$B$54)*((Расчёты!O91+Расчёты!P91)+(Расчёты!S91+Расчёты!T91)+Расчёты!W91+Расчёты!X91)+IF('Исходные данные'!$B$55="Да",Расчёты!AG91,0)-N('Исходные данные'!$B$56)/12),IF('Исходные данные'!$B$53="Пользовательская база",MAX(0,N('Исходные данные'!$B$57)/12),0)))</f>
        <v>0</v>
      </c>
      <c r="Q91">
        <f>IF(D91=1,-P91*N('Исходные данные'!$B$50),0)</f>
        <v>0</v>
      </c>
      <c r="R91">
        <f t="shared" si="41"/>
        <v>0</v>
      </c>
      <c r="S91">
        <f>IF(OR(D91&lt;&gt;1,B91="",'Исходные данные'!$B$91="",N('Исходные данные'!$B$80)&lt;=0,'Исходные данные'!$B$88=""),0,IF(AND(YEAR(B91)=YEAR('Исходные данные'!$B$91),MONTH(B91)=MONTH('Исходные данные'!$B$91)),MAX(0,IF('Исходные данные'!$B$88="Последние 12 месяцев",SUMIFS($L$2:$L$194,$B$2:$B$194,"&gt;="&amp;EDATE(B91,-11),$B$2:$B$194,"&lt;="&amp;B91),IF('Исходные данные'!$B$88="Пользовательский NOI",N('Исходные данные'!$B$89),R91))/N('Исходные данные'!$B$80)*(1+N('Исходные данные'!$B$81))),0))</f>
        <v>0</v>
      </c>
      <c r="T91">
        <f>-S91*N('Исходные данные'!$B$73)</f>
        <v>0</v>
      </c>
      <c r="U91">
        <f>IF(S91=0,0,-N('Исходные данные'!$B$87)-IF('Исходные данные'!$B$82="Да",IF('Исходные данные'!$B$84="С выручки",S91,IF('Исходные данные'!$B$84="С прибыли",MAX(0,S91+T91-IF('Исходные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91">
        <f t="shared" si="42"/>
        <v>0</v>
      </c>
      <c r="W91">
        <f>IF(D91=1,Расчёты!AZ91+K91+N91+Q91+V91,0)</f>
        <v>0</v>
      </c>
      <c r="X91" t="str">
        <f t="shared" si="52"/>
        <v/>
      </c>
      <c r="Y91">
        <f>IF(OR(D91=0,'Исходные данные'!$B$9="",'Исходные данные'!$B$90=""),0,W91/(1+'Исходные данные'!$B$90)^((C91-'Исходные данные'!$B$9)/365))</f>
        <v>0</v>
      </c>
      <c r="Z91">
        <f>IF(D91=1,K91+Расчёты!O91+Расчёты!Q91+Расчёты!S91+Расчёты!U91+Расчёты!W91+Расчёты!X91+N91+Q91,0)</f>
        <v>0</v>
      </c>
      <c r="AA91">
        <f>IF(AND(D91=1,X91&gt;=0,X90&lt;0,MIN($X$2:X91)&lt;0),1,0)</f>
        <v>0</v>
      </c>
      <c r="AB91">
        <f>IF(Расчёты!F91=0,0,IF(Расчёты!G91=1,N('Сценарный анализ'!$C$5),IF(Расчёты!G91=2,N('Сценарный анализ'!$C$6),IF(Расчёты!G91=3,N('Сценарный анализ'!$C$7),N('Сценарный анализ'!$C$7)*(1+N('Сценарный анализ'!$C$8))^(Расчёты!G91-3)))))</f>
        <v>0</v>
      </c>
      <c r="AC91">
        <f>IF(OR(Расчёты!F91=0,N('Исходные данные'!$B$5)=0,AB91=0),0,N('Исходные данные'!$B$5)*AB91*IF(AND(B91&lt;='Исходные данные'!$B$30,Расчёты!C91&gt;='Исходные данные'!$B$30),(Расчёты!C91-'Исходные данные'!$B$30+1)/DAY(Расчёты!C91),1))</f>
        <v>0</v>
      </c>
      <c r="AD91">
        <f>IF(AND(Расчёты!F91&gt;0,Расчёты!F91&lt;=N('Исходные данные'!$B$37)),-AC91,0)</f>
        <v>0</v>
      </c>
      <c r="AE91">
        <f>IF(OR(Расчёты!F91=0,Расчёты!F91&lt;=N('Исходные данные'!$B$37)),0,-(AC91+AD91)*N('Сценарный анализ'!$C$9))</f>
        <v>0</v>
      </c>
      <c r="AF91">
        <f t="shared" si="43"/>
        <v>0</v>
      </c>
      <c r="AG91">
        <f>IF('Исходные данные'!$B$51="Да",AF91*N('Исходные данные'!$B$52),0)</f>
        <v>0</v>
      </c>
      <c r="AH91">
        <f t="shared" si="44"/>
        <v>0</v>
      </c>
      <c r="AI91">
        <f>AF91+(Расчёты!Y91-Расчёты!L91)</f>
        <v>0</v>
      </c>
      <c r="AJ91">
        <f t="shared" si="53"/>
        <v>0</v>
      </c>
      <c r="AK91">
        <f>IF('Исходные данные'!$B$51="Да",-MAX(0,AG91+Расчёты!R91+Расчёты!V91-Расчёты!P91-Расчёты!T91-AJ91),0)</f>
        <v>0</v>
      </c>
      <c r="AL91">
        <f>IF('Исходные данные'!$B$51="Да",MAX(0,AJ91+Расчёты!P91+Расчёты!T91-AG91-Расчёты!R91-Расчёты!V91),0)</f>
        <v>0</v>
      </c>
      <c r="AM91">
        <f>IF('Исходные данные'!$B$53="Выручка",MAX(0,AF91+(Расчёты!Q91-Расчёты!R91)+(Расчёты!U91-Расчёты!V91)),IF('Исходные данные'!$B$53="Прибыль до налога",MAX(0,AF91+(Расчёты!Q91-Расчёты!R91)+(Расчёты!U91-Расчёты!V91)+N('Исходные данные'!$B$54)*((Расчёты!O91+Расчёты!P91)+(Расчёты!S91+Расчёты!T91)+Расчёты!W91+Расчёты!X91)+IF('Исходные данные'!$B$55="Да",Расчёты!AG91,0)-N('Исходные данные'!$B$56)/12),IF('Исходные данные'!$B$53="Пользовательская база",MAX(0,N('Исходные данные'!$B$57)/12),0)))</f>
        <v>0</v>
      </c>
      <c r="AN91">
        <f>IF(D91=1,-AM91*N('Исходные данные'!$B$50),0)</f>
        <v>0</v>
      </c>
      <c r="AO91">
        <f t="shared" si="45"/>
        <v>0</v>
      </c>
      <c r="AP91">
        <f>IF(OR(D91&lt;&gt;1,B91="",'Исходные данные'!$B$91="",N('Исходные данные'!$B$80)&lt;=0,'Исходные данные'!$B$88=""),0,IF(AND(YEAR(B91)=YEAR('Исходные данные'!$B$91),MONTH(B91)=MONTH('Исходные данные'!$B$91)),MAX(0,IF('Исходные данные'!$B$88="Последние 12 месяцев",SUMIFS($AI$2:$AI$194,$B$2:$B$194,"&gt;="&amp;EDATE(B91,-11),$B$2:$B$194,"&lt;="&amp;B91),IF('Исходные данные'!$B$88="Пользовательский NOI",N('Исходные данные'!$B$89),AO91))/N('Исходные данные'!$B$80)*(1+N('Исходные данные'!$B$81))),0))</f>
        <v>0</v>
      </c>
      <c r="AQ91">
        <f>-AP91*N('Исходные данные'!$B$73)</f>
        <v>0</v>
      </c>
      <c r="AR91">
        <f>IF(AP91=0,0,-N('Исходные данные'!$B$87)-IF('Исходные данные'!$B$82="Да",IF('Исходные данные'!$B$84="С выручки",AP91,IF('Исходные данные'!$B$84="С прибыли",MAX(0,AP91+AQ91-IF('Исходные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91">
        <f t="shared" si="46"/>
        <v>0</v>
      </c>
      <c r="AT91">
        <f>IF(D91=1,Расчёты!AZ91+AH91+AK91+AN91+AS91,0)</f>
        <v>0</v>
      </c>
      <c r="AU91" t="str">
        <f t="shared" si="54"/>
        <v/>
      </c>
      <c r="AV91">
        <f>IF(OR(D91=0,'Исходные данные'!$B$9="",'Исходные данные'!$B$90=""),0,AT91/(1+'Исходные данные'!$B$90)^((C91-'Исходные данные'!$B$9)/365))</f>
        <v>0</v>
      </c>
      <c r="AW91">
        <f>IF(D91=1,AH91+Расчёты!O91+Расчёты!Q91+Расчёты!S91+Расчёты!U91+Расчёты!W91+Расчёты!X91+AK91+AN91,0)</f>
        <v>0</v>
      </c>
      <c r="AX91">
        <f>IF(AND(D91=1,AU91&gt;=0,AU90&lt;0,MIN($AU$2:AU91)&lt;0),1,0)</f>
        <v>0</v>
      </c>
      <c r="AY91">
        <f>IF(Расчёты!F91=0,0,IF(Расчёты!G91=1,N('Сценарный анализ'!$D$5),IF(Расчёты!G91=2,N('Сценарный анализ'!$D$6),IF(Расчёты!G91=3,N('Сценарный анализ'!$D$7),N('Сценарный анализ'!$D$7)*(1+N('Сценарный анализ'!$D$8))^(Расчёты!G91-3)))))</f>
        <v>0</v>
      </c>
      <c r="AZ91">
        <f>IF(OR(Расчёты!F91=0,N('Исходные данные'!$B$5)=0,AY91=0),0,N('Исходные данные'!$B$5)*AY91*IF(AND(B91&lt;='Исходные данные'!$B$30,Расчёты!C91&gt;='Исходные данные'!$B$30),(Расчёты!C91-'Исходные данные'!$B$30+1)/DAY(Расчёты!C91),1))</f>
        <v>0</v>
      </c>
      <c r="BA91">
        <f>IF(AND(Расчёты!F91&gt;0,Расчёты!F91&lt;=N('Исходные данные'!$B$37)),-AZ91,0)</f>
        <v>0</v>
      </c>
      <c r="BB91">
        <f>IF(OR(Расчёты!F91=0,Расчёты!F91&lt;=N('Исходные данные'!$B$37)),0,-(AZ91+BA91)*N('Сценарный анализ'!$D$9))</f>
        <v>0</v>
      </c>
      <c r="BC91">
        <f t="shared" si="47"/>
        <v>0</v>
      </c>
      <c r="BD91">
        <f>IF('Исходные данные'!$B$51="Да",BC91*N('Исходные данные'!$B$52),0)</f>
        <v>0</v>
      </c>
      <c r="BE91">
        <f t="shared" si="48"/>
        <v>0</v>
      </c>
      <c r="BF91">
        <f>BC91+(Расчёты!Y91-Расчёты!L91)</f>
        <v>0</v>
      </c>
      <c r="BG91">
        <f t="shared" si="55"/>
        <v>0</v>
      </c>
      <c r="BH91">
        <f>IF('Исходные данные'!$B$51="Да",-MAX(0,BD91+Расчёты!R91+Расчёты!V91-Расчёты!P91-Расчёты!T91-BG91),0)</f>
        <v>0</v>
      </c>
      <c r="BI91">
        <f>IF('Исходные данные'!$B$51="Да",MAX(0,BG91+Расчёты!P91+Расчёты!T91-BD91-Расчёты!R91-Расчёты!V91),0)</f>
        <v>0</v>
      </c>
      <c r="BJ91">
        <f>IF('Исходные данные'!$B$53="Выручка",MAX(0,BC91+(Расчёты!Q91-Расчёты!R91)+(Расчёты!U91-Расчёты!V91)),IF('Исходные данные'!$B$53="Прибыль до налога",MAX(0,BC91+(Расчёты!Q91-Расчёты!R91)+(Расчёты!U91-Расчёты!V91)+N('Исходные данные'!$B$54)*((Расчёты!O91+Расчёты!P91)+(Расчёты!S91+Расчёты!T91)+Расчёты!W91+Расчёты!X91)+IF('Исходные данные'!$B$55="Да",Расчёты!AG91,0)-N('Исходные данные'!$B$56)/12),IF('Исходные данные'!$B$53="Пользовательская база",MAX(0,N('Исходные данные'!$B$57)/12),0)))</f>
        <v>0</v>
      </c>
      <c r="BK91">
        <f>IF(D91=1,-BJ91*N('Исходные данные'!$B$50),0)</f>
        <v>0</v>
      </c>
      <c r="BL91">
        <f t="shared" si="49"/>
        <v>0</v>
      </c>
      <c r="BM91">
        <f>IF(OR(D91&lt;&gt;1,B91="",'Исходные данные'!$B$91="",N('Исходные данные'!$B$80)&lt;=0,'Исходные данные'!$B$88=""),0,IF(AND(YEAR(B91)=YEAR('Исходные данные'!$B$91),MONTH(B91)=MONTH('Исходные данные'!$B$91)),MAX(0,IF('Исходные данные'!$B$88="Последние 12 месяцев",SUMIFS($BF$2:$BF$194,$B$2:$B$194,"&gt;="&amp;EDATE(B91,-11),$B$2:$B$194,"&lt;="&amp;B91),IF('Исходные данные'!$B$88="Пользовательский NOI",N('Исходные данные'!$B$89),BL91))/N('Исходные данные'!$B$80)*(1+N('Исходные данные'!$B$81))),0))</f>
        <v>0</v>
      </c>
      <c r="BN91">
        <f>-BM91*N('Исходные данные'!$B$73)</f>
        <v>0</v>
      </c>
      <c r="BO91">
        <f>IF(BM91=0,0,-N('Исходные данные'!$B$87)-IF('Исходные данные'!$B$82="Да",IF('Исходные данные'!$B$84="С выручки",BM91,IF('Исходные данные'!$B$84="С прибыли",MAX(0,BM91+BN91-IF('Исходные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91">
        <f t="shared" si="50"/>
        <v>0</v>
      </c>
      <c r="BQ91">
        <f>IF(D91=1,Расчёты!AZ91+BE91+BH91+BK91+BP91,0)</f>
        <v>0</v>
      </c>
      <c r="BR91" t="str">
        <f t="shared" si="56"/>
        <v/>
      </c>
      <c r="BS91">
        <f>IF(OR(D91=0,'Исходные данные'!$B$9="",'Исходные данные'!$B$90=""),0,BQ91/(1+'Исходные данные'!$B$90)^((C91-'Исходные данные'!$B$9)/365))</f>
        <v>0</v>
      </c>
      <c r="BT91">
        <f>IF(D91=1,BE91+Расчёты!O91+Расчёты!Q91+Расчёты!S91+Расчёты!U91+Расчёты!W91+Расчёты!X91+BH91+BK91,0)</f>
        <v>0</v>
      </c>
      <c r="BU91">
        <f>IF(AND(D91=1,BR91&gt;=0,BR90&lt;0,MIN($BR$2:BR91)&lt;0),1,0)</f>
        <v>0</v>
      </c>
      <c r="BV91">
        <f>Расчёты!AZ91+K91+N91-P91*N('Исходные данные'!$B$50)</f>
        <v>0</v>
      </c>
      <c r="BW91">
        <f t="shared" si="57"/>
        <v>0</v>
      </c>
      <c r="BX91">
        <f>IF(AND(BW91&gt;=0,BW90&lt;0,MIN($BW$2:BW91)&lt;0),1,0)</f>
        <v>0</v>
      </c>
      <c r="BY91">
        <f>Расчёты!AZ91+AH91+AK91-AM91*N('Исходные данные'!$B$50)</f>
        <v>0</v>
      </c>
      <c r="BZ91">
        <f t="shared" si="58"/>
        <v>0</v>
      </c>
      <c r="CA91">
        <f>IF(AND(BZ91&gt;=0,BZ90&lt;0,MIN($BZ$2:BZ91)&lt;0),1,0)</f>
        <v>0</v>
      </c>
      <c r="CB91">
        <f>Расчёты!AZ91+BE91+BH91-BJ91*N('Исходные данные'!$B$50)</f>
        <v>0</v>
      </c>
      <c r="CC91">
        <f t="shared" si="59"/>
        <v>0</v>
      </c>
      <c r="CD91">
        <f>IF(AND(CC91&gt;=0,CC90&lt;0,MIN($CC$2:CC91)&lt;0),1,0)</f>
        <v>0</v>
      </c>
    </row>
    <row r="92" spans="1:82" x14ac:dyDescent="0.2">
      <c r="A92">
        <f>Расчёты!A92</f>
        <v>91</v>
      </c>
      <c r="B92" t="str">
        <f>Расчёты!B92</f>
        <v/>
      </c>
      <c r="C92" t="str">
        <f>Расчёты!D92</f>
        <v/>
      </c>
      <c r="D92">
        <f>Расчёты!E92</f>
        <v>0</v>
      </c>
      <c r="E92">
        <f>IF(Расчёты!F92=0,0,IF(Расчёты!G92=1,N('Сценарный анализ'!$B$5),IF(Расчёты!G92=2,N('Сценарный анализ'!$B$6),IF(Расчёты!G92=3,N('Сценарный анализ'!$B$7),N('Сценарный анализ'!$B$7)*(1+N('Сценарный анализ'!$B$8))^(Расчёты!G92-3)))))</f>
        <v>0</v>
      </c>
      <c r="F92">
        <f>IF(OR(Расчёты!F92=0,N('Исходные данные'!$B$5)=0,E92=0),0,N('Исходные данные'!$B$5)*E92*IF(AND(B92&lt;='Исходные данные'!$B$30,Расчёты!C92&gt;='Исходные данные'!$B$30),(Расчёты!C92-'Исходные данные'!$B$30+1)/DAY(Расчёты!C92),1))</f>
        <v>0</v>
      </c>
      <c r="G92">
        <f>IF(AND(Расчёты!F92&gt;0,Расчёты!F92&lt;=N('Исходные данные'!$B$37)),-F92,0)</f>
        <v>0</v>
      </c>
      <c r="H92">
        <f>IF(OR(Расчёты!F92=0,Расчёты!F92&lt;=N('Исходные данные'!$B$37)),0,-(F92+G92)*N('Сценарный анализ'!$B$9))</f>
        <v>0</v>
      </c>
      <c r="I92">
        <f t="shared" si="39"/>
        <v>0</v>
      </c>
      <c r="J92">
        <f>IF('Исходные данные'!$B$51="Да",I92*N('Исходные данные'!$B$52),0)</f>
        <v>0</v>
      </c>
      <c r="K92">
        <f t="shared" si="40"/>
        <v>0</v>
      </c>
      <c r="L92">
        <f>I92+(Расчёты!Y92-Расчёты!L92)</f>
        <v>0</v>
      </c>
      <c r="M92">
        <f t="shared" si="51"/>
        <v>0</v>
      </c>
      <c r="N92">
        <f>IF('Исходные данные'!$B$51="Да",-MAX(0,J92+Расчёты!R92+Расчёты!V92-Расчёты!P92-Расчёты!T92-M92),0)</f>
        <v>0</v>
      </c>
      <c r="O92">
        <f>IF('Исходные данные'!$B$51="Да",MAX(0,M92+Расчёты!P92+Расчёты!T92-J92-Расчёты!R92-Расчёты!V92),0)</f>
        <v>0</v>
      </c>
      <c r="P92">
        <f>IF('Исходные данные'!$B$53="Выручка",MAX(0,I92+(Расчёты!Q92-Расчёты!R92)+(Расчёты!U92-Расчёты!V92)),IF('Исходные данные'!$B$53="Прибыль до налога",MAX(0,I92+(Расчёты!Q92-Расчёты!R92)+(Расчёты!U92-Расчёты!V92)+N('Исходные данные'!$B$54)*((Расчёты!O92+Расчёты!P92)+(Расчёты!S92+Расчёты!T92)+Расчёты!W92+Расчёты!X92)+IF('Исходные данные'!$B$55="Да",Расчёты!AG92,0)-N('Исходные данные'!$B$56)/12),IF('Исходные данные'!$B$53="Пользовательская база",MAX(0,N('Исходные данные'!$B$57)/12),0)))</f>
        <v>0</v>
      </c>
      <c r="Q92">
        <f>IF(D92=1,-P92*N('Исходные данные'!$B$50),0)</f>
        <v>0</v>
      </c>
      <c r="R92">
        <f t="shared" si="41"/>
        <v>0</v>
      </c>
      <c r="S92">
        <f>IF(OR(D92&lt;&gt;1,B92="",'Исходные данные'!$B$91="",N('Исходные данные'!$B$80)&lt;=0,'Исходные данные'!$B$88=""),0,IF(AND(YEAR(B92)=YEAR('Исходные данные'!$B$91),MONTH(B92)=MONTH('Исходные данные'!$B$91)),MAX(0,IF('Исходные данные'!$B$88="Последние 12 месяцев",SUMIFS($L$2:$L$194,$B$2:$B$194,"&gt;="&amp;EDATE(B92,-11),$B$2:$B$194,"&lt;="&amp;B92),IF('Исходные данные'!$B$88="Пользовательский NOI",N('Исходные данные'!$B$89),R92))/N('Исходные данные'!$B$80)*(1+N('Исходные данные'!$B$81))),0))</f>
        <v>0</v>
      </c>
      <c r="T92">
        <f>-S92*N('Исходные данные'!$B$73)</f>
        <v>0</v>
      </c>
      <c r="U92">
        <f>IF(S92=0,0,-N('Исходные данные'!$B$87)-IF('Исходные данные'!$B$82="Да",IF('Исходные данные'!$B$84="С выручки",S92,IF('Исходные данные'!$B$84="С прибыли",MAX(0,S92+T92-IF('Исходные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92">
        <f t="shared" si="42"/>
        <v>0</v>
      </c>
      <c r="W92">
        <f>IF(D92=1,Расчёты!AZ92+K92+N92+Q92+V92,0)</f>
        <v>0</v>
      </c>
      <c r="X92" t="str">
        <f t="shared" si="52"/>
        <v/>
      </c>
      <c r="Y92">
        <f>IF(OR(D92=0,'Исходные данные'!$B$9="",'Исходные данные'!$B$90=""),0,W92/(1+'Исходные данные'!$B$90)^((C92-'Исходные данные'!$B$9)/365))</f>
        <v>0</v>
      </c>
      <c r="Z92">
        <f>IF(D92=1,K92+Расчёты!O92+Расчёты!Q92+Расчёты!S92+Расчёты!U92+Расчёты!W92+Расчёты!X92+N92+Q92,0)</f>
        <v>0</v>
      </c>
      <c r="AA92">
        <f>IF(AND(D92=1,X92&gt;=0,X91&lt;0,MIN($X$2:X92)&lt;0),1,0)</f>
        <v>0</v>
      </c>
      <c r="AB92">
        <f>IF(Расчёты!F92=0,0,IF(Расчёты!G92=1,N('Сценарный анализ'!$C$5),IF(Расчёты!G92=2,N('Сценарный анализ'!$C$6),IF(Расчёты!G92=3,N('Сценарный анализ'!$C$7),N('Сценарный анализ'!$C$7)*(1+N('Сценарный анализ'!$C$8))^(Расчёты!G92-3)))))</f>
        <v>0</v>
      </c>
      <c r="AC92">
        <f>IF(OR(Расчёты!F92=0,N('Исходные данные'!$B$5)=0,AB92=0),0,N('Исходные данные'!$B$5)*AB92*IF(AND(B92&lt;='Исходные данные'!$B$30,Расчёты!C92&gt;='Исходные данные'!$B$30),(Расчёты!C92-'Исходные данные'!$B$30+1)/DAY(Расчёты!C92),1))</f>
        <v>0</v>
      </c>
      <c r="AD92">
        <f>IF(AND(Расчёты!F92&gt;0,Расчёты!F92&lt;=N('Исходные данные'!$B$37)),-AC92,0)</f>
        <v>0</v>
      </c>
      <c r="AE92">
        <f>IF(OR(Расчёты!F92=0,Расчёты!F92&lt;=N('Исходные данные'!$B$37)),0,-(AC92+AD92)*N('Сценарный анализ'!$C$9))</f>
        <v>0</v>
      </c>
      <c r="AF92">
        <f t="shared" si="43"/>
        <v>0</v>
      </c>
      <c r="AG92">
        <f>IF('Исходные данные'!$B$51="Да",AF92*N('Исходные данные'!$B$52),0)</f>
        <v>0</v>
      </c>
      <c r="AH92">
        <f t="shared" si="44"/>
        <v>0</v>
      </c>
      <c r="AI92">
        <f>AF92+(Расчёты!Y92-Расчёты!L92)</f>
        <v>0</v>
      </c>
      <c r="AJ92">
        <f t="shared" si="53"/>
        <v>0</v>
      </c>
      <c r="AK92">
        <f>IF('Исходные данные'!$B$51="Да",-MAX(0,AG92+Расчёты!R92+Расчёты!V92-Расчёты!P92-Расчёты!T92-AJ92),0)</f>
        <v>0</v>
      </c>
      <c r="AL92">
        <f>IF('Исходные данные'!$B$51="Да",MAX(0,AJ92+Расчёты!P92+Расчёты!T92-AG92-Расчёты!R92-Расчёты!V92),0)</f>
        <v>0</v>
      </c>
      <c r="AM92">
        <f>IF('Исходные данные'!$B$53="Выручка",MAX(0,AF92+(Расчёты!Q92-Расчёты!R92)+(Расчёты!U92-Расчёты!V92)),IF('Исходные данные'!$B$53="Прибыль до налога",MAX(0,AF92+(Расчёты!Q92-Расчёты!R92)+(Расчёты!U92-Расчёты!V92)+N('Исходные данные'!$B$54)*((Расчёты!O92+Расчёты!P92)+(Расчёты!S92+Расчёты!T92)+Расчёты!W92+Расчёты!X92)+IF('Исходные данные'!$B$55="Да",Расчёты!AG92,0)-N('Исходные данные'!$B$56)/12),IF('Исходные данные'!$B$53="Пользовательская база",MAX(0,N('Исходные данные'!$B$57)/12),0)))</f>
        <v>0</v>
      </c>
      <c r="AN92">
        <f>IF(D92=1,-AM92*N('Исходные данные'!$B$50),0)</f>
        <v>0</v>
      </c>
      <c r="AO92">
        <f t="shared" si="45"/>
        <v>0</v>
      </c>
      <c r="AP92">
        <f>IF(OR(D92&lt;&gt;1,B92="",'Исходные данные'!$B$91="",N('Исходные данные'!$B$80)&lt;=0,'Исходные данные'!$B$88=""),0,IF(AND(YEAR(B92)=YEAR('Исходные данные'!$B$91),MONTH(B92)=MONTH('Исходные данные'!$B$91)),MAX(0,IF('Исходные данные'!$B$88="Последние 12 месяцев",SUMIFS($AI$2:$AI$194,$B$2:$B$194,"&gt;="&amp;EDATE(B92,-11),$B$2:$B$194,"&lt;="&amp;B92),IF('Исходные данные'!$B$88="Пользовательский NOI",N('Исходные данные'!$B$89),AO92))/N('Исходные данные'!$B$80)*(1+N('Исходные данные'!$B$81))),0))</f>
        <v>0</v>
      </c>
      <c r="AQ92">
        <f>-AP92*N('Исходные данные'!$B$73)</f>
        <v>0</v>
      </c>
      <c r="AR92">
        <f>IF(AP92=0,0,-N('Исходные данные'!$B$87)-IF('Исходные данные'!$B$82="Да",IF('Исходные данные'!$B$84="С выручки",AP92,IF('Исходные данные'!$B$84="С прибыли",MAX(0,AP92+AQ92-IF('Исходные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92">
        <f t="shared" si="46"/>
        <v>0</v>
      </c>
      <c r="AT92">
        <f>IF(D92=1,Расчёты!AZ92+AH92+AK92+AN92+AS92,0)</f>
        <v>0</v>
      </c>
      <c r="AU92" t="str">
        <f t="shared" si="54"/>
        <v/>
      </c>
      <c r="AV92">
        <f>IF(OR(D92=0,'Исходные данные'!$B$9="",'Исходные данные'!$B$90=""),0,AT92/(1+'Исходные данные'!$B$90)^((C92-'Исходные данные'!$B$9)/365))</f>
        <v>0</v>
      </c>
      <c r="AW92">
        <f>IF(D92=1,AH92+Расчёты!O92+Расчёты!Q92+Расчёты!S92+Расчёты!U92+Расчёты!W92+Расчёты!X92+AK92+AN92,0)</f>
        <v>0</v>
      </c>
      <c r="AX92">
        <f>IF(AND(D92=1,AU92&gt;=0,AU91&lt;0,MIN($AU$2:AU92)&lt;0),1,0)</f>
        <v>0</v>
      </c>
      <c r="AY92">
        <f>IF(Расчёты!F92=0,0,IF(Расчёты!G92=1,N('Сценарный анализ'!$D$5),IF(Расчёты!G92=2,N('Сценарный анализ'!$D$6),IF(Расчёты!G92=3,N('Сценарный анализ'!$D$7),N('Сценарный анализ'!$D$7)*(1+N('Сценарный анализ'!$D$8))^(Расчёты!G92-3)))))</f>
        <v>0</v>
      </c>
      <c r="AZ92">
        <f>IF(OR(Расчёты!F92=0,N('Исходные данные'!$B$5)=0,AY92=0),0,N('Исходные данные'!$B$5)*AY92*IF(AND(B92&lt;='Исходные данные'!$B$30,Расчёты!C92&gt;='Исходные данные'!$B$30),(Расчёты!C92-'Исходные данные'!$B$30+1)/DAY(Расчёты!C92),1))</f>
        <v>0</v>
      </c>
      <c r="BA92">
        <f>IF(AND(Расчёты!F92&gt;0,Расчёты!F92&lt;=N('Исходные данные'!$B$37)),-AZ92,0)</f>
        <v>0</v>
      </c>
      <c r="BB92">
        <f>IF(OR(Расчёты!F92=0,Расчёты!F92&lt;=N('Исходные данные'!$B$37)),0,-(AZ92+BA92)*N('Сценарный анализ'!$D$9))</f>
        <v>0</v>
      </c>
      <c r="BC92">
        <f t="shared" si="47"/>
        <v>0</v>
      </c>
      <c r="BD92">
        <f>IF('Исходные данные'!$B$51="Да",BC92*N('Исходные данные'!$B$52),0)</f>
        <v>0</v>
      </c>
      <c r="BE92">
        <f t="shared" si="48"/>
        <v>0</v>
      </c>
      <c r="BF92">
        <f>BC92+(Расчёты!Y92-Расчёты!L92)</f>
        <v>0</v>
      </c>
      <c r="BG92">
        <f t="shared" si="55"/>
        <v>0</v>
      </c>
      <c r="BH92">
        <f>IF('Исходные данные'!$B$51="Да",-MAX(0,BD92+Расчёты!R92+Расчёты!V92-Расчёты!P92-Расчёты!T92-BG92),0)</f>
        <v>0</v>
      </c>
      <c r="BI92">
        <f>IF('Исходные данные'!$B$51="Да",MAX(0,BG92+Расчёты!P92+Расчёты!T92-BD92-Расчёты!R92-Расчёты!V92),0)</f>
        <v>0</v>
      </c>
      <c r="BJ92">
        <f>IF('Исходные данные'!$B$53="Выручка",MAX(0,BC92+(Расчёты!Q92-Расчёты!R92)+(Расчёты!U92-Расчёты!V92)),IF('Исходные данные'!$B$53="Прибыль до налога",MAX(0,BC92+(Расчёты!Q92-Расчёты!R92)+(Расчёты!U92-Расчёты!V92)+N('Исходные данные'!$B$54)*((Расчёты!O92+Расчёты!P92)+(Расчёты!S92+Расчёты!T92)+Расчёты!W92+Расчёты!X92)+IF('Исходные данные'!$B$55="Да",Расчёты!AG92,0)-N('Исходные данные'!$B$56)/12),IF('Исходные данные'!$B$53="Пользовательская база",MAX(0,N('Исходные данные'!$B$57)/12),0)))</f>
        <v>0</v>
      </c>
      <c r="BK92">
        <f>IF(D92=1,-BJ92*N('Исходные данные'!$B$50),0)</f>
        <v>0</v>
      </c>
      <c r="BL92">
        <f t="shared" si="49"/>
        <v>0</v>
      </c>
      <c r="BM92">
        <f>IF(OR(D92&lt;&gt;1,B92="",'Исходные данные'!$B$91="",N('Исходные данные'!$B$80)&lt;=0,'Исходные данные'!$B$88=""),0,IF(AND(YEAR(B92)=YEAR('Исходные данные'!$B$91),MONTH(B92)=MONTH('Исходные данные'!$B$91)),MAX(0,IF('Исходные данные'!$B$88="Последние 12 месяцев",SUMIFS($BF$2:$BF$194,$B$2:$B$194,"&gt;="&amp;EDATE(B92,-11),$B$2:$B$194,"&lt;="&amp;B92),IF('Исходные данные'!$B$88="Пользовательский NOI",N('Исходные данные'!$B$89),BL92))/N('Исходные данные'!$B$80)*(1+N('Исходные данные'!$B$81))),0))</f>
        <v>0</v>
      </c>
      <c r="BN92">
        <f>-BM92*N('Исходные данные'!$B$73)</f>
        <v>0</v>
      </c>
      <c r="BO92">
        <f>IF(BM92=0,0,-N('Исходные данные'!$B$87)-IF('Исходные данные'!$B$82="Да",IF('Исходные данные'!$B$84="С выручки",BM92,IF('Исходные данные'!$B$84="С прибыли",MAX(0,BM92+BN92-IF('Исходные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92">
        <f t="shared" si="50"/>
        <v>0</v>
      </c>
      <c r="BQ92">
        <f>IF(D92=1,Расчёты!AZ92+BE92+BH92+BK92+BP92,0)</f>
        <v>0</v>
      </c>
      <c r="BR92" t="str">
        <f t="shared" si="56"/>
        <v/>
      </c>
      <c r="BS92">
        <f>IF(OR(D92=0,'Исходные данные'!$B$9="",'Исходные данные'!$B$90=""),0,BQ92/(1+'Исходные данные'!$B$90)^((C92-'Исходные данные'!$B$9)/365))</f>
        <v>0</v>
      </c>
      <c r="BT92">
        <f>IF(D92=1,BE92+Расчёты!O92+Расчёты!Q92+Расчёты!S92+Расчёты!U92+Расчёты!W92+Расчёты!X92+BH92+BK92,0)</f>
        <v>0</v>
      </c>
      <c r="BU92">
        <f>IF(AND(D92=1,BR92&gt;=0,BR91&lt;0,MIN($BR$2:BR92)&lt;0),1,0)</f>
        <v>0</v>
      </c>
      <c r="BV92">
        <f>Расчёты!AZ92+K92+N92-P92*N('Исходные данные'!$B$50)</f>
        <v>0</v>
      </c>
      <c r="BW92">
        <f t="shared" si="57"/>
        <v>0</v>
      </c>
      <c r="BX92">
        <f>IF(AND(BW92&gt;=0,BW91&lt;0,MIN($BW$2:BW92)&lt;0),1,0)</f>
        <v>0</v>
      </c>
      <c r="BY92">
        <f>Расчёты!AZ92+AH92+AK92-AM92*N('Исходные данные'!$B$50)</f>
        <v>0</v>
      </c>
      <c r="BZ92">
        <f t="shared" si="58"/>
        <v>0</v>
      </c>
      <c r="CA92">
        <f>IF(AND(BZ92&gt;=0,BZ91&lt;0,MIN($BZ$2:BZ92)&lt;0),1,0)</f>
        <v>0</v>
      </c>
      <c r="CB92">
        <f>Расчёты!AZ92+BE92+BH92-BJ92*N('Исходные данные'!$B$50)</f>
        <v>0</v>
      </c>
      <c r="CC92">
        <f t="shared" si="59"/>
        <v>0</v>
      </c>
      <c r="CD92">
        <f>IF(AND(CC92&gt;=0,CC91&lt;0,MIN($CC$2:CC92)&lt;0),1,0)</f>
        <v>0</v>
      </c>
    </row>
    <row r="93" spans="1:82" x14ac:dyDescent="0.2">
      <c r="A93">
        <f>Расчёты!A93</f>
        <v>92</v>
      </c>
      <c r="B93" t="str">
        <f>Расчёты!B93</f>
        <v/>
      </c>
      <c r="C93" t="str">
        <f>Расчёты!D93</f>
        <v/>
      </c>
      <c r="D93">
        <f>Расчёты!E93</f>
        <v>0</v>
      </c>
      <c r="E93">
        <f>IF(Расчёты!F93=0,0,IF(Расчёты!G93=1,N('Сценарный анализ'!$B$5),IF(Расчёты!G93=2,N('Сценарный анализ'!$B$6),IF(Расчёты!G93=3,N('Сценарный анализ'!$B$7),N('Сценарный анализ'!$B$7)*(1+N('Сценарный анализ'!$B$8))^(Расчёты!G93-3)))))</f>
        <v>0</v>
      </c>
      <c r="F93">
        <f>IF(OR(Расчёты!F93=0,N('Исходные данные'!$B$5)=0,E93=0),0,N('Исходные данные'!$B$5)*E93*IF(AND(B93&lt;='Исходные данные'!$B$30,Расчёты!C93&gt;='Исходные данные'!$B$30),(Расчёты!C93-'Исходные данные'!$B$30+1)/DAY(Расчёты!C93),1))</f>
        <v>0</v>
      </c>
      <c r="G93">
        <f>IF(AND(Расчёты!F93&gt;0,Расчёты!F93&lt;=N('Исходные данные'!$B$37)),-F93,0)</f>
        <v>0</v>
      </c>
      <c r="H93">
        <f>IF(OR(Расчёты!F93=0,Расчёты!F93&lt;=N('Исходные данные'!$B$37)),0,-(F93+G93)*N('Сценарный анализ'!$B$9))</f>
        <v>0</v>
      </c>
      <c r="I93">
        <f t="shared" si="39"/>
        <v>0</v>
      </c>
      <c r="J93">
        <f>IF('Исходные данные'!$B$51="Да",I93*N('Исходные данные'!$B$52),0)</f>
        <v>0</v>
      </c>
      <c r="K93">
        <f t="shared" si="40"/>
        <v>0</v>
      </c>
      <c r="L93">
        <f>I93+(Расчёты!Y93-Расчёты!L93)</f>
        <v>0</v>
      </c>
      <c r="M93">
        <f t="shared" si="51"/>
        <v>0</v>
      </c>
      <c r="N93">
        <f>IF('Исходные данные'!$B$51="Да",-MAX(0,J93+Расчёты!R93+Расчёты!V93-Расчёты!P93-Расчёты!T93-M93),0)</f>
        <v>0</v>
      </c>
      <c r="O93">
        <f>IF('Исходные данные'!$B$51="Да",MAX(0,M93+Расчёты!P93+Расчёты!T93-J93-Расчёты!R93-Расчёты!V93),0)</f>
        <v>0</v>
      </c>
      <c r="P93">
        <f>IF('Исходные данные'!$B$53="Выручка",MAX(0,I93+(Расчёты!Q93-Расчёты!R93)+(Расчёты!U93-Расчёты!V93)),IF('Исходные данные'!$B$53="Прибыль до налога",MAX(0,I93+(Расчёты!Q93-Расчёты!R93)+(Расчёты!U93-Расчёты!V93)+N('Исходные данные'!$B$54)*((Расчёты!O93+Расчёты!P93)+(Расчёты!S93+Расчёты!T93)+Расчёты!W93+Расчёты!X93)+IF('Исходные данные'!$B$55="Да",Расчёты!AG93,0)-N('Исходные данные'!$B$56)/12),IF('Исходные данные'!$B$53="Пользовательская база",MAX(0,N('Исходные данные'!$B$57)/12),0)))</f>
        <v>0</v>
      </c>
      <c r="Q93">
        <f>IF(D93=1,-P93*N('Исходные данные'!$B$50),0)</f>
        <v>0</v>
      </c>
      <c r="R93">
        <f t="shared" si="41"/>
        <v>0</v>
      </c>
      <c r="S93">
        <f>IF(OR(D93&lt;&gt;1,B93="",'Исходные данные'!$B$91="",N('Исходные данные'!$B$80)&lt;=0,'Исходные данные'!$B$88=""),0,IF(AND(YEAR(B93)=YEAR('Исходные данные'!$B$91),MONTH(B93)=MONTH('Исходные данные'!$B$91)),MAX(0,IF('Исходные данные'!$B$88="Последние 12 месяцев",SUMIFS($L$2:$L$194,$B$2:$B$194,"&gt;="&amp;EDATE(B93,-11),$B$2:$B$194,"&lt;="&amp;B93),IF('Исходные данные'!$B$88="Пользовательский NOI",N('Исходные данные'!$B$89),R93))/N('Исходные данные'!$B$80)*(1+N('Исходные данные'!$B$81))),0))</f>
        <v>0</v>
      </c>
      <c r="T93">
        <f>-S93*N('Исходные данные'!$B$73)</f>
        <v>0</v>
      </c>
      <c r="U93">
        <f>IF(S93=0,0,-N('Исходные данные'!$B$87)-IF('Исходные данные'!$B$82="Да",IF('Исходные данные'!$B$84="С выручки",S93,IF('Исходные данные'!$B$84="С прибыли",MAX(0,S93+T93-IF('Исходные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93">
        <f t="shared" si="42"/>
        <v>0</v>
      </c>
      <c r="W93">
        <f>IF(D93=1,Расчёты!AZ93+K93+N93+Q93+V93,0)</f>
        <v>0</v>
      </c>
      <c r="X93" t="str">
        <f t="shared" si="52"/>
        <v/>
      </c>
      <c r="Y93">
        <f>IF(OR(D93=0,'Исходные данные'!$B$9="",'Исходные данные'!$B$90=""),0,W93/(1+'Исходные данные'!$B$90)^((C93-'Исходные данные'!$B$9)/365))</f>
        <v>0</v>
      </c>
      <c r="Z93">
        <f>IF(D93=1,K93+Расчёты!O93+Расчёты!Q93+Расчёты!S93+Расчёты!U93+Расчёты!W93+Расчёты!X93+N93+Q93,0)</f>
        <v>0</v>
      </c>
      <c r="AA93">
        <f>IF(AND(D93=1,X93&gt;=0,X92&lt;0,MIN($X$2:X93)&lt;0),1,0)</f>
        <v>0</v>
      </c>
      <c r="AB93">
        <f>IF(Расчёты!F93=0,0,IF(Расчёты!G93=1,N('Сценарный анализ'!$C$5),IF(Расчёты!G93=2,N('Сценарный анализ'!$C$6),IF(Расчёты!G93=3,N('Сценарный анализ'!$C$7),N('Сценарный анализ'!$C$7)*(1+N('Сценарный анализ'!$C$8))^(Расчёты!G93-3)))))</f>
        <v>0</v>
      </c>
      <c r="AC93">
        <f>IF(OR(Расчёты!F93=0,N('Исходные данные'!$B$5)=0,AB93=0),0,N('Исходные данные'!$B$5)*AB93*IF(AND(B93&lt;='Исходные данные'!$B$30,Расчёты!C93&gt;='Исходные данные'!$B$30),(Расчёты!C93-'Исходные данные'!$B$30+1)/DAY(Расчёты!C93),1))</f>
        <v>0</v>
      </c>
      <c r="AD93">
        <f>IF(AND(Расчёты!F93&gt;0,Расчёты!F93&lt;=N('Исходные данные'!$B$37)),-AC93,0)</f>
        <v>0</v>
      </c>
      <c r="AE93">
        <f>IF(OR(Расчёты!F93=0,Расчёты!F93&lt;=N('Исходные данные'!$B$37)),0,-(AC93+AD93)*N('Сценарный анализ'!$C$9))</f>
        <v>0</v>
      </c>
      <c r="AF93">
        <f t="shared" si="43"/>
        <v>0</v>
      </c>
      <c r="AG93">
        <f>IF('Исходные данные'!$B$51="Да",AF93*N('Исходные данные'!$B$52),0)</f>
        <v>0</v>
      </c>
      <c r="AH93">
        <f t="shared" si="44"/>
        <v>0</v>
      </c>
      <c r="AI93">
        <f>AF93+(Расчёты!Y93-Расчёты!L93)</f>
        <v>0</v>
      </c>
      <c r="AJ93">
        <f t="shared" si="53"/>
        <v>0</v>
      </c>
      <c r="AK93">
        <f>IF('Исходные данные'!$B$51="Да",-MAX(0,AG93+Расчёты!R93+Расчёты!V93-Расчёты!P93-Расчёты!T93-AJ93),0)</f>
        <v>0</v>
      </c>
      <c r="AL93">
        <f>IF('Исходные данные'!$B$51="Да",MAX(0,AJ93+Расчёты!P93+Расчёты!T93-AG93-Расчёты!R93-Расчёты!V93),0)</f>
        <v>0</v>
      </c>
      <c r="AM93">
        <f>IF('Исходные данные'!$B$53="Выручка",MAX(0,AF93+(Расчёты!Q93-Расчёты!R93)+(Расчёты!U93-Расчёты!V93)),IF('Исходные данные'!$B$53="Прибыль до налога",MAX(0,AF93+(Расчёты!Q93-Расчёты!R93)+(Расчёты!U93-Расчёты!V93)+N('Исходные данные'!$B$54)*((Расчёты!O93+Расчёты!P93)+(Расчёты!S93+Расчёты!T93)+Расчёты!W93+Расчёты!X93)+IF('Исходные данные'!$B$55="Да",Расчёты!AG93,0)-N('Исходные данные'!$B$56)/12),IF('Исходные данные'!$B$53="Пользовательская база",MAX(0,N('Исходные данные'!$B$57)/12),0)))</f>
        <v>0</v>
      </c>
      <c r="AN93">
        <f>IF(D93=1,-AM93*N('Исходные данные'!$B$50),0)</f>
        <v>0</v>
      </c>
      <c r="AO93">
        <f t="shared" si="45"/>
        <v>0</v>
      </c>
      <c r="AP93">
        <f>IF(OR(D93&lt;&gt;1,B93="",'Исходные данные'!$B$91="",N('Исходные данные'!$B$80)&lt;=0,'Исходные данные'!$B$88=""),0,IF(AND(YEAR(B93)=YEAR('Исходные данные'!$B$91),MONTH(B93)=MONTH('Исходные данные'!$B$91)),MAX(0,IF('Исходные данные'!$B$88="Последние 12 месяцев",SUMIFS($AI$2:$AI$194,$B$2:$B$194,"&gt;="&amp;EDATE(B93,-11),$B$2:$B$194,"&lt;="&amp;B93),IF('Исходные данные'!$B$88="Пользовательский NOI",N('Исходные данные'!$B$89),AO93))/N('Исходные данные'!$B$80)*(1+N('Исходные данные'!$B$81))),0))</f>
        <v>0</v>
      </c>
      <c r="AQ93">
        <f>-AP93*N('Исходные данные'!$B$73)</f>
        <v>0</v>
      </c>
      <c r="AR93">
        <f>IF(AP93=0,0,-N('Исходные данные'!$B$87)-IF('Исходные данные'!$B$82="Да",IF('Исходные данные'!$B$84="С выручки",AP93,IF('Исходные данные'!$B$84="С прибыли",MAX(0,AP93+AQ93-IF('Исходные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93">
        <f t="shared" si="46"/>
        <v>0</v>
      </c>
      <c r="AT93">
        <f>IF(D93=1,Расчёты!AZ93+AH93+AK93+AN93+AS93,0)</f>
        <v>0</v>
      </c>
      <c r="AU93" t="str">
        <f t="shared" si="54"/>
        <v/>
      </c>
      <c r="AV93">
        <f>IF(OR(D93=0,'Исходные данные'!$B$9="",'Исходные данные'!$B$90=""),0,AT93/(1+'Исходные данные'!$B$90)^((C93-'Исходные данные'!$B$9)/365))</f>
        <v>0</v>
      </c>
      <c r="AW93">
        <f>IF(D93=1,AH93+Расчёты!O93+Расчёты!Q93+Расчёты!S93+Расчёты!U93+Расчёты!W93+Расчёты!X93+AK93+AN93,0)</f>
        <v>0</v>
      </c>
      <c r="AX93">
        <f>IF(AND(D93=1,AU93&gt;=0,AU92&lt;0,MIN($AU$2:AU93)&lt;0),1,0)</f>
        <v>0</v>
      </c>
      <c r="AY93">
        <f>IF(Расчёты!F93=0,0,IF(Расчёты!G93=1,N('Сценарный анализ'!$D$5),IF(Расчёты!G93=2,N('Сценарный анализ'!$D$6),IF(Расчёты!G93=3,N('Сценарный анализ'!$D$7),N('Сценарный анализ'!$D$7)*(1+N('Сценарный анализ'!$D$8))^(Расчёты!G93-3)))))</f>
        <v>0</v>
      </c>
      <c r="AZ93">
        <f>IF(OR(Расчёты!F93=0,N('Исходные данные'!$B$5)=0,AY93=0),0,N('Исходные данные'!$B$5)*AY93*IF(AND(B93&lt;='Исходные данные'!$B$30,Расчёты!C93&gt;='Исходные данные'!$B$30),(Расчёты!C93-'Исходные данные'!$B$30+1)/DAY(Расчёты!C93),1))</f>
        <v>0</v>
      </c>
      <c r="BA93">
        <f>IF(AND(Расчёты!F93&gt;0,Расчёты!F93&lt;=N('Исходные данные'!$B$37)),-AZ93,0)</f>
        <v>0</v>
      </c>
      <c r="BB93">
        <f>IF(OR(Расчёты!F93=0,Расчёты!F93&lt;=N('Исходные данные'!$B$37)),0,-(AZ93+BA93)*N('Сценарный анализ'!$D$9))</f>
        <v>0</v>
      </c>
      <c r="BC93">
        <f t="shared" si="47"/>
        <v>0</v>
      </c>
      <c r="BD93">
        <f>IF('Исходные данные'!$B$51="Да",BC93*N('Исходные данные'!$B$52),0)</f>
        <v>0</v>
      </c>
      <c r="BE93">
        <f t="shared" si="48"/>
        <v>0</v>
      </c>
      <c r="BF93">
        <f>BC93+(Расчёты!Y93-Расчёты!L93)</f>
        <v>0</v>
      </c>
      <c r="BG93">
        <f t="shared" si="55"/>
        <v>0</v>
      </c>
      <c r="BH93">
        <f>IF('Исходные данные'!$B$51="Да",-MAX(0,BD93+Расчёты!R93+Расчёты!V93-Расчёты!P93-Расчёты!T93-BG93),0)</f>
        <v>0</v>
      </c>
      <c r="BI93">
        <f>IF('Исходные данные'!$B$51="Да",MAX(0,BG93+Расчёты!P93+Расчёты!T93-BD93-Расчёты!R93-Расчёты!V93),0)</f>
        <v>0</v>
      </c>
      <c r="BJ93">
        <f>IF('Исходные данные'!$B$53="Выручка",MAX(0,BC93+(Расчёты!Q93-Расчёты!R93)+(Расчёты!U93-Расчёты!V93)),IF('Исходные данные'!$B$53="Прибыль до налога",MAX(0,BC93+(Расчёты!Q93-Расчёты!R93)+(Расчёты!U93-Расчёты!V93)+N('Исходные данные'!$B$54)*((Расчёты!O93+Расчёты!P93)+(Расчёты!S93+Расчёты!T93)+Расчёты!W93+Расчёты!X93)+IF('Исходные данные'!$B$55="Да",Расчёты!AG93,0)-N('Исходные данные'!$B$56)/12),IF('Исходные данные'!$B$53="Пользовательская база",MAX(0,N('Исходные данные'!$B$57)/12),0)))</f>
        <v>0</v>
      </c>
      <c r="BK93">
        <f>IF(D93=1,-BJ93*N('Исходные данные'!$B$50),0)</f>
        <v>0</v>
      </c>
      <c r="BL93">
        <f t="shared" si="49"/>
        <v>0</v>
      </c>
      <c r="BM93">
        <f>IF(OR(D93&lt;&gt;1,B93="",'Исходные данные'!$B$91="",N('Исходные данные'!$B$80)&lt;=0,'Исходные данные'!$B$88=""),0,IF(AND(YEAR(B93)=YEAR('Исходные данные'!$B$91),MONTH(B93)=MONTH('Исходные данные'!$B$91)),MAX(0,IF('Исходные данные'!$B$88="Последние 12 месяцев",SUMIFS($BF$2:$BF$194,$B$2:$B$194,"&gt;="&amp;EDATE(B93,-11),$B$2:$B$194,"&lt;="&amp;B93),IF('Исходные данные'!$B$88="Пользовательский NOI",N('Исходные данные'!$B$89),BL93))/N('Исходные данные'!$B$80)*(1+N('Исходные данные'!$B$81))),0))</f>
        <v>0</v>
      </c>
      <c r="BN93">
        <f>-BM93*N('Исходные данные'!$B$73)</f>
        <v>0</v>
      </c>
      <c r="BO93">
        <f>IF(BM93=0,0,-N('Исходные данные'!$B$87)-IF('Исходные данные'!$B$82="Да",IF('Исходные данные'!$B$84="С выручки",BM93,IF('Исходные данные'!$B$84="С прибыли",MAX(0,BM93+BN93-IF('Исходные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93">
        <f t="shared" si="50"/>
        <v>0</v>
      </c>
      <c r="BQ93">
        <f>IF(D93=1,Расчёты!AZ93+BE93+BH93+BK93+BP93,0)</f>
        <v>0</v>
      </c>
      <c r="BR93" t="str">
        <f t="shared" si="56"/>
        <v/>
      </c>
      <c r="BS93">
        <f>IF(OR(D93=0,'Исходные данные'!$B$9="",'Исходные данные'!$B$90=""),0,BQ93/(1+'Исходные данные'!$B$90)^((C93-'Исходные данные'!$B$9)/365))</f>
        <v>0</v>
      </c>
      <c r="BT93">
        <f>IF(D93=1,BE93+Расчёты!O93+Расчёты!Q93+Расчёты!S93+Расчёты!U93+Расчёты!W93+Расчёты!X93+BH93+BK93,0)</f>
        <v>0</v>
      </c>
      <c r="BU93">
        <f>IF(AND(D93=1,BR93&gt;=0,BR92&lt;0,MIN($BR$2:BR93)&lt;0),1,0)</f>
        <v>0</v>
      </c>
      <c r="BV93">
        <f>Расчёты!AZ93+K93+N93-P93*N('Исходные данные'!$B$50)</f>
        <v>0</v>
      </c>
      <c r="BW93">
        <f t="shared" si="57"/>
        <v>0</v>
      </c>
      <c r="BX93">
        <f>IF(AND(BW93&gt;=0,BW92&lt;0,MIN($BW$2:BW93)&lt;0),1,0)</f>
        <v>0</v>
      </c>
      <c r="BY93">
        <f>Расчёты!AZ93+AH93+AK93-AM93*N('Исходные данные'!$B$50)</f>
        <v>0</v>
      </c>
      <c r="BZ93">
        <f t="shared" si="58"/>
        <v>0</v>
      </c>
      <c r="CA93">
        <f>IF(AND(BZ93&gt;=0,BZ92&lt;0,MIN($BZ$2:BZ93)&lt;0),1,0)</f>
        <v>0</v>
      </c>
      <c r="CB93">
        <f>Расчёты!AZ93+BE93+BH93-BJ93*N('Исходные данные'!$B$50)</f>
        <v>0</v>
      </c>
      <c r="CC93">
        <f t="shared" si="59"/>
        <v>0</v>
      </c>
      <c r="CD93">
        <f>IF(AND(CC93&gt;=0,CC92&lt;0,MIN($CC$2:CC93)&lt;0),1,0)</f>
        <v>0</v>
      </c>
    </row>
    <row r="94" spans="1:82" x14ac:dyDescent="0.2">
      <c r="A94">
        <f>Расчёты!A94</f>
        <v>93</v>
      </c>
      <c r="B94" t="str">
        <f>Расчёты!B94</f>
        <v/>
      </c>
      <c r="C94" t="str">
        <f>Расчёты!D94</f>
        <v/>
      </c>
      <c r="D94">
        <f>Расчёты!E94</f>
        <v>0</v>
      </c>
      <c r="E94">
        <f>IF(Расчёты!F94=0,0,IF(Расчёты!G94=1,N('Сценарный анализ'!$B$5),IF(Расчёты!G94=2,N('Сценарный анализ'!$B$6),IF(Расчёты!G94=3,N('Сценарный анализ'!$B$7),N('Сценарный анализ'!$B$7)*(1+N('Сценарный анализ'!$B$8))^(Расчёты!G94-3)))))</f>
        <v>0</v>
      </c>
      <c r="F94">
        <f>IF(OR(Расчёты!F94=0,N('Исходные данные'!$B$5)=0,E94=0),0,N('Исходные данные'!$B$5)*E94*IF(AND(B94&lt;='Исходные данные'!$B$30,Расчёты!C94&gt;='Исходные данные'!$B$30),(Расчёты!C94-'Исходные данные'!$B$30+1)/DAY(Расчёты!C94),1))</f>
        <v>0</v>
      </c>
      <c r="G94">
        <f>IF(AND(Расчёты!F94&gt;0,Расчёты!F94&lt;=N('Исходные данные'!$B$37)),-F94,0)</f>
        <v>0</v>
      </c>
      <c r="H94">
        <f>IF(OR(Расчёты!F94=0,Расчёты!F94&lt;=N('Исходные данные'!$B$37)),0,-(F94+G94)*N('Сценарный анализ'!$B$9))</f>
        <v>0</v>
      </c>
      <c r="I94">
        <f t="shared" si="39"/>
        <v>0</v>
      </c>
      <c r="J94">
        <f>IF('Исходные данные'!$B$51="Да",I94*N('Исходные данные'!$B$52),0)</f>
        <v>0</v>
      </c>
      <c r="K94">
        <f t="shared" si="40"/>
        <v>0</v>
      </c>
      <c r="L94">
        <f>I94+(Расчёты!Y94-Расчёты!L94)</f>
        <v>0</v>
      </c>
      <c r="M94">
        <f t="shared" si="51"/>
        <v>0</v>
      </c>
      <c r="N94">
        <f>IF('Исходные данные'!$B$51="Да",-MAX(0,J94+Расчёты!R94+Расчёты!V94-Расчёты!P94-Расчёты!T94-M94),0)</f>
        <v>0</v>
      </c>
      <c r="O94">
        <f>IF('Исходные данные'!$B$51="Да",MAX(0,M94+Расчёты!P94+Расчёты!T94-J94-Расчёты!R94-Расчёты!V94),0)</f>
        <v>0</v>
      </c>
      <c r="P94">
        <f>IF('Исходные данные'!$B$53="Выручка",MAX(0,I94+(Расчёты!Q94-Расчёты!R94)+(Расчёты!U94-Расчёты!V94)),IF('Исходные данные'!$B$53="Прибыль до налога",MAX(0,I94+(Расчёты!Q94-Расчёты!R94)+(Расчёты!U94-Расчёты!V94)+N('Исходные данные'!$B$54)*((Расчёты!O94+Расчёты!P94)+(Расчёты!S94+Расчёты!T94)+Расчёты!W94+Расчёты!X94)+IF('Исходные данные'!$B$55="Да",Расчёты!AG94,0)-N('Исходные данные'!$B$56)/12),IF('Исходные данные'!$B$53="Пользовательская база",MAX(0,N('Исходные данные'!$B$57)/12),0)))</f>
        <v>0</v>
      </c>
      <c r="Q94">
        <f>IF(D94=1,-P94*N('Исходные данные'!$B$50),0)</f>
        <v>0</v>
      </c>
      <c r="R94">
        <f t="shared" si="41"/>
        <v>0</v>
      </c>
      <c r="S94">
        <f>IF(OR(D94&lt;&gt;1,B94="",'Исходные данные'!$B$91="",N('Исходные данные'!$B$80)&lt;=0,'Исходные данные'!$B$88=""),0,IF(AND(YEAR(B94)=YEAR('Исходные данные'!$B$91),MONTH(B94)=MONTH('Исходные данные'!$B$91)),MAX(0,IF('Исходные данные'!$B$88="Последние 12 месяцев",SUMIFS($L$2:$L$194,$B$2:$B$194,"&gt;="&amp;EDATE(B94,-11),$B$2:$B$194,"&lt;="&amp;B94),IF('Исходные данные'!$B$88="Пользовательский NOI",N('Исходные данные'!$B$89),R94))/N('Исходные данные'!$B$80)*(1+N('Исходные данные'!$B$81))),0))</f>
        <v>0</v>
      </c>
      <c r="T94">
        <f>-S94*N('Исходные данные'!$B$73)</f>
        <v>0</v>
      </c>
      <c r="U94">
        <f>IF(S94=0,0,-N('Исходные данные'!$B$87)-IF('Исходные данные'!$B$82="Да",IF('Исходные данные'!$B$84="С выручки",S94,IF('Исходные данные'!$B$84="С прибыли",MAX(0,S94+T94-IF('Исходные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94">
        <f t="shared" si="42"/>
        <v>0</v>
      </c>
      <c r="W94">
        <f>IF(D94=1,Расчёты!AZ94+K94+N94+Q94+V94,0)</f>
        <v>0</v>
      </c>
      <c r="X94" t="str">
        <f t="shared" si="52"/>
        <v/>
      </c>
      <c r="Y94">
        <f>IF(OR(D94=0,'Исходные данные'!$B$9="",'Исходные данные'!$B$90=""),0,W94/(1+'Исходные данные'!$B$90)^((C94-'Исходные данные'!$B$9)/365))</f>
        <v>0</v>
      </c>
      <c r="Z94">
        <f>IF(D94=1,K94+Расчёты!O94+Расчёты!Q94+Расчёты!S94+Расчёты!U94+Расчёты!W94+Расчёты!X94+N94+Q94,0)</f>
        <v>0</v>
      </c>
      <c r="AA94">
        <f>IF(AND(D94=1,X94&gt;=0,X93&lt;0,MIN($X$2:X94)&lt;0),1,0)</f>
        <v>0</v>
      </c>
      <c r="AB94">
        <f>IF(Расчёты!F94=0,0,IF(Расчёты!G94=1,N('Сценарный анализ'!$C$5),IF(Расчёты!G94=2,N('Сценарный анализ'!$C$6),IF(Расчёты!G94=3,N('Сценарный анализ'!$C$7),N('Сценарный анализ'!$C$7)*(1+N('Сценарный анализ'!$C$8))^(Расчёты!G94-3)))))</f>
        <v>0</v>
      </c>
      <c r="AC94">
        <f>IF(OR(Расчёты!F94=0,N('Исходные данные'!$B$5)=0,AB94=0),0,N('Исходные данные'!$B$5)*AB94*IF(AND(B94&lt;='Исходные данные'!$B$30,Расчёты!C94&gt;='Исходные данные'!$B$30),(Расчёты!C94-'Исходные данные'!$B$30+1)/DAY(Расчёты!C94),1))</f>
        <v>0</v>
      </c>
      <c r="AD94">
        <f>IF(AND(Расчёты!F94&gt;0,Расчёты!F94&lt;=N('Исходные данные'!$B$37)),-AC94,0)</f>
        <v>0</v>
      </c>
      <c r="AE94">
        <f>IF(OR(Расчёты!F94=0,Расчёты!F94&lt;=N('Исходные данные'!$B$37)),0,-(AC94+AD94)*N('Сценарный анализ'!$C$9))</f>
        <v>0</v>
      </c>
      <c r="AF94">
        <f t="shared" si="43"/>
        <v>0</v>
      </c>
      <c r="AG94">
        <f>IF('Исходные данные'!$B$51="Да",AF94*N('Исходные данные'!$B$52),0)</f>
        <v>0</v>
      </c>
      <c r="AH94">
        <f t="shared" si="44"/>
        <v>0</v>
      </c>
      <c r="AI94">
        <f>AF94+(Расчёты!Y94-Расчёты!L94)</f>
        <v>0</v>
      </c>
      <c r="AJ94">
        <f t="shared" si="53"/>
        <v>0</v>
      </c>
      <c r="AK94">
        <f>IF('Исходные данные'!$B$51="Да",-MAX(0,AG94+Расчёты!R94+Расчёты!V94-Расчёты!P94-Расчёты!T94-AJ94),0)</f>
        <v>0</v>
      </c>
      <c r="AL94">
        <f>IF('Исходные данные'!$B$51="Да",MAX(0,AJ94+Расчёты!P94+Расчёты!T94-AG94-Расчёты!R94-Расчёты!V94),0)</f>
        <v>0</v>
      </c>
      <c r="AM94">
        <f>IF('Исходные данные'!$B$53="Выручка",MAX(0,AF94+(Расчёты!Q94-Расчёты!R94)+(Расчёты!U94-Расчёты!V94)),IF('Исходные данные'!$B$53="Прибыль до налога",MAX(0,AF94+(Расчёты!Q94-Расчёты!R94)+(Расчёты!U94-Расчёты!V94)+N('Исходные данные'!$B$54)*((Расчёты!O94+Расчёты!P94)+(Расчёты!S94+Расчёты!T94)+Расчёты!W94+Расчёты!X94)+IF('Исходные данные'!$B$55="Да",Расчёты!AG94,0)-N('Исходные данные'!$B$56)/12),IF('Исходные данные'!$B$53="Пользовательская база",MAX(0,N('Исходные данные'!$B$57)/12),0)))</f>
        <v>0</v>
      </c>
      <c r="AN94">
        <f>IF(D94=1,-AM94*N('Исходные данные'!$B$50),0)</f>
        <v>0</v>
      </c>
      <c r="AO94">
        <f t="shared" si="45"/>
        <v>0</v>
      </c>
      <c r="AP94">
        <f>IF(OR(D94&lt;&gt;1,B94="",'Исходные данные'!$B$91="",N('Исходные данные'!$B$80)&lt;=0,'Исходные данные'!$B$88=""),0,IF(AND(YEAR(B94)=YEAR('Исходные данные'!$B$91),MONTH(B94)=MONTH('Исходные данные'!$B$91)),MAX(0,IF('Исходные данные'!$B$88="Последние 12 месяцев",SUMIFS($AI$2:$AI$194,$B$2:$B$194,"&gt;="&amp;EDATE(B94,-11),$B$2:$B$194,"&lt;="&amp;B94),IF('Исходные данные'!$B$88="Пользовательский NOI",N('Исходные данные'!$B$89),AO94))/N('Исходные данные'!$B$80)*(1+N('Исходные данные'!$B$81))),0))</f>
        <v>0</v>
      </c>
      <c r="AQ94">
        <f>-AP94*N('Исходные данные'!$B$73)</f>
        <v>0</v>
      </c>
      <c r="AR94">
        <f>IF(AP94=0,0,-N('Исходные данные'!$B$87)-IF('Исходные данные'!$B$82="Да",IF('Исходные данные'!$B$84="С выручки",AP94,IF('Исходные данные'!$B$84="С прибыли",MAX(0,AP94+AQ94-IF('Исходные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94">
        <f t="shared" si="46"/>
        <v>0</v>
      </c>
      <c r="AT94">
        <f>IF(D94=1,Расчёты!AZ94+AH94+AK94+AN94+AS94,0)</f>
        <v>0</v>
      </c>
      <c r="AU94" t="str">
        <f t="shared" si="54"/>
        <v/>
      </c>
      <c r="AV94">
        <f>IF(OR(D94=0,'Исходные данные'!$B$9="",'Исходные данные'!$B$90=""),0,AT94/(1+'Исходные данные'!$B$90)^((C94-'Исходные данные'!$B$9)/365))</f>
        <v>0</v>
      </c>
      <c r="AW94">
        <f>IF(D94=1,AH94+Расчёты!O94+Расчёты!Q94+Расчёты!S94+Расчёты!U94+Расчёты!W94+Расчёты!X94+AK94+AN94,0)</f>
        <v>0</v>
      </c>
      <c r="AX94">
        <f>IF(AND(D94=1,AU94&gt;=0,AU93&lt;0,MIN($AU$2:AU94)&lt;0),1,0)</f>
        <v>0</v>
      </c>
      <c r="AY94">
        <f>IF(Расчёты!F94=0,0,IF(Расчёты!G94=1,N('Сценарный анализ'!$D$5),IF(Расчёты!G94=2,N('Сценарный анализ'!$D$6),IF(Расчёты!G94=3,N('Сценарный анализ'!$D$7),N('Сценарный анализ'!$D$7)*(1+N('Сценарный анализ'!$D$8))^(Расчёты!G94-3)))))</f>
        <v>0</v>
      </c>
      <c r="AZ94">
        <f>IF(OR(Расчёты!F94=0,N('Исходные данные'!$B$5)=0,AY94=0),0,N('Исходные данные'!$B$5)*AY94*IF(AND(B94&lt;='Исходные данные'!$B$30,Расчёты!C94&gt;='Исходные данные'!$B$30),(Расчёты!C94-'Исходные данные'!$B$30+1)/DAY(Расчёты!C94),1))</f>
        <v>0</v>
      </c>
      <c r="BA94">
        <f>IF(AND(Расчёты!F94&gt;0,Расчёты!F94&lt;=N('Исходные данные'!$B$37)),-AZ94,0)</f>
        <v>0</v>
      </c>
      <c r="BB94">
        <f>IF(OR(Расчёты!F94=0,Расчёты!F94&lt;=N('Исходные данные'!$B$37)),0,-(AZ94+BA94)*N('Сценарный анализ'!$D$9))</f>
        <v>0</v>
      </c>
      <c r="BC94">
        <f t="shared" si="47"/>
        <v>0</v>
      </c>
      <c r="BD94">
        <f>IF('Исходные данные'!$B$51="Да",BC94*N('Исходные данные'!$B$52),0)</f>
        <v>0</v>
      </c>
      <c r="BE94">
        <f t="shared" si="48"/>
        <v>0</v>
      </c>
      <c r="BF94">
        <f>BC94+(Расчёты!Y94-Расчёты!L94)</f>
        <v>0</v>
      </c>
      <c r="BG94">
        <f t="shared" si="55"/>
        <v>0</v>
      </c>
      <c r="BH94">
        <f>IF('Исходные данные'!$B$51="Да",-MAX(0,BD94+Расчёты!R94+Расчёты!V94-Расчёты!P94-Расчёты!T94-BG94),0)</f>
        <v>0</v>
      </c>
      <c r="BI94">
        <f>IF('Исходные данные'!$B$51="Да",MAX(0,BG94+Расчёты!P94+Расчёты!T94-BD94-Расчёты!R94-Расчёты!V94),0)</f>
        <v>0</v>
      </c>
      <c r="BJ94">
        <f>IF('Исходные данные'!$B$53="Выручка",MAX(0,BC94+(Расчёты!Q94-Расчёты!R94)+(Расчёты!U94-Расчёты!V94)),IF('Исходные данные'!$B$53="Прибыль до налога",MAX(0,BC94+(Расчёты!Q94-Расчёты!R94)+(Расчёты!U94-Расчёты!V94)+N('Исходные данные'!$B$54)*((Расчёты!O94+Расчёты!P94)+(Расчёты!S94+Расчёты!T94)+Расчёты!W94+Расчёты!X94)+IF('Исходные данные'!$B$55="Да",Расчёты!AG94,0)-N('Исходные данные'!$B$56)/12),IF('Исходные данные'!$B$53="Пользовательская база",MAX(0,N('Исходные данные'!$B$57)/12),0)))</f>
        <v>0</v>
      </c>
      <c r="BK94">
        <f>IF(D94=1,-BJ94*N('Исходные данные'!$B$50),0)</f>
        <v>0</v>
      </c>
      <c r="BL94">
        <f t="shared" si="49"/>
        <v>0</v>
      </c>
      <c r="BM94">
        <f>IF(OR(D94&lt;&gt;1,B94="",'Исходные данные'!$B$91="",N('Исходные данные'!$B$80)&lt;=0,'Исходные данные'!$B$88=""),0,IF(AND(YEAR(B94)=YEAR('Исходные данные'!$B$91),MONTH(B94)=MONTH('Исходные данные'!$B$91)),MAX(0,IF('Исходные данные'!$B$88="Последние 12 месяцев",SUMIFS($BF$2:$BF$194,$B$2:$B$194,"&gt;="&amp;EDATE(B94,-11),$B$2:$B$194,"&lt;="&amp;B94),IF('Исходные данные'!$B$88="Пользовательский NOI",N('Исходные данные'!$B$89),BL94))/N('Исходные данные'!$B$80)*(1+N('Исходные данные'!$B$81))),0))</f>
        <v>0</v>
      </c>
      <c r="BN94">
        <f>-BM94*N('Исходные данные'!$B$73)</f>
        <v>0</v>
      </c>
      <c r="BO94">
        <f>IF(BM94=0,0,-N('Исходные данные'!$B$87)-IF('Исходные данные'!$B$82="Да",IF('Исходные данные'!$B$84="С выручки",BM94,IF('Исходные данные'!$B$84="С прибыли",MAX(0,BM94+BN94-IF('Исходные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94">
        <f t="shared" si="50"/>
        <v>0</v>
      </c>
      <c r="BQ94">
        <f>IF(D94=1,Расчёты!AZ94+BE94+BH94+BK94+BP94,0)</f>
        <v>0</v>
      </c>
      <c r="BR94" t="str">
        <f t="shared" si="56"/>
        <v/>
      </c>
      <c r="BS94">
        <f>IF(OR(D94=0,'Исходные данные'!$B$9="",'Исходные данные'!$B$90=""),0,BQ94/(1+'Исходные данные'!$B$90)^((C94-'Исходные данные'!$B$9)/365))</f>
        <v>0</v>
      </c>
      <c r="BT94">
        <f>IF(D94=1,BE94+Расчёты!O94+Расчёты!Q94+Расчёты!S94+Расчёты!U94+Расчёты!W94+Расчёты!X94+BH94+BK94,0)</f>
        <v>0</v>
      </c>
      <c r="BU94">
        <f>IF(AND(D94=1,BR94&gt;=0,BR93&lt;0,MIN($BR$2:BR94)&lt;0),1,0)</f>
        <v>0</v>
      </c>
      <c r="BV94">
        <f>Расчёты!AZ94+K94+N94-P94*N('Исходные данные'!$B$50)</f>
        <v>0</v>
      </c>
      <c r="BW94">
        <f t="shared" si="57"/>
        <v>0</v>
      </c>
      <c r="BX94">
        <f>IF(AND(BW94&gt;=0,BW93&lt;0,MIN($BW$2:BW94)&lt;0),1,0)</f>
        <v>0</v>
      </c>
      <c r="BY94">
        <f>Расчёты!AZ94+AH94+AK94-AM94*N('Исходные данные'!$B$50)</f>
        <v>0</v>
      </c>
      <c r="BZ94">
        <f t="shared" si="58"/>
        <v>0</v>
      </c>
      <c r="CA94">
        <f>IF(AND(BZ94&gt;=0,BZ93&lt;0,MIN($BZ$2:BZ94)&lt;0),1,0)</f>
        <v>0</v>
      </c>
      <c r="CB94">
        <f>Расчёты!AZ94+BE94+BH94-BJ94*N('Исходные данные'!$B$50)</f>
        <v>0</v>
      </c>
      <c r="CC94">
        <f t="shared" si="59"/>
        <v>0</v>
      </c>
      <c r="CD94">
        <f>IF(AND(CC94&gt;=0,CC93&lt;0,MIN($CC$2:CC94)&lt;0),1,0)</f>
        <v>0</v>
      </c>
    </row>
    <row r="95" spans="1:82" x14ac:dyDescent="0.2">
      <c r="A95">
        <f>Расчёты!A95</f>
        <v>94</v>
      </c>
      <c r="B95" t="str">
        <f>Расчёты!B95</f>
        <v/>
      </c>
      <c r="C95" t="str">
        <f>Расчёты!D95</f>
        <v/>
      </c>
      <c r="D95">
        <f>Расчёты!E95</f>
        <v>0</v>
      </c>
      <c r="E95">
        <f>IF(Расчёты!F95=0,0,IF(Расчёты!G95=1,N('Сценарный анализ'!$B$5),IF(Расчёты!G95=2,N('Сценарный анализ'!$B$6),IF(Расчёты!G95=3,N('Сценарный анализ'!$B$7),N('Сценарный анализ'!$B$7)*(1+N('Сценарный анализ'!$B$8))^(Расчёты!G95-3)))))</f>
        <v>0</v>
      </c>
      <c r="F95">
        <f>IF(OR(Расчёты!F95=0,N('Исходные данные'!$B$5)=0,E95=0),0,N('Исходные данные'!$B$5)*E95*IF(AND(B95&lt;='Исходные данные'!$B$30,Расчёты!C95&gt;='Исходные данные'!$B$30),(Расчёты!C95-'Исходные данные'!$B$30+1)/DAY(Расчёты!C95),1))</f>
        <v>0</v>
      </c>
      <c r="G95">
        <f>IF(AND(Расчёты!F95&gt;0,Расчёты!F95&lt;=N('Исходные данные'!$B$37)),-F95,0)</f>
        <v>0</v>
      </c>
      <c r="H95">
        <f>IF(OR(Расчёты!F95=0,Расчёты!F95&lt;=N('Исходные данные'!$B$37)),0,-(F95+G95)*N('Сценарный анализ'!$B$9))</f>
        <v>0</v>
      </c>
      <c r="I95">
        <f t="shared" si="39"/>
        <v>0</v>
      </c>
      <c r="J95">
        <f>IF('Исходные данные'!$B$51="Да",I95*N('Исходные данные'!$B$52),0)</f>
        <v>0</v>
      </c>
      <c r="K95">
        <f t="shared" si="40"/>
        <v>0</v>
      </c>
      <c r="L95">
        <f>I95+(Расчёты!Y95-Расчёты!L95)</f>
        <v>0</v>
      </c>
      <c r="M95">
        <f t="shared" si="51"/>
        <v>0</v>
      </c>
      <c r="N95">
        <f>IF('Исходные данные'!$B$51="Да",-MAX(0,J95+Расчёты!R95+Расчёты!V95-Расчёты!P95-Расчёты!T95-M95),0)</f>
        <v>0</v>
      </c>
      <c r="O95">
        <f>IF('Исходные данные'!$B$51="Да",MAX(0,M95+Расчёты!P95+Расчёты!T95-J95-Расчёты!R95-Расчёты!V95),0)</f>
        <v>0</v>
      </c>
      <c r="P95">
        <f>IF('Исходные данные'!$B$53="Выручка",MAX(0,I95+(Расчёты!Q95-Расчёты!R95)+(Расчёты!U95-Расчёты!V95)),IF('Исходные данные'!$B$53="Прибыль до налога",MAX(0,I95+(Расчёты!Q95-Расчёты!R95)+(Расчёты!U95-Расчёты!V95)+N('Исходные данные'!$B$54)*((Расчёты!O95+Расчёты!P95)+(Расчёты!S95+Расчёты!T95)+Расчёты!W95+Расчёты!X95)+IF('Исходные данные'!$B$55="Да",Расчёты!AG95,0)-N('Исходные данные'!$B$56)/12),IF('Исходные данные'!$B$53="Пользовательская база",MAX(0,N('Исходные данные'!$B$57)/12),0)))</f>
        <v>0</v>
      </c>
      <c r="Q95">
        <f>IF(D95=1,-P95*N('Исходные данные'!$B$50),0)</f>
        <v>0</v>
      </c>
      <c r="R95">
        <f t="shared" si="41"/>
        <v>0</v>
      </c>
      <c r="S95">
        <f>IF(OR(D95&lt;&gt;1,B95="",'Исходные данные'!$B$91="",N('Исходные данные'!$B$80)&lt;=0,'Исходные данные'!$B$88=""),0,IF(AND(YEAR(B95)=YEAR('Исходные данные'!$B$91),MONTH(B95)=MONTH('Исходные данные'!$B$91)),MAX(0,IF('Исходные данные'!$B$88="Последние 12 месяцев",SUMIFS($L$2:$L$194,$B$2:$B$194,"&gt;="&amp;EDATE(B95,-11),$B$2:$B$194,"&lt;="&amp;B95),IF('Исходные данные'!$B$88="Пользовательский NOI",N('Исходные данные'!$B$89),R95))/N('Исходные данные'!$B$80)*(1+N('Исходные данные'!$B$81))),0))</f>
        <v>0</v>
      </c>
      <c r="T95">
        <f>-S95*N('Исходные данные'!$B$73)</f>
        <v>0</v>
      </c>
      <c r="U95">
        <f>IF(S95=0,0,-N('Исходные данные'!$B$87)-IF('Исходные данные'!$B$82="Да",IF('Исходные данные'!$B$84="С выручки",S95,IF('Исходные данные'!$B$84="С прибыли",MAX(0,S95+T95-IF('Исходные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95">
        <f t="shared" si="42"/>
        <v>0</v>
      </c>
      <c r="W95">
        <f>IF(D95=1,Расчёты!AZ95+K95+N95+Q95+V95,0)</f>
        <v>0</v>
      </c>
      <c r="X95" t="str">
        <f t="shared" si="52"/>
        <v/>
      </c>
      <c r="Y95">
        <f>IF(OR(D95=0,'Исходные данные'!$B$9="",'Исходные данные'!$B$90=""),0,W95/(1+'Исходные данные'!$B$90)^((C95-'Исходные данные'!$B$9)/365))</f>
        <v>0</v>
      </c>
      <c r="Z95">
        <f>IF(D95=1,K95+Расчёты!O95+Расчёты!Q95+Расчёты!S95+Расчёты!U95+Расчёты!W95+Расчёты!X95+N95+Q95,0)</f>
        <v>0</v>
      </c>
      <c r="AA95">
        <f>IF(AND(D95=1,X95&gt;=0,X94&lt;0,MIN($X$2:X95)&lt;0),1,0)</f>
        <v>0</v>
      </c>
      <c r="AB95">
        <f>IF(Расчёты!F95=0,0,IF(Расчёты!G95=1,N('Сценарный анализ'!$C$5),IF(Расчёты!G95=2,N('Сценарный анализ'!$C$6),IF(Расчёты!G95=3,N('Сценарный анализ'!$C$7),N('Сценарный анализ'!$C$7)*(1+N('Сценарный анализ'!$C$8))^(Расчёты!G95-3)))))</f>
        <v>0</v>
      </c>
      <c r="AC95">
        <f>IF(OR(Расчёты!F95=0,N('Исходные данные'!$B$5)=0,AB95=0),0,N('Исходные данные'!$B$5)*AB95*IF(AND(B95&lt;='Исходные данные'!$B$30,Расчёты!C95&gt;='Исходные данные'!$B$30),(Расчёты!C95-'Исходные данные'!$B$30+1)/DAY(Расчёты!C95),1))</f>
        <v>0</v>
      </c>
      <c r="AD95">
        <f>IF(AND(Расчёты!F95&gt;0,Расчёты!F95&lt;=N('Исходные данные'!$B$37)),-AC95,0)</f>
        <v>0</v>
      </c>
      <c r="AE95">
        <f>IF(OR(Расчёты!F95=0,Расчёты!F95&lt;=N('Исходные данные'!$B$37)),0,-(AC95+AD95)*N('Сценарный анализ'!$C$9))</f>
        <v>0</v>
      </c>
      <c r="AF95">
        <f t="shared" si="43"/>
        <v>0</v>
      </c>
      <c r="AG95">
        <f>IF('Исходные данные'!$B$51="Да",AF95*N('Исходные данные'!$B$52),0)</f>
        <v>0</v>
      </c>
      <c r="AH95">
        <f t="shared" si="44"/>
        <v>0</v>
      </c>
      <c r="AI95">
        <f>AF95+(Расчёты!Y95-Расчёты!L95)</f>
        <v>0</v>
      </c>
      <c r="AJ95">
        <f t="shared" si="53"/>
        <v>0</v>
      </c>
      <c r="AK95">
        <f>IF('Исходные данные'!$B$51="Да",-MAX(0,AG95+Расчёты!R95+Расчёты!V95-Расчёты!P95-Расчёты!T95-AJ95),0)</f>
        <v>0</v>
      </c>
      <c r="AL95">
        <f>IF('Исходные данные'!$B$51="Да",MAX(0,AJ95+Расчёты!P95+Расчёты!T95-AG95-Расчёты!R95-Расчёты!V95),0)</f>
        <v>0</v>
      </c>
      <c r="AM95">
        <f>IF('Исходные данные'!$B$53="Выручка",MAX(0,AF95+(Расчёты!Q95-Расчёты!R95)+(Расчёты!U95-Расчёты!V95)),IF('Исходные данные'!$B$53="Прибыль до налога",MAX(0,AF95+(Расчёты!Q95-Расчёты!R95)+(Расчёты!U95-Расчёты!V95)+N('Исходные данные'!$B$54)*((Расчёты!O95+Расчёты!P95)+(Расчёты!S95+Расчёты!T95)+Расчёты!W95+Расчёты!X95)+IF('Исходные данные'!$B$55="Да",Расчёты!AG95,0)-N('Исходные данные'!$B$56)/12),IF('Исходные данные'!$B$53="Пользовательская база",MAX(0,N('Исходные данные'!$B$57)/12),0)))</f>
        <v>0</v>
      </c>
      <c r="AN95">
        <f>IF(D95=1,-AM95*N('Исходные данные'!$B$50),0)</f>
        <v>0</v>
      </c>
      <c r="AO95">
        <f t="shared" si="45"/>
        <v>0</v>
      </c>
      <c r="AP95">
        <f>IF(OR(D95&lt;&gt;1,B95="",'Исходные данные'!$B$91="",N('Исходные данные'!$B$80)&lt;=0,'Исходные данные'!$B$88=""),0,IF(AND(YEAR(B95)=YEAR('Исходные данные'!$B$91),MONTH(B95)=MONTH('Исходные данные'!$B$91)),MAX(0,IF('Исходные данные'!$B$88="Последние 12 месяцев",SUMIFS($AI$2:$AI$194,$B$2:$B$194,"&gt;="&amp;EDATE(B95,-11),$B$2:$B$194,"&lt;="&amp;B95),IF('Исходные данные'!$B$88="Пользовательский NOI",N('Исходные данные'!$B$89),AO95))/N('Исходные данные'!$B$80)*(1+N('Исходные данные'!$B$81))),0))</f>
        <v>0</v>
      </c>
      <c r="AQ95">
        <f>-AP95*N('Исходные данные'!$B$73)</f>
        <v>0</v>
      </c>
      <c r="AR95">
        <f>IF(AP95=0,0,-N('Исходные данные'!$B$87)-IF('Исходные данные'!$B$82="Да",IF('Исходные данные'!$B$84="С выручки",AP95,IF('Исходные данные'!$B$84="С прибыли",MAX(0,AP95+AQ95-IF('Исходные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95">
        <f t="shared" si="46"/>
        <v>0</v>
      </c>
      <c r="AT95">
        <f>IF(D95=1,Расчёты!AZ95+AH95+AK95+AN95+AS95,0)</f>
        <v>0</v>
      </c>
      <c r="AU95" t="str">
        <f t="shared" si="54"/>
        <v/>
      </c>
      <c r="AV95">
        <f>IF(OR(D95=0,'Исходные данные'!$B$9="",'Исходные данные'!$B$90=""),0,AT95/(1+'Исходные данные'!$B$90)^((C95-'Исходные данные'!$B$9)/365))</f>
        <v>0</v>
      </c>
      <c r="AW95">
        <f>IF(D95=1,AH95+Расчёты!O95+Расчёты!Q95+Расчёты!S95+Расчёты!U95+Расчёты!W95+Расчёты!X95+AK95+AN95,0)</f>
        <v>0</v>
      </c>
      <c r="AX95">
        <f>IF(AND(D95=1,AU95&gt;=0,AU94&lt;0,MIN($AU$2:AU95)&lt;0),1,0)</f>
        <v>0</v>
      </c>
      <c r="AY95">
        <f>IF(Расчёты!F95=0,0,IF(Расчёты!G95=1,N('Сценарный анализ'!$D$5),IF(Расчёты!G95=2,N('Сценарный анализ'!$D$6),IF(Расчёты!G95=3,N('Сценарный анализ'!$D$7),N('Сценарный анализ'!$D$7)*(1+N('Сценарный анализ'!$D$8))^(Расчёты!G95-3)))))</f>
        <v>0</v>
      </c>
      <c r="AZ95">
        <f>IF(OR(Расчёты!F95=0,N('Исходные данные'!$B$5)=0,AY95=0),0,N('Исходные данные'!$B$5)*AY95*IF(AND(B95&lt;='Исходные данные'!$B$30,Расчёты!C95&gt;='Исходные данные'!$B$30),(Расчёты!C95-'Исходные данные'!$B$30+1)/DAY(Расчёты!C95),1))</f>
        <v>0</v>
      </c>
      <c r="BA95">
        <f>IF(AND(Расчёты!F95&gt;0,Расчёты!F95&lt;=N('Исходные данные'!$B$37)),-AZ95,0)</f>
        <v>0</v>
      </c>
      <c r="BB95">
        <f>IF(OR(Расчёты!F95=0,Расчёты!F95&lt;=N('Исходные данные'!$B$37)),0,-(AZ95+BA95)*N('Сценарный анализ'!$D$9))</f>
        <v>0</v>
      </c>
      <c r="BC95">
        <f t="shared" si="47"/>
        <v>0</v>
      </c>
      <c r="BD95">
        <f>IF('Исходные данные'!$B$51="Да",BC95*N('Исходные данные'!$B$52),0)</f>
        <v>0</v>
      </c>
      <c r="BE95">
        <f t="shared" si="48"/>
        <v>0</v>
      </c>
      <c r="BF95">
        <f>BC95+(Расчёты!Y95-Расчёты!L95)</f>
        <v>0</v>
      </c>
      <c r="BG95">
        <f t="shared" si="55"/>
        <v>0</v>
      </c>
      <c r="BH95">
        <f>IF('Исходные данные'!$B$51="Да",-MAX(0,BD95+Расчёты!R95+Расчёты!V95-Расчёты!P95-Расчёты!T95-BG95),0)</f>
        <v>0</v>
      </c>
      <c r="BI95">
        <f>IF('Исходные данные'!$B$51="Да",MAX(0,BG95+Расчёты!P95+Расчёты!T95-BD95-Расчёты!R95-Расчёты!V95),0)</f>
        <v>0</v>
      </c>
      <c r="BJ95">
        <f>IF('Исходные данные'!$B$53="Выручка",MAX(0,BC95+(Расчёты!Q95-Расчёты!R95)+(Расчёты!U95-Расчёты!V95)),IF('Исходные данные'!$B$53="Прибыль до налога",MAX(0,BC95+(Расчёты!Q95-Расчёты!R95)+(Расчёты!U95-Расчёты!V95)+N('Исходные данные'!$B$54)*((Расчёты!O95+Расчёты!P95)+(Расчёты!S95+Расчёты!T95)+Расчёты!W95+Расчёты!X95)+IF('Исходные данные'!$B$55="Да",Расчёты!AG95,0)-N('Исходные данные'!$B$56)/12),IF('Исходные данные'!$B$53="Пользовательская база",MAX(0,N('Исходные данные'!$B$57)/12),0)))</f>
        <v>0</v>
      </c>
      <c r="BK95">
        <f>IF(D95=1,-BJ95*N('Исходные данные'!$B$50),0)</f>
        <v>0</v>
      </c>
      <c r="BL95">
        <f t="shared" si="49"/>
        <v>0</v>
      </c>
      <c r="BM95">
        <f>IF(OR(D95&lt;&gt;1,B95="",'Исходные данные'!$B$91="",N('Исходные данные'!$B$80)&lt;=0,'Исходные данные'!$B$88=""),0,IF(AND(YEAR(B95)=YEAR('Исходные данные'!$B$91),MONTH(B95)=MONTH('Исходные данные'!$B$91)),MAX(0,IF('Исходные данные'!$B$88="Последние 12 месяцев",SUMIFS($BF$2:$BF$194,$B$2:$B$194,"&gt;="&amp;EDATE(B95,-11),$B$2:$B$194,"&lt;="&amp;B95),IF('Исходные данные'!$B$88="Пользовательский NOI",N('Исходные данные'!$B$89),BL95))/N('Исходные данные'!$B$80)*(1+N('Исходные данные'!$B$81))),0))</f>
        <v>0</v>
      </c>
      <c r="BN95">
        <f>-BM95*N('Исходные данные'!$B$73)</f>
        <v>0</v>
      </c>
      <c r="BO95">
        <f>IF(BM95=0,0,-N('Исходные данные'!$B$87)-IF('Исходные данные'!$B$82="Да",IF('Исходные данные'!$B$84="С выручки",BM95,IF('Исходные данные'!$B$84="С прибыли",MAX(0,BM95+BN95-IF('Исходные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95">
        <f t="shared" si="50"/>
        <v>0</v>
      </c>
      <c r="BQ95">
        <f>IF(D95=1,Расчёты!AZ95+BE95+BH95+BK95+BP95,0)</f>
        <v>0</v>
      </c>
      <c r="BR95" t="str">
        <f t="shared" si="56"/>
        <v/>
      </c>
      <c r="BS95">
        <f>IF(OR(D95=0,'Исходные данные'!$B$9="",'Исходные данные'!$B$90=""),0,BQ95/(1+'Исходные данные'!$B$90)^((C95-'Исходные данные'!$B$9)/365))</f>
        <v>0</v>
      </c>
      <c r="BT95">
        <f>IF(D95=1,BE95+Расчёты!O95+Расчёты!Q95+Расчёты!S95+Расчёты!U95+Расчёты!W95+Расчёты!X95+BH95+BK95,0)</f>
        <v>0</v>
      </c>
      <c r="BU95">
        <f>IF(AND(D95=1,BR95&gt;=0,BR94&lt;0,MIN($BR$2:BR95)&lt;0),1,0)</f>
        <v>0</v>
      </c>
      <c r="BV95">
        <f>Расчёты!AZ95+K95+N95-P95*N('Исходные данные'!$B$50)</f>
        <v>0</v>
      </c>
      <c r="BW95">
        <f t="shared" si="57"/>
        <v>0</v>
      </c>
      <c r="BX95">
        <f>IF(AND(BW95&gt;=0,BW94&lt;0,MIN($BW$2:BW95)&lt;0),1,0)</f>
        <v>0</v>
      </c>
      <c r="BY95">
        <f>Расчёты!AZ95+AH95+AK95-AM95*N('Исходные данные'!$B$50)</f>
        <v>0</v>
      </c>
      <c r="BZ95">
        <f t="shared" si="58"/>
        <v>0</v>
      </c>
      <c r="CA95">
        <f>IF(AND(BZ95&gt;=0,BZ94&lt;0,MIN($BZ$2:BZ95)&lt;0),1,0)</f>
        <v>0</v>
      </c>
      <c r="CB95">
        <f>Расчёты!AZ95+BE95+BH95-BJ95*N('Исходные данные'!$B$50)</f>
        <v>0</v>
      </c>
      <c r="CC95">
        <f t="shared" si="59"/>
        <v>0</v>
      </c>
      <c r="CD95">
        <f>IF(AND(CC95&gt;=0,CC94&lt;0,MIN($CC$2:CC95)&lt;0),1,0)</f>
        <v>0</v>
      </c>
    </row>
    <row r="96" spans="1:82" x14ac:dyDescent="0.2">
      <c r="A96">
        <f>Расчёты!A96</f>
        <v>95</v>
      </c>
      <c r="B96" t="str">
        <f>Расчёты!B96</f>
        <v/>
      </c>
      <c r="C96" t="str">
        <f>Расчёты!D96</f>
        <v/>
      </c>
      <c r="D96">
        <f>Расчёты!E96</f>
        <v>0</v>
      </c>
      <c r="E96">
        <f>IF(Расчёты!F96=0,0,IF(Расчёты!G96=1,N('Сценарный анализ'!$B$5),IF(Расчёты!G96=2,N('Сценарный анализ'!$B$6),IF(Расчёты!G96=3,N('Сценарный анализ'!$B$7),N('Сценарный анализ'!$B$7)*(1+N('Сценарный анализ'!$B$8))^(Расчёты!G96-3)))))</f>
        <v>0</v>
      </c>
      <c r="F96">
        <f>IF(OR(Расчёты!F96=0,N('Исходные данные'!$B$5)=0,E96=0),0,N('Исходные данные'!$B$5)*E96*IF(AND(B96&lt;='Исходные данные'!$B$30,Расчёты!C96&gt;='Исходные данные'!$B$30),(Расчёты!C96-'Исходные данные'!$B$30+1)/DAY(Расчёты!C96),1))</f>
        <v>0</v>
      </c>
      <c r="G96">
        <f>IF(AND(Расчёты!F96&gt;0,Расчёты!F96&lt;=N('Исходные данные'!$B$37)),-F96,0)</f>
        <v>0</v>
      </c>
      <c r="H96">
        <f>IF(OR(Расчёты!F96=0,Расчёты!F96&lt;=N('Исходные данные'!$B$37)),0,-(F96+G96)*N('Сценарный анализ'!$B$9))</f>
        <v>0</v>
      </c>
      <c r="I96">
        <f t="shared" si="39"/>
        <v>0</v>
      </c>
      <c r="J96">
        <f>IF('Исходные данные'!$B$51="Да",I96*N('Исходные данные'!$B$52),0)</f>
        <v>0</v>
      </c>
      <c r="K96">
        <f t="shared" si="40"/>
        <v>0</v>
      </c>
      <c r="L96">
        <f>I96+(Расчёты!Y96-Расчёты!L96)</f>
        <v>0</v>
      </c>
      <c r="M96">
        <f t="shared" si="51"/>
        <v>0</v>
      </c>
      <c r="N96">
        <f>IF('Исходные данные'!$B$51="Да",-MAX(0,J96+Расчёты!R96+Расчёты!V96-Расчёты!P96-Расчёты!T96-M96),0)</f>
        <v>0</v>
      </c>
      <c r="O96">
        <f>IF('Исходные данные'!$B$51="Да",MAX(0,M96+Расчёты!P96+Расчёты!T96-J96-Расчёты!R96-Расчёты!V96),0)</f>
        <v>0</v>
      </c>
      <c r="P96">
        <f>IF('Исходные данные'!$B$53="Выручка",MAX(0,I96+(Расчёты!Q96-Расчёты!R96)+(Расчёты!U96-Расчёты!V96)),IF('Исходные данные'!$B$53="Прибыль до налога",MAX(0,I96+(Расчёты!Q96-Расчёты!R96)+(Расчёты!U96-Расчёты!V96)+N('Исходные данные'!$B$54)*((Расчёты!O96+Расчёты!P96)+(Расчёты!S96+Расчёты!T96)+Расчёты!W96+Расчёты!X96)+IF('Исходные данные'!$B$55="Да",Расчёты!AG96,0)-N('Исходные данные'!$B$56)/12),IF('Исходные данные'!$B$53="Пользовательская база",MAX(0,N('Исходные данные'!$B$57)/12),0)))</f>
        <v>0</v>
      </c>
      <c r="Q96">
        <f>IF(D96=1,-P96*N('Исходные данные'!$B$50),0)</f>
        <v>0</v>
      </c>
      <c r="R96">
        <f t="shared" si="41"/>
        <v>0</v>
      </c>
      <c r="S96">
        <f>IF(OR(D96&lt;&gt;1,B96="",'Исходные данные'!$B$91="",N('Исходные данные'!$B$80)&lt;=0,'Исходные данные'!$B$88=""),0,IF(AND(YEAR(B96)=YEAR('Исходные данные'!$B$91),MONTH(B96)=MONTH('Исходные данные'!$B$91)),MAX(0,IF('Исходные данные'!$B$88="Последние 12 месяцев",SUMIFS($L$2:$L$194,$B$2:$B$194,"&gt;="&amp;EDATE(B96,-11),$B$2:$B$194,"&lt;="&amp;B96),IF('Исходные данные'!$B$88="Пользовательский NOI",N('Исходные данные'!$B$89),R96))/N('Исходные данные'!$B$80)*(1+N('Исходные данные'!$B$81))),0))</f>
        <v>0</v>
      </c>
      <c r="T96">
        <f>-S96*N('Исходные данные'!$B$73)</f>
        <v>0</v>
      </c>
      <c r="U96">
        <f>IF(S96=0,0,-N('Исходные данные'!$B$87)-IF('Исходные данные'!$B$82="Да",IF('Исходные данные'!$B$84="С выручки",S96,IF('Исходные данные'!$B$84="С прибыли",MAX(0,S96+T96-IF('Исходные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96">
        <f t="shared" si="42"/>
        <v>0</v>
      </c>
      <c r="W96">
        <f>IF(D96=1,Расчёты!AZ96+K96+N96+Q96+V96,0)</f>
        <v>0</v>
      </c>
      <c r="X96" t="str">
        <f t="shared" si="52"/>
        <v/>
      </c>
      <c r="Y96">
        <f>IF(OR(D96=0,'Исходные данные'!$B$9="",'Исходные данные'!$B$90=""),0,W96/(1+'Исходные данные'!$B$90)^((C96-'Исходные данные'!$B$9)/365))</f>
        <v>0</v>
      </c>
      <c r="Z96">
        <f>IF(D96=1,K96+Расчёты!O96+Расчёты!Q96+Расчёты!S96+Расчёты!U96+Расчёты!W96+Расчёты!X96+N96+Q96,0)</f>
        <v>0</v>
      </c>
      <c r="AA96">
        <f>IF(AND(D96=1,X96&gt;=0,X95&lt;0,MIN($X$2:X96)&lt;0),1,0)</f>
        <v>0</v>
      </c>
      <c r="AB96">
        <f>IF(Расчёты!F96=0,0,IF(Расчёты!G96=1,N('Сценарный анализ'!$C$5),IF(Расчёты!G96=2,N('Сценарный анализ'!$C$6),IF(Расчёты!G96=3,N('Сценарный анализ'!$C$7),N('Сценарный анализ'!$C$7)*(1+N('Сценарный анализ'!$C$8))^(Расчёты!G96-3)))))</f>
        <v>0</v>
      </c>
      <c r="AC96">
        <f>IF(OR(Расчёты!F96=0,N('Исходные данные'!$B$5)=0,AB96=0),0,N('Исходные данные'!$B$5)*AB96*IF(AND(B96&lt;='Исходные данные'!$B$30,Расчёты!C96&gt;='Исходные данные'!$B$30),(Расчёты!C96-'Исходные данные'!$B$30+1)/DAY(Расчёты!C96),1))</f>
        <v>0</v>
      </c>
      <c r="AD96">
        <f>IF(AND(Расчёты!F96&gt;0,Расчёты!F96&lt;=N('Исходные данные'!$B$37)),-AC96,0)</f>
        <v>0</v>
      </c>
      <c r="AE96">
        <f>IF(OR(Расчёты!F96=0,Расчёты!F96&lt;=N('Исходные данные'!$B$37)),0,-(AC96+AD96)*N('Сценарный анализ'!$C$9))</f>
        <v>0</v>
      </c>
      <c r="AF96">
        <f t="shared" si="43"/>
        <v>0</v>
      </c>
      <c r="AG96">
        <f>IF('Исходные данные'!$B$51="Да",AF96*N('Исходные данные'!$B$52),0)</f>
        <v>0</v>
      </c>
      <c r="AH96">
        <f t="shared" si="44"/>
        <v>0</v>
      </c>
      <c r="AI96">
        <f>AF96+(Расчёты!Y96-Расчёты!L96)</f>
        <v>0</v>
      </c>
      <c r="AJ96">
        <f t="shared" si="53"/>
        <v>0</v>
      </c>
      <c r="AK96">
        <f>IF('Исходные данные'!$B$51="Да",-MAX(0,AG96+Расчёты!R96+Расчёты!V96-Расчёты!P96-Расчёты!T96-AJ96),0)</f>
        <v>0</v>
      </c>
      <c r="AL96">
        <f>IF('Исходные данные'!$B$51="Да",MAX(0,AJ96+Расчёты!P96+Расчёты!T96-AG96-Расчёты!R96-Расчёты!V96),0)</f>
        <v>0</v>
      </c>
      <c r="AM96">
        <f>IF('Исходные данные'!$B$53="Выручка",MAX(0,AF96+(Расчёты!Q96-Расчёты!R96)+(Расчёты!U96-Расчёты!V96)),IF('Исходные данные'!$B$53="Прибыль до налога",MAX(0,AF96+(Расчёты!Q96-Расчёты!R96)+(Расчёты!U96-Расчёты!V96)+N('Исходные данные'!$B$54)*((Расчёты!O96+Расчёты!P96)+(Расчёты!S96+Расчёты!T96)+Расчёты!W96+Расчёты!X96)+IF('Исходные данные'!$B$55="Да",Расчёты!AG96,0)-N('Исходные данные'!$B$56)/12),IF('Исходные данные'!$B$53="Пользовательская база",MAX(0,N('Исходные данные'!$B$57)/12),0)))</f>
        <v>0</v>
      </c>
      <c r="AN96">
        <f>IF(D96=1,-AM96*N('Исходные данные'!$B$50),0)</f>
        <v>0</v>
      </c>
      <c r="AO96">
        <f t="shared" si="45"/>
        <v>0</v>
      </c>
      <c r="AP96">
        <f>IF(OR(D96&lt;&gt;1,B96="",'Исходные данные'!$B$91="",N('Исходные данные'!$B$80)&lt;=0,'Исходные данные'!$B$88=""),0,IF(AND(YEAR(B96)=YEAR('Исходные данные'!$B$91),MONTH(B96)=MONTH('Исходные данные'!$B$91)),MAX(0,IF('Исходные данные'!$B$88="Последние 12 месяцев",SUMIFS($AI$2:$AI$194,$B$2:$B$194,"&gt;="&amp;EDATE(B96,-11),$B$2:$B$194,"&lt;="&amp;B96),IF('Исходные данные'!$B$88="Пользовательский NOI",N('Исходные данные'!$B$89),AO96))/N('Исходные данные'!$B$80)*(1+N('Исходные данные'!$B$81))),0))</f>
        <v>0</v>
      </c>
      <c r="AQ96">
        <f>-AP96*N('Исходные данные'!$B$73)</f>
        <v>0</v>
      </c>
      <c r="AR96">
        <f>IF(AP96=0,0,-N('Исходные данные'!$B$87)-IF('Исходные данные'!$B$82="Да",IF('Исходные данные'!$B$84="С выручки",AP96,IF('Исходные данные'!$B$84="С прибыли",MAX(0,AP96+AQ96-IF('Исходные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96">
        <f t="shared" si="46"/>
        <v>0</v>
      </c>
      <c r="AT96">
        <f>IF(D96=1,Расчёты!AZ96+AH96+AK96+AN96+AS96,0)</f>
        <v>0</v>
      </c>
      <c r="AU96" t="str">
        <f t="shared" si="54"/>
        <v/>
      </c>
      <c r="AV96">
        <f>IF(OR(D96=0,'Исходные данные'!$B$9="",'Исходные данные'!$B$90=""),0,AT96/(1+'Исходные данные'!$B$90)^((C96-'Исходные данные'!$B$9)/365))</f>
        <v>0</v>
      </c>
      <c r="AW96">
        <f>IF(D96=1,AH96+Расчёты!O96+Расчёты!Q96+Расчёты!S96+Расчёты!U96+Расчёты!W96+Расчёты!X96+AK96+AN96,0)</f>
        <v>0</v>
      </c>
      <c r="AX96">
        <f>IF(AND(D96=1,AU96&gt;=0,AU95&lt;0,MIN($AU$2:AU96)&lt;0),1,0)</f>
        <v>0</v>
      </c>
      <c r="AY96">
        <f>IF(Расчёты!F96=0,0,IF(Расчёты!G96=1,N('Сценарный анализ'!$D$5),IF(Расчёты!G96=2,N('Сценарный анализ'!$D$6),IF(Расчёты!G96=3,N('Сценарный анализ'!$D$7),N('Сценарный анализ'!$D$7)*(1+N('Сценарный анализ'!$D$8))^(Расчёты!G96-3)))))</f>
        <v>0</v>
      </c>
      <c r="AZ96">
        <f>IF(OR(Расчёты!F96=0,N('Исходные данные'!$B$5)=0,AY96=0),0,N('Исходные данные'!$B$5)*AY96*IF(AND(B96&lt;='Исходные данные'!$B$30,Расчёты!C96&gt;='Исходные данные'!$B$30),(Расчёты!C96-'Исходные данные'!$B$30+1)/DAY(Расчёты!C96),1))</f>
        <v>0</v>
      </c>
      <c r="BA96">
        <f>IF(AND(Расчёты!F96&gt;0,Расчёты!F96&lt;=N('Исходные данные'!$B$37)),-AZ96,0)</f>
        <v>0</v>
      </c>
      <c r="BB96">
        <f>IF(OR(Расчёты!F96=0,Расчёты!F96&lt;=N('Исходные данные'!$B$37)),0,-(AZ96+BA96)*N('Сценарный анализ'!$D$9))</f>
        <v>0</v>
      </c>
      <c r="BC96">
        <f t="shared" si="47"/>
        <v>0</v>
      </c>
      <c r="BD96">
        <f>IF('Исходные данные'!$B$51="Да",BC96*N('Исходные данные'!$B$52),0)</f>
        <v>0</v>
      </c>
      <c r="BE96">
        <f t="shared" si="48"/>
        <v>0</v>
      </c>
      <c r="BF96">
        <f>BC96+(Расчёты!Y96-Расчёты!L96)</f>
        <v>0</v>
      </c>
      <c r="BG96">
        <f t="shared" si="55"/>
        <v>0</v>
      </c>
      <c r="BH96">
        <f>IF('Исходные данные'!$B$51="Да",-MAX(0,BD96+Расчёты!R96+Расчёты!V96-Расчёты!P96-Расчёты!T96-BG96),0)</f>
        <v>0</v>
      </c>
      <c r="BI96">
        <f>IF('Исходные данные'!$B$51="Да",MAX(0,BG96+Расчёты!P96+Расчёты!T96-BD96-Расчёты!R96-Расчёты!V96),0)</f>
        <v>0</v>
      </c>
      <c r="BJ96">
        <f>IF('Исходные данные'!$B$53="Выручка",MAX(0,BC96+(Расчёты!Q96-Расчёты!R96)+(Расчёты!U96-Расчёты!V96)),IF('Исходные данные'!$B$53="Прибыль до налога",MAX(0,BC96+(Расчёты!Q96-Расчёты!R96)+(Расчёты!U96-Расчёты!V96)+N('Исходные данные'!$B$54)*((Расчёты!O96+Расчёты!P96)+(Расчёты!S96+Расчёты!T96)+Расчёты!W96+Расчёты!X96)+IF('Исходные данные'!$B$55="Да",Расчёты!AG96,0)-N('Исходные данные'!$B$56)/12),IF('Исходные данные'!$B$53="Пользовательская база",MAX(0,N('Исходные данные'!$B$57)/12),0)))</f>
        <v>0</v>
      </c>
      <c r="BK96">
        <f>IF(D96=1,-BJ96*N('Исходные данные'!$B$50),0)</f>
        <v>0</v>
      </c>
      <c r="BL96">
        <f t="shared" si="49"/>
        <v>0</v>
      </c>
      <c r="BM96">
        <f>IF(OR(D96&lt;&gt;1,B96="",'Исходные данные'!$B$91="",N('Исходные данные'!$B$80)&lt;=0,'Исходные данные'!$B$88=""),0,IF(AND(YEAR(B96)=YEAR('Исходные данные'!$B$91),MONTH(B96)=MONTH('Исходные данные'!$B$91)),MAX(0,IF('Исходные данные'!$B$88="Последние 12 месяцев",SUMIFS($BF$2:$BF$194,$B$2:$B$194,"&gt;="&amp;EDATE(B96,-11),$B$2:$B$194,"&lt;="&amp;B96),IF('Исходные данные'!$B$88="Пользовательский NOI",N('Исходные данные'!$B$89),BL96))/N('Исходные данные'!$B$80)*(1+N('Исходные данные'!$B$81))),0))</f>
        <v>0</v>
      </c>
      <c r="BN96">
        <f>-BM96*N('Исходные данные'!$B$73)</f>
        <v>0</v>
      </c>
      <c r="BO96">
        <f>IF(BM96=0,0,-N('Исходные данные'!$B$87)-IF('Исходные данные'!$B$82="Да",IF('Исходные данные'!$B$84="С выручки",BM96,IF('Исходные данные'!$B$84="С прибыли",MAX(0,BM96+BN96-IF('Исходные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96">
        <f t="shared" si="50"/>
        <v>0</v>
      </c>
      <c r="BQ96">
        <f>IF(D96=1,Расчёты!AZ96+BE96+BH96+BK96+BP96,0)</f>
        <v>0</v>
      </c>
      <c r="BR96" t="str">
        <f t="shared" si="56"/>
        <v/>
      </c>
      <c r="BS96">
        <f>IF(OR(D96=0,'Исходные данные'!$B$9="",'Исходные данные'!$B$90=""),0,BQ96/(1+'Исходные данные'!$B$90)^((C96-'Исходные данные'!$B$9)/365))</f>
        <v>0</v>
      </c>
      <c r="BT96">
        <f>IF(D96=1,BE96+Расчёты!O96+Расчёты!Q96+Расчёты!S96+Расчёты!U96+Расчёты!W96+Расчёты!X96+BH96+BK96,0)</f>
        <v>0</v>
      </c>
      <c r="BU96">
        <f>IF(AND(D96=1,BR96&gt;=0,BR95&lt;0,MIN($BR$2:BR96)&lt;0),1,0)</f>
        <v>0</v>
      </c>
      <c r="BV96">
        <f>Расчёты!AZ96+K96+N96-P96*N('Исходные данные'!$B$50)</f>
        <v>0</v>
      </c>
      <c r="BW96">
        <f t="shared" si="57"/>
        <v>0</v>
      </c>
      <c r="BX96">
        <f>IF(AND(BW96&gt;=0,BW95&lt;0,MIN($BW$2:BW96)&lt;0),1,0)</f>
        <v>0</v>
      </c>
      <c r="BY96">
        <f>Расчёты!AZ96+AH96+AK96-AM96*N('Исходные данные'!$B$50)</f>
        <v>0</v>
      </c>
      <c r="BZ96">
        <f t="shared" si="58"/>
        <v>0</v>
      </c>
      <c r="CA96">
        <f>IF(AND(BZ96&gt;=0,BZ95&lt;0,MIN($BZ$2:BZ96)&lt;0),1,0)</f>
        <v>0</v>
      </c>
      <c r="CB96">
        <f>Расчёты!AZ96+BE96+BH96-BJ96*N('Исходные данные'!$B$50)</f>
        <v>0</v>
      </c>
      <c r="CC96">
        <f t="shared" si="59"/>
        <v>0</v>
      </c>
      <c r="CD96">
        <f>IF(AND(CC96&gt;=0,CC95&lt;0,MIN($CC$2:CC96)&lt;0),1,0)</f>
        <v>0</v>
      </c>
    </row>
    <row r="97" spans="1:82" x14ac:dyDescent="0.2">
      <c r="A97">
        <f>Расчёты!A97</f>
        <v>96</v>
      </c>
      <c r="B97" t="str">
        <f>Расчёты!B97</f>
        <v/>
      </c>
      <c r="C97" t="str">
        <f>Расчёты!D97</f>
        <v/>
      </c>
      <c r="D97">
        <f>Расчёты!E97</f>
        <v>0</v>
      </c>
      <c r="E97">
        <f>IF(Расчёты!F97=0,0,IF(Расчёты!G97=1,N('Сценарный анализ'!$B$5),IF(Расчёты!G97=2,N('Сценарный анализ'!$B$6),IF(Расчёты!G97=3,N('Сценарный анализ'!$B$7),N('Сценарный анализ'!$B$7)*(1+N('Сценарный анализ'!$B$8))^(Расчёты!G97-3)))))</f>
        <v>0</v>
      </c>
      <c r="F97">
        <f>IF(OR(Расчёты!F97=0,N('Исходные данные'!$B$5)=0,E97=0),0,N('Исходные данные'!$B$5)*E97*IF(AND(B97&lt;='Исходные данные'!$B$30,Расчёты!C97&gt;='Исходные данные'!$B$30),(Расчёты!C97-'Исходные данные'!$B$30+1)/DAY(Расчёты!C97),1))</f>
        <v>0</v>
      </c>
      <c r="G97">
        <f>IF(AND(Расчёты!F97&gt;0,Расчёты!F97&lt;=N('Исходные данные'!$B$37)),-F97,0)</f>
        <v>0</v>
      </c>
      <c r="H97">
        <f>IF(OR(Расчёты!F97=0,Расчёты!F97&lt;=N('Исходные данные'!$B$37)),0,-(F97+G97)*N('Сценарный анализ'!$B$9))</f>
        <v>0</v>
      </c>
      <c r="I97">
        <f t="shared" si="39"/>
        <v>0</v>
      </c>
      <c r="J97">
        <f>IF('Исходные данные'!$B$51="Да",I97*N('Исходные данные'!$B$52),0)</f>
        <v>0</v>
      </c>
      <c r="K97">
        <f t="shared" si="40"/>
        <v>0</v>
      </c>
      <c r="L97">
        <f>I97+(Расчёты!Y97-Расчёты!L97)</f>
        <v>0</v>
      </c>
      <c r="M97">
        <f t="shared" si="51"/>
        <v>0</v>
      </c>
      <c r="N97">
        <f>IF('Исходные данные'!$B$51="Да",-MAX(0,J97+Расчёты!R97+Расчёты!V97-Расчёты!P97-Расчёты!T97-M97),0)</f>
        <v>0</v>
      </c>
      <c r="O97">
        <f>IF('Исходные данные'!$B$51="Да",MAX(0,M97+Расчёты!P97+Расчёты!T97-J97-Расчёты!R97-Расчёты!V97),0)</f>
        <v>0</v>
      </c>
      <c r="P97">
        <f>IF('Исходные данные'!$B$53="Выручка",MAX(0,I97+(Расчёты!Q97-Расчёты!R97)+(Расчёты!U97-Расчёты!V97)),IF('Исходные данные'!$B$53="Прибыль до налога",MAX(0,I97+(Расчёты!Q97-Расчёты!R97)+(Расчёты!U97-Расчёты!V97)+N('Исходные данные'!$B$54)*((Расчёты!O97+Расчёты!P97)+(Расчёты!S97+Расчёты!T97)+Расчёты!W97+Расчёты!X97)+IF('Исходные данные'!$B$55="Да",Расчёты!AG97,0)-N('Исходные данные'!$B$56)/12),IF('Исходные данные'!$B$53="Пользовательская база",MAX(0,N('Исходные данные'!$B$57)/12),0)))</f>
        <v>0</v>
      </c>
      <c r="Q97">
        <f>IF(D97=1,-P97*N('Исходные данные'!$B$50),0)</f>
        <v>0</v>
      </c>
      <c r="R97">
        <f t="shared" si="41"/>
        <v>0</v>
      </c>
      <c r="S97">
        <f>IF(OR(D97&lt;&gt;1,B97="",'Исходные данные'!$B$91="",N('Исходные данные'!$B$80)&lt;=0,'Исходные данные'!$B$88=""),0,IF(AND(YEAR(B97)=YEAR('Исходные данные'!$B$91),MONTH(B97)=MONTH('Исходные данные'!$B$91)),MAX(0,IF('Исходные данные'!$B$88="Последние 12 месяцев",SUMIFS($L$2:$L$194,$B$2:$B$194,"&gt;="&amp;EDATE(B97,-11),$B$2:$B$194,"&lt;="&amp;B97),IF('Исходные данные'!$B$88="Пользовательский NOI",N('Исходные данные'!$B$89),R97))/N('Исходные данные'!$B$80)*(1+N('Исходные данные'!$B$81))),0))</f>
        <v>0</v>
      </c>
      <c r="T97">
        <f>-S97*N('Исходные данные'!$B$73)</f>
        <v>0</v>
      </c>
      <c r="U97">
        <f>IF(S97=0,0,-N('Исходные данные'!$B$87)-IF('Исходные данные'!$B$82="Да",IF('Исходные данные'!$B$84="С выручки",S97,IF('Исходные данные'!$B$84="С прибыли",MAX(0,S97+T97-IF('Исходные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97">
        <f t="shared" si="42"/>
        <v>0</v>
      </c>
      <c r="W97">
        <f>IF(D97=1,Расчёты!AZ97+K97+N97+Q97+V97,0)</f>
        <v>0</v>
      </c>
      <c r="X97" t="str">
        <f t="shared" si="52"/>
        <v/>
      </c>
      <c r="Y97">
        <f>IF(OR(D97=0,'Исходные данные'!$B$9="",'Исходные данные'!$B$90=""),0,W97/(1+'Исходные данные'!$B$90)^((C97-'Исходные данные'!$B$9)/365))</f>
        <v>0</v>
      </c>
      <c r="Z97">
        <f>IF(D97=1,K97+Расчёты!O97+Расчёты!Q97+Расчёты!S97+Расчёты!U97+Расчёты!W97+Расчёты!X97+N97+Q97,0)</f>
        <v>0</v>
      </c>
      <c r="AA97">
        <f>IF(AND(D97=1,X97&gt;=0,X96&lt;0,MIN($X$2:X97)&lt;0),1,0)</f>
        <v>0</v>
      </c>
      <c r="AB97">
        <f>IF(Расчёты!F97=0,0,IF(Расчёты!G97=1,N('Сценарный анализ'!$C$5),IF(Расчёты!G97=2,N('Сценарный анализ'!$C$6),IF(Расчёты!G97=3,N('Сценарный анализ'!$C$7),N('Сценарный анализ'!$C$7)*(1+N('Сценарный анализ'!$C$8))^(Расчёты!G97-3)))))</f>
        <v>0</v>
      </c>
      <c r="AC97">
        <f>IF(OR(Расчёты!F97=0,N('Исходные данные'!$B$5)=0,AB97=0),0,N('Исходные данные'!$B$5)*AB97*IF(AND(B97&lt;='Исходные данные'!$B$30,Расчёты!C97&gt;='Исходные данные'!$B$30),(Расчёты!C97-'Исходные данные'!$B$30+1)/DAY(Расчёты!C97),1))</f>
        <v>0</v>
      </c>
      <c r="AD97">
        <f>IF(AND(Расчёты!F97&gt;0,Расчёты!F97&lt;=N('Исходные данные'!$B$37)),-AC97,0)</f>
        <v>0</v>
      </c>
      <c r="AE97">
        <f>IF(OR(Расчёты!F97=0,Расчёты!F97&lt;=N('Исходные данные'!$B$37)),0,-(AC97+AD97)*N('Сценарный анализ'!$C$9))</f>
        <v>0</v>
      </c>
      <c r="AF97">
        <f t="shared" si="43"/>
        <v>0</v>
      </c>
      <c r="AG97">
        <f>IF('Исходные данные'!$B$51="Да",AF97*N('Исходные данные'!$B$52),0)</f>
        <v>0</v>
      </c>
      <c r="AH97">
        <f t="shared" si="44"/>
        <v>0</v>
      </c>
      <c r="AI97">
        <f>AF97+(Расчёты!Y97-Расчёты!L97)</f>
        <v>0</v>
      </c>
      <c r="AJ97">
        <f t="shared" si="53"/>
        <v>0</v>
      </c>
      <c r="AK97">
        <f>IF('Исходные данные'!$B$51="Да",-MAX(0,AG97+Расчёты!R97+Расчёты!V97-Расчёты!P97-Расчёты!T97-AJ97),0)</f>
        <v>0</v>
      </c>
      <c r="AL97">
        <f>IF('Исходные данные'!$B$51="Да",MAX(0,AJ97+Расчёты!P97+Расчёты!T97-AG97-Расчёты!R97-Расчёты!V97),0)</f>
        <v>0</v>
      </c>
      <c r="AM97">
        <f>IF('Исходные данные'!$B$53="Выручка",MAX(0,AF97+(Расчёты!Q97-Расчёты!R97)+(Расчёты!U97-Расчёты!V97)),IF('Исходные данные'!$B$53="Прибыль до налога",MAX(0,AF97+(Расчёты!Q97-Расчёты!R97)+(Расчёты!U97-Расчёты!V97)+N('Исходные данные'!$B$54)*((Расчёты!O97+Расчёты!P97)+(Расчёты!S97+Расчёты!T97)+Расчёты!W97+Расчёты!X97)+IF('Исходные данные'!$B$55="Да",Расчёты!AG97,0)-N('Исходные данные'!$B$56)/12),IF('Исходные данные'!$B$53="Пользовательская база",MAX(0,N('Исходные данные'!$B$57)/12),0)))</f>
        <v>0</v>
      </c>
      <c r="AN97">
        <f>IF(D97=1,-AM97*N('Исходные данные'!$B$50),0)</f>
        <v>0</v>
      </c>
      <c r="AO97">
        <f t="shared" si="45"/>
        <v>0</v>
      </c>
      <c r="AP97">
        <f>IF(OR(D97&lt;&gt;1,B97="",'Исходные данные'!$B$91="",N('Исходные данные'!$B$80)&lt;=0,'Исходные данные'!$B$88=""),0,IF(AND(YEAR(B97)=YEAR('Исходные данные'!$B$91),MONTH(B97)=MONTH('Исходные данные'!$B$91)),MAX(0,IF('Исходные данные'!$B$88="Последние 12 месяцев",SUMIFS($AI$2:$AI$194,$B$2:$B$194,"&gt;="&amp;EDATE(B97,-11),$B$2:$B$194,"&lt;="&amp;B97),IF('Исходные данные'!$B$88="Пользовательский NOI",N('Исходные данные'!$B$89),AO97))/N('Исходные данные'!$B$80)*(1+N('Исходные данные'!$B$81))),0))</f>
        <v>0</v>
      </c>
      <c r="AQ97">
        <f>-AP97*N('Исходные данные'!$B$73)</f>
        <v>0</v>
      </c>
      <c r="AR97">
        <f>IF(AP97=0,0,-N('Исходные данные'!$B$87)-IF('Исходные данные'!$B$82="Да",IF('Исходные данные'!$B$84="С выручки",AP97,IF('Исходные данные'!$B$84="С прибыли",MAX(0,AP97+AQ97-IF('Исходные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97">
        <f t="shared" si="46"/>
        <v>0</v>
      </c>
      <c r="AT97">
        <f>IF(D97=1,Расчёты!AZ97+AH97+AK97+AN97+AS97,0)</f>
        <v>0</v>
      </c>
      <c r="AU97" t="str">
        <f t="shared" si="54"/>
        <v/>
      </c>
      <c r="AV97">
        <f>IF(OR(D97=0,'Исходные данные'!$B$9="",'Исходные данные'!$B$90=""),0,AT97/(1+'Исходные данные'!$B$90)^((C97-'Исходные данные'!$B$9)/365))</f>
        <v>0</v>
      </c>
      <c r="AW97">
        <f>IF(D97=1,AH97+Расчёты!O97+Расчёты!Q97+Расчёты!S97+Расчёты!U97+Расчёты!W97+Расчёты!X97+AK97+AN97,0)</f>
        <v>0</v>
      </c>
      <c r="AX97">
        <f>IF(AND(D97=1,AU97&gt;=0,AU96&lt;0,MIN($AU$2:AU97)&lt;0),1,0)</f>
        <v>0</v>
      </c>
      <c r="AY97">
        <f>IF(Расчёты!F97=0,0,IF(Расчёты!G97=1,N('Сценарный анализ'!$D$5),IF(Расчёты!G97=2,N('Сценарный анализ'!$D$6),IF(Расчёты!G97=3,N('Сценарный анализ'!$D$7),N('Сценарный анализ'!$D$7)*(1+N('Сценарный анализ'!$D$8))^(Расчёты!G97-3)))))</f>
        <v>0</v>
      </c>
      <c r="AZ97">
        <f>IF(OR(Расчёты!F97=0,N('Исходные данные'!$B$5)=0,AY97=0),0,N('Исходные данные'!$B$5)*AY97*IF(AND(B97&lt;='Исходные данные'!$B$30,Расчёты!C97&gt;='Исходные данные'!$B$30),(Расчёты!C97-'Исходные данные'!$B$30+1)/DAY(Расчёты!C97),1))</f>
        <v>0</v>
      </c>
      <c r="BA97">
        <f>IF(AND(Расчёты!F97&gt;0,Расчёты!F97&lt;=N('Исходные данные'!$B$37)),-AZ97,0)</f>
        <v>0</v>
      </c>
      <c r="BB97">
        <f>IF(OR(Расчёты!F97=0,Расчёты!F97&lt;=N('Исходные данные'!$B$37)),0,-(AZ97+BA97)*N('Сценарный анализ'!$D$9))</f>
        <v>0</v>
      </c>
      <c r="BC97">
        <f t="shared" si="47"/>
        <v>0</v>
      </c>
      <c r="BD97">
        <f>IF('Исходные данные'!$B$51="Да",BC97*N('Исходные данные'!$B$52),0)</f>
        <v>0</v>
      </c>
      <c r="BE97">
        <f t="shared" si="48"/>
        <v>0</v>
      </c>
      <c r="BF97">
        <f>BC97+(Расчёты!Y97-Расчёты!L97)</f>
        <v>0</v>
      </c>
      <c r="BG97">
        <f t="shared" si="55"/>
        <v>0</v>
      </c>
      <c r="BH97">
        <f>IF('Исходные данные'!$B$51="Да",-MAX(0,BD97+Расчёты!R97+Расчёты!V97-Расчёты!P97-Расчёты!T97-BG97),0)</f>
        <v>0</v>
      </c>
      <c r="BI97">
        <f>IF('Исходные данные'!$B$51="Да",MAX(0,BG97+Расчёты!P97+Расчёты!T97-BD97-Расчёты!R97-Расчёты!V97),0)</f>
        <v>0</v>
      </c>
      <c r="BJ97">
        <f>IF('Исходные данные'!$B$53="Выручка",MAX(0,BC97+(Расчёты!Q97-Расчёты!R97)+(Расчёты!U97-Расчёты!V97)),IF('Исходные данные'!$B$53="Прибыль до налога",MAX(0,BC97+(Расчёты!Q97-Расчёты!R97)+(Расчёты!U97-Расчёты!V97)+N('Исходные данные'!$B$54)*((Расчёты!O97+Расчёты!P97)+(Расчёты!S97+Расчёты!T97)+Расчёты!W97+Расчёты!X97)+IF('Исходные данные'!$B$55="Да",Расчёты!AG97,0)-N('Исходные данные'!$B$56)/12),IF('Исходные данные'!$B$53="Пользовательская база",MAX(0,N('Исходные данные'!$B$57)/12),0)))</f>
        <v>0</v>
      </c>
      <c r="BK97">
        <f>IF(D97=1,-BJ97*N('Исходные данные'!$B$50),0)</f>
        <v>0</v>
      </c>
      <c r="BL97">
        <f t="shared" si="49"/>
        <v>0</v>
      </c>
      <c r="BM97">
        <f>IF(OR(D97&lt;&gt;1,B97="",'Исходные данные'!$B$91="",N('Исходные данные'!$B$80)&lt;=0,'Исходные данные'!$B$88=""),0,IF(AND(YEAR(B97)=YEAR('Исходные данные'!$B$91),MONTH(B97)=MONTH('Исходные данные'!$B$91)),MAX(0,IF('Исходные данные'!$B$88="Последние 12 месяцев",SUMIFS($BF$2:$BF$194,$B$2:$B$194,"&gt;="&amp;EDATE(B97,-11),$B$2:$B$194,"&lt;="&amp;B97),IF('Исходные данные'!$B$88="Пользовательский NOI",N('Исходные данные'!$B$89),BL97))/N('Исходные данные'!$B$80)*(1+N('Исходные данные'!$B$81))),0))</f>
        <v>0</v>
      </c>
      <c r="BN97">
        <f>-BM97*N('Исходные данные'!$B$73)</f>
        <v>0</v>
      </c>
      <c r="BO97">
        <f>IF(BM97=0,0,-N('Исходные данные'!$B$87)-IF('Исходные данные'!$B$82="Да",IF('Исходные данные'!$B$84="С выручки",BM97,IF('Исходные данные'!$B$84="С прибыли",MAX(0,BM97+BN97-IF('Исходные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97">
        <f t="shared" si="50"/>
        <v>0</v>
      </c>
      <c r="BQ97">
        <f>IF(D97=1,Расчёты!AZ97+BE97+BH97+BK97+BP97,0)</f>
        <v>0</v>
      </c>
      <c r="BR97" t="str">
        <f t="shared" si="56"/>
        <v/>
      </c>
      <c r="BS97">
        <f>IF(OR(D97=0,'Исходные данные'!$B$9="",'Исходные данные'!$B$90=""),0,BQ97/(1+'Исходные данные'!$B$90)^((C97-'Исходные данные'!$B$9)/365))</f>
        <v>0</v>
      </c>
      <c r="BT97">
        <f>IF(D97=1,BE97+Расчёты!O97+Расчёты!Q97+Расчёты!S97+Расчёты!U97+Расчёты!W97+Расчёты!X97+BH97+BK97,0)</f>
        <v>0</v>
      </c>
      <c r="BU97">
        <f>IF(AND(D97=1,BR97&gt;=0,BR96&lt;0,MIN($BR$2:BR97)&lt;0),1,0)</f>
        <v>0</v>
      </c>
      <c r="BV97">
        <f>Расчёты!AZ97+K97+N97-P97*N('Исходные данные'!$B$50)</f>
        <v>0</v>
      </c>
      <c r="BW97">
        <f t="shared" si="57"/>
        <v>0</v>
      </c>
      <c r="BX97">
        <f>IF(AND(BW97&gt;=0,BW96&lt;0,MIN($BW$2:BW97)&lt;0),1,0)</f>
        <v>0</v>
      </c>
      <c r="BY97">
        <f>Расчёты!AZ97+AH97+AK97-AM97*N('Исходные данные'!$B$50)</f>
        <v>0</v>
      </c>
      <c r="BZ97">
        <f t="shared" si="58"/>
        <v>0</v>
      </c>
      <c r="CA97">
        <f>IF(AND(BZ97&gt;=0,BZ96&lt;0,MIN($BZ$2:BZ97)&lt;0),1,0)</f>
        <v>0</v>
      </c>
      <c r="CB97">
        <f>Расчёты!AZ97+BE97+BH97-BJ97*N('Исходные данные'!$B$50)</f>
        <v>0</v>
      </c>
      <c r="CC97">
        <f t="shared" si="59"/>
        <v>0</v>
      </c>
      <c r="CD97">
        <f>IF(AND(CC97&gt;=0,CC96&lt;0,MIN($CC$2:CC97)&lt;0),1,0)</f>
        <v>0</v>
      </c>
    </row>
    <row r="98" spans="1:82" x14ac:dyDescent="0.2">
      <c r="A98">
        <f>Расчёты!A98</f>
        <v>97</v>
      </c>
      <c r="B98" t="str">
        <f>Расчёты!B98</f>
        <v/>
      </c>
      <c r="C98" t="str">
        <f>Расчёты!D98</f>
        <v/>
      </c>
      <c r="D98">
        <f>Расчёты!E98</f>
        <v>0</v>
      </c>
      <c r="E98">
        <f>IF(Расчёты!F98=0,0,IF(Расчёты!G98=1,N('Сценарный анализ'!$B$5),IF(Расчёты!G98=2,N('Сценарный анализ'!$B$6),IF(Расчёты!G98=3,N('Сценарный анализ'!$B$7),N('Сценарный анализ'!$B$7)*(1+N('Сценарный анализ'!$B$8))^(Расчёты!G98-3)))))</f>
        <v>0</v>
      </c>
      <c r="F98">
        <f>IF(OR(Расчёты!F98=0,N('Исходные данные'!$B$5)=0,E98=0),0,N('Исходные данные'!$B$5)*E98*IF(AND(B98&lt;='Исходные данные'!$B$30,Расчёты!C98&gt;='Исходные данные'!$B$30),(Расчёты!C98-'Исходные данные'!$B$30+1)/DAY(Расчёты!C98),1))</f>
        <v>0</v>
      </c>
      <c r="G98">
        <f>IF(AND(Расчёты!F98&gt;0,Расчёты!F98&lt;=N('Исходные данные'!$B$37)),-F98,0)</f>
        <v>0</v>
      </c>
      <c r="H98">
        <f>IF(OR(Расчёты!F98=0,Расчёты!F98&lt;=N('Исходные данные'!$B$37)),0,-(F98+G98)*N('Сценарный анализ'!$B$9))</f>
        <v>0</v>
      </c>
      <c r="I98">
        <f t="shared" ref="I98:I129" si="60">F98+G98+H98</f>
        <v>0</v>
      </c>
      <c r="J98">
        <f>IF('Исходные данные'!$B$51="Да",I98*N('Исходные данные'!$B$52),0)</f>
        <v>0</v>
      </c>
      <c r="K98">
        <f t="shared" ref="K98:K129" si="61">I98+J98</f>
        <v>0</v>
      </c>
      <c r="L98">
        <f>I98+(Расчёты!Y98-Расчёты!L98)</f>
        <v>0</v>
      </c>
      <c r="M98">
        <f t="shared" si="51"/>
        <v>0</v>
      </c>
      <c r="N98">
        <f>IF('Исходные данные'!$B$51="Да",-MAX(0,J98+Расчёты!R98+Расчёты!V98-Расчёты!P98-Расчёты!T98-M98),0)</f>
        <v>0</v>
      </c>
      <c r="O98">
        <f>IF('Исходные данные'!$B$51="Да",MAX(0,M98+Расчёты!P98+Расчёты!T98-J98-Расчёты!R98-Расчёты!V98),0)</f>
        <v>0</v>
      </c>
      <c r="P98">
        <f>IF('Исходные данные'!$B$53="Выручка",MAX(0,I98+(Расчёты!Q98-Расчёты!R98)+(Расчёты!U98-Расчёты!V98)),IF('Исходные данные'!$B$53="Прибыль до налога",MAX(0,I98+(Расчёты!Q98-Расчёты!R98)+(Расчёты!U98-Расчёты!V98)+N('Исходные данные'!$B$54)*((Расчёты!O98+Расчёты!P98)+(Расчёты!S98+Расчёты!T98)+Расчёты!W98+Расчёты!X98)+IF('Исходные данные'!$B$55="Да",Расчёты!AG98,0)-N('Исходные данные'!$B$56)/12),IF('Исходные данные'!$B$53="Пользовательская база",MAX(0,N('Исходные данные'!$B$57)/12),0)))</f>
        <v>0</v>
      </c>
      <c r="Q98">
        <f>IF(D98=1,-P98*N('Исходные данные'!$B$50),0)</f>
        <v>0</v>
      </c>
      <c r="R98">
        <f t="shared" ref="R98:R129" si="62">IF(B98="",0,SUMIFS($L$2:$L$194,$B$2:$B$194,"&gt;"&amp;B98,$B$2:$B$194,"&lt;="&amp;EDATE(B98,12)))</f>
        <v>0</v>
      </c>
      <c r="S98">
        <f>IF(OR(D98&lt;&gt;1,B98="",'Исходные данные'!$B$91="",N('Исходные данные'!$B$80)&lt;=0,'Исходные данные'!$B$88=""),0,IF(AND(YEAR(B98)=YEAR('Исходные данные'!$B$91),MONTH(B98)=MONTH('Исходные данные'!$B$91)),MAX(0,IF('Исходные данные'!$B$88="Последние 12 месяцев",SUMIFS($L$2:$L$194,$B$2:$B$194,"&gt;="&amp;EDATE(B98,-11),$B$2:$B$194,"&lt;="&amp;B98),IF('Исходные данные'!$B$88="Пользовательский NOI",N('Исходные данные'!$B$89),R98))/N('Исходные данные'!$B$80)*(1+N('Исходные данные'!$B$81))),0))</f>
        <v>0</v>
      </c>
      <c r="T98">
        <f>-S98*N('Исходные данные'!$B$73)</f>
        <v>0</v>
      </c>
      <c r="U98">
        <f>IF(S98=0,0,-N('Исходные данные'!$B$87)-IF('Исходные данные'!$B$82="Да",IF('Исходные данные'!$B$84="С выручки",S98,IF('Исходные данные'!$B$84="С прибыли",MAX(0,S98+T98-IF('Исходные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98">
        <f t="shared" ref="V98:V129" si="63">S98+T98+U98</f>
        <v>0</v>
      </c>
      <c r="W98">
        <f>IF(D98=1,Расчёты!AZ98+K98+N98+Q98+V98,0)</f>
        <v>0</v>
      </c>
      <c r="X98" t="str">
        <f t="shared" si="52"/>
        <v/>
      </c>
      <c r="Y98">
        <f>IF(OR(D98=0,'Исходные данные'!$B$9="",'Исходные данные'!$B$90=""),0,W98/(1+'Исходные данные'!$B$90)^((C98-'Исходные данные'!$B$9)/365))</f>
        <v>0</v>
      </c>
      <c r="Z98">
        <f>IF(D98=1,K98+Расчёты!O98+Расчёты!Q98+Расчёты!S98+Расчёты!U98+Расчёты!W98+Расчёты!X98+N98+Q98,0)</f>
        <v>0</v>
      </c>
      <c r="AA98">
        <f>IF(AND(D98=1,X98&gt;=0,X97&lt;0,MIN($X$2:X98)&lt;0),1,0)</f>
        <v>0</v>
      </c>
      <c r="AB98">
        <f>IF(Расчёты!F98=0,0,IF(Расчёты!G98=1,N('Сценарный анализ'!$C$5),IF(Расчёты!G98=2,N('Сценарный анализ'!$C$6),IF(Расчёты!G98=3,N('Сценарный анализ'!$C$7),N('Сценарный анализ'!$C$7)*(1+N('Сценарный анализ'!$C$8))^(Расчёты!G98-3)))))</f>
        <v>0</v>
      </c>
      <c r="AC98">
        <f>IF(OR(Расчёты!F98=0,N('Исходные данные'!$B$5)=0,AB98=0),0,N('Исходные данные'!$B$5)*AB98*IF(AND(B98&lt;='Исходные данные'!$B$30,Расчёты!C98&gt;='Исходные данные'!$B$30),(Расчёты!C98-'Исходные данные'!$B$30+1)/DAY(Расчёты!C98),1))</f>
        <v>0</v>
      </c>
      <c r="AD98">
        <f>IF(AND(Расчёты!F98&gt;0,Расчёты!F98&lt;=N('Исходные данные'!$B$37)),-AC98,0)</f>
        <v>0</v>
      </c>
      <c r="AE98">
        <f>IF(OR(Расчёты!F98=0,Расчёты!F98&lt;=N('Исходные данные'!$B$37)),0,-(AC98+AD98)*N('Сценарный анализ'!$C$9))</f>
        <v>0</v>
      </c>
      <c r="AF98">
        <f t="shared" ref="AF98:AF129" si="64">AC98+AD98+AE98</f>
        <v>0</v>
      </c>
      <c r="AG98">
        <f>IF('Исходные данные'!$B$51="Да",AF98*N('Исходные данные'!$B$52),0)</f>
        <v>0</v>
      </c>
      <c r="AH98">
        <f t="shared" ref="AH98:AH129" si="65">AF98+AG98</f>
        <v>0</v>
      </c>
      <c r="AI98">
        <f>AF98+(Расчёты!Y98-Расчёты!L98)</f>
        <v>0</v>
      </c>
      <c r="AJ98">
        <f t="shared" si="53"/>
        <v>0</v>
      </c>
      <c r="AK98">
        <f>IF('Исходные данные'!$B$51="Да",-MAX(0,AG98+Расчёты!R98+Расчёты!V98-Расчёты!P98-Расчёты!T98-AJ98),0)</f>
        <v>0</v>
      </c>
      <c r="AL98">
        <f>IF('Исходные данные'!$B$51="Да",MAX(0,AJ98+Расчёты!P98+Расчёты!T98-AG98-Расчёты!R98-Расчёты!V98),0)</f>
        <v>0</v>
      </c>
      <c r="AM98">
        <f>IF('Исходные данные'!$B$53="Выручка",MAX(0,AF98+(Расчёты!Q98-Расчёты!R98)+(Расчёты!U98-Расчёты!V98)),IF('Исходные данные'!$B$53="Прибыль до налога",MAX(0,AF98+(Расчёты!Q98-Расчёты!R98)+(Расчёты!U98-Расчёты!V98)+N('Исходные данные'!$B$54)*((Расчёты!O98+Расчёты!P98)+(Расчёты!S98+Расчёты!T98)+Расчёты!W98+Расчёты!X98)+IF('Исходные данные'!$B$55="Да",Расчёты!AG98,0)-N('Исходные данные'!$B$56)/12),IF('Исходные данные'!$B$53="Пользовательская база",MAX(0,N('Исходные данные'!$B$57)/12),0)))</f>
        <v>0</v>
      </c>
      <c r="AN98">
        <f>IF(D98=1,-AM98*N('Исходные данные'!$B$50),0)</f>
        <v>0</v>
      </c>
      <c r="AO98">
        <f t="shared" ref="AO98:AO129" si="66">IF(B98="",0,SUMIFS($AI$2:$AI$194,$B$2:$B$194,"&gt;"&amp;B98,$B$2:$B$194,"&lt;="&amp;EDATE(B98,12)))</f>
        <v>0</v>
      </c>
      <c r="AP98">
        <f>IF(OR(D98&lt;&gt;1,B98="",'Исходные данные'!$B$91="",N('Исходные данные'!$B$80)&lt;=0,'Исходные данные'!$B$88=""),0,IF(AND(YEAR(B98)=YEAR('Исходные данные'!$B$91),MONTH(B98)=MONTH('Исходные данные'!$B$91)),MAX(0,IF('Исходные данные'!$B$88="Последние 12 месяцев",SUMIFS($AI$2:$AI$194,$B$2:$B$194,"&gt;="&amp;EDATE(B98,-11),$B$2:$B$194,"&lt;="&amp;B98),IF('Исходные данные'!$B$88="Пользовательский NOI",N('Исходные данные'!$B$89),AO98))/N('Исходные данные'!$B$80)*(1+N('Исходные данные'!$B$81))),0))</f>
        <v>0</v>
      </c>
      <c r="AQ98">
        <f>-AP98*N('Исходные данные'!$B$73)</f>
        <v>0</v>
      </c>
      <c r="AR98">
        <f>IF(AP98=0,0,-N('Исходные данные'!$B$87)-IF('Исходные данные'!$B$82="Да",IF('Исходные данные'!$B$84="С выручки",AP98,IF('Исходные данные'!$B$84="С прибыли",MAX(0,AP98+AQ98-IF('Исходные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98">
        <f t="shared" ref="AS98:AS129" si="67">AP98+AQ98+AR98</f>
        <v>0</v>
      </c>
      <c r="AT98">
        <f>IF(D98=1,Расчёты!AZ98+AH98+AK98+AN98+AS98,0)</f>
        <v>0</v>
      </c>
      <c r="AU98" t="str">
        <f t="shared" si="54"/>
        <v/>
      </c>
      <c r="AV98">
        <f>IF(OR(D98=0,'Исходные данные'!$B$9="",'Исходные данные'!$B$90=""),0,AT98/(1+'Исходные данные'!$B$90)^((C98-'Исходные данные'!$B$9)/365))</f>
        <v>0</v>
      </c>
      <c r="AW98">
        <f>IF(D98=1,AH98+Расчёты!O98+Расчёты!Q98+Расчёты!S98+Расчёты!U98+Расчёты!W98+Расчёты!X98+AK98+AN98,0)</f>
        <v>0</v>
      </c>
      <c r="AX98">
        <f>IF(AND(D98=1,AU98&gt;=0,AU97&lt;0,MIN($AU$2:AU98)&lt;0),1,0)</f>
        <v>0</v>
      </c>
      <c r="AY98">
        <f>IF(Расчёты!F98=0,0,IF(Расчёты!G98=1,N('Сценарный анализ'!$D$5),IF(Расчёты!G98=2,N('Сценарный анализ'!$D$6),IF(Расчёты!G98=3,N('Сценарный анализ'!$D$7),N('Сценарный анализ'!$D$7)*(1+N('Сценарный анализ'!$D$8))^(Расчёты!G98-3)))))</f>
        <v>0</v>
      </c>
      <c r="AZ98">
        <f>IF(OR(Расчёты!F98=0,N('Исходные данные'!$B$5)=0,AY98=0),0,N('Исходные данные'!$B$5)*AY98*IF(AND(B98&lt;='Исходные данные'!$B$30,Расчёты!C98&gt;='Исходные данные'!$B$30),(Расчёты!C98-'Исходные данные'!$B$30+1)/DAY(Расчёты!C98),1))</f>
        <v>0</v>
      </c>
      <c r="BA98">
        <f>IF(AND(Расчёты!F98&gt;0,Расчёты!F98&lt;=N('Исходные данные'!$B$37)),-AZ98,0)</f>
        <v>0</v>
      </c>
      <c r="BB98">
        <f>IF(OR(Расчёты!F98=0,Расчёты!F98&lt;=N('Исходные данные'!$B$37)),0,-(AZ98+BA98)*N('Сценарный анализ'!$D$9))</f>
        <v>0</v>
      </c>
      <c r="BC98">
        <f t="shared" ref="BC98:BC129" si="68">AZ98+BA98+BB98</f>
        <v>0</v>
      </c>
      <c r="BD98">
        <f>IF('Исходные данные'!$B$51="Да",BC98*N('Исходные данные'!$B$52),0)</f>
        <v>0</v>
      </c>
      <c r="BE98">
        <f t="shared" ref="BE98:BE129" si="69">BC98+BD98</f>
        <v>0</v>
      </c>
      <c r="BF98">
        <f>BC98+(Расчёты!Y98-Расчёты!L98)</f>
        <v>0</v>
      </c>
      <c r="BG98">
        <f t="shared" si="55"/>
        <v>0</v>
      </c>
      <c r="BH98">
        <f>IF('Исходные данные'!$B$51="Да",-MAX(0,BD98+Расчёты!R98+Расчёты!V98-Расчёты!P98-Расчёты!T98-BG98),0)</f>
        <v>0</v>
      </c>
      <c r="BI98">
        <f>IF('Исходные данные'!$B$51="Да",MAX(0,BG98+Расчёты!P98+Расчёты!T98-BD98-Расчёты!R98-Расчёты!V98),0)</f>
        <v>0</v>
      </c>
      <c r="BJ98">
        <f>IF('Исходные данные'!$B$53="Выручка",MAX(0,BC98+(Расчёты!Q98-Расчёты!R98)+(Расчёты!U98-Расчёты!V98)),IF('Исходные данные'!$B$53="Прибыль до налога",MAX(0,BC98+(Расчёты!Q98-Расчёты!R98)+(Расчёты!U98-Расчёты!V98)+N('Исходные данные'!$B$54)*((Расчёты!O98+Расчёты!P98)+(Расчёты!S98+Расчёты!T98)+Расчёты!W98+Расчёты!X98)+IF('Исходные данные'!$B$55="Да",Расчёты!AG98,0)-N('Исходные данные'!$B$56)/12),IF('Исходные данные'!$B$53="Пользовательская база",MAX(0,N('Исходные данные'!$B$57)/12),0)))</f>
        <v>0</v>
      </c>
      <c r="BK98">
        <f>IF(D98=1,-BJ98*N('Исходные данные'!$B$50),0)</f>
        <v>0</v>
      </c>
      <c r="BL98">
        <f t="shared" ref="BL98:BL129" si="70">IF(B98="",0,SUMIFS($BF$2:$BF$194,$B$2:$B$194,"&gt;"&amp;B98,$B$2:$B$194,"&lt;="&amp;EDATE(B98,12)))</f>
        <v>0</v>
      </c>
      <c r="BM98">
        <f>IF(OR(D98&lt;&gt;1,B98="",'Исходные данные'!$B$91="",N('Исходные данные'!$B$80)&lt;=0,'Исходные данные'!$B$88=""),0,IF(AND(YEAR(B98)=YEAR('Исходные данные'!$B$91),MONTH(B98)=MONTH('Исходные данные'!$B$91)),MAX(0,IF('Исходные данные'!$B$88="Последние 12 месяцев",SUMIFS($BF$2:$BF$194,$B$2:$B$194,"&gt;="&amp;EDATE(B98,-11),$B$2:$B$194,"&lt;="&amp;B98),IF('Исходные данные'!$B$88="Пользовательский NOI",N('Исходные данные'!$B$89),BL98))/N('Исходные данные'!$B$80)*(1+N('Исходные данные'!$B$81))),0))</f>
        <v>0</v>
      </c>
      <c r="BN98">
        <f>-BM98*N('Исходные данные'!$B$73)</f>
        <v>0</v>
      </c>
      <c r="BO98">
        <f>IF(BM98=0,0,-N('Исходные данные'!$B$87)-IF('Исходные данные'!$B$82="Да",IF('Исходные данные'!$B$84="С выручки",BM98,IF('Исходные данные'!$B$84="С прибыли",MAX(0,BM98+BN98-IF('Исходные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98">
        <f t="shared" ref="BP98:BP129" si="71">BM98+BN98+BO98</f>
        <v>0</v>
      </c>
      <c r="BQ98">
        <f>IF(D98=1,Расчёты!AZ98+BE98+BH98+BK98+BP98,0)</f>
        <v>0</v>
      </c>
      <c r="BR98" t="str">
        <f t="shared" si="56"/>
        <v/>
      </c>
      <c r="BS98">
        <f>IF(OR(D98=0,'Исходные данные'!$B$9="",'Исходные данные'!$B$90=""),0,BQ98/(1+'Исходные данные'!$B$90)^((C98-'Исходные данные'!$B$9)/365))</f>
        <v>0</v>
      </c>
      <c r="BT98">
        <f>IF(D98=1,BE98+Расчёты!O98+Расчёты!Q98+Расчёты!S98+Расчёты!U98+Расчёты!W98+Расчёты!X98+BH98+BK98,0)</f>
        <v>0</v>
      </c>
      <c r="BU98">
        <f>IF(AND(D98=1,BR98&gt;=0,BR97&lt;0,MIN($BR$2:BR98)&lt;0),1,0)</f>
        <v>0</v>
      </c>
      <c r="BV98">
        <f>Расчёты!AZ98+K98+N98-P98*N('Исходные данные'!$B$50)</f>
        <v>0</v>
      </c>
      <c r="BW98">
        <f t="shared" si="57"/>
        <v>0</v>
      </c>
      <c r="BX98">
        <f>IF(AND(BW98&gt;=0,BW97&lt;0,MIN($BW$2:BW98)&lt;0),1,0)</f>
        <v>0</v>
      </c>
      <c r="BY98">
        <f>Расчёты!AZ98+AH98+AK98-AM98*N('Исходные данные'!$B$50)</f>
        <v>0</v>
      </c>
      <c r="BZ98">
        <f t="shared" si="58"/>
        <v>0</v>
      </c>
      <c r="CA98">
        <f>IF(AND(BZ98&gt;=0,BZ97&lt;0,MIN($BZ$2:BZ98)&lt;0),1,0)</f>
        <v>0</v>
      </c>
      <c r="CB98">
        <f>Расчёты!AZ98+BE98+BH98-BJ98*N('Исходные данные'!$B$50)</f>
        <v>0</v>
      </c>
      <c r="CC98">
        <f t="shared" si="59"/>
        <v>0</v>
      </c>
      <c r="CD98">
        <f>IF(AND(CC98&gt;=0,CC97&lt;0,MIN($CC$2:CC98)&lt;0),1,0)</f>
        <v>0</v>
      </c>
    </row>
    <row r="99" spans="1:82" x14ac:dyDescent="0.2">
      <c r="A99">
        <f>Расчёты!A99</f>
        <v>98</v>
      </c>
      <c r="B99" t="str">
        <f>Расчёты!B99</f>
        <v/>
      </c>
      <c r="C99" t="str">
        <f>Расчёты!D99</f>
        <v/>
      </c>
      <c r="D99">
        <f>Расчёты!E99</f>
        <v>0</v>
      </c>
      <c r="E99">
        <f>IF(Расчёты!F99=0,0,IF(Расчёты!G99=1,N('Сценарный анализ'!$B$5),IF(Расчёты!G99=2,N('Сценарный анализ'!$B$6),IF(Расчёты!G99=3,N('Сценарный анализ'!$B$7),N('Сценарный анализ'!$B$7)*(1+N('Сценарный анализ'!$B$8))^(Расчёты!G99-3)))))</f>
        <v>0</v>
      </c>
      <c r="F99">
        <f>IF(OR(Расчёты!F99=0,N('Исходные данные'!$B$5)=0,E99=0),0,N('Исходные данные'!$B$5)*E99*IF(AND(B99&lt;='Исходные данные'!$B$30,Расчёты!C99&gt;='Исходные данные'!$B$30),(Расчёты!C99-'Исходные данные'!$B$30+1)/DAY(Расчёты!C99),1))</f>
        <v>0</v>
      </c>
      <c r="G99">
        <f>IF(AND(Расчёты!F99&gt;0,Расчёты!F99&lt;=N('Исходные данные'!$B$37)),-F99,0)</f>
        <v>0</v>
      </c>
      <c r="H99">
        <f>IF(OR(Расчёты!F99=0,Расчёты!F99&lt;=N('Исходные данные'!$B$37)),0,-(F99+G99)*N('Сценарный анализ'!$B$9))</f>
        <v>0</v>
      </c>
      <c r="I99">
        <f t="shared" si="60"/>
        <v>0</v>
      </c>
      <c r="J99">
        <f>IF('Исходные данные'!$B$51="Да",I99*N('Исходные данные'!$B$52),0)</f>
        <v>0</v>
      </c>
      <c r="K99">
        <f t="shared" si="61"/>
        <v>0</v>
      </c>
      <c r="L99">
        <f>I99+(Расчёты!Y99-Расчёты!L99)</f>
        <v>0</v>
      </c>
      <c r="M99">
        <f t="shared" ref="M99:M130" si="72">O98</f>
        <v>0</v>
      </c>
      <c r="N99">
        <f>IF('Исходные данные'!$B$51="Да",-MAX(0,J99+Расчёты!R99+Расчёты!V99-Расчёты!P99-Расчёты!T99-M99),0)</f>
        <v>0</v>
      </c>
      <c r="O99">
        <f>IF('Исходные данные'!$B$51="Да",MAX(0,M99+Расчёты!P99+Расчёты!T99-J99-Расчёты!R99-Расчёты!V99),0)</f>
        <v>0</v>
      </c>
      <c r="P99">
        <f>IF('Исходные данные'!$B$53="Выручка",MAX(0,I99+(Расчёты!Q99-Расчёты!R99)+(Расчёты!U99-Расчёты!V99)),IF('Исходные данные'!$B$53="Прибыль до налога",MAX(0,I99+(Расчёты!Q99-Расчёты!R99)+(Расчёты!U99-Расчёты!V99)+N('Исходные данные'!$B$54)*((Расчёты!O99+Расчёты!P99)+(Расчёты!S99+Расчёты!T99)+Расчёты!W99+Расчёты!X99)+IF('Исходные данные'!$B$55="Да",Расчёты!AG99,0)-N('Исходные данные'!$B$56)/12),IF('Исходные данные'!$B$53="Пользовательская база",MAX(0,N('Исходные данные'!$B$57)/12),0)))</f>
        <v>0</v>
      </c>
      <c r="Q99">
        <f>IF(D99=1,-P99*N('Исходные данные'!$B$50),0)</f>
        <v>0</v>
      </c>
      <c r="R99">
        <f t="shared" si="62"/>
        <v>0</v>
      </c>
      <c r="S99">
        <f>IF(OR(D99&lt;&gt;1,B99="",'Исходные данные'!$B$91="",N('Исходные данные'!$B$80)&lt;=0,'Исходные данные'!$B$88=""),0,IF(AND(YEAR(B99)=YEAR('Исходные данные'!$B$91),MONTH(B99)=MONTH('Исходные данные'!$B$91)),MAX(0,IF('Исходные данные'!$B$88="Последние 12 месяцев",SUMIFS($L$2:$L$194,$B$2:$B$194,"&gt;="&amp;EDATE(B99,-11),$B$2:$B$194,"&lt;="&amp;B99),IF('Исходные данные'!$B$88="Пользовательский NOI",N('Исходные данные'!$B$89),R99))/N('Исходные данные'!$B$80)*(1+N('Исходные данные'!$B$81))),0))</f>
        <v>0</v>
      </c>
      <c r="T99">
        <f>-S99*N('Исходные данные'!$B$73)</f>
        <v>0</v>
      </c>
      <c r="U99">
        <f>IF(S99=0,0,-N('Исходные данные'!$B$87)-IF('Исходные данные'!$B$82="Да",IF('Исходные данные'!$B$84="С выручки",S99,IF('Исходные данные'!$B$84="С прибыли",MAX(0,S99+T99-IF('Исходные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99">
        <f t="shared" si="63"/>
        <v>0</v>
      </c>
      <c r="W99">
        <f>IF(D99=1,Расчёты!AZ99+K99+N99+Q99+V99,0)</f>
        <v>0</v>
      </c>
      <c r="X99" t="str">
        <f t="shared" ref="X99:X130" si="73">IF(D99=1,X98+W99,"")</f>
        <v/>
      </c>
      <c r="Y99">
        <f>IF(OR(D99=0,'Исходные данные'!$B$9="",'Исходные данные'!$B$90=""),0,W99/(1+'Исходные данные'!$B$90)^((C99-'Исходные данные'!$B$9)/365))</f>
        <v>0</v>
      </c>
      <c r="Z99">
        <f>IF(D99=1,K99+Расчёты!O99+Расчёты!Q99+Расчёты!S99+Расчёты!U99+Расчёты!W99+Расчёты!X99+N99+Q99,0)</f>
        <v>0</v>
      </c>
      <c r="AA99">
        <f>IF(AND(D99=1,X99&gt;=0,X98&lt;0,MIN($X$2:X99)&lt;0),1,0)</f>
        <v>0</v>
      </c>
      <c r="AB99">
        <f>IF(Расчёты!F99=0,0,IF(Расчёты!G99=1,N('Сценарный анализ'!$C$5),IF(Расчёты!G99=2,N('Сценарный анализ'!$C$6),IF(Расчёты!G99=3,N('Сценарный анализ'!$C$7),N('Сценарный анализ'!$C$7)*(1+N('Сценарный анализ'!$C$8))^(Расчёты!G99-3)))))</f>
        <v>0</v>
      </c>
      <c r="AC99">
        <f>IF(OR(Расчёты!F99=0,N('Исходные данные'!$B$5)=0,AB99=0),0,N('Исходные данные'!$B$5)*AB99*IF(AND(B99&lt;='Исходные данные'!$B$30,Расчёты!C99&gt;='Исходные данные'!$B$30),(Расчёты!C99-'Исходные данные'!$B$30+1)/DAY(Расчёты!C99),1))</f>
        <v>0</v>
      </c>
      <c r="AD99">
        <f>IF(AND(Расчёты!F99&gt;0,Расчёты!F99&lt;=N('Исходные данные'!$B$37)),-AC99,0)</f>
        <v>0</v>
      </c>
      <c r="AE99">
        <f>IF(OR(Расчёты!F99=0,Расчёты!F99&lt;=N('Исходные данные'!$B$37)),0,-(AC99+AD99)*N('Сценарный анализ'!$C$9))</f>
        <v>0</v>
      </c>
      <c r="AF99">
        <f t="shared" si="64"/>
        <v>0</v>
      </c>
      <c r="AG99">
        <f>IF('Исходные данные'!$B$51="Да",AF99*N('Исходные данные'!$B$52),0)</f>
        <v>0</v>
      </c>
      <c r="AH99">
        <f t="shared" si="65"/>
        <v>0</v>
      </c>
      <c r="AI99">
        <f>AF99+(Расчёты!Y99-Расчёты!L99)</f>
        <v>0</v>
      </c>
      <c r="AJ99">
        <f t="shared" ref="AJ99:AJ130" si="74">AL98</f>
        <v>0</v>
      </c>
      <c r="AK99">
        <f>IF('Исходные данные'!$B$51="Да",-MAX(0,AG99+Расчёты!R99+Расчёты!V99-Расчёты!P99-Расчёты!T99-AJ99),0)</f>
        <v>0</v>
      </c>
      <c r="AL99">
        <f>IF('Исходные данные'!$B$51="Да",MAX(0,AJ99+Расчёты!P99+Расчёты!T99-AG99-Расчёты!R99-Расчёты!V99),0)</f>
        <v>0</v>
      </c>
      <c r="AM99">
        <f>IF('Исходные данные'!$B$53="Выручка",MAX(0,AF99+(Расчёты!Q99-Расчёты!R99)+(Расчёты!U99-Расчёты!V99)),IF('Исходные данные'!$B$53="Прибыль до налога",MAX(0,AF99+(Расчёты!Q99-Расчёты!R99)+(Расчёты!U99-Расчёты!V99)+N('Исходные данные'!$B$54)*((Расчёты!O99+Расчёты!P99)+(Расчёты!S99+Расчёты!T99)+Расчёты!W99+Расчёты!X99)+IF('Исходные данные'!$B$55="Да",Расчёты!AG99,0)-N('Исходные данные'!$B$56)/12),IF('Исходные данные'!$B$53="Пользовательская база",MAX(0,N('Исходные данные'!$B$57)/12),0)))</f>
        <v>0</v>
      </c>
      <c r="AN99">
        <f>IF(D99=1,-AM99*N('Исходные данные'!$B$50),0)</f>
        <v>0</v>
      </c>
      <c r="AO99">
        <f t="shared" si="66"/>
        <v>0</v>
      </c>
      <c r="AP99">
        <f>IF(OR(D99&lt;&gt;1,B99="",'Исходные данные'!$B$91="",N('Исходные данные'!$B$80)&lt;=0,'Исходные данные'!$B$88=""),0,IF(AND(YEAR(B99)=YEAR('Исходные данные'!$B$91),MONTH(B99)=MONTH('Исходные данные'!$B$91)),MAX(0,IF('Исходные данные'!$B$88="Последние 12 месяцев",SUMIFS($AI$2:$AI$194,$B$2:$B$194,"&gt;="&amp;EDATE(B99,-11),$B$2:$B$194,"&lt;="&amp;B99),IF('Исходные данные'!$B$88="Пользовательский NOI",N('Исходные данные'!$B$89),AO99))/N('Исходные данные'!$B$80)*(1+N('Исходные данные'!$B$81))),0))</f>
        <v>0</v>
      </c>
      <c r="AQ99">
        <f>-AP99*N('Исходные данные'!$B$73)</f>
        <v>0</v>
      </c>
      <c r="AR99">
        <f>IF(AP99=0,0,-N('Исходные данные'!$B$87)-IF('Исходные данные'!$B$82="Да",IF('Исходные данные'!$B$84="С выручки",AP99,IF('Исходные данные'!$B$84="С прибыли",MAX(0,AP99+AQ99-IF('Исходные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99">
        <f t="shared" si="67"/>
        <v>0</v>
      </c>
      <c r="AT99">
        <f>IF(D99=1,Расчёты!AZ99+AH99+AK99+AN99+AS99,0)</f>
        <v>0</v>
      </c>
      <c r="AU99" t="str">
        <f t="shared" ref="AU99:AU130" si="75">IF(D99=1,AU98+AT99,"")</f>
        <v/>
      </c>
      <c r="AV99">
        <f>IF(OR(D99=0,'Исходные данные'!$B$9="",'Исходные данные'!$B$90=""),0,AT99/(1+'Исходные данные'!$B$90)^((C99-'Исходные данные'!$B$9)/365))</f>
        <v>0</v>
      </c>
      <c r="AW99">
        <f>IF(D99=1,AH99+Расчёты!O99+Расчёты!Q99+Расчёты!S99+Расчёты!U99+Расчёты!W99+Расчёты!X99+AK99+AN99,0)</f>
        <v>0</v>
      </c>
      <c r="AX99">
        <f>IF(AND(D99=1,AU99&gt;=0,AU98&lt;0,MIN($AU$2:AU99)&lt;0),1,0)</f>
        <v>0</v>
      </c>
      <c r="AY99">
        <f>IF(Расчёты!F99=0,0,IF(Расчёты!G99=1,N('Сценарный анализ'!$D$5),IF(Расчёты!G99=2,N('Сценарный анализ'!$D$6),IF(Расчёты!G99=3,N('Сценарный анализ'!$D$7),N('Сценарный анализ'!$D$7)*(1+N('Сценарный анализ'!$D$8))^(Расчёты!G99-3)))))</f>
        <v>0</v>
      </c>
      <c r="AZ99">
        <f>IF(OR(Расчёты!F99=0,N('Исходные данные'!$B$5)=0,AY99=0),0,N('Исходные данные'!$B$5)*AY99*IF(AND(B99&lt;='Исходные данные'!$B$30,Расчёты!C99&gt;='Исходные данные'!$B$30),(Расчёты!C99-'Исходные данные'!$B$30+1)/DAY(Расчёты!C99),1))</f>
        <v>0</v>
      </c>
      <c r="BA99">
        <f>IF(AND(Расчёты!F99&gt;0,Расчёты!F99&lt;=N('Исходные данные'!$B$37)),-AZ99,0)</f>
        <v>0</v>
      </c>
      <c r="BB99">
        <f>IF(OR(Расчёты!F99=0,Расчёты!F99&lt;=N('Исходные данные'!$B$37)),0,-(AZ99+BA99)*N('Сценарный анализ'!$D$9))</f>
        <v>0</v>
      </c>
      <c r="BC99">
        <f t="shared" si="68"/>
        <v>0</v>
      </c>
      <c r="BD99">
        <f>IF('Исходные данные'!$B$51="Да",BC99*N('Исходные данные'!$B$52),0)</f>
        <v>0</v>
      </c>
      <c r="BE99">
        <f t="shared" si="69"/>
        <v>0</v>
      </c>
      <c r="BF99">
        <f>BC99+(Расчёты!Y99-Расчёты!L99)</f>
        <v>0</v>
      </c>
      <c r="BG99">
        <f t="shared" ref="BG99:BG130" si="76">BI98</f>
        <v>0</v>
      </c>
      <c r="BH99">
        <f>IF('Исходные данные'!$B$51="Да",-MAX(0,BD99+Расчёты!R99+Расчёты!V99-Расчёты!P99-Расчёты!T99-BG99),0)</f>
        <v>0</v>
      </c>
      <c r="BI99">
        <f>IF('Исходные данные'!$B$51="Да",MAX(0,BG99+Расчёты!P99+Расчёты!T99-BD99-Расчёты!R99-Расчёты!V99),0)</f>
        <v>0</v>
      </c>
      <c r="BJ99">
        <f>IF('Исходные данные'!$B$53="Выручка",MAX(0,BC99+(Расчёты!Q99-Расчёты!R99)+(Расчёты!U99-Расчёты!V99)),IF('Исходные данные'!$B$53="Прибыль до налога",MAX(0,BC99+(Расчёты!Q99-Расчёты!R99)+(Расчёты!U99-Расчёты!V99)+N('Исходные данные'!$B$54)*((Расчёты!O99+Расчёты!P99)+(Расчёты!S99+Расчёты!T99)+Расчёты!W99+Расчёты!X99)+IF('Исходные данные'!$B$55="Да",Расчёты!AG99,0)-N('Исходные данные'!$B$56)/12),IF('Исходные данные'!$B$53="Пользовательская база",MAX(0,N('Исходные данные'!$B$57)/12),0)))</f>
        <v>0</v>
      </c>
      <c r="BK99">
        <f>IF(D99=1,-BJ99*N('Исходные данные'!$B$50),0)</f>
        <v>0</v>
      </c>
      <c r="BL99">
        <f t="shared" si="70"/>
        <v>0</v>
      </c>
      <c r="BM99">
        <f>IF(OR(D99&lt;&gt;1,B99="",'Исходные данные'!$B$91="",N('Исходные данные'!$B$80)&lt;=0,'Исходные данные'!$B$88=""),0,IF(AND(YEAR(B99)=YEAR('Исходные данные'!$B$91),MONTH(B99)=MONTH('Исходные данные'!$B$91)),MAX(0,IF('Исходные данные'!$B$88="Последние 12 месяцев",SUMIFS($BF$2:$BF$194,$B$2:$B$194,"&gt;="&amp;EDATE(B99,-11),$B$2:$B$194,"&lt;="&amp;B99),IF('Исходные данные'!$B$88="Пользовательский NOI",N('Исходные данные'!$B$89),BL99))/N('Исходные данные'!$B$80)*(1+N('Исходные данные'!$B$81))),0))</f>
        <v>0</v>
      </c>
      <c r="BN99">
        <f>-BM99*N('Исходные данные'!$B$73)</f>
        <v>0</v>
      </c>
      <c r="BO99">
        <f>IF(BM99=0,0,-N('Исходные данные'!$B$87)-IF('Исходные данные'!$B$82="Да",IF('Исходные данные'!$B$84="С выручки",BM99,IF('Исходные данные'!$B$84="С прибыли",MAX(0,BM99+BN99-IF('Исходные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99">
        <f t="shared" si="71"/>
        <v>0</v>
      </c>
      <c r="BQ99">
        <f>IF(D99=1,Расчёты!AZ99+BE99+BH99+BK99+BP99,0)</f>
        <v>0</v>
      </c>
      <c r="BR99" t="str">
        <f t="shared" ref="BR99:BR130" si="77">IF(D99=1,BR98+BQ99,"")</f>
        <v/>
      </c>
      <c r="BS99">
        <f>IF(OR(D99=0,'Исходные данные'!$B$9="",'Исходные данные'!$B$90=""),0,BQ99/(1+'Исходные данные'!$B$90)^((C99-'Исходные данные'!$B$9)/365))</f>
        <v>0</v>
      </c>
      <c r="BT99">
        <f>IF(D99=1,BE99+Расчёты!O99+Расчёты!Q99+Расчёты!S99+Расчёты!U99+Расчёты!W99+Расчёты!X99+BH99+BK99,0)</f>
        <v>0</v>
      </c>
      <c r="BU99">
        <f>IF(AND(D99=1,BR99&gt;=0,BR98&lt;0,MIN($BR$2:BR99)&lt;0),1,0)</f>
        <v>0</v>
      </c>
      <c r="BV99">
        <f>Расчёты!AZ99+K99+N99-P99*N('Исходные данные'!$B$50)</f>
        <v>0</v>
      </c>
      <c r="BW99">
        <f t="shared" si="57"/>
        <v>0</v>
      </c>
      <c r="BX99">
        <f>IF(AND(BW99&gt;=0,BW98&lt;0,MIN($BW$2:BW99)&lt;0),1,0)</f>
        <v>0</v>
      </c>
      <c r="BY99">
        <f>Расчёты!AZ99+AH99+AK99-AM99*N('Исходные данные'!$B$50)</f>
        <v>0</v>
      </c>
      <c r="BZ99">
        <f t="shared" si="58"/>
        <v>0</v>
      </c>
      <c r="CA99">
        <f>IF(AND(BZ99&gt;=0,BZ98&lt;0,MIN($BZ$2:BZ99)&lt;0),1,0)</f>
        <v>0</v>
      </c>
      <c r="CB99">
        <f>Расчёты!AZ99+BE99+BH99-BJ99*N('Исходные данные'!$B$50)</f>
        <v>0</v>
      </c>
      <c r="CC99">
        <f t="shared" si="59"/>
        <v>0</v>
      </c>
      <c r="CD99">
        <f>IF(AND(CC99&gt;=0,CC98&lt;0,MIN($CC$2:CC99)&lt;0),1,0)</f>
        <v>0</v>
      </c>
    </row>
    <row r="100" spans="1:82" x14ac:dyDescent="0.2">
      <c r="A100">
        <f>Расчёты!A100</f>
        <v>99</v>
      </c>
      <c r="B100" t="str">
        <f>Расчёты!B100</f>
        <v/>
      </c>
      <c r="C100" t="str">
        <f>Расчёты!D100</f>
        <v/>
      </c>
      <c r="D100">
        <f>Расчёты!E100</f>
        <v>0</v>
      </c>
      <c r="E100">
        <f>IF(Расчёты!F100=0,0,IF(Расчёты!G100=1,N('Сценарный анализ'!$B$5),IF(Расчёты!G100=2,N('Сценарный анализ'!$B$6),IF(Расчёты!G100=3,N('Сценарный анализ'!$B$7),N('Сценарный анализ'!$B$7)*(1+N('Сценарный анализ'!$B$8))^(Расчёты!G100-3)))))</f>
        <v>0</v>
      </c>
      <c r="F100">
        <f>IF(OR(Расчёты!F100=0,N('Исходные данные'!$B$5)=0,E100=0),0,N('Исходные данные'!$B$5)*E100*IF(AND(B100&lt;='Исходные данные'!$B$30,Расчёты!C100&gt;='Исходные данные'!$B$30),(Расчёты!C100-'Исходные данные'!$B$30+1)/DAY(Расчёты!C100),1))</f>
        <v>0</v>
      </c>
      <c r="G100">
        <f>IF(AND(Расчёты!F100&gt;0,Расчёты!F100&lt;=N('Исходные данные'!$B$37)),-F100,0)</f>
        <v>0</v>
      </c>
      <c r="H100">
        <f>IF(OR(Расчёты!F100=0,Расчёты!F100&lt;=N('Исходные данные'!$B$37)),0,-(F100+G100)*N('Сценарный анализ'!$B$9))</f>
        <v>0</v>
      </c>
      <c r="I100">
        <f t="shared" si="60"/>
        <v>0</v>
      </c>
      <c r="J100">
        <f>IF('Исходные данные'!$B$51="Да",I100*N('Исходные данные'!$B$52),0)</f>
        <v>0</v>
      </c>
      <c r="K100">
        <f t="shared" si="61"/>
        <v>0</v>
      </c>
      <c r="L100">
        <f>I100+(Расчёты!Y100-Расчёты!L100)</f>
        <v>0</v>
      </c>
      <c r="M100">
        <f t="shared" si="72"/>
        <v>0</v>
      </c>
      <c r="N100">
        <f>IF('Исходные данные'!$B$51="Да",-MAX(0,J100+Расчёты!R100+Расчёты!V100-Расчёты!P100-Расчёты!T100-M100),0)</f>
        <v>0</v>
      </c>
      <c r="O100">
        <f>IF('Исходные данные'!$B$51="Да",MAX(0,M100+Расчёты!P100+Расчёты!T100-J100-Расчёты!R100-Расчёты!V100),0)</f>
        <v>0</v>
      </c>
      <c r="P100">
        <f>IF('Исходные данные'!$B$53="Выручка",MAX(0,I100+(Расчёты!Q100-Расчёты!R100)+(Расчёты!U100-Расчёты!V100)),IF('Исходные данные'!$B$53="Прибыль до налога",MAX(0,I100+(Расчёты!Q100-Расчёты!R100)+(Расчёты!U100-Расчёты!V100)+N('Исходные данные'!$B$54)*((Расчёты!O100+Расчёты!P100)+(Расчёты!S100+Расчёты!T100)+Расчёты!W100+Расчёты!X100)+IF('Исходные данные'!$B$55="Да",Расчёты!AG100,0)-N('Исходные данные'!$B$56)/12),IF('Исходные данные'!$B$53="Пользовательская база",MAX(0,N('Исходные данные'!$B$57)/12),0)))</f>
        <v>0</v>
      </c>
      <c r="Q100">
        <f>IF(D100=1,-P100*N('Исходные данные'!$B$50),0)</f>
        <v>0</v>
      </c>
      <c r="R100">
        <f t="shared" si="62"/>
        <v>0</v>
      </c>
      <c r="S100">
        <f>IF(OR(D100&lt;&gt;1,B100="",'Исходные данные'!$B$91="",N('Исходные данные'!$B$80)&lt;=0,'Исходные данные'!$B$88=""),0,IF(AND(YEAR(B100)=YEAR('Исходные данные'!$B$91),MONTH(B100)=MONTH('Исходные данные'!$B$91)),MAX(0,IF('Исходные данные'!$B$88="Последние 12 месяцев",SUMIFS($L$2:$L$194,$B$2:$B$194,"&gt;="&amp;EDATE(B100,-11),$B$2:$B$194,"&lt;="&amp;B100),IF('Исходные данные'!$B$88="Пользовательский NOI",N('Исходные данные'!$B$89),R100))/N('Исходные данные'!$B$80)*(1+N('Исходные данные'!$B$81))),0))</f>
        <v>0</v>
      </c>
      <c r="T100">
        <f>-S100*N('Исходные данные'!$B$73)</f>
        <v>0</v>
      </c>
      <c r="U100">
        <f>IF(S100=0,0,-N('Исходные данные'!$B$87)-IF('Исходные данные'!$B$82="Да",IF('Исходные данные'!$B$84="С выручки",S100,IF('Исходные данные'!$B$84="С прибыли",MAX(0,S100+T100-IF('Исходные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00">
        <f t="shared" si="63"/>
        <v>0</v>
      </c>
      <c r="W100">
        <f>IF(D100=1,Расчёты!AZ100+K100+N100+Q100+V100,0)</f>
        <v>0</v>
      </c>
      <c r="X100" t="str">
        <f t="shared" si="73"/>
        <v/>
      </c>
      <c r="Y100">
        <f>IF(OR(D100=0,'Исходные данные'!$B$9="",'Исходные данные'!$B$90=""),0,W100/(1+'Исходные данные'!$B$90)^((C100-'Исходные данные'!$B$9)/365))</f>
        <v>0</v>
      </c>
      <c r="Z100">
        <f>IF(D100=1,K100+Расчёты!O100+Расчёты!Q100+Расчёты!S100+Расчёты!U100+Расчёты!W100+Расчёты!X100+N100+Q100,0)</f>
        <v>0</v>
      </c>
      <c r="AA100">
        <f>IF(AND(D100=1,X100&gt;=0,X99&lt;0,MIN($X$2:X100)&lt;0),1,0)</f>
        <v>0</v>
      </c>
      <c r="AB100">
        <f>IF(Расчёты!F100=0,0,IF(Расчёты!G100=1,N('Сценарный анализ'!$C$5),IF(Расчёты!G100=2,N('Сценарный анализ'!$C$6),IF(Расчёты!G100=3,N('Сценарный анализ'!$C$7),N('Сценарный анализ'!$C$7)*(1+N('Сценарный анализ'!$C$8))^(Расчёты!G100-3)))))</f>
        <v>0</v>
      </c>
      <c r="AC100">
        <f>IF(OR(Расчёты!F100=0,N('Исходные данные'!$B$5)=0,AB100=0),0,N('Исходные данные'!$B$5)*AB100*IF(AND(B100&lt;='Исходные данные'!$B$30,Расчёты!C100&gt;='Исходные данные'!$B$30),(Расчёты!C100-'Исходные данные'!$B$30+1)/DAY(Расчёты!C100),1))</f>
        <v>0</v>
      </c>
      <c r="AD100">
        <f>IF(AND(Расчёты!F100&gt;0,Расчёты!F100&lt;=N('Исходные данные'!$B$37)),-AC100,0)</f>
        <v>0</v>
      </c>
      <c r="AE100">
        <f>IF(OR(Расчёты!F100=0,Расчёты!F100&lt;=N('Исходные данные'!$B$37)),0,-(AC100+AD100)*N('Сценарный анализ'!$C$9))</f>
        <v>0</v>
      </c>
      <c r="AF100">
        <f t="shared" si="64"/>
        <v>0</v>
      </c>
      <c r="AG100">
        <f>IF('Исходные данные'!$B$51="Да",AF100*N('Исходные данные'!$B$52),0)</f>
        <v>0</v>
      </c>
      <c r="AH100">
        <f t="shared" si="65"/>
        <v>0</v>
      </c>
      <c r="AI100">
        <f>AF100+(Расчёты!Y100-Расчёты!L100)</f>
        <v>0</v>
      </c>
      <c r="AJ100">
        <f t="shared" si="74"/>
        <v>0</v>
      </c>
      <c r="AK100">
        <f>IF('Исходные данные'!$B$51="Да",-MAX(0,AG100+Расчёты!R100+Расчёты!V100-Расчёты!P100-Расчёты!T100-AJ100),0)</f>
        <v>0</v>
      </c>
      <c r="AL100">
        <f>IF('Исходные данные'!$B$51="Да",MAX(0,AJ100+Расчёты!P100+Расчёты!T100-AG100-Расчёты!R100-Расчёты!V100),0)</f>
        <v>0</v>
      </c>
      <c r="AM100">
        <f>IF('Исходные данные'!$B$53="Выручка",MAX(0,AF100+(Расчёты!Q100-Расчёты!R100)+(Расчёты!U100-Расчёты!V100)),IF('Исходные данные'!$B$53="Прибыль до налога",MAX(0,AF100+(Расчёты!Q100-Расчёты!R100)+(Расчёты!U100-Расчёты!V100)+N('Исходные данные'!$B$54)*((Расчёты!O100+Расчёты!P100)+(Расчёты!S100+Расчёты!T100)+Расчёты!W100+Расчёты!X100)+IF('Исходные данные'!$B$55="Да",Расчёты!AG100,0)-N('Исходные данные'!$B$56)/12),IF('Исходные данные'!$B$53="Пользовательская база",MAX(0,N('Исходные данные'!$B$57)/12),0)))</f>
        <v>0</v>
      </c>
      <c r="AN100">
        <f>IF(D100=1,-AM100*N('Исходные данные'!$B$50),0)</f>
        <v>0</v>
      </c>
      <c r="AO100">
        <f t="shared" si="66"/>
        <v>0</v>
      </c>
      <c r="AP100">
        <f>IF(OR(D100&lt;&gt;1,B100="",'Исходные данные'!$B$91="",N('Исходные данные'!$B$80)&lt;=0,'Исходные данные'!$B$88=""),0,IF(AND(YEAR(B100)=YEAR('Исходные данные'!$B$91),MONTH(B100)=MONTH('Исходные данные'!$B$91)),MAX(0,IF('Исходные данные'!$B$88="Последние 12 месяцев",SUMIFS($AI$2:$AI$194,$B$2:$B$194,"&gt;="&amp;EDATE(B100,-11),$B$2:$B$194,"&lt;="&amp;B100),IF('Исходные данные'!$B$88="Пользовательский NOI",N('Исходные данные'!$B$89),AO100))/N('Исходные данные'!$B$80)*(1+N('Исходные данные'!$B$81))),0))</f>
        <v>0</v>
      </c>
      <c r="AQ100">
        <f>-AP100*N('Исходные данные'!$B$73)</f>
        <v>0</v>
      </c>
      <c r="AR100">
        <f>IF(AP100=0,0,-N('Исходные данные'!$B$87)-IF('Исходные данные'!$B$82="Да",IF('Исходные данные'!$B$84="С выручки",AP100,IF('Исходные данные'!$B$84="С прибыли",MAX(0,AP100+AQ100-IF('Исходные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00">
        <f t="shared" si="67"/>
        <v>0</v>
      </c>
      <c r="AT100">
        <f>IF(D100=1,Расчёты!AZ100+AH100+AK100+AN100+AS100,0)</f>
        <v>0</v>
      </c>
      <c r="AU100" t="str">
        <f t="shared" si="75"/>
        <v/>
      </c>
      <c r="AV100">
        <f>IF(OR(D100=0,'Исходные данные'!$B$9="",'Исходные данные'!$B$90=""),0,AT100/(1+'Исходные данные'!$B$90)^((C100-'Исходные данные'!$B$9)/365))</f>
        <v>0</v>
      </c>
      <c r="AW100">
        <f>IF(D100=1,AH100+Расчёты!O100+Расчёты!Q100+Расчёты!S100+Расчёты!U100+Расчёты!W100+Расчёты!X100+AK100+AN100,0)</f>
        <v>0</v>
      </c>
      <c r="AX100">
        <f>IF(AND(D100=1,AU100&gt;=0,AU99&lt;0,MIN($AU$2:AU100)&lt;0),1,0)</f>
        <v>0</v>
      </c>
      <c r="AY100">
        <f>IF(Расчёты!F100=0,0,IF(Расчёты!G100=1,N('Сценарный анализ'!$D$5),IF(Расчёты!G100=2,N('Сценарный анализ'!$D$6),IF(Расчёты!G100=3,N('Сценарный анализ'!$D$7),N('Сценарный анализ'!$D$7)*(1+N('Сценарный анализ'!$D$8))^(Расчёты!G100-3)))))</f>
        <v>0</v>
      </c>
      <c r="AZ100">
        <f>IF(OR(Расчёты!F100=0,N('Исходные данные'!$B$5)=0,AY100=0),0,N('Исходные данные'!$B$5)*AY100*IF(AND(B100&lt;='Исходные данные'!$B$30,Расчёты!C100&gt;='Исходные данные'!$B$30),(Расчёты!C100-'Исходные данные'!$B$30+1)/DAY(Расчёты!C100),1))</f>
        <v>0</v>
      </c>
      <c r="BA100">
        <f>IF(AND(Расчёты!F100&gt;0,Расчёты!F100&lt;=N('Исходные данные'!$B$37)),-AZ100,0)</f>
        <v>0</v>
      </c>
      <c r="BB100">
        <f>IF(OR(Расчёты!F100=0,Расчёты!F100&lt;=N('Исходные данные'!$B$37)),0,-(AZ100+BA100)*N('Сценарный анализ'!$D$9))</f>
        <v>0</v>
      </c>
      <c r="BC100">
        <f t="shared" si="68"/>
        <v>0</v>
      </c>
      <c r="BD100">
        <f>IF('Исходные данные'!$B$51="Да",BC100*N('Исходные данные'!$B$52),0)</f>
        <v>0</v>
      </c>
      <c r="BE100">
        <f t="shared" si="69"/>
        <v>0</v>
      </c>
      <c r="BF100">
        <f>BC100+(Расчёты!Y100-Расчёты!L100)</f>
        <v>0</v>
      </c>
      <c r="BG100">
        <f t="shared" si="76"/>
        <v>0</v>
      </c>
      <c r="BH100">
        <f>IF('Исходные данные'!$B$51="Да",-MAX(0,BD100+Расчёты!R100+Расчёты!V100-Расчёты!P100-Расчёты!T100-BG100),0)</f>
        <v>0</v>
      </c>
      <c r="BI100">
        <f>IF('Исходные данные'!$B$51="Да",MAX(0,BG100+Расчёты!P100+Расчёты!T100-BD100-Расчёты!R100-Расчёты!V100),0)</f>
        <v>0</v>
      </c>
      <c r="BJ100">
        <f>IF('Исходные данные'!$B$53="Выручка",MAX(0,BC100+(Расчёты!Q100-Расчёты!R100)+(Расчёты!U100-Расчёты!V100)),IF('Исходные данные'!$B$53="Прибыль до налога",MAX(0,BC100+(Расчёты!Q100-Расчёты!R100)+(Расчёты!U100-Расчёты!V100)+N('Исходные данные'!$B$54)*((Расчёты!O100+Расчёты!P100)+(Расчёты!S100+Расчёты!T100)+Расчёты!W100+Расчёты!X100)+IF('Исходные данные'!$B$55="Да",Расчёты!AG100,0)-N('Исходные данные'!$B$56)/12),IF('Исходные данные'!$B$53="Пользовательская база",MAX(0,N('Исходные данные'!$B$57)/12),0)))</f>
        <v>0</v>
      </c>
      <c r="BK100">
        <f>IF(D100=1,-BJ100*N('Исходные данные'!$B$50),0)</f>
        <v>0</v>
      </c>
      <c r="BL100">
        <f t="shared" si="70"/>
        <v>0</v>
      </c>
      <c r="BM100">
        <f>IF(OR(D100&lt;&gt;1,B100="",'Исходные данные'!$B$91="",N('Исходные данные'!$B$80)&lt;=0,'Исходные данные'!$B$88=""),0,IF(AND(YEAR(B100)=YEAR('Исходные данные'!$B$91),MONTH(B100)=MONTH('Исходные данные'!$B$91)),MAX(0,IF('Исходные данные'!$B$88="Последние 12 месяцев",SUMIFS($BF$2:$BF$194,$B$2:$B$194,"&gt;="&amp;EDATE(B100,-11),$B$2:$B$194,"&lt;="&amp;B100),IF('Исходные данные'!$B$88="Пользовательский NOI",N('Исходные данные'!$B$89),BL100))/N('Исходные данные'!$B$80)*(1+N('Исходные данные'!$B$81))),0))</f>
        <v>0</v>
      </c>
      <c r="BN100">
        <f>-BM100*N('Исходные данные'!$B$73)</f>
        <v>0</v>
      </c>
      <c r="BO100">
        <f>IF(BM100=0,0,-N('Исходные данные'!$B$87)-IF('Исходные данные'!$B$82="Да",IF('Исходные данные'!$B$84="С выручки",BM100,IF('Исходные данные'!$B$84="С прибыли",MAX(0,BM100+BN100-IF('Исходные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00">
        <f t="shared" si="71"/>
        <v>0</v>
      </c>
      <c r="BQ100">
        <f>IF(D100=1,Расчёты!AZ100+BE100+BH100+BK100+BP100,0)</f>
        <v>0</v>
      </c>
      <c r="BR100" t="str">
        <f t="shared" si="77"/>
        <v/>
      </c>
      <c r="BS100">
        <f>IF(OR(D100=0,'Исходные данные'!$B$9="",'Исходные данные'!$B$90=""),0,BQ100/(1+'Исходные данные'!$B$90)^((C100-'Исходные данные'!$B$9)/365))</f>
        <v>0</v>
      </c>
      <c r="BT100">
        <f>IF(D100=1,BE100+Расчёты!O100+Расчёты!Q100+Расчёты!S100+Расчёты!U100+Расчёты!W100+Расчёты!X100+BH100+BK100,0)</f>
        <v>0</v>
      </c>
      <c r="BU100">
        <f>IF(AND(D100=1,BR100&gt;=0,BR99&lt;0,MIN($BR$2:BR100)&lt;0),1,0)</f>
        <v>0</v>
      </c>
      <c r="BV100">
        <f>Расчёты!AZ100+K100+N100-P100*N('Исходные данные'!$B$50)</f>
        <v>0</v>
      </c>
      <c r="BW100">
        <f t="shared" si="57"/>
        <v>0</v>
      </c>
      <c r="BX100">
        <f>IF(AND(BW100&gt;=0,BW99&lt;0,MIN($BW$2:BW100)&lt;0),1,0)</f>
        <v>0</v>
      </c>
      <c r="BY100">
        <f>Расчёты!AZ100+AH100+AK100-AM100*N('Исходные данные'!$B$50)</f>
        <v>0</v>
      </c>
      <c r="BZ100">
        <f t="shared" si="58"/>
        <v>0</v>
      </c>
      <c r="CA100">
        <f>IF(AND(BZ100&gt;=0,BZ99&lt;0,MIN($BZ$2:BZ100)&lt;0),1,0)</f>
        <v>0</v>
      </c>
      <c r="CB100">
        <f>Расчёты!AZ100+BE100+BH100-BJ100*N('Исходные данные'!$B$50)</f>
        <v>0</v>
      </c>
      <c r="CC100">
        <f t="shared" si="59"/>
        <v>0</v>
      </c>
      <c r="CD100">
        <f>IF(AND(CC100&gt;=0,CC99&lt;0,MIN($CC$2:CC100)&lt;0),1,0)</f>
        <v>0</v>
      </c>
    </row>
    <row r="101" spans="1:82" x14ac:dyDescent="0.2">
      <c r="A101">
        <f>Расчёты!A101</f>
        <v>100</v>
      </c>
      <c r="B101" t="str">
        <f>Расчёты!B101</f>
        <v/>
      </c>
      <c r="C101" t="str">
        <f>Расчёты!D101</f>
        <v/>
      </c>
      <c r="D101">
        <f>Расчёты!E101</f>
        <v>0</v>
      </c>
      <c r="E101">
        <f>IF(Расчёты!F101=0,0,IF(Расчёты!G101=1,N('Сценарный анализ'!$B$5),IF(Расчёты!G101=2,N('Сценарный анализ'!$B$6),IF(Расчёты!G101=3,N('Сценарный анализ'!$B$7),N('Сценарный анализ'!$B$7)*(1+N('Сценарный анализ'!$B$8))^(Расчёты!G101-3)))))</f>
        <v>0</v>
      </c>
      <c r="F101">
        <f>IF(OR(Расчёты!F101=0,N('Исходные данные'!$B$5)=0,E101=0),0,N('Исходные данные'!$B$5)*E101*IF(AND(B101&lt;='Исходные данные'!$B$30,Расчёты!C101&gt;='Исходные данные'!$B$30),(Расчёты!C101-'Исходные данные'!$B$30+1)/DAY(Расчёты!C101),1))</f>
        <v>0</v>
      </c>
      <c r="G101">
        <f>IF(AND(Расчёты!F101&gt;0,Расчёты!F101&lt;=N('Исходные данные'!$B$37)),-F101,0)</f>
        <v>0</v>
      </c>
      <c r="H101">
        <f>IF(OR(Расчёты!F101=0,Расчёты!F101&lt;=N('Исходные данные'!$B$37)),0,-(F101+G101)*N('Сценарный анализ'!$B$9))</f>
        <v>0</v>
      </c>
      <c r="I101">
        <f t="shared" si="60"/>
        <v>0</v>
      </c>
      <c r="J101">
        <f>IF('Исходные данные'!$B$51="Да",I101*N('Исходные данные'!$B$52),0)</f>
        <v>0</v>
      </c>
      <c r="K101">
        <f t="shared" si="61"/>
        <v>0</v>
      </c>
      <c r="L101">
        <f>I101+(Расчёты!Y101-Расчёты!L101)</f>
        <v>0</v>
      </c>
      <c r="M101">
        <f t="shared" si="72"/>
        <v>0</v>
      </c>
      <c r="N101">
        <f>IF('Исходные данные'!$B$51="Да",-MAX(0,J101+Расчёты!R101+Расчёты!V101-Расчёты!P101-Расчёты!T101-M101),0)</f>
        <v>0</v>
      </c>
      <c r="O101">
        <f>IF('Исходные данные'!$B$51="Да",MAX(0,M101+Расчёты!P101+Расчёты!T101-J101-Расчёты!R101-Расчёты!V101),0)</f>
        <v>0</v>
      </c>
      <c r="P101">
        <f>IF('Исходные данные'!$B$53="Выручка",MAX(0,I101+(Расчёты!Q101-Расчёты!R101)+(Расчёты!U101-Расчёты!V101)),IF('Исходные данные'!$B$53="Прибыль до налога",MAX(0,I101+(Расчёты!Q101-Расчёты!R101)+(Расчёты!U101-Расчёты!V101)+N('Исходные данные'!$B$54)*((Расчёты!O101+Расчёты!P101)+(Расчёты!S101+Расчёты!T101)+Расчёты!W101+Расчёты!X101)+IF('Исходные данные'!$B$55="Да",Расчёты!AG101,0)-N('Исходные данные'!$B$56)/12),IF('Исходные данные'!$B$53="Пользовательская база",MAX(0,N('Исходные данные'!$B$57)/12),0)))</f>
        <v>0</v>
      </c>
      <c r="Q101">
        <f>IF(D101=1,-P101*N('Исходные данные'!$B$50),0)</f>
        <v>0</v>
      </c>
      <c r="R101">
        <f t="shared" si="62"/>
        <v>0</v>
      </c>
      <c r="S101">
        <f>IF(OR(D101&lt;&gt;1,B101="",'Исходные данные'!$B$91="",N('Исходные данные'!$B$80)&lt;=0,'Исходные данные'!$B$88=""),0,IF(AND(YEAR(B101)=YEAR('Исходные данные'!$B$91),MONTH(B101)=MONTH('Исходные данные'!$B$91)),MAX(0,IF('Исходные данные'!$B$88="Последние 12 месяцев",SUMIFS($L$2:$L$194,$B$2:$B$194,"&gt;="&amp;EDATE(B101,-11),$B$2:$B$194,"&lt;="&amp;B101),IF('Исходные данные'!$B$88="Пользовательский NOI",N('Исходные данные'!$B$89),R101))/N('Исходные данные'!$B$80)*(1+N('Исходные данные'!$B$81))),0))</f>
        <v>0</v>
      </c>
      <c r="T101">
        <f>-S101*N('Исходные данные'!$B$73)</f>
        <v>0</v>
      </c>
      <c r="U101">
        <f>IF(S101=0,0,-N('Исходные данные'!$B$87)-IF('Исходные данные'!$B$82="Да",IF('Исходные данные'!$B$84="С выручки",S101,IF('Исходные данные'!$B$84="С прибыли",MAX(0,S101+T101-IF('Исходные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01">
        <f t="shared" si="63"/>
        <v>0</v>
      </c>
      <c r="W101">
        <f>IF(D101=1,Расчёты!AZ101+K101+N101+Q101+V101,0)</f>
        <v>0</v>
      </c>
      <c r="X101" t="str">
        <f t="shared" si="73"/>
        <v/>
      </c>
      <c r="Y101">
        <f>IF(OR(D101=0,'Исходные данные'!$B$9="",'Исходные данные'!$B$90=""),0,W101/(1+'Исходные данные'!$B$90)^((C101-'Исходные данные'!$B$9)/365))</f>
        <v>0</v>
      </c>
      <c r="Z101">
        <f>IF(D101=1,K101+Расчёты!O101+Расчёты!Q101+Расчёты!S101+Расчёты!U101+Расчёты!W101+Расчёты!X101+N101+Q101,0)</f>
        <v>0</v>
      </c>
      <c r="AA101">
        <f>IF(AND(D101=1,X101&gt;=0,X100&lt;0,MIN($X$2:X101)&lt;0),1,0)</f>
        <v>0</v>
      </c>
      <c r="AB101">
        <f>IF(Расчёты!F101=0,0,IF(Расчёты!G101=1,N('Сценарный анализ'!$C$5),IF(Расчёты!G101=2,N('Сценарный анализ'!$C$6),IF(Расчёты!G101=3,N('Сценарный анализ'!$C$7),N('Сценарный анализ'!$C$7)*(1+N('Сценарный анализ'!$C$8))^(Расчёты!G101-3)))))</f>
        <v>0</v>
      </c>
      <c r="AC101">
        <f>IF(OR(Расчёты!F101=0,N('Исходные данные'!$B$5)=0,AB101=0),0,N('Исходные данные'!$B$5)*AB101*IF(AND(B101&lt;='Исходные данные'!$B$30,Расчёты!C101&gt;='Исходные данные'!$B$30),(Расчёты!C101-'Исходные данные'!$B$30+1)/DAY(Расчёты!C101),1))</f>
        <v>0</v>
      </c>
      <c r="AD101">
        <f>IF(AND(Расчёты!F101&gt;0,Расчёты!F101&lt;=N('Исходные данные'!$B$37)),-AC101,0)</f>
        <v>0</v>
      </c>
      <c r="AE101">
        <f>IF(OR(Расчёты!F101=0,Расчёты!F101&lt;=N('Исходные данные'!$B$37)),0,-(AC101+AD101)*N('Сценарный анализ'!$C$9))</f>
        <v>0</v>
      </c>
      <c r="AF101">
        <f t="shared" si="64"/>
        <v>0</v>
      </c>
      <c r="AG101">
        <f>IF('Исходные данные'!$B$51="Да",AF101*N('Исходные данные'!$B$52),0)</f>
        <v>0</v>
      </c>
      <c r="AH101">
        <f t="shared" si="65"/>
        <v>0</v>
      </c>
      <c r="AI101">
        <f>AF101+(Расчёты!Y101-Расчёты!L101)</f>
        <v>0</v>
      </c>
      <c r="AJ101">
        <f t="shared" si="74"/>
        <v>0</v>
      </c>
      <c r="AK101">
        <f>IF('Исходные данные'!$B$51="Да",-MAX(0,AG101+Расчёты!R101+Расчёты!V101-Расчёты!P101-Расчёты!T101-AJ101),0)</f>
        <v>0</v>
      </c>
      <c r="AL101">
        <f>IF('Исходные данные'!$B$51="Да",MAX(0,AJ101+Расчёты!P101+Расчёты!T101-AG101-Расчёты!R101-Расчёты!V101),0)</f>
        <v>0</v>
      </c>
      <c r="AM101">
        <f>IF('Исходные данные'!$B$53="Выручка",MAX(0,AF101+(Расчёты!Q101-Расчёты!R101)+(Расчёты!U101-Расчёты!V101)),IF('Исходные данные'!$B$53="Прибыль до налога",MAX(0,AF101+(Расчёты!Q101-Расчёты!R101)+(Расчёты!U101-Расчёты!V101)+N('Исходные данные'!$B$54)*((Расчёты!O101+Расчёты!P101)+(Расчёты!S101+Расчёты!T101)+Расчёты!W101+Расчёты!X101)+IF('Исходные данные'!$B$55="Да",Расчёты!AG101,0)-N('Исходные данные'!$B$56)/12),IF('Исходные данные'!$B$53="Пользовательская база",MAX(0,N('Исходные данные'!$B$57)/12),0)))</f>
        <v>0</v>
      </c>
      <c r="AN101">
        <f>IF(D101=1,-AM101*N('Исходные данные'!$B$50),0)</f>
        <v>0</v>
      </c>
      <c r="AO101">
        <f t="shared" si="66"/>
        <v>0</v>
      </c>
      <c r="AP101">
        <f>IF(OR(D101&lt;&gt;1,B101="",'Исходные данные'!$B$91="",N('Исходные данные'!$B$80)&lt;=0,'Исходные данные'!$B$88=""),0,IF(AND(YEAR(B101)=YEAR('Исходные данные'!$B$91),MONTH(B101)=MONTH('Исходные данные'!$B$91)),MAX(0,IF('Исходные данные'!$B$88="Последние 12 месяцев",SUMIFS($AI$2:$AI$194,$B$2:$B$194,"&gt;="&amp;EDATE(B101,-11),$B$2:$B$194,"&lt;="&amp;B101),IF('Исходные данные'!$B$88="Пользовательский NOI",N('Исходные данные'!$B$89),AO101))/N('Исходные данные'!$B$80)*(1+N('Исходные данные'!$B$81))),0))</f>
        <v>0</v>
      </c>
      <c r="AQ101">
        <f>-AP101*N('Исходные данные'!$B$73)</f>
        <v>0</v>
      </c>
      <c r="AR101">
        <f>IF(AP101=0,0,-N('Исходные данные'!$B$87)-IF('Исходные данные'!$B$82="Да",IF('Исходные данные'!$B$84="С выручки",AP101,IF('Исходные данные'!$B$84="С прибыли",MAX(0,AP101+AQ101-IF('Исходные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01">
        <f t="shared" si="67"/>
        <v>0</v>
      </c>
      <c r="AT101">
        <f>IF(D101=1,Расчёты!AZ101+AH101+AK101+AN101+AS101,0)</f>
        <v>0</v>
      </c>
      <c r="AU101" t="str">
        <f t="shared" si="75"/>
        <v/>
      </c>
      <c r="AV101">
        <f>IF(OR(D101=0,'Исходные данные'!$B$9="",'Исходные данные'!$B$90=""),0,AT101/(1+'Исходные данные'!$B$90)^((C101-'Исходные данные'!$B$9)/365))</f>
        <v>0</v>
      </c>
      <c r="AW101">
        <f>IF(D101=1,AH101+Расчёты!O101+Расчёты!Q101+Расчёты!S101+Расчёты!U101+Расчёты!W101+Расчёты!X101+AK101+AN101,0)</f>
        <v>0</v>
      </c>
      <c r="AX101">
        <f>IF(AND(D101=1,AU101&gt;=0,AU100&lt;0,MIN($AU$2:AU101)&lt;0),1,0)</f>
        <v>0</v>
      </c>
      <c r="AY101">
        <f>IF(Расчёты!F101=0,0,IF(Расчёты!G101=1,N('Сценарный анализ'!$D$5),IF(Расчёты!G101=2,N('Сценарный анализ'!$D$6),IF(Расчёты!G101=3,N('Сценарный анализ'!$D$7),N('Сценарный анализ'!$D$7)*(1+N('Сценарный анализ'!$D$8))^(Расчёты!G101-3)))))</f>
        <v>0</v>
      </c>
      <c r="AZ101">
        <f>IF(OR(Расчёты!F101=0,N('Исходные данные'!$B$5)=0,AY101=0),0,N('Исходные данные'!$B$5)*AY101*IF(AND(B101&lt;='Исходные данные'!$B$30,Расчёты!C101&gt;='Исходные данные'!$B$30),(Расчёты!C101-'Исходные данные'!$B$30+1)/DAY(Расчёты!C101),1))</f>
        <v>0</v>
      </c>
      <c r="BA101">
        <f>IF(AND(Расчёты!F101&gt;0,Расчёты!F101&lt;=N('Исходные данные'!$B$37)),-AZ101,0)</f>
        <v>0</v>
      </c>
      <c r="BB101">
        <f>IF(OR(Расчёты!F101=0,Расчёты!F101&lt;=N('Исходные данные'!$B$37)),0,-(AZ101+BA101)*N('Сценарный анализ'!$D$9))</f>
        <v>0</v>
      </c>
      <c r="BC101">
        <f t="shared" si="68"/>
        <v>0</v>
      </c>
      <c r="BD101">
        <f>IF('Исходные данные'!$B$51="Да",BC101*N('Исходные данные'!$B$52),0)</f>
        <v>0</v>
      </c>
      <c r="BE101">
        <f t="shared" si="69"/>
        <v>0</v>
      </c>
      <c r="BF101">
        <f>BC101+(Расчёты!Y101-Расчёты!L101)</f>
        <v>0</v>
      </c>
      <c r="BG101">
        <f t="shared" si="76"/>
        <v>0</v>
      </c>
      <c r="BH101">
        <f>IF('Исходные данные'!$B$51="Да",-MAX(0,BD101+Расчёты!R101+Расчёты!V101-Расчёты!P101-Расчёты!T101-BG101),0)</f>
        <v>0</v>
      </c>
      <c r="BI101">
        <f>IF('Исходные данные'!$B$51="Да",MAX(0,BG101+Расчёты!P101+Расчёты!T101-BD101-Расчёты!R101-Расчёты!V101),0)</f>
        <v>0</v>
      </c>
      <c r="BJ101">
        <f>IF('Исходные данные'!$B$53="Выручка",MAX(0,BC101+(Расчёты!Q101-Расчёты!R101)+(Расчёты!U101-Расчёты!V101)),IF('Исходные данные'!$B$53="Прибыль до налога",MAX(0,BC101+(Расчёты!Q101-Расчёты!R101)+(Расчёты!U101-Расчёты!V101)+N('Исходные данные'!$B$54)*((Расчёты!O101+Расчёты!P101)+(Расчёты!S101+Расчёты!T101)+Расчёты!W101+Расчёты!X101)+IF('Исходные данные'!$B$55="Да",Расчёты!AG101,0)-N('Исходные данные'!$B$56)/12),IF('Исходные данные'!$B$53="Пользовательская база",MAX(0,N('Исходные данные'!$B$57)/12),0)))</f>
        <v>0</v>
      </c>
      <c r="BK101">
        <f>IF(D101=1,-BJ101*N('Исходные данные'!$B$50),0)</f>
        <v>0</v>
      </c>
      <c r="BL101">
        <f t="shared" si="70"/>
        <v>0</v>
      </c>
      <c r="BM101">
        <f>IF(OR(D101&lt;&gt;1,B101="",'Исходные данные'!$B$91="",N('Исходные данные'!$B$80)&lt;=0,'Исходные данные'!$B$88=""),0,IF(AND(YEAR(B101)=YEAR('Исходные данные'!$B$91),MONTH(B101)=MONTH('Исходные данные'!$B$91)),MAX(0,IF('Исходные данные'!$B$88="Последние 12 месяцев",SUMIFS($BF$2:$BF$194,$B$2:$B$194,"&gt;="&amp;EDATE(B101,-11),$B$2:$B$194,"&lt;="&amp;B101),IF('Исходные данные'!$B$88="Пользовательский NOI",N('Исходные данные'!$B$89),BL101))/N('Исходные данные'!$B$80)*(1+N('Исходные данные'!$B$81))),0))</f>
        <v>0</v>
      </c>
      <c r="BN101">
        <f>-BM101*N('Исходные данные'!$B$73)</f>
        <v>0</v>
      </c>
      <c r="BO101">
        <f>IF(BM101=0,0,-N('Исходные данные'!$B$87)-IF('Исходные данные'!$B$82="Да",IF('Исходные данные'!$B$84="С выручки",BM101,IF('Исходные данные'!$B$84="С прибыли",MAX(0,BM101+BN101-IF('Исходные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01">
        <f t="shared" si="71"/>
        <v>0</v>
      </c>
      <c r="BQ101">
        <f>IF(D101=1,Расчёты!AZ101+BE101+BH101+BK101+BP101,0)</f>
        <v>0</v>
      </c>
      <c r="BR101" t="str">
        <f t="shared" si="77"/>
        <v/>
      </c>
      <c r="BS101">
        <f>IF(OR(D101=0,'Исходные данные'!$B$9="",'Исходные данные'!$B$90=""),0,BQ101/(1+'Исходные данные'!$B$90)^((C101-'Исходные данные'!$B$9)/365))</f>
        <v>0</v>
      </c>
      <c r="BT101">
        <f>IF(D101=1,BE101+Расчёты!O101+Расчёты!Q101+Расчёты!S101+Расчёты!U101+Расчёты!W101+Расчёты!X101+BH101+BK101,0)</f>
        <v>0</v>
      </c>
      <c r="BU101">
        <f>IF(AND(D101=1,BR101&gt;=0,BR100&lt;0,MIN($BR$2:BR101)&lt;0),1,0)</f>
        <v>0</v>
      </c>
      <c r="BV101">
        <f>Расчёты!AZ101+K101+N101-P101*N('Исходные данные'!$B$50)</f>
        <v>0</v>
      </c>
      <c r="BW101">
        <f t="shared" si="57"/>
        <v>0</v>
      </c>
      <c r="BX101">
        <f>IF(AND(BW101&gt;=0,BW100&lt;0,MIN($BW$2:BW101)&lt;0),1,0)</f>
        <v>0</v>
      </c>
      <c r="BY101">
        <f>Расчёты!AZ101+AH101+AK101-AM101*N('Исходные данные'!$B$50)</f>
        <v>0</v>
      </c>
      <c r="BZ101">
        <f t="shared" si="58"/>
        <v>0</v>
      </c>
      <c r="CA101">
        <f>IF(AND(BZ101&gt;=0,BZ100&lt;0,MIN($BZ$2:BZ101)&lt;0),1,0)</f>
        <v>0</v>
      </c>
      <c r="CB101">
        <f>Расчёты!AZ101+BE101+BH101-BJ101*N('Исходные данные'!$B$50)</f>
        <v>0</v>
      </c>
      <c r="CC101">
        <f t="shared" si="59"/>
        <v>0</v>
      </c>
      <c r="CD101">
        <f>IF(AND(CC101&gt;=0,CC100&lt;0,MIN($CC$2:CC101)&lt;0),1,0)</f>
        <v>0</v>
      </c>
    </row>
    <row r="102" spans="1:82" x14ac:dyDescent="0.2">
      <c r="A102">
        <f>Расчёты!A102</f>
        <v>101</v>
      </c>
      <c r="B102" t="str">
        <f>Расчёты!B102</f>
        <v/>
      </c>
      <c r="C102" t="str">
        <f>Расчёты!D102</f>
        <v/>
      </c>
      <c r="D102">
        <f>Расчёты!E102</f>
        <v>0</v>
      </c>
      <c r="E102">
        <f>IF(Расчёты!F102=0,0,IF(Расчёты!G102=1,N('Сценарный анализ'!$B$5),IF(Расчёты!G102=2,N('Сценарный анализ'!$B$6),IF(Расчёты!G102=3,N('Сценарный анализ'!$B$7),N('Сценарный анализ'!$B$7)*(1+N('Сценарный анализ'!$B$8))^(Расчёты!G102-3)))))</f>
        <v>0</v>
      </c>
      <c r="F102">
        <f>IF(OR(Расчёты!F102=0,N('Исходные данные'!$B$5)=0,E102=0),0,N('Исходные данные'!$B$5)*E102*IF(AND(B102&lt;='Исходные данные'!$B$30,Расчёты!C102&gt;='Исходные данные'!$B$30),(Расчёты!C102-'Исходные данные'!$B$30+1)/DAY(Расчёты!C102),1))</f>
        <v>0</v>
      </c>
      <c r="G102">
        <f>IF(AND(Расчёты!F102&gt;0,Расчёты!F102&lt;=N('Исходные данные'!$B$37)),-F102,0)</f>
        <v>0</v>
      </c>
      <c r="H102">
        <f>IF(OR(Расчёты!F102=0,Расчёты!F102&lt;=N('Исходные данные'!$B$37)),0,-(F102+G102)*N('Сценарный анализ'!$B$9))</f>
        <v>0</v>
      </c>
      <c r="I102">
        <f t="shared" si="60"/>
        <v>0</v>
      </c>
      <c r="J102">
        <f>IF('Исходные данные'!$B$51="Да",I102*N('Исходные данные'!$B$52),0)</f>
        <v>0</v>
      </c>
      <c r="K102">
        <f t="shared" si="61"/>
        <v>0</v>
      </c>
      <c r="L102">
        <f>I102+(Расчёты!Y102-Расчёты!L102)</f>
        <v>0</v>
      </c>
      <c r="M102">
        <f t="shared" si="72"/>
        <v>0</v>
      </c>
      <c r="N102">
        <f>IF('Исходные данные'!$B$51="Да",-MAX(0,J102+Расчёты!R102+Расчёты!V102-Расчёты!P102-Расчёты!T102-M102),0)</f>
        <v>0</v>
      </c>
      <c r="O102">
        <f>IF('Исходные данные'!$B$51="Да",MAX(0,M102+Расчёты!P102+Расчёты!T102-J102-Расчёты!R102-Расчёты!V102),0)</f>
        <v>0</v>
      </c>
      <c r="P102">
        <f>IF('Исходные данные'!$B$53="Выручка",MAX(0,I102+(Расчёты!Q102-Расчёты!R102)+(Расчёты!U102-Расчёты!V102)),IF('Исходные данные'!$B$53="Прибыль до налога",MAX(0,I102+(Расчёты!Q102-Расчёты!R102)+(Расчёты!U102-Расчёты!V102)+N('Исходные данные'!$B$54)*((Расчёты!O102+Расчёты!P102)+(Расчёты!S102+Расчёты!T102)+Расчёты!W102+Расчёты!X102)+IF('Исходные данные'!$B$55="Да",Расчёты!AG102,0)-N('Исходные данные'!$B$56)/12),IF('Исходные данные'!$B$53="Пользовательская база",MAX(0,N('Исходные данные'!$B$57)/12),0)))</f>
        <v>0</v>
      </c>
      <c r="Q102">
        <f>IF(D102=1,-P102*N('Исходные данные'!$B$50),0)</f>
        <v>0</v>
      </c>
      <c r="R102">
        <f t="shared" si="62"/>
        <v>0</v>
      </c>
      <c r="S102">
        <f>IF(OR(D102&lt;&gt;1,B102="",'Исходные данные'!$B$91="",N('Исходные данные'!$B$80)&lt;=0,'Исходные данные'!$B$88=""),0,IF(AND(YEAR(B102)=YEAR('Исходные данные'!$B$91),MONTH(B102)=MONTH('Исходные данные'!$B$91)),MAX(0,IF('Исходные данные'!$B$88="Последние 12 месяцев",SUMIFS($L$2:$L$194,$B$2:$B$194,"&gt;="&amp;EDATE(B102,-11),$B$2:$B$194,"&lt;="&amp;B102),IF('Исходные данные'!$B$88="Пользовательский NOI",N('Исходные данные'!$B$89),R102))/N('Исходные данные'!$B$80)*(1+N('Исходные данные'!$B$81))),0))</f>
        <v>0</v>
      </c>
      <c r="T102">
        <f>-S102*N('Исходные данные'!$B$73)</f>
        <v>0</v>
      </c>
      <c r="U102">
        <f>IF(S102=0,0,-N('Исходные данные'!$B$87)-IF('Исходные данные'!$B$82="Да",IF('Исходные данные'!$B$84="С выручки",S102,IF('Исходные данные'!$B$84="С прибыли",MAX(0,S102+T102-IF('Исходные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02">
        <f t="shared" si="63"/>
        <v>0</v>
      </c>
      <c r="W102">
        <f>IF(D102=1,Расчёты!AZ102+K102+N102+Q102+V102,0)</f>
        <v>0</v>
      </c>
      <c r="X102" t="str">
        <f t="shared" si="73"/>
        <v/>
      </c>
      <c r="Y102">
        <f>IF(OR(D102=0,'Исходные данные'!$B$9="",'Исходные данные'!$B$90=""),0,W102/(1+'Исходные данные'!$B$90)^((C102-'Исходные данные'!$B$9)/365))</f>
        <v>0</v>
      </c>
      <c r="Z102">
        <f>IF(D102=1,K102+Расчёты!O102+Расчёты!Q102+Расчёты!S102+Расчёты!U102+Расчёты!W102+Расчёты!X102+N102+Q102,0)</f>
        <v>0</v>
      </c>
      <c r="AA102">
        <f>IF(AND(D102=1,X102&gt;=0,X101&lt;0,MIN($X$2:X102)&lt;0),1,0)</f>
        <v>0</v>
      </c>
      <c r="AB102">
        <f>IF(Расчёты!F102=0,0,IF(Расчёты!G102=1,N('Сценарный анализ'!$C$5),IF(Расчёты!G102=2,N('Сценарный анализ'!$C$6),IF(Расчёты!G102=3,N('Сценарный анализ'!$C$7),N('Сценарный анализ'!$C$7)*(1+N('Сценарный анализ'!$C$8))^(Расчёты!G102-3)))))</f>
        <v>0</v>
      </c>
      <c r="AC102">
        <f>IF(OR(Расчёты!F102=0,N('Исходные данные'!$B$5)=0,AB102=0),0,N('Исходные данные'!$B$5)*AB102*IF(AND(B102&lt;='Исходные данные'!$B$30,Расчёты!C102&gt;='Исходные данные'!$B$30),(Расчёты!C102-'Исходные данные'!$B$30+1)/DAY(Расчёты!C102),1))</f>
        <v>0</v>
      </c>
      <c r="AD102">
        <f>IF(AND(Расчёты!F102&gt;0,Расчёты!F102&lt;=N('Исходные данные'!$B$37)),-AC102,0)</f>
        <v>0</v>
      </c>
      <c r="AE102">
        <f>IF(OR(Расчёты!F102=0,Расчёты!F102&lt;=N('Исходные данные'!$B$37)),0,-(AC102+AD102)*N('Сценарный анализ'!$C$9))</f>
        <v>0</v>
      </c>
      <c r="AF102">
        <f t="shared" si="64"/>
        <v>0</v>
      </c>
      <c r="AG102">
        <f>IF('Исходные данные'!$B$51="Да",AF102*N('Исходные данные'!$B$52),0)</f>
        <v>0</v>
      </c>
      <c r="AH102">
        <f t="shared" si="65"/>
        <v>0</v>
      </c>
      <c r="AI102">
        <f>AF102+(Расчёты!Y102-Расчёты!L102)</f>
        <v>0</v>
      </c>
      <c r="AJ102">
        <f t="shared" si="74"/>
        <v>0</v>
      </c>
      <c r="AK102">
        <f>IF('Исходные данные'!$B$51="Да",-MAX(0,AG102+Расчёты!R102+Расчёты!V102-Расчёты!P102-Расчёты!T102-AJ102),0)</f>
        <v>0</v>
      </c>
      <c r="AL102">
        <f>IF('Исходные данные'!$B$51="Да",MAX(0,AJ102+Расчёты!P102+Расчёты!T102-AG102-Расчёты!R102-Расчёты!V102),0)</f>
        <v>0</v>
      </c>
      <c r="AM102">
        <f>IF('Исходные данные'!$B$53="Выручка",MAX(0,AF102+(Расчёты!Q102-Расчёты!R102)+(Расчёты!U102-Расчёты!V102)),IF('Исходные данные'!$B$53="Прибыль до налога",MAX(0,AF102+(Расчёты!Q102-Расчёты!R102)+(Расчёты!U102-Расчёты!V102)+N('Исходные данные'!$B$54)*((Расчёты!O102+Расчёты!P102)+(Расчёты!S102+Расчёты!T102)+Расчёты!W102+Расчёты!X102)+IF('Исходные данные'!$B$55="Да",Расчёты!AG102,0)-N('Исходные данные'!$B$56)/12),IF('Исходные данные'!$B$53="Пользовательская база",MAX(0,N('Исходные данные'!$B$57)/12),0)))</f>
        <v>0</v>
      </c>
      <c r="AN102">
        <f>IF(D102=1,-AM102*N('Исходные данные'!$B$50),0)</f>
        <v>0</v>
      </c>
      <c r="AO102">
        <f t="shared" si="66"/>
        <v>0</v>
      </c>
      <c r="AP102">
        <f>IF(OR(D102&lt;&gt;1,B102="",'Исходные данные'!$B$91="",N('Исходные данные'!$B$80)&lt;=0,'Исходные данные'!$B$88=""),0,IF(AND(YEAR(B102)=YEAR('Исходные данные'!$B$91),MONTH(B102)=MONTH('Исходные данные'!$B$91)),MAX(0,IF('Исходные данные'!$B$88="Последние 12 месяцев",SUMIFS($AI$2:$AI$194,$B$2:$B$194,"&gt;="&amp;EDATE(B102,-11),$B$2:$B$194,"&lt;="&amp;B102),IF('Исходные данные'!$B$88="Пользовательский NOI",N('Исходные данные'!$B$89),AO102))/N('Исходные данные'!$B$80)*(1+N('Исходные данные'!$B$81))),0))</f>
        <v>0</v>
      </c>
      <c r="AQ102">
        <f>-AP102*N('Исходные данные'!$B$73)</f>
        <v>0</v>
      </c>
      <c r="AR102">
        <f>IF(AP102=0,0,-N('Исходные данные'!$B$87)-IF('Исходные данные'!$B$82="Да",IF('Исходные данные'!$B$84="С выручки",AP102,IF('Исходные данные'!$B$84="С прибыли",MAX(0,AP102+AQ102-IF('Исходные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02">
        <f t="shared" si="67"/>
        <v>0</v>
      </c>
      <c r="AT102">
        <f>IF(D102=1,Расчёты!AZ102+AH102+AK102+AN102+AS102,0)</f>
        <v>0</v>
      </c>
      <c r="AU102" t="str">
        <f t="shared" si="75"/>
        <v/>
      </c>
      <c r="AV102">
        <f>IF(OR(D102=0,'Исходные данные'!$B$9="",'Исходные данные'!$B$90=""),0,AT102/(1+'Исходные данные'!$B$90)^((C102-'Исходные данные'!$B$9)/365))</f>
        <v>0</v>
      </c>
      <c r="AW102">
        <f>IF(D102=1,AH102+Расчёты!O102+Расчёты!Q102+Расчёты!S102+Расчёты!U102+Расчёты!W102+Расчёты!X102+AK102+AN102,0)</f>
        <v>0</v>
      </c>
      <c r="AX102">
        <f>IF(AND(D102=1,AU102&gt;=0,AU101&lt;0,MIN($AU$2:AU102)&lt;0),1,0)</f>
        <v>0</v>
      </c>
      <c r="AY102">
        <f>IF(Расчёты!F102=0,0,IF(Расчёты!G102=1,N('Сценарный анализ'!$D$5),IF(Расчёты!G102=2,N('Сценарный анализ'!$D$6),IF(Расчёты!G102=3,N('Сценарный анализ'!$D$7),N('Сценарный анализ'!$D$7)*(1+N('Сценарный анализ'!$D$8))^(Расчёты!G102-3)))))</f>
        <v>0</v>
      </c>
      <c r="AZ102">
        <f>IF(OR(Расчёты!F102=0,N('Исходные данные'!$B$5)=0,AY102=0),0,N('Исходные данные'!$B$5)*AY102*IF(AND(B102&lt;='Исходные данные'!$B$30,Расчёты!C102&gt;='Исходные данные'!$B$30),(Расчёты!C102-'Исходные данные'!$B$30+1)/DAY(Расчёты!C102),1))</f>
        <v>0</v>
      </c>
      <c r="BA102">
        <f>IF(AND(Расчёты!F102&gt;0,Расчёты!F102&lt;=N('Исходные данные'!$B$37)),-AZ102,0)</f>
        <v>0</v>
      </c>
      <c r="BB102">
        <f>IF(OR(Расчёты!F102=0,Расчёты!F102&lt;=N('Исходные данные'!$B$37)),0,-(AZ102+BA102)*N('Сценарный анализ'!$D$9))</f>
        <v>0</v>
      </c>
      <c r="BC102">
        <f t="shared" si="68"/>
        <v>0</v>
      </c>
      <c r="BD102">
        <f>IF('Исходные данные'!$B$51="Да",BC102*N('Исходные данные'!$B$52),0)</f>
        <v>0</v>
      </c>
      <c r="BE102">
        <f t="shared" si="69"/>
        <v>0</v>
      </c>
      <c r="BF102">
        <f>BC102+(Расчёты!Y102-Расчёты!L102)</f>
        <v>0</v>
      </c>
      <c r="BG102">
        <f t="shared" si="76"/>
        <v>0</v>
      </c>
      <c r="BH102">
        <f>IF('Исходные данные'!$B$51="Да",-MAX(0,BD102+Расчёты!R102+Расчёты!V102-Расчёты!P102-Расчёты!T102-BG102),0)</f>
        <v>0</v>
      </c>
      <c r="BI102">
        <f>IF('Исходные данные'!$B$51="Да",MAX(0,BG102+Расчёты!P102+Расчёты!T102-BD102-Расчёты!R102-Расчёты!V102),0)</f>
        <v>0</v>
      </c>
      <c r="BJ102">
        <f>IF('Исходные данные'!$B$53="Выручка",MAX(0,BC102+(Расчёты!Q102-Расчёты!R102)+(Расчёты!U102-Расчёты!V102)),IF('Исходные данные'!$B$53="Прибыль до налога",MAX(0,BC102+(Расчёты!Q102-Расчёты!R102)+(Расчёты!U102-Расчёты!V102)+N('Исходные данные'!$B$54)*((Расчёты!O102+Расчёты!P102)+(Расчёты!S102+Расчёты!T102)+Расчёты!W102+Расчёты!X102)+IF('Исходные данные'!$B$55="Да",Расчёты!AG102,0)-N('Исходные данные'!$B$56)/12),IF('Исходные данные'!$B$53="Пользовательская база",MAX(0,N('Исходные данные'!$B$57)/12),0)))</f>
        <v>0</v>
      </c>
      <c r="BK102">
        <f>IF(D102=1,-BJ102*N('Исходные данные'!$B$50),0)</f>
        <v>0</v>
      </c>
      <c r="BL102">
        <f t="shared" si="70"/>
        <v>0</v>
      </c>
      <c r="BM102">
        <f>IF(OR(D102&lt;&gt;1,B102="",'Исходные данные'!$B$91="",N('Исходные данные'!$B$80)&lt;=0,'Исходные данные'!$B$88=""),0,IF(AND(YEAR(B102)=YEAR('Исходные данные'!$B$91),MONTH(B102)=MONTH('Исходные данные'!$B$91)),MAX(0,IF('Исходные данные'!$B$88="Последние 12 месяцев",SUMIFS($BF$2:$BF$194,$B$2:$B$194,"&gt;="&amp;EDATE(B102,-11),$B$2:$B$194,"&lt;="&amp;B102),IF('Исходные данные'!$B$88="Пользовательский NOI",N('Исходные данные'!$B$89),BL102))/N('Исходные данные'!$B$80)*(1+N('Исходные данные'!$B$81))),0))</f>
        <v>0</v>
      </c>
      <c r="BN102">
        <f>-BM102*N('Исходные данные'!$B$73)</f>
        <v>0</v>
      </c>
      <c r="BO102">
        <f>IF(BM102=0,0,-N('Исходные данные'!$B$87)-IF('Исходные данные'!$B$82="Да",IF('Исходные данные'!$B$84="С выручки",BM102,IF('Исходные данные'!$B$84="С прибыли",MAX(0,BM102+BN102-IF('Исходные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02">
        <f t="shared" si="71"/>
        <v>0</v>
      </c>
      <c r="BQ102">
        <f>IF(D102=1,Расчёты!AZ102+BE102+BH102+BK102+BP102,0)</f>
        <v>0</v>
      </c>
      <c r="BR102" t="str">
        <f t="shared" si="77"/>
        <v/>
      </c>
      <c r="BS102">
        <f>IF(OR(D102=0,'Исходные данные'!$B$9="",'Исходные данные'!$B$90=""),0,BQ102/(1+'Исходные данные'!$B$90)^((C102-'Исходные данные'!$B$9)/365))</f>
        <v>0</v>
      </c>
      <c r="BT102">
        <f>IF(D102=1,BE102+Расчёты!O102+Расчёты!Q102+Расчёты!S102+Расчёты!U102+Расчёты!W102+Расчёты!X102+BH102+BK102,0)</f>
        <v>0</v>
      </c>
      <c r="BU102">
        <f>IF(AND(D102=1,BR102&gt;=0,BR101&lt;0,MIN($BR$2:BR102)&lt;0),1,0)</f>
        <v>0</v>
      </c>
      <c r="BV102">
        <f>Расчёты!AZ102+K102+N102-P102*N('Исходные данные'!$B$50)</f>
        <v>0</v>
      </c>
      <c r="BW102">
        <f t="shared" si="57"/>
        <v>0</v>
      </c>
      <c r="BX102">
        <f>IF(AND(BW102&gt;=0,BW101&lt;0,MIN($BW$2:BW102)&lt;0),1,0)</f>
        <v>0</v>
      </c>
      <c r="BY102">
        <f>Расчёты!AZ102+AH102+AK102-AM102*N('Исходные данные'!$B$50)</f>
        <v>0</v>
      </c>
      <c r="BZ102">
        <f t="shared" si="58"/>
        <v>0</v>
      </c>
      <c r="CA102">
        <f>IF(AND(BZ102&gt;=0,BZ101&lt;0,MIN($BZ$2:BZ102)&lt;0),1,0)</f>
        <v>0</v>
      </c>
      <c r="CB102">
        <f>Расчёты!AZ102+BE102+BH102-BJ102*N('Исходные данные'!$B$50)</f>
        <v>0</v>
      </c>
      <c r="CC102">
        <f t="shared" si="59"/>
        <v>0</v>
      </c>
      <c r="CD102">
        <f>IF(AND(CC102&gt;=0,CC101&lt;0,MIN($CC$2:CC102)&lt;0),1,0)</f>
        <v>0</v>
      </c>
    </row>
    <row r="103" spans="1:82" x14ac:dyDescent="0.2">
      <c r="A103">
        <f>Расчёты!A103</f>
        <v>102</v>
      </c>
      <c r="B103" t="str">
        <f>Расчёты!B103</f>
        <v/>
      </c>
      <c r="C103" t="str">
        <f>Расчёты!D103</f>
        <v/>
      </c>
      <c r="D103">
        <f>Расчёты!E103</f>
        <v>0</v>
      </c>
      <c r="E103">
        <f>IF(Расчёты!F103=0,0,IF(Расчёты!G103=1,N('Сценарный анализ'!$B$5),IF(Расчёты!G103=2,N('Сценарный анализ'!$B$6),IF(Расчёты!G103=3,N('Сценарный анализ'!$B$7),N('Сценарный анализ'!$B$7)*(1+N('Сценарный анализ'!$B$8))^(Расчёты!G103-3)))))</f>
        <v>0</v>
      </c>
      <c r="F103">
        <f>IF(OR(Расчёты!F103=0,N('Исходные данные'!$B$5)=0,E103=0),0,N('Исходные данные'!$B$5)*E103*IF(AND(B103&lt;='Исходные данные'!$B$30,Расчёты!C103&gt;='Исходные данные'!$B$30),(Расчёты!C103-'Исходные данные'!$B$30+1)/DAY(Расчёты!C103),1))</f>
        <v>0</v>
      </c>
      <c r="G103">
        <f>IF(AND(Расчёты!F103&gt;0,Расчёты!F103&lt;=N('Исходные данные'!$B$37)),-F103,0)</f>
        <v>0</v>
      </c>
      <c r="H103">
        <f>IF(OR(Расчёты!F103=0,Расчёты!F103&lt;=N('Исходные данные'!$B$37)),0,-(F103+G103)*N('Сценарный анализ'!$B$9))</f>
        <v>0</v>
      </c>
      <c r="I103">
        <f t="shared" si="60"/>
        <v>0</v>
      </c>
      <c r="J103">
        <f>IF('Исходные данные'!$B$51="Да",I103*N('Исходные данные'!$B$52),0)</f>
        <v>0</v>
      </c>
      <c r="K103">
        <f t="shared" si="61"/>
        <v>0</v>
      </c>
      <c r="L103">
        <f>I103+(Расчёты!Y103-Расчёты!L103)</f>
        <v>0</v>
      </c>
      <c r="M103">
        <f t="shared" si="72"/>
        <v>0</v>
      </c>
      <c r="N103">
        <f>IF('Исходные данные'!$B$51="Да",-MAX(0,J103+Расчёты!R103+Расчёты!V103-Расчёты!P103-Расчёты!T103-M103),0)</f>
        <v>0</v>
      </c>
      <c r="O103">
        <f>IF('Исходные данные'!$B$51="Да",MAX(0,M103+Расчёты!P103+Расчёты!T103-J103-Расчёты!R103-Расчёты!V103),0)</f>
        <v>0</v>
      </c>
      <c r="P103">
        <f>IF('Исходные данные'!$B$53="Выручка",MAX(0,I103+(Расчёты!Q103-Расчёты!R103)+(Расчёты!U103-Расчёты!V103)),IF('Исходные данные'!$B$53="Прибыль до налога",MAX(0,I103+(Расчёты!Q103-Расчёты!R103)+(Расчёты!U103-Расчёты!V103)+N('Исходные данные'!$B$54)*((Расчёты!O103+Расчёты!P103)+(Расчёты!S103+Расчёты!T103)+Расчёты!W103+Расчёты!X103)+IF('Исходные данные'!$B$55="Да",Расчёты!AG103,0)-N('Исходные данные'!$B$56)/12),IF('Исходные данные'!$B$53="Пользовательская база",MAX(0,N('Исходные данные'!$B$57)/12),0)))</f>
        <v>0</v>
      </c>
      <c r="Q103">
        <f>IF(D103=1,-P103*N('Исходные данные'!$B$50),0)</f>
        <v>0</v>
      </c>
      <c r="R103">
        <f t="shared" si="62"/>
        <v>0</v>
      </c>
      <c r="S103">
        <f>IF(OR(D103&lt;&gt;1,B103="",'Исходные данные'!$B$91="",N('Исходные данные'!$B$80)&lt;=0,'Исходные данные'!$B$88=""),0,IF(AND(YEAR(B103)=YEAR('Исходные данные'!$B$91),MONTH(B103)=MONTH('Исходные данные'!$B$91)),MAX(0,IF('Исходные данные'!$B$88="Последние 12 месяцев",SUMIFS($L$2:$L$194,$B$2:$B$194,"&gt;="&amp;EDATE(B103,-11),$B$2:$B$194,"&lt;="&amp;B103),IF('Исходные данные'!$B$88="Пользовательский NOI",N('Исходные данные'!$B$89),R103))/N('Исходные данные'!$B$80)*(1+N('Исходные данные'!$B$81))),0))</f>
        <v>0</v>
      </c>
      <c r="T103">
        <f>-S103*N('Исходные данные'!$B$73)</f>
        <v>0</v>
      </c>
      <c r="U103">
        <f>IF(S103=0,0,-N('Исходные данные'!$B$87)-IF('Исходные данные'!$B$82="Да",IF('Исходные данные'!$B$84="С выручки",S103,IF('Исходные данные'!$B$84="С прибыли",MAX(0,S103+T103-IF('Исходные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03">
        <f t="shared" si="63"/>
        <v>0</v>
      </c>
      <c r="W103">
        <f>IF(D103=1,Расчёты!AZ103+K103+N103+Q103+V103,0)</f>
        <v>0</v>
      </c>
      <c r="X103" t="str">
        <f t="shared" si="73"/>
        <v/>
      </c>
      <c r="Y103">
        <f>IF(OR(D103=0,'Исходные данные'!$B$9="",'Исходные данные'!$B$90=""),0,W103/(1+'Исходные данные'!$B$90)^((C103-'Исходные данные'!$B$9)/365))</f>
        <v>0</v>
      </c>
      <c r="Z103">
        <f>IF(D103=1,K103+Расчёты!O103+Расчёты!Q103+Расчёты!S103+Расчёты!U103+Расчёты!W103+Расчёты!X103+N103+Q103,0)</f>
        <v>0</v>
      </c>
      <c r="AA103">
        <f>IF(AND(D103=1,X103&gt;=0,X102&lt;0,MIN($X$2:X103)&lt;0),1,0)</f>
        <v>0</v>
      </c>
      <c r="AB103">
        <f>IF(Расчёты!F103=0,0,IF(Расчёты!G103=1,N('Сценарный анализ'!$C$5),IF(Расчёты!G103=2,N('Сценарный анализ'!$C$6),IF(Расчёты!G103=3,N('Сценарный анализ'!$C$7),N('Сценарный анализ'!$C$7)*(1+N('Сценарный анализ'!$C$8))^(Расчёты!G103-3)))))</f>
        <v>0</v>
      </c>
      <c r="AC103">
        <f>IF(OR(Расчёты!F103=0,N('Исходные данные'!$B$5)=0,AB103=0),0,N('Исходные данные'!$B$5)*AB103*IF(AND(B103&lt;='Исходные данные'!$B$30,Расчёты!C103&gt;='Исходные данные'!$B$30),(Расчёты!C103-'Исходные данные'!$B$30+1)/DAY(Расчёты!C103),1))</f>
        <v>0</v>
      </c>
      <c r="AD103">
        <f>IF(AND(Расчёты!F103&gt;0,Расчёты!F103&lt;=N('Исходные данные'!$B$37)),-AC103,0)</f>
        <v>0</v>
      </c>
      <c r="AE103">
        <f>IF(OR(Расчёты!F103=0,Расчёты!F103&lt;=N('Исходные данные'!$B$37)),0,-(AC103+AD103)*N('Сценарный анализ'!$C$9))</f>
        <v>0</v>
      </c>
      <c r="AF103">
        <f t="shared" si="64"/>
        <v>0</v>
      </c>
      <c r="AG103">
        <f>IF('Исходные данные'!$B$51="Да",AF103*N('Исходные данные'!$B$52),0)</f>
        <v>0</v>
      </c>
      <c r="AH103">
        <f t="shared" si="65"/>
        <v>0</v>
      </c>
      <c r="AI103">
        <f>AF103+(Расчёты!Y103-Расчёты!L103)</f>
        <v>0</v>
      </c>
      <c r="AJ103">
        <f t="shared" si="74"/>
        <v>0</v>
      </c>
      <c r="AK103">
        <f>IF('Исходные данные'!$B$51="Да",-MAX(0,AG103+Расчёты!R103+Расчёты!V103-Расчёты!P103-Расчёты!T103-AJ103),0)</f>
        <v>0</v>
      </c>
      <c r="AL103">
        <f>IF('Исходные данные'!$B$51="Да",MAX(0,AJ103+Расчёты!P103+Расчёты!T103-AG103-Расчёты!R103-Расчёты!V103),0)</f>
        <v>0</v>
      </c>
      <c r="AM103">
        <f>IF('Исходные данные'!$B$53="Выручка",MAX(0,AF103+(Расчёты!Q103-Расчёты!R103)+(Расчёты!U103-Расчёты!V103)),IF('Исходные данные'!$B$53="Прибыль до налога",MAX(0,AF103+(Расчёты!Q103-Расчёты!R103)+(Расчёты!U103-Расчёты!V103)+N('Исходные данные'!$B$54)*((Расчёты!O103+Расчёты!P103)+(Расчёты!S103+Расчёты!T103)+Расчёты!W103+Расчёты!X103)+IF('Исходные данные'!$B$55="Да",Расчёты!AG103,0)-N('Исходные данные'!$B$56)/12),IF('Исходные данные'!$B$53="Пользовательская база",MAX(0,N('Исходные данные'!$B$57)/12),0)))</f>
        <v>0</v>
      </c>
      <c r="AN103">
        <f>IF(D103=1,-AM103*N('Исходные данные'!$B$50),0)</f>
        <v>0</v>
      </c>
      <c r="AO103">
        <f t="shared" si="66"/>
        <v>0</v>
      </c>
      <c r="AP103">
        <f>IF(OR(D103&lt;&gt;1,B103="",'Исходные данные'!$B$91="",N('Исходные данные'!$B$80)&lt;=0,'Исходные данные'!$B$88=""),0,IF(AND(YEAR(B103)=YEAR('Исходные данные'!$B$91),MONTH(B103)=MONTH('Исходные данные'!$B$91)),MAX(0,IF('Исходные данные'!$B$88="Последние 12 месяцев",SUMIFS($AI$2:$AI$194,$B$2:$B$194,"&gt;="&amp;EDATE(B103,-11),$B$2:$B$194,"&lt;="&amp;B103),IF('Исходные данные'!$B$88="Пользовательский NOI",N('Исходные данные'!$B$89),AO103))/N('Исходные данные'!$B$80)*(1+N('Исходные данные'!$B$81))),0))</f>
        <v>0</v>
      </c>
      <c r="AQ103">
        <f>-AP103*N('Исходные данные'!$B$73)</f>
        <v>0</v>
      </c>
      <c r="AR103">
        <f>IF(AP103=0,0,-N('Исходные данные'!$B$87)-IF('Исходные данные'!$B$82="Да",IF('Исходные данные'!$B$84="С выручки",AP103,IF('Исходные данные'!$B$84="С прибыли",MAX(0,AP103+AQ103-IF('Исходные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03">
        <f t="shared" si="67"/>
        <v>0</v>
      </c>
      <c r="AT103">
        <f>IF(D103=1,Расчёты!AZ103+AH103+AK103+AN103+AS103,0)</f>
        <v>0</v>
      </c>
      <c r="AU103" t="str">
        <f t="shared" si="75"/>
        <v/>
      </c>
      <c r="AV103">
        <f>IF(OR(D103=0,'Исходные данные'!$B$9="",'Исходные данные'!$B$90=""),0,AT103/(1+'Исходные данные'!$B$90)^((C103-'Исходные данные'!$B$9)/365))</f>
        <v>0</v>
      </c>
      <c r="AW103">
        <f>IF(D103=1,AH103+Расчёты!O103+Расчёты!Q103+Расчёты!S103+Расчёты!U103+Расчёты!W103+Расчёты!X103+AK103+AN103,0)</f>
        <v>0</v>
      </c>
      <c r="AX103">
        <f>IF(AND(D103=1,AU103&gt;=0,AU102&lt;0,MIN($AU$2:AU103)&lt;0),1,0)</f>
        <v>0</v>
      </c>
      <c r="AY103">
        <f>IF(Расчёты!F103=0,0,IF(Расчёты!G103=1,N('Сценарный анализ'!$D$5),IF(Расчёты!G103=2,N('Сценарный анализ'!$D$6),IF(Расчёты!G103=3,N('Сценарный анализ'!$D$7),N('Сценарный анализ'!$D$7)*(1+N('Сценарный анализ'!$D$8))^(Расчёты!G103-3)))))</f>
        <v>0</v>
      </c>
      <c r="AZ103">
        <f>IF(OR(Расчёты!F103=0,N('Исходные данные'!$B$5)=0,AY103=0),0,N('Исходные данные'!$B$5)*AY103*IF(AND(B103&lt;='Исходные данные'!$B$30,Расчёты!C103&gt;='Исходные данные'!$B$30),(Расчёты!C103-'Исходные данные'!$B$30+1)/DAY(Расчёты!C103),1))</f>
        <v>0</v>
      </c>
      <c r="BA103">
        <f>IF(AND(Расчёты!F103&gt;0,Расчёты!F103&lt;=N('Исходные данные'!$B$37)),-AZ103,0)</f>
        <v>0</v>
      </c>
      <c r="BB103">
        <f>IF(OR(Расчёты!F103=0,Расчёты!F103&lt;=N('Исходные данные'!$B$37)),0,-(AZ103+BA103)*N('Сценарный анализ'!$D$9))</f>
        <v>0</v>
      </c>
      <c r="BC103">
        <f t="shared" si="68"/>
        <v>0</v>
      </c>
      <c r="BD103">
        <f>IF('Исходные данные'!$B$51="Да",BC103*N('Исходные данные'!$B$52),0)</f>
        <v>0</v>
      </c>
      <c r="BE103">
        <f t="shared" si="69"/>
        <v>0</v>
      </c>
      <c r="BF103">
        <f>BC103+(Расчёты!Y103-Расчёты!L103)</f>
        <v>0</v>
      </c>
      <c r="BG103">
        <f t="shared" si="76"/>
        <v>0</v>
      </c>
      <c r="BH103">
        <f>IF('Исходные данные'!$B$51="Да",-MAX(0,BD103+Расчёты!R103+Расчёты!V103-Расчёты!P103-Расчёты!T103-BG103),0)</f>
        <v>0</v>
      </c>
      <c r="BI103">
        <f>IF('Исходные данные'!$B$51="Да",MAX(0,BG103+Расчёты!P103+Расчёты!T103-BD103-Расчёты!R103-Расчёты!V103),0)</f>
        <v>0</v>
      </c>
      <c r="BJ103">
        <f>IF('Исходные данные'!$B$53="Выручка",MAX(0,BC103+(Расчёты!Q103-Расчёты!R103)+(Расчёты!U103-Расчёты!V103)),IF('Исходные данные'!$B$53="Прибыль до налога",MAX(0,BC103+(Расчёты!Q103-Расчёты!R103)+(Расчёты!U103-Расчёты!V103)+N('Исходные данные'!$B$54)*((Расчёты!O103+Расчёты!P103)+(Расчёты!S103+Расчёты!T103)+Расчёты!W103+Расчёты!X103)+IF('Исходные данные'!$B$55="Да",Расчёты!AG103,0)-N('Исходные данные'!$B$56)/12),IF('Исходные данные'!$B$53="Пользовательская база",MAX(0,N('Исходные данные'!$B$57)/12),0)))</f>
        <v>0</v>
      </c>
      <c r="BK103">
        <f>IF(D103=1,-BJ103*N('Исходные данные'!$B$50),0)</f>
        <v>0</v>
      </c>
      <c r="BL103">
        <f t="shared" si="70"/>
        <v>0</v>
      </c>
      <c r="BM103">
        <f>IF(OR(D103&lt;&gt;1,B103="",'Исходные данные'!$B$91="",N('Исходные данные'!$B$80)&lt;=0,'Исходные данные'!$B$88=""),0,IF(AND(YEAR(B103)=YEAR('Исходные данные'!$B$91),MONTH(B103)=MONTH('Исходные данные'!$B$91)),MAX(0,IF('Исходные данные'!$B$88="Последние 12 месяцев",SUMIFS($BF$2:$BF$194,$B$2:$B$194,"&gt;="&amp;EDATE(B103,-11),$B$2:$B$194,"&lt;="&amp;B103),IF('Исходные данные'!$B$88="Пользовательский NOI",N('Исходные данные'!$B$89),BL103))/N('Исходные данные'!$B$80)*(1+N('Исходные данные'!$B$81))),0))</f>
        <v>0</v>
      </c>
      <c r="BN103">
        <f>-BM103*N('Исходные данные'!$B$73)</f>
        <v>0</v>
      </c>
      <c r="BO103">
        <f>IF(BM103=0,0,-N('Исходные данные'!$B$87)-IF('Исходные данные'!$B$82="Да",IF('Исходные данные'!$B$84="С выручки",BM103,IF('Исходные данные'!$B$84="С прибыли",MAX(0,BM103+BN103-IF('Исходные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03">
        <f t="shared" si="71"/>
        <v>0</v>
      </c>
      <c r="BQ103">
        <f>IF(D103=1,Расчёты!AZ103+BE103+BH103+BK103+BP103,0)</f>
        <v>0</v>
      </c>
      <c r="BR103" t="str">
        <f t="shared" si="77"/>
        <v/>
      </c>
      <c r="BS103">
        <f>IF(OR(D103=0,'Исходные данные'!$B$9="",'Исходные данные'!$B$90=""),0,BQ103/(1+'Исходные данные'!$B$90)^((C103-'Исходные данные'!$B$9)/365))</f>
        <v>0</v>
      </c>
      <c r="BT103">
        <f>IF(D103=1,BE103+Расчёты!O103+Расчёты!Q103+Расчёты!S103+Расчёты!U103+Расчёты!W103+Расчёты!X103+BH103+BK103,0)</f>
        <v>0</v>
      </c>
      <c r="BU103">
        <f>IF(AND(D103=1,BR103&gt;=0,BR102&lt;0,MIN($BR$2:BR103)&lt;0),1,0)</f>
        <v>0</v>
      </c>
      <c r="BV103">
        <f>Расчёты!AZ103+K103+N103-P103*N('Исходные данные'!$B$50)</f>
        <v>0</v>
      </c>
      <c r="BW103">
        <f t="shared" si="57"/>
        <v>0</v>
      </c>
      <c r="BX103">
        <f>IF(AND(BW103&gt;=0,BW102&lt;0,MIN($BW$2:BW103)&lt;0),1,0)</f>
        <v>0</v>
      </c>
      <c r="BY103">
        <f>Расчёты!AZ103+AH103+AK103-AM103*N('Исходные данные'!$B$50)</f>
        <v>0</v>
      </c>
      <c r="BZ103">
        <f t="shared" si="58"/>
        <v>0</v>
      </c>
      <c r="CA103">
        <f>IF(AND(BZ103&gt;=0,BZ102&lt;0,MIN($BZ$2:BZ103)&lt;0),1,0)</f>
        <v>0</v>
      </c>
      <c r="CB103">
        <f>Расчёты!AZ103+BE103+BH103-BJ103*N('Исходные данные'!$B$50)</f>
        <v>0</v>
      </c>
      <c r="CC103">
        <f t="shared" si="59"/>
        <v>0</v>
      </c>
      <c r="CD103">
        <f>IF(AND(CC103&gt;=0,CC102&lt;0,MIN($CC$2:CC103)&lt;0),1,0)</f>
        <v>0</v>
      </c>
    </row>
    <row r="104" spans="1:82" x14ac:dyDescent="0.2">
      <c r="A104">
        <f>Расчёты!A104</f>
        <v>103</v>
      </c>
      <c r="B104" t="str">
        <f>Расчёты!B104</f>
        <v/>
      </c>
      <c r="C104" t="str">
        <f>Расчёты!D104</f>
        <v/>
      </c>
      <c r="D104">
        <f>Расчёты!E104</f>
        <v>0</v>
      </c>
      <c r="E104">
        <f>IF(Расчёты!F104=0,0,IF(Расчёты!G104=1,N('Сценарный анализ'!$B$5),IF(Расчёты!G104=2,N('Сценарный анализ'!$B$6),IF(Расчёты!G104=3,N('Сценарный анализ'!$B$7),N('Сценарный анализ'!$B$7)*(1+N('Сценарный анализ'!$B$8))^(Расчёты!G104-3)))))</f>
        <v>0</v>
      </c>
      <c r="F104">
        <f>IF(OR(Расчёты!F104=0,N('Исходные данные'!$B$5)=0,E104=0),0,N('Исходные данные'!$B$5)*E104*IF(AND(B104&lt;='Исходные данные'!$B$30,Расчёты!C104&gt;='Исходные данные'!$B$30),(Расчёты!C104-'Исходные данные'!$B$30+1)/DAY(Расчёты!C104),1))</f>
        <v>0</v>
      </c>
      <c r="G104">
        <f>IF(AND(Расчёты!F104&gt;0,Расчёты!F104&lt;=N('Исходные данные'!$B$37)),-F104,0)</f>
        <v>0</v>
      </c>
      <c r="H104">
        <f>IF(OR(Расчёты!F104=0,Расчёты!F104&lt;=N('Исходные данные'!$B$37)),0,-(F104+G104)*N('Сценарный анализ'!$B$9))</f>
        <v>0</v>
      </c>
      <c r="I104">
        <f t="shared" si="60"/>
        <v>0</v>
      </c>
      <c r="J104">
        <f>IF('Исходные данные'!$B$51="Да",I104*N('Исходные данные'!$B$52),0)</f>
        <v>0</v>
      </c>
      <c r="K104">
        <f t="shared" si="61"/>
        <v>0</v>
      </c>
      <c r="L104">
        <f>I104+(Расчёты!Y104-Расчёты!L104)</f>
        <v>0</v>
      </c>
      <c r="M104">
        <f t="shared" si="72"/>
        <v>0</v>
      </c>
      <c r="N104">
        <f>IF('Исходные данные'!$B$51="Да",-MAX(0,J104+Расчёты!R104+Расчёты!V104-Расчёты!P104-Расчёты!T104-M104),0)</f>
        <v>0</v>
      </c>
      <c r="O104">
        <f>IF('Исходные данные'!$B$51="Да",MAX(0,M104+Расчёты!P104+Расчёты!T104-J104-Расчёты!R104-Расчёты!V104),0)</f>
        <v>0</v>
      </c>
      <c r="P104">
        <f>IF('Исходные данные'!$B$53="Выручка",MAX(0,I104+(Расчёты!Q104-Расчёты!R104)+(Расчёты!U104-Расчёты!V104)),IF('Исходные данные'!$B$53="Прибыль до налога",MAX(0,I104+(Расчёты!Q104-Расчёты!R104)+(Расчёты!U104-Расчёты!V104)+N('Исходные данные'!$B$54)*((Расчёты!O104+Расчёты!P104)+(Расчёты!S104+Расчёты!T104)+Расчёты!W104+Расчёты!X104)+IF('Исходные данные'!$B$55="Да",Расчёты!AG104,0)-N('Исходные данные'!$B$56)/12),IF('Исходные данные'!$B$53="Пользовательская база",MAX(0,N('Исходные данные'!$B$57)/12),0)))</f>
        <v>0</v>
      </c>
      <c r="Q104">
        <f>IF(D104=1,-P104*N('Исходные данные'!$B$50),0)</f>
        <v>0</v>
      </c>
      <c r="R104">
        <f t="shared" si="62"/>
        <v>0</v>
      </c>
      <c r="S104">
        <f>IF(OR(D104&lt;&gt;1,B104="",'Исходные данные'!$B$91="",N('Исходные данные'!$B$80)&lt;=0,'Исходные данные'!$B$88=""),0,IF(AND(YEAR(B104)=YEAR('Исходные данные'!$B$91),MONTH(B104)=MONTH('Исходные данные'!$B$91)),MAX(0,IF('Исходные данные'!$B$88="Последние 12 месяцев",SUMIFS($L$2:$L$194,$B$2:$B$194,"&gt;="&amp;EDATE(B104,-11),$B$2:$B$194,"&lt;="&amp;B104),IF('Исходные данные'!$B$88="Пользовательский NOI",N('Исходные данные'!$B$89),R104))/N('Исходные данные'!$B$80)*(1+N('Исходные данные'!$B$81))),0))</f>
        <v>0</v>
      </c>
      <c r="T104">
        <f>-S104*N('Исходные данные'!$B$73)</f>
        <v>0</v>
      </c>
      <c r="U104">
        <f>IF(S104=0,0,-N('Исходные данные'!$B$87)-IF('Исходные данные'!$B$82="Да",IF('Исходные данные'!$B$84="С выручки",S104,IF('Исходные данные'!$B$84="С прибыли",MAX(0,S104+T104-IF('Исходные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04">
        <f t="shared" si="63"/>
        <v>0</v>
      </c>
      <c r="W104">
        <f>IF(D104=1,Расчёты!AZ104+K104+N104+Q104+V104,0)</f>
        <v>0</v>
      </c>
      <c r="X104" t="str">
        <f t="shared" si="73"/>
        <v/>
      </c>
      <c r="Y104">
        <f>IF(OR(D104=0,'Исходные данные'!$B$9="",'Исходные данные'!$B$90=""),0,W104/(1+'Исходные данные'!$B$90)^((C104-'Исходные данные'!$B$9)/365))</f>
        <v>0</v>
      </c>
      <c r="Z104">
        <f>IF(D104=1,K104+Расчёты!O104+Расчёты!Q104+Расчёты!S104+Расчёты!U104+Расчёты!W104+Расчёты!X104+N104+Q104,0)</f>
        <v>0</v>
      </c>
      <c r="AA104">
        <f>IF(AND(D104=1,X104&gt;=0,X103&lt;0,MIN($X$2:X104)&lt;0),1,0)</f>
        <v>0</v>
      </c>
      <c r="AB104">
        <f>IF(Расчёты!F104=0,0,IF(Расчёты!G104=1,N('Сценарный анализ'!$C$5),IF(Расчёты!G104=2,N('Сценарный анализ'!$C$6),IF(Расчёты!G104=3,N('Сценарный анализ'!$C$7),N('Сценарный анализ'!$C$7)*(1+N('Сценарный анализ'!$C$8))^(Расчёты!G104-3)))))</f>
        <v>0</v>
      </c>
      <c r="AC104">
        <f>IF(OR(Расчёты!F104=0,N('Исходные данные'!$B$5)=0,AB104=0),0,N('Исходные данные'!$B$5)*AB104*IF(AND(B104&lt;='Исходные данные'!$B$30,Расчёты!C104&gt;='Исходные данные'!$B$30),(Расчёты!C104-'Исходные данные'!$B$30+1)/DAY(Расчёты!C104),1))</f>
        <v>0</v>
      </c>
      <c r="AD104">
        <f>IF(AND(Расчёты!F104&gt;0,Расчёты!F104&lt;=N('Исходные данные'!$B$37)),-AC104,0)</f>
        <v>0</v>
      </c>
      <c r="AE104">
        <f>IF(OR(Расчёты!F104=0,Расчёты!F104&lt;=N('Исходные данные'!$B$37)),0,-(AC104+AD104)*N('Сценарный анализ'!$C$9))</f>
        <v>0</v>
      </c>
      <c r="AF104">
        <f t="shared" si="64"/>
        <v>0</v>
      </c>
      <c r="AG104">
        <f>IF('Исходные данные'!$B$51="Да",AF104*N('Исходные данные'!$B$52),0)</f>
        <v>0</v>
      </c>
      <c r="AH104">
        <f t="shared" si="65"/>
        <v>0</v>
      </c>
      <c r="AI104">
        <f>AF104+(Расчёты!Y104-Расчёты!L104)</f>
        <v>0</v>
      </c>
      <c r="AJ104">
        <f t="shared" si="74"/>
        <v>0</v>
      </c>
      <c r="AK104">
        <f>IF('Исходные данные'!$B$51="Да",-MAX(0,AG104+Расчёты!R104+Расчёты!V104-Расчёты!P104-Расчёты!T104-AJ104),0)</f>
        <v>0</v>
      </c>
      <c r="AL104">
        <f>IF('Исходные данные'!$B$51="Да",MAX(0,AJ104+Расчёты!P104+Расчёты!T104-AG104-Расчёты!R104-Расчёты!V104),0)</f>
        <v>0</v>
      </c>
      <c r="AM104">
        <f>IF('Исходные данные'!$B$53="Выручка",MAX(0,AF104+(Расчёты!Q104-Расчёты!R104)+(Расчёты!U104-Расчёты!V104)),IF('Исходные данные'!$B$53="Прибыль до налога",MAX(0,AF104+(Расчёты!Q104-Расчёты!R104)+(Расчёты!U104-Расчёты!V104)+N('Исходные данные'!$B$54)*((Расчёты!O104+Расчёты!P104)+(Расчёты!S104+Расчёты!T104)+Расчёты!W104+Расчёты!X104)+IF('Исходные данные'!$B$55="Да",Расчёты!AG104,0)-N('Исходные данные'!$B$56)/12),IF('Исходные данные'!$B$53="Пользовательская база",MAX(0,N('Исходные данные'!$B$57)/12),0)))</f>
        <v>0</v>
      </c>
      <c r="AN104">
        <f>IF(D104=1,-AM104*N('Исходные данные'!$B$50),0)</f>
        <v>0</v>
      </c>
      <c r="AO104">
        <f t="shared" si="66"/>
        <v>0</v>
      </c>
      <c r="AP104">
        <f>IF(OR(D104&lt;&gt;1,B104="",'Исходные данные'!$B$91="",N('Исходные данные'!$B$80)&lt;=0,'Исходные данные'!$B$88=""),0,IF(AND(YEAR(B104)=YEAR('Исходные данные'!$B$91),MONTH(B104)=MONTH('Исходные данные'!$B$91)),MAX(0,IF('Исходные данные'!$B$88="Последние 12 месяцев",SUMIFS($AI$2:$AI$194,$B$2:$B$194,"&gt;="&amp;EDATE(B104,-11),$B$2:$B$194,"&lt;="&amp;B104),IF('Исходные данные'!$B$88="Пользовательский NOI",N('Исходные данные'!$B$89),AO104))/N('Исходные данные'!$B$80)*(1+N('Исходные данные'!$B$81))),0))</f>
        <v>0</v>
      </c>
      <c r="AQ104">
        <f>-AP104*N('Исходные данные'!$B$73)</f>
        <v>0</v>
      </c>
      <c r="AR104">
        <f>IF(AP104=0,0,-N('Исходные данные'!$B$87)-IF('Исходные данные'!$B$82="Да",IF('Исходные данные'!$B$84="С выручки",AP104,IF('Исходные данные'!$B$84="С прибыли",MAX(0,AP104+AQ104-IF('Исходные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04">
        <f t="shared" si="67"/>
        <v>0</v>
      </c>
      <c r="AT104">
        <f>IF(D104=1,Расчёты!AZ104+AH104+AK104+AN104+AS104,0)</f>
        <v>0</v>
      </c>
      <c r="AU104" t="str">
        <f t="shared" si="75"/>
        <v/>
      </c>
      <c r="AV104">
        <f>IF(OR(D104=0,'Исходные данные'!$B$9="",'Исходные данные'!$B$90=""),0,AT104/(1+'Исходные данные'!$B$90)^((C104-'Исходные данные'!$B$9)/365))</f>
        <v>0</v>
      </c>
      <c r="AW104">
        <f>IF(D104=1,AH104+Расчёты!O104+Расчёты!Q104+Расчёты!S104+Расчёты!U104+Расчёты!W104+Расчёты!X104+AK104+AN104,0)</f>
        <v>0</v>
      </c>
      <c r="AX104">
        <f>IF(AND(D104=1,AU104&gt;=0,AU103&lt;0,MIN($AU$2:AU104)&lt;0),1,0)</f>
        <v>0</v>
      </c>
      <c r="AY104">
        <f>IF(Расчёты!F104=0,0,IF(Расчёты!G104=1,N('Сценарный анализ'!$D$5),IF(Расчёты!G104=2,N('Сценарный анализ'!$D$6),IF(Расчёты!G104=3,N('Сценарный анализ'!$D$7),N('Сценарный анализ'!$D$7)*(1+N('Сценарный анализ'!$D$8))^(Расчёты!G104-3)))))</f>
        <v>0</v>
      </c>
      <c r="AZ104">
        <f>IF(OR(Расчёты!F104=0,N('Исходные данные'!$B$5)=0,AY104=0),0,N('Исходные данные'!$B$5)*AY104*IF(AND(B104&lt;='Исходные данные'!$B$30,Расчёты!C104&gt;='Исходные данные'!$B$30),(Расчёты!C104-'Исходные данные'!$B$30+1)/DAY(Расчёты!C104),1))</f>
        <v>0</v>
      </c>
      <c r="BA104">
        <f>IF(AND(Расчёты!F104&gt;0,Расчёты!F104&lt;=N('Исходные данные'!$B$37)),-AZ104,0)</f>
        <v>0</v>
      </c>
      <c r="BB104">
        <f>IF(OR(Расчёты!F104=0,Расчёты!F104&lt;=N('Исходные данные'!$B$37)),0,-(AZ104+BA104)*N('Сценарный анализ'!$D$9))</f>
        <v>0</v>
      </c>
      <c r="BC104">
        <f t="shared" si="68"/>
        <v>0</v>
      </c>
      <c r="BD104">
        <f>IF('Исходные данные'!$B$51="Да",BC104*N('Исходные данные'!$B$52),0)</f>
        <v>0</v>
      </c>
      <c r="BE104">
        <f t="shared" si="69"/>
        <v>0</v>
      </c>
      <c r="BF104">
        <f>BC104+(Расчёты!Y104-Расчёты!L104)</f>
        <v>0</v>
      </c>
      <c r="BG104">
        <f t="shared" si="76"/>
        <v>0</v>
      </c>
      <c r="BH104">
        <f>IF('Исходные данные'!$B$51="Да",-MAX(0,BD104+Расчёты!R104+Расчёты!V104-Расчёты!P104-Расчёты!T104-BG104),0)</f>
        <v>0</v>
      </c>
      <c r="BI104">
        <f>IF('Исходные данные'!$B$51="Да",MAX(0,BG104+Расчёты!P104+Расчёты!T104-BD104-Расчёты!R104-Расчёты!V104),0)</f>
        <v>0</v>
      </c>
      <c r="BJ104">
        <f>IF('Исходные данные'!$B$53="Выручка",MAX(0,BC104+(Расчёты!Q104-Расчёты!R104)+(Расчёты!U104-Расчёты!V104)),IF('Исходные данные'!$B$53="Прибыль до налога",MAX(0,BC104+(Расчёты!Q104-Расчёты!R104)+(Расчёты!U104-Расчёты!V104)+N('Исходные данные'!$B$54)*((Расчёты!O104+Расчёты!P104)+(Расчёты!S104+Расчёты!T104)+Расчёты!W104+Расчёты!X104)+IF('Исходные данные'!$B$55="Да",Расчёты!AG104,0)-N('Исходные данные'!$B$56)/12),IF('Исходные данные'!$B$53="Пользовательская база",MAX(0,N('Исходные данные'!$B$57)/12),0)))</f>
        <v>0</v>
      </c>
      <c r="BK104">
        <f>IF(D104=1,-BJ104*N('Исходные данные'!$B$50),0)</f>
        <v>0</v>
      </c>
      <c r="BL104">
        <f t="shared" si="70"/>
        <v>0</v>
      </c>
      <c r="BM104">
        <f>IF(OR(D104&lt;&gt;1,B104="",'Исходные данные'!$B$91="",N('Исходные данные'!$B$80)&lt;=0,'Исходные данные'!$B$88=""),0,IF(AND(YEAR(B104)=YEAR('Исходные данные'!$B$91),MONTH(B104)=MONTH('Исходные данные'!$B$91)),MAX(0,IF('Исходные данные'!$B$88="Последние 12 месяцев",SUMIFS($BF$2:$BF$194,$B$2:$B$194,"&gt;="&amp;EDATE(B104,-11),$B$2:$B$194,"&lt;="&amp;B104),IF('Исходные данные'!$B$88="Пользовательский NOI",N('Исходные данные'!$B$89),BL104))/N('Исходные данные'!$B$80)*(1+N('Исходные данные'!$B$81))),0))</f>
        <v>0</v>
      </c>
      <c r="BN104">
        <f>-BM104*N('Исходные данные'!$B$73)</f>
        <v>0</v>
      </c>
      <c r="BO104">
        <f>IF(BM104=0,0,-N('Исходные данные'!$B$87)-IF('Исходные данные'!$B$82="Да",IF('Исходные данные'!$B$84="С выручки",BM104,IF('Исходные данные'!$B$84="С прибыли",MAX(0,BM104+BN104-IF('Исходные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04">
        <f t="shared" si="71"/>
        <v>0</v>
      </c>
      <c r="BQ104">
        <f>IF(D104=1,Расчёты!AZ104+BE104+BH104+BK104+BP104,0)</f>
        <v>0</v>
      </c>
      <c r="BR104" t="str">
        <f t="shared" si="77"/>
        <v/>
      </c>
      <c r="BS104">
        <f>IF(OR(D104=0,'Исходные данные'!$B$9="",'Исходные данные'!$B$90=""),0,BQ104/(1+'Исходные данные'!$B$90)^((C104-'Исходные данные'!$B$9)/365))</f>
        <v>0</v>
      </c>
      <c r="BT104">
        <f>IF(D104=1,BE104+Расчёты!O104+Расчёты!Q104+Расчёты!S104+Расчёты!U104+Расчёты!W104+Расчёты!X104+BH104+BK104,0)</f>
        <v>0</v>
      </c>
      <c r="BU104">
        <f>IF(AND(D104=1,BR104&gt;=0,BR103&lt;0,MIN($BR$2:BR104)&lt;0),1,0)</f>
        <v>0</v>
      </c>
      <c r="BV104">
        <f>Расчёты!AZ104+K104+N104-P104*N('Исходные данные'!$B$50)</f>
        <v>0</v>
      </c>
      <c r="BW104">
        <f t="shared" si="57"/>
        <v>0</v>
      </c>
      <c r="BX104">
        <f>IF(AND(BW104&gt;=0,BW103&lt;0,MIN($BW$2:BW104)&lt;0),1,0)</f>
        <v>0</v>
      </c>
      <c r="BY104">
        <f>Расчёты!AZ104+AH104+AK104-AM104*N('Исходные данные'!$B$50)</f>
        <v>0</v>
      </c>
      <c r="BZ104">
        <f t="shared" si="58"/>
        <v>0</v>
      </c>
      <c r="CA104">
        <f>IF(AND(BZ104&gt;=0,BZ103&lt;0,MIN($BZ$2:BZ104)&lt;0),1,0)</f>
        <v>0</v>
      </c>
      <c r="CB104">
        <f>Расчёты!AZ104+BE104+BH104-BJ104*N('Исходные данные'!$B$50)</f>
        <v>0</v>
      </c>
      <c r="CC104">
        <f t="shared" si="59"/>
        <v>0</v>
      </c>
      <c r="CD104">
        <f>IF(AND(CC104&gt;=0,CC103&lt;0,MIN($CC$2:CC104)&lt;0),1,0)</f>
        <v>0</v>
      </c>
    </row>
    <row r="105" spans="1:82" x14ac:dyDescent="0.2">
      <c r="A105">
        <f>Расчёты!A105</f>
        <v>104</v>
      </c>
      <c r="B105" t="str">
        <f>Расчёты!B105</f>
        <v/>
      </c>
      <c r="C105" t="str">
        <f>Расчёты!D105</f>
        <v/>
      </c>
      <c r="D105">
        <f>Расчёты!E105</f>
        <v>0</v>
      </c>
      <c r="E105">
        <f>IF(Расчёты!F105=0,0,IF(Расчёты!G105=1,N('Сценарный анализ'!$B$5),IF(Расчёты!G105=2,N('Сценарный анализ'!$B$6),IF(Расчёты!G105=3,N('Сценарный анализ'!$B$7),N('Сценарный анализ'!$B$7)*(1+N('Сценарный анализ'!$B$8))^(Расчёты!G105-3)))))</f>
        <v>0</v>
      </c>
      <c r="F105">
        <f>IF(OR(Расчёты!F105=0,N('Исходные данные'!$B$5)=0,E105=0),0,N('Исходные данные'!$B$5)*E105*IF(AND(B105&lt;='Исходные данные'!$B$30,Расчёты!C105&gt;='Исходные данные'!$B$30),(Расчёты!C105-'Исходные данные'!$B$30+1)/DAY(Расчёты!C105),1))</f>
        <v>0</v>
      </c>
      <c r="G105">
        <f>IF(AND(Расчёты!F105&gt;0,Расчёты!F105&lt;=N('Исходные данные'!$B$37)),-F105,0)</f>
        <v>0</v>
      </c>
      <c r="H105">
        <f>IF(OR(Расчёты!F105=0,Расчёты!F105&lt;=N('Исходные данные'!$B$37)),0,-(F105+G105)*N('Сценарный анализ'!$B$9))</f>
        <v>0</v>
      </c>
      <c r="I105">
        <f t="shared" si="60"/>
        <v>0</v>
      </c>
      <c r="J105">
        <f>IF('Исходные данные'!$B$51="Да",I105*N('Исходные данные'!$B$52),0)</f>
        <v>0</v>
      </c>
      <c r="K105">
        <f t="shared" si="61"/>
        <v>0</v>
      </c>
      <c r="L105">
        <f>I105+(Расчёты!Y105-Расчёты!L105)</f>
        <v>0</v>
      </c>
      <c r="M105">
        <f t="shared" si="72"/>
        <v>0</v>
      </c>
      <c r="N105">
        <f>IF('Исходные данные'!$B$51="Да",-MAX(0,J105+Расчёты!R105+Расчёты!V105-Расчёты!P105-Расчёты!T105-M105),0)</f>
        <v>0</v>
      </c>
      <c r="O105">
        <f>IF('Исходные данные'!$B$51="Да",MAX(0,M105+Расчёты!P105+Расчёты!T105-J105-Расчёты!R105-Расчёты!V105),0)</f>
        <v>0</v>
      </c>
      <c r="P105">
        <f>IF('Исходные данные'!$B$53="Выручка",MAX(0,I105+(Расчёты!Q105-Расчёты!R105)+(Расчёты!U105-Расчёты!V105)),IF('Исходные данные'!$B$53="Прибыль до налога",MAX(0,I105+(Расчёты!Q105-Расчёты!R105)+(Расчёты!U105-Расчёты!V105)+N('Исходные данные'!$B$54)*((Расчёты!O105+Расчёты!P105)+(Расчёты!S105+Расчёты!T105)+Расчёты!W105+Расчёты!X105)+IF('Исходные данные'!$B$55="Да",Расчёты!AG105,0)-N('Исходные данные'!$B$56)/12),IF('Исходные данные'!$B$53="Пользовательская база",MAX(0,N('Исходные данные'!$B$57)/12),0)))</f>
        <v>0</v>
      </c>
      <c r="Q105">
        <f>IF(D105=1,-P105*N('Исходные данные'!$B$50),0)</f>
        <v>0</v>
      </c>
      <c r="R105">
        <f t="shared" si="62"/>
        <v>0</v>
      </c>
      <c r="S105">
        <f>IF(OR(D105&lt;&gt;1,B105="",'Исходные данные'!$B$91="",N('Исходные данные'!$B$80)&lt;=0,'Исходные данные'!$B$88=""),0,IF(AND(YEAR(B105)=YEAR('Исходные данные'!$B$91),MONTH(B105)=MONTH('Исходные данные'!$B$91)),MAX(0,IF('Исходные данные'!$B$88="Последние 12 месяцев",SUMIFS($L$2:$L$194,$B$2:$B$194,"&gt;="&amp;EDATE(B105,-11),$B$2:$B$194,"&lt;="&amp;B105),IF('Исходные данные'!$B$88="Пользовательский NOI",N('Исходные данные'!$B$89),R105))/N('Исходные данные'!$B$80)*(1+N('Исходные данные'!$B$81))),0))</f>
        <v>0</v>
      </c>
      <c r="T105">
        <f>-S105*N('Исходные данные'!$B$73)</f>
        <v>0</v>
      </c>
      <c r="U105">
        <f>IF(S105=0,0,-N('Исходные данные'!$B$87)-IF('Исходные данные'!$B$82="Да",IF('Исходные данные'!$B$84="С выручки",S105,IF('Исходные данные'!$B$84="С прибыли",MAX(0,S105+T105-IF('Исходные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05">
        <f t="shared" si="63"/>
        <v>0</v>
      </c>
      <c r="W105">
        <f>IF(D105=1,Расчёты!AZ105+K105+N105+Q105+V105,0)</f>
        <v>0</v>
      </c>
      <c r="X105" t="str">
        <f t="shared" si="73"/>
        <v/>
      </c>
      <c r="Y105">
        <f>IF(OR(D105=0,'Исходные данные'!$B$9="",'Исходные данные'!$B$90=""),0,W105/(1+'Исходные данные'!$B$90)^((C105-'Исходные данные'!$B$9)/365))</f>
        <v>0</v>
      </c>
      <c r="Z105">
        <f>IF(D105=1,K105+Расчёты!O105+Расчёты!Q105+Расчёты!S105+Расчёты!U105+Расчёты!W105+Расчёты!X105+N105+Q105,0)</f>
        <v>0</v>
      </c>
      <c r="AA105">
        <f>IF(AND(D105=1,X105&gt;=0,X104&lt;0,MIN($X$2:X105)&lt;0),1,0)</f>
        <v>0</v>
      </c>
      <c r="AB105">
        <f>IF(Расчёты!F105=0,0,IF(Расчёты!G105=1,N('Сценарный анализ'!$C$5),IF(Расчёты!G105=2,N('Сценарный анализ'!$C$6),IF(Расчёты!G105=3,N('Сценарный анализ'!$C$7),N('Сценарный анализ'!$C$7)*(1+N('Сценарный анализ'!$C$8))^(Расчёты!G105-3)))))</f>
        <v>0</v>
      </c>
      <c r="AC105">
        <f>IF(OR(Расчёты!F105=0,N('Исходные данные'!$B$5)=0,AB105=0),0,N('Исходные данные'!$B$5)*AB105*IF(AND(B105&lt;='Исходные данные'!$B$30,Расчёты!C105&gt;='Исходные данные'!$B$30),(Расчёты!C105-'Исходные данные'!$B$30+1)/DAY(Расчёты!C105),1))</f>
        <v>0</v>
      </c>
      <c r="AD105">
        <f>IF(AND(Расчёты!F105&gt;0,Расчёты!F105&lt;=N('Исходные данные'!$B$37)),-AC105,0)</f>
        <v>0</v>
      </c>
      <c r="AE105">
        <f>IF(OR(Расчёты!F105=0,Расчёты!F105&lt;=N('Исходные данные'!$B$37)),0,-(AC105+AD105)*N('Сценарный анализ'!$C$9))</f>
        <v>0</v>
      </c>
      <c r="AF105">
        <f t="shared" si="64"/>
        <v>0</v>
      </c>
      <c r="AG105">
        <f>IF('Исходные данные'!$B$51="Да",AF105*N('Исходные данные'!$B$52),0)</f>
        <v>0</v>
      </c>
      <c r="AH105">
        <f t="shared" si="65"/>
        <v>0</v>
      </c>
      <c r="AI105">
        <f>AF105+(Расчёты!Y105-Расчёты!L105)</f>
        <v>0</v>
      </c>
      <c r="AJ105">
        <f t="shared" si="74"/>
        <v>0</v>
      </c>
      <c r="AK105">
        <f>IF('Исходные данные'!$B$51="Да",-MAX(0,AG105+Расчёты!R105+Расчёты!V105-Расчёты!P105-Расчёты!T105-AJ105),0)</f>
        <v>0</v>
      </c>
      <c r="AL105">
        <f>IF('Исходные данные'!$B$51="Да",MAX(0,AJ105+Расчёты!P105+Расчёты!T105-AG105-Расчёты!R105-Расчёты!V105),0)</f>
        <v>0</v>
      </c>
      <c r="AM105">
        <f>IF('Исходные данные'!$B$53="Выручка",MAX(0,AF105+(Расчёты!Q105-Расчёты!R105)+(Расчёты!U105-Расчёты!V105)),IF('Исходные данные'!$B$53="Прибыль до налога",MAX(0,AF105+(Расчёты!Q105-Расчёты!R105)+(Расчёты!U105-Расчёты!V105)+N('Исходные данные'!$B$54)*((Расчёты!O105+Расчёты!P105)+(Расчёты!S105+Расчёты!T105)+Расчёты!W105+Расчёты!X105)+IF('Исходные данные'!$B$55="Да",Расчёты!AG105,0)-N('Исходные данные'!$B$56)/12),IF('Исходные данные'!$B$53="Пользовательская база",MAX(0,N('Исходные данные'!$B$57)/12),0)))</f>
        <v>0</v>
      </c>
      <c r="AN105">
        <f>IF(D105=1,-AM105*N('Исходные данные'!$B$50),0)</f>
        <v>0</v>
      </c>
      <c r="AO105">
        <f t="shared" si="66"/>
        <v>0</v>
      </c>
      <c r="AP105">
        <f>IF(OR(D105&lt;&gt;1,B105="",'Исходные данные'!$B$91="",N('Исходные данные'!$B$80)&lt;=0,'Исходные данные'!$B$88=""),0,IF(AND(YEAR(B105)=YEAR('Исходные данные'!$B$91),MONTH(B105)=MONTH('Исходные данные'!$B$91)),MAX(0,IF('Исходные данные'!$B$88="Последние 12 месяцев",SUMIFS($AI$2:$AI$194,$B$2:$B$194,"&gt;="&amp;EDATE(B105,-11),$B$2:$B$194,"&lt;="&amp;B105),IF('Исходные данные'!$B$88="Пользовательский NOI",N('Исходные данные'!$B$89),AO105))/N('Исходные данные'!$B$80)*(1+N('Исходные данные'!$B$81))),0))</f>
        <v>0</v>
      </c>
      <c r="AQ105">
        <f>-AP105*N('Исходные данные'!$B$73)</f>
        <v>0</v>
      </c>
      <c r="AR105">
        <f>IF(AP105=0,0,-N('Исходные данные'!$B$87)-IF('Исходные данные'!$B$82="Да",IF('Исходные данные'!$B$84="С выручки",AP105,IF('Исходные данные'!$B$84="С прибыли",MAX(0,AP105+AQ105-IF('Исходные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05">
        <f t="shared" si="67"/>
        <v>0</v>
      </c>
      <c r="AT105">
        <f>IF(D105=1,Расчёты!AZ105+AH105+AK105+AN105+AS105,0)</f>
        <v>0</v>
      </c>
      <c r="AU105" t="str">
        <f t="shared" si="75"/>
        <v/>
      </c>
      <c r="AV105">
        <f>IF(OR(D105=0,'Исходные данные'!$B$9="",'Исходные данные'!$B$90=""),0,AT105/(1+'Исходные данные'!$B$90)^((C105-'Исходные данные'!$B$9)/365))</f>
        <v>0</v>
      </c>
      <c r="AW105">
        <f>IF(D105=1,AH105+Расчёты!O105+Расчёты!Q105+Расчёты!S105+Расчёты!U105+Расчёты!W105+Расчёты!X105+AK105+AN105,0)</f>
        <v>0</v>
      </c>
      <c r="AX105">
        <f>IF(AND(D105=1,AU105&gt;=0,AU104&lt;0,MIN($AU$2:AU105)&lt;0),1,0)</f>
        <v>0</v>
      </c>
      <c r="AY105">
        <f>IF(Расчёты!F105=0,0,IF(Расчёты!G105=1,N('Сценарный анализ'!$D$5),IF(Расчёты!G105=2,N('Сценарный анализ'!$D$6),IF(Расчёты!G105=3,N('Сценарный анализ'!$D$7),N('Сценарный анализ'!$D$7)*(1+N('Сценарный анализ'!$D$8))^(Расчёты!G105-3)))))</f>
        <v>0</v>
      </c>
      <c r="AZ105">
        <f>IF(OR(Расчёты!F105=0,N('Исходные данные'!$B$5)=0,AY105=0),0,N('Исходные данные'!$B$5)*AY105*IF(AND(B105&lt;='Исходные данные'!$B$30,Расчёты!C105&gt;='Исходные данные'!$B$30),(Расчёты!C105-'Исходные данные'!$B$30+1)/DAY(Расчёты!C105),1))</f>
        <v>0</v>
      </c>
      <c r="BA105">
        <f>IF(AND(Расчёты!F105&gt;0,Расчёты!F105&lt;=N('Исходные данные'!$B$37)),-AZ105,0)</f>
        <v>0</v>
      </c>
      <c r="BB105">
        <f>IF(OR(Расчёты!F105=0,Расчёты!F105&lt;=N('Исходные данные'!$B$37)),0,-(AZ105+BA105)*N('Сценарный анализ'!$D$9))</f>
        <v>0</v>
      </c>
      <c r="BC105">
        <f t="shared" si="68"/>
        <v>0</v>
      </c>
      <c r="BD105">
        <f>IF('Исходные данные'!$B$51="Да",BC105*N('Исходные данные'!$B$52),0)</f>
        <v>0</v>
      </c>
      <c r="BE105">
        <f t="shared" si="69"/>
        <v>0</v>
      </c>
      <c r="BF105">
        <f>BC105+(Расчёты!Y105-Расчёты!L105)</f>
        <v>0</v>
      </c>
      <c r="BG105">
        <f t="shared" si="76"/>
        <v>0</v>
      </c>
      <c r="BH105">
        <f>IF('Исходные данные'!$B$51="Да",-MAX(0,BD105+Расчёты!R105+Расчёты!V105-Расчёты!P105-Расчёты!T105-BG105),0)</f>
        <v>0</v>
      </c>
      <c r="BI105">
        <f>IF('Исходные данные'!$B$51="Да",MAX(0,BG105+Расчёты!P105+Расчёты!T105-BD105-Расчёты!R105-Расчёты!V105),0)</f>
        <v>0</v>
      </c>
      <c r="BJ105">
        <f>IF('Исходные данные'!$B$53="Выручка",MAX(0,BC105+(Расчёты!Q105-Расчёты!R105)+(Расчёты!U105-Расчёты!V105)),IF('Исходные данные'!$B$53="Прибыль до налога",MAX(0,BC105+(Расчёты!Q105-Расчёты!R105)+(Расчёты!U105-Расчёты!V105)+N('Исходные данные'!$B$54)*((Расчёты!O105+Расчёты!P105)+(Расчёты!S105+Расчёты!T105)+Расчёты!W105+Расчёты!X105)+IF('Исходные данные'!$B$55="Да",Расчёты!AG105,0)-N('Исходные данные'!$B$56)/12),IF('Исходные данные'!$B$53="Пользовательская база",MAX(0,N('Исходные данные'!$B$57)/12),0)))</f>
        <v>0</v>
      </c>
      <c r="BK105">
        <f>IF(D105=1,-BJ105*N('Исходные данные'!$B$50),0)</f>
        <v>0</v>
      </c>
      <c r="BL105">
        <f t="shared" si="70"/>
        <v>0</v>
      </c>
      <c r="BM105">
        <f>IF(OR(D105&lt;&gt;1,B105="",'Исходные данные'!$B$91="",N('Исходные данные'!$B$80)&lt;=0,'Исходные данные'!$B$88=""),0,IF(AND(YEAR(B105)=YEAR('Исходные данные'!$B$91),MONTH(B105)=MONTH('Исходные данные'!$B$91)),MAX(0,IF('Исходные данные'!$B$88="Последние 12 месяцев",SUMIFS($BF$2:$BF$194,$B$2:$B$194,"&gt;="&amp;EDATE(B105,-11),$B$2:$B$194,"&lt;="&amp;B105),IF('Исходные данные'!$B$88="Пользовательский NOI",N('Исходные данные'!$B$89),BL105))/N('Исходные данные'!$B$80)*(1+N('Исходные данные'!$B$81))),0))</f>
        <v>0</v>
      </c>
      <c r="BN105">
        <f>-BM105*N('Исходные данные'!$B$73)</f>
        <v>0</v>
      </c>
      <c r="BO105">
        <f>IF(BM105=0,0,-N('Исходные данные'!$B$87)-IF('Исходные данные'!$B$82="Да",IF('Исходные данные'!$B$84="С выручки",BM105,IF('Исходные данные'!$B$84="С прибыли",MAX(0,BM105+BN105-IF('Исходные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05">
        <f t="shared" si="71"/>
        <v>0</v>
      </c>
      <c r="BQ105">
        <f>IF(D105=1,Расчёты!AZ105+BE105+BH105+BK105+BP105,0)</f>
        <v>0</v>
      </c>
      <c r="BR105" t="str">
        <f t="shared" si="77"/>
        <v/>
      </c>
      <c r="BS105">
        <f>IF(OR(D105=0,'Исходные данные'!$B$9="",'Исходные данные'!$B$90=""),0,BQ105/(1+'Исходные данные'!$B$90)^((C105-'Исходные данные'!$B$9)/365))</f>
        <v>0</v>
      </c>
      <c r="BT105">
        <f>IF(D105=1,BE105+Расчёты!O105+Расчёты!Q105+Расчёты!S105+Расчёты!U105+Расчёты!W105+Расчёты!X105+BH105+BK105,0)</f>
        <v>0</v>
      </c>
      <c r="BU105">
        <f>IF(AND(D105=1,BR105&gt;=0,BR104&lt;0,MIN($BR$2:BR105)&lt;0),1,0)</f>
        <v>0</v>
      </c>
      <c r="BV105">
        <f>Расчёты!AZ105+K105+N105-P105*N('Исходные данные'!$B$50)</f>
        <v>0</v>
      </c>
      <c r="BW105">
        <f t="shared" si="57"/>
        <v>0</v>
      </c>
      <c r="BX105">
        <f>IF(AND(BW105&gt;=0,BW104&lt;0,MIN($BW$2:BW105)&lt;0),1,0)</f>
        <v>0</v>
      </c>
      <c r="BY105">
        <f>Расчёты!AZ105+AH105+AK105-AM105*N('Исходные данные'!$B$50)</f>
        <v>0</v>
      </c>
      <c r="BZ105">
        <f t="shared" si="58"/>
        <v>0</v>
      </c>
      <c r="CA105">
        <f>IF(AND(BZ105&gt;=0,BZ104&lt;0,MIN($BZ$2:BZ105)&lt;0),1,0)</f>
        <v>0</v>
      </c>
      <c r="CB105">
        <f>Расчёты!AZ105+BE105+BH105-BJ105*N('Исходные данные'!$B$50)</f>
        <v>0</v>
      </c>
      <c r="CC105">
        <f t="shared" si="59"/>
        <v>0</v>
      </c>
      <c r="CD105">
        <f>IF(AND(CC105&gt;=0,CC104&lt;0,MIN($CC$2:CC105)&lt;0),1,0)</f>
        <v>0</v>
      </c>
    </row>
    <row r="106" spans="1:82" x14ac:dyDescent="0.2">
      <c r="A106">
        <f>Расчёты!A106</f>
        <v>105</v>
      </c>
      <c r="B106" t="str">
        <f>Расчёты!B106</f>
        <v/>
      </c>
      <c r="C106" t="str">
        <f>Расчёты!D106</f>
        <v/>
      </c>
      <c r="D106">
        <f>Расчёты!E106</f>
        <v>0</v>
      </c>
      <c r="E106">
        <f>IF(Расчёты!F106=0,0,IF(Расчёты!G106=1,N('Сценарный анализ'!$B$5),IF(Расчёты!G106=2,N('Сценарный анализ'!$B$6),IF(Расчёты!G106=3,N('Сценарный анализ'!$B$7),N('Сценарный анализ'!$B$7)*(1+N('Сценарный анализ'!$B$8))^(Расчёты!G106-3)))))</f>
        <v>0</v>
      </c>
      <c r="F106">
        <f>IF(OR(Расчёты!F106=0,N('Исходные данные'!$B$5)=0,E106=0),0,N('Исходные данные'!$B$5)*E106*IF(AND(B106&lt;='Исходные данные'!$B$30,Расчёты!C106&gt;='Исходные данные'!$B$30),(Расчёты!C106-'Исходные данные'!$B$30+1)/DAY(Расчёты!C106),1))</f>
        <v>0</v>
      </c>
      <c r="G106">
        <f>IF(AND(Расчёты!F106&gt;0,Расчёты!F106&lt;=N('Исходные данные'!$B$37)),-F106,0)</f>
        <v>0</v>
      </c>
      <c r="H106">
        <f>IF(OR(Расчёты!F106=0,Расчёты!F106&lt;=N('Исходные данные'!$B$37)),0,-(F106+G106)*N('Сценарный анализ'!$B$9))</f>
        <v>0</v>
      </c>
      <c r="I106">
        <f t="shared" si="60"/>
        <v>0</v>
      </c>
      <c r="J106">
        <f>IF('Исходные данные'!$B$51="Да",I106*N('Исходные данные'!$B$52),0)</f>
        <v>0</v>
      </c>
      <c r="K106">
        <f t="shared" si="61"/>
        <v>0</v>
      </c>
      <c r="L106">
        <f>I106+(Расчёты!Y106-Расчёты!L106)</f>
        <v>0</v>
      </c>
      <c r="M106">
        <f t="shared" si="72"/>
        <v>0</v>
      </c>
      <c r="N106">
        <f>IF('Исходные данные'!$B$51="Да",-MAX(0,J106+Расчёты!R106+Расчёты!V106-Расчёты!P106-Расчёты!T106-M106),0)</f>
        <v>0</v>
      </c>
      <c r="O106">
        <f>IF('Исходные данные'!$B$51="Да",MAX(0,M106+Расчёты!P106+Расчёты!T106-J106-Расчёты!R106-Расчёты!V106),0)</f>
        <v>0</v>
      </c>
      <c r="P106">
        <f>IF('Исходные данные'!$B$53="Выручка",MAX(0,I106+(Расчёты!Q106-Расчёты!R106)+(Расчёты!U106-Расчёты!V106)),IF('Исходные данные'!$B$53="Прибыль до налога",MAX(0,I106+(Расчёты!Q106-Расчёты!R106)+(Расчёты!U106-Расчёты!V106)+N('Исходные данные'!$B$54)*((Расчёты!O106+Расчёты!P106)+(Расчёты!S106+Расчёты!T106)+Расчёты!W106+Расчёты!X106)+IF('Исходные данные'!$B$55="Да",Расчёты!AG106,0)-N('Исходные данные'!$B$56)/12),IF('Исходные данные'!$B$53="Пользовательская база",MAX(0,N('Исходные данные'!$B$57)/12),0)))</f>
        <v>0</v>
      </c>
      <c r="Q106">
        <f>IF(D106=1,-P106*N('Исходные данные'!$B$50),0)</f>
        <v>0</v>
      </c>
      <c r="R106">
        <f t="shared" si="62"/>
        <v>0</v>
      </c>
      <c r="S106">
        <f>IF(OR(D106&lt;&gt;1,B106="",'Исходные данные'!$B$91="",N('Исходные данные'!$B$80)&lt;=0,'Исходные данные'!$B$88=""),0,IF(AND(YEAR(B106)=YEAR('Исходные данные'!$B$91),MONTH(B106)=MONTH('Исходные данные'!$B$91)),MAX(0,IF('Исходные данные'!$B$88="Последние 12 месяцев",SUMIFS($L$2:$L$194,$B$2:$B$194,"&gt;="&amp;EDATE(B106,-11),$B$2:$B$194,"&lt;="&amp;B106),IF('Исходные данные'!$B$88="Пользовательский NOI",N('Исходные данные'!$B$89),R106))/N('Исходные данные'!$B$80)*(1+N('Исходные данные'!$B$81))),0))</f>
        <v>0</v>
      </c>
      <c r="T106">
        <f>-S106*N('Исходные данные'!$B$73)</f>
        <v>0</v>
      </c>
      <c r="U106">
        <f>IF(S106=0,0,-N('Исходные данные'!$B$87)-IF('Исходные данные'!$B$82="Да",IF('Исходные данные'!$B$84="С выручки",S106,IF('Исходные данные'!$B$84="С прибыли",MAX(0,S106+T106-IF('Исходные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06">
        <f t="shared" si="63"/>
        <v>0</v>
      </c>
      <c r="W106">
        <f>IF(D106=1,Расчёты!AZ106+K106+N106+Q106+V106,0)</f>
        <v>0</v>
      </c>
      <c r="X106" t="str">
        <f t="shared" si="73"/>
        <v/>
      </c>
      <c r="Y106">
        <f>IF(OR(D106=0,'Исходные данные'!$B$9="",'Исходные данные'!$B$90=""),0,W106/(1+'Исходные данные'!$B$90)^((C106-'Исходные данные'!$B$9)/365))</f>
        <v>0</v>
      </c>
      <c r="Z106">
        <f>IF(D106=1,K106+Расчёты!O106+Расчёты!Q106+Расчёты!S106+Расчёты!U106+Расчёты!W106+Расчёты!X106+N106+Q106,0)</f>
        <v>0</v>
      </c>
      <c r="AA106">
        <f>IF(AND(D106=1,X106&gt;=0,X105&lt;0,MIN($X$2:X106)&lt;0),1,0)</f>
        <v>0</v>
      </c>
      <c r="AB106">
        <f>IF(Расчёты!F106=0,0,IF(Расчёты!G106=1,N('Сценарный анализ'!$C$5),IF(Расчёты!G106=2,N('Сценарный анализ'!$C$6),IF(Расчёты!G106=3,N('Сценарный анализ'!$C$7),N('Сценарный анализ'!$C$7)*(1+N('Сценарный анализ'!$C$8))^(Расчёты!G106-3)))))</f>
        <v>0</v>
      </c>
      <c r="AC106">
        <f>IF(OR(Расчёты!F106=0,N('Исходные данные'!$B$5)=0,AB106=0),0,N('Исходные данные'!$B$5)*AB106*IF(AND(B106&lt;='Исходные данные'!$B$30,Расчёты!C106&gt;='Исходные данные'!$B$30),(Расчёты!C106-'Исходные данные'!$B$30+1)/DAY(Расчёты!C106),1))</f>
        <v>0</v>
      </c>
      <c r="AD106">
        <f>IF(AND(Расчёты!F106&gt;0,Расчёты!F106&lt;=N('Исходные данные'!$B$37)),-AC106,0)</f>
        <v>0</v>
      </c>
      <c r="AE106">
        <f>IF(OR(Расчёты!F106=0,Расчёты!F106&lt;=N('Исходные данные'!$B$37)),0,-(AC106+AD106)*N('Сценарный анализ'!$C$9))</f>
        <v>0</v>
      </c>
      <c r="AF106">
        <f t="shared" si="64"/>
        <v>0</v>
      </c>
      <c r="AG106">
        <f>IF('Исходные данные'!$B$51="Да",AF106*N('Исходные данные'!$B$52),0)</f>
        <v>0</v>
      </c>
      <c r="AH106">
        <f t="shared" si="65"/>
        <v>0</v>
      </c>
      <c r="AI106">
        <f>AF106+(Расчёты!Y106-Расчёты!L106)</f>
        <v>0</v>
      </c>
      <c r="AJ106">
        <f t="shared" si="74"/>
        <v>0</v>
      </c>
      <c r="AK106">
        <f>IF('Исходные данные'!$B$51="Да",-MAX(0,AG106+Расчёты!R106+Расчёты!V106-Расчёты!P106-Расчёты!T106-AJ106),0)</f>
        <v>0</v>
      </c>
      <c r="AL106">
        <f>IF('Исходные данные'!$B$51="Да",MAX(0,AJ106+Расчёты!P106+Расчёты!T106-AG106-Расчёты!R106-Расчёты!V106),0)</f>
        <v>0</v>
      </c>
      <c r="AM106">
        <f>IF('Исходные данные'!$B$53="Выручка",MAX(0,AF106+(Расчёты!Q106-Расчёты!R106)+(Расчёты!U106-Расчёты!V106)),IF('Исходные данные'!$B$53="Прибыль до налога",MAX(0,AF106+(Расчёты!Q106-Расчёты!R106)+(Расчёты!U106-Расчёты!V106)+N('Исходные данные'!$B$54)*((Расчёты!O106+Расчёты!P106)+(Расчёты!S106+Расчёты!T106)+Расчёты!W106+Расчёты!X106)+IF('Исходные данные'!$B$55="Да",Расчёты!AG106,0)-N('Исходные данные'!$B$56)/12),IF('Исходные данные'!$B$53="Пользовательская база",MAX(0,N('Исходные данные'!$B$57)/12),0)))</f>
        <v>0</v>
      </c>
      <c r="AN106">
        <f>IF(D106=1,-AM106*N('Исходные данные'!$B$50),0)</f>
        <v>0</v>
      </c>
      <c r="AO106">
        <f t="shared" si="66"/>
        <v>0</v>
      </c>
      <c r="AP106">
        <f>IF(OR(D106&lt;&gt;1,B106="",'Исходные данные'!$B$91="",N('Исходные данные'!$B$80)&lt;=0,'Исходные данные'!$B$88=""),0,IF(AND(YEAR(B106)=YEAR('Исходные данные'!$B$91),MONTH(B106)=MONTH('Исходные данные'!$B$91)),MAX(0,IF('Исходные данные'!$B$88="Последние 12 месяцев",SUMIFS($AI$2:$AI$194,$B$2:$B$194,"&gt;="&amp;EDATE(B106,-11),$B$2:$B$194,"&lt;="&amp;B106),IF('Исходные данные'!$B$88="Пользовательский NOI",N('Исходные данные'!$B$89),AO106))/N('Исходные данные'!$B$80)*(1+N('Исходные данные'!$B$81))),0))</f>
        <v>0</v>
      </c>
      <c r="AQ106">
        <f>-AP106*N('Исходные данные'!$B$73)</f>
        <v>0</v>
      </c>
      <c r="AR106">
        <f>IF(AP106=0,0,-N('Исходные данные'!$B$87)-IF('Исходные данные'!$B$82="Да",IF('Исходные данные'!$B$84="С выручки",AP106,IF('Исходные данные'!$B$84="С прибыли",MAX(0,AP106+AQ106-IF('Исходные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06">
        <f t="shared" si="67"/>
        <v>0</v>
      </c>
      <c r="AT106">
        <f>IF(D106=1,Расчёты!AZ106+AH106+AK106+AN106+AS106,0)</f>
        <v>0</v>
      </c>
      <c r="AU106" t="str">
        <f t="shared" si="75"/>
        <v/>
      </c>
      <c r="AV106">
        <f>IF(OR(D106=0,'Исходные данные'!$B$9="",'Исходные данные'!$B$90=""),0,AT106/(1+'Исходные данные'!$B$90)^((C106-'Исходные данные'!$B$9)/365))</f>
        <v>0</v>
      </c>
      <c r="AW106">
        <f>IF(D106=1,AH106+Расчёты!O106+Расчёты!Q106+Расчёты!S106+Расчёты!U106+Расчёты!W106+Расчёты!X106+AK106+AN106,0)</f>
        <v>0</v>
      </c>
      <c r="AX106">
        <f>IF(AND(D106=1,AU106&gt;=0,AU105&lt;0,MIN($AU$2:AU106)&lt;0),1,0)</f>
        <v>0</v>
      </c>
      <c r="AY106">
        <f>IF(Расчёты!F106=0,0,IF(Расчёты!G106=1,N('Сценарный анализ'!$D$5),IF(Расчёты!G106=2,N('Сценарный анализ'!$D$6),IF(Расчёты!G106=3,N('Сценарный анализ'!$D$7),N('Сценарный анализ'!$D$7)*(1+N('Сценарный анализ'!$D$8))^(Расчёты!G106-3)))))</f>
        <v>0</v>
      </c>
      <c r="AZ106">
        <f>IF(OR(Расчёты!F106=0,N('Исходные данные'!$B$5)=0,AY106=0),0,N('Исходные данные'!$B$5)*AY106*IF(AND(B106&lt;='Исходные данные'!$B$30,Расчёты!C106&gt;='Исходные данные'!$B$30),(Расчёты!C106-'Исходные данные'!$B$30+1)/DAY(Расчёты!C106),1))</f>
        <v>0</v>
      </c>
      <c r="BA106">
        <f>IF(AND(Расчёты!F106&gt;0,Расчёты!F106&lt;=N('Исходные данные'!$B$37)),-AZ106,0)</f>
        <v>0</v>
      </c>
      <c r="BB106">
        <f>IF(OR(Расчёты!F106=0,Расчёты!F106&lt;=N('Исходные данные'!$B$37)),0,-(AZ106+BA106)*N('Сценарный анализ'!$D$9))</f>
        <v>0</v>
      </c>
      <c r="BC106">
        <f t="shared" si="68"/>
        <v>0</v>
      </c>
      <c r="BD106">
        <f>IF('Исходные данные'!$B$51="Да",BC106*N('Исходные данные'!$B$52),0)</f>
        <v>0</v>
      </c>
      <c r="BE106">
        <f t="shared" si="69"/>
        <v>0</v>
      </c>
      <c r="BF106">
        <f>BC106+(Расчёты!Y106-Расчёты!L106)</f>
        <v>0</v>
      </c>
      <c r="BG106">
        <f t="shared" si="76"/>
        <v>0</v>
      </c>
      <c r="BH106">
        <f>IF('Исходные данные'!$B$51="Да",-MAX(0,BD106+Расчёты!R106+Расчёты!V106-Расчёты!P106-Расчёты!T106-BG106),0)</f>
        <v>0</v>
      </c>
      <c r="BI106">
        <f>IF('Исходные данные'!$B$51="Да",MAX(0,BG106+Расчёты!P106+Расчёты!T106-BD106-Расчёты!R106-Расчёты!V106),0)</f>
        <v>0</v>
      </c>
      <c r="BJ106">
        <f>IF('Исходные данные'!$B$53="Выручка",MAX(0,BC106+(Расчёты!Q106-Расчёты!R106)+(Расчёты!U106-Расчёты!V106)),IF('Исходные данные'!$B$53="Прибыль до налога",MAX(0,BC106+(Расчёты!Q106-Расчёты!R106)+(Расчёты!U106-Расчёты!V106)+N('Исходные данные'!$B$54)*((Расчёты!O106+Расчёты!P106)+(Расчёты!S106+Расчёты!T106)+Расчёты!W106+Расчёты!X106)+IF('Исходные данные'!$B$55="Да",Расчёты!AG106,0)-N('Исходные данные'!$B$56)/12),IF('Исходные данные'!$B$53="Пользовательская база",MAX(0,N('Исходные данные'!$B$57)/12),0)))</f>
        <v>0</v>
      </c>
      <c r="BK106">
        <f>IF(D106=1,-BJ106*N('Исходные данные'!$B$50),0)</f>
        <v>0</v>
      </c>
      <c r="BL106">
        <f t="shared" si="70"/>
        <v>0</v>
      </c>
      <c r="BM106">
        <f>IF(OR(D106&lt;&gt;1,B106="",'Исходные данные'!$B$91="",N('Исходные данные'!$B$80)&lt;=0,'Исходные данные'!$B$88=""),0,IF(AND(YEAR(B106)=YEAR('Исходные данные'!$B$91),MONTH(B106)=MONTH('Исходные данные'!$B$91)),MAX(0,IF('Исходные данные'!$B$88="Последние 12 месяцев",SUMIFS($BF$2:$BF$194,$B$2:$B$194,"&gt;="&amp;EDATE(B106,-11),$B$2:$B$194,"&lt;="&amp;B106),IF('Исходные данные'!$B$88="Пользовательский NOI",N('Исходные данные'!$B$89),BL106))/N('Исходные данные'!$B$80)*(1+N('Исходные данные'!$B$81))),0))</f>
        <v>0</v>
      </c>
      <c r="BN106">
        <f>-BM106*N('Исходные данные'!$B$73)</f>
        <v>0</v>
      </c>
      <c r="BO106">
        <f>IF(BM106=0,0,-N('Исходные данные'!$B$87)-IF('Исходные данные'!$B$82="Да",IF('Исходные данные'!$B$84="С выручки",BM106,IF('Исходные данные'!$B$84="С прибыли",MAX(0,BM106+BN106-IF('Исходные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06">
        <f t="shared" si="71"/>
        <v>0</v>
      </c>
      <c r="BQ106">
        <f>IF(D106=1,Расчёты!AZ106+BE106+BH106+BK106+BP106,0)</f>
        <v>0</v>
      </c>
      <c r="BR106" t="str">
        <f t="shared" si="77"/>
        <v/>
      </c>
      <c r="BS106">
        <f>IF(OR(D106=0,'Исходные данные'!$B$9="",'Исходные данные'!$B$90=""),0,BQ106/(1+'Исходные данные'!$B$90)^((C106-'Исходные данные'!$B$9)/365))</f>
        <v>0</v>
      </c>
      <c r="BT106">
        <f>IF(D106=1,BE106+Расчёты!O106+Расчёты!Q106+Расчёты!S106+Расчёты!U106+Расчёты!W106+Расчёты!X106+BH106+BK106,0)</f>
        <v>0</v>
      </c>
      <c r="BU106">
        <f>IF(AND(D106=1,BR106&gt;=0,BR105&lt;0,MIN($BR$2:BR106)&lt;0),1,0)</f>
        <v>0</v>
      </c>
      <c r="BV106">
        <f>Расчёты!AZ106+K106+N106-P106*N('Исходные данные'!$B$50)</f>
        <v>0</v>
      </c>
      <c r="BW106">
        <f t="shared" si="57"/>
        <v>0</v>
      </c>
      <c r="BX106">
        <f>IF(AND(BW106&gt;=0,BW105&lt;0,MIN($BW$2:BW106)&lt;0),1,0)</f>
        <v>0</v>
      </c>
      <c r="BY106">
        <f>Расчёты!AZ106+AH106+AK106-AM106*N('Исходные данные'!$B$50)</f>
        <v>0</v>
      </c>
      <c r="BZ106">
        <f t="shared" si="58"/>
        <v>0</v>
      </c>
      <c r="CA106">
        <f>IF(AND(BZ106&gt;=0,BZ105&lt;0,MIN($BZ$2:BZ106)&lt;0),1,0)</f>
        <v>0</v>
      </c>
      <c r="CB106">
        <f>Расчёты!AZ106+BE106+BH106-BJ106*N('Исходные данные'!$B$50)</f>
        <v>0</v>
      </c>
      <c r="CC106">
        <f t="shared" si="59"/>
        <v>0</v>
      </c>
      <c r="CD106">
        <f>IF(AND(CC106&gt;=0,CC105&lt;0,MIN($CC$2:CC106)&lt;0),1,0)</f>
        <v>0</v>
      </c>
    </row>
    <row r="107" spans="1:82" x14ac:dyDescent="0.2">
      <c r="A107">
        <f>Расчёты!A107</f>
        <v>106</v>
      </c>
      <c r="B107" t="str">
        <f>Расчёты!B107</f>
        <v/>
      </c>
      <c r="C107" t="str">
        <f>Расчёты!D107</f>
        <v/>
      </c>
      <c r="D107">
        <f>Расчёты!E107</f>
        <v>0</v>
      </c>
      <c r="E107">
        <f>IF(Расчёты!F107=0,0,IF(Расчёты!G107=1,N('Сценарный анализ'!$B$5),IF(Расчёты!G107=2,N('Сценарный анализ'!$B$6),IF(Расчёты!G107=3,N('Сценарный анализ'!$B$7),N('Сценарный анализ'!$B$7)*(1+N('Сценарный анализ'!$B$8))^(Расчёты!G107-3)))))</f>
        <v>0</v>
      </c>
      <c r="F107">
        <f>IF(OR(Расчёты!F107=0,N('Исходные данные'!$B$5)=0,E107=0),0,N('Исходные данные'!$B$5)*E107*IF(AND(B107&lt;='Исходные данные'!$B$30,Расчёты!C107&gt;='Исходные данные'!$B$30),(Расчёты!C107-'Исходные данные'!$B$30+1)/DAY(Расчёты!C107),1))</f>
        <v>0</v>
      </c>
      <c r="G107">
        <f>IF(AND(Расчёты!F107&gt;0,Расчёты!F107&lt;=N('Исходные данные'!$B$37)),-F107,0)</f>
        <v>0</v>
      </c>
      <c r="H107">
        <f>IF(OR(Расчёты!F107=0,Расчёты!F107&lt;=N('Исходные данные'!$B$37)),0,-(F107+G107)*N('Сценарный анализ'!$B$9))</f>
        <v>0</v>
      </c>
      <c r="I107">
        <f t="shared" si="60"/>
        <v>0</v>
      </c>
      <c r="J107">
        <f>IF('Исходные данные'!$B$51="Да",I107*N('Исходные данные'!$B$52),0)</f>
        <v>0</v>
      </c>
      <c r="K107">
        <f t="shared" si="61"/>
        <v>0</v>
      </c>
      <c r="L107">
        <f>I107+(Расчёты!Y107-Расчёты!L107)</f>
        <v>0</v>
      </c>
      <c r="M107">
        <f t="shared" si="72"/>
        <v>0</v>
      </c>
      <c r="N107">
        <f>IF('Исходные данные'!$B$51="Да",-MAX(0,J107+Расчёты!R107+Расчёты!V107-Расчёты!P107-Расчёты!T107-M107),0)</f>
        <v>0</v>
      </c>
      <c r="O107">
        <f>IF('Исходные данные'!$B$51="Да",MAX(0,M107+Расчёты!P107+Расчёты!T107-J107-Расчёты!R107-Расчёты!V107),0)</f>
        <v>0</v>
      </c>
      <c r="P107">
        <f>IF('Исходные данные'!$B$53="Выручка",MAX(0,I107+(Расчёты!Q107-Расчёты!R107)+(Расчёты!U107-Расчёты!V107)),IF('Исходные данные'!$B$53="Прибыль до налога",MAX(0,I107+(Расчёты!Q107-Расчёты!R107)+(Расчёты!U107-Расчёты!V107)+N('Исходные данные'!$B$54)*((Расчёты!O107+Расчёты!P107)+(Расчёты!S107+Расчёты!T107)+Расчёты!W107+Расчёты!X107)+IF('Исходные данные'!$B$55="Да",Расчёты!AG107,0)-N('Исходные данные'!$B$56)/12),IF('Исходные данные'!$B$53="Пользовательская база",MAX(0,N('Исходные данные'!$B$57)/12),0)))</f>
        <v>0</v>
      </c>
      <c r="Q107">
        <f>IF(D107=1,-P107*N('Исходные данные'!$B$50),0)</f>
        <v>0</v>
      </c>
      <c r="R107">
        <f t="shared" si="62"/>
        <v>0</v>
      </c>
      <c r="S107">
        <f>IF(OR(D107&lt;&gt;1,B107="",'Исходные данные'!$B$91="",N('Исходные данные'!$B$80)&lt;=0,'Исходные данные'!$B$88=""),0,IF(AND(YEAR(B107)=YEAR('Исходные данные'!$B$91),MONTH(B107)=MONTH('Исходные данные'!$B$91)),MAX(0,IF('Исходные данные'!$B$88="Последние 12 месяцев",SUMIFS($L$2:$L$194,$B$2:$B$194,"&gt;="&amp;EDATE(B107,-11),$B$2:$B$194,"&lt;="&amp;B107),IF('Исходные данные'!$B$88="Пользовательский NOI",N('Исходные данные'!$B$89),R107))/N('Исходные данные'!$B$80)*(1+N('Исходные данные'!$B$81))),0))</f>
        <v>0</v>
      </c>
      <c r="T107">
        <f>-S107*N('Исходные данные'!$B$73)</f>
        <v>0</v>
      </c>
      <c r="U107">
        <f>IF(S107=0,0,-N('Исходные данные'!$B$87)-IF('Исходные данные'!$B$82="Да",IF('Исходные данные'!$B$84="С выручки",S107,IF('Исходные данные'!$B$84="С прибыли",MAX(0,S107+T107-IF('Исходные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07">
        <f t="shared" si="63"/>
        <v>0</v>
      </c>
      <c r="W107">
        <f>IF(D107=1,Расчёты!AZ107+K107+N107+Q107+V107,0)</f>
        <v>0</v>
      </c>
      <c r="X107" t="str">
        <f t="shared" si="73"/>
        <v/>
      </c>
      <c r="Y107">
        <f>IF(OR(D107=0,'Исходные данные'!$B$9="",'Исходные данные'!$B$90=""),0,W107/(1+'Исходные данные'!$B$90)^((C107-'Исходные данные'!$B$9)/365))</f>
        <v>0</v>
      </c>
      <c r="Z107">
        <f>IF(D107=1,K107+Расчёты!O107+Расчёты!Q107+Расчёты!S107+Расчёты!U107+Расчёты!W107+Расчёты!X107+N107+Q107,0)</f>
        <v>0</v>
      </c>
      <c r="AA107">
        <f>IF(AND(D107=1,X107&gt;=0,X106&lt;0,MIN($X$2:X107)&lt;0),1,0)</f>
        <v>0</v>
      </c>
      <c r="AB107">
        <f>IF(Расчёты!F107=0,0,IF(Расчёты!G107=1,N('Сценарный анализ'!$C$5),IF(Расчёты!G107=2,N('Сценарный анализ'!$C$6),IF(Расчёты!G107=3,N('Сценарный анализ'!$C$7),N('Сценарный анализ'!$C$7)*(1+N('Сценарный анализ'!$C$8))^(Расчёты!G107-3)))))</f>
        <v>0</v>
      </c>
      <c r="AC107">
        <f>IF(OR(Расчёты!F107=0,N('Исходные данные'!$B$5)=0,AB107=0),0,N('Исходные данные'!$B$5)*AB107*IF(AND(B107&lt;='Исходные данные'!$B$30,Расчёты!C107&gt;='Исходные данные'!$B$30),(Расчёты!C107-'Исходные данные'!$B$30+1)/DAY(Расчёты!C107),1))</f>
        <v>0</v>
      </c>
      <c r="AD107">
        <f>IF(AND(Расчёты!F107&gt;0,Расчёты!F107&lt;=N('Исходные данные'!$B$37)),-AC107,0)</f>
        <v>0</v>
      </c>
      <c r="AE107">
        <f>IF(OR(Расчёты!F107=0,Расчёты!F107&lt;=N('Исходные данные'!$B$37)),0,-(AC107+AD107)*N('Сценарный анализ'!$C$9))</f>
        <v>0</v>
      </c>
      <c r="AF107">
        <f t="shared" si="64"/>
        <v>0</v>
      </c>
      <c r="AG107">
        <f>IF('Исходные данные'!$B$51="Да",AF107*N('Исходные данные'!$B$52),0)</f>
        <v>0</v>
      </c>
      <c r="AH107">
        <f t="shared" si="65"/>
        <v>0</v>
      </c>
      <c r="AI107">
        <f>AF107+(Расчёты!Y107-Расчёты!L107)</f>
        <v>0</v>
      </c>
      <c r="AJ107">
        <f t="shared" si="74"/>
        <v>0</v>
      </c>
      <c r="AK107">
        <f>IF('Исходные данные'!$B$51="Да",-MAX(0,AG107+Расчёты!R107+Расчёты!V107-Расчёты!P107-Расчёты!T107-AJ107),0)</f>
        <v>0</v>
      </c>
      <c r="AL107">
        <f>IF('Исходные данные'!$B$51="Да",MAX(0,AJ107+Расчёты!P107+Расчёты!T107-AG107-Расчёты!R107-Расчёты!V107),0)</f>
        <v>0</v>
      </c>
      <c r="AM107">
        <f>IF('Исходные данные'!$B$53="Выручка",MAX(0,AF107+(Расчёты!Q107-Расчёты!R107)+(Расчёты!U107-Расчёты!V107)),IF('Исходные данные'!$B$53="Прибыль до налога",MAX(0,AF107+(Расчёты!Q107-Расчёты!R107)+(Расчёты!U107-Расчёты!V107)+N('Исходные данные'!$B$54)*((Расчёты!O107+Расчёты!P107)+(Расчёты!S107+Расчёты!T107)+Расчёты!W107+Расчёты!X107)+IF('Исходные данные'!$B$55="Да",Расчёты!AG107,0)-N('Исходные данные'!$B$56)/12),IF('Исходные данные'!$B$53="Пользовательская база",MAX(0,N('Исходные данные'!$B$57)/12),0)))</f>
        <v>0</v>
      </c>
      <c r="AN107">
        <f>IF(D107=1,-AM107*N('Исходные данные'!$B$50),0)</f>
        <v>0</v>
      </c>
      <c r="AO107">
        <f t="shared" si="66"/>
        <v>0</v>
      </c>
      <c r="AP107">
        <f>IF(OR(D107&lt;&gt;1,B107="",'Исходные данные'!$B$91="",N('Исходные данные'!$B$80)&lt;=0,'Исходные данные'!$B$88=""),0,IF(AND(YEAR(B107)=YEAR('Исходные данные'!$B$91),MONTH(B107)=MONTH('Исходные данные'!$B$91)),MAX(0,IF('Исходные данные'!$B$88="Последние 12 месяцев",SUMIFS($AI$2:$AI$194,$B$2:$B$194,"&gt;="&amp;EDATE(B107,-11),$B$2:$B$194,"&lt;="&amp;B107),IF('Исходные данные'!$B$88="Пользовательский NOI",N('Исходные данные'!$B$89),AO107))/N('Исходные данные'!$B$80)*(1+N('Исходные данные'!$B$81))),0))</f>
        <v>0</v>
      </c>
      <c r="AQ107">
        <f>-AP107*N('Исходные данные'!$B$73)</f>
        <v>0</v>
      </c>
      <c r="AR107">
        <f>IF(AP107=0,0,-N('Исходные данные'!$B$87)-IF('Исходные данные'!$B$82="Да",IF('Исходные данные'!$B$84="С выручки",AP107,IF('Исходные данные'!$B$84="С прибыли",MAX(0,AP107+AQ107-IF('Исходные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07">
        <f t="shared" si="67"/>
        <v>0</v>
      </c>
      <c r="AT107">
        <f>IF(D107=1,Расчёты!AZ107+AH107+AK107+AN107+AS107,0)</f>
        <v>0</v>
      </c>
      <c r="AU107" t="str">
        <f t="shared" si="75"/>
        <v/>
      </c>
      <c r="AV107">
        <f>IF(OR(D107=0,'Исходные данные'!$B$9="",'Исходные данные'!$B$90=""),0,AT107/(1+'Исходные данные'!$B$90)^((C107-'Исходные данные'!$B$9)/365))</f>
        <v>0</v>
      </c>
      <c r="AW107">
        <f>IF(D107=1,AH107+Расчёты!O107+Расчёты!Q107+Расчёты!S107+Расчёты!U107+Расчёты!W107+Расчёты!X107+AK107+AN107,0)</f>
        <v>0</v>
      </c>
      <c r="AX107">
        <f>IF(AND(D107=1,AU107&gt;=0,AU106&lt;0,MIN($AU$2:AU107)&lt;0),1,0)</f>
        <v>0</v>
      </c>
      <c r="AY107">
        <f>IF(Расчёты!F107=0,0,IF(Расчёты!G107=1,N('Сценарный анализ'!$D$5),IF(Расчёты!G107=2,N('Сценарный анализ'!$D$6),IF(Расчёты!G107=3,N('Сценарный анализ'!$D$7),N('Сценарный анализ'!$D$7)*(1+N('Сценарный анализ'!$D$8))^(Расчёты!G107-3)))))</f>
        <v>0</v>
      </c>
      <c r="AZ107">
        <f>IF(OR(Расчёты!F107=0,N('Исходные данные'!$B$5)=0,AY107=0),0,N('Исходные данные'!$B$5)*AY107*IF(AND(B107&lt;='Исходные данные'!$B$30,Расчёты!C107&gt;='Исходные данные'!$B$30),(Расчёты!C107-'Исходные данные'!$B$30+1)/DAY(Расчёты!C107),1))</f>
        <v>0</v>
      </c>
      <c r="BA107">
        <f>IF(AND(Расчёты!F107&gt;0,Расчёты!F107&lt;=N('Исходные данные'!$B$37)),-AZ107,0)</f>
        <v>0</v>
      </c>
      <c r="BB107">
        <f>IF(OR(Расчёты!F107=0,Расчёты!F107&lt;=N('Исходные данные'!$B$37)),0,-(AZ107+BA107)*N('Сценарный анализ'!$D$9))</f>
        <v>0</v>
      </c>
      <c r="BC107">
        <f t="shared" si="68"/>
        <v>0</v>
      </c>
      <c r="BD107">
        <f>IF('Исходные данные'!$B$51="Да",BC107*N('Исходные данные'!$B$52),0)</f>
        <v>0</v>
      </c>
      <c r="BE107">
        <f t="shared" si="69"/>
        <v>0</v>
      </c>
      <c r="BF107">
        <f>BC107+(Расчёты!Y107-Расчёты!L107)</f>
        <v>0</v>
      </c>
      <c r="BG107">
        <f t="shared" si="76"/>
        <v>0</v>
      </c>
      <c r="BH107">
        <f>IF('Исходные данные'!$B$51="Да",-MAX(0,BD107+Расчёты!R107+Расчёты!V107-Расчёты!P107-Расчёты!T107-BG107),0)</f>
        <v>0</v>
      </c>
      <c r="BI107">
        <f>IF('Исходные данные'!$B$51="Да",MAX(0,BG107+Расчёты!P107+Расчёты!T107-BD107-Расчёты!R107-Расчёты!V107),0)</f>
        <v>0</v>
      </c>
      <c r="BJ107">
        <f>IF('Исходные данные'!$B$53="Выручка",MAX(0,BC107+(Расчёты!Q107-Расчёты!R107)+(Расчёты!U107-Расчёты!V107)),IF('Исходные данные'!$B$53="Прибыль до налога",MAX(0,BC107+(Расчёты!Q107-Расчёты!R107)+(Расчёты!U107-Расчёты!V107)+N('Исходные данные'!$B$54)*((Расчёты!O107+Расчёты!P107)+(Расчёты!S107+Расчёты!T107)+Расчёты!W107+Расчёты!X107)+IF('Исходные данные'!$B$55="Да",Расчёты!AG107,0)-N('Исходные данные'!$B$56)/12),IF('Исходные данные'!$B$53="Пользовательская база",MAX(0,N('Исходные данные'!$B$57)/12),0)))</f>
        <v>0</v>
      </c>
      <c r="BK107">
        <f>IF(D107=1,-BJ107*N('Исходные данные'!$B$50),0)</f>
        <v>0</v>
      </c>
      <c r="BL107">
        <f t="shared" si="70"/>
        <v>0</v>
      </c>
      <c r="BM107">
        <f>IF(OR(D107&lt;&gt;1,B107="",'Исходные данные'!$B$91="",N('Исходные данные'!$B$80)&lt;=0,'Исходные данные'!$B$88=""),0,IF(AND(YEAR(B107)=YEAR('Исходные данные'!$B$91),MONTH(B107)=MONTH('Исходные данные'!$B$91)),MAX(0,IF('Исходные данные'!$B$88="Последние 12 месяцев",SUMIFS($BF$2:$BF$194,$B$2:$B$194,"&gt;="&amp;EDATE(B107,-11),$B$2:$B$194,"&lt;="&amp;B107),IF('Исходные данные'!$B$88="Пользовательский NOI",N('Исходные данные'!$B$89),BL107))/N('Исходные данные'!$B$80)*(1+N('Исходные данные'!$B$81))),0))</f>
        <v>0</v>
      </c>
      <c r="BN107">
        <f>-BM107*N('Исходные данные'!$B$73)</f>
        <v>0</v>
      </c>
      <c r="BO107">
        <f>IF(BM107=0,0,-N('Исходные данные'!$B$87)-IF('Исходные данные'!$B$82="Да",IF('Исходные данные'!$B$84="С выручки",BM107,IF('Исходные данные'!$B$84="С прибыли",MAX(0,BM107+BN107-IF('Исходные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07">
        <f t="shared" si="71"/>
        <v>0</v>
      </c>
      <c r="BQ107">
        <f>IF(D107=1,Расчёты!AZ107+BE107+BH107+BK107+BP107,0)</f>
        <v>0</v>
      </c>
      <c r="BR107" t="str">
        <f t="shared" si="77"/>
        <v/>
      </c>
      <c r="BS107">
        <f>IF(OR(D107=0,'Исходные данные'!$B$9="",'Исходные данные'!$B$90=""),0,BQ107/(1+'Исходные данные'!$B$90)^((C107-'Исходные данные'!$B$9)/365))</f>
        <v>0</v>
      </c>
      <c r="BT107">
        <f>IF(D107=1,BE107+Расчёты!O107+Расчёты!Q107+Расчёты!S107+Расчёты!U107+Расчёты!W107+Расчёты!X107+BH107+BK107,0)</f>
        <v>0</v>
      </c>
      <c r="BU107">
        <f>IF(AND(D107=1,BR107&gt;=0,BR106&lt;0,MIN($BR$2:BR107)&lt;0),1,0)</f>
        <v>0</v>
      </c>
      <c r="BV107">
        <f>Расчёты!AZ107+K107+N107-P107*N('Исходные данные'!$B$50)</f>
        <v>0</v>
      </c>
      <c r="BW107">
        <f t="shared" si="57"/>
        <v>0</v>
      </c>
      <c r="BX107">
        <f>IF(AND(BW107&gt;=0,BW106&lt;0,MIN($BW$2:BW107)&lt;0),1,0)</f>
        <v>0</v>
      </c>
      <c r="BY107">
        <f>Расчёты!AZ107+AH107+AK107-AM107*N('Исходные данные'!$B$50)</f>
        <v>0</v>
      </c>
      <c r="BZ107">
        <f t="shared" si="58"/>
        <v>0</v>
      </c>
      <c r="CA107">
        <f>IF(AND(BZ107&gt;=0,BZ106&lt;0,MIN($BZ$2:BZ107)&lt;0),1,0)</f>
        <v>0</v>
      </c>
      <c r="CB107">
        <f>Расчёты!AZ107+BE107+BH107-BJ107*N('Исходные данные'!$B$50)</f>
        <v>0</v>
      </c>
      <c r="CC107">
        <f t="shared" si="59"/>
        <v>0</v>
      </c>
      <c r="CD107">
        <f>IF(AND(CC107&gt;=0,CC106&lt;0,MIN($CC$2:CC107)&lt;0),1,0)</f>
        <v>0</v>
      </c>
    </row>
    <row r="108" spans="1:82" x14ac:dyDescent="0.2">
      <c r="A108">
        <f>Расчёты!A108</f>
        <v>107</v>
      </c>
      <c r="B108" t="str">
        <f>Расчёты!B108</f>
        <v/>
      </c>
      <c r="C108" t="str">
        <f>Расчёты!D108</f>
        <v/>
      </c>
      <c r="D108">
        <f>Расчёты!E108</f>
        <v>0</v>
      </c>
      <c r="E108">
        <f>IF(Расчёты!F108=0,0,IF(Расчёты!G108=1,N('Сценарный анализ'!$B$5),IF(Расчёты!G108=2,N('Сценарный анализ'!$B$6),IF(Расчёты!G108=3,N('Сценарный анализ'!$B$7),N('Сценарный анализ'!$B$7)*(1+N('Сценарный анализ'!$B$8))^(Расчёты!G108-3)))))</f>
        <v>0</v>
      </c>
      <c r="F108">
        <f>IF(OR(Расчёты!F108=0,N('Исходные данные'!$B$5)=0,E108=0),0,N('Исходные данные'!$B$5)*E108*IF(AND(B108&lt;='Исходные данные'!$B$30,Расчёты!C108&gt;='Исходные данные'!$B$30),(Расчёты!C108-'Исходные данные'!$B$30+1)/DAY(Расчёты!C108),1))</f>
        <v>0</v>
      </c>
      <c r="G108">
        <f>IF(AND(Расчёты!F108&gt;0,Расчёты!F108&lt;=N('Исходные данные'!$B$37)),-F108,0)</f>
        <v>0</v>
      </c>
      <c r="H108">
        <f>IF(OR(Расчёты!F108=0,Расчёты!F108&lt;=N('Исходные данные'!$B$37)),0,-(F108+G108)*N('Сценарный анализ'!$B$9))</f>
        <v>0</v>
      </c>
      <c r="I108">
        <f t="shared" si="60"/>
        <v>0</v>
      </c>
      <c r="J108">
        <f>IF('Исходные данные'!$B$51="Да",I108*N('Исходные данные'!$B$52),0)</f>
        <v>0</v>
      </c>
      <c r="K108">
        <f t="shared" si="61"/>
        <v>0</v>
      </c>
      <c r="L108">
        <f>I108+(Расчёты!Y108-Расчёты!L108)</f>
        <v>0</v>
      </c>
      <c r="M108">
        <f t="shared" si="72"/>
        <v>0</v>
      </c>
      <c r="N108">
        <f>IF('Исходные данные'!$B$51="Да",-MAX(0,J108+Расчёты!R108+Расчёты!V108-Расчёты!P108-Расчёты!T108-M108),0)</f>
        <v>0</v>
      </c>
      <c r="O108">
        <f>IF('Исходные данные'!$B$51="Да",MAX(0,M108+Расчёты!P108+Расчёты!T108-J108-Расчёты!R108-Расчёты!V108),0)</f>
        <v>0</v>
      </c>
      <c r="P108">
        <f>IF('Исходные данные'!$B$53="Выручка",MAX(0,I108+(Расчёты!Q108-Расчёты!R108)+(Расчёты!U108-Расчёты!V108)),IF('Исходные данные'!$B$53="Прибыль до налога",MAX(0,I108+(Расчёты!Q108-Расчёты!R108)+(Расчёты!U108-Расчёты!V108)+N('Исходные данные'!$B$54)*((Расчёты!O108+Расчёты!P108)+(Расчёты!S108+Расчёты!T108)+Расчёты!W108+Расчёты!X108)+IF('Исходные данные'!$B$55="Да",Расчёты!AG108,0)-N('Исходные данные'!$B$56)/12),IF('Исходные данные'!$B$53="Пользовательская база",MAX(0,N('Исходные данные'!$B$57)/12),0)))</f>
        <v>0</v>
      </c>
      <c r="Q108">
        <f>IF(D108=1,-P108*N('Исходные данные'!$B$50),0)</f>
        <v>0</v>
      </c>
      <c r="R108">
        <f t="shared" si="62"/>
        <v>0</v>
      </c>
      <c r="S108">
        <f>IF(OR(D108&lt;&gt;1,B108="",'Исходные данные'!$B$91="",N('Исходные данные'!$B$80)&lt;=0,'Исходные данные'!$B$88=""),0,IF(AND(YEAR(B108)=YEAR('Исходные данные'!$B$91),MONTH(B108)=MONTH('Исходные данные'!$B$91)),MAX(0,IF('Исходные данные'!$B$88="Последние 12 месяцев",SUMIFS($L$2:$L$194,$B$2:$B$194,"&gt;="&amp;EDATE(B108,-11),$B$2:$B$194,"&lt;="&amp;B108),IF('Исходные данные'!$B$88="Пользовательский NOI",N('Исходные данные'!$B$89),R108))/N('Исходные данные'!$B$80)*(1+N('Исходные данные'!$B$81))),0))</f>
        <v>0</v>
      </c>
      <c r="T108">
        <f>-S108*N('Исходные данные'!$B$73)</f>
        <v>0</v>
      </c>
      <c r="U108">
        <f>IF(S108=0,0,-N('Исходные данные'!$B$87)-IF('Исходные данные'!$B$82="Да",IF('Исходные данные'!$B$84="С выручки",S108,IF('Исходные данные'!$B$84="С прибыли",MAX(0,S108+T108-IF('Исходные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08">
        <f t="shared" si="63"/>
        <v>0</v>
      </c>
      <c r="W108">
        <f>IF(D108=1,Расчёты!AZ108+K108+N108+Q108+V108,0)</f>
        <v>0</v>
      </c>
      <c r="X108" t="str">
        <f t="shared" si="73"/>
        <v/>
      </c>
      <c r="Y108">
        <f>IF(OR(D108=0,'Исходные данные'!$B$9="",'Исходные данные'!$B$90=""),0,W108/(1+'Исходные данные'!$B$90)^((C108-'Исходные данные'!$B$9)/365))</f>
        <v>0</v>
      </c>
      <c r="Z108">
        <f>IF(D108=1,K108+Расчёты!O108+Расчёты!Q108+Расчёты!S108+Расчёты!U108+Расчёты!W108+Расчёты!X108+N108+Q108,0)</f>
        <v>0</v>
      </c>
      <c r="AA108">
        <f>IF(AND(D108=1,X108&gt;=0,X107&lt;0,MIN($X$2:X108)&lt;0),1,0)</f>
        <v>0</v>
      </c>
      <c r="AB108">
        <f>IF(Расчёты!F108=0,0,IF(Расчёты!G108=1,N('Сценарный анализ'!$C$5),IF(Расчёты!G108=2,N('Сценарный анализ'!$C$6),IF(Расчёты!G108=3,N('Сценарный анализ'!$C$7),N('Сценарный анализ'!$C$7)*(1+N('Сценарный анализ'!$C$8))^(Расчёты!G108-3)))))</f>
        <v>0</v>
      </c>
      <c r="AC108">
        <f>IF(OR(Расчёты!F108=0,N('Исходные данные'!$B$5)=0,AB108=0),0,N('Исходные данные'!$B$5)*AB108*IF(AND(B108&lt;='Исходные данные'!$B$30,Расчёты!C108&gt;='Исходные данные'!$B$30),(Расчёты!C108-'Исходные данные'!$B$30+1)/DAY(Расчёты!C108),1))</f>
        <v>0</v>
      </c>
      <c r="AD108">
        <f>IF(AND(Расчёты!F108&gt;0,Расчёты!F108&lt;=N('Исходные данные'!$B$37)),-AC108,0)</f>
        <v>0</v>
      </c>
      <c r="AE108">
        <f>IF(OR(Расчёты!F108=0,Расчёты!F108&lt;=N('Исходные данные'!$B$37)),0,-(AC108+AD108)*N('Сценарный анализ'!$C$9))</f>
        <v>0</v>
      </c>
      <c r="AF108">
        <f t="shared" si="64"/>
        <v>0</v>
      </c>
      <c r="AG108">
        <f>IF('Исходные данные'!$B$51="Да",AF108*N('Исходные данные'!$B$52),0)</f>
        <v>0</v>
      </c>
      <c r="AH108">
        <f t="shared" si="65"/>
        <v>0</v>
      </c>
      <c r="AI108">
        <f>AF108+(Расчёты!Y108-Расчёты!L108)</f>
        <v>0</v>
      </c>
      <c r="AJ108">
        <f t="shared" si="74"/>
        <v>0</v>
      </c>
      <c r="AK108">
        <f>IF('Исходные данные'!$B$51="Да",-MAX(0,AG108+Расчёты!R108+Расчёты!V108-Расчёты!P108-Расчёты!T108-AJ108),0)</f>
        <v>0</v>
      </c>
      <c r="AL108">
        <f>IF('Исходные данные'!$B$51="Да",MAX(0,AJ108+Расчёты!P108+Расчёты!T108-AG108-Расчёты!R108-Расчёты!V108),0)</f>
        <v>0</v>
      </c>
      <c r="AM108">
        <f>IF('Исходные данные'!$B$53="Выручка",MAX(0,AF108+(Расчёты!Q108-Расчёты!R108)+(Расчёты!U108-Расчёты!V108)),IF('Исходные данные'!$B$53="Прибыль до налога",MAX(0,AF108+(Расчёты!Q108-Расчёты!R108)+(Расчёты!U108-Расчёты!V108)+N('Исходные данные'!$B$54)*((Расчёты!O108+Расчёты!P108)+(Расчёты!S108+Расчёты!T108)+Расчёты!W108+Расчёты!X108)+IF('Исходные данные'!$B$55="Да",Расчёты!AG108,0)-N('Исходные данные'!$B$56)/12),IF('Исходные данные'!$B$53="Пользовательская база",MAX(0,N('Исходные данные'!$B$57)/12),0)))</f>
        <v>0</v>
      </c>
      <c r="AN108">
        <f>IF(D108=1,-AM108*N('Исходные данные'!$B$50),0)</f>
        <v>0</v>
      </c>
      <c r="AO108">
        <f t="shared" si="66"/>
        <v>0</v>
      </c>
      <c r="AP108">
        <f>IF(OR(D108&lt;&gt;1,B108="",'Исходные данные'!$B$91="",N('Исходные данные'!$B$80)&lt;=0,'Исходные данные'!$B$88=""),0,IF(AND(YEAR(B108)=YEAR('Исходные данные'!$B$91),MONTH(B108)=MONTH('Исходные данные'!$B$91)),MAX(0,IF('Исходные данные'!$B$88="Последние 12 месяцев",SUMIFS($AI$2:$AI$194,$B$2:$B$194,"&gt;="&amp;EDATE(B108,-11),$B$2:$B$194,"&lt;="&amp;B108),IF('Исходные данные'!$B$88="Пользовательский NOI",N('Исходные данные'!$B$89),AO108))/N('Исходные данные'!$B$80)*(1+N('Исходные данные'!$B$81))),0))</f>
        <v>0</v>
      </c>
      <c r="AQ108">
        <f>-AP108*N('Исходные данные'!$B$73)</f>
        <v>0</v>
      </c>
      <c r="AR108">
        <f>IF(AP108=0,0,-N('Исходные данные'!$B$87)-IF('Исходные данные'!$B$82="Да",IF('Исходные данные'!$B$84="С выручки",AP108,IF('Исходные данные'!$B$84="С прибыли",MAX(0,AP108+AQ108-IF('Исходные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08">
        <f t="shared" si="67"/>
        <v>0</v>
      </c>
      <c r="AT108">
        <f>IF(D108=1,Расчёты!AZ108+AH108+AK108+AN108+AS108,0)</f>
        <v>0</v>
      </c>
      <c r="AU108" t="str">
        <f t="shared" si="75"/>
        <v/>
      </c>
      <c r="AV108">
        <f>IF(OR(D108=0,'Исходные данные'!$B$9="",'Исходные данные'!$B$90=""),0,AT108/(1+'Исходные данные'!$B$90)^((C108-'Исходные данные'!$B$9)/365))</f>
        <v>0</v>
      </c>
      <c r="AW108">
        <f>IF(D108=1,AH108+Расчёты!O108+Расчёты!Q108+Расчёты!S108+Расчёты!U108+Расчёты!W108+Расчёты!X108+AK108+AN108,0)</f>
        <v>0</v>
      </c>
      <c r="AX108">
        <f>IF(AND(D108=1,AU108&gt;=0,AU107&lt;0,MIN($AU$2:AU108)&lt;0),1,0)</f>
        <v>0</v>
      </c>
      <c r="AY108">
        <f>IF(Расчёты!F108=0,0,IF(Расчёты!G108=1,N('Сценарный анализ'!$D$5),IF(Расчёты!G108=2,N('Сценарный анализ'!$D$6),IF(Расчёты!G108=3,N('Сценарный анализ'!$D$7),N('Сценарный анализ'!$D$7)*(1+N('Сценарный анализ'!$D$8))^(Расчёты!G108-3)))))</f>
        <v>0</v>
      </c>
      <c r="AZ108">
        <f>IF(OR(Расчёты!F108=0,N('Исходные данные'!$B$5)=0,AY108=0),0,N('Исходные данные'!$B$5)*AY108*IF(AND(B108&lt;='Исходные данные'!$B$30,Расчёты!C108&gt;='Исходные данные'!$B$30),(Расчёты!C108-'Исходные данные'!$B$30+1)/DAY(Расчёты!C108),1))</f>
        <v>0</v>
      </c>
      <c r="BA108">
        <f>IF(AND(Расчёты!F108&gt;0,Расчёты!F108&lt;=N('Исходные данные'!$B$37)),-AZ108,0)</f>
        <v>0</v>
      </c>
      <c r="BB108">
        <f>IF(OR(Расчёты!F108=0,Расчёты!F108&lt;=N('Исходные данные'!$B$37)),0,-(AZ108+BA108)*N('Сценарный анализ'!$D$9))</f>
        <v>0</v>
      </c>
      <c r="BC108">
        <f t="shared" si="68"/>
        <v>0</v>
      </c>
      <c r="BD108">
        <f>IF('Исходные данные'!$B$51="Да",BC108*N('Исходные данные'!$B$52),0)</f>
        <v>0</v>
      </c>
      <c r="BE108">
        <f t="shared" si="69"/>
        <v>0</v>
      </c>
      <c r="BF108">
        <f>BC108+(Расчёты!Y108-Расчёты!L108)</f>
        <v>0</v>
      </c>
      <c r="BG108">
        <f t="shared" si="76"/>
        <v>0</v>
      </c>
      <c r="BH108">
        <f>IF('Исходные данные'!$B$51="Да",-MAX(0,BD108+Расчёты!R108+Расчёты!V108-Расчёты!P108-Расчёты!T108-BG108),0)</f>
        <v>0</v>
      </c>
      <c r="BI108">
        <f>IF('Исходные данные'!$B$51="Да",MAX(0,BG108+Расчёты!P108+Расчёты!T108-BD108-Расчёты!R108-Расчёты!V108),0)</f>
        <v>0</v>
      </c>
      <c r="BJ108">
        <f>IF('Исходные данные'!$B$53="Выручка",MAX(0,BC108+(Расчёты!Q108-Расчёты!R108)+(Расчёты!U108-Расчёты!V108)),IF('Исходные данные'!$B$53="Прибыль до налога",MAX(0,BC108+(Расчёты!Q108-Расчёты!R108)+(Расчёты!U108-Расчёты!V108)+N('Исходные данные'!$B$54)*((Расчёты!O108+Расчёты!P108)+(Расчёты!S108+Расчёты!T108)+Расчёты!W108+Расчёты!X108)+IF('Исходные данные'!$B$55="Да",Расчёты!AG108,0)-N('Исходные данные'!$B$56)/12),IF('Исходные данные'!$B$53="Пользовательская база",MAX(0,N('Исходные данные'!$B$57)/12),0)))</f>
        <v>0</v>
      </c>
      <c r="BK108">
        <f>IF(D108=1,-BJ108*N('Исходные данные'!$B$50),0)</f>
        <v>0</v>
      </c>
      <c r="BL108">
        <f t="shared" si="70"/>
        <v>0</v>
      </c>
      <c r="BM108">
        <f>IF(OR(D108&lt;&gt;1,B108="",'Исходные данные'!$B$91="",N('Исходные данные'!$B$80)&lt;=0,'Исходные данные'!$B$88=""),0,IF(AND(YEAR(B108)=YEAR('Исходные данные'!$B$91),MONTH(B108)=MONTH('Исходные данные'!$B$91)),MAX(0,IF('Исходные данные'!$B$88="Последние 12 месяцев",SUMIFS($BF$2:$BF$194,$B$2:$B$194,"&gt;="&amp;EDATE(B108,-11),$B$2:$B$194,"&lt;="&amp;B108),IF('Исходные данные'!$B$88="Пользовательский NOI",N('Исходные данные'!$B$89),BL108))/N('Исходные данные'!$B$80)*(1+N('Исходные данные'!$B$81))),0))</f>
        <v>0</v>
      </c>
      <c r="BN108">
        <f>-BM108*N('Исходные данные'!$B$73)</f>
        <v>0</v>
      </c>
      <c r="BO108">
        <f>IF(BM108=0,0,-N('Исходные данные'!$B$87)-IF('Исходные данные'!$B$82="Да",IF('Исходные данные'!$B$84="С выручки",BM108,IF('Исходные данные'!$B$84="С прибыли",MAX(0,BM108+BN108-IF('Исходные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08">
        <f t="shared" si="71"/>
        <v>0</v>
      </c>
      <c r="BQ108">
        <f>IF(D108=1,Расчёты!AZ108+BE108+BH108+BK108+BP108,0)</f>
        <v>0</v>
      </c>
      <c r="BR108" t="str">
        <f t="shared" si="77"/>
        <v/>
      </c>
      <c r="BS108">
        <f>IF(OR(D108=0,'Исходные данные'!$B$9="",'Исходные данные'!$B$90=""),0,BQ108/(1+'Исходные данные'!$B$90)^((C108-'Исходные данные'!$B$9)/365))</f>
        <v>0</v>
      </c>
      <c r="BT108">
        <f>IF(D108=1,BE108+Расчёты!O108+Расчёты!Q108+Расчёты!S108+Расчёты!U108+Расчёты!W108+Расчёты!X108+BH108+BK108,0)</f>
        <v>0</v>
      </c>
      <c r="BU108">
        <f>IF(AND(D108=1,BR108&gt;=0,BR107&lt;0,MIN($BR$2:BR108)&lt;0),1,0)</f>
        <v>0</v>
      </c>
      <c r="BV108">
        <f>Расчёты!AZ108+K108+N108-P108*N('Исходные данные'!$B$50)</f>
        <v>0</v>
      </c>
      <c r="BW108">
        <f t="shared" si="57"/>
        <v>0</v>
      </c>
      <c r="BX108">
        <f>IF(AND(BW108&gt;=0,BW107&lt;0,MIN($BW$2:BW108)&lt;0),1,0)</f>
        <v>0</v>
      </c>
      <c r="BY108">
        <f>Расчёты!AZ108+AH108+AK108-AM108*N('Исходные данные'!$B$50)</f>
        <v>0</v>
      </c>
      <c r="BZ108">
        <f t="shared" si="58"/>
        <v>0</v>
      </c>
      <c r="CA108">
        <f>IF(AND(BZ108&gt;=0,BZ107&lt;0,MIN($BZ$2:BZ108)&lt;0),1,0)</f>
        <v>0</v>
      </c>
      <c r="CB108">
        <f>Расчёты!AZ108+BE108+BH108-BJ108*N('Исходные данные'!$B$50)</f>
        <v>0</v>
      </c>
      <c r="CC108">
        <f t="shared" si="59"/>
        <v>0</v>
      </c>
      <c r="CD108">
        <f>IF(AND(CC108&gt;=0,CC107&lt;0,MIN($CC$2:CC108)&lt;0),1,0)</f>
        <v>0</v>
      </c>
    </row>
    <row r="109" spans="1:82" x14ac:dyDescent="0.2">
      <c r="A109">
        <f>Расчёты!A109</f>
        <v>108</v>
      </c>
      <c r="B109" t="str">
        <f>Расчёты!B109</f>
        <v/>
      </c>
      <c r="C109" t="str">
        <f>Расчёты!D109</f>
        <v/>
      </c>
      <c r="D109">
        <f>Расчёты!E109</f>
        <v>0</v>
      </c>
      <c r="E109">
        <f>IF(Расчёты!F109=0,0,IF(Расчёты!G109=1,N('Сценарный анализ'!$B$5),IF(Расчёты!G109=2,N('Сценарный анализ'!$B$6),IF(Расчёты!G109=3,N('Сценарный анализ'!$B$7),N('Сценарный анализ'!$B$7)*(1+N('Сценарный анализ'!$B$8))^(Расчёты!G109-3)))))</f>
        <v>0</v>
      </c>
      <c r="F109">
        <f>IF(OR(Расчёты!F109=0,N('Исходные данные'!$B$5)=0,E109=0),0,N('Исходные данные'!$B$5)*E109*IF(AND(B109&lt;='Исходные данные'!$B$30,Расчёты!C109&gt;='Исходные данные'!$B$30),(Расчёты!C109-'Исходные данные'!$B$30+1)/DAY(Расчёты!C109),1))</f>
        <v>0</v>
      </c>
      <c r="G109">
        <f>IF(AND(Расчёты!F109&gt;0,Расчёты!F109&lt;=N('Исходные данные'!$B$37)),-F109,0)</f>
        <v>0</v>
      </c>
      <c r="H109">
        <f>IF(OR(Расчёты!F109=0,Расчёты!F109&lt;=N('Исходные данные'!$B$37)),0,-(F109+G109)*N('Сценарный анализ'!$B$9))</f>
        <v>0</v>
      </c>
      <c r="I109">
        <f t="shared" si="60"/>
        <v>0</v>
      </c>
      <c r="J109">
        <f>IF('Исходные данные'!$B$51="Да",I109*N('Исходные данные'!$B$52),0)</f>
        <v>0</v>
      </c>
      <c r="K109">
        <f t="shared" si="61"/>
        <v>0</v>
      </c>
      <c r="L109">
        <f>I109+(Расчёты!Y109-Расчёты!L109)</f>
        <v>0</v>
      </c>
      <c r="M109">
        <f t="shared" si="72"/>
        <v>0</v>
      </c>
      <c r="N109">
        <f>IF('Исходные данные'!$B$51="Да",-MAX(0,J109+Расчёты!R109+Расчёты!V109-Расчёты!P109-Расчёты!T109-M109),0)</f>
        <v>0</v>
      </c>
      <c r="O109">
        <f>IF('Исходные данные'!$B$51="Да",MAX(0,M109+Расчёты!P109+Расчёты!T109-J109-Расчёты!R109-Расчёты!V109),0)</f>
        <v>0</v>
      </c>
      <c r="P109">
        <f>IF('Исходные данные'!$B$53="Выручка",MAX(0,I109+(Расчёты!Q109-Расчёты!R109)+(Расчёты!U109-Расчёты!V109)),IF('Исходные данные'!$B$53="Прибыль до налога",MAX(0,I109+(Расчёты!Q109-Расчёты!R109)+(Расчёты!U109-Расчёты!V109)+N('Исходные данные'!$B$54)*((Расчёты!O109+Расчёты!P109)+(Расчёты!S109+Расчёты!T109)+Расчёты!W109+Расчёты!X109)+IF('Исходные данные'!$B$55="Да",Расчёты!AG109,0)-N('Исходные данные'!$B$56)/12),IF('Исходные данные'!$B$53="Пользовательская база",MAX(0,N('Исходные данные'!$B$57)/12),0)))</f>
        <v>0</v>
      </c>
      <c r="Q109">
        <f>IF(D109=1,-P109*N('Исходные данные'!$B$50),0)</f>
        <v>0</v>
      </c>
      <c r="R109">
        <f t="shared" si="62"/>
        <v>0</v>
      </c>
      <c r="S109">
        <f>IF(OR(D109&lt;&gt;1,B109="",'Исходные данные'!$B$91="",N('Исходные данные'!$B$80)&lt;=0,'Исходные данные'!$B$88=""),0,IF(AND(YEAR(B109)=YEAR('Исходные данные'!$B$91),MONTH(B109)=MONTH('Исходные данные'!$B$91)),MAX(0,IF('Исходные данные'!$B$88="Последние 12 месяцев",SUMIFS($L$2:$L$194,$B$2:$B$194,"&gt;="&amp;EDATE(B109,-11),$B$2:$B$194,"&lt;="&amp;B109),IF('Исходные данные'!$B$88="Пользовательский NOI",N('Исходные данные'!$B$89),R109))/N('Исходные данные'!$B$80)*(1+N('Исходные данные'!$B$81))),0))</f>
        <v>0</v>
      </c>
      <c r="T109">
        <f>-S109*N('Исходные данные'!$B$73)</f>
        <v>0</v>
      </c>
      <c r="U109">
        <f>IF(S109=0,0,-N('Исходные данные'!$B$87)-IF('Исходные данные'!$B$82="Да",IF('Исходные данные'!$B$84="С выручки",S109,IF('Исходные данные'!$B$84="С прибыли",MAX(0,S109+T109-IF('Исходные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09">
        <f t="shared" si="63"/>
        <v>0</v>
      </c>
      <c r="W109">
        <f>IF(D109=1,Расчёты!AZ109+K109+N109+Q109+V109,0)</f>
        <v>0</v>
      </c>
      <c r="X109" t="str">
        <f t="shared" si="73"/>
        <v/>
      </c>
      <c r="Y109">
        <f>IF(OR(D109=0,'Исходные данные'!$B$9="",'Исходные данные'!$B$90=""),0,W109/(1+'Исходные данные'!$B$90)^((C109-'Исходные данные'!$B$9)/365))</f>
        <v>0</v>
      </c>
      <c r="Z109">
        <f>IF(D109=1,K109+Расчёты!O109+Расчёты!Q109+Расчёты!S109+Расчёты!U109+Расчёты!W109+Расчёты!X109+N109+Q109,0)</f>
        <v>0</v>
      </c>
      <c r="AA109">
        <f>IF(AND(D109=1,X109&gt;=0,X108&lt;0,MIN($X$2:X109)&lt;0),1,0)</f>
        <v>0</v>
      </c>
      <c r="AB109">
        <f>IF(Расчёты!F109=0,0,IF(Расчёты!G109=1,N('Сценарный анализ'!$C$5),IF(Расчёты!G109=2,N('Сценарный анализ'!$C$6),IF(Расчёты!G109=3,N('Сценарный анализ'!$C$7),N('Сценарный анализ'!$C$7)*(1+N('Сценарный анализ'!$C$8))^(Расчёты!G109-3)))))</f>
        <v>0</v>
      </c>
      <c r="AC109">
        <f>IF(OR(Расчёты!F109=0,N('Исходные данные'!$B$5)=0,AB109=0),0,N('Исходные данные'!$B$5)*AB109*IF(AND(B109&lt;='Исходные данные'!$B$30,Расчёты!C109&gt;='Исходные данные'!$B$30),(Расчёты!C109-'Исходные данные'!$B$30+1)/DAY(Расчёты!C109),1))</f>
        <v>0</v>
      </c>
      <c r="AD109">
        <f>IF(AND(Расчёты!F109&gt;0,Расчёты!F109&lt;=N('Исходные данные'!$B$37)),-AC109,0)</f>
        <v>0</v>
      </c>
      <c r="AE109">
        <f>IF(OR(Расчёты!F109=0,Расчёты!F109&lt;=N('Исходные данные'!$B$37)),0,-(AC109+AD109)*N('Сценарный анализ'!$C$9))</f>
        <v>0</v>
      </c>
      <c r="AF109">
        <f t="shared" si="64"/>
        <v>0</v>
      </c>
      <c r="AG109">
        <f>IF('Исходные данные'!$B$51="Да",AF109*N('Исходные данные'!$B$52),0)</f>
        <v>0</v>
      </c>
      <c r="AH109">
        <f t="shared" si="65"/>
        <v>0</v>
      </c>
      <c r="AI109">
        <f>AF109+(Расчёты!Y109-Расчёты!L109)</f>
        <v>0</v>
      </c>
      <c r="AJ109">
        <f t="shared" si="74"/>
        <v>0</v>
      </c>
      <c r="AK109">
        <f>IF('Исходные данные'!$B$51="Да",-MAX(0,AG109+Расчёты!R109+Расчёты!V109-Расчёты!P109-Расчёты!T109-AJ109),0)</f>
        <v>0</v>
      </c>
      <c r="AL109">
        <f>IF('Исходные данные'!$B$51="Да",MAX(0,AJ109+Расчёты!P109+Расчёты!T109-AG109-Расчёты!R109-Расчёты!V109),0)</f>
        <v>0</v>
      </c>
      <c r="AM109">
        <f>IF('Исходные данные'!$B$53="Выручка",MAX(0,AF109+(Расчёты!Q109-Расчёты!R109)+(Расчёты!U109-Расчёты!V109)),IF('Исходные данные'!$B$53="Прибыль до налога",MAX(0,AF109+(Расчёты!Q109-Расчёты!R109)+(Расчёты!U109-Расчёты!V109)+N('Исходные данные'!$B$54)*((Расчёты!O109+Расчёты!P109)+(Расчёты!S109+Расчёты!T109)+Расчёты!W109+Расчёты!X109)+IF('Исходные данные'!$B$55="Да",Расчёты!AG109,0)-N('Исходные данные'!$B$56)/12),IF('Исходные данные'!$B$53="Пользовательская база",MAX(0,N('Исходные данные'!$B$57)/12),0)))</f>
        <v>0</v>
      </c>
      <c r="AN109">
        <f>IF(D109=1,-AM109*N('Исходные данные'!$B$50),0)</f>
        <v>0</v>
      </c>
      <c r="AO109">
        <f t="shared" si="66"/>
        <v>0</v>
      </c>
      <c r="AP109">
        <f>IF(OR(D109&lt;&gt;1,B109="",'Исходные данные'!$B$91="",N('Исходные данные'!$B$80)&lt;=0,'Исходные данные'!$B$88=""),0,IF(AND(YEAR(B109)=YEAR('Исходные данные'!$B$91),MONTH(B109)=MONTH('Исходные данные'!$B$91)),MAX(0,IF('Исходные данные'!$B$88="Последние 12 месяцев",SUMIFS($AI$2:$AI$194,$B$2:$B$194,"&gt;="&amp;EDATE(B109,-11),$B$2:$B$194,"&lt;="&amp;B109),IF('Исходные данные'!$B$88="Пользовательский NOI",N('Исходные данные'!$B$89),AO109))/N('Исходные данные'!$B$80)*(1+N('Исходные данные'!$B$81))),0))</f>
        <v>0</v>
      </c>
      <c r="AQ109">
        <f>-AP109*N('Исходные данные'!$B$73)</f>
        <v>0</v>
      </c>
      <c r="AR109">
        <f>IF(AP109=0,0,-N('Исходные данные'!$B$87)-IF('Исходные данные'!$B$82="Да",IF('Исходные данные'!$B$84="С выручки",AP109,IF('Исходные данные'!$B$84="С прибыли",MAX(0,AP109+AQ109-IF('Исходные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09">
        <f t="shared" si="67"/>
        <v>0</v>
      </c>
      <c r="AT109">
        <f>IF(D109=1,Расчёты!AZ109+AH109+AK109+AN109+AS109,0)</f>
        <v>0</v>
      </c>
      <c r="AU109" t="str">
        <f t="shared" si="75"/>
        <v/>
      </c>
      <c r="AV109">
        <f>IF(OR(D109=0,'Исходные данные'!$B$9="",'Исходные данные'!$B$90=""),0,AT109/(1+'Исходные данные'!$B$90)^((C109-'Исходные данные'!$B$9)/365))</f>
        <v>0</v>
      </c>
      <c r="AW109">
        <f>IF(D109=1,AH109+Расчёты!O109+Расчёты!Q109+Расчёты!S109+Расчёты!U109+Расчёты!W109+Расчёты!X109+AK109+AN109,0)</f>
        <v>0</v>
      </c>
      <c r="AX109">
        <f>IF(AND(D109=1,AU109&gt;=0,AU108&lt;0,MIN($AU$2:AU109)&lt;0),1,0)</f>
        <v>0</v>
      </c>
      <c r="AY109">
        <f>IF(Расчёты!F109=0,0,IF(Расчёты!G109=1,N('Сценарный анализ'!$D$5),IF(Расчёты!G109=2,N('Сценарный анализ'!$D$6),IF(Расчёты!G109=3,N('Сценарный анализ'!$D$7),N('Сценарный анализ'!$D$7)*(1+N('Сценарный анализ'!$D$8))^(Расчёты!G109-3)))))</f>
        <v>0</v>
      </c>
      <c r="AZ109">
        <f>IF(OR(Расчёты!F109=0,N('Исходные данные'!$B$5)=0,AY109=0),0,N('Исходные данные'!$B$5)*AY109*IF(AND(B109&lt;='Исходные данные'!$B$30,Расчёты!C109&gt;='Исходные данные'!$B$30),(Расчёты!C109-'Исходные данные'!$B$30+1)/DAY(Расчёты!C109),1))</f>
        <v>0</v>
      </c>
      <c r="BA109">
        <f>IF(AND(Расчёты!F109&gt;0,Расчёты!F109&lt;=N('Исходные данные'!$B$37)),-AZ109,0)</f>
        <v>0</v>
      </c>
      <c r="BB109">
        <f>IF(OR(Расчёты!F109=0,Расчёты!F109&lt;=N('Исходные данные'!$B$37)),0,-(AZ109+BA109)*N('Сценарный анализ'!$D$9))</f>
        <v>0</v>
      </c>
      <c r="BC109">
        <f t="shared" si="68"/>
        <v>0</v>
      </c>
      <c r="BD109">
        <f>IF('Исходные данные'!$B$51="Да",BC109*N('Исходные данные'!$B$52),0)</f>
        <v>0</v>
      </c>
      <c r="BE109">
        <f t="shared" si="69"/>
        <v>0</v>
      </c>
      <c r="BF109">
        <f>BC109+(Расчёты!Y109-Расчёты!L109)</f>
        <v>0</v>
      </c>
      <c r="BG109">
        <f t="shared" si="76"/>
        <v>0</v>
      </c>
      <c r="BH109">
        <f>IF('Исходные данные'!$B$51="Да",-MAX(0,BD109+Расчёты!R109+Расчёты!V109-Расчёты!P109-Расчёты!T109-BG109),0)</f>
        <v>0</v>
      </c>
      <c r="BI109">
        <f>IF('Исходные данные'!$B$51="Да",MAX(0,BG109+Расчёты!P109+Расчёты!T109-BD109-Расчёты!R109-Расчёты!V109),0)</f>
        <v>0</v>
      </c>
      <c r="BJ109">
        <f>IF('Исходные данные'!$B$53="Выручка",MAX(0,BC109+(Расчёты!Q109-Расчёты!R109)+(Расчёты!U109-Расчёты!V109)),IF('Исходные данные'!$B$53="Прибыль до налога",MAX(0,BC109+(Расчёты!Q109-Расчёты!R109)+(Расчёты!U109-Расчёты!V109)+N('Исходные данные'!$B$54)*((Расчёты!O109+Расчёты!P109)+(Расчёты!S109+Расчёты!T109)+Расчёты!W109+Расчёты!X109)+IF('Исходные данные'!$B$55="Да",Расчёты!AG109,0)-N('Исходные данные'!$B$56)/12),IF('Исходные данные'!$B$53="Пользовательская база",MAX(0,N('Исходные данные'!$B$57)/12),0)))</f>
        <v>0</v>
      </c>
      <c r="BK109">
        <f>IF(D109=1,-BJ109*N('Исходные данные'!$B$50),0)</f>
        <v>0</v>
      </c>
      <c r="BL109">
        <f t="shared" si="70"/>
        <v>0</v>
      </c>
      <c r="BM109">
        <f>IF(OR(D109&lt;&gt;1,B109="",'Исходные данные'!$B$91="",N('Исходные данные'!$B$80)&lt;=0,'Исходные данные'!$B$88=""),0,IF(AND(YEAR(B109)=YEAR('Исходные данные'!$B$91),MONTH(B109)=MONTH('Исходные данные'!$B$91)),MAX(0,IF('Исходные данные'!$B$88="Последние 12 месяцев",SUMIFS($BF$2:$BF$194,$B$2:$B$194,"&gt;="&amp;EDATE(B109,-11),$B$2:$B$194,"&lt;="&amp;B109),IF('Исходные данные'!$B$88="Пользовательский NOI",N('Исходные данные'!$B$89),BL109))/N('Исходные данные'!$B$80)*(1+N('Исходные данные'!$B$81))),0))</f>
        <v>0</v>
      </c>
      <c r="BN109">
        <f>-BM109*N('Исходные данные'!$B$73)</f>
        <v>0</v>
      </c>
      <c r="BO109">
        <f>IF(BM109=0,0,-N('Исходные данные'!$B$87)-IF('Исходные данные'!$B$82="Да",IF('Исходные данные'!$B$84="С выручки",BM109,IF('Исходные данные'!$B$84="С прибыли",MAX(0,BM109+BN109-IF('Исходные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09">
        <f t="shared" si="71"/>
        <v>0</v>
      </c>
      <c r="BQ109">
        <f>IF(D109=1,Расчёты!AZ109+BE109+BH109+BK109+BP109,0)</f>
        <v>0</v>
      </c>
      <c r="BR109" t="str">
        <f t="shared" si="77"/>
        <v/>
      </c>
      <c r="BS109">
        <f>IF(OR(D109=0,'Исходные данные'!$B$9="",'Исходные данные'!$B$90=""),0,BQ109/(1+'Исходные данные'!$B$90)^((C109-'Исходные данные'!$B$9)/365))</f>
        <v>0</v>
      </c>
      <c r="BT109">
        <f>IF(D109=1,BE109+Расчёты!O109+Расчёты!Q109+Расчёты!S109+Расчёты!U109+Расчёты!W109+Расчёты!X109+BH109+BK109,0)</f>
        <v>0</v>
      </c>
      <c r="BU109">
        <f>IF(AND(D109=1,BR109&gt;=0,BR108&lt;0,MIN($BR$2:BR109)&lt;0),1,0)</f>
        <v>0</v>
      </c>
      <c r="BV109">
        <f>Расчёты!AZ109+K109+N109-P109*N('Исходные данные'!$B$50)</f>
        <v>0</v>
      </c>
      <c r="BW109">
        <f t="shared" si="57"/>
        <v>0</v>
      </c>
      <c r="BX109">
        <f>IF(AND(BW109&gt;=0,BW108&lt;0,MIN($BW$2:BW109)&lt;0),1,0)</f>
        <v>0</v>
      </c>
      <c r="BY109">
        <f>Расчёты!AZ109+AH109+AK109-AM109*N('Исходные данные'!$B$50)</f>
        <v>0</v>
      </c>
      <c r="BZ109">
        <f t="shared" si="58"/>
        <v>0</v>
      </c>
      <c r="CA109">
        <f>IF(AND(BZ109&gt;=0,BZ108&lt;0,MIN($BZ$2:BZ109)&lt;0),1,0)</f>
        <v>0</v>
      </c>
      <c r="CB109">
        <f>Расчёты!AZ109+BE109+BH109-BJ109*N('Исходные данные'!$B$50)</f>
        <v>0</v>
      </c>
      <c r="CC109">
        <f t="shared" si="59"/>
        <v>0</v>
      </c>
      <c r="CD109">
        <f>IF(AND(CC109&gt;=0,CC108&lt;0,MIN($CC$2:CC109)&lt;0),1,0)</f>
        <v>0</v>
      </c>
    </row>
    <row r="110" spans="1:82" x14ac:dyDescent="0.2">
      <c r="A110">
        <f>Расчёты!A110</f>
        <v>109</v>
      </c>
      <c r="B110" t="str">
        <f>Расчёты!B110</f>
        <v/>
      </c>
      <c r="C110" t="str">
        <f>Расчёты!D110</f>
        <v/>
      </c>
      <c r="D110">
        <f>Расчёты!E110</f>
        <v>0</v>
      </c>
      <c r="E110">
        <f>IF(Расчёты!F110=0,0,IF(Расчёты!G110=1,N('Сценарный анализ'!$B$5),IF(Расчёты!G110=2,N('Сценарный анализ'!$B$6),IF(Расчёты!G110=3,N('Сценарный анализ'!$B$7),N('Сценарный анализ'!$B$7)*(1+N('Сценарный анализ'!$B$8))^(Расчёты!G110-3)))))</f>
        <v>0</v>
      </c>
      <c r="F110">
        <f>IF(OR(Расчёты!F110=0,N('Исходные данные'!$B$5)=0,E110=0),0,N('Исходные данные'!$B$5)*E110*IF(AND(B110&lt;='Исходные данные'!$B$30,Расчёты!C110&gt;='Исходные данные'!$B$30),(Расчёты!C110-'Исходные данные'!$B$30+1)/DAY(Расчёты!C110),1))</f>
        <v>0</v>
      </c>
      <c r="G110">
        <f>IF(AND(Расчёты!F110&gt;0,Расчёты!F110&lt;=N('Исходные данные'!$B$37)),-F110,0)</f>
        <v>0</v>
      </c>
      <c r="H110">
        <f>IF(OR(Расчёты!F110=0,Расчёты!F110&lt;=N('Исходные данные'!$B$37)),0,-(F110+G110)*N('Сценарный анализ'!$B$9))</f>
        <v>0</v>
      </c>
      <c r="I110">
        <f t="shared" si="60"/>
        <v>0</v>
      </c>
      <c r="J110">
        <f>IF('Исходные данные'!$B$51="Да",I110*N('Исходные данные'!$B$52),0)</f>
        <v>0</v>
      </c>
      <c r="K110">
        <f t="shared" si="61"/>
        <v>0</v>
      </c>
      <c r="L110">
        <f>I110+(Расчёты!Y110-Расчёты!L110)</f>
        <v>0</v>
      </c>
      <c r="M110">
        <f t="shared" si="72"/>
        <v>0</v>
      </c>
      <c r="N110">
        <f>IF('Исходные данные'!$B$51="Да",-MAX(0,J110+Расчёты!R110+Расчёты!V110-Расчёты!P110-Расчёты!T110-M110),0)</f>
        <v>0</v>
      </c>
      <c r="O110">
        <f>IF('Исходные данные'!$B$51="Да",MAX(0,M110+Расчёты!P110+Расчёты!T110-J110-Расчёты!R110-Расчёты!V110),0)</f>
        <v>0</v>
      </c>
      <c r="P110">
        <f>IF('Исходные данные'!$B$53="Выручка",MAX(0,I110+(Расчёты!Q110-Расчёты!R110)+(Расчёты!U110-Расчёты!V110)),IF('Исходные данные'!$B$53="Прибыль до налога",MAX(0,I110+(Расчёты!Q110-Расчёты!R110)+(Расчёты!U110-Расчёты!V110)+N('Исходные данные'!$B$54)*((Расчёты!O110+Расчёты!P110)+(Расчёты!S110+Расчёты!T110)+Расчёты!W110+Расчёты!X110)+IF('Исходные данные'!$B$55="Да",Расчёты!AG110,0)-N('Исходные данные'!$B$56)/12),IF('Исходные данные'!$B$53="Пользовательская база",MAX(0,N('Исходные данные'!$B$57)/12),0)))</f>
        <v>0</v>
      </c>
      <c r="Q110">
        <f>IF(D110=1,-P110*N('Исходные данные'!$B$50),0)</f>
        <v>0</v>
      </c>
      <c r="R110">
        <f t="shared" si="62"/>
        <v>0</v>
      </c>
      <c r="S110">
        <f>IF(OR(D110&lt;&gt;1,B110="",'Исходные данные'!$B$91="",N('Исходные данные'!$B$80)&lt;=0,'Исходные данные'!$B$88=""),0,IF(AND(YEAR(B110)=YEAR('Исходные данные'!$B$91),MONTH(B110)=MONTH('Исходные данные'!$B$91)),MAX(0,IF('Исходные данные'!$B$88="Последние 12 месяцев",SUMIFS($L$2:$L$194,$B$2:$B$194,"&gt;="&amp;EDATE(B110,-11),$B$2:$B$194,"&lt;="&amp;B110),IF('Исходные данные'!$B$88="Пользовательский NOI",N('Исходные данные'!$B$89),R110))/N('Исходные данные'!$B$80)*(1+N('Исходные данные'!$B$81))),0))</f>
        <v>0</v>
      </c>
      <c r="T110">
        <f>-S110*N('Исходные данные'!$B$73)</f>
        <v>0</v>
      </c>
      <c r="U110">
        <f>IF(S110=0,0,-N('Исходные данные'!$B$87)-IF('Исходные данные'!$B$82="Да",IF('Исходные данные'!$B$84="С выручки",S110,IF('Исходные данные'!$B$84="С прибыли",MAX(0,S110+T110-IF('Исходные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10">
        <f t="shared" si="63"/>
        <v>0</v>
      </c>
      <c r="W110">
        <f>IF(D110=1,Расчёты!AZ110+K110+N110+Q110+V110,0)</f>
        <v>0</v>
      </c>
      <c r="X110" t="str">
        <f t="shared" si="73"/>
        <v/>
      </c>
      <c r="Y110">
        <f>IF(OR(D110=0,'Исходные данные'!$B$9="",'Исходные данные'!$B$90=""),0,W110/(1+'Исходные данные'!$B$90)^((C110-'Исходные данные'!$B$9)/365))</f>
        <v>0</v>
      </c>
      <c r="Z110">
        <f>IF(D110=1,K110+Расчёты!O110+Расчёты!Q110+Расчёты!S110+Расчёты!U110+Расчёты!W110+Расчёты!X110+N110+Q110,0)</f>
        <v>0</v>
      </c>
      <c r="AA110">
        <f>IF(AND(D110=1,X110&gt;=0,X109&lt;0,MIN($X$2:X110)&lt;0),1,0)</f>
        <v>0</v>
      </c>
      <c r="AB110">
        <f>IF(Расчёты!F110=0,0,IF(Расчёты!G110=1,N('Сценарный анализ'!$C$5),IF(Расчёты!G110=2,N('Сценарный анализ'!$C$6),IF(Расчёты!G110=3,N('Сценарный анализ'!$C$7),N('Сценарный анализ'!$C$7)*(1+N('Сценарный анализ'!$C$8))^(Расчёты!G110-3)))))</f>
        <v>0</v>
      </c>
      <c r="AC110">
        <f>IF(OR(Расчёты!F110=0,N('Исходные данные'!$B$5)=0,AB110=0),0,N('Исходные данные'!$B$5)*AB110*IF(AND(B110&lt;='Исходные данные'!$B$30,Расчёты!C110&gt;='Исходные данные'!$B$30),(Расчёты!C110-'Исходные данные'!$B$30+1)/DAY(Расчёты!C110),1))</f>
        <v>0</v>
      </c>
      <c r="AD110">
        <f>IF(AND(Расчёты!F110&gt;0,Расчёты!F110&lt;=N('Исходные данные'!$B$37)),-AC110,0)</f>
        <v>0</v>
      </c>
      <c r="AE110">
        <f>IF(OR(Расчёты!F110=0,Расчёты!F110&lt;=N('Исходные данные'!$B$37)),0,-(AC110+AD110)*N('Сценарный анализ'!$C$9))</f>
        <v>0</v>
      </c>
      <c r="AF110">
        <f t="shared" si="64"/>
        <v>0</v>
      </c>
      <c r="AG110">
        <f>IF('Исходные данные'!$B$51="Да",AF110*N('Исходные данные'!$B$52),0)</f>
        <v>0</v>
      </c>
      <c r="AH110">
        <f t="shared" si="65"/>
        <v>0</v>
      </c>
      <c r="AI110">
        <f>AF110+(Расчёты!Y110-Расчёты!L110)</f>
        <v>0</v>
      </c>
      <c r="AJ110">
        <f t="shared" si="74"/>
        <v>0</v>
      </c>
      <c r="AK110">
        <f>IF('Исходные данные'!$B$51="Да",-MAX(0,AG110+Расчёты!R110+Расчёты!V110-Расчёты!P110-Расчёты!T110-AJ110),0)</f>
        <v>0</v>
      </c>
      <c r="AL110">
        <f>IF('Исходные данные'!$B$51="Да",MAX(0,AJ110+Расчёты!P110+Расчёты!T110-AG110-Расчёты!R110-Расчёты!V110),0)</f>
        <v>0</v>
      </c>
      <c r="AM110">
        <f>IF('Исходные данные'!$B$53="Выручка",MAX(0,AF110+(Расчёты!Q110-Расчёты!R110)+(Расчёты!U110-Расчёты!V110)),IF('Исходные данные'!$B$53="Прибыль до налога",MAX(0,AF110+(Расчёты!Q110-Расчёты!R110)+(Расчёты!U110-Расчёты!V110)+N('Исходные данные'!$B$54)*((Расчёты!O110+Расчёты!P110)+(Расчёты!S110+Расчёты!T110)+Расчёты!W110+Расчёты!X110)+IF('Исходные данные'!$B$55="Да",Расчёты!AG110,0)-N('Исходные данные'!$B$56)/12),IF('Исходные данные'!$B$53="Пользовательская база",MAX(0,N('Исходные данные'!$B$57)/12),0)))</f>
        <v>0</v>
      </c>
      <c r="AN110">
        <f>IF(D110=1,-AM110*N('Исходные данные'!$B$50),0)</f>
        <v>0</v>
      </c>
      <c r="AO110">
        <f t="shared" si="66"/>
        <v>0</v>
      </c>
      <c r="AP110">
        <f>IF(OR(D110&lt;&gt;1,B110="",'Исходные данные'!$B$91="",N('Исходные данные'!$B$80)&lt;=0,'Исходные данные'!$B$88=""),0,IF(AND(YEAR(B110)=YEAR('Исходные данные'!$B$91),MONTH(B110)=MONTH('Исходные данные'!$B$91)),MAX(0,IF('Исходные данные'!$B$88="Последние 12 месяцев",SUMIFS($AI$2:$AI$194,$B$2:$B$194,"&gt;="&amp;EDATE(B110,-11),$B$2:$B$194,"&lt;="&amp;B110),IF('Исходные данные'!$B$88="Пользовательский NOI",N('Исходные данные'!$B$89),AO110))/N('Исходные данные'!$B$80)*(1+N('Исходные данные'!$B$81))),0))</f>
        <v>0</v>
      </c>
      <c r="AQ110">
        <f>-AP110*N('Исходные данные'!$B$73)</f>
        <v>0</v>
      </c>
      <c r="AR110">
        <f>IF(AP110=0,0,-N('Исходные данные'!$B$87)-IF('Исходные данные'!$B$82="Да",IF('Исходные данные'!$B$84="С выручки",AP110,IF('Исходные данные'!$B$84="С прибыли",MAX(0,AP110+AQ110-IF('Исходные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10">
        <f t="shared" si="67"/>
        <v>0</v>
      </c>
      <c r="AT110">
        <f>IF(D110=1,Расчёты!AZ110+AH110+AK110+AN110+AS110,0)</f>
        <v>0</v>
      </c>
      <c r="AU110" t="str">
        <f t="shared" si="75"/>
        <v/>
      </c>
      <c r="AV110">
        <f>IF(OR(D110=0,'Исходные данные'!$B$9="",'Исходные данные'!$B$90=""),0,AT110/(1+'Исходные данные'!$B$90)^((C110-'Исходные данные'!$B$9)/365))</f>
        <v>0</v>
      </c>
      <c r="AW110">
        <f>IF(D110=1,AH110+Расчёты!O110+Расчёты!Q110+Расчёты!S110+Расчёты!U110+Расчёты!W110+Расчёты!X110+AK110+AN110,0)</f>
        <v>0</v>
      </c>
      <c r="AX110">
        <f>IF(AND(D110=1,AU110&gt;=0,AU109&lt;0,MIN($AU$2:AU110)&lt;0),1,0)</f>
        <v>0</v>
      </c>
      <c r="AY110">
        <f>IF(Расчёты!F110=0,0,IF(Расчёты!G110=1,N('Сценарный анализ'!$D$5),IF(Расчёты!G110=2,N('Сценарный анализ'!$D$6),IF(Расчёты!G110=3,N('Сценарный анализ'!$D$7),N('Сценарный анализ'!$D$7)*(1+N('Сценарный анализ'!$D$8))^(Расчёты!G110-3)))))</f>
        <v>0</v>
      </c>
      <c r="AZ110">
        <f>IF(OR(Расчёты!F110=0,N('Исходные данные'!$B$5)=0,AY110=0),0,N('Исходные данные'!$B$5)*AY110*IF(AND(B110&lt;='Исходные данные'!$B$30,Расчёты!C110&gt;='Исходные данные'!$B$30),(Расчёты!C110-'Исходные данные'!$B$30+1)/DAY(Расчёты!C110),1))</f>
        <v>0</v>
      </c>
      <c r="BA110">
        <f>IF(AND(Расчёты!F110&gt;0,Расчёты!F110&lt;=N('Исходные данные'!$B$37)),-AZ110,0)</f>
        <v>0</v>
      </c>
      <c r="BB110">
        <f>IF(OR(Расчёты!F110=0,Расчёты!F110&lt;=N('Исходные данные'!$B$37)),0,-(AZ110+BA110)*N('Сценарный анализ'!$D$9))</f>
        <v>0</v>
      </c>
      <c r="BC110">
        <f t="shared" si="68"/>
        <v>0</v>
      </c>
      <c r="BD110">
        <f>IF('Исходные данные'!$B$51="Да",BC110*N('Исходные данные'!$B$52),0)</f>
        <v>0</v>
      </c>
      <c r="BE110">
        <f t="shared" si="69"/>
        <v>0</v>
      </c>
      <c r="BF110">
        <f>BC110+(Расчёты!Y110-Расчёты!L110)</f>
        <v>0</v>
      </c>
      <c r="BG110">
        <f t="shared" si="76"/>
        <v>0</v>
      </c>
      <c r="BH110">
        <f>IF('Исходные данные'!$B$51="Да",-MAX(0,BD110+Расчёты!R110+Расчёты!V110-Расчёты!P110-Расчёты!T110-BG110),0)</f>
        <v>0</v>
      </c>
      <c r="BI110">
        <f>IF('Исходные данные'!$B$51="Да",MAX(0,BG110+Расчёты!P110+Расчёты!T110-BD110-Расчёты!R110-Расчёты!V110),0)</f>
        <v>0</v>
      </c>
      <c r="BJ110">
        <f>IF('Исходные данные'!$B$53="Выручка",MAX(0,BC110+(Расчёты!Q110-Расчёты!R110)+(Расчёты!U110-Расчёты!V110)),IF('Исходные данные'!$B$53="Прибыль до налога",MAX(0,BC110+(Расчёты!Q110-Расчёты!R110)+(Расчёты!U110-Расчёты!V110)+N('Исходные данные'!$B$54)*((Расчёты!O110+Расчёты!P110)+(Расчёты!S110+Расчёты!T110)+Расчёты!W110+Расчёты!X110)+IF('Исходные данные'!$B$55="Да",Расчёты!AG110,0)-N('Исходные данные'!$B$56)/12),IF('Исходные данные'!$B$53="Пользовательская база",MAX(0,N('Исходные данные'!$B$57)/12),0)))</f>
        <v>0</v>
      </c>
      <c r="BK110">
        <f>IF(D110=1,-BJ110*N('Исходные данные'!$B$50),0)</f>
        <v>0</v>
      </c>
      <c r="BL110">
        <f t="shared" si="70"/>
        <v>0</v>
      </c>
      <c r="BM110">
        <f>IF(OR(D110&lt;&gt;1,B110="",'Исходные данные'!$B$91="",N('Исходные данные'!$B$80)&lt;=0,'Исходные данные'!$B$88=""),0,IF(AND(YEAR(B110)=YEAR('Исходные данные'!$B$91),MONTH(B110)=MONTH('Исходные данные'!$B$91)),MAX(0,IF('Исходные данные'!$B$88="Последние 12 месяцев",SUMIFS($BF$2:$BF$194,$B$2:$B$194,"&gt;="&amp;EDATE(B110,-11),$B$2:$B$194,"&lt;="&amp;B110),IF('Исходные данные'!$B$88="Пользовательский NOI",N('Исходные данные'!$B$89),BL110))/N('Исходные данные'!$B$80)*(1+N('Исходные данные'!$B$81))),0))</f>
        <v>0</v>
      </c>
      <c r="BN110">
        <f>-BM110*N('Исходные данные'!$B$73)</f>
        <v>0</v>
      </c>
      <c r="BO110">
        <f>IF(BM110=0,0,-N('Исходные данные'!$B$87)-IF('Исходные данные'!$B$82="Да",IF('Исходные данные'!$B$84="С выручки",BM110,IF('Исходные данные'!$B$84="С прибыли",MAX(0,BM110+BN110-IF('Исходные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10">
        <f t="shared" si="71"/>
        <v>0</v>
      </c>
      <c r="BQ110">
        <f>IF(D110=1,Расчёты!AZ110+BE110+BH110+BK110+BP110,0)</f>
        <v>0</v>
      </c>
      <c r="BR110" t="str">
        <f t="shared" si="77"/>
        <v/>
      </c>
      <c r="BS110">
        <f>IF(OR(D110=0,'Исходные данные'!$B$9="",'Исходные данные'!$B$90=""),0,BQ110/(1+'Исходные данные'!$B$90)^((C110-'Исходные данные'!$B$9)/365))</f>
        <v>0</v>
      </c>
      <c r="BT110">
        <f>IF(D110=1,BE110+Расчёты!O110+Расчёты!Q110+Расчёты!S110+Расчёты!U110+Расчёты!W110+Расчёты!X110+BH110+BK110,0)</f>
        <v>0</v>
      </c>
      <c r="BU110">
        <f>IF(AND(D110=1,BR110&gt;=0,BR109&lt;0,MIN($BR$2:BR110)&lt;0),1,0)</f>
        <v>0</v>
      </c>
      <c r="BV110">
        <f>Расчёты!AZ110+K110+N110-P110*N('Исходные данные'!$B$50)</f>
        <v>0</v>
      </c>
      <c r="BW110">
        <f t="shared" si="57"/>
        <v>0</v>
      </c>
      <c r="BX110">
        <f>IF(AND(BW110&gt;=0,BW109&lt;0,MIN($BW$2:BW110)&lt;0),1,0)</f>
        <v>0</v>
      </c>
      <c r="BY110">
        <f>Расчёты!AZ110+AH110+AK110-AM110*N('Исходные данные'!$B$50)</f>
        <v>0</v>
      </c>
      <c r="BZ110">
        <f t="shared" si="58"/>
        <v>0</v>
      </c>
      <c r="CA110">
        <f>IF(AND(BZ110&gt;=0,BZ109&lt;0,MIN($BZ$2:BZ110)&lt;0),1,0)</f>
        <v>0</v>
      </c>
      <c r="CB110">
        <f>Расчёты!AZ110+BE110+BH110-BJ110*N('Исходные данные'!$B$50)</f>
        <v>0</v>
      </c>
      <c r="CC110">
        <f t="shared" si="59"/>
        <v>0</v>
      </c>
      <c r="CD110">
        <f>IF(AND(CC110&gt;=0,CC109&lt;0,MIN($CC$2:CC110)&lt;0),1,0)</f>
        <v>0</v>
      </c>
    </row>
    <row r="111" spans="1:82" x14ac:dyDescent="0.2">
      <c r="A111">
        <f>Расчёты!A111</f>
        <v>110</v>
      </c>
      <c r="B111" t="str">
        <f>Расчёты!B111</f>
        <v/>
      </c>
      <c r="C111" t="str">
        <f>Расчёты!D111</f>
        <v/>
      </c>
      <c r="D111">
        <f>Расчёты!E111</f>
        <v>0</v>
      </c>
      <c r="E111">
        <f>IF(Расчёты!F111=0,0,IF(Расчёты!G111=1,N('Сценарный анализ'!$B$5),IF(Расчёты!G111=2,N('Сценарный анализ'!$B$6),IF(Расчёты!G111=3,N('Сценарный анализ'!$B$7),N('Сценарный анализ'!$B$7)*(1+N('Сценарный анализ'!$B$8))^(Расчёты!G111-3)))))</f>
        <v>0</v>
      </c>
      <c r="F111">
        <f>IF(OR(Расчёты!F111=0,N('Исходные данные'!$B$5)=0,E111=0),0,N('Исходные данные'!$B$5)*E111*IF(AND(B111&lt;='Исходные данные'!$B$30,Расчёты!C111&gt;='Исходные данные'!$B$30),(Расчёты!C111-'Исходные данные'!$B$30+1)/DAY(Расчёты!C111),1))</f>
        <v>0</v>
      </c>
      <c r="G111">
        <f>IF(AND(Расчёты!F111&gt;0,Расчёты!F111&lt;=N('Исходные данные'!$B$37)),-F111,0)</f>
        <v>0</v>
      </c>
      <c r="H111">
        <f>IF(OR(Расчёты!F111=0,Расчёты!F111&lt;=N('Исходные данные'!$B$37)),0,-(F111+G111)*N('Сценарный анализ'!$B$9))</f>
        <v>0</v>
      </c>
      <c r="I111">
        <f t="shared" si="60"/>
        <v>0</v>
      </c>
      <c r="J111">
        <f>IF('Исходные данные'!$B$51="Да",I111*N('Исходные данные'!$B$52),0)</f>
        <v>0</v>
      </c>
      <c r="K111">
        <f t="shared" si="61"/>
        <v>0</v>
      </c>
      <c r="L111">
        <f>I111+(Расчёты!Y111-Расчёты!L111)</f>
        <v>0</v>
      </c>
      <c r="M111">
        <f t="shared" si="72"/>
        <v>0</v>
      </c>
      <c r="N111">
        <f>IF('Исходные данные'!$B$51="Да",-MAX(0,J111+Расчёты!R111+Расчёты!V111-Расчёты!P111-Расчёты!T111-M111),0)</f>
        <v>0</v>
      </c>
      <c r="O111">
        <f>IF('Исходные данные'!$B$51="Да",MAX(0,M111+Расчёты!P111+Расчёты!T111-J111-Расчёты!R111-Расчёты!V111),0)</f>
        <v>0</v>
      </c>
      <c r="P111">
        <f>IF('Исходные данные'!$B$53="Выручка",MAX(0,I111+(Расчёты!Q111-Расчёты!R111)+(Расчёты!U111-Расчёты!V111)),IF('Исходные данные'!$B$53="Прибыль до налога",MAX(0,I111+(Расчёты!Q111-Расчёты!R111)+(Расчёты!U111-Расчёты!V111)+N('Исходные данные'!$B$54)*((Расчёты!O111+Расчёты!P111)+(Расчёты!S111+Расчёты!T111)+Расчёты!W111+Расчёты!X111)+IF('Исходные данные'!$B$55="Да",Расчёты!AG111,0)-N('Исходные данные'!$B$56)/12),IF('Исходные данные'!$B$53="Пользовательская база",MAX(0,N('Исходные данные'!$B$57)/12),0)))</f>
        <v>0</v>
      </c>
      <c r="Q111">
        <f>IF(D111=1,-P111*N('Исходные данные'!$B$50),0)</f>
        <v>0</v>
      </c>
      <c r="R111">
        <f t="shared" si="62"/>
        <v>0</v>
      </c>
      <c r="S111">
        <f>IF(OR(D111&lt;&gt;1,B111="",'Исходные данные'!$B$91="",N('Исходные данные'!$B$80)&lt;=0,'Исходные данные'!$B$88=""),0,IF(AND(YEAR(B111)=YEAR('Исходные данные'!$B$91),MONTH(B111)=MONTH('Исходные данные'!$B$91)),MAX(0,IF('Исходные данные'!$B$88="Последние 12 месяцев",SUMIFS($L$2:$L$194,$B$2:$B$194,"&gt;="&amp;EDATE(B111,-11),$B$2:$B$194,"&lt;="&amp;B111),IF('Исходные данные'!$B$88="Пользовательский NOI",N('Исходные данные'!$B$89),R111))/N('Исходные данные'!$B$80)*(1+N('Исходные данные'!$B$81))),0))</f>
        <v>0</v>
      </c>
      <c r="T111">
        <f>-S111*N('Исходные данные'!$B$73)</f>
        <v>0</v>
      </c>
      <c r="U111">
        <f>IF(S111=0,0,-N('Исходные данные'!$B$87)-IF('Исходные данные'!$B$82="Да",IF('Исходные данные'!$B$84="С выручки",S111,IF('Исходные данные'!$B$84="С прибыли",MAX(0,S111+T111-IF('Исходные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11">
        <f t="shared" si="63"/>
        <v>0</v>
      </c>
      <c r="W111">
        <f>IF(D111=1,Расчёты!AZ111+K111+N111+Q111+V111,0)</f>
        <v>0</v>
      </c>
      <c r="X111" t="str">
        <f t="shared" si="73"/>
        <v/>
      </c>
      <c r="Y111">
        <f>IF(OR(D111=0,'Исходные данные'!$B$9="",'Исходные данные'!$B$90=""),0,W111/(1+'Исходные данные'!$B$90)^((C111-'Исходные данные'!$B$9)/365))</f>
        <v>0</v>
      </c>
      <c r="Z111">
        <f>IF(D111=1,K111+Расчёты!O111+Расчёты!Q111+Расчёты!S111+Расчёты!U111+Расчёты!W111+Расчёты!X111+N111+Q111,0)</f>
        <v>0</v>
      </c>
      <c r="AA111">
        <f>IF(AND(D111=1,X111&gt;=0,X110&lt;0,MIN($X$2:X111)&lt;0),1,0)</f>
        <v>0</v>
      </c>
      <c r="AB111">
        <f>IF(Расчёты!F111=0,0,IF(Расчёты!G111=1,N('Сценарный анализ'!$C$5),IF(Расчёты!G111=2,N('Сценарный анализ'!$C$6),IF(Расчёты!G111=3,N('Сценарный анализ'!$C$7),N('Сценарный анализ'!$C$7)*(1+N('Сценарный анализ'!$C$8))^(Расчёты!G111-3)))))</f>
        <v>0</v>
      </c>
      <c r="AC111">
        <f>IF(OR(Расчёты!F111=0,N('Исходные данные'!$B$5)=0,AB111=0),0,N('Исходные данные'!$B$5)*AB111*IF(AND(B111&lt;='Исходные данные'!$B$30,Расчёты!C111&gt;='Исходные данные'!$B$30),(Расчёты!C111-'Исходные данные'!$B$30+1)/DAY(Расчёты!C111),1))</f>
        <v>0</v>
      </c>
      <c r="AD111">
        <f>IF(AND(Расчёты!F111&gt;0,Расчёты!F111&lt;=N('Исходные данные'!$B$37)),-AC111,0)</f>
        <v>0</v>
      </c>
      <c r="AE111">
        <f>IF(OR(Расчёты!F111=0,Расчёты!F111&lt;=N('Исходные данные'!$B$37)),0,-(AC111+AD111)*N('Сценарный анализ'!$C$9))</f>
        <v>0</v>
      </c>
      <c r="AF111">
        <f t="shared" si="64"/>
        <v>0</v>
      </c>
      <c r="AG111">
        <f>IF('Исходные данные'!$B$51="Да",AF111*N('Исходные данные'!$B$52),0)</f>
        <v>0</v>
      </c>
      <c r="AH111">
        <f t="shared" si="65"/>
        <v>0</v>
      </c>
      <c r="AI111">
        <f>AF111+(Расчёты!Y111-Расчёты!L111)</f>
        <v>0</v>
      </c>
      <c r="AJ111">
        <f t="shared" si="74"/>
        <v>0</v>
      </c>
      <c r="AK111">
        <f>IF('Исходные данные'!$B$51="Да",-MAX(0,AG111+Расчёты!R111+Расчёты!V111-Расчёты!P111-Расчёты!T111-AJ111),0)</f>
        <v>0</v>
      </c>
      <c r="AL111">
        <f>IF('Исходные данные'!$B$51="Да",MAX(0,AJ111+Расчёты!P111+Расчёты!T111-AG111-Расчёты!R111-Расчёты!V111),0)</f>
        <v>0</v>
      </c>
      <c r="AM111">
        <f>IF('Исходные данные'!$B$53="Выручка",MAX(0,AF111+(Расчёты!Q111-Расчёты!R111)+(Расчёты!U111-Расчёты!V111)),IF('Исходные данные'!$B$53="Прибыль до налога",MAX(0,AF111+(Расчёты!Q111-Расчёты!R111)+(Расчёты!U111-Расчёты!V111)+N('Исходные данные'!$B$54)*((Расчёты!O111+Расчёты!P111)+(Расчёты!S111+Расчёты!T111)+Расчёты!W111+Расчёты!X111)+IF('Исходные данные'!$B$55="Да",Расчёты!AG111,0)-N('Исходные данные'!$B$56)/12),IF('Исходные данные'!$B$53="Пользовательская база",MAX(0,N('Исходные данные'!$B$57)/12),0)))</f>
        <v>0</v>
      </c>
      <c r="AN111">
        <f>IF(D111=1,-AM111*N('Исходные данные'!$B$50),0)</f>
        <v>0</v>
      </c>
      <c r="AO111">
        <f t="shared" si="66"/>
        <v>0</v>
      </c>
      <c r="AP111">
        <f>IF(OR(D111&lt;&gt;1,B111="",'Исходные данные'!$B$91="",N('Исходные данные'!$B$80)&lt;=0,'Исходные данные'!$B$88=""),0,IF(AND(YEAR(B111)=YEAR('Исходные данные'!$B$91),MONTH(B111)=MONTH('Исходные данные'!$B$91)),MAX(0,IF('Исходные данные'!$B$88="Последние 12 месяцев",SUMIFS($AI$2:$AI$194,$B$2:$B$194,"&gt;="&amp;EDATE(B111,-11),$B$2:$B$194,"&lt;="&amp;B111),IF('Исходные данные'!$B$88="Пользовательский NOI",N('Исходные данные'!$B$89),AO111))/N('Исходные данные'!$B$80)*(1+N('Исходные данные'!$B$81))),0))</f>
        <v>0</v>
      </c>
      <c r="AQ111">
        <f>-AP111*N('Исходные данные'!$B$73)</f>
        <v>0</v>
      </c>
      <c r="AR111">
        <f>IF(AP111=0,0,-N('Исходные данные'!$B$87)-IF('Исходные данные'!$B$82="Да",IF('Исходные данные'!$B$84="С выручки",AP111,IF('Исходные данные'!$B$84="С прибыли",MAX(0,AP111+AQ111-IF('Исходные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11">
        <f t="shared" si="67"/>
        <v>0</v>
      </c>
      <c r="AT111">
        <f>IF(D111=1,Расчёты!AZ111+AH111+AK111+AN111+AS111,0)</f>
        <v>0</v>
      </c>
      <c r="AU111" t="str">
        <f t="shared" si="75"/>
        <v/>
      </c>
      <c r="AV111">
        <f>IF(OR(D111=0,'Исходные данные'!$B$9="",'Исходные данные'!$B$90=""),0,AT111/(1+'Исходные данные'!$B$90)^((C111-'Исходные данные'!$B$9)/365))</f>
        <v>0</v>
      </c>
      <c r="AW111">
        <f>IF(D111=1,AH111+Расчёты!O111+Расчёты!Q111+Расчёты!S111+Расчёты!U111+Расчёты!W111+Расчёты!X111+AK111+AN111,0)</f>
        <v>0</v>
      </c>
      <c r="AX111">
        <f>IF(AND(D111=1,AU111&gt;=0,AU110&lt;0,MIN($AU$2:AU111)&lt;0),1,0)</f>
        <v>0</v>
      </c>
      <c r="AY111">
        <f>IF(Расчёты!F111=0,0,IF(Расчёты!G111=1,N('Сценарный анализ'!$D$5),IF(Расчёты!G111=2,N('Сценарный анализ'!$D$6),IF(Расчёты!G111=3,N('Сценарный анализ'!$D$7),N('Сценарный анализ'!$D$7)*(1+N('Сценарный анализ'!$D$8))^(Расчёты!G111-3)))))</f>
        <v>0</v>
      </c>
      <c r="AZ111">
        <f>IF(OR(Расчёты!F111=0,N('Исходные данные'!$B$5)=0,AY111=0),0,N('Исходные данные'!$B$5)*AY111*IF(AND(B111&lt;='Исходные данные'!$B$30,Расчёты!C111&gt;='Исходные данные'!$B$30),(Расчёты!C111-'Исходные данные'!$B$30+1)/DAY(Расчёты!C111),1))</f>
        <v>0</v>
      </c>
      <c r="BA111">
        <f>IF(AND(Расчёты!F111&gt;0,Расчёты!F111&lt;=N('Исходные данные'!$B$37)),-AZ111,0)</f>
        <v>0</v>
      </c>
      <c r="BB111">
        <f>IF(OR(Расчёты!F111=0,Расчёты!F111&lt;=N('Исходные данные'!$B$37)),0,-(AZ111+BA111)*N('Сценарный анализ'!$D$9))</f>
        <v>0</v>
      </c>
      <c r="BC111">
        <f t="shared" si="68"/>
        <v>0</v>
      </c>
      <c r="BD111">
        <f>IF('Исходные данные'!$B$51="Да",BC111*N('Исходные данные'!$B$52),0)</f>
        <v>0</v>
      </c>
      <c r="BE111">
        <f t="shared" si="69"/>
        <v>0</v>
      </c>
      <c r="BF111">
        <f>BC111+(Расчёты!Y111-Расчёты!L111)</f>
        <v>0</v>
      </c>
      <c r="BG111">
        <f t="shared" si="76"/>
        <v>0</v>
      </c>
      <c r="BH111">
        <f>IF('Исходные данные'!$B$51="Да",-MAX(0,BD111+Расчёты!R111+Расчёты!V111-Расчёты!P111-Расчёты!T111-BG111),0)</f>
        <v>0</v>
      </c>
      <c r="BI111">
        <f>IF('Исходные данные'!$B$51="Да",MAX(0,BG111+Расчёты!P111+Расчёты!T111-BD111-Расчёты!R111-Расчёты!V111),0)</f>
        <v>0</v>
      </c>
      <c r="BJ111">
        <f>IF('Исходные данные'!$B$53="Выручка",MAX(0,BC111+(Расчёты!Q111-Расчёты!R111)+(Расчёты!U111-Расчёты!V111)),IF('Исходные данные'!$B$53="Прибыль до налога",MAX(0,BC111+(Расчёты!Q111-Расчёты!R111)+(Расчёты!U111-Расчёты!V111)+N('Исходные данные'!$B$54)*((Расчёты!O111+Расчёты!P111)+(Расчёты!S111+Расчёты!T111)+Расчёты!W111+Расчёты!X111)+IF('Исходные данные'!$B$55="Да",Расчёты!AG111,0)-N('Исходные данные'!$B$56)/12),IF('Исходные данные'!$B$53="Пользовательская база",MAX(0,N('Исходные данные'!$B$57)/12),0)))</f>
        <v>0</v>
      </c>
      <c r="BK111">
        <f>IF(D111=1,-BJ111*N('Исходные данные'!$B$50),0)</f>
        <v>0</v>
      </c>
      <c r="BL111">
        <f t="shared" si="70"/>
        <v>0</v>
      </c>
      <c r="BM111">
        <f>IF(OR(D111&lt;&gt;1,B111="",'Исходные данные'!$B$91="",N('Исходные данные'!$B$80)&lt;=0,'Исходные данные'!$B$88=""),0,IF(AND(YEAR(B111)=YEAR('Исходные данные'!$B$91),MONTH(B111)=MONTH('Исходные данные'!$B$91)),MAX(0,IF('Исходные данные'!$B$88="Последние 12 месяцев",SUMIFS($BF$2:$BF$194,$B$2:$B$194,"&gt;="&amp;EDATE(B111,-11),$B$2:$B$194,"&lt;="&amp;B111),IF('Исходные данные'!$B$88="Пользовательский NOI",N('Исходные данные'!$B$89),BL111))/N('Исходные данные'!$B$80)*(1+N('Исходные данные'!$B$81))),0))</f>
        <v>0</v>
      </c>
      <c r="BN111">
        <f>-BM111*N('Исходные данные'!$B$73)</f>
        <v>0</v>
      </c>
      <c r="BO111">
        <f>IF(BM111=0,0,-N('Исходные данные'!$B$87)-IF('Исходные данные'!$B$82="Да",IF('Исходные данные'!$B$84="С выручки",BM111,IF('Исходные данные'!$B$84="С прибыли",MAX(0,BM111+BN111-IF('Исходные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11">
        <f t="shared" si="71"/>
        <v>0</v>
      </c>
      <c r="BQ111">
        <f>IF(D111=1,Расчёты!AZ111+BE111+BH111+BK111+BP111,0)</f>
        <v>0</v>
      </c>
      <c r="BR111" t="str">
        <f t="shared" si="77"/>
        <v/>
      </c>
      <c r="BS111">
        <f>IF(OR(D111=0,'Исходные данные'!$B$9="",'Исходные данные'!$B$90=""),0,BQ111/(1+'Исходные данные'!$B$90)^((C111-'Исходные данные'!$B$9)/365))</f>
        <v>0</v>
      </c>
      <c r="BT111">
        <f>IF(D111=1,BE111+Расчёты!O111+Расчёты!Q111+Расчёты!S111+Расчёты!U111+Расчёты!W111+Расчёты!X111+BH111+BK111,0)</f>
        <v>0</v>
      </c>
      <c r="BU111">
        <f>IF(AND(D111=1,BR111&gt;=0,BR110&lt;0,MIN($BR$2:BR111)&lt;0),1,0)</f>
        <v>0</v>
      </c>
      <c r="BV111">
        <f>Расчёты!AZ111+K111+N111-P111*N('Исходные данные'!$B$50)</f>
        <v>0</v>
      </c>
      <c r="BW111">
        <f t="shared" si="57"/>
        <v>0</v>
      </c>
      <c r="BX111">
        <f>IF(AND(BW111&gt;=0,BW110&lt;0,MIN($BW$2:BW111)&lt;0),1,0)</f>
        <v>0</v>
      </c>
      <c r="BY111">
        <f>Расчёты!AZ111+AH111+AK111-AM111*N('Исходные данные'!$B$50)</f>
        <v>0</v>
      </c>
      <c r="BZ111">
        <f t="shared" si="58"/>
        <v>0</v>
      </c>
      <c r="CA111">
        <f>IF(AND(BZ111&gt;=0,BZ110&lt;0,MIN($BZ$2:BZ111)&lt;0),1,0)</f>
        <v>0</v>
      </c>
      <c r="CB111">
        <f>Расчёты!AZ111+BE111+BH111-BJ111*N('Исходные данные'!$B$50)</f>
        <v>0</v>
      </c>
      <c r="CC111">
        <f t="shared" si="59"/>
        <v>0</v>
      </c>
      <c r="CD111">
        <f>IF(AND(CC111&gt;=0,CC110&lt;0,MIN($CC$2:CC111)&lt;0),1,0)</f>
        <v>0</v>
      </c>
    </row>
    <row r="112" spans="1:82" x14ac:dyDescent="0.2">
      <c r="A112">
        <f>Расчёты!A112</f>
        <v>111</v>
      </c>
      <c r="B112" t="str">
        <f>Расчёты!B112</f>
        <v/>
      </c>
      <c r="C112" t="str">
        <f>Расчёты!D112</f>
        <v/>
      </c>
      <c r="D112">
        <f>Расчёты!E112</f>
        <v>0</v>
      </c>
      <c r="E112">
        <f>IF(Расчёты!F112=0,0,IF(Расчёты!G112=1,N('Сценарный анализ'!$B$5),IF(Расчёты!G112=2,N('Сценарный анализ'!$B$6),IF(Расчёты!G112=3,N('Сценарный анализ'!$B$7),N('Сценарный анализ'!$B$7)*(1+N('Сценарный анализ'!$B$8))^(Расчёты!G112-3)))))</f>
        <v>0</v>
      </c>
      <c r="F112">
        <f>IF(OR(Расчёты!F112=0,N('Исходные данные'!$B$5)=0,E112=0),0,N('Исходные данные'!$B$5)*E112*IF(AND(B112&lt;='Исходные данные'!$B$30,Расчёты!C112&gt;='Исходные данные'!$B$30),(Расчёты!C112-'Исходные данные'!$B$30+1)/DAY(Расчёты!C112),1))</f>
        <v>0</v>
      </c>
      <c r="G112">
        <f>IF(AND(Расчёты!F112&gt;0,Расчёты!F112&lt;=N('Исходные данные'!$B$37)),-F112,0)</f>
        <v>0</v>
      </c>
      <c r="H112">
        <f>IF(OR(Расчёты!F112=0,Расчёты!F112&lt;=N('Исходные данные'!$B$37)),0,-(F112+G112)*N('Сценарный анализ'!$B$9))</f>
        <v>0</v>
      </c>
      <c r="I112">
        <f t="shared" si="60"/>
        <v>0</v>
      </c>
      <c r="J112">
        <f>IF('Исходные данные'!$B$51="Да",I112*N('Исходные данные'!$B$52),0)</f>
        <v>0</v>
      </c>
      <c r="K112">
        <f t="shared" si="61"/>
        <v>0</v>
      </c>
      <c r="L112">
        <f>I112+(Расчёты!Y112-Расчёты!L112)</f>
        <v>0</v>
      </c>
      <c r="M112">
        <f t="shared" si="72"/>
        <v>0</v>
      </c>
      <c r="N112">
        <f>IF('Исходные данные'!$B$51="Да",-MAX(0,J112+Расчёты!R112+Расчёты!V112-Расчёты!P112-Расчёты!T112-M112),0)</f>
        <v>0</v>
      </c>
      <c r="O112">
        <f>IF('Исходные данные'!$B$51="Да",MAX(0,M112+Расчёты!P112+Расчёты!T112-J112-Расчёты!R112-Расчёты!V112),0)</f>
        <v>0</v>
      </c>
      <c r="P112">
        <f>IF('Исходные данные'!$B$53="Выручка",MAX(0,I112+(Расчёты!Q112-Расчёты!R112)+(Расчёты!U112-Расчёты!V112)),IF('Исходные данные'!$B$53="Прибыль до налога",MAX(0,I112+(Расчёты!Q112-Расчёты!R112)+(Расчёты!U112-Расчёты!V112)+N('Исходные данные'!$B$54)*((Расчёты!O112+Расчёты!P112)+(Расчёты!S112+Расчёты!T112)+Расчёты!W112+Расчёты!X112)+IF('Исходные данные'!$B$55="Да",Расчёты!AG112,0)-N('Исходные данные'!$B$56)/12),IF('Исходные данные'!$B$53="Пользовательская база",MAX(0,N('Исходные данные'!$B$57)/12),0)))</f>
        <v>0</v>
      </c>
      <c r="Q112">
        <f>IF(D112=1,-P112*N('Исходные данные'!$B$50),0)</f>
        <v>0</v>
      </c>
      <c r="R112">
        <f t="shared" si="62"/>
        <v>0</v>
      </c>
      <c r="S112">
        <f>IF(OR(D112&lt;&gt;1,B112="",'Исходные данные'!$B$91="",N('Исходные данные'!$B$80)&lt;=0,'Исходные данные'!$B$88=""),0,IF(AND(YEAR(B112)=YEAR('Исходные данные'!$B$91),MONTH(B112)=MONTH('Исходные данные'!$B$91)),MAX(0,IF('Исходные данные'!$B$88="Последние 12 месяцев",SUMIFS($L$2:$L$194,$B$2:$B$194,"&gt;="&amp;EDATE(B112,-11),$B$2:$B$194,"&lt;="&amp;B112),IF('Исходные данные'!$B$88="Пользовательский NOI",N('Исходные данные'!$B$89),R112))/N('Исходные данные'!$B$80)*(1+N('Исходные данные'!$B$81))),0))</f>
        <v>0</v>
      </c>
      <c r="T112">
        <f>-S112*N('Исходные данные'!$B$73)</f>
        <v>0</v>
      </c>
      <c r="U112">
        <f>IF(S112=0,0,-N('Исходные данные'!$B$87)-IF('Исходные данные'!$B$82="Да",IF('Исходные данные'!$B$84="С выручки",S112,IF('Исходные данные'!$B$84="С прибыли",MAX(0,S112+T112-IF('Исходные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12">
        <f t="shared" si="63"/>
        <v>0</v>
      </c>
      <c r="W112">
        <f>IF(D112=1,Расчёты!AZ112+K112+N112+Q112+V112,0)</f>
        <v>0</v>
      </c>
      <c r="X112" t="str">
        <f t="shared" si="73"/>
        <v/>
      </c>
      <c r="Y112">
        <f>IF(OR(D112=0,'Исходные данные'!$B$9="",'Исходные данные'!$B$90=""),0,W112/(1+'Исходные данные'!$B$90)^((C112-'Исходные данные'!$B$9)/365))</f>
        <v>0</v>
      </c>
      <c r="Z112">
        <f>IF(D112=1,K112+Расчёты!O112+Расчёты!Q112+Расчёты!S112+Расчёты!U112+Расчёты!W112+Расчёты!X112+N112+Q112,0)</f>
        <v>0</v>
      </c>
      <c r="AA112">
        <f>IF(AND(D112=1,X112&gt;=0,X111&lt;0,MIN($X$2:X112)&lt;0),1,0)</f>
        <v>0</v>
      </c>
      <c r="AB112">
        <f>IF(Расчёты!F112=0,0,IF(Расчёты!G112=1,N('Сценарный анализ'!$C$5),IF(Расчёты!G112=2,N('Сценарный анализ'!$C$6),IF(Расчёты!G112=3,N('Сценарный анализ'!$C$7),N('Сценарный анализ'!$C$7)*(1+N('Сценарный анализ'!$C$8))^(Расчёты!G112-3)))))</f>
        <v>0</v>
      </c>
      <c r="AC112">
        <f>IF(OR(Расчёты!F112=0,N('Исходные данные'!$B$5)=0,AB112=0),0,N('Исходные данные'!$B$5)*AB112*IF(AND(B112&lt;='Исходные данные'!$B$30,Расчёты!C112&gt;='Исходные данные'!$B$30),(Расчёты!C112-'Исходные данные'!$B$30+1)/DAY(Расчёты!C112),1))</f>
        <v>0</v>
      </c>
      <c r="AD112">
        <f>IF(AND(Расчёты!F112&gt;0,Расчёты!F112&lt;=N('Исходные данные'!$B$37)),-AC112,0)</f>
        <v>0</v>
      </c>
      <c r="AE112">
        <f>IF(OR(Расчёты!F112=0,Расчёты!F112&lt;=N('Исходные данные'!$B$37)),0,-(AC112+AD112)*N('Сценарный анализ'!$C$9))</f>
        <v>0</v>
      </c>
      <c r="AF112">
        <f t="shared" si="64"/>
        <v>0</v>
      </c>
      <c r="AG112">
        <f>IF('Исходные данные'!$B$51="Да",AF112*N('Исходные данные'!$B$52),0)</f>
        <v>0</v>
      </c>
      <c r="AH112">
        <f t="shared" si="65"/>
        <v>0</v>
      </c>
      <c r="AI112">
        <f>AF112+(Расчёты!Y112-Расчёты!L112)</f>
        <v>0</v>
      </c>
      <c r="AJ112">
        <f t="shared" si="74"/>
        <v>0</v>
      </c>
      <c r="AK112">
        <f>IF('Исходные данные'!$B$51="Да",-MAX(0,AG112+Расчёты!R112+Расчёты!V112-Расчёты!P112-Расчёты!T112-AJ112),0)</f>
        <v>0</v>
      </c>
      <c r="AL112">
        <f>IF('Исходные данные'!$B$51="Да",MAX(0,AJ112+Расчёты!P112+Расчёты!T112-AG112-Расчёты!R112-Расчёты!V112),0)</f>
        <v>0</v>
      </c>
      <c r="AM112">
        <f>IF('Исходные данные'!$B$53="Выручка",MAX(0,AF112+(Расчёты!Q112-Расчёты!R112)+(Расчёты!U112-Расчёты!V112)),IF('Исходные данные'!$B$53="Прибыль до налога",MAX(0,AF112+(Расчёты!Q112-Расчёты!R112)+(Расчёты!U112-Расчёты!V112)+N('Исходные данные'!$B$54)*((Расчёты!O112+Расчёты!P112)+(Расчёты!S112+Расчёты!T112)+Расчёты!W112+Расчёты!X112)+IF('Исходные данные'!$B$55="Да",Расчёты!AG112,0)-N('Исходные данные'!$B$56)/12),IF('Исходные данные'!$B$53="Пользовательская база",MAX(0,N('Исходные данные'!$B$57)/12),0)))</f>
        <v>0</v>
      </c>
      <c r="AN112">
        <f>IF(D112=1,-AM112*N('Исходные данные'!$B$50),0)</f>
        <v>0</v>
      </c>
      <c r="AO112">
        <f t="shared" si="66"/>
        <v>0</v>
      </c>
      <c r="AP112">
        <f>IF(OR(D112&lt;&gt;1,B112="",'Исходные данные'!$B$91="",N('Исходные данные'!$B$80)&lt;=0,'Исходные данные'!$B$88=""),0,IF(AND(YEAR(B112)=YEAR('Исходные данные'!$B$91),MONTH(B112)=MONTH('Исходные данные'!$B$91)),MAX(0,IF('Исходные данные'!$B$88="Последние 12 месяцев",SUMIFS($AI$2:$AI$194,$B$2:$B$194,"&gt;="&amp;EDATE(B112,-11),$B$2:$B$194,"&lt;="&amp;B112),IF('Исходные данные'!$B$88="Пользовательский NOI",N('Исходные данные'!$B$89),AO112))/N('Исходные данные'!$B$80)*(1+N('Исходные данные'!$B$81))),0))</f>
        <v>0</v>
      </c>
      <c r="AQ112">
        <f>-AP112*N('Исходные данные'!$B$73)</f>
        <v>0</v>
      </c>
      <c r="AR112">
        <f>IF(AP112=0,0,-N('Исходные данные'!$B$87)-IF('Исходные данные'!$B$82="Да",IF('Исходные данные'!$B$84="С выручки",AP112,IF('Исходные данные'!$B$84="С прибыли",MAX(0,AP112+AQ112-IF('Исходные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12">
        <f t="shared" si="67"/>
        <v>0</v>
      </c>
      <c r="AT112">
        <f>IF(D112=1,Расчёты!AZ112+AH112+AK112+AN112+AS112,0)</f>
        <v>0</v>
      </c>
      <c r="AU112" t="str">
        <f t="shared" si="75"/>
        <v/>
      </c>
      <c r="AV112">
        <f>IF(OR(D112=0,'Исходные данные'!$B$9="",'Исходные данные'!$B$90=""),0,AT112/(1+'Исходные данные'!$B$90)^((C112-'Исходные данные'!$B$9)/365))</f>
        <v>0</v>
      </c>
      <c r="AW112">
        <f>IF(D112=1,AH112+Расчёты!O112+Расчёты!Q112+Расчёты!S112+Расчёты!U112+Расчёты!W112+Расчёты!X112+AK112+AN112,0)</f>
        <v>0</v>
      </c>
      <c r="AX112">
        <f>IF(AND(D112=1,AU112&gt;=0,AU111&lt;0,MIN($AU$2:AU112)&lt;0),1,0)</f>
        <v>0</v>
      </c>
      <c r="AY112">
        <f>IF(Расчёты!F112=0,0,IF(Расчёты!G112=1,N('Сценарный анализ'!$D$5),IF(Расчёты!G112=2,N('Сценарный анализ'!$D$6),IF(Расчёты!G112=3,N('Сценарный анализ'!$D$7),N('Сценарный анализ'!$D$7)*(1+N('Сценарный анализ'!$D$8))^(Расчёты!G112-3)))))</f>
        <v>0</v>
      </c>
      <c r="AZ112">
        <f>IF(OR(Расчёты!F112=0,N('Исходные данные'!$B$5)=0,AY112=0),0,N('Исходные данные'!$B$5)*AY112*IF(AND(B112&lt;='Исходные данные'!$B$30,Расчёты!C112&gt;='Исходные данные'!$B$30),(Расчёты!C112-'Исходные данные'!$B$30+1)/DAY(Расчёты!C112),1))</f>
        <v>0</v>
      </c>
      <c r="BA112">
        <f>IF(AND(Расчёты!F112&gt;0,Расчёты!F112&lt;=N('Исходные данные'!$B$37)),-AZ112,0)</f>
        <v>0</v>
      </c>
      <c r="BB112">
        <f>IF(OR(Расчёты!F112=0,Расчёты!F112&lt;=N('Исходные данные'!$B$37)),0,-(AZ112+BA112)*N('Сценарный анализ'!$D$9))</f>
        <v>0</v>
      </c>
      <c r="BC112">
        <f t="shared" si="68"/>
        <v>0</v>
      </c>
      <c r="BD112">
        <f>IF('Исходные данные'!$B$51="Да",BC112*N('Исходные данные'!$B$52),0)</f>
        <v>0</v>
      </c>
      <c r="BE112">
        <f t="shared" si="69"/>
        <v>0</v>
      </c>
      <c r="BF112">
        <f>BC112+(Расчёты!Y112-Расчёты!L112)</f>
        <v>0</v>
      </c>
      <c r="BG112">
        <f t="shared" si="76"/>
        <v>0</v>
      </c>
      <c r="BH112">
        <f>IF('Исходные данные'!$B$51="Да",-MAX(0,BD112+Расчёты!R112+Расчёты!V112-Расчёты!P112-Расчёты!T112-BG112),0)</f>
        <v>0</v>
      </c>
      <c r="BI112">
        <f>IF('Исходные данные'!$B$51="Да",MAX(0,BG112+Расчёты!P112+Расчёты!T112-BD112-Расчёты!R112-Расчёты!V112),0)</f>
        <v>0</v>
      </c>
      <c r="BJ112">
        <f>IF('Исходные данные'!$B$53="Выручка",MAX(0,BC112+(Расчёты!Q112-Расчёты!R112)+(Расчёты!U112-Расчёты!V112)),IF('Исходные данные'!$B$53="Прибыль до налога",MAX(0,BC112+(Расчёты!Q112-Расчёты!R112)+(Расчёты!U112-Расчёты!V112)+N('Исходные данные'!$B$54)*((Расчёты!O112+Расчёты!P112)+(Расчёты!S112+Расчёты!T112)+Расчёты!W112+Расчёты!X112)+IF('Исходные данные'!$B$55="Да",Расчёты!AG112,0)-N('Исходные данные'!$B$56)/12),IF('Исходные данные'!$B$53="Пользовательская база",MAX(0,N('Исходные данные'!$B$57)/12),0)))</f>
        <v>0</v>
      </c>
      <c r="BK112">
        <f>IF(D112=1,-BJ112*N('Исходные данные'!$B$50),0)</f>
        <v>0</v>
      </c>
      <c r="BL112">
        <f t="shared" si="70"/>
        <v>0</v>
      </c>
      <c r="BM112">
        <f>IF(OR(D112&lt;&gt;1,B112="",'Исходные данные'!$B$91="",N('Исходные данные'!$B$80)&lt;=0,'Исходные данные'!$B$88=""),0,IF(AND(YEAR(B112)=YEAR('Исходные данные'!$B$91),MONTH(B112)=MONTH('Исходные данные'!$B$91)),MAX(0,IF('Исходные данные'!$B$88="Последние 12 месяцев",SUMIFS($BF$2:$BF$194,$B$2:$B$194,"&gt;="&amp;EDATE(B112,-11),$B$2:$B$194,"&lt;="&amp;B112),IF('Исходные данные'!$B$88="Пользовательский NOI",N('Исходные данные'!$B$89),BL112))/N('Исходные данные'!$B$80)*(1+N('Исходные данные'!$B$81))),0))</f>
        <v>0</v>
      </c>
      <c r="BN112">
        <f>-BM112*N('Исходные данные'!$B$73)</f>
        <v>0</v>
      </c>
      <c r="BO112">
        <f>IF(BM112=0,0,-N('Исходные данные'!$B$87)-IF('Исходные данные'!$B$82="Да",IF('Исходные данные'!$B$84="С выручки",BM112,IF('Исходные данные'!$B$84="С прибыли",MAX(0,BM112+BN112-IF('Исходные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12">
        <f t="shared" si="71"/>
        <v>0</v>
      </c>
      <c r="BQ112">
        <f>IF(D112=1,Расчёты!AZ112+BE112+BH112+BK112+BP112,0)</f>
        <v>0</v>
      </c>
      <c r="BR112" t="str">
        <f t="shared" si="77"/>
        <v/>
      </c>
      <c r="BS112">
        <f>IF(OR(D112=0,'Исходные данные'!$B$9="",'Исходные данные'!$B$90=""),0,BQ112/(1+'Исходные данные'!$B$90)^((C112-'Исходные данные'!$B$9)/365))</f>
        <v>0</v>
      </c>
      <c r="BT112">
        <f>IF(D112=1,BE112+Расчёты!O112+Расчёты!Q112+Расчёты!S112+Расчёты!U112+Расчёты!W112+Расчёты!X112+BH112+BK112,0)</f>
        <v>0</v>
      </c>
      <c r="BU112">
        <f>IF(AND(D112=1,BR112&gt;=0,BR111&lt;0,MIN($BR$2:BR112)&lt;0),1,0)</f>
        <v>0</v>
      </c>
      <c r="BV112">
        <f>Расчёты!AZ112+K112+N112-P112*N('Исходные данные'!$B$50)</f>
        <v>0</v>
      </c>
      <c r="BW112">
        <f t="shared" si="57"/>
        <v>0</v>
      </c>
      <c r="BX112">
        <f>IF(AND(BW112&gt;=0,BW111&lt;0,MIN($BW$2:BW112)&lt;0),1,0)</f>
        <v>0</v>
      </c>
      <c r="BY112">
        <f>Расчёты!AZ112+AH112+AK112-AM112*N('Исходные данные'!$B$50)</f>
        <v>0</v>
      </c>
      <c r="BZ112">
        <f t="shared" si="58"/>
        <v>0</v>
      </c>
      <c r="CA112">
        <f>IF(AND(BZ112&gt;=0,BZ111&lt;0,MIN($BZ$2:BZ112)&lt;0),1,0)</f>
        <v>0</v>
      </c>
      <c r="CB112">
        <f>Расчёты!AZ112+BE112+BH112-BJ112*N('Исходные данные'!$B$50)</f>
        <v>0</v>
      </c>
      <c r="CC112">
        <f t="shared" si="59"/>
        <v>0</v>
      </c>
      <c r="CD112">
        <f>IF(AND(CC112&gt;=0,CC111&lt;0,MIN($CC$2:CC112)&lt;0),1,0)</f>
        <v>0</v>
      </c>
    </row>
    <row r="113" spans="1:82" x14ac:dyDescent="0.2">
      <c r="A113">
        <f>Расчёты!A113</f>
        <v>112</v>
      </c>
      <c r="B113" t="str">
        <f>Расчёты!B113</f>
        <v/>
      </c>
      <c r="C113" t="str">
        <f>Расчёты!D113</f>
        <v/>
      </c>
      <c r="D113">
        <f>Расчёты!E113</f>
        <v>0</v>
      </c>
      <c r="E113">
        <f>IF(Расчёты!F113=0,0,IF(Расчёты!G113=1,N('Сценарный анализ'!$B$5),IF(Расчёты!G113=2,N('Сценарный анализ'!$B$6),IF(Расчёты!G113=3,N('Сценарный анализ'!$B$7),N('Сценарный анализ'!$B$7)*(1+N('Сценарный анализ'!$B$8))^(Расчёты!G113-3)))))</f>
        <v>0</v>
      </c>
      <c r="F113">
        <f>IF(OR(Расчёты!F113=0,N('Исходные данные'!$B$5)=0,E113=0),0,N('Исходные данные'!$B$5)*E113*IF(AND(B113&lt;='Исходные данные'!$B$30,Расчёты!C113&gt;='Исходные данные'!$B$30),(Расчёты!C113-'Исходные данные'!$B$30+1)/DAY(Расчёты!C113),1))</f>
        <v>0</v>
      </c>
      <c r="G113">
        <f>IF(AND(Расчёты!F113&gt;0,Расчёты!F113&lt;=N('Исходные данные'!$B$37)),-F113,0)</f>
        <v>0</v>
      </c>
      <c r="H113">
        <f>IF(OR(Расчёты!F113=0,Расчёты!F113&lt;=N('Исходные данные'!$B$37)),0,-(F113+G113)*N('Сценарный анализ'!$B$9))</f>
        <v>0</v>
      </c>
      <c r="I113">
        <f t="shared" si="60"/>
        <v>0</v>
      </c>
      <c r="J113">
        <f>IF('Исходные данные'!$B$51="Да",I113*N('Исходные данные'!$B$52),0)</f>
        <v>0</v>
      </c>
      <c r="K113">
        <f t="shared" si="61"/>
        <v>0</v>
      </c>
      <c r="L113">
        <f>I113+(Расчёты!Y113-Расчёты!L113)</f>
        <v>0</v>
      </c>
      <c r="M113">
        <f t="shared" si="72"/>
        <v>0</v>
      </c>
      <c r="N113">
        <f>IF('Исходные данные'!$B$51="Да",-MAX(0,J113+Расчёты!R113+Расчёты!V113-Расчёты!P113-Расчёты!T113-M113),0)</f>
        <v>0</v>
      </c>
      <c r="O113">
        <f>IF('Исходные данные'!$B$51="Да",MAX(0,M113+Расчёты!P113+Расчёты!T113-J113-Расчёты!R113-Расчёты!V113),0)</f>
        <v>0</v>
      </c>
      <c r="P113">
        <f>IF('Исходные данные'!$B$53="Выручка",MAX(0,I113+(Расчёты!Q113-Расчёты!R113)+(Расчёты!U113-Расчёты!V113)),IF('Исходные данные'!$B$53="Прибыль до налога",MAX(0,I113+(Расчёты!Q113-Расчёты!R113)+(Расчёты!U113-Расчёты!V113)+N('Исходные данные'!$B$54)*((Расчёты!O113+Расчёты!P113)+(Расчёты!S113+Расчёты!T113)+Расчёты!W113+Расчёты!X113)+IF('Исходные данные'!$B$55="Да",Расчёты!AG113,0)-N('Исходные данные'!$B$56)/12),IF('Исходные данные'!$B$53="Пользовательская база",MAX(0,N('Исходные данные'!$B$57)/12),0)))</f>
        <v>0</v>
      </c>
      <c r="Q113">
        <f>IF(D113=1,-P113*N('Исходные данные'!$B$50),0)</f>
        <v>0</v>
      </c>
      <c r="R113">
        <f t="shared" si="62"/>
        <v>0</v>
      </c>
      <c r="S113">
        <f>IF(OR(D113&lt;&gt;1,B113="",'Исходные данные'!$B$91="",N('Исходные данные'!$B$80)&lt;=0,'Исходные данные'!$B$88=""),0,IF(AND(YEAR(B113)=YEAR('Исходные данные'!$B$91),MONTH(B113)=MONTH('Исходные данные'!$B$91)),MAX(0,IF('Исходные данные'!$B$88="Последние 12 месяцев",SUMIFS($L$2:$L$194,$B$2:$B$194,"&gt;="&amp;EDATE(B113,-11),$B$2:$B$194,"&lt;="&amp;B113),IF('Исходные данные'!$B$88="Пользовательский NOI",N('Исходные данные'!$B$89),R113))/N('Исходные данные'!$B$80)*(1+N('Исходные данные'!$B$81))),0))</f>
        <v>0</v>
      </c>
      <c r="T113">
        <f>-S113*N('Исходные данные'!$B$73)</f>
        <v>0</v>
      </c>
      <c r="U113">
        <f>IF(S113=0,0,-N('Исходные данные'!$B$87)-IF('Исходные данные'!$B$82="Да",IF('Исходные данные'!$B$84="С выручки",S113,IF('Исходные данные'!$B$84="С прибыли",MAX(0,S113+T113-IF('Исходные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13">
        <f t="shared" si="63"/>
        <v>0</v>
      </c>
      <c r="W113">
        <f>IF(D113=1,Расчёты!AZ113+K113+N113+Q113+V113,0)</f>
        <v>0</v>
      </c>
      <c r="X113" t="str">
        <f t="shared" si="73"/>
        <v/>
      </c>
      <c r="Y113">
        <f>IF(OR(D113=0,'Исходные данные'!$B$9="",'Исходные данные'!$B$90=""),0,W113/(1+'Исходные данные'!$B$90)^((C113-'Исходные данные'!$B$9)/365))</f>
        <v>0</v>
      </c>
      <c r="Z113">
        <f>IF(D113=1,K113+Расчёты!O113+Расчёты!Q113+Расчёты!S113+Расчёты!U113+Расчёты!W113+Расчёты!X113+N113+Q113,0)</f>
        <v>0</v>
      </c>
      <c r="AA113">
        <f>IF(AND(D113=1,X113&gt;=0,X112&lt;0,MIN($X$2:X113)&lt;0),1,0)</f>
        <v>0</v>
      </c>
      <c r="AB113">
        <f>IF(Расчёты!F113=0,0,IF(Расчёты!G113=1,N('Сценарный анализ'!$C$5),IF(Расчёты!G113=2,N('Сценарный анализ'!$C$6),IF(Расчёты!G113=3,N('Сценарный анализ'!$C$7),N('Сценарный анализ'!$C$7)*(1+N('Сценарный анализ'!$C$8))^(Расчёты!G113-3)))))</f>
        <v>0</v>
      </c>
      <c r="AC113">
        <f>IF(OR(Расчёты!F113=0,N('Исходные данные'!$B$5)=0,AB113=0),0,N('Исходные данные'!$B$5)*AB113*IF(AND(B113&lt;='Исходные данные'!$B$30,Расчёты!C113&gt;='Исходные данные'!$B$30),(Расчёты!C113-'Исходные данные'!$B$30+1)/DAY(Расчёты!C113),1))</f>
        <v>0</v>
      </c>
      <c r="AD113">
        <f>IF(AND(Расчёты!F113&gt;0,Расчёты!F113&lt;=N('Исходные данные'!$B$37)),-AC113,0)</f>
        <v>0</v>
      </c>
      <c r="AE113">
        <f>IF(OR(Расчёты!F113=0,Расчёты!F113&lt;=N('Исходные данные'!$B$37)),0,-(AC113+AD113)*N('Сценарный анализ'!$C$9))</f>
        <v>0</v>
      </c>
      <c r="AF113">
        <f t="shared" si="64"/>
        <v>0</v>
      </c>
      <c r="AG113">
        <f>IF('Исходные данные'!$B$51="Да",AF113*N('Исходные данные'!$B$52),0)</f>
        <v>0</v>
      </c>
      <c r="AH113">
        <f t="shared" si="65"/>
        <v>0</v>
      </c>
      <c r="AI113">
        <f>AF113+(Расчёты!Y113-Расчёты!L113)</f>
        <v>0</v>
      </c>
      <c r="AJ113">
        <f t="shared" si="74"/>
        <v>0</v>
      </c>
      <c r="AK113">
        <f>IF('Исходные данные'!$B$51="Да",-MAX(0,AG113+Расчёты!R113+Расчёты!V113-Расчёты!P113-Расчёты!T113-AJ113),0)</f>
        <v>0</v>
      </c>
      <c r="AL113">
        <f>IF('Исходные данные'!$B$51="Да",MAX(0,AJ113+Расчёты!P113+Расчёты!T113-AG113-Расчёты!R113-Расчёты!V113),0)</f>
        <v>0</v>
      </c>
      <c r="AM113">
        <f>IF('Исходные данные'!$B$53="Выручка",MAX(0,AF113+(Расчёты!Q113-Расчёты!R113)+(Расчёты!U113-Расчёты!V113)),IF('Исходные данные'!$B$53="Прибыль до налога",MAX(0,AF113+(Расчёты!Q113-Расчёты!R113)+(Расчёты!U113-Расчёты!V113)+N('Исходные данные'!$B$54)*((Расчёты!O113+Расчёты!P113)+(Расчёты!S113+Расчёты!T113)+Расчёты!W113+Расчёты!X113)+IF('Исходные данные'!$B$55="Да",Расчёты!AG113,0)-N('Исходные данные'!$B$56)/12),IF('Исходные данные'!$B$53="Пользовательская база",MAX(0,N('Исходные данные'!$B$57)/12),0)))</f>
        <v>0</v>
      </c>
      <c r="AN113">
        <f>IF(D113=1,-AM113*N('Исходные данные'!$B$50),0)</f>
        <v>0</v>
      </c>
      <c r="AO113">
        <f t="shared" si="66"/>
        <v>0</v>
      </c>
      <c r="AP113">
        <f>IF(OR(D113&lt;&gt;1,B113="",'Исходные данные'!$B$91="",N('Исходные данные'!$B$80)&lt;=0,'Исходные данные'!$B$88=""),0,IF(AND(YEAR(B113)=YEAR('Исходные данные'!$B$91),MONTH(B113)=MONTH('Исходные данные'!$B$91)),MAX(0,IF('Исходные данные'!$B$88="Последние 12 месяцев",SUMIFS($AI$2:$AI$194,$B$2:$B$194,"&gt;="&amp;EDATE(B113,-11),$B$2:$B$194,"&lt;="&amp;B113),IF('Исходные данные'!$B$88="Пользовательский NOI",N('Исходные данные'!$B$89),AO113))/N('Исходные данные'!$B$80)*(1+N('Исходные данные'!$B$81))),0))</f>
        <v>0</v>
      </c>
      <c r="AQ113">
        <f>-AP113*N('Исходные данные'!$B$73)</f>
        <v>0</v>
      </c>
      <c r="AR113">
        <f>IF(AP113=0,0,-N('Исходные данные'!$B$87)-IF('Исходные данные'!$B$82="Да",IF('Исходные данные'!$B$84="С выручки",AP113,IF('Исходные данные'!$B$84="С прибыли",MAX(0,AP113+AQ113-IF('Исходные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13">
        <f t="shared" si="67"/>
        <v>0</v>
      </c>
      <c r="AT113">
        <f>IF(D113=1,Расчёты!AZ113+AH113+AK113+AN113+AS113,0)</f>
        <v>0</v>
      </c>
      <c r="AU113" t="str">
        <f t="shared" si="75"/>
        <v/>
      </c>
      <c r="AV113">
        <f>IF(OR(D113=0,'Исходные данные'!$B$9="",'Исходные данные'!$B$90=""),0,AT113/(1+'Исходные данные'!$B$90)^((C113-'Исходные данные'!$B$9)/365))</f>
        <v>0</v>
      </c>
      <c r="AW113">
        <f>IF(D113=1,AH113+Расчёты!O113+Расчёты!Q113+Расчёты!S113+Расчёты!U113+Расчёты!W113+Расчёты!X113+AK113+AN113,0)</f>
        <v>0</v>
      </c>
      <c r="AX113">
        <f>IF(AND(D113=1,AU113&gt;=0,AU112&lt;0,MIN($AU$2:AU113)&lt;0),1,0)</f>
        <v>0</v>
      </c>
      <c r="AY113">
        <f>IF(Расчёты!F113=0,0,IF(Расчёты!G113=1,N('Сценарный анализ'!$D$5),IF(Расчёты!G113=2,N('Сценарный анализ'!$D$6),IF(Расчёты!G113=3,N('Сценарный анализ'!$D$7),N('Сценарный анализ'!$D$7)*(1+N('Сценарный анализ'!$D$8))^(Расчёты!G113-3)))))</f>
        <v>0</v>
      </c>
      <c r="AZ113">
        <f>IF(OR(Расчёты!F113=0,N('Исходные данные'!$B$5)=0,AY113=0),0,N('Исходные данные'!$B$5)*AY113*IF(AND(B113&lt;='Исходные данные'!$B$30,Расчёты!C113&gt;='Исходные данные'!$B$30),(Расчёты!C113-'Исходные данные'!$B$30+1)/DAY(Расчёты!C113),1))</f>
        <v>0</v>
      </c>
      <c r="BA113">
        <f>IF(AND(Расчёты!F113&gt;0,Расчёты!F113&lt;=N('Исходные данные'!$B$37)),-AZ113,0)</f>
        <v>0</v>
      </c>
      <c r="BB113">
        <f>IF(OR(Расчёты!F113=0,Расчёты!F113&lt;=N('Исходные данные'!$B$37)),0,-(AZ113+BA113)*N('Сценарный анализ'!$D$9))</f>
        <v>0</v>
      </c>
      <c r="BC113">
        <f t="shared" si="68"/>
        <v>0</v>
      </c>
      <c r="BD113">
        <f>IF('Исходные данные'!$B$51="Да",BC113*N('Исходные данные'!$B$52),0)</f>
        <v>0</v>
      </c>
      <c r="BE113">
        <f t="shared" si="69"/>
        <v>0</v>
      </c>
      <c r="BF113">
        <f>BC113+(Расчёты!Y113-Расчёты!L113)</f>
        <v>0</v>
      </c>
      <c r="BG113">
        <f t="shared" si="76"/>
        <v>0</v>
      </c>
      <c r="BH113">
        <f>IF('Исходные данные'!$B$51="Да",-MAX(0,BD113+Расчёты!R113+Расчёты!V113-Расчёты!P113-Расчёты!T113-BG113),0)</f>
        <v>0</v>
      </c>
      <c r="BI113">
        <f>IF('Исходные данные'!$B$51="Да",MAX(0,BG113+Расчёты!P113+Расчёты!T113-BD113-Расчёты!R113-Расчёты!V113),0)</f>
        <v>0</v>
      </c>
      <c r="BJ113">
        <f>IF('Исходные данные'!$B$53="Выручка",MAX(0,BC113+(Расчёты!Q113-Расчёты!R113)+(Расчёты!U113-Расчёты!V113)),IF('Исходные данные'!$B$53="Прибыль до налога",MAX(0,BC113+(Расчёты!Q113-Расчёты!R113)+(Расчёты!U113-Расчёты!V113)+N('Исходные данные'!$B$54)*((Расчёты!O113+Расчёты!P113)+(Расчёты!S113+Расчёты!T113)+Расчёты!W113+Расчёты!X113)+IF('Исходные данные'!$B$55="Да",Расчёты!AG113,0)-N('Исходные данные'!$B$56)/12),IF('Исходные данные'!$B$53="Пользовательская база",MAX(0,N('Исходные данные'!$B$57)/12),0)))</f>
        <v>0</v>
      </c>
      <c r="BK113">
        <f>IF(D113=1,-BJ113*N('Исходные данные'!$B$50),0)</f>
        <v>0</v>
      </c>
      <c r="BL113">
        <f t="shared" si="70"/>
        <v>0</v>
      </c>
      <c r="BM113">
        <f>IF(OR(D113&lt;&gt;1,B113="",'Исходные данные'!$B$91="",N('Исходные данные'!$B$80)&lt;=0,'Исходные данные'!$B$88=""),0,IF(AND(YEAR(B113)=YEAR('Исходные данные'!$B$91),MONTH(B113)=MONTH('Исходные данные'!$B$91)),MAX(0,IF('Исходные данные'!$B$88="Последние 12 месяцев",SUMIFS($BF$2:$BF$194,$B$2:$B$194,"&gt;="&amp;EDATE(B113,-11),$B$2:$B$194,"&lt;="&amp;B113),IF('Исходные данные'!$B$88="Пользовательский NOI",N('Исходные данные'!$B$89),BL113))/N('Исходные данные'!$B$80)*(1+N('Исходные данные'!$B$81))),0))</f>
        <v>0</v>
      </c>
      <c r="BN113">
        <f>-BM113*N('Исходные данные'!$B$73)</f>
        <v>0</v>
      </c>
      <c r="BO113">
        <f>IF(BM113=0,0,-N('Исходные данные'!$B$87)-IF('Исходные данные'!$B$82="Да",IF('Исходные данные'!$B$84="С выручки",BM113,IF('Исходные данные'!$B$84="С прибыли",MAX(0,BM113+BN113-IF('Исходные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13">
        <f t="shared" si="71"/>
        <v>0</v>
      </c>
      <c r="BQ113">
        <f>IF(D113=1,Расчёты!AZ113+BE113+BH113+BK113+BP113,0)</f>
        <v>0</v>
      </c>
      <c r="BR113" t="str">
        <f t="shared" si="77"/>
        <v/>
      </c>
      <c r="BS113">
        <f>IF(OR(D113=0,'Исходные данные'!$B$9="",'Исходные данные'!$B$90=""),0,BQ113/(1+'Исходные данные'!$B$90)^((C113-'Исходные данные'!$B$9)/365))</f>
        <v>0</v>
      </c>
      <c r="BT113">
        <f>IF(D113=1,BE113+Расчёты!O113+Расчёты!Q113+Расчёты!S113+Расчёты!U113+Расчёты!W113+Расчёты!X113+BH113+BK113,0)</f>
        <v>0</v>
      </c>
      <c r="BU113">
        <f>IF(AND(D113=1,BR113&gt;=0,BR112&lt;0,MIN($BR$2:BR113)&lt;0),1,0)</f>
        <v>0</v>
      </c>
      <c r="BV113">
        <f>Расчёты!AZ113+K113+N113-P113*N('Исходные данные'!$B$50)</f>
        <v>0</v>
      </c>
      <c r="BW113">
        <f t="shared" si="57"/>
        <v>0</v>
      </c>
      <c r="BX113">
        <f>IF(AND(BW113&gt;=0,BW112&lt;0,MIN($BW$2:BW113)&lt;0),1,0)</f>
        <v>0</v>
      </c>
      <c r="BY113">
        <f>Расчёты!AZ113+AH113+AK113-AM113*N('Исходные данные'!$B$50)</f>
        <v>0</v>
      </c>
      <c r="BZ113">
        <f t="shared" si="58"/>
        <v>0</v>
      </c>
      <c r="CA113">
        <f>IF(AND(BZ113&gt;=0,BZ112&lt;0,MIN($BZ$2:BZ113)&lt;0),1,0)</f>
        <v>0</v>
      </c>
      <c r="CB113">
        <f>Расчёты!AZ113+BE113+BH113-BJ113*N('Исходные данные'!$B$50)</f>
        <v>0</v>
      </c>
      <c r="CC113">
        <f t="shared" si="59"/>
        <v>0</v>
      </c>
      <c r="CD113">
        <f>IF(AND(CC113&gt;=0,CC112&lt;0,MIN($CC$2:CC113)&lt;0),1,0)</f>
        <v>0</v>
      </c>
    </row>
    <row r="114" spans="1:82" x14ac:dyDescent="0.2">
      <c r="A114">
        <f>Расчёты!A114</f>
        <v>113</v>
      </c>
      <c r="B114" t="str">
        <f>Расчёты!B114</f>
        <v/>
      </c>
      <c r="C114" t="str">
        <f>Расчёты!D114</f>
        <v/>
      </c>
      <c r="D114">
        <f>Расчёты!E114</f>
        <v>0</v>
      </c>
      <c r="E114">
        <f>IF(Расчёты!F114=0,0,IF(Расчёты!G114=1,N('Сценарный анализ'!$B$5),IF(Расчёты!G114=2,N('Сценарный анализ'!$B$6),IF(Расчёты!G114=3,N('Сценарный анализ'!$B$7),N('Сценарный анализ'!$B$7)*(1+N('Сценарный анализ'!$B$8))^(Расчёты!G114-3)))))</f>
        <v>0</v>
      </c>
      <c r="F114">
        <f>IF(OR(Расчёты!F114=0,N('Исходные данные'!$B$5)=0,E114=0),0,N('Исходные данные'!$B$5)*E114*IF(AND(B114&lt;='Исходные данные'!$B$30,Расчёты!C114&gt;='Исходные данные'!$B$30),(Расчёты!C114-'Исходные данные'!$B$30+1)/DAY(Расчёты!C114),1))</f>
        <v>0</v>
      </c>
      <c r="G114">
        <f>IF(AND(Расчёты!F114&gt;0,Расчёты!F114&lt;=N('Исходные данные'!$B$37)),-F114,0)</f>
        <v>0</v>
      </c>
      <c r="H114">
        <f>IF(OR(Расчёты!F114=0,Расчёты!F114&lt;=N('Исходные данные'!$B$37)),0,-(F114+G114)*N('Сценарный анализ'!$B$9))</f>
        <v>0</v>
      </c>
      <c r="I114">
        <f t="shared" si="60"/>
        <v>0</v>
      </c>
      <c r="J114">
        <f>IF('Исходные данные'!$B$51="Да",I114*N('Исходные данные'!$B$52),0)</f>
        <v>0</v>
      </c>
      <c r="K114">
        <f t="shared" si="61"/>
        <v>0</v>
      </c>
      <c r="L114">
        <f>I114+(Расчёты!Y114-Расчёты!L114)</f>
        <v>0</v>
      </c>
      <c r="M114">
        <f t="shared" si="72"/>
        <v>0</v>
      </c>
      <c r="N114">
        <f>IF('Исходные данные'!$B$51="Да",-MAX(0,J114+Расчёты!R114+Расчёты!V114-Расчёты!P114-Расчёты!T114-M114),0)</f>
        <v>0</v>
      </c>
      <c r="O114">
        <f>IF('Исходные данные'!$B$51="Да",MAX(0,M114+Расчёты!P114+Расчёты!T114-J114-Расчёты!R114-Расчёты!V114),0)</f>
        <v>0</v>
      </c>
      <c r="P114">
        <f>IF('Исходные данные'!$B$53="Выручка",MAX(0,I114+(Расчёты!Q114-Расчёты!R114)+(Расчёты!U114-Расчёты!V114)),IF('Исходные данные'!$B$53="Прибыль до налога",MAX(0,I114+(Расчёты!Q114-Расчёты!R114)+(Расчёты!U114-Расчёты!V114)+N('Исходные данные'!$B$54)*((Расчёты!O114+Расчёты!P114)+(Расчёты!S114+Расчёты!T114)+Расчёты!W114+Расчёты!X114)+IF('Исходные данные'!$B$55="Да",Расчёты!AG114,0)-N('Исходные данные'!$B$56)/12),IF('Исходные данные'!$B$53="Пользовательская база",MAX(0,N('Исходные данные'!$B$57)/12),0)))</f>
        <v>0</v>
      </c>
      <c r="Q114">
        <f>IF(D114=1,-P114*N('Исходные данные'!$B$50),0)</f>
        <v>0</v>
      </c>
      <c r="R114">
        <f t="shared" si="62"/>
        <v>0</v>
      </c>
      <c r="S114">
        <f>IF(OR(D114&lt;&gt;1,B114="",'Исходные данные'!$B$91="",N('Исходные данные'!$B$80)&lt;=0,'Исходные данные'!$B$88=""),0,IF(AND(YEAR(B114)=YEAR('Исходные данные'!$B$91),MONTH(B114)=MONTH('Исходные данные'!$B$91)),MAX(0,IF('Исходные данные'!$B$88="Последние 12 месяцев",SUMIFS($L$2:$L$194,$B$2:$B$194,"&gt;="&amp;EDATE(B114,-11),$B$2:$B$194,"&lt;="&amp;B114),IF('Исходные данные'!$B$88="Пользовательский NOI",N('Исходные данные'!$B$89),R114))/N('Исходные данные'!$B$80)*(1+N('Исходные данные'!$B$81))),0))</f>
        <v>0</v>
      </c>
      <c r="T114">
        <f>-S114*N('Исходные данные'!$B$73)</f>
        <v>0</v>
      </c>
      <c r="U114">
        <f>IF(S114=0,0,-N('Исходные данные'!$B$87)-IF('Исходные данные'!$B$82="Да",IF('Исходные данные'!$B$84="С выручки",S114,IF('Исходные данные'!$B$84="С прибыли",MAX(0,S114+T114-IF('Исходные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14">
        <f t="shared" si="63"/>
        <v>0</v>
      </c>
      <c r="W114">
        <f>IF(D114=1,Расчёты!AZ114+K114+N114+Q114+V114,0)</f>
        <v>0</v>
      </c>
      <c r="X114" t="str">
        <f t="shared" si="73"/>
        <v/>
      </c>
      <c r="Y114">
        <f>IF(OR(D114=0,'Исходные данные'!$B$9="",'Исходные данные'!$B$90=""),0,W114/(1+'Исходные данные'!$B$90)^((C114-'Исходные данные'!$B$9)/365))</f>
        <v>0</v>
      </c>
      <c r="Z114">
        <f>IF(D114=1,K114+Расчёты!O114+Расчёты!Q114+Расчёты!S114+Расчёты!U114+Расчёты!W114+Расчёты!X114+N114+Q114,0)</f>
        <v>0</v>
      </c>
      <c r="AA114">
        <f>IF(AND(D114=1,X114&gt;=0,X113&lt;0,MIN($X$2:X114)&lt;0),1,0)</f>
        <v>0</v>
      </c>
      <c r="AB114">
        <f>IF(Расчёты!F114=0,0,IF(Расчёты!G114=1,N('Сценарный анализ'!$C$5),IF(Расчёты!G114=2,N('Сценарный анализ'!$C$6),IF(Расчёты!G114=3,N('Сценарный анализ'!$C$7),N('Сценарный анализ'!$C$7)*(1+N('Сценарный анализ'!$C$8))^(Расчёты!G114-3)))))</f>
        <v>0</v>
      </c>
      <c r="AC114">
        <f>IF(OR(Расчёты!F114=0,N('Исходные данные'!$B$5)=0,AB114=0),0,N('Исходные данные'!$B$5)*AB114*IF(AND(B114&lt;='Исходные данные'!$B$30,Расчёты!C114&gt;='Исходные данные'!$B$30),(Расчёты!C114-'Исходные данные'!$B$30+1)/DAY(Расчёты!C114),1))</f>
        <v>0</v>
      </c>
      <c r="AD114">
        <f>IF(AND(Расчёты!F114&gt;0,Расчёты!F114&lt;=N('Исходные данные'!$B$37)),-AC114,0)</f>
        <v>0</v>
      </c>
      <c r="AE114">
        <f>IF(OR(Расчёты!F114=0,Расчёты!F114&lt;=N('Исходные данные'!$B$37)),0,-(AC114+AD114)*N('Сценарный анализ'!$C$9))</f>
        <v>0</v>
      </c>
      <c r="AF114">
        <f t="shared" si="64"/>
        <v>0</v>
      </c>
      <c r="AG114">
        <f>IF('Исходные данные'!$B$51="Да",AF114*N('Исходные данные'!$B$52),0)</f>
        <v>0</v>
      </c>
      <c r="AH114">
        <f t="shared" si="65"/>
        <v>0</v>
      </c>
      <c r="AI114">
        <f>AF114+(Расчёты!Y114-Расчёты!L114)</f>
        <v>0</v>
      </c>
      <c r="AJ114">
        <f t="shared" si="74"/>
        <v>0</v>
      </c>
      <c r="AK114">
        <f>IF('Исходные данные'!$B$51="Да",-MAX(0,AG114+Расчёты!R114+Расчёты!V114-Расчёты!P114-Расчёты!T114-AJ114),0)</f>
        <v>0</v>
      </c>
      <c r="AL114">
        <f>IF('Исходные данные'!$B$51="Да",MAX(0,AJ114+Расчёты!P114+Расчёты!T114-AG114-Расчёты!R114-Расчёты!V114),0)</f>
        <v>0</v>
      </c>
      <c r="AM114">
        <f>IF('Исходные данные'!$B$53="Выручка",MAX(0,AF114+(Расчёты!Q114-Расчёты!R114)+(Расчёты!U114-Расчёты!V114)),IF('Исходные данные'!$B$53="Прибыль до налога",MAX(0,AF114+(Расчёты!Q114-Расчёты!R114)+(Расчёты!U114-Расчёты!V114)+N('Исходные данные'!$B$54)*((Расчёты!O114+Расчёты!P114)+(Расчёты!S114+Расчёты!T114)+Расчёты!W114+Расчёты!X114)+IF('Исходные данные'!$B$55="Да",Расчёты!AG114,0)-N('Исходные данные'!$B$56)/12),IF('Исходные данные'!$B$53="Пользовательская база",MAX(0,N('Исходные данные'!$B$57)/12),0)))</f>
        <v>0</v>
      </c>
      <c r="AN114">
        <f>IF(D114=1,-AM114*N('Исходные данные'!$B$50),0)</f>
        <v>0</v>
      </c>
      <c r="AO114">
        <f t="shared" si="66"/>
        <v>0</v>
      </c>
      <c r="AP114">
        <f>IF(OR(D114&lt;&gt;1,B114="",'Исходные данные'!$B$91="",N('Исходные данные'!$B$80)&lt;=0,'Исходные данные'!$B$88=""),0,IF(AND(YEAR(B114)=YEAR('Исходные данные'!$B$91),MONTH(B114)=MONTH('Исходные данные'!$B$91)),MAX(0,IF('Исходные данные'!$B$88="Последние 12 месяцев",SUMIFS($AI$2:$AI$194,$B$2:$B$194,"&gt;="&amp;EDATE(B114,-11),$B$2:$B$194,"&lt;="&amp;B114),IF('Исходные данные'!$B$88="Пользовательский NOI",N('Исходные данные'!$B$89),AO114))/N('Исходные данные'!$B$80)*(1+N('Исходные данные'!$B$81))),0))</f>
        <v>0</v>
      </c>
      <c r="AQ114">
        <f>-AP114*N('Исходные данные'!$B$73)</f>
        <v>0</v>
      </c>
      <c r="AR114">
        <f>IF(AP114=0,0,-N('Исходные данные'!$B$87)-IF('Исходные данные'!$B$82="Да",IF('Исходные данные'!$B$84="С выручки",AP114,IF('Исходные данные'!$B$84="С прибыли",MAX(0,AP114+AQ114-IF('Исходные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14">
        <f t="shared" si="67"/>
        <v>0</v>
      </c>
      <c r="AT114">
        <f>IF(D114=1,Расчёты!AZ114+AH114+AK114+AN114+AS114,0)</f>
        <v>0</v>
      </c>
      <c r="AU114" t="str">
        <f t="shared" si="75"/>
        <v/>
      </c>
      <c r="AV114">
        <f>IF(OR(D114=0,'Исходные данные'!$B$9="",'Исходные данные'!$B$90=""),0,AT114/(1+'Исходные данные'!$B$90)^((C114-'Исходные данные'!$B$9)/365))</f>
        <v>0</v>
      </c>
      <c r="AW114">
        <f>IF(D114=1,AH114+Расчёты!O114+Расчёты!Q114+Расчёты!S114+Расчёты!U114+Расчёты!W114+Расчёты!X114+AK114+AN114,0)</f>
        <v>0</v>
      </c>
      <c r="AX114">
        <f>IF(AND(D114=1,AU114&gt;=0,AU113&lt;0,MIN($AU$2:AU114)&lt;0),1,0)</f>
        <v>0</v>
      </c>
      <c r="AY114">
        <f>IF(Расчёты!F114=0,0,IF(Расчёты!G114=1,N('Сценарный анализ'!$D$5),IF(Расчёты!G114=2,N('Сценарный анализ'!$D$6),IF(Расчёты!G114=3,N('Сценарный анализ'!$D$7),N('Сценарный анализ'!$D$7)*(1+N('Сценарный анализ'!$D$8))^(Расчёты!G114-3)))))</f>
        <v>0</v>
      </c>
      <c r="AZ114">
        <f>IF(OR(Расчёты!F114=0,N('Исходные данные'!$B$5)=0,AY114=0),0,N('Исходные данные'!$B$5)*AY114*IF(AND(B114&lt;='Исходные данные'!$B$30,Расчёты!C114&gt;='Исходные данные'!$B$30),(Расчёты!C114-'Исходные данные'!$B$30+1)/DAY(Расчёты!C114),1))</f>
        <v>0</v>
      </c>
      <c r="BA114">
        <f>IF(AND(Расчёты!F114&gt;0,Расчёты!F114&lt;=N('Исходные данные'!$B$37)),-AZ114,0)</f>
        <v>0</v>
      </c>
      <c r="BB114">
        <f>IF(OR(Расчёты!F114=0,Расчёты!F114&lt;=N('Исходные данные'!$B$37)),0,-(AZ114+BA114)*N('Сценарный анализ'!$D$9))</f>
        <v>0</v>
      </c>
      <c r="BC114">
        <f t="shared" si="68"/>
        <v>0</v>
      </c>
      <c r="BD114">
        <f>IF('Исходные данные'!$B$51="Да",BC114*N('Исходные данные'!$B$52),0)</f>
        <v>0</v>
      </c>
      <c r="BE114">
        <f t="shared" si="69"/>
        <v>0</v>
      </c>
      <c r="BF114">
        <f>BC114+(Расчёты!Y114-Расчёты!L114)</f>
        <v>0</v>
      </c>
      <c r="BG114">
        <f t="shared" si="76"/>
        <v>0</v>
      </c>
      <c r="BH114">
        <f>IF('Исходные данные'!$B$51="Да",-MAX(0,BD114+Расчёты!R114+Расчёты!V114-Расчёты!P114-Расчёты!T114-BG114),0)</f>
        <v>0</v>
      </c>
      <c r="BI114">
        <f>IF('Исходные данные'!$B$51="Да",MAX(0,BG114+Расчёты!P114+Расчёты!T114-BD114-Расчёты!R114-Расчёты!V114),0)</f>
        <v>0</v>
      </c>
      <c r="BJ114">
        <f>IF('Исходные данные'!$B$53="Выручка",MAX(0,BC114+(Расчёты!Q114-Расчёты!R114)+(Расчёты!U114-Расчёты!V114)),IF('Исходные данные'!$B$53="Прибыль до налога",MAX(0,BC114+(Расчёты!Q114-Расчёты!R114)+(Расчёты!U114-Расчёты!V114)+N('Исходные данные'!$B$54)*((Расчёты!O114+Расчёты!P114)+(Расчёты!S114+Расчёты!T114)+Расчёты!W114+Расчёты!X114)+IF('Исходные данные'!$B$55="Да",Расчёты!AG114,0)-N('Исходные данные'!$B$56)/12),IF('Исходные данные'!$B$53="Пользовательская база",MAX(0,N('Исходные данные'!$B$57)/12),0)))</f>
        <v>0</v>
      </c>
      <c r="BK114">
        <f>IF(D114=1,-BJ114*N('Исходные данные'!$B$50),0)</f>
        <v>0</v>
      </c>
      <c r="BL114">
        <f t="shared" si="70"/>
        <v>0</v>
      </c>
      <c r="BM114">
        <f>IF(OR(D114&lt;&gt;1,B114="",'Исходные данные'!$B$91="",N('Исходные данные'!$B$80)&lt;=0,'Исходные данные'!$B$88=""),0,IF(AND(YEAR(B114)=YEAR('Исходные данные'!$B$91),MONTH(B114)=MONTH('Исходные данные'!$B$91)),MAX(0,IF('Исходные данные'!$B$88="Последние 12 месяцев",SUMIFS($BF$2:$BF$194,$B$2:$B$194,"&gt;="&amp;EDATE(B114,-11),$B$2:$B$194,"&lt;="&amp;B114),IF('Исходные данные'!$B$88="Пользовательский NOI",N('Исходные данные'!$B$89),BL114))/N('Исходные данные'!$B$80)*(1+N('Исходные данные'!$B$81))),0))</f>
        <v>0</v>
      </c>
      <c r="BN114">
        <f>-BM114*N('Исходные данные'!$B$73)</f>
        <v>0</v>
      </c>
      <c r="BO114">
        <f>IF(BM114=0,0,-N('Исходные данные'!$B$87)-IF('Исходные данные'!$B$82="Да",IF('Исходные данные'!$B$84="С выручки",BM114,IF('Исходные данные'!$B$84="С прибыли",MAX(0,BM114+BN114-IF('Исходные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14">
        <f t="shared" si="71"/>
        <v>0</v>
      </c>
      <c r="BQ114">
        <f>IF(D114=1,Расчёты!AZ114+BE114+BH114+BK114+BP114,0)</f>
        <v>0</v>
      </c>
      <c r="BR114" t="str">
        <f t="shared" si="77"/>
        <v/>
      </c>
      <c r="BS114">
        <f>IF(OR(D114=0,'Исходные данные'!$B$9="",'Исходные данные'!$B$90=""),0,BQ114/(1+'Исходные данные'!$B$90)^((C114-'Исходные данные'!$B$9)/365))</f>
        <v>0</v>
      </c>
      <c r="BT114">
        <f>IF(D114=1,BE114+Расчёты!O114+Расчёты!Q114+Расчёты!S114+Расчёты!U114+Расчёты!W114+Расчёты!X114+BH114+BK114,0)</f>
        <v>0</v>
      </c>
      <c r="BU114">
        <f>IF(AND(D114=1,BR114&gt;=0,BR113&lt;0,MIN($BR$2:BR114)&lt;0),1,0)</f>
        <v>0</v>
      </c>
      <c r="BV114">
        <f>Расчёты!AZ114+K114+N114-P114*N('Исходные данные'!$B$50)</f>
        <v>0</v>
      </c>
      <c r="BW114">
        <f t="shared" si="57"/>
        <v>0</v>
      </c>
      <c r="BX114">
        <f>IF(AND(BW114&gt;=0,BW113&lt;0,MIN($BW$2:BW114)&lt;0),1,0)</f>
        <v>0</v>
      </c>
      <c r="BY114">
        <f>Расчёты!AZ114+AH114+AK114-AM114*N('Исходные данные'!$B$50)</f>
        <v>0</v>
      </c>
      <c r="BZ114">
        <f t="shared" si="58"/>
        <v>0</v>
      </c>
      <c r="CA114">
        <f>IF(AND(BZ114&gt;=0,BZ113&lt;0,MIN($BZ$2:BZ114)&lt;0),1,0)</f>
        <v>0</v>
      </c>
      <c r="CB114">
        <f>Расчёты!AZ114+BE114+BH114-BJ114*N('Исходные данные'!$B$50)</f>
        <v>0</v>
      </c>
      <c r="CC114">
        <f t="shared" si="59"/>
        <v>0</v>
      </c>
      <c r="CD114">
        <f>IF(AND(CC114&gt;=0,CC113&lt;0,MIN($CC$2:CC114)&lt;0),1,0)</f>
        <v>0</v>
      </c>
    </row>
    <row r="115" spans="1:82" x14ac:dyDescent="0.2">
      <c r="A115">
        <f>Расчёты!A115</f>
        <v>114</v>
      </c>
      <c r="B115" t="str">
        <f>Расчёты!B115</f>
        <v/>
      </c>
      <c r="C115" t="str">
        <f>Расчёты!D115</f>
        <v/>
      </c>
      <c r="D115">
        <f>Расчёты!E115</f>
        <v>0</v>
      </c>
      <c r="E115">
        <f>IF(Расчёты!F115=0,0,IF(Расчёты!G115=1,N('Сценарный анализ'!$B$5),IF(Расчёты!G115=2,N('Сценарный анализ'!$B$6),IF(Расчёты!G115=3,N('Сценарный анализ'!$B$7),N('Сценарный анализ'!$B$7)*(1+N('Сценарный анализ'!$B$8))^(Расчёты!G115-3)))))</f>
        <v>0</v>
      </c>
      <c r="F115">
        <f>IF(OR(Расчёты!F115=0,N('Исходные данные'!$B$5)=0,E115=0),0,N('Исходные данные'!$B$5)*E115*IF(AND(B115&lt;='Исходные данные'!$B$30,Расчёты!C115&gt;='Исходные данные'!$B$30),(Расчёты!C115-'Исходные данные'!$B$30+1)/DAY(Расчёты!C115),1))</f>
        <v>0</v>
      </c>
      <c r="G115">
        <f>IF(AND(Расчёты!F115&gt;0,Расчёты!F115&lt;=N('Исходные данные'!$B$37)),-F115,0)</f>
        <v>0</v>
      </c>
      <c r="H115">
        <f>IF(OR(Расчёты!F115=0,Расчёты!F115&lt;=N('Исходные данные'!$B$37)),0,-(F115+G115)*N('Сценарный анализ'!$B$9))</f>
        <v>0</v>
      </c>
      <c r="I115">
        <f t="shared" si="60"/>
        <v>0</v>
      </c>
      <c r="J115">
        <f>IF('Исходные данные'!$B$51="Да",I115*N('Исходные данные'!$B$52),0)</f>
        <v>0</v>
      </c>
      <c r="K115">
        <f t="shared" si="61"/>
        <v>0</v>
      </c>
      <c r="L115">
        <f>I115+(Расчёты!Y115-Расчёты!L115)</f>
        <v>0</v>
      </c>
      <c r="M115">
        <f t="shared" si="72"/>
        <v>0</v>
      </c>
      <c r="N115">
        <f>IF('Исходные данные'!$B$51="Да",-MAX(0,J115+Расчёты!R115+Расчёты!V115-Расчёты!P115-Расчёты!T115-M115),0)</f>
        <v>0</v>
      </c>
      <c r="O115">
        <f>IF('Исходные данные'!$B$51="Да",MAX(0,M115+Расчёты!P115+Расчёты!T115-J115-Расчёты!R115-Расчёты!V115),0)</f>
        <v>0</v>
      </c>
      <c r="P115">
        <f>IF('Исходные данные'!$B$53="Выручка",MAX(0,I115+(Расчёты!Q115-Расчёты!R115)+(Расчёты!U115-Расчёты!V115)),IF('Исходные данные'!$B$53="Прибыль до налога",MAX(0,I115+(Расчёты!Q115-Расчёты!R115)+(Расчёты!U115-Расчёты!V115)+N('Исходные данные'!$B$54)*((Расчёты!O115+Расчёты!P115)+(Расчёты!S115+Расчёты!T115)+Расчёты!W115+Расчёты!X115)+IF('Исходные данные'!$B$55="Да",Расчёты!AG115,0)-N('Исходные данные'!$B$56)/12),IF('Исходные данные'!$B$53="Пользовательская база",MAX(0,N('Исходные данные'!$B$57)/12),0)))</f>
        <v>0</v>
      </c>
      <c r="Q115">
        <f>IF(D115=1,-P115*N('Исходные данные'!$B$50),0)</f>
        <v>0</v>
      </c>
      <c r="R115">
        <f t="shared" si="62"/>
        <v>0</v>
      </c>
      <c r="S115">
        <f>IF(OR(D115&lt;&gt;1,B115="",'Исходные данные'!$B$91="",N('Исходные данные'!$B$80)&lt;=0,'Исходные данные'!$B$88=""),0,IF(AND(YEAR(B115)=YEAR('Исходные данные'!$B$91),MONTH(B115)=MONTH('Исходные данные'!$B$91)),MAX(0,IF('Исходные данные'!$B$88="Последние 12 месяцев",SUMIFS($L$2:$L$194,$B$2:$B$194,"&gt;="&amp;EDATE(B115,-11),$B$2:$B$194,"&lt;="&amp;B115),IF('Исходные данные'!$B$88="Пользовательский NOI",N('Исходные данные'!$B$89),R115))/N('Исходные данные'!$B$80)*(1+N('Исходные данные'!$B$81))),0))</f>
        <v>0</v>
      </c>
      <c r="T115">
        <f>-S115*N('Исходные данные'!$B$73)</f>
        <v>0</v>
      </c>
      <c r="U115">
        <f>IF(S115=0,0,-N('Исходные данные'!$B$87)-IF('Исходные данные'!$B$82="Да",IF('Исходные данные'!$B$84="С выручки",S115,IF('Исходные данные'!$B$84="С прибыли",MAX(0,S115+T115-IF('Исходные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15">
        <f t="shared" si="63"/>
        <v>0</v>
      </c>
      <c r="W115">
        <f>IF(D115=1,Расчёты!AZ115+K115+N115+Q115+V115,0)</f>
        <v>0</v>
      </c>
      <c r="X115" t="str">
        <f t="shared" si="73"/>
        <v/>
      </c>
      <c r="Y115">
        <f>IF(OR(D115=0,'Исходные данные'!$B$9="",'Исходные данные'!$B$90=""),0,W115/(1+'Исходные данные'!$B$90)^((C115-'Исходные данные'!$B$9)/365))</f>
        <v>0</v>
      </c>
      <c r="Z115">
        <f>IF(D115=1,K115+Расчёты!O115+Расчёты!Q115+Расчёты!S115+Расчёты!U115+Расчёты!W115+Расчёты!X115+N115+Q115,0)</f>
        <v>0</v>
      </c>
      <c r="AA115">
        <f>IF(AND(D115=1,X115&gt;=0,X114&lt;0,MIN($X$2:X115)&lt;0),1,0)</f>
        <v>0</v>
      </c>
      <c r="AB115">
        <f>IF(Расчёты!F115=0,0,IF(Расчёты!G115=1,N('Сценарный анализ'!$C$5),IF(Расчёты!G115=2,N('Сценарный анализ'!$C$6),IF(Расчёты!G115=3,N('Сценарный анализ'!$C$7),N('Сценарный анализ'!$C$7)*(1+N('Сценарный анализ'!$C$8))^(Расчёты!G115-3)))))</f>
        <v>0</v>
      </c>
      <c r="AC115">
        <f>IF(OR(Расчёты!F115=0,N('Исходные данные'!$B$5)=0,AB115=0),0,N('Исходные данные'!$B$5)*AB115*IF(AND(B115&lt;='Исходные данные'!$B$30,Расчёты!C115&gt;='Исходные данные'!$B$30),(Расчёты!C115-'Исходные данные'!$B$30+1)/DAY(Расчёты!C115),1))</f>
        <v>0</v>
      </c>
      <c r="AD115">
        <f>IF(AND(Расчёты!F115&gt;0,Расчёты!F115&lt;=N('Исходные данные'!$B$37)),-AC115,0)</f>
        <v>0</v>
      </c>
      <c r="AE115">
        <f>IF(OR(Расчёты!F115=0,Расчёты!F115&lt;=N('Исходные данные'!$B$37)),0,-(AC115+AD115)*N('Сценарный анализ'!$C$9))</f>
        <v>0</v>
      </c>
      <c r="AF115">
        <f t="shared" si="64"/>
        <v>0</v>
      </c>
      <c r="AG115">
        <f>IF('Исходные данные'!$B$51="Да",AF115*N('Исходные данные'!$B$52),0)</f>
        <v>0</v>
      </c>
      <c r="AH115">
        <f t="shared" si="65"/>
        <v>0</v>
      </c>
      <c r="AI115">
        <f>AF115+(Расчёты!Y115-Расчёты!L115)</f>
        <v>0</v>
      </c>
      <c r="AJ115">
        <f t="shared" si="74"/>
        <v>0</v>
      </c>
      <c r="AK115">
        <f>IF('Исходные данные'!$B$51="Да",-MAX(0,AG115+Расчёты!R115+Расчёты!V115-Расчёты!P115-Расчёты!T115-AJ115),0)</f>
        <v>0</v>
      </c>
      <c r="AL115">
        <f>IF('Исходные данные'!$B$51="Да",MAX(0,AJ115+Расчёты!P115+Расчёты!T115-AG115-Расчёты!R115-Расчёты!V115),0)</f>
        <v>0</v>
      </c>
      <c r="AM115">
        <f>IF('Исходные данные'!$B$53="Выручка",MAX(0,AF115+(Расчёты!Q115-Расчёты!R115)+(Расчёты!U115-Расчёты!V115)),IF('Исходные данные'!$B$53="Прибыль до налога",MAX(0,AF115+(Расчёты!Q115-Расчёты!R115)+(Расчёты!U115-Расчёты!V115)+N('Исходные данные'!$B$54)*((Расчёты!O115+Расчёты!P115)+(Расчёты!S115+Расчёты!T115)+Расчёты!W115+Расчёты!X115)+IF('Исходные данные'!$B$55="Да",Расчёты!AG115,0)-N('Исходные данные'!$B$56)/12),IF('Исходные данные'!$B$53="Пользовательская база",MAX(0,N('Исходные данные'!$B$57)/12),0)))</f>
        <v>0</v>
      </c>
      <c r="AN115">
        <f>IF(D115=1,-AM115*N('Исходные данные'!$B$50),0)</f>
        <v>0</v>
      </c>
      <c r="AO115">
        <f t="shared" si="66"/>
        <v>0</v>
      </c>
      <c r="AP115">
        <f>IF(OR(D115&lt;&gt;1,B115="",'Исходные данные'!$B$91="",N('Исходные данные'!$B$80)&lt;=0,'Исходные данные'!$B$88=""),0,IF(AND(YEAR(B115)=YEAR('Исходные данные'!$B$91),MONTH(B115)=MONTH('Исходные данные'!$B$91)),MAX(0,IF('Исходные данные'!$B$88="Последние 12 месяцев",SUMIFS($AI$2:$AI$194,$B$2:$B$194,"&gt;="&amp;EDATE(B115,-11),$B$2:$B$194,"&lt;="&amp;B115),IF('Исходные данные'!$B$88="Пользовательский NOI",N('Исходные данные'!$B$89),AO115))/N('Исходные данные'!$B$80)*(1+N('Исходные данные'!$B$81))),0))</f>
        <v>0</v>
      </c>
      <c r="AQ115">
        <f>-AP115*N('Исходные данные'!$B$73)</f>
        <v>0</v>
      </c>
      <c r="AR115">
        <f>IF(AP115=0,0,-N('Исходные данные'!$B$87)-IF('Исходные данные'!$B$82="Да",IF('Исходные данные'!$B$84="С выручки",AP115,IF('Исходные данные'!$B$84="С прибыли",MAX(0,AP115+AQ115-IF('Исходные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15">
        <f t="shared" si="67"/>
        <v>0</v>
      </c>
      <c r="AT115">
        <f>IF(D115=1,Расчёты!AZ115+AH115+AK115+AN115+AS115,0)</f>
        <v>0</v>
      </c>
      <c r="AU115" t="str">
        <f t="shared" si="75"/>
        <v/>
      </c>
      <c r="AV115">
        <f>IF(OR(D115=0,'Исходные данные'!$B$9="",'Исходные данные'!$B$90=""),0,AT115/(1+'Исходные данные'!$B$90)^((C115-'Исходные данные'!$B$9)/365))</f>
        <v>0</v>
      </c>
      <c r="AW115">
        <f>IF(D115=1,AH115+Расчёты!O115+Расчёты!Q115+Расчёты!S115+Расчёты!U115+Расчёты!W115+Расчёты!X115+AK115+AN115,0)</f>
        <v>0</v>
      </c>
      <c r="AX115">
        <f>IF(AND(D115=1,AU115&gt;=0,AU114&lt;0,MIN($AU$2:AU115)&lt;0),1,0)</f>
        <v>0</v>
      </c>
      <c r="AY115">
        <f>IF(Расчёты!F115=0,0,IF(Расчёты!G115=1,N('Сценарный анализ'!$D$5),IF(Расчёты!G115=2,N('Сценарный анализ'!$D$6),IF(Расчёты!G115=3,N('Сценарный анализ'!$D$7),N('Сценарный анализ'!$D$7)*(1+N('Сценарный анализ'!$D$8))^(Расчёты!G115-3)))))</f>
        <v>0</v>
      </c>
      <c r="AZ115">
        <f>IF(OR(Расчёты!F115=0,N('Исходные данные'!$B$5)=0,AY115=0),0,N('Исходные данные'!$B$5)*AY115*IF(AND(B115&lt;='Исходные данные'!$B$30,Расчёты!C115&gt;='Исходные данные'!$B$30),(Расчёты!C115-'Исходные данные'!$B$30+1)/DAY(Расчёты!C115),1))</f>
        <v>0</v>
      </c>
      <c r="BA115">
        <f>IF(AND(Расчёты!F115&gt;0,Расчёты!F115&lt;=N('Исходные данные'!$B$37)),-AZ115,0)</f>
        <v>0</v>
      </c>
      <c r="BB115">
        <f>IF(OR(Расчёты!F115=0,Расчёты!F115&lt;=N('Исходные данные'!$B$37)),0,-(AZ115+BA115)*N('Сценарный анализ'!$D$9))</f>
        <v>0</v>
      </c>
      <c r="BC115">
        <f t="shared" si="68"/>
        <v>0</v>
      </c>
      <c r="BD115">
        <f>IF('Исходные данные'!$B$51="Да",BC115*N('Исходные данные'!$B$52),0)</f>
        <v>0</v>
      </c>
      <c r="BE115">
        <f t="shared" si="69"/>
        <v>0</v>
      </c>
      <c r="BF115">
        <f>BC115+(Расчёты!Y115-Расчёты!L115)</f>
        <v>0</v>
      </c>
      <c r="BG115">
        <f t="shared" si="76"/>
        <v>0</v>
      </c>
      <c r="BH115">
        <f>IF('Исходные данные'!$B$51="Да",-MAX(0,BD115+Расчёты!R115+Расчёты!V115-Расчёты!P115-Расчёты!T115-BG115),0)</f>
        <v>0</v>
      </c>
      <c r="BI115">
        <f>IF('Исходные данные'!$B$51="Да",MAX(0,BG115+Расчёты!P115+Расчёты!T115-BD115-Расчёты!R115-Расчёты!V115),0)</f>
        <v>0</v>
      </c>
      <c r="BJ115">
        <f>IF('Исходные данные'!$B$53="Выручка",MAX(0,BC115+(Расчёты!Q115-Расчёты!R115)+(Расчёты!U115-Расчёты!V115)),IF('Исходные данные'!$B$53="Прибыль до налога",MAX(0,BC115+(Расчёты!Q115-Расчёты!R115)+(Расчёты!U115-Расчёты!V115)+N('Исходные данные'!$B$54)*((Расчёты!O115+Расчёты!P115)+(Расчёты!S115+Расчёты!T115)+Расчёты!W115+Расчёты!X115)+IF('Исходные данные'!$B$55="Да",Расчёты!AG115,0)-N('Исходные данные'!$B$56)/12),IF('Исходные данные'!$B$53="Пользовательская база",MAX(0,N('Исходные данные'!$B$57)/12),0)))</f>
        <v>0</v>
      </c>
      <c r="BK115">
        <f>IF(D115=1,-BJ115*N('Исходные данные'!$B$50),0)</f>
        <v>0</v>
      </c>
      <c r="BL115">
        <f t="shared" si="70"/>
        <v>0</v>
      </c>
      <c r="BM115">
        <f>IF(OR(D115&lt;&gt;1,B115="",'Исходные данные'!$B$91="",N('Исходные данные'!$B$80)&lt;=0,'Исходные данные'!$B$88=""),0,IF(AND(YEAR(B115)=YEAR('Исходные данные'!$B$91),MONTH(B115)=MONTH('Исходные данные'!$B$91)),MAX(0,IF('Исходные данные'!$B$88="Последние 12 месяцев",SUMIFS($BF$2:$BF$194,$B$2:$B$194,"&gt;="&amp;EDATE(B115,-11),$B$2:$B$194,"&lt;="&amp;B115),IF('Исходные данные'!$B$88="Пользовательский NOI",N('Исходные данные'!$B$89),BL115))/N('Исходные данные'!$B$80)*(1+N('Исходные данные'!$B$81))),0))</f>
        <v>0</v>
      </c>
      <c r="BN115">
        <f>-BM115*N('Исходные данные'!$B$73)</f>
        <v>0</v>
      </c>
      <c r="BO115">
        <f>IF(BM115=0,0,-N('Исходные данные'!$B$87)-IF('Исходные данные'!$B$82="Да",IF('Исходные данные'!$B$84="С выручки",BM115,IF('Исходные данные'!$B$84="С прибыли",MAX(0,BM115+BN115-IF('Исходные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15">
        <f t="shared" si="71"/>
        <v>0</v>
      </c>
      <c r="BQ115">
        <f>IF(D115=1,Расчёты!AZ115+BE115+BH115+BK115+BP115,0)</f>
        <v>0</v>
      </c>
      <c r="BR115" t="str">
        <f t="shared" si="77"/>
        <v/>
      </c>
      <c r="BS115">
        <f>IF(OR(D115=0,'Исходные данные'!$B$9="",'Исходные данные'!$B$90=""),0,BQ115/(1+'Исходные данные'!$B$90)^((C115-'Исходные данные'!$B$9)/365))</f>
        <v>0</v>
      </c>
      <c r="BT115">
        <f>IF(D115=1,BE115+Расчёты!O115+Расчёты!Q115+Расчёты!S115+Расчёты!U115+Расчёты!W115+Расчёты!X115+BH115+BK115,0)</f>
        <v>0</v>
      </c>
      <c r="BU115">
        <f>IF(AND(D115=1,BR115&gt;=0,BR114&lt;0,MIN($BR$2:BR115)&lt;0),1,0)</f>
        <v>0</v>
      </c>
      <c r="BV115">
        <f>Расчёты!AZ115+K115+N115-P115*N('Исходные данные'!$B$50)</f>
        <v>0</v>
      </c>
      <c r="BW115">
        <f t="shared" si="57"/>
        <v>0</v>
      </c>
      <c r="BX115">
        <f>IF(AND(BW115&gt;=0,BW114&lt;0,MIN($BW$2:BW115)&lt;0),1,0)</f>
        <v>0</v>
      </c>
      <c r="BY115">
        <f>Расчёты!AZ115+AH115+AK115-AM115*N('Исходные данные'!$B$50)</f>
        <v>0</v>
      </c>
      <c r="BZ115">
        <f t="shared" si="58"/>
        <v>0</v>
      </c>
      <c r="CA115">
        <f>IF(AND(BZ115&gt;=0,BZ114&lt;0,MIN($BZ$2:BZ115)&lt;0),1,0)</f>
        <v>0</v>
      </c>
      <c r="CB115">
        <f>Расчёты!AZ115+BE115+BH115-BJ115*N('Исходные данные'!$B$50)</f>
        <v>0</v>
      </c>
      <c r="CC115">
        <f t="shared" si="59"/>
        <v>0</v>
      </c>
      <c r="CD115">
        <f>IF(AND(CC115&gt;=0,CC114&lt;0,MIN($CC$2:CC115)&lt;0),1,0)</f>
        <v>0</v>
      </c>
    </row>
    <row r="116" spans="1:82" x14ac:dyDescent="0.2">
      <c r="A116">
        <f>Расчёты!A116</f>
        <v>115</v>
      </c>
      <c r="B116" t="str">
        <f>Расчёты!B116</f>
        <v/>
      </c>
      <c r="C116" t="str">
        <f>Расчёты!D116</f>
        <v/>
      </c>
      <c r="D116">
        <f>Расчёты!E116</f>
        <v>0</v>
      </c>
      <c r="E116">
        <f>IF(Расчёты!F116=0,0,IF(Расчёты!G116=1,N('Сценарный анализ'!$B$5),IF(Расчёты!G116=2,N('Сценарный анализ'!$B$6),IF(Расчёты!G116=3,N('Сценарный анализ'!$B$7),N('Сценарный анализ'!$B$7)*(1+N('Сценарный анализ'!$B$8))^(Расчёты!G116-3)))))</f>
        <v>0</v>
      </c>
      <c r="F116">
        <f>IF(OR(Расчёты!F116=0,N('Исходные данные'!$B$5)=0,E116=0),0,N('Исходные данные'!$B$5)*E116*IF(AND(B116&lt;='Исходные данные'!$B$30,Расчёты!C116&gt;='Исходные данные'!$B$30),(Расчёты!C116-'Исходные данные'!$B$30+1)/DAY(Расчёты!C116),1))</f>
        <v>0</v>
      </c>
      <c r="G116">
        <f>IF(AND(Расчёты!F116&gt;0,Расчёты!F116&lt;=N('Исходные данные'!$B$37)),-F116,0)</f>
        <v>0</v>
      </c>
      <c r="H116">
        <f>IF(OR(Расчёты!F116=0,Расчёты!F116&lt;=N('Исходные данные'!$B$37)),0,-(F116+G116)*N('Сценарный анализ'!$B$9))</f>
        <v>0</v>
      </c>
      <c r="I116">
        <f t="shared" si="60"/>
        <v>0</v>
      </c>
      <c r="J116">
        <f>IF('Исходные данные'!$B$51="Да",I116*N('Исходные данные'!$B$52),0)</f>
        <v>0</v>
      </c>
      <c r="K116">
        <f t="shared" si="61"/>
        <v>0</v>
      </c>
      <c r="L116">
        <f>I116+(Расчёты!Y116-Расчёты!L116)</f>
        <v>0</v>
      </c>
      <c r="M116">
        <f t="shared" si="72"/>
        <v>0</v>
      </c>
      <c r="N116">
        <f>IF('Исходные данные'!$B$51="Да",-MAX(0,J116+Расчёты!R116+Расчёты!V116-Расчёты!P116-Расчёты!T116-M116),0)</f>
        <v>0</v>
      </c>
      <c r="O116">
        <f>IF('Исходные данные'!$B$51="Да",MAX(0,M116+Расчёты!P116+Расчёты!T116-J116-Расчёты!R116-Расчёты!V116),0)</f>
        <v>0</v>
      </c>
      <c r="P116">
        <f>IF('Исходные данные'!$B$53="Выручка",MAX(0,I116+(Расчёты!Q116-Расчёты!R116)+(Расчёты!U116-Расчёты!V116)),IF('Исходные данные'!$B$53="Прибыль до налога",MAX(0,I116+(Расчёты!Q116-Расчёты!R116)+(Расчёты!U116-Расчёты!V116)+N('Исходные данные'!$B$54)*((Расчёты!O116+Расчёты!P116)+(Расчёты!S116+Расчёты!T116)+Расчёты!W116+Расчёты!X116)+IF('Исходные данные'!$B$55="Да",Расчёты!AG116,0)-N('Исходные данные'!$B$56)/12),IF('Исходные данные'!$B$53="Пользовательская база",MAX(0,N('Исходные данные'!$B$57)/12),0)))</f>
        <v>0</v>
      </c>
      <c r="Q116">
        <f>IF(D116=1,-P116*N('Исходные данные'!$B$50),0)</f>
        <v>0</v>
      </c>
      <c r="R116">
        <f t="shared" si="62"/>
        <v>0</v>
      </c>
      <c r="S116">
        <f>IF(OR(D116&lt;&gt;1,B116="",'Исходные данные'!$B$91="",N('Исходные данные'!$B$80)&lt;=0,'Исходные данные'!$B$88=""),0,IF(AND(YEAR(B116)=YEAR('Исходные данные'!$B$91),MONTH(B116)=MONTH('Исходные данные'!$B$91)),MAX(0,IF('Исходные данные'!$B$88="Последние 12 месяцев",SUMIFS($L$2:$L$194,$B$2:$B$194,"&gt;="&amp;EDATE(B116,-11),$B$2:$B$194,"&lt;="&amp;B116),IF('Исходные данные'!$B$88="Пользовательский NOI",N('Исходные данные'!$B$89),R116))/N('Исходные данные'!$B$80)*(1+N('Исходные данные'!$B$81))),0))</f>
        <v>0</v>
      </c>
      <c r="T116">
        <f>-S116*N('Исходные данные'!$B$73)</f>
        <v>0</v>
      </c>
      <c r="U116">
        <f>IF(S116=0,0,-N('Исходные данные'!$B$87)-IF('Исходные данные'!$B$82="Да",IF('Исходные данные'!$B$84="С выручки",S116,IF('Исходные данные'!$B$84="С прибыли",MAX(0,S116+T116-IF('Исходные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16">
        <f t="shared" si="63"/>
        <v>0</v>
      </c>
      <c r="W116">
        <f>IF(D116=1,Расчёты!AZ116+K116+N116+Q116+V116,0)</f>
        <v>0</v>
      </c>
      <c r="X116" t="str">
        <f t="shared" si="73"/>
        <v/>
      </c>
      <c r="Y116">
        <f>IF(OR(D116=0,'Исходные данные'!$B$9="",'Исходные данные'!$B$90=""),0,W116/(1+'Исходные данные'!$B$90)^((C116-'Исходные данные'!$B$9)/365))</f>
        <v>0</v>
      </c>
      <c r="Z116">
        <f>IF(D116=1,K116+Расчёты!O116+Расчёты!Q116+Расчёты!S116+Расчёты!U116+Расчёты!W116+Расчёты!X116+N116+Q116,0)</f>
        <v>0</v>
      </c>
      <c r="AA116">
        <f>IF(AND(D116=1,X116&gt;=0,X115&lt;0,MIN($X$2:X116)&lt;0),1,0)</f>
        <v>0</v>
      </c>
      <c r="AB116">
        <f>IF(Расчёты!F116=0,0,IF(Расчёты!G116=1,N('Сценарный анализ'!$C$5),IF(Расчёты!G116=2,N('Сценарный анализ'!$C$6),IF(Расчёты!G116=3,N('Сценарный анализ'!$C$7),N('Сценарный анализ'!$C$7)*(1+N('Сценарный анализ'!$C$8))^(Расчёты!G116-3)))))</f>
        <v>0</v>
      </c>
      <c r="AC116">
        <f>IF(OR(Расчёты!F116=0,N('Исходные данные'!$B$5)=0,AB116=0),0,N('Исходные данные'!$B$5)*AB116*IF(AND(B116&lt;='Исходные данные'!$B$30,Расчёты!C116&gt;='Исходные данные'!$B$30),(Расчёты!C116-'Исходные данные'!$B$30+1)/DAY(Расчёты!C116),1))</f>
        <v>0</v>
      </c>
      <c r="AD116">
        <f>IF(AND(Расчёты!F116&gt;0,Расчёты!F116&lt;=N('Исходные данные'!$B$37)),-AC116,0)</f>
        <v>0</v>
      </c>
      <c r="AE116">
        <f>IF(OR(Расчёты!F116=0,Расчёты!F116&lt;=N('Исходные данные'!$B$37)),0,-(AC116+AD116)*N('Сценарный анализ'!$C$9))</f>
        <v>0</v>
      </c>
      <c r="AF116">
        <f t="shared" si="64"/>
        <v>0</v>
      </c>
      <c r="AG116">
        <f>IF('Исходные данные'!$B$51="Да",AF116*N('Исходные данные'!$B$52),0)</f>
        <v>0</v>
      </c>
      <c r="AH116">
        <f t="shared" si="65"/>
        <v>0</v>
      </c>
      <c r="AI116">
        <f>AF116+(Расчёты!Y116-Расчёты!L116)</f>
        <v>0</v>
      </c>
      <c r="AJ116">
        <f t="shared" si="74"/>
        <v>0</v>
      </c>
      <c r="AK116">
        <f>IF('Исходные данные'!$B$51="Да",-MAX(0,AG116+Расчёты!R116+Расчёты!V116-Расчёты!P116-Расчёты!T116-AJ116),0)</f>
        <v>0</v>
      </c>
      <c r="AL116">
        <f>IF('Исходные данные'!$B$51="Да",MAX(0,AJ116+Расчёты!P116+Расчёты!T116-AG116-Расчёты!R116-Расчёты!V116),0)</f>
        <v>0</v>
      </c>
      <c r="AM116">
        <f>IF('Исходные данные'!$B$53="Выручка",MAX(0,AF116+(Расчёты!Q116-Расчёты!R116)+(Расчёты!U116-Расчёты!V116)),IF('Исходные данные'!$B$53="Прибыль до налога",MAX(0,AF116+(Расчёты!Q116-Расчёты!R116)+(Расчёты!U116-Расчёты!V116)+N('Исходные данные'!$B$54)*((Расчёты!O116+Расчёты!P116)+(Расчёты!S116+Расчёты!T116)+Расчёты!W116+Расчёты!X116)+IF('Исходные данные'!$B$55="Да",Расчёты!AG116,0)-N('Исходные данные'!$B$56)/12),IF('Исходные данные'!$B$53="Пользовательская база",MAX(0,N('Исходные данные'!$B$57)/12),0)))</f>
        <v>0</v>
      </c>
      <c r="AN116">
        <f>IF(D116=1,-AM116*N('Исходные данные'!$B$50),0)</f>
        <v>0</v>
      </c>
      <c r="AO116">
        <f t="shared" si="66"/>
        <v>0</v>
      </c>
      <c r="AP116">
        <f>IF(OR(D116&lt;&gt;1,B116="",'Исходные данные'!$B$91="",N('Исходные данные'!$B$80)&lt;=0,'Исходные данные'!$B$88=""),0,IF(AND(YEAR(B116)=YEAR('Исходные данные'!$B$91),MONTH(B116)=MONTH('Исходные данные'!$B$91)),MAX(0,IF('Исходные данные'!$B$88="Последние 12 месяцев",SUMIFS($AI$2:$AI$194,$B$2:$B$194,"&gt;="&amp;EDATE(B116,-11),$B$2:$B$194,"&lt;="&amp;B116),IF('Исходные данные'!$B$88="Пользовательский NOI",N('Исходные данные'!$B$89),AO116))/N('Исходные данные'!$B$80)*(1+N('Исходные данные'!$B$81))),0))</f>
        <v>0</v>
      </c>
      <c r="AQ116">
        <f>-AP116*N('Исходные данные'!$B$73)</f>
        <v>0</v>
      </c>
      <c r="AR116">
        <f>IF(AP116=0,0,-N('Исходные данные'!$B$87)-IF('Исходные данные'!$B$82="Да",IF('Исходные данные'!$B$84="С выручки",AP116,IF('Исходные данные'!$B$84="С прибыли",MAX(0,AP116+AQ116-IF('Исходные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16">
        <f t="shared" si="67"/>
        <v>0</v>
      </c>
      <c r="AT116">
        <f>IF(D116=1,Расчёты!AZ116+AH116+AK116+AN116+AS116,0)</f>
        <v>0</v>
      </c>
      <c r="AU116" t="str">
        <f t="shared" si="75"/>
        <v/>
      </c>
      <c r="AV116">
        <f>IF(OR(D116=0,'Исходные данные'!$B$9="",'Исходные данные'!$B$90=""),0,AT116/(1+'Исходные данные'!$B$90)^((C116-'Исходные данные'!$B$9)/365))</f>
        <v>0</v>
      </c>
      <c r="AW116">
        <f>IF(D116=1,AH116+Расчёты!O116+Расчёты!Q116+Расчёты!S116+Расчёты!U116+Расчёты!W116+Расчёты!X116+AK116+AN116,0)</f>
        <v>0</v>
      </c>
      <c r="AX116">
        <f>IF(AND(D116=1,AU116&gt;=0,AU115&lt;0,MIN($AU$2:AU116)&lt;0),1,0)</f>
        <v>0</v>
      </c>
      <c r="AY116">
        <f>IF(Расчёты!F116=0,0,IF(Расчёты!G116=1,N('Сценарный анализ'!$D$5),IF(Расчёты!G116=2,N('Сценарный анализ'!$D$6),IF(Расчёты!G116=3,N('Сценарный анализ'!$D$7),N('Сценарный анализ'!$D$7)*(1+N('Сценарный анализ'!$D$8))^(Расчёты!G116-3)))))</f>
        <v>0</v>
      </c>
      <c r="AZ116">
        <f>IF(OR(Расчёты!F116=0,N('Исходные данные'!$B$5)=0,AY116=0),0,N('Исходные данные'!$B$5)*AY116*IF(AND(B116&lt;='Исходные данные'!$B$30,Расчёты!C116&gt;='Исходные данные'!$B$30),(Расчёты!C116-'Исходные данные'!$B$30+1)/DAY(Расчёты!C116),1))</f>
        <v>0</v>
      </c>
      <c r="BA116">
        <f>IF(AND(Расчёты!F116&gt;0,Расчёты!F116&lt;=N('Исходные данные'!$B$37)),-AZ116,0)</f>
        <v>0</v>
      </c>
      <c r="BB116">
        <f>IF(OR(Расчёты!F116=0,Расчёты!F116&lt;=N('Исходные данные'!$B$37)),0,-(AZ116+BA116)*N('Сценарный анализ'!$D$9))</f>
        <v>0</v>
      </c>
      <c r="BC116">
        <f t="shared" si="68"/>
        <v>0</v>
      </c>
      <c r="BD116">
        <f>IF('Исходные данные'!$B$51="Да",BC116*N('Исходные данные'!$B$52),0)</f>
        <v>0</v>
      </c>
      <c r="BE116">
        <f t="shared" si="69"/>
        <v>0</v>
      </c>
      <c r="BF116">
        <f>BC116+(Расчёты!Y116-Расчёты!L116)</f>
        <v>0</v>
      </c>
      <c r="BG116">
        <f t="shared" si="76"/>
        <v>0</v>
      </c>
      <c r="BH116">
        <f>IF('Исходные данные'!$B$51="Да",-MAX(0,BD116+Расчёты!R116+Расчёты!V116-Расчёты!P116-Расчёты!T116-BG116),0)</f>
        <v>0</v>
      </c>
      <c r="BI116">
        <f>IF('Исходные данные'!$B$51="Да",MAX(0,BG116+Расчёты!P116+Расчёты!T116-BD116-Расчёты!R116-Расчёты!V116),0)</f>
        <v>0</v>
      </c>
      <c r="BJ116">
        <f>IF('Исходные данные'!$B$53="Выручка",MAX(0,BC116+(Расчёты!Q116-Расчёты!R116)+(Расчёты!U116-Расчёты!V116)),IF('Исходные данные'!$B$53="Прибыль до налога",MAX(0,BC116+(Расчёты!Q116-Расчёты!R116)+(Расчёты!U116-Расчёты!V116)+N('Исходные данные'!$B$54)*((Расчёты!O116+Расчёты!P116)+(Расчёты!S116+Расчёты!T116)+Расчёты!W116+Расчёты!X116)+IF('Исходные данные'!$B$55="Да",Расчёты!AG116,0)-N('Исходные данные'!$B$56)/12),IF('Исходные данные'!$B$53="Пользовательская база",MAX(0,N('Исходные данные'!$B$57)/12),0)))</f>
        <v>0</v>
      </c>
      <c r="BK116">
        <f>IF(D116=1,-BJ116*N('Исходные данные'!$B$50),0)</f>
        <v>0</v>
      </c>
      <c r="BL116">
        <f t="shared" si="70"/>
        <v>0</v>
      </c>
      <c r="BM116">
        <f>IF(OR(D116&lt;&gt;1,B116="",'Исходные данные'!$B$91="",N('Исходные данные'!$B$80)&lt;=0,'Исходные данные'!$B$88=""),0,IF(AND(YEAR(B116)=YEAR('Исходные данные'!$B$91),MONTH(B116)=MONTH('Исходные данные'!$B$91)),MAX(0,IF('Исходные данные'!$B$88="Последние 12 месяцев",SUMIFS($BF$2:$BF$194,$B$2:$B$194,"&gt;="&amp;EDATE(B116,-11),$B$2:$B$194,"&lt;="&amp;B116),IF('Исходные данные'!$B$88="Пользовательский NOI",N('Исходные данные'!$B$89),BL116))/N('Исходные данные'!$B$80)*(1+N('Исходные данные'!$B$81))),0))</f>
        <v>0</v>
      </c>
      <c r="BN116">
        <f>-BM116*N('Исходные данные'!$B$73)</f>
        <v>0</v>
      </c>
      <c r="BO116">
        <f>IF(BM116=0,0,-N('Исходные данные'!$B$87)-IF('Исходные данные'!$B$82="Да",IF('Исходные данные'!$B$84="С выручки",BM116,IF('Исходные данные'!$B$84="С прибыли",MAX(0,BM116+BN116-IF('Исходные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16">
        <f t="shared" si="71"/>
        <v>0</v>
      </c>
      <c r="BQ116">
        <f>IF(D116=1,Расчёты!AZ116+BE116+BH116+BK116+BP116,0)</f>
        <v>0</v>
      </c>
      <c r="BR116" t="str">
        <f t="shared" si="77"/>
        <v/>
      </c>
      <c r="BS116">
        <f>IF(OR(D116=0,'Исходные данные'!$B$9="",'Исходные данные'!$B$90=""),0,BQ116/(1+'Исходные данные'!$B$90)^((C116-'Исходные данные'!$B$9)/365))</f>
        <v>0</v>
      </c>
      <c r="BT116">
        <f>IF(D116=1,BE116+Расчёты!O116+Расчёты!Q116+Расчёты!S116+Расчёты!U116+Расчёты!W116+Расчёты!X116+BH116+BK116,0)</f>
        <v>0</v>
      </c>
      <c r="BU116">
        <f>IF(AND(D116=1,BR116&gt;=0,BR115&lt;0,MIN($BR$2:BR116)&lt;0),1,0)</f>
        <v>0</v>
      </c>
      <c r="BV116">
        <f>Расчёты!AZ116+K116+N116-P116*N('Исходные данные'!$B$50)</f>
        <v>0</v>
      </c>
      <c r="BW116">
        <f t="shared" si="57"/>
        <v>0</v>
      </c>
      <c r="BX116">
        <f>IF(AND(BW116&gt;=0,BW115&lt;0,MIN($BW$2:BW116)&lt;0),1,0)</f>
        <v>0</v>
      </c>
      <c r="BY116">
        <f>Расчёты!AZ116+AH116+AK116-AM116*N('Исходные данные'!$B$50)</f>
        <v>0</v>
      </c>
      <c r="BZ116">
        <f t="shared" si="58"/>
        <v>0</v>
      </c>
      <c r="CA116">
        <f>IF(AND(BZ116&gt;=0,BZ115&lt;0,MIN($BZ$2:BZ116)&lt;0),1,0)</f>
        <v>0</v>
      </c>
      <c r="CB116">
        <f>Расчёты!AZ116+BE116+BH116-BJ116*N('Исходные данные'!$B$50)</f>
        <v>0</v>
      </c>
      <c r="CC116">
        <f t="shared" si="59"/>
        <v>0</v>
      </c>
      <c r="CD116">
        <f>IF(AND(CC116&gt;=0,CC115&lt;0,MIN($CC$2:CC116)&lt;0),1,0)</f>
        <v>0</v>
      </c>
    </row>
    <row r="117" spans="1:82" x14ac:dyDescent="0.2">
      <c r="A117">
        <f>Расчёты!A117</f>
        <v>116</v>
      </c>
      <c r="B117" t="str">
        <f>Расчёты!B117</f>
        <v/>
      </c>
      <c r="C117" t="str">
        <f>Расчёты!D117</f>
        <v/>
      </c>
      <c r="D117">
        <f>Расчёты!E117</f>
        <v>0</v>
      </c>
      <c r="E117">
        <f>IF(Расчёты!F117=0,0,IF(Расчёты!G117=1,N('Сценарный анализ'!$B$5),IF(Расчёты!G117=2,N('Сценарный анализ'!$B$6),IF(Расчёты!G117=3,N('Сценарный анализ'!$B$7),N('Сценарный анализ'!$B$7)*(1+N('Сценарный анализ'!$B$8))^(Расчёты!G117-3)))))</f>
        <v>0</v>
      </c>
      <c r="F117">
        <f>IF(OR(Расчёты!F117=0,N('Исходные данные'!$B$5)=0,E117=0),0,N('Исходные данные'!$B$5)*E117*IF(AND(B117&lt;='Исходные данные'!$B$30,Расчёты!C117&gt;='Исходные данные'!$B$30),(Расчёты!C117-'Исходные данные'!$B$30+1)/DAY(Расчёты!C117),1))</f>
        <v>0</v>
      </c>
      <c r="G117">
        <f>IF(AND(Расчёты!F117&gt;0,Расчёты!F117&lt;=N('Исходные данные'!$B$37)),-F117,0)</f>
        <v>0</v>
      </c>
      <c r="H117">
        <f>IF(OR(Расчёты!F117=0,Расчёты!F117&lt;=N('Исходные данные'!$B$37)),0,-(F117+G117)*N('Сценарный анализ'!$B$9))</f>
        <v>0</v>
      </c>
      <c r="I117">
        <f t="shared" si="60"/>
        <v>0</v>
      </c>
      <c r="J117">
        <f>IF('Исходные данные'!$B$51="Да",I117*N('Исходные данные'!$B$52),0)</f>
        <v>0</v>
      </c>
      <c r="K117">
        <f t="shared" si="61"/>
        <v>0</v>
      </c>
      <c r="L117">
        <f>I117+(Расчёты!Y117-Расчёты!L117)</f>
        <v>0</v>
      </c>
      <c r="M117">
        <f t="shared" si="72"/>
        <v>0</v>
      </c>
      <c r="N117">
        <f>IF('Исходные данные'!$B$51="Да",-MAX(0,J117+Расчёты!R117+Расчёты!V117-Расчёты!P117-Расчёты!T117-M117),0)</f>
        <v>0</v>
      </c>
      <c r="O117">
        <f>IF('Исходные данные'!$B$51="Да",MAX(0,M117+Расчёты!P117+Расчёты!T117-J117-Расчёты!R117-Расчёты!V117),0)</f>
        <v>0</v>
      </c>
      <c r="P117">
        <f>IF('Исходные данные'!$B$53="Выручка",MAX(0,I117+(Расчёты!Q117-Расчёты!R117)+(Расчёты!U117-Расчёты!V117)),IF('Исходные данные'!$B$53="Прибыль до налога",MAX(0,I117+(Расчёты!Q117-Расчёты!R117)+(Расчёты!U117-Расчёты!V117)+N('Исходные данные'!$B$54)*((Расчёты!O117+Расчёты!P117)+(Расчёты!S117+Расчёты!T117)+Расчёты!W117+Расчёты!X117)+IF('Исходные данные'!$B$55="Да",Расчёты!AG117,0)-N('Исходные данные'!$B$56)/12),IF('Исходные данные'!$B$53="Пользовательская база",MAX(0,N('Исходные данные'!$B$57)/12),0)))</f>
        <v>0</v>
      </c>
      <c r="Q117">
        <f>IF(D117=1,-P117*N('Исходные данные'!$B$50),0)</f>
        <v>0</v>
      </c>
      <c r="R117">
        <f t="shared" si="62"/>
        <v>0</v>
      </c>
      <c r="S117">
        <f>IF(OR(D117&lt;&gt;1,B117="",'Исходные данные'!$B$91="",N('Исходные данные'!$B$80)&lt;=0,'Исходные данные'!$B$88=""),0,IF(AND(YEAR(B117)=YEAR('Исходные данные'!$B$91),MONTH(B117)=MONTH('Исходные данные'!$B$91)),MAX(0,IF('Исходные данные'!$B$88="Последние 12 месяцев",SUMIFS($L$2:$L$194,$B$2:$B$194,"&gt;="&amp;EDATE(B117,-11),$B$2:$B$194,"&lt;="&amp;B117),IF('Исходные данные'!$B$88="Пользовательский NOI",N('Исходные данные'!$B$89),R117))/N('Исходные данные'!$B$80)*(1+N('Исходные данные'!$B$81))),0))</f>
        <v>0</v>
      </c>
      <c r="T117">
        <f>-S117*N('Исходные данные'!$B$73)</f>
        <v>0</v>
      </c>
      <c r="U117">
        <f>IF(S117=0,0,-N('Исходные данные'!$B$87)-IF('Исходные данные'!$B$82="Да",IF('Исходные данные'!$B$84="С выручки",S117,IF('Исходные данные'!$B$84="С прибыли",MAX(0,S117+T117-IF('Исходные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17">
        <f t="shared" si="63"/>
        <v>0</v>
      </c>
      <c r="W117">
        <f>IF(D117=1,Расчёты!AZ117+K117+N117+Q117+V117,0)</f>
        <v>0</v>
      </c>
      <c r="X117" t="str">
        <f t="shared" si="73"/>
        <v/>
      </c>
      <c r="Y117">
        <f>IF(OR(D117=0,'Исходные данные'!$B$9="",'Исходные данные'!$B$90=""),0,W117/(1+'Исходные данные'!$B$90)^((C117-'Исходные данные'!$B$9)/365))</f>
        <v>0</v>
      </c>
      <c r="Z117">
        <f>IF(D117=1,K117+Расчёты!O117+Расчёты!Q117+Расчёты!S117+Расчёты!U117+Расчёты!W117+Расчёты!X117+N117+Q117,0)</f>
        <v>0</v>
      </c>
      <c r="AA117">
        <f>IF(AND(D117=1,X117&gt;=0,X116&lt;0,MIN($X$2:X117)&lt;0),1,0)</f>
        <v>0</v>
      </c>
      <c r="AB117">
        <f>IF(Расчёты!F117=0,0,IF(Расчёты!G117=1,N('Сценарный анализ'!$C$5),IF(Расчёты!G117=2,N('Сценарный анализ'!$C$6),IF(Расчёты!G117=3,N('Сценарный анализ'!$C$7),N('Сценарный анализ'!$C$7)*(1+N('Сценарный анализ'!$C$8))^(Расчёты!G117-3)))))</f>
        <v>0</v>
      </c>
      <c r="AC117">
        <f>IF(OR(Расчёты!F117=0,N('Исходные данные'!$B$5)=0,AB117=0),0,N('Исходные данные'!$B$5)*AB117*IF(AND(B117&lt;='Исходные данные'!$B$30,Расчёты!C117&gt;='Исходные данные'!$B$30),(Расчёты!C117-'Исходные данные'!$B$30+1)/DAY(Расчёты!C117),1))</f>
        <v>0</v>
      </c>
      <c r="AD117">
        <f>IF(AND(Расчёты!F117&gt;0,Расчёты!F117&lt;=N('Исходные данные'!$B$37)),-AC117,0)</f>
        <v>0</v>
      </c>
      <c r="AE117">
        <f>IF(OR(Расчёты!F117=0,Расчёты!F117&lt;=N('Исходные данные'!$B$37)),0,-(AC117+AD117)*N('Сценарный анализ'!$C$9))</f>
        <v>0</v>
      </c>
      <c r="AF117">
        <f t="shared" si="64"/>
        <v>0</v>
      </c>
      <c r="AG117">
        <f>IF('Исходные данные'!$B$51="Да",AF117*N('Исходные данные'!$B$52),0)</f>
        <v>0</v>
      </c>
      <c r="AH117">
        <f t="shared" si="65"/>
        <v>0</v>
      </c>
      <c r="AI117">
        <f>AF117+(Расчёты!Y117-Расчёты!L117)</f>
        <v>0</v>
      </c>
      <c r="AJ117">
        <f t="shared" si="74"/>
        <v>0</v>
      </c>
      <c r="AK117">
        <f>IF('Исходные данные'!$B$51="Да",-MAX(0,AG117+Расчёты!R117+Расчёты!V117-Расчёты!P117-Расчёты!T117-AJ117),0)</f>
        <v>0</v>
      </c>
      <c r="AL117">
        <f>IF('Исходные данные'!$B$51="Да",MAX(0,AJ117+Расчёты!P117+Расчёты!T117-AG117-Расчёты!R117-Расчёты!V117),0)</f>
        <v>0</v>
      </c>
      <c r="AM117">
        <f>IF('Исходные данные'!$B$53="Выручка",MAX(0,AF117+(Расчёты!Q117-Расчёты!R117)+(Расчёты!U117-Расчёты!V117)),IF('Исходные данные'!$B$53="Прибыль до налога",MAX(0,AF117+(Расчёты!Q117-Расчёты!R117)+(Расчёты!U117-Расчёты!V117)+N('Исходные данные'!$B$54)*((Расчёты!O117+Расчёты!P117)+(Расчёты!S117+Расчёты!T117)+Расчёты!W117+Расчёты!X117)+IF('Исходные данные'!$B$55="Да",Расчёты!AG117,0)-N('Исходные данные'!$B$56)/12),IF('Исходные данные'!$B$53="Пользовательская база",MAX(0,N('Исходные данные'!$B$57)/12),0)))</f>
        <v>0</v>
      </c>
      <c r="AN117">
        <f>IF(D117=1,-AM117*N('Исходные данные'!$B$50),0)</f>
        <v>0</v>
      </c>
      <c r="AO117">
        <f t="shared" si="66"/>
        <v>0</v>
      </c>
      <c r="AP117">
        <f>IF(OR(D117&lt;&gt;1,B117="",'Исходные данные'!$B$91="",N('Исходные данные'!$B$80)&lt;=0,'Исходные данные'!$B$88=""),0,IF(AND(YEAR(B117)=YEAR('Исходные данные'!$B$91),MONTH(B117)=MONTH('Исходные данные'!$B$91)),MAX(0,IF('Исходные данные'!$B$88="Последние 12 месяцев",SUMIFS($AI$2:$AI$194,$B$2:$B$194,"&gt;="&amp;EDATE(B117,-11),$B$2:$B$194,"&lt;="&amp;B117),IF('Исходные данные'!$B$88="Пользовательский NOI",N('Исходные данные'!$B$89),AO117))/N('Исходные данные'!$B$80)*(1+N('Исходные данные'!$B$81))),0))</f>
        <v>0</v>
      </c>
      <c r="AQ117">
        <f>-AP117*N('Исходные данные'!$B$73)</f>
        <v>0</v>
      </c>
      <c r="AR117">
        <f>IF(AP117=0,0,-N('Исходные данные'!$B$87)-IF('Исходные данные'!$B$82="Да",IF('Исходные данные'!$B$84="С выручки",AP117,IF('Исходные данные'!$B$84="С прибыли",MAX(0,AP117+AQ117-IF('Исходные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17">
        <f t="shared" si="67"/>
        <v>0</v>
      </c>
      <c r="AT117">
        <f>IF(D117=1,Расчёты!AZ117+AH117+AK117+AN117+AS117,0)</f>
        <v>0</v>
      </c>
      <c r="AU117" t="str">
        <f t="shared" si="75"/>
        <v/>
      </c>
      <c r="AV117">
        <f>IF(OR(D117=0,'Исходные данные'!$B$9="",'Исходные данные'!$B$90=""),0,AT117/(1+'Исходные данные'!$B$90)^((C117-'Исходные данные'!$B$9)/365))</f>
        <v>0</v>
      </c>
      <c r="AW117">
        <f>IF(D117=1,AH117+Расчёты!O117+Расчёты!Q117+Расчёты!S117+Расчёты!U117+Расчёты!W117+Расчёты!X117+AK117+AN117,0)</f>
        <v>0</v>
      </c>
      <c r="AX117">
        <f>IF(AND(D117=1,AU117&gt;=0,AU116&lt;0,MIN($AU$2:AU117)&lt;0),1,0)</f>
        <v>0</v>
      </c>
      <c r="AY117">
        <f>IF(Расчёты!F117=0,0,IF(Расчёты!G117=1,N('Сценарный анализ'!$D$5),IF(Расчёты!G117=2,N('Сценарный анализ'!$D$6),IF(Расчёты!G117=3,N('Сценарный анализ'!$D$7),N('Сценарный анализ'!$D$7)*(1+N('Сценарный анализ'!$D$8))^(Расчёты!G117-3)))))</f>
        <v>0</v>
      </c>
      <c r="AZ117">
        <f>IF(OR(Расчёты!F117=0,N('Исходные данные'!$B$5)=0,AY117=0),0,N('Исходные данные'!$B$5)*AY117*IF(AND(B117&lt;='Исходные данные'!$B$30,Расчёты!C117&gt;='Исходные данные'!$B$30),(Расчёты!C117-'Исходные данные'!$B$30+1)/DAY(Расчёты!C117),1))</f>
        <v>0</v>
      </c>
      <c r="BA117">
        <f>IF(AND(Расчёты!F117&gt;0,Расчёты!F117&lt;=N('Исходные данные'!$B$37)),-AZ117,0)</f>
        <v>0</v>
      </c>
      <c r="BB117">
        <f>IF(OR(Расчёты!F117=0,Расчёты!F117&lt;=N('Исходные данные'!$B$37)),0,-(AZ117+BA117)*N('Сценарный анализ'!$D$9))</f>
        <v>0</v>
      </c>
      <c r="BC117">
        <f t="shared" si="68"/>
        <v>0</v>
      </c>
      <c r="BD117">
        <f>IF('Исходные данные'!$B$51="Да",BC117*N('Исходные данные'!$B$52),0)</f>
        <v>0</v>
      </c>
      <c r="BE117">
        <f t="shared" si="69"/>
        <v>0</v>
      </c>
      <c r="BF117">
        <f>BC117+(Расчёты!Y117-Расчёты!L117)</f>
        <v>0</v>
      </c>
      <c r="BG117">
        <f t="shared" si="76"/>
        <v>0</v>
      </c>
      <c r="BH117">
        <f>IF('Исходные данные'!$B$51="Да",-MAX(0,BD117+Расчёты!R117+Расчёты!V117-Расчёты!P117-Расчёты!T117-BG117),0)</f>
        <v>0</v>
      </c>
      <c r="BI117">
        <f>IF('Исходные данные'!$B$51="Да",MAX(0,BG117+Расчёты!P117+Расчёты!T117-BD117-Расчёты!R117-Расчёты!V117),0)</f>
        <v>0</v>
      </c>
      <c r="BJ117">
        <f>IF('Исходные данные'!$B$53="Выручка",MAX(0,BC117+(Расчёты!Q117-Расчёты!R117)+(Расчёты!U117-Расчёты!V117)),IF('Исходные данные'!$B$53="Прибыль до налога",MAX(0,BC117+(Расчёты!Q117-Расчёты!R117)+(Расчёты!U117-Расчёты!V117)+N('Исходные данные'!$B$54)*((Расчёты!O117+Расчёты!P117)+(Расчёты!S117+Расчёты!T117)+Расчёты!W117+Расчёты!X117)+IF('Исходные данные'!$B$55="Да",Расчёты!AG117,0)-N('Исходные данные'!$B$56)/12),IF('Исходные данные'!$B$53="Пользовательская база",MAX(0,N('Исходные данные'!$B$57)/12),0)))</f>
        <v>0</v>
      </c>
      <c r="BK117">
        <f>IF(D117=1,-BJ117*N('Исходные данные'!$B$50),0)</f>
        <v>0</v>
      </c>
      <c r="BL117">
        <f t="shared" si="70"/>
        <v>0</v>
      </c>
      <c r="BM117">
        <f>IF(OR(D117&lt;&gt;1,B117="",'Исходные данные'!$B$91="",N('Исходные данные'!$B$80)&lt;=0,'Исходные данные'!$B$88=""),0,IF(AND(YEAR(B117)=YEAR('Исходные данные'!$B$91),MONTH(B117)=MONTH('Исходные данные'!$B$91)),MAX(0,IF('Исходные данные'!$B$88="Последние 12 месяцев",SUMIFS($BF$2:$BF$194,$B$2:$B$194,"&gt;="&amp;EDATE(B117,-11),$B$2:$B$194,"&lt;="&amp;B117),IF('Исходные данные'!$B$88="Пользовательский NOI",N('Исходные данные'!$B$89),BL117))/N('Исходные данные'!$B$80)*(1+N('Исходные данные'!$B$81))),0))</f>
        <v>0</v>
      </c>
      <c r="BN117">
        <f>-BM117*N('Исходные данные'!$B$73)</f>
        <v>0</v>
      </c>
      <c r="BO117">
        <f>IF(BM117=0,0,-N('Исходные данные'!$B$87)-IF('Исходные данные'!$B$82="Да",IF('Исходные данные'!$B$84="С выручки",BM117,IF('Исходные данные'!$B$84="С прибыли",MAX(0,BM117+BN117-IF('Исходные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17">
        <f t="shared" si="71"/>
        <v>0</v>
      </c>
      <c r="BQ117">
        <f>IF(D117=1,Расчёты!AZ117+BE117+BH117+BK117+BP117,0)</f>
        <v>0</v>
      </c>
      <c r="BR117" t="str">
        <f t="shared" si="77"/>
        <v/>
      </c>
      <c r="BS117">
        <f>IF(OR(D117=0,'Исходные данные'!$B$9="",'Исходные данные'!$B$90=""),0,BQ117/(1+'Исходные данные'!$B$90)^((C117-'Исходные данные'!$B$9)/365))</f>
        <v>0</v>
      </c>
      <c r="BT117">
        <f>IF(D117=1,BE117+Расчёты!O117+Расчёты!Q117+Расчёты!S117+Расчёты!U117+Расчёты!W117+Расчёты!X117+BH117+BK117,0)</f>
        <v>0</v>
      </c>
      <c r="BU117">
        <f>IF(AND(D117=1,BR117&gt;=0,BR116&lt;0,MIN($BR$2:BR117)&lt;0),1,0)</f>
        <v>0</v>
      </c>
      <c r="BV117">
        <f>Расчёты!AZ117+K117+N117-P117*N('Исходные данные'!$B$50)</f>
        <v>0</v>
      </c>
      <c r="BW117">
        <f t="shared" si="57"/>
        <v>0</v>
      </c>
      <c r="BX117">
        <f>IF(AND(BW117&gt;=0,BW116&lt;0,MIN($BW$2:BW117)&lt;0),1,0)</f>
        <v>0</v>
      </c>
      <c r="BY117">
        <f>Расчёты!AZ117+AH117+AK117-AM117*N('Исходные данные'!$B$50)</f>
        <v>0</v>
      </c>
      <c r="BZ117">
        <f t="shared" si="58"/>
        <v>0</v>
      </c>
      <c r="CA117">
        <f>IF(AND(BZ117&gt;=0,BZ116&lt;0,MIN($BZ$2:BZ117)&lt;0),1,0)</f>
        <v>0</v>
      </c>
      <c r="CB117">
        <f>Расчёты!AZ117+BE117+BH117-BJ117*N('Исходные данные'!$B$50)</f>
        <v>0</v>
      </c>
      <c r="CC117">
        <f t="shared" si="59"/>
        <v>0</v>
      </c>
      <c r="CD117">
        <f>IF(AND(CC117&gt;=0,CC116&lt;0,MIN($CC$2:CC117)&lt;0),1,0)</f>
        <v>0</v>
      </c>
    </row>
    <row r="118" spans="1:82" x14ac:dyDescent="0.2">
      <c r="A118">
        <f>Расчёты!A118</f>
        <v>117</v>
      </c>
      <c r="B118" t="str">
        <f>Расчёты!B118</f>
        <v/>
      </c>
      <c r="C118" t="str">
        <f>Расчёты!D118</f>
        <v/>
      </c>
      <c r="D118">
        <f>Расчёты!E118</f>
        <v>0</v>
      </c>
      <c r="E118">
        <f>IF(Расчёты!F118=0,0,IF(Расчёты!G118=1,N('Сценарный анализ'!$B$5),IF(Расчёты!G118=2,N('Сценарный анализ'!$B$6),IF(Расчёты!G118=3,N('Сценарный анализ'!$B$7),N('Сценарный анализ'!$B$7)*(1+N('Сценарный анализ'!$B$8))^(Расчёты!G118-3)))))</f>
        <v>0</v>
      </c>
      <c r="F118">
        <f>IF(OR(Расчёты!F118=0,N('Исходные данные'!$B$5)=0,E118=0),0,N('Исходные данные'!$B$5)*E118*IF(AND(B118&lt;='Исходные данные'!$B$30,Расчёты!C118&gt;='Исходные данные'!$B$30),(Расчёты!C118-'Исходные данные'!$B$30+1)/DAY(Расчёты!C118),1))</f>
        <v>0</v>
      </c>
      <c r="G118">
        <f>IF(AND(Расчёты!F118&gt;0,Расчёты!F118&lt;=N('Исходные данные'!$B$37)),-F118,0)</f>
        <v>0</v>
      </c>
      <c r="H118">
        <f>IF(OR(Расчёты!F118=0,Расчёты!F118&lt;=N('Исходные данные'!$B$37)),0,-(F118+G118)*N('Сценарный анализ'!$B$9))</f>
        <v>0</v>
      </c>
      <c r="I118">
        <f t="shared" si="60"/>
        <v>0</v>
      </c>
      <c r="J118">
        <f>IF('Исходные данные'!$B$51="Да",I118*N('Исходные данные'!$B$52),0)</f>
        <v>0</v>
      </c>
      <c r="K118">
        <f t="shared" si="61"/>
        <v>0</v>
      </c>
      <c r="L118">
        <f>I118+(Расчёты!Y118-Расчёты!L118)</f>
        <v>0</v>
      </c>
      <c r="M118">
        <f t="shared" si="72"/>
        <v>0</v>
      </c>
      <c r="N118">
        <f>IF('Исходные данные'!$B$51="Да",-MAX(0,J118+Расчёты!R118+Расчёты!V118-Расчёты!P118-Расчёты!T118-M118),0)</f>
        <v>0</v>
      </c>
      <c r="O118">
        <f>IF('Исходные данные'!$B$51="Да",MAX(0,M118+Расчёты!P118+Расчёты!T118-J118-Расчёты!R118-Расчёты!V118),0)</f>
        <v>0</v>
      </c>
      <c r="P118">
        <f>IF('Исходные данные'!$B$53="Выручка",MAX(0,I118+(Расчёты!Q118-Расчёты!R118)+(Расчёты!U118-Расчёты!V118)),IF('Исходные данные'!$B$53="Прибыль до налога",MAX(0,I118+(Расчёты!Q118-Расчёты!R118)+(Расчёты!U118-Расчёты!V118)+N('Исходные данные'!$B$54)*((Расчёты!O118+Расчёты!P118)+(Расчёты!S118+Расчёты!T118)+Расчёты!W118+Расчёты!X118)+IF('Исходные данные'!$B$55="Да",Расчёты!AG118,0)-N('Исходные данные'!$B$56)/12),IF('Исходные данные'!$B$53="Пользовательская база",MAX(0,N('Исходные данные'!$B$57)/12),0)))</f>
        <v>0</v>
      </c>
      <c r="Q118">
        <f>IF(D118=1,-P118*N('Исходные данные'!$B$50),0)</f>
        <v>0</v>
      </c>
      <c r="R118">
        <f t="shared" si="62"/>
        <v>0</v>
      </c>
      <c r="S118">
        <f>IF(OR(D118&lt;&gt;1,B118="",'Исходные данные'!$B$91="",N('Исходные данные'!$B$80)&lt;=0,'Исходные данные'!$B$88=""),0,IF(AND(YEAR(B118)=YEAR('Исходные данные'!$B$91),MONTH(B118)=MONTH('Исходные данные'!$B$91)),MAX(0,IF('Исходные данные'!$B$88="Последние 12 месяцев",SUMIFS($L$2:$L$194,$B$2:$B$194,"&gt;="&amp;EDATE(B118,-11),$B$2:$B$194,"&lt;="&amp;B118),IF('Исходные данные'!$B$88="Пользовательский NOI",N('Исходные данные'!$B$89),R118))/N('Исходные данные'!$B$80)*(1+N('Исходные данные'!$B$81))),0))</f>
        <v>0</v>
      </c>
      <c r="T118">
        <f>-S118*N('Исходные данные'!$B$73)</f>
        <v>0</v>
      </c>
      <c r="U118">
        <f>IF(S118=0,0,-N('Исходные данные'!$B$87)-IF('Исходные данные'!$B$82="Да",IF('Исходные данные'!$B$84="С выручки",S118,IF('Исходные данные'!$B$84="С прибыли",MAX(0,S118+T118-IF('Исходные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18">
        <f t="shared" si="63"/>
        <v>0</v>
      </c>
      <c r="W118">
        <f>IF(D118=1,Расчёты!AZ118+K118+N118+Q118+V118,0)</f>
        <v>0</v>
      </c>
      <c r="X118" t="str">
        <f t="shared" si="73"/>
        <v/>
      </c>
      <c r="Y118">
        <f>IF(OR(D118=0,'Исходные данные'!$B$9="",'Исходные данные'!$B$90=""),0,W118/(1+'Исходные данные'!$B$90)^((C118-'Исходные данные'!$B$9)/365))</f>
        <v>0</v>
      </c>
      <c r="Z118">
        <f>IF(D118=1,K118+Расчёты!O118+Расчёты!Q118+Расчёты!S118+Расчёты!U118+Расчёты!W118+Расчёты!X118+N118+Q118,0)</f>
        <v>0</v>
      </c>
      <c r="AA118">
        <f>IF(AND(D118=1,X118&gt;=0,X117&lt;0,MIN($X$2:X118)&lt;0),1,0)</f>
        <v>0</v>
      </c>
      <c r="AB118">
        <f>IF(Расчёты!F118=0,0,IF(Расчёты!G118=1,N('Сценарный анализ'!$C$5),IF(Расчёты!G118=2,N('Сценарный анализ'!$C$6),IF(Расчёты!G118=3,N('Сценарный анализ'!$C$7),N('Сценарный анализ'!$C$7)*(1+N('Сценарный анализ'!$C$8))^(Расчёты!G118-3)))))</f>
        <v>0</v>
      </c>
      <c r="AC118">
        <f>IF(OR(Расчёты!F118=0,N('Исходные данные'!$B$5)=0,AB118=0),0,N('Исходные данные'!$B$5)*AB118*IF(AND(B118&lt;='Исходные данные'!$B$30,Расчёты!C118&gt;='Исходные данные'!$B$30),(Расчёты!C118-'Исходные данные'!$B$30+1)/DAY(Расчёты!C118),1))</f>
        <v>0</v>
      </c>
      <c r="AD118">
        <f>IF(AND(Расчёты!F118&gt;0,Расчёты!F118&lt;=N('Исходные данные'!$B$37)),-AC118,0)</f>
        <v>0</v>
      </c>
      <c r="AE118">
        <f>IF(OR(Расчёты!F118=0,Расчёты!F118&lt;=N('Исходные данные'!$B$37)),0,-(AC118+AD118)*N('Сценарный анализ'!$C$9))</f>
        <v>0</v>
      </c>
      <c r="AF118">
        <f t="shared" si="64"/>
        <v>0</v>
      </c>
      <c r="AG118">
        <f>IF('Исходные данные'!$B$51="Да",AF118*N('Исходные данные'!$B$52),0)</f>
        <v>0</v>
      </c>
      <c r="AH118">
        <f t="shared" si="65"/>
        <v>0</v>
      </c>
      <c r="AI118">
        <f>AF118+(Расчёты!Y118-Расчёты!L118)</f>
        <v>0</v>
      </c>
      <c r="AJ118">
        <f t="shared" si="74"/>
        <v>0</v>
      </c>
      <c r="AK118">
        <f>IF('Исходные данные'!$B$51="Да",-MAX(0,AG118+Расчёты!R118+Расчёты!V118-Расчёты!P118-Расчёты!T118-AJ118),0)</f>
        <v>0</v>
      </c>
      <c r="AL118">
        <f>IF('Исходные данные'!$B$51="Да",MAX(0,AJ118+Расчёты!P118+Расчёты!T118-AG118-Расчёты!R118-Расчёты!V118),0)</f>
        <v>0</v>
      </c>
      <c r="AM118">
        <f>IF('Исходные данные'!$B$53="Выручка",MAX(0,AF118+(Расчёты!Q118-Расчёты!R118)+(Расчёты!U118-Расчёты!V118)),IF('Исходные данные'!$B$53="Прибыль до налога",MAX(0,AF118+(Расчёты!Q118-Расчёты!R118)+(Расчёты!U118-Расчёты!V118)+N('Исходные данные'!$B$54)*((Расчёты!O118+Расчёты!P118)+(Расчёты!S118+Расчёты!T118)+Расчёты!W118+Расчёты!X118)+IF('Исходные данные'!$B$55="Да",Расчёты!AG118,0)-N('Исходные данные'!$B$56)/12),IF('Исходные данные'!$B$53="Пользовательская база",MAX(0,N('Исходные данные'!$B$57)/12),0)))</f>
        <v>0</v>
      </c>
      <c r="AN118">
        <f>IF(D118=1,-AM118*N('Исходные данные'!$B$50),0)</f>
        <v>0</v>
      </c>
      <c r="AO118">
        <f t="shared" si="66"/>
        <v>0</v>
      </c>
      <c r="AP118">
        <f>IF(OR(D118&lt;&gt;1,B118="",'Исходные данные'!$B$91="",N('Исходные данные'!$B$80)&lt;=0,'Исходные данные'!$B$88=""),0,IF(AND(YEAR(B118)=YEAR('Исходные данные'!$B$91),MONTH(B118)=MONTH('Исходные данные'!$B$91)),MAX(0,IF('Исходные данные'!$B$88="Последние 12 месяцев",SUMIFS($AI$2:$AI$194,$B$2:$B$194,"&gt;="&amp;EDATE(B118,-11),$B$2:$B$194,"&lt;="&amp;B118),IF('Исходные данные'!$B$88="Пользовательский NOI",N('Исходные данные'!$B$89),AO118))/N('Исходные данные'!$B$80)*(1+N('Исходные данные'!$B$81))),0))</f>
        <v>0</v>
      </c>
      <c r="AQ118">
        <f>-AP118*N('Исходные данные'!$B$73)</f>
        <v>0</v>
      </c>
      <c r="AR118">
        <f>IF(AP118=0,0,-N('Исходные данные'!$B$87)-IF('Исходные данные'!$B$82="Да",IF('Исходные данные'!$B$84="С выручки",AP118,IF('Исходные данные'!$B$84="С прибыли",MAX(0,AP118+AQ118-IF('Исходные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18">
        <f t="shared" si="67"/>
        <v>0</v>
      </c>
      <c r="AT118">
        <f>IF(D118=1,Расчёты!AZ118+AH118+AK118+AN118+AS118,0)</f>
        <v>0</v>
      </c>
      <c r="AU118" t="str">
        <f t="shared" si="75"/>
        <v/>
      </c>
      <c r="AV118">
        <f>IF(OR(D118=0,'Исходные данные'!$B$9="",'Исходные данные'!$B$90=""),0,AT118/(1+'Исходные данные'!$B$90)^((C118-'Исходные данные'!$B$9)/365))</f>
        <v>0</v>
      </c>
      <c r="AW118">
        <f>IF(D118=1,AH118+Расчёты!O118+Расчёты!Q118+Расчёты!S118+Расчёты!U118+Расчёты!W118+Расчёты!X118+AK118+AN118,0)</f>
        <v>0</v>
      </c>
      <c r="AX118">
        <f>IF(AND(D118=1,AU118&gt;=0,AU117&lt;0,MIN($AU$2:AU118)&lt;0),1,0)</f>
        <v>0</v>
      </c>
      <c r="AY118">
        <f>IF(Расчёты!F118=0,0,IF(Расчёты!G118=1,N('Сценарный анализ'!$D$5),IF(Расчёты!G118=2,N('Сценарный анализ'!$D$6),IF(Расчёты!G118=3,N('Сценарный анализ'!$D$7),N('Сценарный анализ'!$D$7)*(1+N('Сценарный анализ'!$D$8))^(Расчёты!G118-3)))))</f>
        <v>0</v>
      </c>
      <c r="AZ118">
        <f>IF(OR(Расчёты!F118=0,N('Исходные данные'!$B$5)=0,AY118=0),0,N('Исходные данные'!$B$5)*AY118*IF(AND(B118&lt;='Исходные данные'!$B$30,Расчёты!C118&gt;='Исходные данные'!$B$30),(Расчёты!C118-'Исходные данные'!$B$30+1)/DAY(Расчёты!C118),1))</f>
        <v>0</v>
      </c>
      <c r="BA118">
        <f>IF(AND(Расчёты!F118&gt;0,Расчёты!F118&lt;=N('Исходные данные'!$B$37)),-AZ118,0)</f>
        <v>0</v>
      </c>
      <c r="BB118">
        <f>IF(OR(Расчёты!F118=0,Расчёты!F118&lt;=N('Исходные данные'!$B$37)),0,-(AZ118+BA118)*N('Сценарный анализ'!$D$9))</f>
        <v>0</v>
      </c>
      <c r="BC118">
        <f t="shared" si="68"/>
        <v>0</v>
      </c>
      <c r="BD118">
        <f>IF('Исходные данные'!$B$51="Да",BC118*N('Исходные данные'!$B$52),0)</f>
        <v>0</v>
      </c>
      <c r="BE118">
        <f t="shared" si="69"/>
        <v>0</v>
      </c>
      <c r="BF118">
        <f>BC118+(Расчёты!Y118-Расчёты!L118)</f>
        <v>0</v>
      </c>
      <c r="BG118">
        <f t="shared" si="76"/>
        <v>0</v>
      </c>
      <c r="BH118">
        <f>IF('Исходные данные'!$B$51="Да",-MAX(0,BD118+Расчёты!R118+Расчёты!V118-Расчёты!P118-Расчёты!T118-BG118),0)</f>
        <v>0</v>
      </c>
      <c r="BI118">
        <f>IF('Исходные данные'!$B$51="Да",MAX(0,BG118+Расчёты!P118+Расчёты!T118-BD118-Расчёты!R118-Расчёты!V118),0)</f>
        <v>0</v>
      </c>
      <c r="BJ118">
        <f>IF('Исходные данные'!$B$53="Выручка",MAX(0,BC118+(Расчёты!Q118-Расчёты!R118)+(Расчёты!U118-Расчёты!V118)),IF('Исходные данные'!$B$53="Прибыль до налога",MAX(0,BC118+(Расчёты!Q118-Расчёты!R118)+(Расчёты!U118-Расчёты!V118)+N('Исходные данные'!$B$54)*((Расчёты!O118+Расчёты!P118)+(Расчёты!S118+Расчёты!T118)+Расчёты!W118+Расчёты!X118)+IF('Исходные данные'!$B$55="Да",Расчёты!AG118,0)-N('Исходные данные'!$B$56)/12),IF('Исходные данные'!$B$53="Пользовательская база",MAX(0,N('Исходные данные'!$B$57)/12),0)))</f>
        <v>0</v>
      </c>
      <c r="BK118">
        <f>IF(D118=1,-BJ118*N('Исходные данные'!$B$50),0)</f>
        <v>0</v>
      </c>
      <c r="BL118">
        <f t="shared" si="70"/>
        <v>0</v>
      </c>
      <c r="BM118">
        <f>IF(OR(D118&lt;&gt;1,B118="",'Исходные данные'!$B$91="",N('Исходные данные'!$B$80)&lt;=0,'Исходные данные'!$B$88=""),0,IF(AND(YEAR(B118)=YEAR('Исходные данные'!$B$91),MONTH(B118)=MONTH('Исходные данные'!$B$91)),MAX(0,IF('Исходные данные'!$B$88="Последние 12 месяцев",SUMIFS($BF$2:$BF$194,$B$2:$B$194,"&gt;="&amp;EDATE(B118,-11),$B$2:$B$194,"&lt;="&amp;B118),IF('Исходные данные'!$B$88="Пользовательский NOI",N('Исходные данные'!$B$89),BL118))/N('Исходные данные'!$B$80)*(1+N('Исходные данные'!$B$81))),0))</f>
        <v>0</v>
      </c>
      <c r="BN118">
        <f>-BM118*N('Исходные данные'!$B$73)</f>
        <v>0</v>
      </c>
      <c r="BO118">
        <f>IF(BM118=0,0,-N('Исходные данные'!$B$87)-IF('Исходные данные'!$B$82="Да",IF('Исходные данные'!$B$84="С выручки",BM118,IF('Исходные данные'!$B$84="С прибыли",MAX(0,BM118+BN118-IF('Исходные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18">
        <f t="shared" si="71"/>
        <v>0</v>
      </c>
      <c r="BQ118">
        <f>IF(D118=1,Расчёты!AZ118+BE118+BH118+BK118+BP118,0)</f>
        <v>0</v>
      </c>
      <c r="BR118" t="str">
        <f t="shared" si="77"/>
        <v/>
      </c>
      <c r="BS118">
        <f>IF(OR(D118=0,'Исходные данные'!$B$9="",'Исходные данные'!$B$90=""),0,BQ118/(1+'Исходные данные'!$B$90)^((C118-'Исходные данные'!$B$9)/365))</f>
        <v>0</v>
      </c>
      <c r="BT118">
        <f>IF(D118=1,BE118+Расчёты!O118+Расчёты!Q118+Расчёты!S118+Расчёты!U118+Расчёты!W118+Расчёты!X118+BH118+BK118,0)</f>
        <v>0</v>
      </c>
      <c r="BU118">
        <f>IF(AND(D118=1,BR118&gt;=0,BR117&lt;0,MIN($BR$2:BR118)&lt;0),1,0)</f>
        <v>0</v>
      </c>
      <c r="BV118">
        <f>Расчёты!AZ118+K118+N118-P118*N('Исходные данные'!$B$50)</f>
        <v>0</v>
      </c>
      <c r="BW118">
        <f t="shared" si="57"/>
        <v>0</v>
      </c>
      <c r="BX118">
        <f>IF(AND(BW118&gt;=0,BW117&lt;0,MIN($BW$2:BW118)&lt;0),1,0)</f>
        <v>0</v>
      </c>
      <c r="BY118">
        <f>Расчёты!AZ118+AH118+AK118-AM118*N('Исходные данные'!$B$50)</f>
        <v>0</v>
      </c>
      <c r="BZ118">
        <f t="shared" si="58"/>
        <v>0</v>
      </c>
      <c r="CA118">
        <f>IF(AND(BZ118&gt;=0,BZ117&lt;0,MIN($BZ$2:BZ118)&lt;0),1,0)</f>
        <v>0</v>
      </c>
      <c r="CB118">
        <f>Расчёты!AZ118+BE118+BH118-BJ118*N('Исходные данные'!$B$50)</f>
        <v>0</v>
      </c>
      <c r="CC118">
        <f t="shared" si="59"/>
        <v>0</v>
      </c>
      <c r="CD118">
        <f>IF(AND(CC118&gt;=0,CC117&lt;0,MIN($CC$2:CC118)&lt;0),1,0)</f>
        <v>0</v>
      </c>
    </row>
    <row r="119" spans="1:82" x14ac:dyDescent="0.2">
      <c r="A119">
        <f>Расчёты!A119</f>
        <v>118</v>
      </c>
      <c r="B119" t="str">
        <f>Расчёты!B119</f>
        <v/>
      </c>
      <c r="C119" t="str">
        <f>Расчёты!D119</f>
        <v/>
      </c>
      <c r="D119">
        <f>Расчёты!E119</f>
        <v>0</v>
      </c>
      <c r="E119">
        <f>IF(Расчёты!F119=0,0,IF(Расчёты!G119=1,N('Сценарный анализ'!$B$5),IF(Расчёты!G119=2,N('Сценарный анализ'!$B$6),IF(Расчёты!G119=3,N('Сценарный анализ'!$B$7),N('Сценарный анализ'!$B$7)*(1+N('Сценарный анализ'!$B$8))^(Расчёты!G119-3)))))</f>
        <v>0</v>
      </c>
      <c r="F119">
        <f>IF(OR(Расчёты!F119=0,N('Исходные данные'!$B$5)=0,E119=0),0,N('Исходные данные'!$B$5)*E119*IF(AND(B119&lt;='Исходные данные'!$B$30,Расчёты!C119&gt;='Исходные данные'!$B$30),(Расчёты!C119-'Исходные данные'!$B$30+1)/DAY(Расчёты!C119),1))</f>
        <v>0</v>
      </c>
      <c r="G119">
        <f>IF(AND(Расчёты!F119&gt;0,Расчёты!F119&lt;=N('Исходные данные'!$B$37)),-F119,0)</f>
        <v>0</v>
      </c>
      <c r="H119">
        <f>IF(OR(Расчёты!F119=0,Расчёты!F119&lt;=N('Исходные данные'!$B$37)),0,-(F119+G119)*N('Сценарный анализ'!$B$9))</f>
        <v>0</v>
      </c>
      <c r="I119">
        <f t="shared" si="60"/>
        <v>0</v>
      </c>
      <c r="J119">
        <f>IF('Исходные данные'!$B$51="Да",I119*N('Исходные данные'!$B$52),0)</f>
        <v>0</v>
      </c>
      <c r="K119">
        <f t="shared" si="61"/>
        <v>0</v>
      </c>
      <c r="L119">
        <f>I119+(Расчёты!Y119-Расчёты!L119)</f>
        <v>0</v>
      </c>
      <c r="M119">
        <f t="shared" si="72"/>
        <v>0</v>
      </c>
      <c r="N119">
        <f>IF('Исходные данные'!$B$51="Да",-MAX(0,J119+Расчёты!R119+Расчёты!V119-Расчёты!P119-Расчёты!T119-M119),0)</f>
        <v>0</v>
      </c>
      <c r="O119">
        <f>IF('Исходные данные'!$B$51="Да",MAX(0,M119+Расчёты!P119+Расчёты!T119-J119-Расчёты!R119-Расчёты!V119),0)</f>
        <v>0</v>
      </c>
      <c r="P119">
        <f>IF('Исходные данные'!$B$53="Выручка",MAX(0,I119+(Расчёты!Q119-Расчёты!R119)+(Расчёты!U119-Расчёты!V119)),IF('Исходные данные'!$B$53="Прибыль до налога",MAX(0,I119+(Расчёты!Q119-Расчёты!R119)+(Расчёты!U119-Расчёты!V119)+N('Исходные данные'!$B$54)*((Расчёты!O119+Расчёты!P119)+(Расчёты!S119+Расчёты!T119)+Расчёты!W119+Расчёты!X119)+IF('Исходные данные'!$B$55="Да",Расчёты!AG119,0)-N('Исходные данные'!$B$56)/12),IF('Исходные данные'!$B$53="Пользовательская база",MAX(0,N('Исходные данные'!$B$57)/12),0)))</f>
        <v>0</v>
      </c>
      <c r="Q119">
        <f>IF(D119=1,-P119*N('Исходные данные'!$B$50),0)</f>
        <v>0</v>
      </c>
      <c r="R119">
        <f t="shared" si="62"/>
        <v>0</v>
      </c>
      <c r="S119">
        <f>IF(OR(D119&lt;&gt;1,B119="",'Исходные данные'!$B$91="",N('Исходные данные'!$B$80)&lt;=0,'Исходные данные'!$B$88=""),0,IF(AND(YEAR(B119)=YEAR('Исходные данные'!$B$91),MONTH(B119)=MONTH('Исходные данные'!$B$91)),MAX(0,IF('Исходные данные'!$B$88="Последние 12 месяцев",SUMIFS($L$2:$L$194,$B$2:$B$194,"&gt;="&amp;EDATE(B119,-11),$B$2:$B$194,"&lt;="&amp;B119),IF('Исходные данные'!$B$88="Пользовательский NOI",N('Исходные данные'!$B$89),R119))/N('Исходные данные'!$B$80)*(1+N('Исходные данные'!$B$81))),0))</f>
        <v>0</v>
      </c>
      <c r="T119">
        <f>-S119*N('Исходные данные'!$B$73)</f>
        <v>0</v>
      </c>
      <c r="U119">
        <f>IF(S119=0,0,-N('Исходные данные'!$B$87)-IF('Исходные данные'!$B$82="Да",IF('Исходные данные'!$B$84="С выручки",S119,IF('Исходные данные'!$B$84="С прибыли",MAX(0,S119+T119-IF('Исходные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19">
        <f t="shared" si="63"/>
        <v>0</v>
      </c>
      <c r="W119">
        <f>IF(D119=1,Расчёты!AZ119+K119+N119+Q119+V119,0)</f>
        <v>0</v>
      </c>
      <c r="X119" t="str">
        <f t="shared" si="73"/>
        <v/>
      </c>
      <c r="Y119">
        <f>IF(OR(D119=0,'Исходные данные'!$B$9="",'Исходные данные'!$B$90=""),0,W119/(1+'Исходные данные'!$B$90)^((C119-'Исходные данные'!$B$9)/365))</f>
        <v>0</v>
      </c>
      <c r="Z119">
        <f>IF(D119=1,K119+Расчёты!O119+Расчёты!Q119+Расчёты!S119+Расчёты!U119+Расчёты!W119+Расчёты!X119+N119+Q119,0)</f>
        <v>0</v>
      </c>
      <c r="AA119">
        <f>IF(AND(D119=1,X119&gt;=0,X118&lt;0,MIN($X$2:X119)&lt;0),1,0)</f>
        <v>0</v>
      </c>
      <c r="AB119">
        <f>IF(Расчёты!F119=0,0,IF(Расчёты!G119=1,N('Сценарный анализ'!$C$5),IF(Расчёты!G119=2,N('Сценарный анализ'!$C$6),IF(Расчёты!G119=3,N('Сценарный анализ'!$C$7),N('Сценарный анализ'!$C$7)*(1+N('Сценарный анализ'!$C$8))^(Расчёты!G119-3)))))</f>
        <v>0</v>
      </c>
      <c r="AC119">
        <f>IF(OR(Расчёты!F119=0,N('Исходные данные'!$B$5)=0,AB119=0),0,N('Исходные данные'!$B$5)*AB119*IF(AND(B119&lt;='Исходные данные'!$B$30,Расчёты!C119&gt;='Исходные данные'!$B$30),(Расчёты!C119-'Исходные данные'!$B$30+1)/DAY(Расчёты!C119),1))</f>
        <v>0</v>
      </c>
      <c r="AD119">
        <f>IF(AND(Расчёты!F119&gt;0,Расчёты!F119&lt;=N('Исходные данные'!$B$37)),-AC119,0)</f>
        <v>0</v>
      </c>
      <c r="AE119">
        <f>IF(OR(Расчёты!F119=0,Расчёты!F119&lt;=N('Исходные данные'!$B$37)),0,-(AC119+AD119)*N('Сценарный анализ'!$C$9))</f>
        <v>0</v>
      </c>
      <c r="AF119">
        <f t="shared" si="64"/>
        <v>0</v>
      </c>
      <c r="AG119">
        <f>IF('Исходные данные'!$B$51="Да",AF119*N('Исходные данные'!$B$52),0)</f>
        <v>0</v>
      </c>
      <c r="AH119">
        <f t="shared" si="65"/>
        <v>0</v>
      </c>
      <c r="AI119">
        <f>AF119+(Расчёты!Y119-Расчёты!L119)</f>
        <v>0</v>
      </c>
      <c r="AJ119">
        <f t="shared" si="74"/>
        <v>0</v>
      </c>
      <c r="AK119">
        <f>IF('Исходные данные'!$B$51="Да",-MAX(0,AG119+Расчёты!R119+Расчёты!V119-Расчёты!P119-Расчёты!T119-AJ119),0)</f>
        <v>0</v>
      </c>
      <c r="AL119">
        <f>IF('Исходные данные'!$B$51="Да",MAX(0,AJ119+Расчёты!P119+Расчёты!T119-AG119-Расчёты!R119-Расчёты!V119),0)</f>
        <v>0</v>
      </c>
      <c r="AM119">
        <f>IF('Исходные данные'!$B$53="Выручка",MAX(0,AF119+(Расчёты!Q119-Расчёты!R119)+(Расчёты!U119-Расчёты!V119)),IF('Исходные данные'!$B$53="Прибыль до налога",MAX(0,AF119+(Расчёты!Q119-Расчёты!R119)+(Расчёты!U119-Расчёты!V119)+N('Исходные данные'!$B$54)*((Расчёты!O119+Расчёты!P119)+(Расчёты!S119+Расчёты!T119)+Расчёты!W119+Расчёты!X119)+IF('Исходные данные'!$B$55="Да",Расчёты!AG119,0)-N('Исходные данные'!$B$56)/12),IF('Исходные данные'!$B$53="Пользовательская база",MAX(0,N('Исходные данные'!$B$57)/12),0)))</f>
        <v>0</v>
      </c>
      <c r="AN119">
        <f>IF(D119=1,-AM119*N('Исходные данные'!$B$50),0)</f>
        <v>0</v>
      </c>
      <c r="AO119">
        <f t="shared" si="66"/>
        <v>0</v>
      </c>
      <c r="AP119">
        <f>IF(OR(D119&lt;&gt;1,B119="",'Исходные данные'!$B$91="",N('Исходные данные'!$B$80)&lt;=0,'Исходные данные'!$B$88=""),0,IF(AND(YEAR(B119)=YEAR('Исходные данные'!$B$91),MONTH(B119)=MONTH('Исходные данные'!$B$91)),MAX(0,IF('Исходные данные'!$B$88="Последние 12 месяцев",SUMIFS($AI$2:$AI$194,$B$2:$B$194,"&gt;="&amp;EDATE(B119,-11),$B$2:$B$194,"&lt;="&amp;B119),IF('Исходные данные'!$B$88="Пользовательский NOI",N('Исходные данные'!$B$89),AO119))/N('Исходные данные'!$B$80)*(1+N('Исходные данные'!$B$81))),0))</f>
        <v>0</v>
      </c>
      <c r="AQ119">
        <f>-AP119*N('Исходные данные'!$B$73)</f>
        <v>0</v>
      </c>
      <c r="AR119">
        <f>IF(AP119=0,0,-N('Исходные данные'!$B$87)-IF('Исходные данные'!$B$82="Да",IF('Исходные данные'!$B$84="С выручки",AP119,IF('Исходные данные'!$B$84="С прибыли",MAX(0,AP119+AQ119-IF('Исходные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19">
        <f t="shared" si="67"/>
        <v>0</v>
      </c>
      <c r="AT119">
        <f>IF(D119=1,Расчёты!AZ119+AH119+AK119+AN119+AS119,0)</f>
        <v>0</v>
      </c>
      <c r="AU119" t="str">
        <f t="shared" si="75"/>
        <v/>
      </c>
      <c r="AV119">
        <f>IF(OR(D119=0,'Исходные данные'!$B$9="",'Исходные данные'!$B$90=""),0,AT119/(1+'Исходные данные'!$B$90)^((C119-'Исходные данные'!$B$9)/365))</f>
        <v>0</v>
      </c>
      <c r="AW119">
        <f>IF(D119=1,AH119+Расчёты!O119+Расчёты!Q119+Расчёты!S119+Расчёты!U119+Расчёты!W119+Расчёты!X119+AK119+AN119,0)</f>
        <v>0</v>
      </c>
      <c r="AX119">
        <f>IF(AND(D119=1,AU119&gt;=0,AU118&lt;0,MIN($AU$2:AU119)&lt;0),1,0)</f>
        <v>0</v>
      </c>
      <c r="AY119">
        <f>IF(Расчёты!F119=0,0,IF(Расчёты!G119=1,N('Сценарный анализ'!$D$5),IF(Расчёты!G119=2,N('Сценарный анализ'!$D$6),IF(Расчёты!G119=3,N('Сценарный анализ'!$D$7),N('Сценарный анализ'!$D$7)*(1+N('Сценарный анализ'!$D$8))^(Расчёты!G119-3)))))</f>
        <v>0</v>
      </c>
      <c r="AZ119">
        <f>IF(OR(Расчёты!F119=0,N('Исходные данные'!$B$5)=0,AY119=0),0,N('Исходные данные'!$B$5)*AY119*IF(AND(B119&lt;='Исходные данные'!$B$30,Расчёты!C119&gt;='Исходные данные'!$B$30),(Расчёты!C119-'Исходные данные'!$B$30+1)/DAY(Расчёты!C119),1))</f>
        <v>0</v>
      </c>
      <c r="BA119">
        <f>IF(AND(Расчёты!F119&gt;0,Расчёты!F119&lt;=N('Исходные данные'!$B$37)),-AZ119,0)</f>
        <v>0</v>
      </c>
      <c r="BB119">
        <f>IF(OR(Расчёты!F119=0,Расчёты!F119&lt;=N('Исходные данные'!$B$37)),0,-(AZ119+BA119)*N('Сценарный анализ'!$D$9))</f>
        <v>0</v>
      </c>
      <c r="BC119">
        <f t="shared" si="68"/>
        <v>0</v>
      </c>
      <c r="BD119">
        <f>IF('Исходные данные'!$B$51="Да",BC119*N('Исходные данные'!$B$52),0)</f>
        <v>0</v>
      </c>
      <c r="BE119">
        <f t="shared" si="69"/>
        <v>0</v>
      </c>
      <c r="BF119">
        <f>BC119+(Расчёты!Y119-Расчёты!L119)</f>
        <v>0</v>
      </c>
      <c r="BG119">
        <f t="shared" si="76"/>
        <v>0</v>
      </c>
      <c r="BH119">
        <f>IF('Исходные данные'!$B$51="Да",-MAX(0,BD119+Расчёты!R119+Расчёты!V119-Расчёты!P119-Расчёты!T119-BG119),0)</f>
        <v>0</v>
      </c>
      <c r="BI119">
        <f>IF('Исходные данные'!$B$51="Да",MAX(0,BG119+Расчёты!P119+Расчёты!T119-BD119-Расчёты!R119-Расчёты!V119),0)</f>
        <v>0</v>
      </c>
      <c r="BJ119">
        <f>IF('Исходные данные'!$B$53="Выручка",MAX(0,BC119+(Расчёты!Q119-Расчёты!R119)+(Расчёты!U119-Расчёты!V119)),IF('Исходные данные'!$B$53="Прибыль до налога",MAX(0,BC119+(Расчёты!Q119-Расчёты!R119)+(Расчёты!U119-Расчёты!V119)+N('Исходные данные'!$B$54)*((Расчёты!O119+Расчёты!P119)+(Расчёты!S119+Расчёты!T119)+Расчёты!W119+Расчёты!X119)+IF('Исходные данные'!$B$55="Да",Расчёты!AG119,0)-N('Исходные данные'!$B$56)/12),IF('Исходные данные'!$B$53="Пользовательская база",MAX(0,N('Исходные данные'!$B$57)/12),0)))</f>
        <v>0</v>
      </c>
      <c r="BK119">
        <f>IF(D119=1,-BJ119*N('Исходные данные'!$B$50),0)</f>
        <v>0</v>
      </c>
      <c r="BL119">
        <f t="shared" si="70"/>
        <v>0</v>
      </c>
      <c r="BM119">
        <f>IF(OR(D119&lt;&gt;1,B119="",'Исходные данные'!$B$91="",N('Исходные данные'!$B$80)&lt;=0,'Исходные данные'!$B$88=""),0,IF(AND(YEAR(B119)=YEAR('Исходные данные'!$B$91),MONTH(B119)=MONTH('Исходные данные'!$B$91)),MAX(0,IF('Исходные данные'!$B$88="Последние 12 месяцев",SUMIFS($BF$2:$BF$194,$B$2:$B$194,"&gt;="&amp;EDATE(B119,-11),$B$2:$B$194,"&lt;="&amp;B119),IF('Исходные данные'!$B$88="Пользовательский NOI",N('Исходные данные'!$B$89),BL119))/N('Исходные данные'!$B$80)*(1+N('Исходные данные'!$B$81))),0))</f>
        <v>0</v>
      </c>
      <c r="BN119">
        <f>-BM119*N('Исходные данные'!$B$73)</f>
        <v>0</v>
      </c>
      <c r="BO119">
        <f>IF(BM119=0,0,-N('Исходные данные'!$B$87)-IF('Исходные данные'!$B$82="Да",IF('Исходные данные'!$B$84="С выручки",BM119,IF('Исходные данные'!$B$84="С прибыли",MAX(0,BM119+BN119-IF('Исходные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19">
        <f t="shared" si="71"/>
        <v>0</v>
      </c>
      <c r="BQ119">
        <f>IF(D119=1,Расчёты!AZ119+BE119+BH119+BK119+BP119,0)</f>
        <v>0</v>
      </c>
      <c r="BR119" t="str">
        <f t="shared" si="77"/>
        <v/>
      </c>
      <c r="BS119">
        <f>IF(OR(D119=0,'Исходные данные'!$B$9="",'Исходные данные'!$B$90=""),0,BQ119/(1+'Исходные данные'!$B$90)^((C119-'Исходные данные'!$B$9)/365))</f>
        <v>0</v>
      </c>
      <c r="BT119">
        <f>IF(D119=1,BE119+Расчёты!O119+Расчёты!Q119+Расчёты!S119+Расчёты!U119+Расчёты!W119+Расчёты!X119+BH119+BK119,0)</f>
        <v>0</v>
      </c>
      <c r="BU119">
        <f>IF(AND(D119=1,BR119&gt;=0,BR118&lt;0,MIN($BR$2:BR119)&lt;0),1,0)</f>
        <v>0</v>
      </c>
      <c r="BV119">
        <f>Расчёты!AZ119+K119+N119-P119*N('Исходные данные'!$B$50)</f>
        <v>0</v>
      </c>
      <c r="BW119">
        <f t="shared" si="57"/>
        <v>0</v>
      </c>
      <c r="BX119">
        <f>IF(AND(BW119&gt;=0,BW118&lt;0,MIN($BW$2:BW119)&lt;0),1,0)</f>
        <v>0</v>
      </c>
      <c r="BY119">
        <f>Расчёты!AZ119+AH119+AK119-AM119*N('Исходные данные'!$B$50)</f>
        <v>0</v>
      </c>
      <c r="BZ119">
        <f t="shared" si="58"/>
        <v>0</v>
      </c>
      <c r="CA119">
        <f>IF(AND(BZ119&gt;=0,BZ118&lt;0,MIN($BZ$2:BZ119)&lt;0),1,0)</f>
        <v>0</v>
      </c>
      <c r="CB119">
        <f>Расчёты!AZ119+BE119+BH119-BJ119*N('Исходные данные'!$B$50)</f>
        <v>0</v>
      </c>
      <c r="CC119">
        <f t="shared" si="59"/>
        <v>0</v>
      </c>
      <c r="CD119">
        <f>IF(AND(CC119&gt;=0,CC118&lt;0,MIN($CC$2:CC119)&lt;0),1,0)</f>
        <v>0</v>
      </c>
    </row>
    <row r="120" spans="1:82" x14ac:dyDescent="0.2">
      <c r="A120">
        <f>Расчёты!A120</f>
        <v>119</v>
      </c>
      <c r="B120" t="str">
        <f>Расчёты!B120</f>
        <v/>
      </c>
      <c r="C120" t="str">
        <f>Расчёты!D120</f>
        <v/>
      </c>
      <c r="D120">
        <f>Расчёты!E120</f>
        <v>0</v>
      </c>
      <c r="E120">
        <f>IF(Расчёты!F120=0,0,IF(Расчёты!G120=1,N('Сценарный анализ'!$B$5),IF(Расчёты!G120=2,N('Сценарный анализ'!$B$6),IF(Расчёты!G120=3,N('Сценарный анализ'!$B$7),N('Сценарный анализ'!$B$7)*(1+N('Сценарный анализ'!$B$8))^(Расчёты!G120-3)))))</f>
        <v>0</v>
      </c>
      <c r="F120">
        <f>IF(OR(Расчёты!F120=0,N('Исходные данные'!$B$5)=0,E120=0),0,N('Исходные данные'!$B$5)*E120*IF(AND(B120&lt;='Исходные данные'!$B$30,Расчёты!C120&gt;='Исходные данные'!$B$30),(Расчёты!C120-'Исходные данные'!$B$30+1)/DAY(Расчёты!C120),1))</f>
        <v>0</v>
      </c>
      <c r="G120">
        <f>IF(AND(Расчёты!F120&gt;0,Расчёты!F120&lt;=N('Исходные данные'!$B$37)),-F120,0)</f>
        <v>0</v>
      </c>
      <c r="H120">
        <f>IF(OR(Расчёты!F120=0,Расчёты!F120&lt;=N('Исходные данные'!$B$37)),0,-(F120+G120)*N('Сценарный анализ'!$B$9))</f>
        <v>0</v>
      </c>
      <c r="I120">
        <f t="shared" si="60"/>
        <v>0</v>
      </c>
      <c r="J120">
        <f>IF('Исходные данные'!$B$51="Да",I120*N('Исходные данные'!$B$52),0)</f>
        <v>0</v>
      </c>
      <c r="K120">
        <f t="shared" si="61"/>
        <v>0</v>
      </c>
      <c r="L120">
        <f>I120+(Расчёты!Y120-Расчёты!L120)</f>
        <v>0</v>
      </c>
      <c r="M120">
        <f t="shared" si="72"/>
        <v>0</v>
      </c>
      <c r="N120">
        <f>IF('Исходные данные'!$B$51="Да",-MAX(0,J120+Расчёты!R120+Расчёты!V120-Расчёты!P120-Расчёты!T120-M120),0)</f>
        <v>0</v>
      </c>
      <c r="O120">
        <f>IF('Исходные данные'!$B$51="Да",MAX(0,M120+Расчёты!P120+Расчёты!T120-J120-Расчёты!R120-Расчёты!V120),0)</f>
        <v>0</v>
      </c>
      <c r="P120">
        <f>IF('Исходные данные'!$B$53="Выручка",MAX(0,I120+(Расчёты!Q120-Расчёты!R120)+(Расчёты!U120-Расчёты!V120)),IF('Исходные данные'!$B$53="Прибыль до налога",MAX(0,I120+(Расчёты!Q120-Расчёты!R120)+(Расчёты!U120-Расчёты!V120)+N('Исходные данные'!$B$54)*((Расчёты!O120+Расчёты!P120)+(Расчёты!S120+Расчёты!T120)+Расчёты!W120+Расчёты!X120)+IF('Исходные данные'!$B$55="Да",Расчёты!AG120,0)-N('Исходные данные'!$B$56)/12),IF('Исходные данные'!$B$53="Пользовательская база",MAX(0,N('Исходные данные'!$B$57)/12),0)))</f>
        <v>0</v>
      </c>
      <c r="Q120">
        <f>IF(D120=1,-P120*N('Исходные данные'!$B$50),0)</f>
        <v>0</v>
      </c>
      <c r="R120">
        <f t="shared" si="62"/>
        <v>0</v>
      </c>
      <c r="S120">
        <f>IF(OR(D120&lt;&gt;1,B120="",'Исходные данные'!$B$91="",N('Исходные данные'!$B$80)&lt;=0,'Исходные данные'!$B$88=""),0,IF(AND(YEAR(B120)=YEAR('Исходные данные'!$B$91),MONTH(B120)=MONTH('Исходные данные'!$B$91)),MAX(0,IF('Исходные данные'!$B$88="Последние 12 месяцев",SUMIFS($L$2:$L$194,$B$2:$B$194,"&gt;="&amp;EDATE(B120,-11),$B$2:$B$194,"&lt;="&amp;B120),IF('Исходные данные'!$B$88="Пользовательский NOI",N('Исходные данные'!$B$89),R120))/N('Исходные данные'!$B$80)*(1+N('Исходные данные'!$B$81))),0))</f>
        <v>0</v>
      </c>
      <c r="T120">
        <f>-S120*N('Исходные данные'!$B$73)</f>
        <v>0</v>
      </c>
      <c r="U120">
        <f>IF(S120=0,0,-N('Исходные данные'!$B$87)-IF('Исходные данные'!$B$82="Да",IF('Исходные данные'!$B$84="С выручки",S120,IF('Исходные данные'!$B$84="С прибыли",MAX(0,S120+T120-IF('Исходные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20">
        <f t="shared" si="63"/>
        <v>0</v>
      </c>
      <c r="W120">
        <f>IF(D120=1,Расчёты!AZ120+K120+N120+Q120+V120,0)</f>
        <v>0</v>
      </c>
      <c r="X120" t="str">
        <f t="shared" si="73"/>
        <v/>
      </c>
      <c r="Y120">
        <f>IF(OR(D120=0,'Исходные данные'!$B$9="",'Исходные данные'!$B$90=""),0,W120/(1+'Исходные данные'!$B$90)^((C120-'Исходные данные'!$B$9)/365))</f>
        <v>0</v>
      </c>
      <c r="Z120">
        <f>IF(D120=1,K120+Расчёты!O120+Расчёты!Q120+Расчёты!S120+Расчёты!U120+Расчёты!W120+Расчёты!X120+N120+Q120,0)</f>
        <v>0</v>
      </c>
      <c r="AA120">
        <f>IF(AND(D120=1,X120&gt;=0,X119&lt;0,MIN($X$2:X120)&lt;0),1,0)</f>
        <v>0</v>
      </c>
      <c r="AB120">
        <f>IF(Расчёты!F120=0,0,IF(Расчёты!G120=1,N('Сценарный анализ'!$C$5),IF(Расчёты!G120=2,N('Сценарный анализ'!$C$6),IF(Расчёты!G120=3,N('Сценарный анализ'!$C$7),N('Сценарный анализ'!$C$7)*(1+N('Сценарный анализ'!$C$8))^(Расчёты!G120-3)))))</f>
        <v>0</v>
      </c>
      <c r="AC120">
        <f>IF(OR(Расчёты!F120=0,N('Исходные данные'!$B$5)=0,AB120=0),0,N('Исходные данные'!$B$5)*AB120*IF(AND(B120&lt;='Исходные данные'!$B$30,Расчёты!C120&gt;='Исходные данные'!$B$30),(Расчёты!C120-'Исходные данные'!$B$30+1)/DAY(Расчёты!C120),1))</f>
        <v>0</v>
      </c>
      <c r="AD120">
        <f>IF(AND(Расчёты!F120&gt;0,Расчёты!F120&lt;=N('Исходные данные'!$B$37)),-AC120,0)</f>
        <v>0</v>
      </c>
      <c r="AE120">
        <f>IF(OR(Расчёты!F120=0,Расчёты!F120&lt;=N('Исходные данные'!$B$37)),0,-(AC120+AD120)*N('Сценарный анализ'!$C$9))</f>
        <v>0</v>
      </c>
      <c r="AF120">
        <f t="shared" si="64"/>
        <v>0</v>
      </c>
      <c r="AG120">
        <f>IF('Исходные данные'!$B$51="Да",AF120*N('Исходные данные'!$B$52),0)</f>
        <v>0</v>
      </c>
      <c r="AH120">
        <f t="shared" si="65"/>
        <v>0</v>
      </c>
      <c r="AI120">
        <f>AF120+(Расчёты!Y120-Расчёты!L120)</f>
        <v>0</v>
      </c>
      <c r="AJ120">
        <f t="shared" si="74"/>
        <v>0</v>
      </c>
      <c r="AK120">
        <f>IF('Исходные данные'!$B$51="Да",-MAX(0,AG120+Расчёты!R120+Расчёты!V120-Расчёты!P120-Расчёты!T120-AJ120),0)</f>
        <v>0</v>
      </c>
      <c r="AL120">
        <f>IF('Исходные данные'!$B$51="Да",MAX(0,AJ120+Расчёты!P120+Расчёты!T120-AG120-Расчёты!R120-Расчёты!V120),0)</f>
        <v>0</v>
      </c>
      <c r="AM120">
        <f>IF('Исходные данные'!$B$53="Выручка",MAX(0,AF120+(Расчёты!Q120-Расчёты!R120)+(Расчёты!U120-Расчёты!V120)),IF('Исходные данные'!$B$53="Прибыль до налога",MAX(0,AF120+(Расчёты!Q120-Расчёты!R120)+(Расчёты!U120-Расчёты!V120)+N('Исходные данные'!$B$54)*((Расчёты!O120+Расчёты!P120)+(Расчёты!S120+Расчёты!T120)+Расчёты!W120+Расчёты!X120)+IF('Исходные данные'!$B$55="Да",Расчёты!AG120,0)-N('Исходные данные'!$B$56)/12),IF('Исходные данные'!$B$53="Пользовательская база",MAX(0,N('Исходные данные'!$B$57)/12),0)))</f>
        <v>0</v>
      </c>
      <c r="AN120">
        <f>IF(D120=1,-AM120*N('Исходные данные'!$B$50),0)</f>
        <v>0</v>
      </c>
      <c r="AO120">
        <f t="shared" si="66"/>
        <v>0</v>
      </c>
      <c r="AP120">
        <f>IF(OR(D120&lt;&gt;1,B120="",'Исходные данные'!$B$91="",N('Исходные данные'!$B$80)&lt;=0,'Исходные данные'!$B$88=""),0,IF(AND(YEAR(B120)=YEAR('Исходные данные'!$B$91),MONTH(B120)=MONTH('Исходные данные'!$B$91)),MAX(0,IF('Исходные данные'!$B$88="Последние 12 месяцев",SUMIFS($AI$2:$AI$194,$B$2:$B$194,"&gt;="&amp;EDATE(B120,-11),$B$2:$B$194,"&lt;="&amp;B120),IF('Исходные данные'!$B$88="Пользовательский NOI",N('Исходные данные'!$B$89),AO120))/N('Исходные данные'!$B$80)*(1+N('Исходные данные'!$B$81))),0))</f>
        <v>0</v>
      </c>
      <c r="AQ120">
        <f>-AP120*N('Исходные данные'!$B$73)</f>
        <v>0</v>
      </c>
      <c r="AR120">
        <f>IF(AP120=0,0,-N('Исходные данные'!$B$87)-IF('Исходные данные'!$B$82="Да",IF('Исходные данные'!$B$84="С выручки",AP120,IF('Исходные данные'!$B$84="С прибыли",MAX(0,AP120+AQ120-IF('Исходные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20">
        <f t="shared" si="67"/>
        <v>0</v>
      </c>
      <c r="AT120">
        <f>IF(D120=1,Расчёты!AZ120+AH120+AK120+AN120+AS120,0)</f>
        <v>0</v>
      </c>
      <c r="AU120" t="str">
        <f t="shared" si="75"/>
        <v/>
      </c>
      <c r="AV120">
        <f>IF(OR(D120=0,'Исходные данные'!$B$9="",'Исходные данные'!$B$90=""),0,AT120/(1+'Исходные данные'!$B$90)^((C120-'Исходные данные'!$B$9)/365))</f>
        <v>0</v>
      </c>
      <c r="AW120">
        <f>IF(D120=1,AH120+Расчёты!O120+Расчёты!Q120+Расчёты!S120+Расчёты!U120+Расчёты!W120+Расчёты!X120+AK120+AN120,0)</f>
        <v>0</v>
      </c>
      <c r="AX120">
        <f>IF(AND(D120=1,AU120&gt;=0,AU119&lt;0,MIN($AU$2:AU120)&lt;0),1,0)</f>
        <v>0</v>
      </c>
      <c r="AY120">
        <f>IF(Расчёты!F120=0,0,IF(Расчёты!G120=1,N('Сценарный анализ'!$D$5),IF(Расчёты!G120=2,N('Сценарный анализ'!$D$6),IF(Расчёты!G120=3,N('Сценарный анализ'!$D$7),N('Сценарный анализ'!$D$7)*(1+N('Сценарный анализ'!$D$8))^(Расчёты!G120-3)))))</f>
        <v>0</v>
      </c>
      <c r="AZ120">
        <f>IF(OR(Расчёты!F120=0,N('Исходные данные'!$B$5)=0,AY120=0),0,N('Исходные данные'!$B$5)*AY120*IF(AND(B120&lt;='Исходные данные'!$B$30,Расчёты!C120&gt;='Исходные данные'!$B$30),(Расчёты!C120-'Исходные данные'!$B$30+1)/DAY(Расчёты!C120),1))</f>
        <v>0</v>
      </c>
      <c r="BA120">
        <f>IF(AND(Расчёты!F120&gt;0,Расчёты!F120&lt;=N('Исходные данные'!$B$37)),-AZ120,0)</f>
        <v>0</v>
      </c>
      <c r="BB120">
        <f>IF(OR(Расчёты!F120=0,Расчёты!F120&lt;=N('Исходные данные'!$B$37)),0,-(AZ120+BA120)*N('Сценарный анализ'!$D$9))</f>
        <v>0</v>
      </c>
      <c r="BC120">
        <f t="shared" si="68"/>
        <v>0</v>
      </c>
      <c r="BD120">
        <f>IF('Исходные данные'!$B$51="Да",BC120*N('Исходные данные'!$B$52),0)</f>
        <v>0</v>
      </c>
      <c r="BE120">
        <f t="shared" si="69"/>
        <v>0</v>
      </c>
      <c r="BF120">
        <f>BC120+(Расчёты!Y120-Расчёты!L120)</f>
        <v>0</v>
      </c>
      <c r="BG120">
        <f t="shared" si="76"/>
        <v>0</v>
      </c>
      <c r="BH120">
        <f>IF('Исходные данные'!$B$51="Да",-MAX(0,BD120+Расчёты!R120+Расчёты!V120-Расчёты!P120-Расчёты!T120-BG120),0)</f>
        <v>0</v>
      </c>
      <c r="BI120">
        <f>IF('Исходные данные'!$B$51="Да",MAX(0,BG120+Расчёты!P120+Расчёты!T120-BD120-Расчёты!R120-Расчёты!V120),0)</f>
        <v>0</v>
      </c>
      <c r="BJ120">
        <f>IF('Исходные данные'!$B$53="Выручка",MAX(0,BC120+(Расчёты!Q120-Расчёты!R120)+(Расчёты!U120-Расчёты!V120)),IF('Исходные данные'!$B$53="Прибыль до налога",MAX(0,BC120+(Расчёты!Q120-Расчёты!R120)+(Расчёты!U120-Расчёты!V120)+N('Исходные данные'!$B$54)*((Расчёты!O120+Расчёты!P120)+(Расчёты!S120+Расчёты!T120)+Расчёты!W120+Расчёты!X120)+IF('Исходные данные'!$B$55="Да",Расчёты!AG120,0)-N('Исходные данные'!$B$56)/12),IF('Исходные данные'!$B$53="Пользовательская база",MAX(0,N('Исходные данные'!$B$57)/12),0)))</f>
        <v>0</v>
      </c>
      <c r="BK120">
        <f>IF(D120=1,-BJ120*N('Исходные данные'!$B$50),0)</f>
        <v>0</v>
      </c>
      <c r="BL120">
        <f t="shared" si="70"/>
        <v>0</v>
      </c>
      <c r="BM120">
        <f>IF(OR(D120&lt;&gt;1,B120="",'Исходные данные'!$B$91="",N('Исходные данные'!$B$80)&lt;=0,'Исходные данные'!$B$88=""),0,IF(AND(YEAR(B120)=YEAR('Исходные данные'!$B$91),MONTH(B120)=MONTH('Исходные данные'!$B$91)),MAX(0,IF('Исходные данные'!$B$88="Последние 12 месяцев",SUMIFS($BF$2:$BF$194,$B$2:$B$194,"&gt;="&amp;EDATE(B120,-11),$B$2:$B$194,"&lt;="&amp;B120),IF('Исходные данные'!$B$88="Пользовательский NOI",N('Исходные данные'!$B$89),BL120))/N('Исходные данные'!$B$80)*(1+N('Исходные данные'!$B$81))),0))</f>
        <v>0</v>
      </c>
      <c r="BN120">
        <f>-BM120*N('Исходные данные'!$B$73)</f>
        <v>0</v>
      </c>
      <c r="BO120">
        <f>IF(BM120=0,0,-N('Исходные данные'!$B$87)-IF('Исходные данные'!$B$82="Да",IF('Исходные данные'!$B$84="С выручки",BM120,IF('Исходные данные'!$B$84="С прибыли",MAX(0,BM120+BN120-IF('Исходные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20">
        <f t="shared" si="71"/>
        <v>0</v>
      </c>
      <c r="BQ120">
        <f>IF(D120=1,Расчёты!AZ120+BE120+BH120+BK120+BP120,0)</f>
        <v>0</v>
      </c>
      <c r="BR120" t="str">
        <f t="shared" si="77"/>
        <v/>
      </c>
      <c r="BS120">
        <f>IF(OR(D120=0,'Исходные данные'!$B$9="",'Исходные данные'!$B$90=""),0,BQ120/(1+'Исходные данные'!$B$90)^((C120-'Исходные данные'!$B$9)/365))</f>
        <v>0</v>
      </c>
      <c r="BT120">
        <f>IF(D120=1,BE120+Расчёты!O120+Расчёты!Q120+Расчёты!S120+Расчёты!U120+Расчёты!W120+Расчёты!X120+BH120+BK120,0)</f>
        <v>0</v>
      </c>
      <c r="BU120">
        <f>IF(AND(D120=1,BR120&gt;=0,BR119&lt;0,MIN($BR$2:BR120)&lt;0),1,0)</f>
        <v>0</v>
      </c>
      <c r="BV120">
        <f>Расчёты!AZ120+K120+N120-P120*N('Исходные данные'!$B$50)</f>
        <v>0</v>
      </c>
      <c r="BW120">
        <f t="shared" si="57"/>
        <v>0</v>
      </c>
      <c r="BX120">
        <f>IF(AND(BW120&gt;=0,BW119&lt;0,MIN($BW$2:BW120)&lt;0),1,0)</f>
        <v>0</v>
      </c>
      <c r="BY120">
        <f>Расчёты!AZ120+AH120+AK120-AM120*N('Исходные данные'!$B$50)</f>
        <v>0</v>
      </c>
      <c r="BZ120">
        <f t="shared" si="58"/>
        <v>0</v>
      </c>
      <c r="CA120">
        <f>IF(AND(BZ120&gt;=0,BZ119&lt;0,MIN($BZ$2:BZ120)&lt;0),1,0)</f>
        <v>0</v>
      </c>
      <c r="CB120">
        <f>Расчёты!AZ120+BE120+BH120-BJ120*N('Исходные данные'!$B$50)</f>
        <v>0</v>
      </c>
      <c r="CC120">
        <f t="shared" si="59"/>
        <v>0</v>
      </c>
      <c r="CD120">
        <f>IF(AND(CC120&gt;=0,CC119&lt;0,MIN($CC$2:CC120)&lt;0),1,0)</f>
        <v>0</v>
      </c>
    </row>
    <row r="121" spans="1:82" x14ac:dyDescent="0.2">
      <c r="A121">
        <f>Расчёты!A121</f>
        <v>120</v>
      </c>
      <c r="B121" t="str">
        <f>Расчёты!B121</f>
        <v/>
      </c>
      <c r="C121" t="str">
        <f>Расчёты!D121</f>
        <v/>
      </c>
      <c r="D121">
        <f>Расчёты!E121</f>
        <v>0</v>
      </c>
      <c r="E121">
        <f>IF(Расчёты!F121=0,0,IF(Расчёты!G121=1,N('Сценарный анализ'!$B$5),IF(Расчёты!G121=2,N('Сценарный анализ'!$B$6),IF(Расчёты!G121=3,N('Сценарный анализ'!$B$7),N('Сценарный анализ'!$B$7)*(1+N('Сценарный анализ'!$B$8))^(Расчёты!G121-3)))))</f>
        <v>0</v>
      </c>
      <c r="F121">
        <f>IF(OR(Расчёты!F121=0,N('Исходные данные'!$B$5)=0,E121=0),0,N('Исходные данные'!$B$5)*E121*IF(AND(B121&lt;='Исходные данные'!$B$30,Расчёты!C121&gt;='Исходные данные'!$B$30),(Расчёты!C121-'Исходные данные'!$B$30+1)/DAY(Расчёты!C121),1))</f>
        <v>0</v>
      </c>
      <c r="G121">
        <f>IF(AND(Расчёты!F121&gt;0,Расчёты!F121&lt;=N('Исходные данные'!$B$37)),-F121,0)</f>
        <v>0</v>
      </c>
      <c r="H121">
        <f>IF(OR(Расчёты!F121=0,Расчёты!F121&lt;=N('Исходные данные'!$B$37)),0,-(F121+G121)*N('Сценарный анализ'!$B$9))</f>
        <v>0</v>
      </c>
      <c r="I121">
        <f t="shared" si="60"/>
        <v>0</v>
      </c>
      <c r="J121">
        <f>IF('Исходные данные'!$B$51="Да",I121*N('Исходные данные'!$B$52),0)</f>
        <v>0</v>
      </c>
      <c r="K121">
        <f t="shared" si="61"/>
        <v>0</v>
      </c>
      <c r="L121">
        <f>I121+(Расчёты!Y121-Расчёты!L121)</f>
        <v>0</v>
      </c>
      <c r="M121">
        <f t="shared" si="72"/>
        <v>0</v>
      </c>
      <c r="N121">
        <f>IF('Исходные данные'!$B$51="Да",-MAX(0,J121+Расчёты!R121+Расчёты!V121-Расчёты!P121-Расчёты!T121-M121),0)</f>
        <v>0</v>
      </c>
      <c r="O121">
        <f>IF('Исходные данные'!$B$51="Да",MAX(0,M121+Расчёты!P121+Расчёты!T121-J121-Расчёты!R121-Расчёты!V121),0)</f>
        <v>0</v>
      </c>
      <c r="P121">
        <f>IF('Исходные данные'!$B$53="Выручка",MAX(0,I121+(Расчёты!Q121-Расчёты!R121)+(Расчёты!U121-Расчёты!V121)),IF('Исходные данные'!$B$53="Прибыль до налога",MAX(0,I121+(Расчёты!Q121-Расчёты!R121)+(Расчёты!U121-Расчёты!V121)+N('Исходные данные'!$B$54)*((Расчёты!O121+Расчёты!P121)+(Расчёты!S121+Расчёты!T121)+Расчёты!W121+Расчёты!X121)+IF('Исходные данные'!$B$55="Да",Расчёты!AG121,0)-N('Исходные данные'!$B$56)/12),IF('Исходные данные'!$B$53="Пользовательская база",MAX(0,N('Исходные данные'!$B$57)/12),0)))</f>
        <v>0</v>
      </c>
      <c r="Q121">
        <f>IF(D121=1,-P121*N('Исходные данные'!$B$50),0)</f>
        <v>0</v>
      </c>
      <c r="R121">
        <f t="shared" si="62"/>
        <v>0</v>
      </c>
      <c r="S121">
        <f>IF(OR(D121&lt;&gt;1,B121="",'Исходные данные'!$B$91="",N('Исходные данные'!$B$80)&lt;=0,'Исходные данные'!$B$88=""),0,IF(AND(YEAR(B121)=YEAR('Исходные данные'!$B$91),MONTH(B121)=MONTH('Исходные данные'!$B$91)),MAX(0,IF('Исходные данные'!$B$88="Последние 12 месяцев",SUMIFS($L$2:$L$194,$B$2:$B$194,"&gt;="&amp;EDATE(B121,-11),$B$2:$B$194,"&lt;="&amp;B121),IF('Исходные данные'!$B$88="Пользовательский NOI",N('Исходные данные'!$B$89),R121))/N('Исходные данные'!$B$80)*(1+N('Исходные данные'!$B$81))),0))</f>
        <v>0</v>
      </c>
      <c r="T121">
        <f>-S121*N('Исходные данные'!$B$73)</f>
        <v>0</v>
      </c>
      <c r="U121">
        <f>IF(S121=0,0,-N('Исходные данные'!$B$87)-IF('Исходные данные'!$B$82="Да",IF('Исходные данные'!$B$84="С выручки",S121,IF('Исходные данные'!$B$84="С прибыли",MAX(0,S121+T121-IF('Исходные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21">
        <f t="shared" si="63"/>
        <v>0</v>
      </c>
      <c r="W121">
        <f>IF(D121=1,Расчёты!AZ121+K121+N121+Q121+V121,0)</f>
        <v>0</v>
      </c>
      <c r="X121" t="str">
        <f t="shared" si="73"/>
        <v/>
      </c>
      <c r="Y121">
        <f>IF(OR(D121=0,'Исходные данные'!$B$9="",'Исходные данные'!$B$90=""),0,W121/(1+'Исходные данные'!$B$90)^((C121-'Исходные данные'!$B$9)/365))</f>
        <v>0</v>
      </c>
      <c r="Z121">
        <f>IF(D121=1,K121+Расчёты!O121+Расчёты!Q121+Расчёты!S121+Расчёты!U121+Расчёты!W121+Расчёты!X121+N121+Q121,0)</f>
        <v>0</v>
      </c>
      <c r="AA121">
        <f>IF(AND(D121=1,X121&gt;=0,X120&lt;0,MIN($X$2:X121)&lt;0),1,0)</f>
        <v>0</v>
      </c>
      <c r="AB121">
        <f>IF(Расчёты!F121=0,0,IF(Расчёты!G121=1,N('Сценарный анализ'!$C$5),IF(Расчёты!G121=2,N('Сценарный анализ'!$C$6),IF(Расчёты!G121=3,N('Сценарный анализ'!$C$7),N('Сценарный анализ'!$C$7)*(1+N('Сценарный анализ'!$C$8))^(Расчёты!G121-3)))))</f>
        <v>0</v>
      </c>
      <c r="AC121">
        <f>IF(OR(Расчёты!F121=0,N('Исходные данные'!$B$5)=0,AB121=0),0,N('Исходные данные'!$B$5)*AB121*IF(AND(B121&lt;='Исходные данные'!$B$30,Расчёты!C121&gt;='Исходные данные'!$B$30),(Расчёты!C121-'Исходные данные'!$B$30+1)/DAY(Расчёты!C121),1))</f>
        <v>0</v>
      </c>
      <c r="AD121">
        <f>IF(AND(Расчёты!F121&gt;0,Расчёты!F121&lt;=N('Исходные данные'!$B$37)),-AC121,0)</f>
        <v>0</v>
      </c>
      <c r="AE121">
        <f>IF(OR(Расчёты!F121=0,Расчёты!F121&lt;=N('Исходные данные'!$B$37)),0,-(AC121+AD121)*N('Сценарный анализ'!$C$9))</f>
        <v>0</v>
      </c>
      <c r="AF121">
        <f t="shared" si="64"/>
        <v>0</v>
      </c>
      <c r="AG121">
        <f>IF('Исходные данные'!$B$51="Да",AF121*N('Исходные данные'!$B$52),0)</f>
        <v>0</v>
      </c>
      <c r="AH121">
        <f t="shared" si="65"/>
        <v>0</v>
      </c>
      <c r="AI121">
        <f>AF121+(Расчёты!Y121-Расчёты!L121)</f>
        <v>0</v>
      </c>
      <c r="AJ121">
        <f t="shared" si="74"/>
        <v>0</v>
      </c>
      <c r="AK121">
        <f>IF('Исходные данные'!$B$51="Да",-MAX(0,AG121+Расчёты!R121+Расчёты!V121-Расчёты!P121-Расчёты!T121-AJ121),0)</f>
        <v>0</v>
      </c>
      <c r="AL121">
        <f>IF('Исходные данные'!$B$51="Да",MAX(0,AJ121+Расчёты!P121+Расчёты!T121-AG121-Расчёты!R121-Расчёты!V121),0)</f>
        <v>0</v>
      </c>
      <c r="AM121">
        <f>IF('Исходные данные'!$B$53="Выручка",MAX(0,AF121+(Расчёты!Q121-Расчёты!R121)+(Расчёты!U121-Расчёты!V121)),IF('Исходные данные'!$B$53="Прибыль до налога",MAX(0,AF121+(Расчёты!Q121-Расчёты!R121)+(Расчёты!U121-Расчёты!V121)+N('Исходные данные'!$B$54)*((Расчёты!O121+Расчёты!P121)+(Расчёты!S121+Расчёты!T121)+Расчёты!W121+Расчёты!X121)+IF('Исходные данные'!$B$55="Да",Расчёты!AG121,0)-N('Исходные данные'!$B$56)/12),IF('Исходные данные'!$B$53="Пользовательская база",MAX(0,N('Исходные данные'!$B$57)/12),0)))</f>
        <v>0</v>
      </c>
      <c r="AN121">
        <f>IF(D121=1,-AM121*N('Исходные данные'!$B$50),0)</f>
        <v>0</v>
      </c>
      <c r="AO121">
        <f t="shared" si="66"/>
        <v>0</v>
      </c>
      <c r="AP121">
        <f>IF(OR(D121&lt;&gt;1,B121="",'Исходные данные'!$B$91="",N('Исходные данные'!$B$80)&lt;=0,'Исходные данные'!$B$88=""),0,IF(AND(YEAR(B121)=YEAR('Исходные данные'!$B$91),MONTH(B121)=MONTH('Исходные данные'!$B$91)),MAX(0,IF('Исходные данные'!$B$88="Последние 12 месяцев",SUMIFS($AI$2:$AI$194,$B$2:$B$194,"&gt;="&amp;EDATE(B121,-11),$B$2:$B$194,"&lt;="&amp;B121),IF('Исходные данные'!$B$88="Пользовательский NOI",N('Исходные данные'!$B$89),AO121))/N('Исходные данные'!$B$80)*(1+N('Исходные данные'!$B$81))),0))</f>
        <v>0</v>
      </c>
      <c r="AQ121">
        <f>-AP121*N('Исходные данные'!$B$73)</f>
        <v>0</v>
      </c>
      <c r="AR121">
        <f>IF(AP121=0,0,-N('Исходные данные'!$B$87)-IF('Исходные данные'!$B$82="Да",IF('Исходные данные'!$B$84="С выручки",AP121,IF('Исходные данные'!$B$84="С прибыли",MAX(0,AP121+AQ121-IF('Исходные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21">
        <f t="shared" si="67"/>
        <v>0</v>
      </c>
      <c r="AT121">
        <f>IF(D121=1,Расчёты!AZ121+AH121+AK121+AN121+AS121,0)</f>
        <v>0</v>
      </c>
      <c r="AU121" t="str">
        <f t="shared" si="75"/>
        <v/>
      </c>
      <c r="AV121">
        <f>IF(OR(D121=0,'Исходные данные'!$B$9="",'Исходные данные'!$B$90=""),0,AT121/(1+'Исходные данные'!$B$90)^((C121-'Исходные данные'!$B$9)/365))</f>
        <v>0</v>
      </c>
      <c r="AW121">
        <f>IF(D121=1,AH121+Расчёты!O121+Расчёты!Q121+Расчёты!S121+Расчёты!U121+Расчёты!W121+Расчёты!X121+AK121+AN121,0)</f>
        <v>0</v>
      </c>
      <c r="AX121">
        <f>IF(AND(D121=1,AU121&gt;=0,AU120&lt;0,MIN($AU$2:AU121)&lt;0),1,0)</f>
        <v>0</v>
      </c>
      <c r="AY121">
        <f>IF(Расчёты!F121=0,0,IF(Расчёты!G121=1,N('Сценарный анализ'!$D$5),IF(Расчёты!G121=2,N('Сценарный анализ'!$D$6),IF(Расчёты!G121=3,N('Сценарный анализ'!$D$7),N('Сценарный анализ'!$D$7)*(1+N('Сценарный анализ'!$D$8))^(Расчёты!G121-3)))))</f>
        <v>0</v>
      </c>
      <c r="AZ121">
        <f>IF(OR(Расчёты!F121=0,N('Исходные данные'!$B$5)=0,AY121=0),0,N('Исходные данные'!$B$5)*AY121*IF(AND(B121&lt;='Исходные данные'!$B$30,Расчёты!C121&gt;='Исходные данные'!$B$30),(Расчёты!C121-'Исходные данные'!$B$30+1)/DAY(Расчёты!C121),1))</f>
        <v>0</v>
      </c>
      <c r="BA121">
        <f>IF(AND(Расчёты!F121&gt;0,Расчёты!F121&lt;=N('Исходные данные'!$B$37)),-AZ121,0)</f>
        <v>0</v>
      </c>
      <c r="BB121">
        <f>IF(OR(Расчёты!F121=0,Расчёты!F121&lt;=N('Исходные данные'!$B$37)),0,-(AZ121+BA121)*N('Сценарный анализ'!$D$9))</f>
        <v>0</v>
      </c>
      <c r="BC121">
        <f t="shared" si="68"/>
        <v>0</v>
      </c>
      <c r="BD121">
        <f>IF('Исходные данные'!$B$51="Да",BC121*N('Исходные данные'!$B$52),0)</f>
        <v>0</v>
      </c>
      <c r="BE121">
        <f t="shared" si="69"/>
        <v>0</v>
      </c>
      <c r="BF121">
        <f>BC121+(Расчёты!Y121-Расчёты!L121)</f>
        <v>0</v>
      </c>
      <c r="BG121">
        <f t="shared" si="76"/>
        <v>0</v>
      </c>
      <c r="BH121">
        <f>IF('Исходные данные'!$B$51="Да",-MAX(0,BD121+Расчёты!R121+Расчёты!V121-Расчёты!P121-Расчёты!T121-BG121),0)</f>
        <v>0</v>
      </c>
      <c r="BI121">
        <f>IF('Исходные данные'!$B$51="Да",MAX(0,BG121+Расчёты!P121+Расчёты!T121-BD121-Расчёты!R121-Расчёты!V121),0)</f>
        <v>0</v>
      </c>
      <c r="BJ121">
        <f>IF('Исходные данные'!$B$53="Выручка",MAX(0,BC121+(Расчёты!Q121-Расчёты!R121)+(Расчёты!U121-Расчёты!V121)),IF('Исходные данные'!$B$53="Прибыль до налога",MAX(0,BC121+(Расчёты!Q121-Расчёты!R121)+(Расчёты!U121-Расчёты!V121)+N('Исходные данные'!$B$54)*((Расчёты!O121+Расчёты!P121)+(Расчёты!S121+Расчёты!T121)+Расчёты!W121+Расчёты!X121)+IF('Исходные данные'!$B$55="Да",Расчёты!AG121,0)-N('Исходные данные'!$B$56)/12),IF('Исходные данные'!$B$53="Пользовательская база",MAX(0,N('Исходные данные'!$B$57)/12),0)))</f>
        <v>0</v>
      </c>
      <c r="BK121">
        <f>IF(D121=1,-BJ121*N('Исходные данные'!$B$50),0)</f>
        <v>0</v>
      </c>
      <c r="BL121">
        <f t="shared" si="70"/>
        <v>0</v>
      </c>
      <c r="BM121">
        <f>IF(OR(D121&lt;&gt;1,B121="",'Исходные данные'!$B$91="",N('Исходные данные'!$B$80)&lt;=0,'Исходные данные'!$B$88=""),0,IF(AND(YEAR(B121)=YEAR('Исходные данные'!$B$91),MONTH(B121)=MONTH('Исходные данные'!$B$91)),MAX(0,IF('Исходные данные'!$B$88="Последние 12 месяцев",SUMIFS($BF$2:$BF$194,$B$2:$B$194,"&gt;="&amp;EDATE(B121,-11),$B$2:$B$194,"&lt;="&amp;B121),IF('Исходные данные'!$B$88="Пользовательский NOI",N('Исходные данные'!$B$89),BL121))/N('Исходные данные'!$B$80)*(1+N('Исходные данные'!$B$81))),0))</f>
        <v>0</v>
      </c>
      <c r="BN121">
        <f>-BM121*N('Исходные данные'!$B$73)</f>
        <v>0</v>
      </c>
      <c r="BO121">
        <f>IF(BM121=0,0,-N('Исходные данные'!$B$87)-IF('Исходные данные'!$B$82="Да",IF('Исходные данные'!$B$84="С выручки",BM121,IF('Исходные данные'!$B$84="С прибыли",MAX(0,BM121+BN121-IF('Исходные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21">
        <f t="shared" si="71"/>
        <v>0</v>
      </c>
      <c r="BQ121">
        <f>IF(D121=1,Расчёты!AZ121+BE121+BH121+BK121+BP121,0)</f>
        <v>0</v>
      </c>
      <c r="BR121" t="str">
        <f t="shared" si="77"/>
        <v/>
      </c>
      <c r="BS121">
        <f>IF(OR(D121=0,'Исходные данные'!$B$9="",'Исходные данные'!$B$90=""),0,BQ121/(1+'Исходные данные'!$B$90)^((C121-'Исходные данные'!$B$9)/365))</f>
        <v>0</v>
      </c>
      <c r="BT121">
        <f>IF(D121=1,BE121+Расчёты!O121+Расчёты!Q121+Расчёты!S121+Расчёты!U121+Расчёты!W121+Расчёты!X121+BH121+BK121,0)</f>
        <v>0</v>
      </c>
      <c r="BU121">
        <f>IF(AND(D121=1,BR121&gt;=0,BR120&lt;0,MIN($BR$2:BR121)&lt;0),1,0)</f>
        <v>0</v>
      </c>
      <c r="BV121">
        <f>Расчёты!AZ121+K121+N121-P121*N('Исходные данные'!$B$50)</f>
        <v>0</v>
      </c>
      <c r="BW121">
        <f t="shared" si="57"/>
        <v>0</v>
      </c>
      <c r="BX121">
        <f>IF(AND(BW121&gt;=0,BW120&lt;0,MIN($BW$2:BW121)&lt;0),1,0)</f>
        <v>0</v>
      </c>
      <c r="BY121">
        <f>Расчёты!AZ121+AH121+AK121-AM121*N('Исходные данные'!$B$50)</f>
        <v>0</v>
      </c>
      <c r="BZ121">
        <f t="shared" si="58"/>
        <v>0</v>
      </c>
      <c r="CA121">
        <f>IF(AND(BZ121&gt;=0,BZ120&lt;0,MIN($BZ$2:BZ121)&lt;0),1,0)</f>
        <v>0</v>
      </c>
      <c r="CB121">
        <f>Расчёты!AZ121+BE121+BH121-BJ121*N('Исходные данные'!$B$50)</f>
        <v>0</v>
      </c>
      <c r="CC121">
        <f t="shared" si="59"/>
        <v>0</v>
      </c>
      <c r="CD121">
        <f>IF(AND(CC121&gt;=0,CC120&lt;0,MIN($CC$2:CC121)&lt;0),1,0)</f>
        <v>0</v>
      </c>
    </row>
    <row r="122" spans="1:82" x14ac:dyDescent="0.2">
      <c r="A122">
        <f>Расчёты!A122</f>
        <v>121</v>
      </c>
      <c r="B122" t="str">
        <f>Расчёты!B122</f>
        <v/>
      </c>
      <c r="C122" t="str">
        <f>Расчёты!D122</f>
        <v/>
      </c>
      <c r="D122">
        <f>Расчёты!E122</f>
        <v>0</v>
      </c>
      <c r="E122">
        <f>IF(Расчёты!F122=0,0,IF(Расчёты!G122=1,N('Сценарный анализ'!$B$5),IF(Расчёты!G122=2,N('Сценарный анализ'!$B$6),IF(Расчёты!G122=3,N('Сценарный анализ'!$B$7),N('Сценарный анализ'!$B$7)*(1+N('Сценарный анализ'!$B$8))^(Расчёты!G122-3)))))</f>
        <v>0</v>
      </c>
      <c r="F122">
        <f>IF(OR(Расчёты!F122=0,N('Исходные данные'!$B$5)=0,E122=0),0,N('Исходные данные'!$B$5)*E122*IF(AND(B122&lt;='Исходные данные'!$B$30,Расчёты!C122&gt;='Исходные данные'!$B$30),(Расчёты!C122-'Исходные данные'!$B$30+1)/DAY(Расчёты!C122),1))</f>
        <v>0</v>
      </c>
      <c r="G122">
        <f>IF(AND(Расчёты!F122&gt;0,Расчёты!F122&lt;=N('Исходные данные'!$B$37)),-F122,0)</f>
        <v>0</v>
      </c>
      <c r="H122">
        <f>IF(OR(Расчёты!F122=0,Расчёты!F122&lt;=N('Исходные данные'!$B$37)),0,-(F122+G122)*N('Сценарный анализ'!$B$9))</f>
        <v>0</v>
      </c>
      <c r="I122">
        <f t="shared" si="60"/>
        <v>0</v>
      </c>
      <c r="J122">
        <f>IF('Исходные данные'!$B$51="Да",I122*N('Исходные данные'!$B$52),0)</f>
        <v>0</v>
      </c>
      <c r="K122">
        <f t="shared" si="61"/>
        <v>0</v>
      </c>
      <c r="L122">
        <f>I122+(Расчёты!Y122-Расчёты!L122)</f>
        <v>0</v>
      </c>
      <c r="M122">
        <f t="shared" si="72"/>
        <v>0</v>
      </c>
      <c r="N122">
        <f>IF('Исходные данные'!$B$51="Да",-MAX(0,J122+Расчёты!R122+Расчёты!V122-Расчёты!P122-Расчёты!T122-M122),0)</f>
        <v>0</v>
      </c>
      <c r="O122">
        <f>IF('Исходные данные'!$B$51="Да",MAX(0,M122+Расчёты!P122+Расчёты!T122-J122-Расчёты!R122-Расчёты!V122),0)</f>
        <v>0</v>
      </c>
      <c r="P122">
        <f>IF('Исходные данные'!$B$53="Выручка",MAX(0,I122+(Расчёты!Q122-Расчёты!R122)+(Расчёты!U122-Расчёты!V122)),IF('Исходные данные'!$B$53="Прибыль до налога",MAX(0,I122+(Расчёты!Q122-Расчёты!R122)+(Расчёты!U122-Расчёты!V122)+N('Исходные данные'!$B$54)*((Расчёты!O122+Расчёты!P122)+(Расчёты!S122+Расчёты!T122)+Расчёты!W122+Расчёты!X122)+IF('Исходные данные'!$B$55="Да",Расчёты!AG122,0)-N('Исходные данные'!$B$56)/12),IF('Исходные данные'!$B$53="Пользовательская база",MAX(0,N('Исходные данные'!$B$57)/12),0)))</f>
        <v>0</v>
      </c>
      <c r="Q122">
        <f>IF(D122=1,-P122*N('Исходные данные'!$B$50),0)</f>
        <v>0</v>
      </c>
      <c r="R122">
        <f t="shared" si="62"/>
        <v>0</v>
      </c>
      <c r="S122">
        <f>IF(OR(D122&lt;&gt;1,B122="",'Исходные данные'!$B$91="",N('Исходные данные'!$B$80)&lt;=0,'Исходные данные'!$B$88=""),0,IF(AND(YEAR(B122)=YEAR('Исходные данные'!$B$91),MONTH(B122)=MONTH('Исходные данные'!$B$91)),MAX(0,IF('Исходные данные'!$B$88="Последние 12 месяцев",SUMIFS($L$2:$L$194,$B$2:$B$194,"&gt;="&amp;EDATE(B122,-11),$B$2:$B$194,"&lt;="&amp;B122),IF('Исходные данные'!$B$88="Пользовательский NOI",N('Исходные данные'!$B$89),R122))/N('Исходные данные'!$B$80)*(1+N('Исходные данные'!$B$81))),0))</f>
        <v>0</v>
      </c>
      <c r="T122">
        <f>-S122*N('Исходные данные'!$B$73)</f>
        <v>0</v>
      </c>
      <c r="U122">
        <f>IF(S122=0,0,-N('Исходные данные'!$B$87)-IF('Исходные данные'!$B$82="Да",IF('Исходные данные'!$B$84="С выручки",S122,IF('Исходные данные'!$B$84="С прибыли",MAX(0,S122+T122-IF('Исходные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22">
        <f t="shared" si="63"/>
        <v>0</v>
      </c>
      <c r="W122">
        <f>IF(D122=1,Расчёты!AZ122+K122+N122+Q122+V122,0)</f>
        <v>0</v>
      </c>
      <c r="X122" t="str">
        <f t="shared" si="73"/>
        <v/>
      </c>
      <c r="Y122">
        <f>IF(OR(D122=0,'Исходные данные'!$B$9="",'Исходные данные'!$B$90=""),0,W122/(1+'Исходные данные'!$B$90)^((C122-'Исходные данные'!$B$9)/365))</f>
        <v>0</v>
      </c>
      <c r="Z122">
        <f>IF(D122=1,K122+Расчёты!O122+Расчёты!Q122+Расчёты!S122+Расчёты!U122+Расчёты!W122+Расчёты!X122+N122+Q122,0)</f>
        <v>0</v>
      </c>
      <c r="AA122">
        <f>IF(AND(D122=1,X122&gt;=0,X121&lt;0,MIN($X$2:X122)&lt;0),1,0)</f>
        <v>0</v>
      </c>
      <c r="AB122">
        <f>IF(Расчёты!F122=0,0,IF(Расчёты!G122=1,N('Сценарный анализ'!$C$5),IF(Расчёты!G122=2,N('Сценарный анализ'!$C$6),IF(Расчёты!G122=3,N('Сценарный анализ'!$C$7),N('Сценарный анализ'!$C$7)*(1+N('Сценарный анализ'!$C$8))^(Расчёты!G122-3)))))</f>
        <v>0</v>
      </c>
      <c r="AC122">
        <f>IF(OR(Расчёты!F122=0,N('Исходные данные'!$B$5)=0,AB122=0),0,N('Исходные данные'!$B$5)*AB122*IF(AND(B122&lt;='Исходные данные'!$B$30,Расчёты!C122&gt;='Исходные данные'!$B$30),(Расчёты!C122-'Исходные данные'!$B$30+1)/DAY(Расчёты!C122),1))</f>
        <v>0</v>
      </c>
      <c r="AD122">
        <f>IF(AND(Расчёты!F122&gt;0,Расчёты!F122&lt;=N('Исходные данные'!$B$37)),-AC122,0)</f>
        <v>0</v>
      </c>
      <c r="AE122">
        <f>IF(OR(Расчёты!F122=0,Расчёты!F122&lt;=N('Исходные данные'!$B$37)),0,-(AC122+AD122)*N('Сценарный анализ'!$C$9))</f>
        <v>0</v>
      </c>
      <c r="AF122">
        <f t="shared" si="64"/>
        <v>0</v>
      </c>
      <c r="AG122">
        <f>IF('Исходные данные'!$B$51="Да",AF122*N('Исходные данные'!$B$52),0)</f>
        <v>0</v>
      </c>
      <c r="AH122">
        <f t="shared" si="65"/>
        <v>0</v>
      </c>
      <c r="AI122">
        <f>AF122+(Расчёты!Y122-Расчёты!L122)</f>
        <v>0</v>
      </c>
      <c r="AJ122">
        <f t="shared" si="74"/>
        <v>0</v>
      </c>
      <c r="AK122">
        <f>IF('Исходные данные'!$B$51="Да",-MAX(0,AG122+Расчёты!R122+Расчёты!V122-Расчёты!P122-Расчёты!T122-AJ122),0)</f>
        <v>0</v>
      </c>
      <c r="AL122">
        <f>IF('Исходные данные'!$B$51="Да",MAX(0,AJ122+Расчёты!P122+Расчёты!T122-AG122-Расчёты!R122-Расчёты!V122),0)</f>
        <v>0</v>
      </c>
      <c r="AM122">
        <f>IF('Исходные данные'!$B$53="Выручка",MAX(0,AF122+(Расчёты!Q122-Расчёты!R122)+(Расчёты!U122-Расчёты!V122)),IF('Исходные данные'!$B$53="Прибыль до налога",MAX(0,AF122+(Расчёты!Q122-Расчёты!R122)+(Расчёты!U122-Расчёты!V122)+N('Исходные данные'!$B$54)*((Расчёты!O122+Расчёты!P122)+(Расчёты!S122+Расчёты!T122)+Расчёты!W122+Расчёты!X122)+IF('Исходные данные'!$B$55="Да",Расчёты!AG122,0)-N('Исходные данные'!$B$56)/12),IF('Исходные данные'!$B$53="Пользовательская база",MAX(0,N('Исходные данные'!$B$57)/12),0)))</f>
        <v>0</v>
      </c>
      <c r="AN122">
        <f>IF(D122=1,-AM122*N('Исходные данные'!$B$50),0)</f>
        <v>0</v>
      </c>
      <c r="AO122">
        <f t="shared" si="66"/>
        <v>0</v>
      </c>
      <c r="AP122">
        <f>IF(OR(D122&lt;&gt;1,B122="",'Исходные данные'!$B$91="",N('Исходные данные'!$B$80)&lt;=0,'Исходные данные'!$B$88=""),0,IF(AND(YEAR(B122)=YEAR('Исходные данные'!$B$91),MONTH(B122)=MONTH('Исходные данные'!$B$91)),MAX(0,IF('Исходные данные'!$B$88="Последние 12 месяцев",SUMIFS($AI$2:$AI$194,$B$2:$B$194,"&gt;="&amp;EDATE(B122,-11),$B$2:$B$194,"&lt;="&amp;B122),IF('Исходные данные'!$B$88="Пользовательский NOI",N('Исходные данные'!$B$89),AO122))/N('Исходные данные'!$B$80)*(1+N('Исходные данные'!$B$81))),0))</f>
        <v>0</v>
      </c>
      <c r="AQ122">
        <f>-AP122*N('Исходные данные'!$B$73)</f>
        <v>0</v>
      </c>
      <c r="AR122">
        <f>IF(AP122=0,0,-N('Исходные данные'!$B$87)-IF('Исходные данные'!$B$82="Да",IF('Исходные данные'!$B$84="С выручки",AP122,IF('Исходные данные'!$B$84="С прибыли",MAX(0,AP122+AQ122-IF('Исходные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22">
        <f t="shared" si="67"/>
        <v>0</v>
      </c>
      <c r="AT122">
        <f>IF(D122=1,Расчёты!AZ122+AH122+AK122+AN122+AS122,0)</f>
        <v>0</v>
      </c>
      <c r="AU122" t="str">
        <f t="shared" si="75"/>
        <v/>
      </c>
      <c r="AV122">
        <f>IF(OR(D122=0,'Исходные данные'!$B$9="",'Исходные данные'!$B$90=""),0,AT122/(1+'Исходные данные'!$B$90)^((C122-'Исходные данные'!$B$9)/365))</f>
        <v>0</v>
      </c>
      <c r="AW122">
        <f>IF(D122=1,AH122+Расчёты!O122+Расчёты!Q122+Расчёты!S122+Расчёты!U122+Расчёты!W122+Расчёты!X122+AK122+AN122,0)</f>
        <v>0</v>
      </c>
      <c r="AX122">
        <f>IF(AND(D122=1,AU122&gt;=0,AU121&lt;0,MIN($AU$2:AU122)&lt;0),1,0)</f>
        <v>0</v>
      </c>
      <c r="AY122">
        <f>IF(Расчёты!F122=0,0,IF(Расчёты!G122=1,N('Сценарный анализ'!$D$5),IF(Расчёты!G122=2,N('Сценарный анализ'!$D$6),IF(Расчёты!G122=3,N('Сценарный анализ'!$D$7),N('Сценарный анализ'!$D$7)*(1+N('Сценарный анализ'!$D$8))^(Расчёты!G122-3)))))</f>
        <v>0</v>
      </c>
      <c r="AZ122">
        <f>IF(OR(Расчёты!F122=0,N('Исходные данные'!$B$5)=0,AY122=0),0,N('Исходные данные'!$B$5)*AY122*IF(AND(B122&lt;='Исходные данные'!$B$30,Расчёты!C122&gt;='Исходные данные'!$B$30),(Расчёты!C122-'Исходные данные'!$B$30+1)/DAY(Расчёты!C122),1))</f>
        <v>0</v>
      </c>
      <c r="BA122">
        <f>IF(AND(Расчёты!F122&gt;0,Расчёты!F122&lt;=N('Исходные данные'!$B$37)),-AZ122,0)</f>
        <v>0</v>
      </c>
      <c r="BB122">
        <f>IF(OR(Расчёты!F122=0,Расчёты!F122&lt;=N('Исходные данные'!$B$37)),0,-(AZ122+BA122)*N('Сценарный анализ'!$D$9))</f>
        <v>0</v>
      </c>
      <c r="BC122">
        <f t="shared" si="68"/>
        <v>0</v>
      </c>
      <c r="BD122">
        <f>IF('Исходные данные'!$B$51="Да",BC122*N('Исходные данные'!$B$52),0)</f>
        <v>0</v>
      </c>
      <c r="BE122">
        <f t="shared" si="69"/>
        <v>0</v>
      </c>
      <c r="BF122">
        <f>BC122+(Расчёты!Y122-Расчёты!L122)</f>
        <v>0</v>
      </c>
      <c r="BG122">
        <f t="shared" si="76"/>
        <v>0</v>
      </c>
      <c r="BH122">
        <f>IF('Исходные данные'!$B$51="Да",-MAX(0,BD122+Расчёты!R122+Расчёты!V122-Расчёты!P122-Расчёты!T122-BG122),0)</f>
        <v>0</v>
      </c>
      <c r="BI122">
        <f>IF('Исходные данные'!$B$51="Да",MAX(0,BG122+Расчёты!P122+Расчёты!T122-BD122-Расчёты!R122-Расчёты!V122),0)</f>
        <v>0</v>
      </c>
      <c r="BJ122">
        <f>IF('Исходные данные'!$B$53="Выручка",MAX(0,BC122+(Расчёты!Q122-Расчёты!R122)+(Расчёты!U122-Расчёты!V122)),IF('Исходные данные'!$B$53="Прибыль до налога",MAX(0,BC122+(Расчёты!Q122-Расчёты!R122)+(Расчёты!U122-Расчёты!V122)+N('Исходные данные'!$B$54)*((Расчёты!O122+Расчёты!P122)+(Расчёты!S122+Расчёты!T122)+Расчёты!W122+Расчёты!X122)+IF('Исходные данные'!$B$55="Да",Расчёты!AG122,0)-N('Исходные данные'!$B$56)/12),IF('Исходные данные'!$B$53="Пользовательская база",MAX(0,N('Исходные данные'!$B$57)/12),0)))</f>
        <v>0</v>
      </c>
      <c r="BK122">
        <f>IF(D122=1,-BJ122*N('Исходные данные'!$B$50),0)</f>
        <v>0</v>
      </c>
      <c r="BL122">
        <f t="shared" si="70"/>
        <v>0</v>
      </c>
      <c r="BM122">
        <f>IF(OR(D122&lt;&gt;1,B122="",'Исходные данные'!$B$91="",N('Исходные данные'!$B$80)&lt;=0,'Исходные данные'!$B$88=""),0,IF(AND(YEAR(B122)=YEAR('Исходные данные'!$B$91),MONTH(B122)=MONTH('Исходные данные'!$B$91)),MAX(0,IF('Исходные данные'!$B$88="Последние 12 месяцев",SUMIFS($BF$2:$BF$194,$B$2:$B$194,"&gt;="&amp;EDATE(B122,-11),$B$2:$B$194,"&lt;="&amp;B122),IF('Исходные данные'!$B$88="Пользовательский NOI",N('Исходные данные'!$B$89),BL122))/N('Исходные данные'!$B$80)*(1+N('Исходные данные'!$B$81))),0))</f>
        <v>0</v>
      </c>
      <c r="BN122">
        <f>-BM122*N('Исходные данные'!$B$73)</f>
        <v>0</v>
      </c>
      <c r="BO122">
        <f>IF(BM122=0,0,-N('Исходные данные'!$B$87)-IF('Исходные данные'!$B$82="Да",IF('Исходные данные'!$B$84="С выручки",BM122,IF('Исходные данные'!$B$84="С прибыли",MAX(0,BM122+BN122-IF('Исходные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22">
        <f t="shared" si="71"/>
        <v>0</v>
      </c>
      <c r="BQ122">
        <f>IF(D122=1,Расчёты!AZ122+BE122+BH122+BK122+BP122,0)</f>
        <v>0</v>
      </c>
      <c r="BR122" t="str">
        <f t="shared" si="77"/>
        <v/>
      </c>
      <c r="BS122">
        <f>IF(OR(D122=0,'Исходные данные'!$B$9="",'Исходные данные'!$B$90=""),0,BQ122/(1+'Исходные данные'!$B$90)^((C122-'Исходные данные'!$B$9)/365))</f>
        <v>0</v>
      </c>
      <c r="BT122">
        <f>IF(D122=1,BE122+Расчёты!O122+Расчёты!Q122+Расчёты!S122+Расчёты!U122+Расчёты!W122+Расчёты!X122+BH122+BK122,0)</f>
        <v>0</v>
      </c>
      <c r="BU122">
        <f>IF(AND(D122=1,BR122&gt;=0,BR121&lt;0,MIN($BR$2:BR122)&lt;0),1,0)</f>
        <v>0</v>
      </c>
      <c r="BV122">
        <f>Расчёты!AZ122+K122+N122-P122*N('Исходные данные'!$B$50)</f>
        <v>0</v>
      </c>
      <c r="BW122">
        <f t="shared" si="57"/>
        <v>0</v>
      </c>
      <c r="BX122">
        <f>IF(AND(BW122&gt;=0,BW121&lt;0,MIN($BW$2:BW122)&lt;0),1,0)</f>
        <v>0</v>
      </c>
      <c r="BY122">
        <f>Расчёты!AZ122+AH122+AK122-AM122*N('Исходные данные'!$B$50)</f>
        <v>0</v>
      </c>
      <c r="BZ122">
        <f t="shared" si="58"/>
        <v>0</v>
      </c>
      <c r="CA122">
        <f>IF(AND(BZ122&gt;=0,BZ121&lt;0,MIN($BZ$2:BZ122)&lt;0),1,0)</f>
        <v>0</v>
      </c>
      <c r="CB122">
        <f>Расчёты!AZ122+BE122+BH122-BJ122*N('Исходные данные'!$B$50)</f>
        <v>0</v>
      </c>
      <c r="CC122">
        <f t="shared" si="59"/>
        <v>0</v>
      </c>
      <c r="CD122">
        <f>IF(AND(CC122&gt;=0,CC121&lt;0,MIN($CC$2:CC122)&lt;0),1,0)</f>
        <v>0</v>
      </c>
    </row>
    <row r="123" spans="1:82" x14ac:dyDescent="0.2">
      <c r="A123">
        <f>Расчёты!A123</f>
        <v>122</v>
      </c>
      <c r="B123" t="str">
        <f>Расчёты!B123</f>
        <v/>
      </c>
      <c r="C123" t="str">
        <f>Расчёты!D123</f>
        <v/>
      </c>
      <c r="D123">
        <f>Расчёты!E123</f>
        <v>0</v>
      </c>
      <c r="E123">
        <f>IF(Расчёты!F123=0,0,IF(Расчёты!G123=1,N('Сценарный анализ'!$B$5),IF(Расчёты!G123=2,N('Сценарный анализ'!$B$6),IF(Расчёты!G123=3,N('Сценарный анализ'!$B$7),N('Сценарный анализ'!$B$7)*(1+N('Сценарный анализ'!$B$8))^(Расчёты!G123-3)))))</f>
        <v>0</v>
      </c>
      <c r="F123">
        <f>IF(OR(Расчёты!F123=0,N('Исходные данные'!$B$5)=0,E123=0),0,N('Исходные данные'!$B$5)*E123*IF(AND(B123&lt;='Исходные данные'!$B$30,Расчёты!C123&gt;='Исходные данные'!$B$30),(Расчёты!C123-'Исходные данные'!$B$30+1)/DAY(Расчёты!C123),1))</f>
        <v>0</v>
      </c>
      <c r="G123">
        <f>IF(AND(Расчёты!F123&gt;0,Расчёты!F123&lt;=N('Исходные данные'!$B$37)),-F123,0)</f>
        <v>0</v>
      </c>
      <c r="H123">
        <f>IF(OR(Расчёты!F123=0,Расчёты!F123&lt;=N('Исходные данные'!$B$37)),0,-(F123+G123)*N('Сценарный анализ'!$B$9))</f>
        <v>0</v>
      </c>
      <c r="I123">
        <f t="shared" si="60"/>
        <v>0</v>
      </c>
      <c r="J123">
        <f>IF('Исходные данные'!$B$51="Да",I123*N('Исходные данные'!$B$52),0)</f>
        <v>0</v>
      </c>
      <c r="K123">
        <f t="shared" si="61"/>
        <v>0</v>
      </c>
      <c r="L123">
        <f>I123+(Расчёты!Y123-Расчёты!L123)</f>
        <v>0</v>
      </c>
      <c r="M123">
        <f t="shared" si="72"/>
        <v>0</v>
      </c>
      <c r="N123">
        <f>IF('Исходные данные'!$B$51="Да",-MAX(0,J123+Расчёты!R123+Расчёты!V123-Расчёты!P123-Расчёты!T123-M123),0)</f>
        <v>0</v>
      </c>
      <c r="O123">
        <f>IF('Исходные данные'!$B$51="Да",MAX(0,M123+Расчёты!P123+Расчёты!T123-J123-Расчёты!R123-Расчёты!V123),0)</f>
        <v>0</v>
      </c>
      <c r="P123">
        <f>IF('Исходные данные'!$B$53="Выручка",MAX(0,I123+(Расчёты!Q123-Расчёты!R123)+(Расчёты!U123-Расчёты!V123)),IF('Исходные данные'!$B$53="Прибыль до налога",MAX(0,I123+(Расчёты!Q123-Расчёты!R123)+(Расчёты!U123-Расчёты!V123)+N('Исходные данные'!$B$54)*((Расчёты!O123+Расчёты!P123)+(Расчёты!S123+Расчёты!T123)+Расчёты!W123+Расчёты!X123)+IF('Исходные данные'!$B$55="Да",Расчёты!AG123,0)-N('Исходные данные'!$B$56)/12),IF('Исходные данные'!$B$53="Пользовательская база",MAX(0,N('Исходные данные'!$B$57)/12),0)))</f>
        <v>0</v>
      </c>
      <c r="Q123">
        <f>IF(D123=1,-P123*N('Исходные данные'!$B$50),0)</f>
        <v>0</v>
      </c>
      <c r="R123">
        <f t="shared" si="62"/>
        <v>0</v>
      </c>
      <c r="S123">
        <f>IF(OR(D123&lt;&gt;1,B123="",'Исходные данные'!$B$91="",N('Исходные данные'!$B$80)&lt;=0,'Исходные данные'!$B$88=""),0,IF(AND(YEAR(B123)=YEAR('Исходные данные'!$B$91),MONTH(B123)=MONTH('Исходные данные'!$B$91)),MAX(0,IF('Исходные данные'!$B$88="Последние 12 месяцев",SUMIFS($L$2:$L$194,$B$2:$B$194,"&gt;="&amp;EDATE(B123,-11),$B$2:$B$194,"&lt;="&amp;B123),IF('Исходные данные'!$B$88="Пользовательский NOI",N('Исходные данные'!$B$89),R123))/N('Исходные данные'!$B$80)*(1+N('Исходные данные'!$B$81))),0))</f>
        <v>0</v>
      </c>
      <c r="T123">
        <f>-S123*N('Исходные данные'!$B$73)</f>
        <v>0</v>
      </c>
      <c r="U123">
        <f>IF(S123=0,0,-N('Исходные данные'!$B$87)-IF('Исходные данные'!$B$82="Да",IF('Исходные данные'!$B$84="С выручки",S123,IF('Исходные данные'!$B$84="С прибыли",MAX(0,S123+T123-IF('Исходные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23">
        <f t="shared" si="63"/>
        <v>0</v>
      </c>
      <c r="W123">
        <f>IF(D123=1,Расчёты!AZ123+K123+N123+Q123+V123,0)</f>
        <v>0</v>
      </c>
      <c r="X123" t="str">
        <f t="shared" si="73"/>
        <v/>
      </c>
      <c r="Y123">
        <f>IF(OR(D123=0,'Исходные данные'!$B$9="",'Исходные данные'!$B$90=""),0,W123/(1+'Исходные данные'!$B$90)^((C123-'Исходные данные'!$B$9)/365))</f>
        <v>0</v>
      </c>
      <c r="Z123">
        <f>IF(D123=1,K123+Расчёты!O123+Расчёты!Q123+Расчёты!S123+Расчёты!U123+Расчёты!W123+Расчёты!X123+N123+Q123,0)</f>
        <v>0</v>
      </c>
      <c r="AA123">
        <f>IF(AND(D123=1,X123&gt;=0,X122&lt;0,MIN($X$2:X123)&lt;0),1,0)</f>
        <v>0</v>
      </c>
      <c r="AB123">
        <f>IF(Расчёты!F123=0,0,IF(Расчёты!G123=1,N('Сценарный анализ'!$C$5),IF(Расчёты!G123=2,N('Сценарный анализ'!$C$6),IF(Расчёты!G123=3,N('Сценарный анализ'!$C$7),N('Сценарный анализ'!$C$7)*(1+N('Сценарный анализ'!$C$8))^(Расчёты!G123-3)))))</f>
        <v>0</v>
      </c>
      <c r="AC123">
        <f>IF(OR(Расчёты!F123=0,N('Исходные данные'!$B$5)=0,AB123=0),0,N('Исходные данные'!$B$5)*AB123*IF(AND(B123&lt;='Исходные данные'!$B$30,Расчёты!C123&gt;='Исходные данные'!$B$30),(Расчёты!C123-'Исходные данные'!$B$30+1)/DAY(Расчёты!C123),1))</f>
        <v>0</v>
      </c>
      <c r="AD123">
        <f>IF(AND(Расчёты!F123&gt;0,Расчёты!F123&lt;=N('Исходные данные'!$B$37)),-AC123,0)</f>
        <v>0</v>
      </c>
      <c r="AE123">
        <f>IF(OR(Расчёты!F123=0,Расчёты!F123&lt;=N('Исходные данные'!$B$37)),0,-(AC123+AD123)*N('Сценарный анализ'!$C$9))</f>
        <v>0</v>
      </c>
      <c r="AF123">
        <f t="shared" si="64"/>
        <v>0</v>
      </c>
      <c r="AG123">
        <f>IF('Исходные данные'!$B$51="Да",AF123*N('Исходные данные'!$B$52),0)</f>
        <v>0</v>
      </c>
      <c r="AH123">
        <f t="shared" si="65"/>
        <v>0</v>
      </c>
      <c r="AI123">
        <f>AF123+(Расчёты!Y123-Расчёты!L123)</f>
        <v>0</v>
      </c>
      <c r="AJ123">
        <f t="shared" si="74"/>
        <v>0</v>
      </c>
      <c r="AK123">
        <f>IF('Исходные данные'!$B$51="Да",-MAX(0,AG123+Расчёты!R123+Расчёты!V123-Расчёты!P123-Расчёты!T123-AJ123),0)</f>
        <v>0</v>
      </c>
      <c r="AL123">
        <f>IF('Исходные данные'!$B$51="Да",MAX(0,AJ123+Расчёты!P123+Расчёты!T123-AG123-Расчёты!R123-Расчёты!V123),0)</f>
        <v>0</v>
      </c>
      <c r="AM123">
        <f>IF('Исходные данные'!$B$53="Выручка",MAX(0,AF123+(Расчёты!Q123-Расчёты!R123)+(Расчёты!U123-Расчёты!V123)),IF('Исходные данные'!$B$53="Прибыль до налога",MAX(0,AF123+(Расчёты!Q123-Расчёты!R123)+(Расчёты!U123-Расчёты!V123)+N('Исходные данные'!$B$54)*((Расчёты!O123+Расчёты!P123)+(Расчёты!S123+Расчёты!T123)+Расчёты!W123+Расчёты!X123)+IF('Исходные данные'!$B$55="Да",Расчёты!AG123,0)-N('Исходные данные'!$B$56)/12),IF('Исходные данные'!$B$53="Пользовательская база",MAX(0,N('Исходные данные'!$B$57)/12),0)))</f>
        <v>0</v>
      </c>
      <c r="AN123">
        <f>IF(D123=1,-AM123*N('Исходные данные'!$B$50),0)</f>
        <v>0</v>
      </c>
      <c r="AO123">
        <f t="shared" si="66"/>
        <v>0</v>
      </c>
      <c r="AP123">
        <f>IF(OR(D123&lt;&gt;1,B123="",'Исходные данные'!$B$91="",N('Исходные данные'!$B$80)&lt;=0,'Исходные данные'!$B$88=""),0,IF(AND(YEAR(B123)=YEAR('Исходные данные'!$B$91),MONTH(B123)=MONTH('Исходные данные'!$B$91)),MAX(0,IF('Исходные данные'!$B$88="Последние 12 месяцев",SUMIFS($AI$2:$AI$194,$B$2:$B$194,"&gt;="&amp;EDATE(B123,-11),$B$2:$B$194,"&lt;="&amp;B123),IF('Исходные данные'!$B$88="Пользовательский NOI",N('Исходные данные'!$B$89),AO123))/N('Исходные данные'!$B$80)*(1+N('Исходные данные'!$B$81))),0))</f>
        <v>0</v>
      </c>
      <c r="AQ123">
        <f>-AP123*N('Исходные данные'!$B$73)</f>
        <v>0</v>
      </c>
      <c r="AR123">
        <f>IF(AP123=0,0,-N('Исходные данные'!$B$87)-IF('Исходные данные'!$B$82="Да",IF('Исходные данные'!$B$84="С выручки",AP123,IF('Исходные данные'!$B$84="С прибыли",MAX(0,AP123+AQ123-IF('Исходные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23">
        <f t="shared" si="67"/>
        <v>0</v>
      </c>
      <c r="AT123">
        <f>IF(D123=1,Расчёты!AZ123+AH123+AK123+AN123+AS123,0)</f>
        <v>0</v>
      </c>
      <c r="AU123" t="str">
        <f t="shared" si="75"/>
        <v/>
      </c>
      <c r="AV123">
        <f>IF(OR(D123=0,'Исходные данные'!$B$9="",'Исходные данные'!$B$90=""),0,AT123/(1+'Исходные данные'!$B$90)^((C123-'Исходные данные'!$B$9)/365))</f>
        <v>0</v>
      </c>
      <c r="AW123">
        <f>IF(D123=1,AH123+Расчёты!O123+Расчёты!Q123+Расчёты!S123+Расчёты!U123+Расчёты!W123+Расчёты!X123+AK123+AN123,0)</f>
        <v>0</v>
      </c>
      <c r="AX123">
        <f>IF(AND(D123=1,AU123&gt;=0,AU122&lt;0,MIN($AU$2:AU123)&lt;0),1,0)</f>
        <v>0</v>
      </c>
      <c r="AY123">
        <f>IF(Расчёты!F123=0,0,IF(Расчёты!G123=1,N('Сценарный анализ'!$D$5),IF(Расчёты!G123=2,N('Сценарный анализ'!$D$6),IF(Расчёты!G123=3,N('Сценарный анализ'!$D$7),N('Сценарный анализ'!$D$7)*(1+N('Сценарный анализ'!$D$8))^(Расчёты!G123-3)))))</f>
        <v>0</v>
      </c>
      <c r="AZ123">
        <f>IF(OR(Расчёты!F123=0,N('Исходные данные'!$B$5)=0,AY123=0),0,N('Исходные данные'!$B$5)*AY123*IF(AND(B123&lt;='Исходные данные'!$B$30,Расчёты!C123&gt;='Исходные данные'!$B$30),(Расчёты!C123-'Исходные данные'!$B$30+1)/DAY(Расчёты!C123),1))</f>
        <v>0</v>
      </c>
      <c r="BA123">
        <f>IF(AND(Расчёты!F123&gt;0,Расчёты!F123&lt;=N('Исходные данные'!$B$37)),-AZ123,0)</f>
        <v>0</v>
      </c>
      <c r="BB123">
        <f>IF(OR(Расчёты!F123=0,Расчёты!F123&lt;=N('Исходные данные'!$B$37)),0,-(AZ123+BA123)*N('Сценарный анализ'!$D$9))</f>
        <v>0</v>
      </c>
      <c r="BC123">
        <f t="shared" si="68"/>
        <v>0</v>
      </c>
      <c r="BD123">
        <f>IF('Исходные данные'!$B$51="Да",BC123*N('Исходные данные'!$B$52),0)</f>
        <v>0</v>
      </c>
      <c r="BE123">
        <f t="shared" si="69"/>
        <v>0</v>
      </c>
      <c r="BF123">
        <f>BC123+(Расчёты!Y123-Расчёты!L123)</f>
        <v>0</v>
      </c>
      <c r="BG123">
        <f t="shared" si="76"/>
        <v>0</v>
      </c>
      <c r="BH123">
        <f>IF('Исходные данные'!$B$51="Да",-MAX(0,BD123+Расчёты!R123+Расчёты!V123-Расчёты!P123-Расчёты!T123-BG123),0)</f>
        <v>0</v>
      </c>
      <c r="BI123">
        <f>IF('Исходные данные'!$B$51="Да",MAX(0,BG123+Расчёты!P123+Расчёты!T123-BD123-Расчёты!R123-Расчёты!V123),0)</f>
        <v>0</v>
      </c>
      <c r="BJ123">
        <f>IF('Исходные данные'!$B$53="Выручка",MAX(0,BC123+(Расчёты!Q123-Расчёты!R123)+(Расчёты!U123-Расчёты!V123)),IF('Исходные данные'!$B$53="Прибыль до налога",MAX(0,BC123+(Расчёты!Q123-Расчёты!R123)+(Расчёты!U123-Расчёты!V123)+N('Исходные данные'!$B$54)*((Расчёты!O123+Расчёты!P123)+(Расчёты!S123+Расчёты!T123)+Расчёты!W123+Расчёты!X123)+IF('Исходные данные'!$B$55="Да",Расчёты!AG123,0)-N('Исходные данные'!$B$56)/12),IF('Исходные данные'!$B$53="Пользовательская база",MAX(0,N('Исходные данные'!$B$57)/12),0)))</f>
        <v>0</v>
      </c>
      <c r="BK123">
        <f>IF(D123=1,-BJ123*N('Исходные данные'!$B$50),0)</f>
        <v>0</v>
      </c>
      <c r="BL123">
        <f t="shared" si="70"/>
        <v>0</v>
      </c>
      <c r="BM123">
        <f>IF(OR(D123&lt;&gt;1,B123="",'Исходные данные'!$B$91="",N('Исходные данные'!$B$80)&lt;=0,'Исходные данные'!$B$88=""),0,IF(AND(YEAR(B123)=YEAR('Исходные данные'!$B$91),MONTH(B123)=MONTH('Исходные данные'!$B$91)),MAX(0,IF('Исходные данные'!$B$88="Последние 12 месяцев",SUMIFS($BF$2:$BF$194,$B$2:$B$194,"&gt;="&amp;EDATE(B123,-11),$B$2:$B$194,"&lt;="&amp;B123),IF('Исходные данные'!$B$88="Пользовательский NOI",N('Исходные данные'!$B$89),BL123))/N('Исходные данные'!$B$80)*(1+N('Исходные данные'!$B$81))),0))</f>
        <v>0</v>
      </c>
      <c r="BN123">
        <f>-BM123*N('Исходные данные'!$B$73)</f>
        <v>0</v>
      </c>
      <c r="BO123">
        <f>IF(BM123=0,0,-N('Исходные данные'!$B$87)-IF('Исходные данные'!$B$82="Да",IF('Исходные данные'!$B$84="С выручки",BM123,IF('Исходные данные'!$B$84="С прибыли",MAX(0,BM123+BN123-IF('Исходные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23">
        <f t="shared" si="71"/>
        <v>0</v>
      </c>
      <c r="BQ123">
        <f>IF(D123=1,Расчёты!AZ123+BE123+BH123+BK123+BP123,0)</f>
        <v>0</v>
      </c>
      <c r="BR123" t="str">
        <f t="shared" si="77"/>
        <v/>
      </c>
      <c r="BS123">
        <f>IF(OR(D123=0,'Исходные данные'!$B$9="",'Исходные данные'!$B$90=""),0,BQ123/(1+'Исходные данные'!$B$90)^((C123-'Исходные данные'!$B$9)/365))</f>
        <v>0</v>
      </c>
      <c r="BT123">
        <f>IF(D123=1,BE123+Расчёты!O123+Расчёты!Q123+Расчёты!S123+Расчёты!U123+Расчёты!W123+Расчёты!X123+BH123+BK123,0)</f>
        <v>0</v>
      </c>
      <c r="BU123">
        <f>IF(AND(D123=1,BR123&gt;=0,BR122&lt;0,MIN($BR$2:BR123)&lt;0),1,0)</f>
        <v>0</v>
      </c>
      <c r="BV123">
        <f>Расчёты!AZ123+K123+N123-P123*N('Исходные данные'!$B$50)</f>
        <v>0</v>
      </c>
      <c r="BW123">
        <f t="shared" si="57"/>
        <v>0</v>
      </c>
      <c r="BX123">
        <f>IF(AND(BW123&gt;=0,BW122&lt;0,MIN($BW$2:BW123)&lt;0),1,0)</f>
        <v>0</v>
      </c>
      <c r="BY123">
        <f>Расчёты!AZ123+AH123+AK123-AM123*N('Исходные данные'!$B$50)</f>
        <v>0</v>
      </c>
      <c r="BZ123">
        <f t="shared" si="58"/>
        <v>0</v>
      </c>
      <c r="CA123">
        <f>IF(AND(BZ123&gt;=0,BZ122&lt;0,MIN($BZ$2:BZ123)&lt;0),1,0)</f>
        <v>0</v>
      </c>
      <c r="CB123">
        <f>Расчёты!AZ123+BE123+BH123-BJ123*N('Исходные данные'!$B$50)</f>
        <v>0</v>
      </c>
      <c r="CC123">
        <f t="shared" si="59"/>
        <v>0</v>
      </c>
      <c r="CD123">
        <f>IF(AND(CC123&gt;=0,CC122&lt;0,MIN($CC$2:CC123)&lt;0),1,0)</f>
        <v>0</v>
      </c>
    </row>
    <row r="124" spans="1:82" x14ac:dyDescent="0.2">
      <c r="A124">
        <f>Расчёты!A124</f>
        <v>123</v>
      </c>
      <c r="B124" t="str">
        <f>Расчёты!B124</f>
        <v/>
      </c>
      <c r="C124" t="str">
        <f>Расчёты!D124</f>
        <v/>
      </c>
      <c r="D124">
        <f>Расчёты!E124</f>
        <v>0</v>
      </c>
      <c r="E124">
        <f>IF(Расчёты!F124=0,0,IF(Расчёты!G124=1,N('Сценарный анализ'!$B$5),IF(Расчёты!G124=2,N('Сценарный анализ'!$B$6),IF(Расчёты!G124=3,N('Сценарный анализ'!$B$7),N('Сценарный анализ'!$B$7)*(1+N('Сценарный анализ'!$B$8))^(Расчёты!G124-3)))))</f>
        <v>0</v>
      </c>
      <c r="F124">
        <f>IF(OR(Расчёты!F124=0,N('Исходные данные'!$B$5)=0,E124=0),0,N('Исходные данные'!$B$5)*E124*IF(AND(B124&lt;='Исходные данные'!$B$30,Расчёты!C124&gt;='Исходные данные'!$B$30),(Расчёты!C124-'Исходные данные'!$B$30+1)/DAY(Расчёты!C124),1))</f>
        <v>0</v>
      </c>
      <c r="G124">
        <f>IF(AND(Расчёты!F124&gt;0,Расчёты!F124&lt;=N('Исходные данные'!$B$37)),-F124,0)</f>
        <v>0</v>
      </c>
      <c r="H124">
        <f>IF(OR(Расчёты!F124=0,Расчёты!F124&lt;=N('Исходные данные'!$B$37)),0,-(F124+G124)*N('Сценарный анализ'!$B$9))</f>
        <v>0</v>
      </c>
      <c r="I124">
        <f t="shared" si="60"/>
        <v>0</v>
      </c>
      <c r="J124">
        <f>IF('Исходные данные'!$B$51="Да",I124*N('Исходные данные'!$B$52),0)</f>
        <v>0</v>
      </c>
      <c r="K124">
        <f t="shared" si="61"/>
        <v>0</v>
      </c>
      <c r="L124">
        <f>I124+(Расчёты!Y124-Расчёты!L124)</f>
        <v>0</v>
      </c>
      <c r="M124">
        <f t="shared" si="72"/>
        <v>0</v>
      </c>
      <c r="N124">
        <f>IF('Исходные данные'!$B$51="Да",-MAX(0,J124+Расчёты!R124+Расчёты!V124-Расчёты!P124-Расчёты!T124-M124),0)</f>
        <v>0</v>
      </c>
      <c r="O124">
        <f>IF('Исходные данные'!$B$51="Да",MAX(0,M124+Расчёты!P124+Расчёты!T124-J124-Расчёты!R124-Расчёты!V124),0)</f>
        <v>0</v>
      </c>
      <c r="P124">
        <f>IF('Исходные данные'!$B$53="Выручка",MAX(0,I124+(Расчёты!Q124-Расчёты!R124)+(Расчёты!U124-Расчёты!V124)),IF('Исходные данные'!$B$53="Прибыль до налога",MAX(0,I124+(Расчёты!Q124-Расчёты!R124)+(Расчёты!U124-Расчёты!V124)+N('Исходные данные'!$B$54)*((Расчёты!O124+Расчёты!P124)+(Расчёты!S124+Расчёты!T124)+Расчёты!W124+Расчёты!X124)+IF('Исходные данные'!$B$55="Да",Расчёты!AG124,0)-N('Исходные данные'!$B$56)/12),IF('Исходные данные'!$B$53="Пользовательская база",MAX(0,N('Исходные данные'!$B$57)/12),0)))</f>
        <v>0</v>
      </c>
      <c r="Q124">
        <f>IF(D124=1,-P124*N('Исходные данные'!$B$50),0)</f>
        <v>0</v>
      </c>
      <c r="R124">
        <f t="shared" si="62"/>
        <v>0</v>
      </c>
      <c r="S124">
        <f>IF(OR(D124&lt;&gt;1,B124="",'Исходные данные'!$B$91="",N('Исходные данные'!$B$80)&lt;=0,'Исходные данные'!$B$88=""),0,IF(AND(YEAR(B124)=YEAR('Исходные данные'!$B$91),MONTH(B124)=MONTH('Исходные данные'!$B$91)),MAX(0,IF('Исходные данные'!$B$88="Последние 12 месяцев",SUMIFS($L$2:$L$194,$B$2:$B$194,"&gt;="&amp;EDATE(B124,-11),$B$2:$B$194,"&lt;="&amp;B124),IF('Исходные данные'!$B$88="Пользовательский NOI",N('Исходные данные'!$B$89),R124))/N('Исходные данные'!$B$80)*(1+N('Исходные данные'!$B$81))),0))</f>
        <v>0</v>
      </c>
      <c r="T124">
        <f>-S124*N('Исходные данные'!$B$73)</f>
        <v>0</v>
      </c>
      <c r="U124">
        <f>IF(S124=0,0,-N('Исходные данные'!$B$87)-IF('Исходные данные'!$B$82="Да",IF('Исходные данные'!$B$84="С выручки",S124,IF('Исходные данные'!$B$84="С прибыли",MAX(0,S124+T124-IF('Исходные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24">
        <f t="shared" si="63"/>
        <v>0</v>
      </c>
      <c r="W124">
        <f>IF(D124=1,Расчёты!AZ124+K124+N124+Q124+V124,0)</f>
        <v>0</v>
      </c>
      <c r="X124" t="str">
        <f t="shared" si="73"/>
        <v/>
      </c>
      <c r="Y124">
        <f>IF(OR(D124=0,'Исходные данные'!$B$9="",'Исходные данные'!$B$90=""),0,W124/(1+'Исходные данные'!$B$90)^((C124-'Исходные данные'!$B$9)/365))</f>
        <v>0</v>
      </c>
      <c r="Z124">
        <f>IF(D124=1,K124+Расчёты!O124+Расчёты!Q124+Расчёты!S124+Расчёты!U124+Расчёты!W124+Расчёты!X124+N124+Q124,0)</f>
        <v>0</v>
      </c>
      <c r="AA124">
        <f>IF(AND(D124=1,X124&gt;=0,X123&lt;0,MIN($X$2:X124)&lt;0),1,0)</f>
        <v>0</v>
      </c>
      <c r="AB124">
        <f>IF(Расчёты!F124=0,0,IF(Расчёты!G124=1,N('Сценарный анализ'!$C$5),IF(Расчёты!G124=2,N('Сценарный анализ'!$C$6),IF(Расчёты!G124=3,N('Сценарный анализ'!$C$7),N('Сценарный анализ'!$C$7)*(1+N('Сценарный анализ'!$C$8))^(Расчёты!G124-3)))))</f>
        <v>0</v>
      </c>
      <c r="AC124">
        <f>IF(OR(Расчёты!F124=0,N('Исходные данные'!$B$5)=0,AB124=0),0,N('Исходные данные'!$B$5)*AB124*IF(AND(B124&lt;='Исходные данные'!$B$30,Расчёты!C124&gt;='Исходные данные'!$B$30),(Расчёты!C124-'Исходные данные'!$B$30+1)/DAY(Расчёты!C124),1))</f>
        <v>0</v>
      </c>
      <c r="AD124">
        <f>IF(AND(Расчёты!F124&gt;0,Расчёты!F124&lt;=N('Исходные данные'!$B$37)),-AC124,0)</f>
        <v>0</v>
      </c>
      <c r="AE124">
        <f>IF(OR(Расчёты!F124=0,Расчёты!F124&lt;=N('Исходные данные'!$B$37)),0,-(AC124+AD124)*N('Сценарный анализ'!$C$9))</f>
        <v>0</v>
      </c>
      <c r="AF124">
        <f t="shared" si="64"/>
        <v>0</v>
      </c>
      <c r="AG124">
        <f>IF('Исходные данные'!$B$51="Да",AF124*N('Исходные данные'!$B$52),0)</f>
        <v>0</v>
      </c>
      <c r="AH124">
        <f t="shared" si="65"/>
        <v>0</v>
      </c>
      <c r="AI124">
        <f>AF124+(Расчёты!Y124-Расчёты!L124)</f>
        <v>0</v>
      </c>
      <c r="AJ124">
        <f t="shared" si="74"/>
        <v>0</v>
      </c>
      <c r="AK124">
        <f>IF('Исходные данные'!$B$51="Да",-MAX(0,AG124+Расчёты!R124+Расчёты!V124-Расчёты!P124-Расчёты!T124-AJ124),0)</f>
        <v>0</v>
      </c>
      <c r="AL124">
        <f>IF('Исходные данные'!$B$51="Да",MAX(0,AJ124+Расчёты!P124+Расчёты!T124-AG124-Расчёты!R124-Расчёты!V124),0)</f>
        <v>0</v>
      </c>
      <c r="AM124">
        <f>IF('Исходные данные'!$B$53="Выручка",MAX(0,AF124+(Расчёты!Q124-Расчёты!R124)+(Расчёты!U124-Расчёты!V124)),IF('Исходные данные'!$B$53="Прибыль до налога",MAX(0,AF124+(Расчёты!Q124-Расчёты!R124)+(Расчёты!U124-Расчёты!V124)+N('Исходные данные'!$B$54)*((Расчёты!O124+Расчёты!P124)+(Расчёты!S124+Расчёты!T124)+Расчёты!W124+Расчёты!X124)+IF('Исходные данные'!$B$55="Да",Расчёты!AG124,0)-N('Исходные данные'!$B$56)/12),IF('Исходные данные'!$B$53="Пользовательская база",MAX(0,N('Исходные данные'!$B$57)/12),0)))</f>
        <v>0</v>
      </c>
      <c r="AN124">
        <f>IF(D124=1,-AM124*N('Исходные данные'!$B$50),0)</f>
        <v>0</v>
      </c>
      <c r="AO124">
        <f t="shared" si="66"/>
        <v>0</v>
      </c>
      <c r="AP124">
        <f>IF(OR(D124&lt;&gt;1,B124="",'Исходные данные'!$B$91="",N('Исходные данные'!$B$80)&lt;=0,'Исходные данные'!$B$88=""),0,IF(AND(YEAR(B124)=YEAR('Исходные данные'!$B$91),MONTH(B124)=MONTH('Исходные данные'!$B$91)),MAX(0,IF('Исходные данные'!$B$88="Последние 12 месяцев",SUMIFS($AI$2:$AI$194,$B$2:$B$194,"&gt;="&amp;EDATE(B124,-11),$B$2:$B$194,"&lt;="&amp;B124),IF('Исходные данные'!$B$88="Пользовательский NOI",N('Исходные данные'!$B$89),AO124))/N('Исходные данные'!$B$80)*(1+N('Исходные данные'!$B$81))),0))</f>
        <v>0</v>
      </c>
      <c r="AQ124">
        <f>-AP124*N('Исходные данные'!$B$73)</f>
        <v>0</v>
      </c>
      <c r="AR124">
        <f>IF(AP124=0,0,-N('Исходные данные'!$B$87)-IF('Исходные данные'!$B$82="Да",IF('Исходные данные'!$B$84="С выручки",AP124,IF('Исходные данные'!$B$84="С прибыли",MAX(0,AP124+AQ124-IF('Исходные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24">
        <f t="shared" si="67"/>
        <v>0</v>
      </c>
      <c r="AT124">
        <f>IF(D124=1,Расчёты!AZ124+AH124+AK124+AN124+AS124,0)</f>
        <v>0</v>
      </c>
      <c r="AU124" t="str">
        <f t="shared" si="75"/>
        <v/>
      </c>
      <c r="AV124">
        <f>IF(OR(D124=0,'Исходные данные'!$B$9="",'Исходные данные'!$B$90=""),0,AT124/(1+'Исходные данные'!$B$90)^((C124-'Исходные данные'!$B$9)/365))</f>
        <v>0</v>
      </c>
      <c r="AW124">
        <f>IF(D124=1,AH124+Расчёты!O124+Расчёты!Q124+Расчёты!S124+Расчёты!U124+Расчёты!W124+Расчёты!X124+AK124+AN124,0)</f>
        <v>0</v>
      </c>
      <c r="AX124">
        <f>IF(AND(D124=1,AU124&gt;=0,AU123&lt;0,MIN($AU$2:AU124)&lt;0),1,0)</f>
        <v>0</v>
      </c>
      <c r="AY124">
        <f>IF(Расчёты!F124=0,0,IF(Расчёты!G124=1,N('Сценарный анализ'!$D$5),IF(Расчёты!G124=2,N('Сценарный анализ'!$D$6),IF(Расчёты!G124=3,N('Сценарный анализ'!$D$7),N('Сценарный анализ'!$D$7)*(1+N('Сценарный анализ'!$D$8))^(Расчёты!G124-3)))))</f>
        <v>0</v>
      </c>
      <c r="AZ124">
        <f>IF(OR(Расчёты!F124=0,N('Исходные данные'!$B$5)=0,AY124=0),0,N('Исходные данные'!$B$5)*AY124*IF(AND(B124&lt;='Исходные данные'!$B$30,Расчёты!C124&gt;='Исходные данные'!$B$30),(Расчёты!C124-'Исходные данные'!$B$30+1)/DAY(Расчёты!C124),1))</f>
        <v>0</v>
      </c>
      <c r="BA124">
        <f>IF(AND(Расчёты!F124&gt;0,Расчёты!F124&lt;=N('Исходные данные'!$B$37)),-AZ124,0)</f>
        <v>0</v>
      </c>
      <c r="BB124">
        <f>IF(OR(Расчёты!F124=0,Расчёты!F124&lt;=N('Исходные данные'!$B$37)),0,-(AZ124+BA124)*N('Сценарный анализ'!$D$9))</f>
        <v>0</v>
      </c>
      <c r="BC124">
        <f t="shared" si="68"/>
        <v>0</v>
      </c>
      <c r="BD124">
        <f>IF('Исходные данные'!$B$51="Да",BC124*N('Исходные данные'!$B$52),0)</f>
        <v>0</v>
      </c>
      <c r="BE124">
        <f t="shared" si="69"/>
        <v>0</v>
      </c>
      <c r="BF124">
        <f>BC124+(Расчёты!Y124-Расчёты!L124)</f>
        <v>0</v>
      </c>
      <c r="BG124">
        <f t="shared" si="76"/>
        <v>0</v>
      </c>
      <c r="BH124">
        <f>IF('Исходные данные'!$B$51="Да",-MAX(0,BD124+Расчёты!R124+Расчёты!V124-Расчёты!P124-Расчёты!T124-BG124),0)</f>
        <v>0</v>
      </c>
      <c r="BI124">
        <f>IF('Исходные данные'!$B$51="Да",MAX(0,BG124+Расчёты!P124+Расчёты!T124-BD124-Расчёты!R124-Расчёты!V124),0)</f>
        <v>0</v>
      </c>
      <c r="BJ124">
        <f>IF('Исходные данные'!$B$53="Выручка",MAX(0,BC124+(Расчёты!Q124-Расчёты!R124)+(Расчёты!U124-Расчёты!V124)),IF('Исходные данные'!$B$53="Прибыль до налога",MAX(0,BC124+(Расчёты!Q124-Расчёты!R124)+(Расчёты!U124-Расчёты!V124)+N('Исходные данные'!$B$54)*((Расчёты!O124+Расчёты!P124)+(Расчёты!S124+Расчёты!T124)+Расчёты!W124+Расчёты!X124)+IF('Исходные данные'!$B$55="Да",Расчёты!AG124,0)-N('Исходные данные'!$B$56)/12),IF('Исходные данные'!$B$53="Пользовательская база",MAX(0,N('Исходные данные'!$B$57)/12),0)))</f>
        <v>0</v>
      </c>
      <c r="BK124">
        <f>IF(D124=1,-BJ124*N('Исходные данные'!$B$50),0)</f>
        <v>0</v>
      </c>
      <c r="BL124">
        <f t="shared" si="70"/>
        <v>0</v>
      </c>
      <c r="BM124">
        <f>IF(OR(D124&lt;&gt;1,B124="",'Исходные данные'!$B$91="",N('Исходные данные'!$B$80)&lt;=0,'Исходные данные'!$B$88=""),0,IF(AND(YEAR(B124)=YEAR('Исходные данные'!$B$91),MONTH(B124)=MONTH('Исходные данные'!$B$91)),MAX(0,IF('Исходные данные'!$B$88="Последние 12 месяцев",SUMIFS($BF$2:$BF$194,$B$2:$B$194,"&gt;="&amp;EDATE(B124,-11),$B$2:$B$194,"&lt;="&amp;B124),IF('Исходные данные'!$B$88="Пользовательский NOI",N('Исходные данные'!$B$89),BL124))/N('Исходные данные'!$B$80)*(1+N('Исходные данные'!$B$81))),0))</f>
        <v>0</v>
      </c>
      <c r="BN124">
        <f>-BM124*N('Исходные данные'!$B$73)</f>
        <v>0</v>
      </c>
      <c r="BO124">
        <f>IF(BM124=0,0,-N('Исходные данные'!$B$87)-IF('Исходные данные'!$B$82="Да",IF('Исходные данные'!$B$84="С выручки",BM124,IF('Исходные данные'!$B$84="С прибыли",MAX(0,BM124+BN124-IF('Исходные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24">
        <f t="shared" si="71"/>
        <v>0</v>
      </c>
      <c r="BQ124">
        <f>IF(D124=1,Расчёты!AZ124+BE124+BH124+BK124+BP124,0)</f>
        <v>0</v>
      </c>
      <c r="BR124" t="str">
        <f t="shared" si="77"/>
        <v/>
      </c>
      <c r="BS124">
        <f>IF(OR(D124=0,'Исходные данные'!$B$9="",'Исходные данные'!$B$90=""),0,BQ124/(1+'Исходные данные'!$B$90)^((C124-'Исходные данные'!$B$9)/365))</f>
        <v>0</v>
      </c>
      <c r="BT124">
        <f>IF(D124=1,BE124+Расчёты!O124+Расчёты!Q124+Расчёты!S124+Расчёты!U124+Расчёты!W124+Расчёты!X124+BH124+BK124,0)</f>
        <v>0</v>
      </c>
      <c r="BU124">
        <f>IF(AND(D124=1,BR124&gt;=0,BR123&lt;0,MIN($BR$2:BR124)&lt;0),1,0)</f>
        <v>0</v>
      </c>
      <c r="BV124">
        <f>Расчёты!AZ124+K124+N124-P124*N('Исходные данные'!$B$50)</f>
        <v>0</v>
      </c>
      <c r="BW124">
        <f t="shared" si="57"/>
        <v>0</v>
      </c>
      <c r="BX124">
        <f>IF(AND(BW124&gt;=0,BW123&lt;0,MIN($BW$2:BW124)&lt;0),1,0)</f>
        <v>0</v>
      </c>
      <c r="BY124">
        <f>Расчёты!AZ124+AH124+AK124-AM124*N('Исходные данные'!$B$50)</f>
        <v>0</v>
      </c>
      <c r="BZ124">
        <f t="shared" si="58"/>
        <v>0</v>
      </c>
      <c r="CA124">
        <f>IF(AND(BZ124&gt;=0,BZ123&lt;0,MIN($BZ$2:BZ124)&lt;0),1,0)</f>
        <v>0</v>
      </c>
      <c r="CB124">
        <f>Расчёты!AZ124+BE124+BH124-BJ124*N('Исходные данные'!$B$50)</f>
        <v>0</v>
      </c>
      <c r="CC124">
        <f t="shared" si="59"/>
        <v>0</v>
      </c>
      <c r="CD124">
        <f>IF(AND(CC124&gt;=0,CC123&lt;0,MIN($CC$2:CC124)&lt;0),1,0)</f>
        <v>0</v>
      </c>
    </row>
    <row r="125" spans="1:82" x14ac:dyDescent="0.2">
      <c r="A125">
        <f>Расчёты!A125</f>
        <v>124</v>
      </c>
      <c r="B125" t="str">
        <f>Расчёты!B125</f>
        <v/>
      </c>
      <c r="C125" t="str">
        <f>Расчёты!D125</f>
        <v/>
      </c>
      <c r="D125">
        <f>Расчёты!E125</f>
        <v>0</v>
      </c>
      <c r="E125">
        <f>IF(Расчёты!F125=0,0,IF(Расчёты!G125=1,N('Сценарный анализ'!$B$5),IF(Расчёты!G125=2,N('Сценарный анализ'!$B$6),IF(Расчёты!G125=3,N('Сценарный анализ'!$B$7),N('Сценарный анализ'!$B$7)*(1+N('Сценарный анализ'!$B$8))^(Расчёты!G125-3)))))</f>
        <v>0</v>
      </c>
      <c r="F125">
        <f>IF(OR(Расчёты!F125=0,N('Исходные данные'!$B$5)=0,E125=0),0,N('Исходные данные'!$B$5)*E125*IF(AND(B125&lt;='Исходные данные'!$B$30,Расчёты!C125&gt;='Исходные данные'!$B$30),(Расчёты!C125-'Исходные данные'!$B$30+1)/DAY(Расчёты!C125),1))</f>
        <v>0</v>
      </c>
      <c r="G125">
        <f>IF(AND(Расчёты!F125&gt;0,Расчёты!F125&lt;=N('Исходные данные'!$B$37)),-F125,0)</f>
        <v>0</v>
      </c>
      <c r="H125">
        <f>IF(OR(Расчёты!F125=0,Расчёты!F125&lt;=N('Исходные данные'!$B$37)),0,-(F125+G125)*N('Сценарный анализ'!$B$9))</f>
        <v>0</v>
      </c>
      <c r="I125">
        <f t="shared" si="60"/>
        <v>0</v>
      </c>
      <c r="J125">
        <f>IF('Исходные данные'!$B$51="Да",I125*N('Исходные данные'!$B$52),0)</f>
        <v>0</v>
      </c>
      <c r="K125">
        <f t="shared" si="61"/>
        <v>0</v>
      </c>
      <c r="L125">
        <f>I125+(Расчёты!Y125-Расчёты!L125)</f>
        <v>0</v>
      </c>
      <c r="M125">
        <f t="shared" si="72"/>
        <v>0</v>
      </c>
      <c r="N125">
        <f>IF('Исходные данные'!$B$51="Да",-MAX(0,J125+Расчёты!R125+Расчёты!V125-Расчёты!P125-Расчёты!T125-M125),0)</f>
        <v>0</v>
      </c>
      <c r="O125">
        <f>IF('Исходные данные'!$B$51="Да",MAX(0,M125+Расчёты!P125+Расчёты!T125-J125-Расчёты!R125-Расчёты!V125),0)</f>
        <v>0</v>
      </c>
      <c r="P125">
        <f>IF('Исходные данные'!$B$53="Выручка",MAX(0,I125+(Расчёты!Q125-Расчёты!R125)+(Расчёты!U125-Расчёты!V125)),IF('Исходные данные'!$B$53="Прибыль до налога",MAX(0,I125+(Расчёты!Q125-Расчёты!R125)+(Расчёты!U125-Расчёты!V125)+N('Исходные данные'!$B$54)*((Расчёты!O125+Расчёты!P125)+(Расчёты!S125+Расчёты!T125)+Расчёты!W125+Расчёты!X125)+IF('Исходные данные'!$B$55="Да",Расчёты!AG125,0)-N('Исходные данные'!$B$56)/12),IF('Исходные данные'!$B$53="Пользовательская база",MAX(0,N('Исходные данные'!$B$57)/12),0)))</f>
        <v>0</v>
      </c>
      <c r="Q125">
        <f>IF(D125=1,-P125*N('Исходные данные'!$B$50),0)</f>
        <v>0</v>
      </c>
      <c r="R125">
        <f t="shared" si="62"/>
        <v>0</v>
      </c>
      <c r="S125">
        <f>IF(OR(D125&lt;&gt;1,B125="",'Исходные данные'!$B$91="",N('Исходные данные'!$B$80)&lt;=0,'Исходные данные'!$B$88=""),0,IF(AND(YEAR(B125)=YEAR('Исходные данные'!$B$91),MONTH(B125)=MONTH('Исходные данные'!$B$91)),MAX(0,IF('Исходные данные'!$B$88="Последние 12 месяцев",SUMIFS($L$2:$L$194,$B$2:$B$194,"&gt;="&amp;EDATE(B125,-11),$B$2:$B$194,"&lt;="&amp;B125),IF('Исходные данные'!$B$88="Пользовательский NOI",N('Исходные данные'!$B$89),R125))/N('Исходные данные'!$B$80)*(1+N('Исходные данные'!$B$81))),0))</f>
        <v>0</v>
      </c>
      <c r="T125">
        <f>-S125*N('Исходные данные'!$B$73)</f>
        <v>0</v>
      </c>
      <c r="U125">
        <f>IF(S125=0,0,-N('Исходные данные'!$B$87)-IF('Исходные данные'!$B$82="Да",IF('Исходные данные'!$B$84="С выручки",S125,IF('Исходные данные'!$B$84="С прибыли",MAX(0,S125+T125-IF('Исходные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25">
        <f t="shared" si="63"/>
        <v>0</v>
      </c>
      <c r="W125">
        <f>IF(D125=1,Расчёты!AZ125+K125+N125+Q125+V125,0)</f>
        <v>0</v>
      </c>
      <c r="X125" t="str">
        <f t="shared" si="73"/>
        <v/>
      </c>
      <c r="Y125">
        <f>IF(OR(D125=0,'Исходные данные'!$B$9="",'Исходные данные'!$B$90=""),0,W125/(1+'Исходные данные'!$B$90)^((C125-'Исходные данные'!$B$9)/365))</f>
        <v>0</v>
      </c>
      <c r="Z125">
        <f>IF(D125=1,K125+Расчёты!O125+Расчёты!Q125+Расчёты!S125+Расчёты!U125+Расчёты!W125+Расчёты!X125+N125+Q125,0)</f>
        <v>0</v>
      </c>
      <c r="AA125">
        <f>IF(AND(D125=1,X125&gt;=0,X124&lt;0,MIN($X$2:X125)&lt;0),1,0)</f>
        <v>0</v>
      </c>
      <c r="AB125">
        <f>IF(Расчёты!F125=0,0,IF(Расчёты!G125=1,N('Сценарный анализ'!$C$5),IF(Расчёты!G125=2,N('Сценарный анализ'!$C$6),IF(Расчёты!G125=3,N('Сценарный анализ'!$C$7),N('Сценарный анализ'!$C$7)*(1+N('Сценарный анализ'!$C$8))^(Расчёты!G125-3)))))</f>
        <v>0</v>
      </c>
      <c r="AC125">
        <f>IF(OR(Расчёты!F125=0,N('Исходные данные'!$B$5)=0,AB125=0),0,N('Исходные данные'!$B$5)*AB125*IF(AND(B125&lt;='Исходные данные'!$B$30,Расчёты!C125&gt;='Исходные данные'!$B$30),(Расчёты!C125-'Исходные данные'!$B$30+1)/DAY(Расчёты!C125),1))</f>
        <v>0</v>
      </c>
      <c r="AD125">
        <f>IF(AND(Расчёты!F125&gt;0,Расчёты!F125&lt;=N('Исходные данные'!$B$37)),-AC125,0)</f>
        <v>0</v>
      </c>
      <c r="AE125">
        <f>IF(OR(Расчёты!F125=0,Расчёты!F125&lt;=N('Исходные данные'!$B$37)),0,-(AC125+AD125)*N('Сценарный анализ'!$C$9))</f>
        <v>0</v>
      </c>
      <c r="AF125">
        <f t="shared" si="64"/>
        <v>0</v>
      </c>
      <c r="AG125">
        <f>IF('Исходные данные'!$B$51="Да",AF125*N('Исходные данные'!$B$52),0)</f>
        <v>0</v>
      </c>
      <c r="AH125">
        <f t="shared" si="65"/>
        <v>0</v>
      </c>
      <c r="AI125">
        <f>AF125+(Расчёты!Y125-Расчёты!L125)</f>
        <v>0</v>
      </c>
      <c r="AJ125">
        <f t="shared" si="74"/>
        <v>0</v>
      </c>
      <c r="AK125">
        <f>IF('Исходные данные'!$B$51="Да",-MAX(0,AG125+Расчёты!R125+Расчёты!V125-Расчёты!P125-Расчёты!T125-AJ125),0)</f>
        <v>0</v>
      </c>
      <c r="AL125">
        <f>IF('Исходные данные'!$B$51="Да",MAX(0,AJ125+Расчёты!P125+Расчёты!T125-AG125-Расчёты!R125-Расчёты!V125),0)</f>
        <v>0</v>
      </c>
      <c r="AM125">
        <f>IF('Исходные данные'!$B$53="Выручка",MAX(0,AF125+(Расчёты!Q125-Расчёты!R125)+(Расчёты!U125-Расчёты!V125)),IF('Исходные данные'!$B$53="Прибыль до налога",MAX(0,AF125+(Расчёты!Q125-Расчёты!R125)+(Расчёты!U125-Расчёты!V125)+N('Исходные данные'!$B$54)*((Расчёты!O125+Расчёты!P125)+(Расчёты!S125+Расчёты!T125)+Расчёты!W125+Расчёты!X125)+IF('Исходные данные'!$B$55="Да",Расчёты!AG125,0)-N('Исходные данные'!$B$56)/12),IF('Исходные данные'!$B$53="Пользовательская база",MAX(0,N('Исходные данные'!$B$57)/12),0)))</f>
        <v>0</v>
      </c>
      <c r="AN125">
        <f>IF(D125=1,-AM125*N('Исходные данные'!$B$50),0)</f>
        <v>0</v>
      </c>
      <c r="AO125">
        <f t="shared" si="66"/>
        <v>0</v>
      </c>
      <c r="AP125">
        <f>IF(OR(D125&lt;&gt;1,B125="",'Исходные данные'!$B$91="",N('Исходные данные'!$B$80)&lt;=0,'Исходные данные'!$B$88=""),0,IF(AND(YEAR(B125)=YEAR('Исходные данные'!$B$91),MONTH(B125)=MONTH('Исходные данные'!$B$91)),MAX(0,IF('Исходные данные'!$B$88="Последние 12 месяцев",SUMIFS($AI$2:$AI$194,$B$2:$B$194,"&gt;="&amp;EDATE(B125,-11),$B$2:$B$194,"&lt;="&amp;B125),IF('Исходные данные'!$B$88="Пользовательский NOI",N('Исходные данные'!$B$89),AO125))/N('Исходные данные'!$B$80)*(1+N('Исходные данные'!$B$81))),0))</f>
        <v>0</v>
      </c>
      <c r="AQ125">
        <f>-AP125*N('Исходные данные'!$B$73)</f>
        <v>0</v>
      </c>
      <c r="AR125">
        <f>IF(AP125=0,0,-N('Исходные данные'!$B$87)-IF('Исходные данные'!$B$82="Да",IF('Исходные данные'!$B$84="С выручки",AP125,IF('Исходные данные'!$B$84="С прибыли",MAX(0,AP125+AQ125-IF('Исходные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25">
        <f t="shared" si="67"/>
        <v>0</v>
      </c>
      <c r="AT125">
        <f>IF(D125=1,Расчёты!AZ125+AH125+AK125+AN125+AS125,0)</f>
        <v>0</v>
      </c>
      <c r="AU125" t="str">
        <f t="shared" si="75"/>
        <v/>
      </c>
      <c r="AV125">
        <f>IF(OR(D125=0,'Исходные данные'!$B$9="",'Исходные данные'!$B$90=""),0,AT125/(1+'Исходные данные'!$B$90)^((C125-'Исходные данные'!$B$9)/365))</f>
        <v>0</v>
      </c>
      <c r="AW125">
        <f>IF(D125=1,AH125+Расчёты!O125+Расчёты!Q125+Расчёты!S125+Расчёты!U125+Расчёты!W125+Расчёты!X125+AK125+AN125,0)</f>
        <v>0</v>
      </c>
      <c r="AX125">
        <f>IF(AND(D125=1,AU125&gt;=0,AU124&lt;0,MIN($AU$2:AU125)&lt;0),1,0)</f>
        <v>0</v>
      </c>
      <c r="AY125">
        <f>IF(Расчёты!F125=0,0,IF(Расчёты!G125=1,N('Сценарный анализ'!$D$5),IF(Расчёты!G125=2,N('Сценарный анализ'!$D$6),IF(Расчёты!G125=3,N('Сценарный анализ'!$D$7),N('Сценарный анализ'!$D$7)*(1+N('Сценарный анализ'!$D$8))^(Расчёты!G125-3)))))</f>
        <v>0</v>
      </c>
      <c r="AZ125">
        <f>IF(OR(Расчёты!F125=0,N('Исходные данные'!$B$5)=0,AY125=0),0,N('Исходные данные'!$B$5)*AY125*IF(AND(B125&lt;='Исходные данные'!$B$30,Расчёты!C125&gt;='Исходные данные'!$B$30),(Расчёты!C125-'Исходные данные'!$B$30+1)/DAY(Расчёты!C125),1))</f>
        <v>0</v>
      </c>
      <c r="BA125">
        <f>IF(AND(Расчёты!F125&gt;0,Расчёты!F125&lt;=N('Исходные данные'!$B$37)),-AZ125,0)</f>
        <v>0</v>
      </c>
      <c r="BB125">
        <f>IF(OR(Расчёты!F125=0,Расчёты!F125&lt;=N('Исходные данные'!$B$37)),0,-(AZ125+BA125)*N('Сценарный анализ'!$D$9))</f>
        <v>0</v>
      </c>
      <c r="BC125">
        <f t="shared" si="68"/>
        <v>0</v>
      </c>
      <c r="BD125">
        <f>IF('Исходные данные'!$B$51="Да",BC125*N('Исходные данные'!$B$52),0)</f>
        <v>0</v>
      </c>
      <c r="BE125">
        <f t="shared" si="69"/>
        <v>0</v>
      </c>
      <c r="BF125">
        <f>BC125+(Расчёты!Y125-Расчёты!L125)</f>
        <v>0</v>
      </c>
      <c r="BG125">
        <f t="shared" si="76"/>
        <v>0</v>
      </c>
      <c r="BH125">
        <f>IF('Исходные данные'!$B$51="Да",-MAX(0,BD125+Расчёты!R125+Расчёты!V125-Расчёты!P125-Расчёты!T125-BG125),0)</f>
        <v>0</v>
      </c>
      <c r="BI125">
        <f>IF('Исходные данные'!$B$51="Да",MAX(0,BG125+Расчёты!P125+Расчёты!T125-BD125-Расчёты!R125-Расчёты!V125),0)</f>
        <v>0</v>
      </c>
      <c r="BJ125">
        <f>IF('Исходные данные'!$B$53="Выручка",MAX(0,BC125+(Расчёты!Q125-Расчёты!R125)+(Расчёты!U125-Расчёты!V125)),IF('Исходные данные'!$B$53="Прибыль до налога",MAX(0,BC125+(Расчёты!Q125-Расчёты!R125)+(Расчёты!U125-Расчёты!V125)+N('Исходные данные'!$B$54)*((Расчёты!O125+Расчёты!P125)+(Расчёты!S125+Расчёты!T125)+Расчёты!W125+Расчёты!X125)+IF('Исходные данные'!$B$55="Да",Расчёты!AG125,0)-N('Исходные данные'!$B$56)/12),IF('Исходные данные'!$B$53="Пользовательская база",MAX(0,N('Исходные данные'!$B$57)/12),0)))</f>
        <v>0</v>
      </c>
      <c r="BK125">
        <f>IF(D125=1,-BJ125*N('Исходные данные'!$B$50),0)</f>
        <v>0</v>
      </c>
      <c r="BL125">
        <f t="shared" si="70"/>
        <v>0</v>
      </c>
      <c r="BM125">
        <f>IF(OR(D125&lt;&gt;1,B125="",'Исходные данные'!$B$91="",N('Исходные данные'!$B$80)&lt;=0,'Исходные данные'!$B$88=""),0,IF(AND(YEAR(B125)=YEAR('Исходные данные'!$B$91),MONTH(B125)=MONTH('Исходные данные'!$B$91)),MAX(0,IF('Исходные данные'!$B$88="Последние 12 месяцев",SUMIFS($BF$2:$BF$194,$B$2:$B$194,"&gt;="&amp;EDATE(B125,-11),$B$2:$B$194,"&lt;="&amp;B125),IF('Исходные данные'!$B$88="Пользовательский NOI",N('Исходные данные'!$B$89),BL125))/N('Исходные данные'!$B$80)*(1+N('Исходные данные'!$B$81))),0))</f>
        <v>0</v>
      </c>
      <c r="BN125">
        <f>-BM125*N('Исходные данные'!$B$73)</f>
        <v>0</v>
      </c>
      <c r="BO125">
        <f>IF(BM125=0,0,-N('Исходные данные'!$B$87)-IF('Исходные данные'!$B$82="Да",IF('Исходные данные'!$B$84="С выручки",BM125,IF('Исходные данные'!$B$84="С прибыли",MAX(0,BM125+BN125-IF('Исходные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25">
        <f t="shared" si="71"/>
        <v>0</v>
      </c>
      <c r="BQ125">
        <f>IF(D125=1,Расчёты!AZ125+BE125+BH125+BK125+BP125,0)</f>
        <v>0</v>
      </c>
      <c r="BR125" t="str">
        <f t="shared" si="77"/>
        <v/>
      </c>
      <c r="BS125">
        <f>IF(OR(D125=0,'Исходные данные'!$B$9="",'Исходные данные'!$B$90=""),0,BQ125/(1+'Исходные данные'!$B$90)^((C125-'Исходные данные'!$B$9)/365))</f>
        <v>0</v>
      </c>
      <c r="BT125">
        <f>IF(D125=1,BE125+Расчёты!O125+Расчёты!Q125+Расчёты!S125+Расчёты!U125+Расчёты!W125+Расчёты!X125+BH125+BK125,0)</f>
        <v>0</v>
      </c>
      <c r="BU125">
        <f>IF(AND(D125=1,BR125&gt;=0,BR124&lt;0,MIN($BR$2:BR125)&lt;0),1,0)</f>
        <v>0</v>
      </c>
      <c r="BV125">
        <f>Расчёты!AZ125+K125+N125-P125*N('Исходные данные'!$B$50)</f>
        <v>0</v>
      </c>
      <c r="BW125">
        <f t="shared" si="57"/>
        <v>0</v>
      </c>
      <c r="BX125">
        <f>IF(AND(BW125&gt;=0,BW124&lt;0,MIN($BW$2:BW125)&lt;0),1,0)</f>
        <v>0</v>
      </c>
      <c r="BY125">
        <f>Расчёты!AZ125+AH125+AK125-AM125*N('Исходные данные'!$B$50)</f>
        <v>0</v>
      </c>
      <c r="BZ125">
        <f t="shared" si="58"/>
        <v>0</v>
      </c>
      <c r="CA125">
        <f>IF(AND(BZ125&gt;=0,BZ124&lt;0,MIN($BZ$2:BZ125)&lt;0),1,0)</f>
        <v>0</v>
      </c>
      <c r="CB125">
        <f>Расчёты!AZ125+BE125+BH125-BJ125*N('Исходные данные'!$B$50)</f>
        <v>0</v>
      </c>
      <c r="CC125">
        <f t="shared" si="59"/>
        <v>0</v>
      </c>
      <c r="CD125">
        <f>IF(AND(CC125&gt;=0,CC124&lt;0,MIN($CC$2:CC125)&lt;0),1,0)</f>
        <v>0</v>
      </c>
    </row>
    <row r="126" spans="1:82" x14ac:dyDescent="0.2">
      <c r="A126">
        <f>Расчёты!A126</f>
        <v>125</v>
      </c>
      <c r="B126" t="str">
        <f>Расчёты!B126</f>
        <v/>
      </c>
      <c r="C126" t="str">
        <f>Расчёты!D126</f>
        <v/>
      </c>
      <c r="D126">
        <f>Расчёты!E126</f>
        <v>0</v>
      </c>
      <c r="E126">
        <f>IF(Расчёты!F126=0,0,IF(Расчёты!G126=1,N('Сценарный анализ'!$B$5),IF(Расчёты!G126=2,N('Сценарный анализ'!$B$6),IF(Расчёты!G126=3,N('Сценарный анализ'!$B$7),N('Сценарный анализ'!$B$7)*(1+N('Сценарный анализ'!$B$8))^(Расчёты!G126-3)))))</f>
        <v>0</v>
      </c>
      <c r="F126">
        <f>IF(OR(Расчёты!F126=0,N('Исходные данные'!$B$5)=0,E126=0),0,N('Исходные данные'!$B$5)*E126*IF(AND(B126&lt;='Исходные данные'!$B$30,Расчёты!C126&gt;='Исходные данные'!$B$30),(Расчёты!C126-'Исходные данные'!$B$30+1)/DAY(Расчёты!C126),1))</f>
        <v>0</v>
      </c>
      <c r="G126">
        <f>IF(AND(Расчёты!F126&gt;0,Расчёты!F126&lt;=N('Исходные данные'!$B$37)),-F126,0)</f>
        <v>0</v>
      </c>
      <c r="H126">
        <f>IF(OR(Расчёты!F126=0,Расчёты!F126&lt;=N('Исходные данные'!$B$37)),0,-(F126+G126)*N('Сценарный анализ'!$B$9))</f>
        <v>0</v>
      </c>
      <c r="I126">
        <f t="shared" si="60"/>
        <v>0</v>
      </c>
      <c r="J126">
        <f>IF('Исходные данные'!$B$51="Да",I126*N('Исходные данные'!$B$52),0)</f>
        <v>0</v>
      </c>
      <c r="K126">
        <f t="shared" si="61"/>
        <v>0</v>
      </c>
      <c r="L126">
        <f>I126+(Расчёты!Y126-Расчёты!L126)</f>
        <v>0</v>
      </c>
      <c r="M126">
        <f t="shared" si="72"/>
        <v>0</v>
      </c>
      <c r="N126">
        <f>IF('Исходные данные'!$B$51="Да",-MAX(0,J126+Расчёты!R126+Расчёты!V126-Расчёты!P126-Расчёты!T126-M126),0)</f>
        <v>0</v>
      </c>
      <c r="O126">
        <f>IF('Исходные данные'!$B$51="Да",MAX(0,M126+Расчёты!P126+Расчёты!T126-J126-Расчёты!R126-Расчёты!V126),0)</f>
        <v>0</v>
      </c>
      <c r="P126">
        <f>IF('Исходные данные'!$B$53="Выручка",MAX(0,I126+(Расчёты!Q126-Расчёты!R126)+(Расчёты!U126-Расчёты!V126)),IF('Исходные данные'!$B$53="Прибыль до налога",MAX(0,I126+(Расчёты!Q126-Расчёты!R126)+(Расчёты!U126-Расчёты!V126)+N('Исходные данные'!$B$54)*((Расчёты!O126+Расчёты!P126)+(Расчёты!S126+Расчёты!T126)+Расчёты!W126+Расчёты!X126)+IF('Исходные данные'!$B$55="Да",Расчёты!AG126,0)-N('Исходные данные'!$B$56)/12),IF('Исходные данные'!$B$53="Пользовательская база",MAX(0,N('Исходные данные'!$B$57)/12),0)))</f>
        <v>0</v>
      </c>
      <c r="Q126">
        <f>IF(D126=1,-P126*N('Исходные данные'!$B$50),0)</f>
        <v>0</v>
      </c>
      <c r="R126">
        <f t="shared" si="62"/>
        <v>0</v>
      </c>
      <c r="S126">
        <f>IF(OR(D126&lt;&gt;1,B126="",'Исходные данные'!$B$91="",N('Исходные данные'!$B$80)&lt;=0,'Исходные данные'!$B$88=""),0,IF(AND(YEAR(B126)=YEAR('Исходные данные'!$B$91),MONTH(B126)=MONTH('Исходные данные'!$B$91)),MAX(0,IF('Исходные данные'!$B$88="Последние 12 месяцев",SUMIFS($L$2:$L$194,$B$2:$B$194,"&gt;="&amp;EDATE(B126,-11),$B$2:$B$194,"&lt;="&amp;B126),IF('Исходные данные'!$B$88="Пользовательский NOI",N('Исходные данные'!$B$89),R126))/N('Исходные данные'!$B$80)*(1+N('Исходные данные'!$B$81))),0))</f>
        <v>0</v>
      </c>
      <c r="T126">
        <f>-S126*N('Исходные данные'!$B$73)</f>
        <v>0</v>
      </c>
      <c r="U126">
        <f>IF(S126=0,0,-N('Исходные данные'!$B$87)-IF('Исходные данные'!$B$82="Да",IF('Исходные данные'!$B$84="С выручки",S126,IF('Исходные данные'!$B$84="С прибыли",MAX(0,S126+T126-IF('Исходные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26">
        <f t="shared" si="63"/>
        <v>0</v>
      </c>
      <c r="W126">
        <f>IF(D126=1,Расчёты!AZ126+K126+N126+Q126+V126,0)</f>
        <v>0</v>
      </c>
      <c r="X126" t="str">
        <f t="shared" si="73"/>
        <v/>
      </c>
      <c r="Y126">
        <f>IF(OR(D126=0,'Исходные данные'!$B$9="",'Исходные данные'!$B$90=""),0,W126/(1+'Исходные данные'!$B$90)^((C126-'Исходные данные'!$B$9)/365))</f>
        <v>0</v>
      </c>
      <c r="Z126">
        <f>IF(D126=1,K126+Расчёты!O126+Расчёты!Q126+Расчёты!S126+Расчёты!U126+Расчёты!W126+Расчёты!X126+N126+Q126,0)</f>
        <v>0</v>
      </c>
      <c r="AA126">
        <f>IF(AND(D126=1,X126&gt;=0,X125&lt;0,MIN($X$2:X126)&lt;0),1,0)</f>
        <v>0</v>
      </c>
      <c r="AB126">
        <f>IF(Расчёты!F126=0,0,IF(Расчёты!G126=1,N('Сценарный анализ'!$C$5),IF(Расчёты!G126=2,N('Сценарный анализ'!$C$6),IF(Расчёты!G126=3,N('Сценарный анализ'!$C$7),N('Сценарный анализ'!$C$7)*(1+N('Сценарный анализ'!$C$8))^(Расчёты!G126-3)))))</f>
        <v>0</v>
      </c>
      <c r="AC126">
        <f>IF(OR(Расчёты!F126=0,N('Исходные данные'!$B$5)=0,AB126=0),0,N('Исходные данные'!$B$5)*AB126*IF(AND(B126&lt;='Исходные данные'!$B$30,Расчёты!C126&gt;='Исходные данные'!$B$30),(Расчёты!C126-'Исходные данные'!$B$30+1)/DAY(Расчёты!C126),1))</f>
        <v>0</v>
      </c>
      <c r="AD126">
        <f>IF(AND(Расчёты!F126&gt;0,Расчёты!F126&lt;=N('Исходные данные'!$B$37)),-AC126,0)</f>
        <v>0</v>
      </c>
      <c r="AE126">
        <f>IF(OR(Расчёты!F126=0,Расчёты!F126&lt;=N('Исходные данные'!$B$37)),0,-(AC126+AD126)*N('Сценарный анализ'!$C$9))</f>
        <v>0</v>
      </c>
      <c r="AF126">
        <f t="shared" si="64"/>
        <v>0</v>
      </c>
      <c r="AG126">
        <f>IF('Исходные данные'!$B$51="Да",AF126*N('Исходные данные'!$B$52),0)</f>
        <v>0</v>
      </c>
      <c r="AH126">
        <f t="shared" si="65"/>
        <v>0</v>
      </c>
      <c r="AI126">
        <f>AF126+(Расчёты!Y126-Расчёты!L126)</f>
        <v>0</v>
      </c>
      <c r="AJ126">
        <f t="shared" si="74"/>
        <v>0</v>
      </c>
      <c r="AK126">
        <f>IF('Исходные данные'!$B$51="Да",-MAX(0,AG126+Расчёты!R126+Расчёты!V126-Расчёты!P126-Расчёты!T126-AJ126),0)</f>
        <v>0</v>
      </c>
      <c r="AL126">
        <f>IF('Исходные данные'!$B$51="Да",MAX(0,AJ126+Расчёты!P126+Расчёты!T126-AG126-Расчёты!R126-Расчёты!V126),0)</f>
        <v>0</v>
      </c>
      <c r="AM126">
        <f>IF('Исходные данные'!$B$53="Выручка",MAX(0,AF126+(Расчёты!Q126-Расчёты!R126)+(Расчёты!U126-Расчёты!V126)),IF('Исходные данные'!$B$53="Прибыль до налога",MAX(0,AF126+(Расчёты!Q126-Расчёты!R126)+(Расчёты!U126-Расчёты!V126)+N('Исходные данные'!$B$54)*((Расчёты!O126+Расчёты!P126)+(Расчёты!S126+Расчёты!T126)+Расчёты!W126+Расчёты!X126)+IF('Исходные данные'!$B$55="Да",Расчёты!AG126,0)-N('Исходные данные'!$B$56)/12),IF('Исходные данные'!$B$53="Пользовательская база",MAX(0,N('Исходные данные'!$B$57)/12),0)))</f>
        <v>0</v>
      </c>
      <c r="AN126">
        <f>IF(D126=1,-AM126*N('Исходные данные'!$B$50),0)</f>
        <v>0</v>
      </c>
      <c r="AO126">
        <f t="shared" si="66"/>
        <v>0</v>
      </c>
      <c r="AP126">
        <f>IF(OR(D126&lt;&gt;1,B126="",'Исходные данные'!$B$91="",N('Исходные данные'!$B$80)&lt;=0,'Исходные данные'!$B$88=""),0,IF(AND(YEAR(B126)=YEAR('Исходные данные'!$B$91),MONTH(B126)=MONTH('Исходные данные'!$B$91)),MAX(0,IF('Исходные данные'!$B$88="Последние 12 месяцев",SUMIFS($AI$2:$AI$194,$B$2:$B$194,"&gt;="&amp;EDATE(B126,-11),$B$2:$B$194,"&lt;="&amp;B126),IF('Исходные данные'!$B$88="Пользовательский NOI",N('Исходные данные'!$B$89),AO126))/N('Исходные данные'!$B$80)*(1+N('Исходные данные'!$B$81))),0))</f>
        <v>0</v>
      </c>
      <c r="AQ126">
        <f>-AP126*N('Исходные данные'!$B$73)</f>
        <v>0</v>
      </c>
      <c r="AR126">
        <f>IF(AP126=0,0,-N('Исходные данные'!$B$87)-IF('Исходные данные'!$B$82="Да",IF('Исходные данные'!$B$84="С выручки",AP126,IF('Исходные данные'!$B$84="С прибыли",MAX(0,AP126+AQ126-IF('Исходные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26">
        <f t="shared" si="67"/>
        <v>0</v>
      </c>
      <c r="AT126">
        <f>IF(D126=1,Расчёты!AZ126+AH126+AK126+AN126+AS126,0)</f>
        <v>0</v>
      </c>
      <c r="AU126" t="str">
        <f t="shared" si="75"/>
        <v/>
      </c>
      <c r="AV126">
        <f>IF(OR(D126=0,'Исходные данные'!$B$9="",'Исходные данные'!$B$90=""),0,AT126/(1+'Исходные данные'!$B$90)^((C126-'Исходные данные'!$B$9)/365))</f>
        <v>0</v>
      </c>
      <c r="AW126">
        <f>IF(D126=1,AH126+Расчёты!O126+Расчёты!Q126+Расчёты!S126+Расчёты!U126+Расчёты!W126+Расчёты!X126+AK126+AN126,0)</f>
        <v>0</v>
      </c>
      <c r="AX126">
        <f>IF(AND(D126=1,AU126&gt;=0,AU125&lt;0,MIN($AU$2:AU126)&lt;0),1,0)</f>
        <v>0</v>
      </c>
      <c r="AY126">
        <f>IF(Расчёты!F126=0,0,IF(Расчёты!G126=1,N('Сценарный анализ'!$D$5),IF(Расчёты!G126=2,N('Сценарный анализ'!$D$6),IF(Расчёты!G126=3,N('Сценарный анализ'!$D$7),N('Сценарный анализ'!$D$7)*(1+N('Сценарный анализ'!$D$8))^(Расчёты!G126-3)))))</f>
        <v>0</v>
      </c>
      <c r="AZ126">
        <f>IF(OR(Расчёты!F126=0,N('Исходные данные'!$B$5)=0,AY126=0),0,N('Исходные данные'!$B$5)*AY126*IF(AND(B126&lt;='Исходные данные'!$B$30,Расчёты!C126&gt;='Исходные данные'!$B$30),(Расчёты!C126-'Исходные данные'!$B$30+1)/DAY(Расчёты!C126),1))</f>
        <v>0</v>
      </c>
      <c r="BA126">
        <f>IF(AND(Расчёты!F126&gt;0,Расчёты!F126&lt;=N('Исходные данные'!$B$37)),-AZ126,0)</f>
        <v>0</v>
      </c>
      <c r="BB126">
        <f>IF(OR(Расчёты!F126=0,Расчёты!F126&lt;=N('Исходные данные'!$B$37)),0,-(AZ126+BA126)*N('Сценарный анализ'!$D$9))</f>
        <v>0</v>
      </c>
      <c r="BC126">
        <f t="shared" si="68"/>
        <v>0</v>
      </c>
      <c r="BD126">
        <f>IF('Исходные данные'!$B$51="Да",BC126*N('Исходные данные'!$B$52),0)</f>
        <v>0</v>
      </c>
      <c r="BE126">
        <f t="shared" si="69"/>
        <v>0</v>
      </c>
      <c r="BF126">
        <f>BC126+(Расчёты!Y126-Расчёты!L126)</f>
        <v>0</v>
      </c>
      <c r="BG126">
        <f t="shared" si="76"/>
        <v>0</v>
      </c>
      <c r="BH126">
        <f>IF('Исходные данные'!$B$51="Да",-MAX(0,BD126+Расчёты!R126+Расчёты!V126-Расчёты!P126-Расчёты!T126-BG126),0)</f>
        <v>0</v>
      </c>
      <c r="BI126">
        <f>IF('Исходные данные'!$B$51="Да",MAX(0,BG126+Расчёты!P126+Расчёты!T126-BD126-Расчёты!R126-Расчёты!V126),0)</f>
        <v>0</v>
      </c>
      <c r="BJ126">
        <f>IF('Исходные данные'!$B$53="Выручка",MAX(0,BC126+(Расчёты!Q126-Расчёты!R126)+(Расчёты!U126-Расчёты!V126)),IF('Исходные данные'!$B$53="Прибыль до налога",MAX(0,BC126+(Расчёты!Q126-Расчёты!R126)+(Расчёты!U126-Расчёты!V126)+N('Исходные данные'!$B$54)*((Расчёты!O126+Расчёты!P126)+(Расчёты!S126+Расчёты!T126)+Расчёты!W126+Расчёты!X126)+IF('Исходные данные'!$B$55="Да",Расчёты!AG126,0)-N('Исходные данные'!$B$56)/12),IF('Исходные данные'!$B$53="Пользовательская база",MAX(0,N('Исходные данные'!$B$57)/12),0)))</f>
        <v>0</v>
      </c>
      <c r="BK126">
        <f>IF(D126=1,-BJ126*N('Исходные данные'!$B$50),0)</f>
        <v>0</v>
      </c>
      <c r="BL126">
        <f t="shared" si="70"/>
        <v>0</v>
      </c>
      <c r="BM126">
        <f>IF(OR(D126&lt;&gt;1,B126="",'Исходные данные'!$B$91="",N('Исходные данные'!$B$80)&lt;=0,'Исходные данные'!$B$88=""),0,IF(AND(YEAR(B126)=YEAR('Исходные данные'!$B$91),MONTH(B126)=MONTH('Исходные данные'!$B$91)),MAX(0,IF('Исходные данные'!$B$88="Последние 12 месяцев",SUMIFS($BF$2:$BF$194,$B$2:$B$194,"&gt;="&amp;EDATE(B126,-11),$B$2:$B$194,"&lt;="&amp;B126),IF('Исходные данные'!$B$88="Пользовательский NOI",N('Исходные данные'!$B$89),BL126))/N('Исходные данные'!$B$80)*(1+N('Исходные данные'!$B$81))),0))</f>
        <v>0</v>
      </c>
      <c r="BN126">
        <f>-BM126*N('Исходные данные'!$B$73)</f>
        <v>0</v>
      </c>
      <c r="BO126">
        <f>IF(BM126=0,0,-N('Исходные данные'!$B$87)-IF('Исходные данные'!$B$82="Да",IF('Исходные данные'!$B$84="С выручки",BM126,IF('Исходные данные'!$B$84="С прибыли",MAX(0,BM126+BN126-IF('Исходные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26">
        <f t="shared" si="71"/>
        <v>0</v>
      </c>
      <c r="BQ126">
        <f>IF(D126=1,Расчёты!AZ126+BE126+BH126+BK126+BP126,0)</f>
        <v>0</v>
      </c>
      <c r="BR126" t="str">
        <f t="shared" si="77"/>
        <v/>
      </c>
      <c r="BS126">
        <f>IF(OR(D126=0,'Исходные данные'!$B$9="",'Исходные данные'!$B$90=""),0,BQ126/(1+'Исходные данные'!$B$90)^((C126-'Исходные данные'!$B$9)/365))</f>
        <v>0</v>
      </c>
      <c r="BT126">
        <f>IF(D126=1,BE126+Расчёты!O126+Расчёты!Q126+Расчёты!S126+Расчёты!U126+Расчёты!W126+Расчёты!X126+BH126+BK126,0)</f>
        <v>0</v>
      </c>
      <c r="BU126">
        <f>IF(AND(D126=1,BR126&gt;=0,BR125&lt;0,MIN($BR$2:BR126)&lt;0),1,0)</f>
        <v>0</v>
      </c>
      <c r="BV126">
        <f>Расчёты!AZ126+K126+N126-P126*N('Исходные данные'!$B$50)</f>
        <v>0</v>
      </c>
      <c r="BW126">
        <f t="shared" si="57"/>
        <v>0</v>
      </c>
      <c r="BX126">
        <f>IF(AND(BW126&gt;=0,BW125&lt;0,MIN($BW$2:BW126)&lt;0),1,0)</f>
        <v>0</v>
      </c>
      <c r="BY126">
        <f>Расчёты!AZ126+AH126+AK126-AM126*N('Исходные данные'!$B$50)</f>
        <v>0</v>
      </c>
      <c r="BZ126">
        <f t="shared" si="58"/>
        <v>0</v>
      </c>
      <c r="CA126">
        <f>IF(AND(BZ126&gt;=0,BZ125&lt;0,MIN($BZ$2:BZ126)&lt;0),1,0)</f>
        <v>0</v>
      </c>
      <c r="CB126">
        <f>Расчёты!AZ126+BE126+BH126-BJ126*N('Исходные данные'!$B$50)</f>
        <v>0</v>
      </c>
      <c r="CC126">
        <f t="shared" si="59"/>
        <v>0</v>
      </c>
      <c r="CD126">
        <f>IF(AND(CC126&gt;=0,CC125&lt;0,MIN($CC$2:CC126)&lt;0),1,0)</f>
        <v>0</v>
      </c>
    </row>
    <row r="127" spans="1:82" x14ac:dyDescent="0.2">
      <c r="A127">
        <f>Расчёты!A127</f>
        <v>126</v>
      </c>
      <c r="B127" t="str">
        <f>Расчёты!B127</f>
        <v/>
      </c>
      <c r="C127" t="str">
        <f>Расчёты!D127</f>
        <v/>
      </c>
      <c r="D127">
        <f>Расчёты!E127</f>
        <v>0</v>
      </c>
      <c r="E127">
        <f>IF(Расчёты!F127=0,0,IF(Расчёты!G127=1,N('Сценарный анализ'!$B$5),IF(Расчёты!G127=2,N('Сценарный анализ'!$B$6),IF(Расчёты!G127=3,N('Сценарный анализ'!$B$7),N('Сценарный анализ'!$B$7)*(1+N('Сценарный анализ'!$B$8))^(Расчёты!G127-3)))))</f>
        <v>0</v>
      </c>
      <c r="F127">
        <f>IF(OR(Расчёты!F127=0,N('Исходные данные'!$B$5)=0,E127=0),0,N('Исходные данные'!$B$5)*E127*IF(AND(B127&lt;='Исходные данные'!$B$30,Расчёты!C127&gt;='Исходные данные'!$B$30),(Расчёты!C127-'Исходные данные'!$B$30+1)/DAY(Расчёты!C127),1))</f>
        <v>0</v>
      </c>
      <c r="G127">
        <f>IF(AND(Расчёты!F127&gt;0,Расчёты!F127&lt;=N('Исходные данные'!$B$37)),-F127,0)</f>
        <v>0</v>
      </c>
      <c r="H127">
        <f>IF(OR(Расчёты!F127=0,Расчёты!F127&lt;=N('Исходные данные'!$B$37)),0,-(F127+G127)*N('Сценарный анализ'!$B$9))</f>
        <v>0</v>
      </c>
      <c r="I127">
        <f t="shared" si="60"/>
        <v>0</v>
      </c>
      <c r="J127">
        <f>IF('Исходные данные'!$B$51="Да",I127*N('Исходные данные'!$B$52),0)</f>
        <v>0</v>
      </c>
      <c r="K127">
        <f t="shared" si="61"/>
        <v>0</v>
      </c>
      <c r="L127">
        <f>I127+(Расчёты!Y127-Расчёты!L127)</f>
        <v>0</v>
      </c>
      <c r="M127">
        <f t="shared" si="72"/>
        <v>0</v>
      </c>
      <c r="N127">
        <f>IF('Исходные данные'!$B$51="Да",-MAX(0,J127+Расчёты!R127+Расчёты!V127-Расчёты!P127-Расчёты!T127-M127),0)</f>
        <v>0</v>
      </c>
      <c r="O127">
        <f>IF('Исходные данные'!$B$51="Да",MAX(0,M127+Расчёты!P127+Расчёты!T127-J127-Расчёты!R127-Расчёты!V127),0)</f>
        <v>0</v>
      </c>
      <c r="P127">
        <f>IF('Исходные данные'!$B$53="Выручка",MAX(0,I127+(Расчёты!Q127-Расчёты!R127)+(Расчёты!U127-Расчёты!V127)),IF('Исходные данные'!$B$53="Прибыль до налога",MAX(0,I127+(Расчёты!Q127-Расчёты!R127)+(Расчёты!U127-Расчёты!V127)+N('Исходные данные'!$B$54)*((Расчёты!O127+Расчёты!P127)+(Расчёты!S127+Расчёты!T127)+Расчёты!W127+Расчёты!X127)+IF('Исходные данные'!$B$55="Да",Расчёты!AG127,0)-N('Исходные данные'!$B$56)/12),IF('Исходные данные'!$B$53="Пользовательская база",MAX(0,N('Исходные данные'!$B$57)/12),0)))</f>
        <v>0</v>
      </c>
      <c r="Q127">
        <f>IF(D127=1,-P127*N('Исходные данные'!$B$50),0)</f>
        <v>0</v>
      </c>
      <c r="R127">
        <f t="shared" si="62"/>
        <v>0</v>
      </c>
      <c r="S127">
        <f>IF(OR(D127&lt;&gt;1,B127="",'Исходные данные'!$B$91="",N('Исходные данные'!$B$80)&lt;=0,'Исходные данные'!$B$88=""),0,IF(AND(YEAR(B127)=YEAR('Исходные данные'!$B$91),MONTH(B127)=MONTH('Исходные данные'!$B$91)),MAX(0,IF('Исходные данные'!$B$88="Последние 12 месяцев",SUMIFS($L$2:$L$194,$B$2:$B$194,"&gt;="&amp;EDATE(B127,-11),$B$2:$B$194,"&lt;="&amp;B127),IF('Исходные данные'!$B$88="Пользовательский NOI",N('Исходные данные'!$B$89),R127))/N('Исходные данные'!$B$80)*(1+N('Исходные данные'!$B$81))),0))</f>
        <v>0</v>
      </c>
      <c r="T127">
        <f>-S127*N('Исходные данные'!$B$73)</f>
        <v>0</v>
      </c>
      <c r="U127">
        <f>IF(S127=0,0,-N('Исходные данные'!$B$87)-IF('Исходные данные'!$B$82="Да",IF('Исходные данные'!$B$84="С выручки",S127,IF('Исходные данные'!$B$84="С прибыли",MAX(0,S127+T127-IF('Исходные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27">
        <f t="shared" si="63"/>
        <v>0</v>
      </c>
      <c r="W127">
        <f>IF(D127=1,Расчёты!AZ127+K127+N127+Q127+V127,0)</f>
        <v>0</v>
      </c>
      <c r="X127" t="str">
        <f t="shared" si="73"/>
        <v/>
      </c>
      <c r="Y127">
        <f>IF(OR(D127=0,'Исходные данные'!$B$9="",'Исходные данные'!$B$90=""),0,W127/(1+'Исходные данные'!$B$90)^((C127-'Исходные данные'!$B$9)/365))</f>
        <v>0</v>
      </c>
      <c r="Z127">
        <f>IF(D127=1,K127+Расчёты!O127+Расчёты!Q127+Расчёты!S127+Расчёты!U127+Расчёты!W127+Расчёты!X127+N127+Q127,0)</f>
        <v>0</v>
      </c>
      <c r="AA127">
        <f>IF(AND(D127=1,X127&gt;=0,X126&lt;0,MIN($X$2:X127)&lt;0),1,0)</f>
        <v>0</v>
      </c>
      <c r="AB127">
        <f>IF(Расчёты!F127=0,0,IF(Расчёты!G127=1,N('Сценарный анализ'!$C$5),IF(Расчёты!G127=2,N('Сценарный анализ'!$C$6),IF(Расчёты!G127=3,N('Сценарный анализ'!$C$7),N('Сценарный анализ'!$C$7)*(1+N('Сценарный анализ'!$C$8))^(Расчёты!G127-3)))))</f>
        <v>0</v>
      </c>
      <c r="AC127">
        <f>IF(OR(Расчёты!F127=0,N('Исходные данные'!$B$5)=0,AB127=0),0,N('Исходные данные'!$B$5)*AB127*IF(AND(B127&lt;='Исходные данные'!$B$30,Расчёты!C127&gt;='Исходные данные'!$B$30),(Расчёты!C127-'Исходные данные'!$B$30+1)/DAY(Расчёты!C127),1))</f>
        <v>0</v>
      </c>
      <c r="AD127">
        <f>IF(AND(Расчёты!F127&gt;0,Расчёты!F127&lt;=N('Исходные данные'!$B$37)),-AC127,0)</f>
        <v>0</v>
      </c>
      <c r="AE127">
        <f>IF(OR(Расчёты!F127=0,Расчёты!F127&lt;=N('Исходные данные'!$B$37)),0,-(AC127+AD127)*N('Сценарный анализ'!$C$9))</f>
        <v>0</v>
      </c>
      <c r="AF127">
        <f t="shared" si="64"/>
        <v>0</v>
      </c>
      <c r="AG127">
        <f>IF('Исходные данные'!$B$51="Да",AF127*N('Исходные данные'!$B$52),0)</f>
        <v>0</v>
      </c>
      <c r="AH127">
        <f t="shared" si="65"/>
        <v>0</v>
      </c>
      <c r="AI127">
        <f>AF127+(Расчёты!Y127-Расчёты!L127)</f>
        <v>0</v>
      </c>
      <c r="AJ127">
        <f t="shared" si="74"/>
        <v>0</v>
      </c>
      <c r="AK127">
        <f>IF('Исходные данные'!$B$51="Да",-MAX(0,AG127+Расчёты!R127+Расчёты!V127-Расчёты!P127-Расчёты!T127-AJ127),0)</f>
        <v>0</v>
      </c>
      <c r="AL127">
        <f>IF('Исходные данные'!$B$51="Да",MAX(0,AJ127+Расчёты!P127+Расчёты!T127-AG127-Расчёты!R127-Расчёты!V127),0)</f>
        <v>0</v>
      </c>
      <c r="AM127">
        <f>IF('Исходные данные'!$B$53="Выручка",MAX(0,AF127+(Расчёты!Q127-Расчёты!R127)+(Расчёты!U127-Расчёты!V127)),IF('Исходные данные'!$B$53="Прибыль до налога",MAX(0,AF127+(Расчёты!Q127-Расчёты!R127)+(Расчёты!U127-Расчёты!V127)+N('Исходные данные'!$B$54)*((Расчёты!O127+Расчёты!P127)+(Расчёты!S127+Расчёты!T127)+Расчёты!W127+Расчёты!X127)+IF('Исходные данные'!$B$55="Да",Расчёты!AG127,0)-N('Исходные данные'!$B$56)/12),IF('Исходные данные'!$B$53="Пользовательская база",MAX(0,N('Исходные данные'!$B$57)/12),0)))</f>
        <v>0</v>
      </c>
      <c r="AN127">
        <f>IF(D127=1,-AM127*N('Исходные данные'!$B$50),0)</f>
        <v>0</v>
      </c>
      <c r="AO127">
        <f t="shared" si="66"/>
        <v>0</v>
      </c>
      <c r="AP127">
        <f>IF(OR(D127&lt;&gt;1,B127="",'Исходные данные'!$B$91="",N('Исходные данные'!$B$80)&lt;=0,'Исходные данные'!$B$88=""),0,IF(AND(YEAR(B127)=YEAR('Исходные данные'!$B$91),MONTH(B127)=MONTH('Исходные данные'!$B$91)),MAX(0,IF('Исходные данные'!$B$88="Последние 12 месяцев",SUMIFS($AI$2:$AI$194,$B$2:$B$194,"&gt;="&amp;EDATE(B127,-11),$B$2:$B$194,"&lt;="&amp;B127),IF('Исходные данные'!$B$88="Пользовательский NOI",N('Исходные данные'!$B$89),AO127))/N('Исходные данные'!$B$80)*(1+N('Исходные данные'!$B$81))),0))</f>
        <v>0</v>
      </c>
      <c r="AQ127">
        <f>-AP127*N('Исходные данные'!$B$73)</f>
        <v>0</v>
      </c>
      <c r="AR127">
        <f>IF(AP127=0,0,-N('Исходные данные'!$B$87)-IF('Исходные данные'!$B$82="Да",IF('Исходные данные'!$B$84="С выручки",AP127,IF('Исходные данные'!$B$84="С прибыли",MAX(0,AP127+AQ127-IF('Исходные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27">
        <f t="shared" si="67"/>
        <v>0</v>
      </c>
      <c r="AT127">
        <f>IF(D127=1,Расчёты!AZ127+AH127+AK127+AN127+AS127,0)</f>
        <v>0</v>
      </c>
      <c r="AU127" t="str">
        <f t="shared" si="75"/>
        <v/>
      </c>
      <c r="AV127">
        <f>IF(OR(D127=0,'Исходные данные'!$B$9="",'Исходные данные'!$B$90=""),0,AT127/(1+'Исходные данные'!$B$90)^((C127-'Исходные данные'!$B$9)/365))</f>
        <v>0</v>
      </c>
      <c r="AW127">
        <f>IF(D127=1,AH127+Расчёты!O127+Расчёты!Q127+Расчёты!S127+Расчёты!U127+Расчёты!W127+Расчёты!X127+AK127+AN127,0)</f>
        <v>0</v>
      </c>
      <c r="AX127">
        <f>IF(AND(D127=1,AU127&gt;=0,AU126&lt;0,MIN($AU$2:AU127)&lt;0),1,0)</f>
        <v>0</v>
      </c>
      <c r="AY127">
        <f>IF(Расчёты!F127=0,0,IF(Расчёты!G127=1,N('Сценарный анализ'!$D$5),IF(Расчёты!G127=2,N('Сценарный анализ'!$D$6),IF(Расчёты!G127=3,N('Сценарный анализ'!$D$7),N('Сценарный анализ'!$D$7)*(1+N('Сценарный анализ'!$D$8))^(Расчёты!G127-3)))))</f>
        <v>0</v>
      </c>
      <c r="AZ127">
        <f>IF(OR(Расчёты!F127=0,N('Исходные данные'!$B$5)=0,AY127=0),0,N('Исходные данные'!$B$5)*AY127*IF(AND(B127&lt;='Исходные данные'!$B$30,Расчёты!C127&gt;='Исходные данные'!$B$30),(Расчёты!C127-'Исходные данные'!$B$30+1)/DAY(Расчёты!C127),1))</f>
        <v>0</v>
      </c>
      <c r="BA127">
        <f>IF(AND(Расчёты!F127&gt;0,Расчёты!F127&lt;=N('Исходные данные'!$B$37)),-AZ127,0)</f>
        <v>0</v>
      </c>
      <c r="BB127">
        <f>IF(OR(Расчёты!F127=0,Расчёты!F127&lt;=N('Исходные данные'!$B$37)),0,-(AZ127+BA127)*N('Сценарный анализ'!$D$9))</f>
        <v>0</v>
      </c>
      <c r="BC127">
        <f t="shared" si="68"/>
        <v>0</v>
      </c>
      <c r="BD127">
        <f>IF('Исходные данные'!$B$51="Да",BC127*N('Исходные данные'!$B$52),0)</f>
        <v>0</v>
      </c>
      <c r="BE127">
        <f t="shared" si="69"/>
        <v>0</v>
      </c>
      <c r="BF127">
        <f>BC127+(Расчёты!Y127-Расчёты!L127)</f>
        <v>0</v>
      </c>
      <c r="BG127">
        <f t="shared" si="76"/>
        <v>0</v>
      </c>
      <c r="BH127">
        <f>IF('Исходные данные'!$B$51="Да",-MAX(0,BD127+Расчёты!R127+Расчёты!V127-Расчёты!P127-Расчёты!T127-BG127),0)</f>
        <v>0</v>
      </c>
      <c r="BI127">
        <f>IF('Исходные данные'!$B$51="Да",MAX(0,BG127+Расчёты!P127+Расчёты!T127-BD127-Расчёты!R127-Расчёты!V127),0)</f>
        <v>0</v>
      </c>
      <c r="BJ127">
        <f>IF('Исходные данные'!$B$53="Выручка",MAX(0,BC127+(Расчёты!Q127-Расчёты!R127)+(Расчёты!U127-Расчёты!V127)),IF('Исходные данные'!$B$53="Прибыль до налога",MAX(0,BC127+(Расчёты!Q127-Расчёты!R127)+(Расчёты!U127-Расчёты!V127)+N('Исходные данные'!$B$54)*((Расчёты!O127+Расчёты!P127)+(Расчёты!S127+Расчёты!T127)+Расчёты!W127+Расчёты!X127)+IF('Исходные данные'!$B$55="Да",Расчёты!AG127,0)-N('Исходные данные'!$B$56)/12),IF('Исходные данные'!$B$53="Пользовательская база",MAX(0,N('Исходные данные'!$B$57)/12),0)))</f>
        <v>0</v>
      </c>
      <c r="BK127">
        <f>IF(D127=1,-BJ127*N('Исходные данные'!$B$50),0)</f>
        <v>0</v>
      </c>
      <c r="BL127">
        <f t="shared" si="70"/>
        <v>0</v>
      </c>
      <c r="BM127">
        <f>IF(OR(D127&lt;&gt;1,B127="",'Исходные данные'!$B$91="",N('Исходные данные'!$B$80)&lt;=0,'Исходные данные'!$B$88=""),0,IF(AND(YEAR(B127)=YEAR('Исходные данные'!$B$91),MONTH(B127)=MONTH('Исходные данные'!$B$91)),MAX(0,IF('Исходные данные'!$B$88="Последние 12 месяцев",SUMIFS($BF$2:$BF$194,$B$2:$B$194,"&gt;="&amp;EDATE(B127,-11),$B$2:$B$194,"&lt;="&amp;B127),IF('Исходные данные'!$B$88="Пользовательский NOI",N('Исходные данные'!$B$89),BL127))/N('Исходные данные'!$B$80)*(1+N('Исходные данные'!$B$81))),0))</f>
        <v>0</v>
      </c>
      <c r="BN127">
        <f>-BM127*N('Исходные данные'!$B$73)</f>
        <v>0</v>
      </c>
      <c r="BO127">
        <f>IF(BM127=0,0,-N('Исходные данные'!$B$87)-IF('Исходные данные'!$B$82="Да",IF('Исходные данные'!$B$84="С выручки",BM127,IF('Исходные данные'!$B$84="С прибыли",MAX(0,BM127+BN127-IF('Исходные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27">
        <f t="shared" si="71"/>
        <v>0</v>
      </c>
      <c r="BQ127">
        <f>IF(D127=1,Расчёты!AZ127+BE127+BH127+BK127+BP127,0)</f>
        <v>0</v>
      </c>
      <c r="BR127" t="str">
        <f t="shared" si="77"/>
        <v/>
      </c>
      <c r="BS127">
        <f>IF(OR(D127=0,'Исходные данные'!$B$9="",'Исходные данные'!$B$90=""),0,BQ127/(1+'Исходные данные'!$B$90)^((C127-'Исходные данные'!$B$9)/365))</f>
        <v>0</v>
      </c>
      <c r="BT127">
        <f>IF(D127=1,BE127+Расчёты!O127+Расчёты!Q127+Расчёты!S127+Расчёты!U127+Расчёты!W127+Расчёты!X127+BH127+BK127,0)</f>
        <v>0</v>
      </c>
      <c r="BU127">
        <f>IF(AND(D127=1,BR127&gt;=0,BR126&lt;0,MIN($BR$2:BR127)&lt;0),1,0)</f>
        <v>0</v>
      </c>
      <c r="BV127">
        <f>Расчёты!AZ127+K127+N127-P127*N('Исходные данные'!$B$50)</f>
        <v>0</v>
      </c>
      <c r="BW127">
        <f t="shared" si="57"/>
        <v>0</v>
      </c>
      <c r="BX127">
        <f>IF(AND(BW127&gt;=0,BW126&lt;0,MIN($BW$2:BW127)&lt;0),1,0)</f>
        <v>0</v>
      </c>
      <c r="BY127">
        <f>Расчёты!AZ127+AH127+AK127-AM127*N('Исходные данные'!$B$50)</f>
        <v>0</v>
      </c>
      <c r="BZ127">
        <f t="shared" si="58"/>
        <v>0</v>
      </c>
      <c r="CA127">
        <f>IF(AND(BZ127&gt;=0,BZ126&lt;0,MIN($BZ$2:BZ127)&lt;0),1,0)</f>
        <v>0</v>
      </c>
      <c r="CB127">
        <f>Расчёты!AZ127+BE127+BH127-BJ127*N('Исходные данные'!$B$50)</f>
        <v>0</v>
      </c>
      <c r="CC127">
        <f t="shared" si="59"/>
        <v>0</v>
      </c>
      <c r="CD127">
        <f>IF(AND(CC127&gt;=0,CC126&lt;0,MIN($CC$2:CC127)&lt;0),1,0)</f>
        <v>0</v>
      </c>
    </row>
    <row r="128" spans="1:82" x14ac:dyDescent="0.2">
      <c r="A128">
        <f>Расчёты!A128</f>
        <v>127</v>
      </c>
      <c r="B128" t="str">
        <f>Расчёты!B128</f>
        <v/>
      </c>
      <c r="C128" t="str">
        <f>Расчёты!D128</f>
        <v/>
      </c>
      <c r="D128">
        <f>Расчёты!E128</f>
        <v>0</v>
      </c>
      <c r="E128">
        <f>IF(Расчёты!F128=0,0,IF(Расчёты!G128=1,N('Сценарный анализ'!$B$5),IF(Расчёты!G128=2,N('Сценарный анализ'!$B$6),IF(Расчёты!G128=3,N('Сценарный анализ'!$B$7),N('Сценарный анализ'!$B$7)*(1+N('Сценарный анализ'!$B$8))^(Расчёты!G128-3)))))</f>
        <v>0</v>
      </c>
      <c r="F128">
        <f>IF(OR(Расчёты!F128=0,N('Исходные данные'!$B$5)=0,E128=0),0,N('Исходные данные'!$B$5)*E128*IF(AND(B128&lt;='Исходные данные'!$B$30,Расчёты!C128&gt;='Исходные данные'!$B$30),(Расчёты!C128-'Исходные данные'!$B$30+1)/DAY(Расчёты!C128),1))</f>
        <v>0</v>
      </c>
      <c r="G128">
        <f>IF(AND(Расчёты!F128&gt;0,Расчёты!F128&lt;=N('Исходные данные'!$B$37)),-F128,0)</f>
        <v>0</v>
      </c>
      <c r="H128">
        <f>IF(OR(Расчёты!F128=0,Расчёты!F128&lt;=N('Исходные данные'!$B$37)),0,-(F128+G128)*N('Сценарный анализ'!$B$9))</f>
        <v>0</v>
      </c>
      <c r="I128">
        <f t="shared" si="60"/>
        <v>0</v>
      </c>
      <c r="J128">
        <f>IF('Исходные данные'!$B$51="Да",I128*N('Исходные данные'!$B$52),0)</f>
        <v>0</v>
      </c>
      <c r="K128">
        <f t="shared" si="61"/>
        <v>0</v>
      </c>
      <c r="L128">
        <f>I128+(Расчёты!Y128-Расчёты!L128)</f>
        <v>0</v>
      </c>
      <c r="M128">
        <f t="shared" si="72"/>
        <v>0</v>
      </c>
      <c r="N128">
        <f>IF('Исходные данные'!$B$51="Да",-MAX(0,J128+Расчёты!R128+Расчёты!V128-Расчёты!P128-Расчёты!T128-M128),0)</f>
        <v>0</v>
      </c>
      <c r="O128">
        <f>IF('Исходные данные'!$B$51="Да",MAX(0,M128+Расчёты!P128+Расчёты!T128-J128-Расчёты!R128-Расчёты!V128),0)</f>
        <v>0</v>
      </c>
      <c r="P128">
        <f>IF('Исходные данные'!$B$53="Выручка",MAX(0,I128+(Расчёты!Q128-Расчёты!R128)+(Расчёты!U128-Расчёты!V128)),IF('Исходные данные'!$B$53="Прибыль до налога",MAX(0,I128+(Расчёты!Q128-Расчёты!R128)+(Расчёты!U128-Расчёты!V128)+N('Исходные данные'!$B$54)*((Расчёты!O128+Расчёты!P128)+(Расчёты!S128+Расчёты!T128)+Расчёты!W128+Расчёты!X128)+IF('Исходные данные'!$B$55="Да",Расчёты!AG128,0)-N('Исходные данные'!$B$56)/12),IF('Исходные данные'!$B$53="Пользовательская база",MAX(0,N('Исходные данные'!$B$57)/12),0)))</f>
        <v>0</v>
      </c>
      <c r="Q128">
        <f>IF(D128=1,-P128*N('Исходные данные'!$B$50),0)</f>
        <v>0</v>
      </c>
      <c r="R128">
        <f t="shared" si="62"/>
        <v>0</v>
      </c>
      <c r="S128">
        <f>IF(OR(D128&lt;&gt;1,B128="",'Исходные данные'!$B$91="",N('Исходные данные'!$B$80)&lt;=0,'Исходные данные'!$B$88=""),0,IF(AND(YEAR(B128)=YEAR('Исходные данные'!$B$91),MONTH(B128)=MONTH('Исходные данные'!$B$91)),MAX(0,IF('Исходные данные'!$B$88="Последние 12 месяцев",SUMIFS($L$2:$L$194,$B$2:$B$194,"&gt;="&amp;EDATE(B128,-11),$B$2:$B$194,"&lt;="&amp;B128),IF('Исходные данные'!$B$88="Пользовательский NOI",N('Исходные данные'!$B$89),R128))/N('Исходные данные'!$B$80)*(1+N('Исходные данные'!$B$81))),0))</f>
        <v>0</v>
      </c>
      <c r="T128">
        <f>-S128*N('Исходные данные'!$B$73)</f>
        <v>0</v>
      </c>
      <c r="U128">
        <f>IF(S128=0,0,-N('Исходные данные'!$B$87)-IF('Исходные данные'!$B$82="Да",IF('Исходные данные'!$B$84="С выручки",S128,IF('Исходные данные'!$B$84="С прибыли",MAX(0,S128+T128-IF('Исходные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28">
        <f t="shared" si="63"/>
        <v>0</v>
      </c>
      <c r="W128">
        <f>IF(D128=1,Расчёты!AZ128+K128+N128+Q128+V128,0)</f>
        <v>0</v>
      </c>
      <c r="X128" t="str">
        <f t="shared" si="73"/>
        <v/>
      </c>
      <c r="Y128">
        <f>IF(OR(D128=0,'Исходные данные'!$B$9="",'Исходные данные'!$B$90=""),0,W128/(1+'Исходные данные'!$B$90)^((C128-'Исходные данные'!$B$9)/365))</f>
        <v>0</v>
      </c>
      <c r="Z128">
        <f>IF(D128=1,K128+Расчёты!O128+Расчёты!Q128+Расчёты!S128+Расчёты!U128+Расчёты!W128+Расчёты!X128+N128+Q128,0)</f>
        <v>0</v>
      </c>
      <c r="AA128">
        <f>IF(AND(D128=1,X128&gt;=0,X127&lt;0,MIN($X$2:X128)&lt;0),1,0)</f>
        <v>0</v>
      </c>
      <c r="AB128">
        <f>IF(Расчёты!F128=0,0,IF(Расчёты!G128=1,N('Сценарный анализ'!$C$5),IF(Расчёты!G128=2,N('Сценарный анализ'!$C$6),IF(Расчёты!G128=3,N('Сценарный анализ'!$C$7),N('Сценарный анализ'!$C$7)*(1+N('Сценарный анализ'!$C$8))^(Расчёты!G128-3)))))</f>
        <v>0</v>
      </c>
      <c r="AC128">
        <f>IF(OR(Расчёты!F128=0,N('Исходные данные'!$B$5)=0,AB128=0),0,N('Исходные данные'!$B$5)*AB128*IF(AND(B128&lt;='Исходные данные'!$B$30,Расчёты!C128&gt;='Исходные данные'!$B$30),(Расчёты!C128-'Исходные данные'!$B$30+1)/DAY(Расчёты!C128),1))</f>
        <v>0</v>
      </c>
      <c r="AD128">
        <f>IF(AND(Расчёты!F128&gt;0,Расчёты!F128&lt;=N('Исходные данные'!$B$37)),-AC128,0)</f>
        <v>0</v>
      </c>
      <c r="AE128">
        <f>IF(OR(Расчёты!F128=0,Расчёты!F128&lt;=N('Исходные данные'!$B$37)),0,-(AC128+AD128)*N('Сценарный анализ'!$C$9))</f>
        <v>0</v>
      </c>
      <c r="AF128">
        <f t="shared" si="64"/>
        <v>0</v>
      </c>
      <c r="AG128">
        <f>IF('Исходные данные'!$B$51="Да",AF128*N('Исходные данные'!$B$52),0)</f>
        <v>0</v>
      </c>
      <c r="AH128">
        <f t="shared" si="65"/>
        <v>0</v>
      </c>
      <c r="AI128">
        <f>AF128+(Расчёты!Y128-Расчёты!L128)</f>
        <v>0</v>
      </c>
      <c r="AJ128">
        <f t="shared" si="74"/>
        <v>0</v>
      </c>
      <c r="AK128">
        <f>IF('Исходные данные'!$B$51="Да",-MAX(0,AG128+Расчёты!R128+Расчёты!V128-Расчёты!P128-Расчёты!T128-AJ128),0)</f>
        <v>0</v>
      </c>
      <c r="AL128">
        <f>IF('Исходные данные'!$B$51="Да",MAX(0,AJ128+Расчёты!P128+Расчёты!T128-AG128-Расчёты!R128-Расчёты!V128),0)</f>
        <v>0</v>
      </c>
      <c r="AM128">
        <f>IF('Исходные данные'!$B$53="Выручка",MAX(0,AF128+(Расчёты!Q128-Расчёты!R128)+(Расчёты!U128-Расчёты!V128)),IF('Исходные данные'!$B$53="Прибыль до налога",MAX(0,AF128+(Расчёты!Q128-Расчёты!R128)+(Расчёты!U128-Расчёты!V128)+N('Исходные данные'!$B$54)*((Расчёты!O128+Расчёты!P128)+(Расчёты!S128+Расчёты!T128)+Расчёты!W128+Расчёты!X128)+IF('Исходные данные'!$B$55="Да",Расчёты!AG128,0)-N('Исходные данные'!$B$56)/12),IF('Исходные данные'!$B$53="Пользовательская база",MAX(0,N('Исходные данные'!$B$57)/12),0)))</f>
        <v>0</v>
      </c>
      <c r="AN128">
        <f>IF(D128=1,-AM128*N('Исходные данные'!$B$50),0)</f>
        <v>0</v>
      </c>
      <c r="AO128">
        <f t="shared" si="66"/>
        <v>0</v>
      </c>
      <c r="AP128">
        <f>IF(OR(D128&lt;&gt;1,B128="",'Исходные данные'!$B$91="",N('Исходные данные'!$B$80)&lt;=0,'Исходные данные'!$B$88=""),0,IF(AND(YEAR(B128)=YEAR('Исходные данные'!$B$91),MONTH(B128)=MONTH('Исходные данные'!$B$91)),MAX(0,IF('Исходные данные'!$B$88="Последние 12 месяцев",SUMIFS($AI$2:$AI$194,$B$2:$B$194,"&gt;="&amp;EDATE(B128,-11),$B$2:$B$194,"&lt;="&amp;B128),IF('Исходные данные'!$B$88="Пользовательский NOI",N('Исходные данные'!$B$89),AO128))/N('Исходные данные'!$B$80)*(1+N('Исходные данные'!$B$81))),0))</f>
        <v>0</v>
      </c>
      <c r="AQ128">
        <f>-AP128*N('Исходные данные'!$B$73)</f>
        <v>0</v>
      </c>
      <c r="AR128">
        <f>IF(AP128=0,0,-N('Исходные данные'!$B$87)-IF('Исходные данные'!$B$82="Да",IF('Исходные данные'!$B$84="С выручки",AP128,IF('Исходные данные'!$B$84="С прибыли",MAX(0,AP128+AQ128-IF('Исходные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28">
        <f t="shared" si="67"/>
        <v>0</v>
      </c>
      <c r="AT128">
        <f>IF(D128=1,Расчёты!AZ128+AH128+AK128+AN128+AS128,0)</f>
        <v>0</v>
      </c>
      <c r="AU128" t="str">
        <f t="shared" si="75"/>
        <v/>
      </c>
      <c r="AV128">
        <f>IF(OR(D128=0,'Исходные данные'!$B$9="",'Исходные данные'!$B$90=""),0,AT128/(1+'Исходные данные'!$B$90)^((C128-'Исходные данные'!$B$9)/365))</f>
        <v>0</v>
      </c>
      <c r="AW128">
        <f>IF(D128=1,AH128+Расчёты!O128+Расчёты!Q128+Расчёты!S128+Расчёты!U128+Расчёты!W128+Расчёты!X128+AK128+AN128,0)</f>
        <v>0</v>
      </c>
      <c r="AX128">
        <f>IF(AND(D128=1,AU128&gt;=0,AU127&lt;0,MIN($AU$2:AU128)&lt;0),1,0)</f>
        <v>0</v>
      </c>
      <c r="AY128">
        <f>IF(Расчёты!F128=0,0,IF(Расчёты!G128=1,N('Сценарный анализ'!$D$5),IF(Расчёты!G128=2,N('Сценарный анализ'!$D$6),IF(Расчёты!G128=3,N('Сценарный анализ'!$D$7),N('Сценарный анализ'!$D$7)*(1+N('Сценарный анализ'!$D$8))^(Расчёты!G128-3)))))</f>
        <v>0</v>
      </c>
      <c r="AZ128">
        <f>IF(OR(Расчёты!F128=0,N('Исходные данные'!$B$5)=0,AY128=0),0,N('Исходные данные'!$B$5)*AY128*IF(AND(B128&lt;='Исходные данные'!$B$30,Расчёты!C128&gt;='Исходные данные'!$B$30),(Расчёты!C128-'Исходные данные'!$B$30+1)/DAY(Расчёты!C128),1))</f>
        <v>0</v>
      </c>
      <c r="BA128">
        <f>IF(AND(Расчёты!F128&gt;0,Расчёты!F128&lt;=N('Исходные данные'!$B$37)),-AZ128,0)</f>
        <v>0</v>
      </c>
      <c r="BB128">
        <f>IF(OR(Расчёты!F128=0,Расчёты!F128&lt;=N('Исходные данные'!$B$37)),0,-(AZ128+BA128)*N('Сценарный анализ'!$D$9))</f>
        <v>0</v>
      </c>
      <c r="BC128">
        <f t="shared" si="68"/>
        <v>0</v>
      </c>
      <c r="BD128">
        <f>IF('Исходные данные'!$B$51="Да",BC128*N('Исходные данные'!$B$52),0)</f>
        <v>0</v>
      </c>
      <c r="BE128">
        <f t="shared" si="69"/>
        <v>0</v>
      </c>
      <c r="BF128">
        <f>BC128+(Расчёты!Y128-Расчёты!L128)</f>
        <v>0</v>
      </c>
      <c r="BG128">
        <f t="shared" si="76"/>
        <v>0</v>
      </c>
      <c r="BH128">
        <f>IF('Исходные данные'!$B$51="Да",-MAX(0,BD128+Расчёты!R128+Расчёты!V128-Расчёты!P128-Расчёты!T128-BG128),0)</f>
        <v>0</v>
      </c>
      <c r="BI128">
        <f>IF('Исходные данные'!$B$51="Да",MAX(0,BG128+Расчёты!P128+Расчёты!T128-BD128-Расчёты!R128-Расчёты!V128),0)</f>
        <v>0</v>
      </c>
      <c r="BJ128">
        <f>IF('Исходные данные'!$B$53="Выручка",MAX(0,BC128+(Расчёты!Q128-Расчёты!R128)+(Расчёты!U128-Расчёты!V128)),IF('Исходные данные'!$B$53="Прибыль до налога",MAX(0,BC128+(Расчёты!Q128-Расчёты!R128)+(Расчёты!U128-Расчёты!V128)+N('Исходные данные'!$B$54)*((Расчёты!O128+Расчёты!P128)+(Расчёты!S128+Расчёты!T128)+Расчёты!W128+Расчёты!X128)+IF('Исходные данные'!$B$55="Да",Расчёты!AG128,0)-N('Исходные данные'!$B$56)/12),IF('Исходные данные'!$B$53="Пользовательская база",MAX(0,N('Исходные данные'!$B$57)/12),0)))</f>
        <v>0</v>
      </c>
      <c r="BK128">
        <f>IF(D128=1,-BJ128*N('Исходные данные'!$B$50),0)</f>
        <v>0</v>
      </c>
      <c r="BL128">
        <f t="shared" si="70"/>
        <v>0</v>
      </c>
      <c r="BM128">
        <f>IF(OR(D128&lt;&gt;1,B128="",'Исходные данные'!$B$91="",N('Исходные данные'!$B$80)&lt;=0,'Исходные данные'!$B$88=""),0,IF(AND(YEAR(B128)=YEAR('Исходные данные'!$B$91),MONTH(B128)=MONTH('Исходные данные'!$B$91)),MAX(0,IF('Исходные данные'!$B$88="Последние 12 месяцев",SUMIFS($BF$2:$BF$194,$B$2:$B$194,"&gt;="&amp;EDATE(B128,-11),$B$2:$B$194,"&lt;="&amp;B128),IF('Исходные данные'!$B$88="Пользовательский NOI",N('Исходные данные'!$B$89),BL128))/N('Исходные данные'!$B$80)*(1+N('Исходные данные'!$B$81))),0))</f>
        <v>0</v>
      </c>
      <c r="BN128">
        <f>-BM128*N('Исходные данные'!$B$73)</f>
        <v>0</v>
      </c>
      <c r="BO128">
        <f>IF(BM128=0,0,-N('Исходные данные'!$B$87)-IF('Исходные данные'!$B$82="Да",IF('Исходные данные'!$B$84="С выручки",BM128,IF('Исходные данные'!$B$84="С прибыли",MAX(0,BM128+BN128-IF('Исходные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28">
        <f t="shared" si="71"/>
        <v>0</v>
      </c>
      <c r="BQ128">
        <f>IF(D128=1,Расчёты!AZ128+BE128+BH128+BK128+BP128,0)</f>
        <v>0</v>
      </c>
      <c r="BR128" t="str">
        <f t="shared" si="77"/>
        <v/>
      </c>
      <c r="BS128">
        <f>IF(OR(D128=0,'Исходные данные'!$B$9="",'Исходные данные'!$B$90=""),0,BQ128/(1+'Исходные данные'!$B$90)^((C128-'Исходные данные'!$B$9)/365))</f>
        <v>0</v>
      </c>
      <c r="BT128">
        <f>IF(D128=1,BE128+Расчёты!O128+Расчёты!Q128+Расчёты!S128+Расчёты!U128+Расчёты!W128+Расчёты!X128+BH128+BK128,0)</f>
        <v>0</v>
      </c>
      <c r="BU128">
        <f>IF(AND(D128=1,BR128&gt;=0,BR127&lt;0,MIN($BR$2:BR128)&lt;0),1,0)</f>
        <v>0</v>
      </c>
      <c r="BV128">
        <f>Расчёты!AZ128+K128+N128-P128*N('Исходные данные'!$B$50)</f>
        <v>0</v>
      </c>
      <c r="BW128">
        <f t="shared" si="57"/>
        <v>0</v>
      </c>
      <c r="BX128">
        <f>IF(AND(BW128&gt;=0,BW127&lt;0,MIN($BW$2:BW128)&lt;0),1,0)</f>
        <v>0</v>
      </c>
      <c r="BY128">
        <f>Расчёты!AZ128+AH128+AK128-AM128*N('Исходные данные'!$B$50)</f>
        <v>0</v>
      </c>
      <c r="BZ128">
        <f t="shared" si="58"/>
        <v>0</v>
      </c>
      <c r="CA128">
        <f>IF(AND(BZ128&gt;=0,BZ127&lt;0,MIN($BZ$2:BZ128)&lt;0),1,0)</f>
        <v>0</v>
      </c>
      <c r="CB128">
        <f>Расчёты!AZ128+BE128+BH128-BJ128*N('Исходные данные'!$B$50)</f>
        <v>0</v>
      </c>
      <c r="CC128">
        <f t="shared" si="59"/>
        <v>0</v>
      </c>
      <c r="CD128">
        <f>IF(AND(CC128&gt;=0,CC127&lt;0,MIN($CC$2:CC128)&lt;0),1,0)</f>
        <v>0</v>
      </c>
    </row>
    <row r="129" spans="1:82" x14ac:dyDescent="0.2">
      <c r="A129">
        <f>Расчёты!A129</f>
        <v>128</v>
      </c>
      <c r="B129" t="str">
        <f>Расчёты!B129</f>
        <v/>
      </c>
      <c r="C129" t="str">
        <f>Расчёты!D129</f>
        <v/>
      </c>
      <c r="D129">
        <f>Расчёты!E129</f>
        <v>0</v>
      </c>
      <c r="E129">
        <f>IF(Расчёты!F129=0,0,IF(Расчёты!G129=1,N('Сценарный анализ'!$B$5),IF(Расчёты!G129=2,N('Сценарный анализ'!$B$6),IF(Расчёты!G129=3,N('Сценарный анализ'!$B$7),N('Сценарный анализ'!$B$7)*(1+N('Сценарный анализ'!$B$8))^(Расчёты!G129-3)))))</f>
        <v>0</v>
      </c>
      <c r="F129">
        <f>IF(OR(Расчёты!F129=0,N('Исходные данные'!$B$5)=0,E129=0),0,N('Исходные данные'!$B$5)*E129*IF(AND(B129&lt;='Исходные данные'!$B$30,Расчёты!C129&gt;='Исходные данные'!$B$30),(Расчёты!C129-'Исходные данные'!$B$30+1)/DAY(Расчёты!C129),1))</f>
        <v>0</v>
      </c>
      <c r="G129">
        <f>IF(AND(Расчёты!F129&gt;0,Расчёты!F129&lt;=N('Исходные данные'!$B$37)),-F129,0)</f>
        <v>0</v>
      </c>
      <c r="H129">
        <f>IF(OR(Расчёты!F129=0,Расчёты!F129&lt;=N('Исходные данные'!$B$37)),0,-(F129+G129)*N('Сценарный анализ'!$B$9))</f>
        <v>0</v>
      </c>
      <c r="I129">
        <f t="shared" si="60"/>
        <v>0</v>
      </c>
      <c r="J129">
        <f>IF('Исходные данные'!$B$51="Да",I129*N('Исходные данные'!$B$52),0)</f>
        <v>0</v>
      </c>
      <c r="K129">
        <f t="shared" si="61"/>
        <v>0</v>
      </c>
      <c r="L129">
        <f>I129+(Расчёты!Y129-Расчёты!L129)</f>
        <v>0</v>
      </c>
      <c r="M129">
        <f t="shared" si="72"/>
        <v>0</v>
      </c>
      <c r="N129">
        <f>IF('Исходные данные'!$B$51="Да",-MAX(0,J129+Расчёты!R129+Расчёты!V129-Расчёты!P129-Расчёты!T129-M129),0)</f>
        <v>0</v>
      </c>
      <c r="O129">
        <f>IF('Исходные данные'!$B$51="Да",MAX(0,M129+Расчёты!P129+Расчёты!T129-J129-Расчёты!R129-Расчёты!V129),0)</f>
        <v>0</v>
      </c>
      <c r="P129">
        <f>IF('Исходные данные'!$B$53="Выручка",MAX(0,I129+(Расчёты!Q129-Расчёты!R129)+(Расчёты!U129-Расчёты!V129)),IF('Исходные данные'!$B$53="Прибыль до налога",MAX(0,I129+(Расчёты!Q129-Расчёты!R129)+(Расчёты!U129-Расчёты!V129)+N('Исходные данные'!$B$54)*((Расчёты!O129+Расчёты!P129)+(Расчёты!S129+Расчёты!T129)+Расчёты!W129+Расчёты!X129)+IF('Исходные данные'!$B$55="Да",Расчёты!AG129,0)-N('Исходные данные'!$B$56)/12),IF('Исходные данные'!$B$53="Пользовательская база",MAX(0,N('Исходные данные'!$B$57)/12),0)))</f>
        <v>0</v>
      </c>
      <c r="Q129">
        <f>IF(D129=1,-P129*N('Исходные данные'!$B$50),0)</f>
        <v>0</v>
      </c>
      <c r="R129">
        <f t="shared" si="62"/>
        <v>0</v>
      </c>
      <c r="S129">
        <f>IF(OR(D129&lt;&gt;1,B129="",'Исходные данные'!$B$91="",N('Исходные данные'!$B$80)&lt;=0,'Исходные данные'!$B$88=""),0,IF(AND(YEAR(B129)=YEAR('Исходные данные'!$B$91),MONTH(B129)=MONTH('Исходные данные'!$B$91)),MAX(0,IF('Исходные данные'!$B$88="Последние 12 месяцев",SUMIFS($L$2:$L$194,$B$2:$B$194,"&gt;="&amp;EDATE(B129,-11),$B$2:$B$194,"&lt;="&amp;B129),IF('Исходные данные'!$B$88="Пользовательский NOI",N('Исходные данные'!$B$89),R129))/N('Исходные данные'!$B$80)*(1+N('Исходные данные'!$B$81))),0))</f>
        <v>0</v>
      </c>
      <c r="T129">
        <f>-S129*N('Исходные данные'!$B$73)</f>
        <v>0</v>
      </c>
      <c r="U129">
        <f>IF(S129=0,0,-N('Исходные данные'!$B$87)-IF('Исходные данные'!$B$82="Да",IF('Исходные данные'!$B$84="С выручки",S129,IF('Исходные данные'!$B$84="С прибыли",MAX(0,S129+T129-IF('Исходные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29">
        <f t="shared" si="63"/>
        <v>0</v>
      </c>
      <c r="W129">
        <f>IF(D129=1,Расчёты!AZ129+K129+N129+Q129+V129,0)</f>
        <v>0</v>
      </c>
      <c r="X129" t="str">
        <f t="shared" si="73"/>
        <v/>
      </c>
      <c r="Y129">
        <f>IF(OR(D129=0,'Исходные данные'!$B$9="",'Исходные данные'!$B$90=""),0,W129/(1+'Исходные данные'!$B$90)^((C129-'Исходные данные'!$B$9)/365))</f>
        <v>0</v>
      </c>
      <c r="Z129">
        <f>IF(D129=1,K129+Расчёты!O129+Расчёты!Q129+Расчёты!S129+Расчёты!U129+Расчёты!W129+Расчёты!X129+N129+Q129,0)</f>
        <v>0</v>
      </c>
      <c r="AA129">
        <f>IF(AND(D129=1,X129&gt;=0,X128&lt;0,MIN($X$2:X129)&lt;0),1,0)</f>
        <v>0</v>
      </c>
      <c r="AB129">
        <f>IF(Расчёты!F129=0,0,IF(Расчёты!G129=1,N('Сценарный анализ'!$C$5),IF(Расчёты!G129=2,N('Сценарный анализ'!$C$6),IF(Расчёты!G129=3,N('Сценарный анализ'!$C$7),N('Сценарный анализ'!$C$7)*(1+N('Сценарный анализ'!$C$8))^(Расчёты!G129-3)))))</f>
        <v>0</v>
      </c>
      <c r="AC129">
        <f>IF(OR(Расчёты!F129=0,N('Исходные данные'!$B$5)=0,AB129=0),0,N('Исходные данные'!$B$5)*AB129*IF(AND(B129&lt;='Исходные данные'!$B$30,Расчёты!C129&gt;='Исходные данные'!$B$30),(Расчёты!C129-'Исходные данные'!$B$30+1)/DAY(Расчёты!C129),1))</f>
        <v>0</v>
      </c>
      <c r="AD129">
        <f>IF(AND(Расчёты!F129&gt;0,Расчёты!F129&lt;=N('Исходные данные'!$B$37)),-AC129,0)</f>
        <v>0</v>
      </c>
      <c r="AE129">
        <f>IF(OR(Расчёты!F129=0,Расчёты!F129&lt;=N('Исходные данные'!$B$37)),0,-(AC129+AD129)*N('Сценарный анализ'!$C$9))</f>
        <v>0</v>
      </c>
      <c r="AF129">
        <f t="shared" si="64"/>
        <v>0</v>
      </c>
      <c r="AG129">
        <f>IF('Исходные данные'!$B$51="Да",AF129*N('Исходные данные'!$B$52),0)</f>
        <v>0</v>
      </c>
      <c r="AH129">
        <f t="shared" si="65"/>
        <v>0</v>
      </c>
      <c r="AI129">
        <f>AF129+(Расчёты!Y129-Расчёты!L129)</f>
        <v>0</v>
      </c>
      <c r="AJ129">
        <f t="shared" si="74"/>
        <v>0</v>
      </c>
      <c r="AK129">
        <f>IF('Исходные данные'!$B$51="Да",-MAX(0,AG129+Расчёты!R129+Расчёты!V129-Расчёты!P129-Расчёты!T129-AJ129),0)</f>
        <v>0</v>
      </c>
      <c r="AL129">
        <f>IF('Исходные данные'!$B$51="Да",MAX(0,AJ129+Расчёты!P129+Расчёты!T129-AG129-Расчёты!R129-Расчёты!V129),0)</f>
        <v>0</v>
      </c>
      <c r="AM129">
        <f>IF('Исходные данные'!$B$53="Выручка",MAX(0,AF129+(Расчёты!Q129-Расчёты!R129)+(Расчёты!U129-Расчёты!V129)),IF('Исходные данные'!$B$53="Прибыль до налога",MAX(0,AF129+(Расчёты!Q129-Расчёты!R129)+(Расчёты!U129-Расчёты!V129)+N('Исходные данные'!$B$54)*((Расчёты!O129+Расчёты!P129)+(Расчёты!S129+Расчёты!T129)+Расчёты!W129+Расчёты!X129)+IF('Исходные данные'!$B$55="Да",Расчёты!AG129,0)-N('Исходные данные'!$B$56)/12),IF('Исходные данные'!$B$53="Пользовательская база",MAX(0,N('Исходные данные'!$B$57)/12),0)))</f>
        <v>0</v>
      </c>
      <c r="AN129">
        <f>IF(D129=1,-AM129*N('Исходные данные'!$B$50),0)</f>
        <v>0</v>
      </c>
      <c r="AO129">
        <f t="shared" si="66"/>
        <v>0</v>
      </c>
      <c r="AP129">
        <f>IF(OR(D129&lt;&gt;1,B129="",'Исходные данные'!$B$91="",N('Исходные данные'!$B$80)&lt;=0,'Исходные данные'!$B$88=""),0,IF(AND(YEAR(B129)=YEAR('Исходные данные'!$B$91),MONTH(B129)=MONTH('Исходные данные'!$B$91)),MAX(0,IF('Исходные данные'!$B$88="Последние 12 месяцев",SUMIFS($AI$2:$AI$194,$B$2:$B$194,"&gt;="&amp;EDATE(B129,-11),$B$2:$B$194,"&lt;="&amp;B129),IF('Исходные данные'!$B$88="Пользовательский NOI",N('Исходные данные'!$B$89),AO129))/N('Исходные данные'!$B$80)*(1+N('Исходные данные'!$B$81))),0))</f>
        <v>0</v>
      </c>
      <c r="AQ129">
        <f>-AP129*N('Исходные данные'!$B$73)</f>
        <v>0</v>
      </c>
      <c r="AR129">
        <f>IF(AP129=0,0,-N('Исходные данные'!$B$87)-IF('Исходные данные'!$B$82="Да",IF('Исходные данные'!$B$84="С выручки",AP129,IF('Исходные данные'!$B$84="С прибыли",MAX(0,AP129+AQ129-IF('Исходные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29">
        <f t="shared" si="67"/>
        <v>0</v>
      </c>
      <c r="AT129">
        <f>IF(D129=1,Расчёты!AZ129+AH129+AK129+AN129+AS129,0)</f>
        <v>0</v>
      </c>
      <c r="AU129" t="str">
        <f t="shared" si="75"/>
        <v/>
      </c>
      <c r="AV129">
        <f>IF(OR(D129=0,'Исходные данные'!$B$9="",'Исходные данные'!$B$90=""),0,AT129/(1+'Исходные данные'!$B$90)^((C129-'Исходные данные'!$B$9)/365))</f>
        <v>0</v>
      </c>
      <c r="AW129">
        <f>IF(D129=1,AH129+Расчёты!O129+Расчёты!Q129+Расчёты!S129+Расчёты!U129+Расчёты!W129+Расчёты!X129+AK129+AN129,0)</f>
        <v>0</v>
      </c>
      <c r="AX129">
        <f>IF(AND(D129=1,AU129&gt;=0,AU128&lt;0,MIN($AU$2:AU129)&lt;0),1,0)</f>
        <v>0</v>
      </c>
      <c r="AY129">
        <f>IF(Расчёты!F129=0,0,IF(Расчёты!G129=1,N('Сценарный анализ'!$D$5),IF(Расчёты!G129=2,N('Сценарный анализ'!$D$6),IF(Расчёты!G129=3,N('Сценарный анализ'!$D$7),N('Сценарный анализ'!$D$7)*(1+N('Сценарный анализ'!$D$8))^(Расчёты!G129-3)))))</f>
        <v>0</v>
      </c>
      <c r="AZ129">
        <f>IF(OR(Расчёты!F129=0,N('Исходные данные'!$B$5)=0,AY129=0),0,N('Исходные данные'!$B$5)*AY129*IF(AND(B129&lt;='Исходные данные'!$B$30,Расчёты!C129&gt;='Исходные данные'!$B$30),(Расчёты!C129-'Исходные данные'!$B$30+1)/DAY(Расчёты!C129),1))</f>
        <v>0</v>
      </c>
      <c r="BA129">
        <f>IF(AND(Расчёты!F129&gt;0,Расчёты!F129&lt;=N('Исходные данные'!$B$37)),-AZ129,0)</f>
        <v>0</v>
      </c>
      <c r="BB129">
        <f>IF(OR(Расчёты!F129=0,Расчёты!F129&lt;=N('Исходные данные'!$B$37)),0,-(AZ129+BA129)*N('Сценарный анализ'!$D$9))</f>
        <v>0</v>
      </c>
      <c r="BC129">
        <f t="shared" si="68"/>
        <v>0</v>
      </c>
      <c r="BD129">
        <f>IF('Исходные данные'!$B$51="Да",BC129*N('Исходные данные'!$B$52),0)</f>
        <v>0</v>
      </c>
      <c r="BE129">
        <f t="shared" si="69"/>
        <v>0</v>
      </c>
      <c r="BF129">
        <f>BC129+(Расчёты!Y129-Расчёты!L129)</f>
        <v>0</v>
      </c>
      <c r="BG129">
        <f t="shared" si="76"/>
        <v>0</v>
      </c>
      <c r="BH129">
        <f>IF('Исходные данные'!$B$51="Да",-MAX(0,BD129+Расчёты!R129+Расчёты!V129-Расчёты!P129-Расчёты!T129-BG129),0)</f>
        <v>0</v>
      </c>
      <c r="BI129">
        <f>IF('Исходные данные'!$B$51="Да",MAX(0,BG129+Расчёты!P129+Расчёты!T129-BD129-Расчёты!R129-Расчёты!V129),0)</f>
        <v>0</v>
      </c>
      <c r="BJ129">
        <f>IF('Исходные данные'!$B$53="Выручка",MAX(0,BC129+(Расчёты!Q129-Расчёты!R129)+(Расчёты!U129-Расчёты!V129)),IF('Исходные данные'!$B$53="Прибыль до налога",MAX(0,BC129+(Расчёты!Q129-Расчёты!R129)+(Расчёты!U129-Расчёты!V129)+N('Исходные данные'!$B$54)*((Расчёты!O129+Расчёты!P129)+(Расчёты!S129+Расчёты!T129)+Расчёты!W129+Расчёты!X129)+IF('Исходные данные'!$B$55="Да",Расчёты!AG129,0)-N('Исходные данные'!$B$56)/12),IF('Исходные данные'!$B$53="Пользовательская база",MAX(0,N('Исходные данные'!$B$57)/12),0)))</f>
        <v>0</v>
      </c>
      <c r="BK129">
        <f>IF(D129=1,-BJ129*N('Исходные данные'!$B$50),0)</f>
        <v>0</v>
      </c>
      <c r="BL129">
        <f t="shared" si="70"/>
        <v>0</v>
      </c>
      <c r="BM129">
        <f>IF(OR(D129&lt;&gt;1,B129="",'Исходные данные'!$B$91="",N('Исходные данные'!$B$80)&lt;=0,'Исходные данные'!$B$88=""),0,IF(AND(YEAR(B129)=YEAR('Исходные данные'!$B$91),MONTH(B129)=MONTH('Исходные данные'!$B$91)),MAX(0,IF('Исходные данные'!$B$88="Последние 12 месяцев",SUMIFS($BF$2:$BF$194,$B$2:$B$194,"&gt;="&amp;EDATE(B129,-11),$B$2:$B$194,"&lt;="&amp;B129),IF('Исходные данные'!$B$88="Пользовательский NOI",N('Исходные данные'!$B$89),BL129))/N('Исходные данные'!$B$80)*(1+N('Исходные данные'!$B$81))),0))</f>
        <v>0</v>
      </c>
      <c r="BN129">
        <f>-BM129*N('Исходные данные'!$B$73)</f>
        <v>0</v>
      </c>
      <c r="BO129">
        <f>IF(BM129=0,0,-N('Исходные данные'!$B$87)-IF('Исходные данные'!$B$82="Да",IF('Исходные данные'!$B$84="С выручки",BM129,IF('Исходные данные'!$B$84="С прибыли",MAX(0,BM129+BN129-IF('Исходные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29">
        <f t="shared" si="71"/>
        <v>0</v>
      </c>
      <c r="BQ129">
        <f>IF(D129=1,Расчёты!AZ129+BE129+BH129+BK129+BP129,0)</f>
        <v>0</v>
      </c>
      <c r="BR129" t="str">
        <f t="shared" si="77"/>
        <v/>
      </c>
      <c r="BS129">
        <f>IF(OR(D129=0,'Исходные данные'!$B$9="",'Исходные данные'!$B$90=""),0,BQ129/(1+'Исходные данные'!$B$90)^((C129-'Исходные данные'!$B$9)/365))</f>
        <v>0</v>
      </c>
      <c r="BT129">
        <f>IF(D129=1,BE129+Расчёты!O129+Расчёты!Q129+Расчёты!S129+Расчёты!U129+Расчёты!W129+Расчёты!X129+BH129+BK129,0)</f>
        <v>0</v>
      </c>
      <c r="BU129">
        <f>IF(AND(D129=1,BR129&gt;=0,BR128&lt;0,MIN($BR$2:BR129)&lt;0),1,0)</f>
        <v>0</v>
      </c>
      <c r="BV129">
        <f>Расчёты!AZ129+K129+N129-P129*N('Исходные данные'!$B$50)</f>
        <v>0</v>
      </c>
      <c r="BW129">
        <f t="shared" si="57"/>
        <v>0</v>
      </c>
      <c r="BX129">
        <f>IF(AND(BW129&gt;=0,BW128&lt;0,MIN($BW$2:BW129)&lt;0),1,0)</f>
        <v>0</v>
      </c>
      <c r="BY129">
        <f>Расчёты!AZ129+AH129+AK129-AM129*N('Исходные данные'!$B$50)</f>
        <v>0</v>
      </c>
      <c r="BZ129">
        <f t="shared" si="58"/>
        <v>0</v>
      </c>
      <c r="CA129">
        <f>IF(AND(BZ129&gt;=0,BZ128&lt;0,MIN($BZ$2:BZ129)&lt;0),1,0)</f>
        <v>0</v>
      </c>
      <c r="CB129">
        <f>Расчёты!AZ129+BE129+BH129-BJ129*N('Исходные данные'!$B$50)</f>
        <v>0</v>
      </c>
      <c r="CC129">
        <f t="shared" si="59"/>
        <v>0</v>
      </c>
      <c r="CD129">
        <f>IF(AND(CC129&gt;=0,CC128&lt;0,MIN($CC$2:CC129)&lt;0),1,0)</f>
        <v>0</v>
      </c>
    </row>
    <row r="130" spans="1:82" x14ac:dyDescent="0.2">
      <c r="A130">
        <f>Расчёты!A130</f>
        <v>129</v>
      </c>
      <c r="B130" t="str">
        <f>Расчёты!B130</f>
        <v/>
      </c>
      <c r="C130" t="str">
        <f>Расчёты!D130</f>
        <v/>
      </c>
      <c r="D130">
        <f>Расчёты!E130</f>
        <v>0</v>
      </c>
      <c r="E130">
        <f>IF(Расчёты!F130=0,0,IF(Расчёты!G130=1,N('Сценарный анализ'!$B$5),IF(Расчёты!G130=2,N('Сценарный анализ'!$B$6),IF(Расчёты!G130=3,N('Сценарный анализ'!$B$7),N('Сценарный анализ'!$B$7)*(1+N('Сценарный анализ'!$B$8))^(Расчёты!G130-3)))))</f>
        <v>0</v>
      </c>
      <c r="F130">
        <f>IF(OR(Расчёты!F130=0,N('Исходные данные'!$B$5)=0,E130=0),0,N('Исходные данные'!$B$5)*E130*IF(AND(B130&lt;='Исходные данные'!$B$30,Расчёты!C130&gt;='Исходные данные'!$B$30),(Расчёты!C130-'Исходные данные'!$B$30+1)/DAY(Расчёты!C130),1))</f>
        <v>0</v>
      </c>
      <c r="G130">
        <f>IF(AND(Расчёты!F130&gt;0,Расчёты!F130&lt;=N('Исходные данные'!$B$37)),-F130,0)</f>
        <v>0</v>
      </c>
      <c r="H130">
        <f>IF(OR(Расчёты!F130=0,Расчёты!F130&lt;=N('Исходные данные'!$B$37)),0,-(F130+G130)*N('Сценарный анализ'!$B$9))</f>
        <v>0</v>
      </c>
      <c r="I130">
        <f t="shared" ref="I130:I161" si="78">F130+G130+H130</f>
        <v>0</v>
      </c>
      <c r="J130">
        <f>IF('Исходные данные'!$B$51="Да",I130*N('Исходные данные'!$B$52),0)</f>
        <v>0</v>
      </c>
      <c r="K130">
        <f t="shared" ref="K130:K161" si="79">I130+J130</f>
        <v>0</v>
      </c>
      <c r="L130">
        <f>I130+(Расчёты!Y130-Расчёты!L130)</f>
        <v>0</v>
      </c>
      <c r="M130">
        <f t="shared" si="72"/>
        <v>0</v>
      </c>
      <c r="N130">
        <f>IF('Исходные данные'!$B$51="Да",-MAX(0,J130+Расчёты!R130+Расчёты!V130-Расчёты!P130-Расчёты!T130-M130),0)</f>
        <v>0</v>
      </c>
      <c r="O130">
        <f>IF('Исходные данные'!$B$51="Да",MAX(0,M130+Расчёты!P130+Расчёты!T130-J130-Расчёты!R130-Расчёты!V130),0)</f>
        <v>0</v>
      </c>
      <c r="P130">
        <f>IF('Исходные данные'!$B$53="Выручка",MAX(0,I130+(Расчёты!Q130-Расчёты!R130)+(Расчёты!U130-Расчёты!V130)),IF('Исходные данные'!$B$53="Прибыль до налога",MAX(0,I130+(Расчёты!Q130-Расчёты!R130)+(Расчёты!U130-Расчёты!V130)+N('Исходные данные'!$B$54)*((Расчёты!O130+Расчёты!P130)+(Расчёты!S130+Расчёты!T130)+Расчёты!W130+Расчёты!X130)+IF('Исходные данные'!$B$55="Да",Расчёты!AG130,0)-N('Исходные данные'!$B$56)/12),IF('Исходные данные'!$B$53="Пользовательская база",MAX(0,N('Исходные данные'!$B$57)/12),0)))</f>
        <v>0</v>
      </c>
      <c r="Q130">
        <f>IF(D130=1,-P130*N('Исходные данные'!$B$50),0)</f>
        <v>0</v>
      </c>
      <c r="R130">
        <f t="shared" ref="R130:R161" si="80">IF(B130="",0,SUMIFS($L$2:$L$194,$B$2:$B$194,"&gt;"&amp;B130,$B$2:$B$194,"&lt;="&amp;EDATE(B130,12)))</f>
        <v>0</v>
      </c>
      <c r="S130">
        <f>IF(OR(D130&lt;&gt;1,B130="",'Исходные данные'!$B$91="",N('Исходные данные'!$B$80)&lt;=0,'Исходные данные'!$B$88=""),0,IF(AND(YEAR(B130)=YEAR('Исходные данные'!$B$91),MONTH(B130)=MONTH('Исходные данные'!$B$91)),MAX(0,IF('Исходные данные'!$B$88="Последние 12 месяцев",SUMIFS($L$2:$L$194,$B$2:$B$194,"&gt;="&amp;EDATE(B130,-11),$B$2:$B$194,"&lt;="&amp;B130),IF('Исходные данные'!$B$88="Пользовательский NOI",N('Исходные данные'!$B$89),R130))/N('Исходные данные'!$B$80)*(1+N('Исходные данные'!$B$81))),0))</f>
        <v>0</v>
      </c>
      <c r="T130">
        <f>-S130*N('Исходные данные'!$B$73)</f>
        <v>0</v>
      </c>
      <c r="U130">
        <f>IF(S130=0,0,-N('Исходные данные'!$B$87)-IF('Исходные данные'!$B$82="Да",IF('Исходные данные'!$B$84="С выручки",S130,IF('Исходные данные'!$B$84="С прибыли",MAX(0,S130+T130-IF('Исходные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30">
        <f t="shared" ref="V130:V161" si="81">S130+T130+U130</f>
        <v>0</v>
      </c>
      <c r="W130">
        <f>IF(D130=1,Расчёты!AZ130+K130+N130+Q130+V130,0)</f>
        <v>0</v>
      </c>
      <c r="X130" t="str">
        <f t="shared" si="73"/>
        <v/>
      </c>
      <c r="Y130">
        <f>IF(OR(D130=0,'Исходные данные'!$B$9="",'Исходные данные'!$B$90=""),0,W130/(1+'Исходные данные'!$B$90)^((C130-'Исходные данные'!$B$9)/365))</f>
        <v>0</v>
      </c>
      <c r="Z130">
        <f>IF(D130=1,K130+Расчёты!O130+Расчёты!Q130+Расчёты!S130+Расчёты!U130+Расчёты!W130+Расчёты!X130+N130+Q130,0)</f>
        <v>0</v>
      </c>
      <c r="AA130">
        <f>IF(AND(D130=1,X130&gt;=0,X129&lt;0,MIN($X$2:X130)&lt;0),1,0)</f>
        <v>0</v>
      </c>
      <c r="AB130">
        <f>IF(Расчёты!F130=0,0,IF(Расчёты!G130=1,N('Сценарный анализ'!$C$5),IF(Расчёты!G130=2,N('Сценарный анализ'!$C$6),IF(Расчёты!G130=3,N('Сценарный анализ'!$C$7),N('Сценарный анализ'!$C$7)*(1+N('Сценарный анализ'!$C$8))^(Расчёты!G130-3)))))</f>
        <v>0</v>
      </c>
      <c r="AC130">
        <f>IF(OR(Расчёты!F130=0,N('Исходные данные'!$B$5)=0,AB130=0),0,N('Исходные данные'!$B$5)*AB130*IF(AND(B130&lt;='Исходные данные'!$B$30,Расчёты!C130&gt;='Исходные данные'!$B$30),(Расчёты!C130-'Исходные данные'!$B$30+1)/DAY(Расчёты!C130),1))</f>
        <v>0</v>
      </c>
      <c r="AD130">
        <f>IF(AND(Расчёты!F130&gt;0,Расчёты!F130&lt;=N('Исходные данные'!$B$37)),-AC130,0)</f>
        <v>0</v>
      </c>
      <c r="AE130">
        <f>IF(OR(Расчёты!F130=0,Расчёты!F130&lt;=N('Исходные данные'!$B$37)),0,-(AC130+AD130)*N('Сценарный анализ'!$C$9))</f>
        <v>0</v>
      </c>
      <c r="AF130">
        <f t="shared" ref="AF130:AF161" si="82">AC130+AD130+AE130</f>
        <v>0</v>
      </c>
      <c r="AG130">
        <f>IF('Исходные данные'!$B$51="Да",AF130*N('Исходные данные'!$B$52),0)</f>
        <v>0</v>
      </c>
      <c r="AH130">
        <f t="shared" ref="AH130:AH161" si="83">AF130+AG130</f>
        <v>0</v>
      </c>
      <c r="AI130">
        <f>AF130+(Расчёты!Y130-Расчёты!L130)</f>
        <v>0</v>
      </c>
      <c r="AJ130">
        <f t="shared" si="74"/>
        <v>0</v>
      </c>
      <c r="AK130">
        <f>IF('Исходные данные'!$B$51="Да",-MAX(0,AG130+Расчёты!R130+Расчёты!V130-Расчёты!P130-Расчёты!T130-AJ130),0)</f>
        <v>0</v>
      </c>
      <c r="AL130">
        <f>IF('Исходные данные'!$B$51="Да",MAX(0,AJ130+Расчёты!P130+Расчёты!T130-AG130-Расчёты!R130-Расчёты!V130),0)</f>
        <v>0</v>
      </c>
      <c r="AM130">
        <f>IF('Исходные данные'!$B$53="Выручка",MAX(0,AF130+(Расчёты!Q130-Расчёты!R130)+(Расчёты!U130-Расчёты!V130)),IF('Исходные данные'!$B$53="Прибыль до налога",MAX(0,AF130+(Расчёты!Q130-Расчёты!R130)+(Расчёты!U130-Расчёты!V130)+N('Исходные данные'!$B$54)*((Расчёты!O130+Расчёты!P130)+(Расчёты!S130+Расчёты!T130)+Расчёты!W130+Расчёты!X130)+IF('Исходные данные'!$B$55="Да",Расчёты!AG130,0)-N('Исходные данные'!$B$56)/12),IF('Исходные данные'!$B$53="Пользовательская база",MAX(0,N('Исходные данные'!$B$57)/12),0)))</f>
        <v>0</v>
      </c>
      <c r="AN130">
        <f>IF(D130=1,-AM130*N('Исходные данные'!$B$50),0)</f>
        <v>0</v>
      </c>
      <c r="AO130">
        <f t="shared" ref="AO130:AO161" si="84">IF(B130="",0,SUMIFS($AI$2:$AI$194,$B$2:$B$194,"&gt;"&amp;B130,$B$2:$B$194,"&lt;="&amp;EDATE(B130,12)))</f>
        <v>0</v>
      </c>
      <c r="AP130">
        <f>IF(OR(D130&lt;&gt;1,B130="",'Исходные данные'!$B$91="",N('Исходные данные'!$B$80)&lt;=0,'Исходные данные'!$B$88=""),0,IF(AND(YEAR(B130)=YEAR('Исходные данные'!$B$91),MONTH(B130)=MONTH('Исходные данные'!$B$91)),MAX(0,IF('Исходные данные'!$B$88="Последние 12 месяцев",SUMIFS($AI$2:$AI$194,$B$2:$B$194,"&gt;="&amp;EDATE(B130,-11),$B$2:$B$194,"&lt;="&amp;B130),IF('Исходные данные'!$B$88="Пользовательский NOI",N('Исходные данные'!$B$89),AO130))/N('Исходные данные'!$B$80)*(1+N('Исходные данные'!$B$81))),0))</f>
        <v>0</v>
      </c>
      <c r="AQ130">
        <f>-AP130*N('Исходные данные'!$B$73)</f>
        <v>0</v>
      </c>
      <c r="AR130">
        <f>IF(AP130=0,0,-N('Исходные данные'!$B$87)-IF('Исходные данные'!$B$82="Да",IF('Исходные данные'!$B$84="С выручки",AP130,IF('Исходные данные'!$B$84="С прибыли",MAX(0,AP130+AQ130-IF('Исходные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30">
        <f t="shared" ref="AS130:AS161" si="85">AP130+AQ130+AR130</f>
        <v>0</v>
      </c>
      <c r="AT130">
        <f>IF(D130=1,Расчёты!AZ130+AH130+AK130+AN130+AS130,0)</f>
        <v>0</v>
      </c>
      <c r="AU130" t="str">
        <f t="shared" si="75"/>
        <v/>
      </c>
      <c r="AV130">
        <f>IF(OR(D130=0,'Исходные данные'!$B$9="",'Исходные данные'!$B$90=""),0,AT130/(1+'Исходные данные'!$B$90)^((C130-'Исходные данные'!$B$9)/365))</f>
        <v>0</v>
      </c>
      <c r="AW130">
        <f>IF(D130=1,AH130+Расчёты!O130+Расчёты!Q130+Расчёты!S130+Расчёты!U130+Расчёты!W130+Расчёты!X130+AK130+AN130,0)</f>
        <v>0</v>
      </c>
      <c r="AX130">
        <f>IF(AND(D130=1,AU130&gt;=0,AU129&lt;0,MIN($AU$2:AU130)&lt;0),1,0)</f>
        <v>0</v>
      </c>
      <c r="AY130">
        <f>IF(Расчёты!F130=0,0,IF(Расчёты!G130=1,N('Сценарный анализ'!$D$5),IF(Расчёты!G130=2,N('Сценарный анализ'!$D$6),IF(Расчёты!G130=3,N('Сценарный анализ'!$D$7),N('Сценарный анализ'!$D$7)*(1+N('Сценарный анализ'!$D$8))^(Расчёты!G130-3)))))</f>
        <v>0</v>
      </c>
      <c r="AZ130">
        <f>IF(OR(Расчёты!F130=0,N('Исходные данные'!$B$5)=0,AY130=0),0,N('Исходные данные'!$B$5)*AY130*IF(AND(B130&lt;='Исходные данные'!$B$30,Расчёты!C130&gt;='Исходные данные'!$B$30),(Расчёты!C130-'Исходные данные'!$B$30+1)/DAY(Расчёты!C130),1))</f>
        <v>0</v>
      </c>
      <c r="BA130">
        <f>IF(AND(Расчёты!F130&gt;0,Расчёты!F130&lt;=N('Исходные данные'!$B$37)),-AZ130,0)</f>
        <v>0</v>
      </c>
      <c r="BB130">
        <f>IF(OR(Расчёты!F130=0,Расчёты!F130&lt;=N('Исходные данные'!$B$37)),0,-(AZ130+BA130)*N('Сценарный анализ'!$D$9))</f>
        <v>0</v>
      </c>
      <c r="BC130">
        <f t="shared" ref="BC130:BC161" si="86">AZ130+BA130+BB130</f>
        <v>0</v>
      </c>
      <c r="BD130">
        <f>IF('Исходные данные'!$B$51="Да",BC130*N('Исходные данные'!$B$52),0)</f>
        <v>0</v>
      </c>
      <c r="BE130">
        <f t="shared" ref="BE130:BE161" si="87">BC130+BD130</f>
        <v>0</v>
      </c>
      <c r="BF130">
        <f>BC130+(Расчёты!Y130-Расчёты!L130)</f>
        <v>0</v>
      </c>
      <c r="BG130">
        <f t="shared" si="76"/>
        <v>0</v>
      </c>
      <c r="BH130">
        <f>IF('Исходные данные'!$B$51="Да",-MAX(0,BD130+Расчёты!R130+Расчёты!V130-Расчёты!P130-Расчёты!T130-BG130),0)</f>
        <v>0</v>
      </c>
      <c r="BI130">
        <f>IF('Исходные данные'!$B$51="Да",MAX(0,BG130+Расчёты!P130+Расчёты!T130-BD130-Расчёты!R130-Расчёты!V130),0)</f>
        <v>0</v>
      </c>
      <c r="BJ130">
        <f>IF('Исходные данные'!$B$53="Выручка",MAX(0,BC130+(Расчёты!Q130-Расчёты!R130)+(Расчёты!U130-Расчёты!V130)),IF('Исходные данные'!$B$53="Прибыль до налога",MAX(0,BC130+(Расчёты!Q130-Расчёты!R130)+(Расчёты!U130-Расчёты!V130)+N('Исходные данные'!$B$54)*((Расчёты!O130+Расчёты!P130)+(Расчёты!S130+Расчёты!T130)+Расчёты!W130+Расчёты!X130)+IF('Исходные данные'!$B$55="Да",Расчёты!AG130,0)-N('Исходные данные'!$B$56)/12),IF('Исходные данные'!$B$53="Пользовательская база",MAX(0,N('Исходные данные'!$B$57)/12),0)))</f>
        <v>0</v>
      </c>
      <c r="BK130">
        <f>IF(D130=1,-BJ130*N('Исходные данные'!$B$50),0)</f>
        <v>0</v>
      </c>
      <c r="BL130">
        <f t="shared" ref="BL130:BL161" si="88">IF(B130="",0,SUMIFS($BF$2:$BF$194,$B$2:$B$194,"&gt;"&amp;B130,$B$2:$B$194,"&lt;="&amp;EDATE(B130,12)))</f>
        <v>0</v>
      </c>
      <c r="BM130">
        <f>IF(OR(D130&lt;&gt;1,B130="",'Исходные данные'!$B$91="",N('Исходные данные'!$B$80)&lt;=0,'Исходные данные'!$B$88=""),0,IF(AND(YEAR(B130)=YEAR('Исходные данные'!$B$91),MONTH(B130)=MONTH('Исходные данные'!$B$91)),MAX(0,IF('Исходные данные'!$B$88="Последние 12 месяцев",SUMIFS($BF$2:$BF$194,$B$2:$B$194,"&gt;="&amp;EDATE(B130,-11),$B$2:$B$194,"&lt;="&amp;B130),IF('Исходные данные'!$B$88="Пользовательский NOI",N('Исходные данные'!$B$89),BL130))/N('Исходные данные'!$B$80)*(1+N('Исходные данные'!$B$81))),0))</f>
        <v>0</v>
      </c>
      <c r="BN130">
        <f>-BM130*N('Исходные данные'!$B$73)</f>
        <v>0</v>
      </c>
      <c r="BO130">
        <f>IF(BM130=0,0,-N('Исходные данные'!$B$87)-IF('Исходные данные'!$B$82="Да",IF('Исходные данные'!$B$84="С выручки",BM130,IF('Исходные данные'!$B$84="С прибыли",MAX(0,BM130+BN130-IF('Исходные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30">
        <f t="shared" ref="BP130:BP161" si="89">BM130+BN130+BO130</f>
        <v>0</v>
      </c>
      <c r="BQ130">
        <f>IF(D130=1,Расчёты!AZ130+BE130+BH130+BK130+BP130,0)</f>
        <v>0</v>
      </c>
      <c r="BR130" t="str">
        <f t="shared" si="77"/>
        <v/>
      </c>
      <c r="BS130">
        <f>IF(OR(D130=0,'Исходные данные'!$B$9="",'Исходные данные'!$B$90=""),0,BQ130/(1+'Исходные данные'!$B$90)^((C130-'Исходные данные'!$B$9)/365))</f>
        <v>0</v>
      </c>
      <c r="BT130">
        <f>IF(D130=1,BE130+Расчёты!O130+Расчёты!Q130+Расчёты!S130+Расчёты!U130+Расчёты!W130+Расчёты!X130+BH130+BK130,0)</f>
        <v>0</v>
      </c>
      <c r="BU130">
        <f>IF(AND(D130=1,BR130&gt;=0,BR129&lt;0,MIN($BR$2:BR130)&lt;0),1,0)</f>
        <v>0</v>
      </c>
      <c r="BV130">
        <f>Расчёты!AZ130+K130+N130-P130*N('Исходные данные'!$B$50)</f>
        <v>0</v>
      </c>
      <c r="BW130">
        <f t="shared" si="57"/>
        <v>0</v>
      </c>
      <c r="BX130">
        <f>IF(AND(BW130&gt;=0,BW129&lt;0,MIN($BW$2:BW130)&lt;0),1,0)</f>
        <v>0</v>
      </c>
      <c r="BY130">
        <f>Расчёты!AZ130+AH130+AK130-AM130*N('Исходные данные'!$B$50)</f>
        <v>0</v>
      </c>
      <c r="BZ130">
        <f t="shared" si="58"/>
        <v>0</v>
      </c>
      <c r="CA130">
        <f>IF(AND(BZ130&gt;=0,BZ129&lt;0,MIN($BZ$2:BZ130)&lt;0),1,0)</f>
        <v>0</v>
      </c>
      <c r="CB130">
        <f>Расчёты!AZ130+BE130+BH130-BJ130*N('Исходные данные'!$B$50)</f>
        <v>0</v>
      </c>
      <c r="CC130">
        <f t="shared" si="59"/>
        <v>0</v>
      </c>
      <c r="CD130">
        <f>IF(AND(CC130&gt;=0,CC129&lt;0,MIN($CC$2:CC130)&lt;0),1,0)</f>
        <v>0</v>
      </c>
    </row>
    <row r="131" spans="1:82" x14ac:dyDescent="0.2">
      <c r="A131">
        <f>Расчёты!A131</f>
        <v>130</v>
      </c>
      <c r="B131" t="str">
        <f>Расчёты!B131</f>
        <v/>
      </c>
      <c r="C131" t="str">
        <f>Расчёты!D131</f>
        <v/>
      </c>
      <c r="D131">
        <f>Расчёты!E131</f>
        <v>0</v>
      </c>
      <c r="E131">
        <f>IF(Расчёты!F131=0,0,IF(Расчёты!G131=1,N('Сценарный анализ'!$B$5),IF(Расчёты!G131=2,N('Сценарный анализ'!$B$6),IF(Расчёты!G131=3,N('Сценарный анализ'!$B$7),N('Сценарный анализ'!$B$7)*(1+N('Сценарный анализ'!$B$8))^(Расчёты!G131-3)))))</f>
        <v>0</v>
      </c>
      <c r="F131">
        <f>IF(OR(Расчёты!F131=0,N('Исходные данные'!$B$5)=0,E131=0),0,N('Исходные данные'!$B$5)*E131*IF(AND(B131&lt;='Исходные данные'!$B$30,Расчёты!C131&gt;='Исходные данные'!$B$30),(Расчёты!C131-'Исходные данные'!$B$30+1)/DAY(Расчёты!C131),1))</f>
        <v>0</v>
      </c>
      <c r="G131">
        <f>IF(AND(Расчёты!F131&gt;0,Расчёты!F131&lt;=N('Исходные данные'!$B$37)),-F131,0)</f>
        <v>0</v>
      </c>
      <c r="H131">
        <f>IF(OR(Расчёты!F131=0,Расчёты!F131&lt;=N('Исходные данные'!$B$37)),0,-(F131+G131)*N('Сценарный анализ'!$B$9))</f>
        <v>0</v>
      </c>
      <c r="I131">
        <f t="shared" si="78"/>
        <v>0</v>
      </c>
      <c r="J131">
        <f>IF('Исходные данные'!$B$51="Да",I131*N('Исходные данные'!$B$52),0)</f>
        <v>0</v>
      </c>
      <c r="K131">
        <f t="shared" si="79"/>
        <v>0</v>
      </c>
      <c r="L131">
        <f>I131+(Расчёты!Y131-Расчёты!L131)</f>
        <v>0</v>
      </c>
      <c r="M131">
        <f t="shared" ref="M131:M162" si="90">O130</f>
        <v>0</v>
      </c>
      <c r="N131">
        <f>IF('Исходные данные'!$B$51="Да",-MAX(0,J131+Расчёты!R131+Расчёты!V131-Расчёты!P131-Расчёты!T131-M131),0)</f>
        <v>0</v>
      </c>
      <c r="O131">
        <f>IF('Исходные данные'!$B$51="Да",MAX(0,M131+Расчёты!P131+Расчёты!T131-J131-Расчёты!R131-Расчёты!V131),0)</f>
        <v>0</v>
      </c>
      <c r="P131">
        <f>IF('Исходные данные'!$B$53="Выручка",MAX(0,I131+(Расчёты!Q131-Расчёты!R131)+(Расчёты!U131-Расчёты!V131)),IF('Исходные данные'!$B$53="Прибыль до налога",MAX(0,I131+(Расчёты!Q131-Расчёты!R131)+(Расчёты!U131-Расчёты!V131)+N('Исходные данные'!$B$54)*((Расчёты!O131+Расчёты!P131)+(Расчёты!S131+Расчёты!T131)+Расчёты!W131+Расчёты!X131)+IF('Исходные данные'!$B$55="Да",Расчёты!AG131,0)-N('Исходные данные'!$B$56)/12),IF('Исходные данные'!$B$53="Пользовательская база",MAX(0,N('Исходные данные'!$B$57)/12),0)))</f>
        <v>0</v>
      </c>
      <c r="Q131">
        <f>IF(D131=1,-P131*N('Исходные данные'!$B$50),0)</f>
        <v>0</v>
      </c>
      <c r="R131">
        <f t="shared" si="80"/>
        <v>0</v>
      </c>
      <c r="S131">
        <f>IF(OR(D131&lt;&gt;1,B131="",'Исходные данные'!$B$91="",N('Исходные данные'!$B$80)&lt;=0,'Исходные данные'!$B$88=""),0,IF(AND(YEAR(B131)=YEAR('Исходные данные'!$B$91),MONTH(B131)=MONTH('Исходные данные'!$B$91)),MAX(0,IF('Исходные данные'!$B$88="Последние 12 месяцев",SUMIFS($L$2:$L$194,$B$2:$B$194,"&gt;="&amp;EDATE(B131,-11),$B$2:$B$194,"&lt;="&amp;B131),IF('Исходные данные'!$B$88="Пользовательский NOI",N('Исходные данные'!$B$89),R131))/N('Исходные данные'!$B$80)*(1+N('Исходные данные'!$B$81))),0))</f>
        <v>0</v>
      </c>
      <c r="T131">
        <f>-S131*N('Исходные данные'!$B$73)</f>
        <v>0</v>
      </c>
      <c r="U131">
        <f>IF(S131=0,0,-N('Исходные данные'!$B$87)-IF('Исходные данные'!$B$82="Да",IF('Исходные данные'!$B$84="С выручки",S131,IF('Исходные данные'!$B$84="С прибыли",MAX(0,S131+T131-IF('Исходные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31">
        <f t="shared" si="81"/>
        <v>0</v>
      </c>
      <c r="W131">
        <f>IF(D131=1,Расчёты!AZ131+K131+N131+Q131+V131,0)</f>
        <v>0</v>
      </c>
      <c r="X131" t="str">
        <f t="shared" ref="X131:X162" si="91">IF(D131=1,X130+W131,"")</f>
        <v/>
      </c>
      <c r="Y131">
        <f>IF(OR(D131=0,'Исходные данные'!$B$9="",'Исходные данные'!$B$90=""),0,W131/(1+'Исходные данные'!$B$90)^((C131-'Исходные данные'!$B$9)/365))</f>
        <v>0</v>
      </c>
      <c r="Z131">
        <f>IF(D131=1,K131+Расчёты!O131+Расчёты!Q131+Расчёты!S131+Расчёты!U131+Расчёты!W131+Расчёты!X131+N131+Q131,0)</f>
        <v>0</v>
      </c>
      <c r="AA131">
        <f>IF(AND(D131=1,X131&gt;=0,X130&lt;0,MIN($X$2:X131)&lt;0),1,0)</f>
        <v>0</v>
      </c>
      <c r="AB131">
        <f>IF(Расчёты!F131=0,0,IF(Расчёты!G131=1,N('Сценарный анализ'!$C$5),IF(Расчёты!G131=2,N('Сценарный анализ'!$C$6),IF(Расчёты!G131=3,N('Сценарный анализ'!$C$7),N('Сценарный анализ'!$C$7)*(1+N('Сценарный анализ'!$C$8))^(Расчёты!G131-3)))))</f>
        <v>0</v>
      </c>
      <c r="AC131">
        <f>IF(OR(Расчёты!F131=0,N('Исходные данные'!$B$5)=0,AB131=0),0,N('Исходные данные'!$B$5)*AB131*IF(AND(B131&lt;='Исходные данные'!$B$30,Расчёты!C131&gt;='Исходные данные'!$B$30),(Расчёты!C131-'Исходные данные'!$B$30+1)/DAY(Расчёты!C131),1))</f>
        <v>0</v>
      </c>
      <c r="AD131">
        <f>IF(AND(Расчёты!F131&gt;0,Расчёты!F131&lt;=N('Исходные данные'!$B$37)),-AC131,0)</f>
        <v>0</v>
      </c>
      <c r="AE131">
        <f>IF(OR(Расчёты!F131=0,Расчёты!F131&lt;=N('Исходные данные'!$B$37)),0,-(AC131+AD131)*N('Сценарный анализ'!$C$9))</f>
        <v>0</v>
      </c>
      <c r="AF131">
        <f t="shared" si="82"/>
        <v>0</v>
      </c>
      <c r="AG131">
        <f>IF('Исходные данные'!$B$51="Да",AF131*N('Исходные данные'!$B$52),0)</f>
        <v>0</v>
      </c>
      <c r="AH131">
        <f t="shared" si="83"/>
        <v>0</v>
      </c>
      <c r="AI131">
        <f>AF131+(Расчёты!Y131-Расчёты!L131)</f>
        <v>0</v>
      </c>
      <c r="AJ131">
        <f t="shared" ref="AJ131:AJ162" si="92">AL130</f>
        <v>0</v>
      </c>
      <c r="AK131">
        <f>IF('Исходные данные'!$B$51="Да",-MAX(0,AG131+Расчёты!R131+Расчёты!V131-Расчёты!P131-Расчёты!T131-AJ131),0)</f>
        <v>0</v>
      </c>
      <c r="AL131">
        <f>IF('Исходные данные'!$B$51="Да",MAX(0,AJ131+Расчёты!P131+Расчёты!T131-AG131-Расчёты!R131-Расчёты!V131),0)</f>
        <v>0</v>
      </c>
      <c r="AM131">
        <f>IF('Исходные данные'!$B$53="Выручка",MAX(0,AF131+(Расчёты!Q131-Расчёты!R131)+(Расчёты!U131-Расчёты!V131)),IF('Исходные данные'!$B$53="Прибыль до налога",MAX(0,AF131+(Расчёты!Q131-Расчёты!R131)+(Расчёты!U131-Расчёты!V131)+N('Исходные данные'!$B$54)*((Расчёты!O131+Расчёты!P131)+(Расчёты!S131+Расчёты!T131)+Расчёты!W131+Расчёты!X131)+IF('Исходные данные'!$B$55="Да",Расчёты!AG131,0)-N('Исходные данные'!$B$56)/12),IF('Исходные данные'!$B$53="Пользовательская база",MAX(0,N('Исходные данные'!$B$57)/12),0)))</f>
        <v>0</v>
      </c>
      <c r="AN131">
        <f>IF(D131=1,-AM131*N('Исходные данные'!$B$50),0)</f>
        <v>0</v>
      </c>
      <c r="AO131">
        <f t="shared" si="84"/>
        <v>0</v>
      </c>
      <c r="AP131">
        <f>IF(OR(D131&lt;&gt;1,B131="",'Исходные данные'!$B$91="",N('Исходные данные'!$B$80)&lt;=0,'Исходные данные'!$B$88=""),0,IF(AND(YEAR(B131)=YEAR('Исходные данные'!$B$91),MONTH(B131)=MONTH('Исходные данные'!$B$91)),MAX(0,IF('Исходные данные'!$B$88="Последние 12 месяцев",SUMIFS($AI$2:$AI$194,$B$2:$B$194,"&gt;="&amp;EDATE(B131,-11),$B$2:$B$194,"&lt;="&amp;B131),IF('Исходные данные'!$B$88="Пользовательский NOI",N('Исходные данные'!$B$89),AO131))/N('Исходные данные'!$B$80)*(1+N('Исходные данные'!$B$81))),0))</f>
        <v>0</v>
      </c>
      <c r="AQ131">
        <f>-AP131*N('Исходные данные'!$B$73)</f>
        <v>0</v>
      </c>
      <c r="AR131">
        <f>IF(AP131=0,0,-N('Исходные данные'!$B$87)-IF('Исходные данные'!$B$82="Да",IF('Исходные данные'!$B$84="С выручки",AP131,IF('Исходные данные'!$B$84="С прибыли",MAX(0,AP131+AQ131-IF('Исходные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31">
        <f t="shared" si="85"/>
        <v>0</v>
      </c>
      <c r="AT131">
        <f>IF(D131=1,Расчёты!AZ131+AH131+AK131+AN131+AS131,0)</f>
        <v>0</v>
      </c>
      <c r="AU131" t="str">
        <f t="shared" ref="AU131:AU162" si="93">IF(D131=1,AU130+AT131,"")</f>
        <v/>
      </c>
      <c r="AV131">
        <f>IF(OR(D131=0,'Исходные данные'!$B$9="",'Исходные данные'!$B$90=""),0,AT131/(1+'Исходные данные'!$B$90)^((C131-'Исходные данные'!$B$9)/365))</f>
        <v>0</v>
      </c>
      <c r="AW131">
        <f>IF(D131=1,AH131+Расчёты!O131+Расчёты!Q131+Расчёты!S131+Расчёты!U131+Расчёты!W131+Расчёты!X131+AK131+AN131,0)</f>
        <v>0</v>
      </c>
      <c r="AX131">
        <f>IF(AND(D131=1,AU131&gt;=0,AU130&lt;0,MIN($AU$2:AU131)&lt;0),1,0)</f>
        <v>0</v>
      </c>
      <c r="AY131">
        <f>IF(Расчёты!F131=0,0,IF(Расчёты!G131=1,N('Сценарный анализ'!$D$5),IF(Расчёты!G131=2,N('Сценарный анализ'!$D$6),IF(Расчёты!G131=3,N('Сценарный анализ'!$D$7),N('Сценарный анализ'!$D$7)*(1+N('Сценарный анализ'!$D$8))^(Расчёты!G131-3)))))</f>
        <v>0</v>
      </c>
      <c r="AZ131">
        <f>IF(OR(Расчёты!F131=0,N('Исходные данные'!$B$5)=0,AY131=0),0,N('Исходные данные'!$B$5)*AY131*IF(AND(B131&lt;='Исходные данные'!$B$30,Расчёты!C131&gt;='Исходные данные'!$B$30),(Расчёты!C131-'Исходные данные'!$B$30+1)/DAY(Расчёты!C131),1))</f>
        <v>0</v>
      </c>
      <c r="BA131">
        <f>IF(AND(Расчёты!F131&gt;0,Расчёты!F131&lt;=N('Исходные данные'!$B$37)),-AZ131,0)</f>
        <v>0</v>
      </c>
      <c r="BB131">
        <f>IF(OR(Расчёты!F131=0,Расчёты!F131&lt;=N('Исходные данные'!$B$37)),0,-(AZ131+BA131)*N('Сценарный анализ'!$D$9))</f>
        <v>0</v>
      </c>
      <c r="BC131">
        <f t="shared" si="86"/>
        <v>0</v>
      </c>
      <c r="BD131">
        <f>IF('Исходные данные'!$B$51="Да",BC131*N('Исходные данные'!$B$52),0)</f>
        <v>0</v>
      </c>
      <c r="BE131">
        <f t="shared" si="87"/>
        <v>0</v>
      </c>
      <c r="BF131">
        <f>BC131+(Расчёты!Y131-Расчёты!L131)</f>
        <v>0</v>
      </c>
      <c r="BG131">
        <f t="shared" ref="BG131:BG162" si="94">BI130</f>
        <v>0</v>
      </c>
      <c r="BH131">
        <f>IF('Исходные данные'!$B$51="Да",-MAX(0,BD131+Расчёты!R131+Расчёты!V131-Расчёты!P131-Расчёты!T131-BG131),0)</f>
        <v>0</v>
      </c>
      <c r="BI131">
        <f>IF('Исходные данные'!$B$51="Да",MAX(0,BG131+Расчёты!P131+Расчёты!T131-BD131-Расчёты!R131-Расчёты!V131),0)</f>
        <v>0</v>
      </c>
      <c r="BJ131">
        <f>IF('Исходные данные'!$B$53="Выручка",MAX(0,BC131+(Расчёты!Q131-Расчёты!R131)+(Расчёты!U131-Расчёты!V131)),IF('Исходные данные'!$B$53="Прибыль до налога",MAX(0,BC131+(Расчёты!Q131-Расчёты!R131)+(Расчёты!U131-Расчёты!V131)+N('Исходные данные'!$B$54)*((Расчёты!O131+Расчёты!P131)+(Расчёты!S131+Расчёты!T131)+Расчёты!W131+Расчёты!X131)+IF('Исходные данные'!$B$55="Да",Расчёты!AG131,0)-N('Исходные данные'!$B$56)/12),IF('Исходные данные'!$B$53="Пользовательская база",MAX(0,N('Исходные данные'!$B$57)/12),0)))</f>
        <v>0</v>
      </c>
      <c r="BK131">
        <f>IF(D131=1,-BJ131*N('Исходные данные'!$B$50),0)</f>
        <v>0</v>
      </c>
      <c r="BL131">
        <f t="shared" si="88"/>
        <v>0</v>
      </c>
      <c r="BM131">
        <f>IF(OR(D131&lt;&gt;1,B131="",'Исходные данные'!$B$91="",N('Исходные данные'!$B$80)&lt;=0,'Исходные данные'!$B$88=""),0,IF(AND(YEAR(B131)=YEAR('Исходные данные'!$B$91),MONTH(B131)=MONTH('Исходные данные'!$B$91)),MAX(0,IF('Исходные данные'!$B$88="Последние 12 месяцев",SUMIFS($BF$2:$BF$194,$B$2:$B$194,"&gt;="&amp;EDATE(B131,-11),$B$2:$B$194,"&lt;="&amp;B131),IF('Исходные данные'!$B$88="Пользовательский NOI",N('Исходные данные'!$B$89),BL131))/N('Исходные данные'!$B$80)*(1+N('Исходные данные'!$B$81))),0))</f>
        <v>0</v>
      </c>
      <c r="BN131">
        <f>-BM131*N('Исходные данные'!$B$73)</f>
        <v>0</v>
      </c>
      <c r="BO131">
        <f>IF(BM131=0,0,-N('Исходные данные'!$B$87)-IF('Исходные данные'!$B$82="Да",IF('Исходные данные'!$B$84="С выручки",BM131,IF('Исходные данные'!$B$84="С прибыли",MAX(0,BM131+BN131-IF('Исходные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31">
        <f t="shared" si="89"/>
        <v>0</v>
      </c>
      <c r="BQ131">
        <f>IF(D131=1,Расчёты!AZ131+BE131+BH131+BK131+BP131,0)</f>
        <v>0</v>
      </c>
      <c r="BR131" t="str">
        <f t="shared" ref="BR131:BR162" si="95">IF(D131=1,BR130+BQ131,"")</f>
        <v/>
      </c>
      <c r="BS131">
        <f>IF(OR(D131=0,'Исходные данные'!$B$9="",'Исходные данные'!$B$90=""),0,BQ131/(1+'Исходные данные'!$B$90)^((C131-'Исходные данные'!$B$9)/365))</f>
        <v>0</v>
      </c>
      <c r="BT131">
        <f>IF(D131=1,BE131+Расчёты!O131+Расчёты!Q131+Расчёты!S131+Расчёты!U131+Расчёты!W131+Расчёты!X131+BH131+BK131,0)</f>
        <v>0</v>
      </c>
      <c r="BU131">
        <f>IF(AND(D131=1,BR131&gt;=0,BR130&lt;0,MIN($BR$2:BR131)&lt;0),1,0)</f>
        <v>0</v>
      </c>
      <c r="BV131">
        <f>Расчёты!AZ131+K131+N131-P131*N('Исходные данные'!$B$50)</f>
        <v>0</v>
      </c>
      <c r="BW131">
        <f t="shared" si="57"/>
        <v>0</v>
      </c>
      <c r="BX131">
        <f>IF(AND(BW131&gt;=0,BW130&lt;0,MIN($BW$2:BW131)&lt;0),1,0)</f>
        <v>0</v>
      </c>
      <c r="BY131">
        <f>Расчёты!AZ131+AH131+AK131-AM131*N('Исходные данные'!$B$50)</f>
        <v>0</v>
      </c>
      <c r="BZ131">
        <f t="shared" si="58"/>
        <v>0</v>
      </c>
      <c r="CA131">
        <f>IF(AND(BZ131&gt;=0,BZ130&lt;0,MIN($BZ$2:BZ131)&lt;0),1,0)</f>
        <v>0</v>
      </c>
      <c r="CB131">
        <f>Расчёты!AZ131+BE131+BH131-BJ131*N('Исходные данные'!$B$50)</f>
        <v>0</v>
      </c>
      <c r="CC131">
        <f t="shared" si="59"/>
        <v>0</v>
      </c>
      <c r="CD131">
        <f>IF(AND(CC131&gt;=0,CC130&lt;0,MIN($CC$2:CC131)&lt;0),1,0)</f>
        <v>0</v>
      </c>
    </row>
    <row r="132" spans="1:82" x14ac:dyDescent="0.2">
      <c r="A132">
        <f>Расчёты!A132</f>
        <v>131</v>
      </c>
      <c r="B132" t="str">
        <f>Расчёты!B132</f>
        <v/>
      </c>
      <c r="C132" t="str">
        <f>Расчёты!D132</f>
        <v/>
      </c>
      <c r="D132">
        <f>Расчёты!E132</f>
        <v>0</v>
      </c>
      <c r="E132">
        <f>IF(Расчёты!F132=0,0,IF(Расчёты!G132=1,N('Сценарный анализ'!$B$5),IF(Расчёты!G132=2,N('Сценарный анализ'!$B$6),IF(Расчёты!G132=3,N('Сценарный анализ'!$B$7),N('Сценарный анализ'!$B$7)*(1+N('Сценарный анализ'!$B$8))^(Расчёты!G132-3)))))</f>
        <v>0</v>
      </c>
      <c r="F132">
        <f>IF(OR(Расчёты!F132=0,N('Исходные данные'!$B$5)=0,E132=0),0,N('Исходные данные'!$B$5)*E132*IF(AND(B132&lt;='Исходные данные'!$B$30,Расчёты!C132&gt;='Исходные данные'!$B$30),(Расчёты!C132-'Исходные данные'!$B$30+1)/DAY(Расчёты!C132),1))</f>
        <v>0</v>
      </c>
      <c r="G132">
        <f>IF(AND(Расчёты!F132&gt;0,Расчёты!F132&lt;=N('Исходные данные'!$B$37)),-F132,0)</f>
        <v>0</v>
      </c>
      <c r="H132">
        <f>IF(OR(Расчёты!F132=0,Расчёты!F132&lt;=N('Исходные данные'!$B$37)),0,-(F132+G132)*N('Сценарный анализ'!$B$9))</f>
        <v>0</v>
      </c>
      <c r="I132">
        <f t="shared" si="78"/>
        <v>0</v>
      </c>
      <c r="J132">
        <f>IF('Исходные данные'!$B$51="Да",I132*N('Исходные данные'!$B$52),0)</f>
        <v>0</v>
      </c>
      <c r="K132">
        <f t="shared" si="79"/>
        <v>0</v>
      </c>
      <c r="L132">
        <f>I132+(Расчёты!Y132-Расчёты!L132)</f>
        <v>0</v>
      </c>
      <c r="M132">
        <f t="shared" si="90"/>
        <v>0</v>
      </c>
      <c r="N132">
        <f>IF('Исходные данные'!$B$51="Да",-MAX(0,J132+Расчёты!R132+Расчёты!V132-Расчёты!P132-Расчёты!T132-M132),0)</f>
        <v>0</v>
      </c>
      <c r="O132">
        <f>IF('Исходные данные'!$B$51="Да",MAX(0,M132+Расчёты!P132+Расчёты!T132-J132-Расчёты!R132-Расчёты!V132),0)</f>
        <v>0</v>
      </c>
      <c r="P132">
        <f>IF('Исходные данные'!$B$53="Выручка",MAX(0,I132+(Расчёты!Q132-Расчёты!R132)+(Расчёты!U132-Расчёты!V132)),IF('Исходные данные'!$B$53="Прибыль до налога",MAX(0,I132+(Расчёты!Q132-Расчёты!R132)+(Расчёты!U132-Расчёты!V132)+N('Исходные данные'!$B$54)*((Расчёты!O132+Расчёты!P132)+(Расчёты!S132+Расчёты!T132)+Расчёты!W132+Расчёты!X132)+IF('Исходные данные'!$B$55="Да",Расчёты!AG132,0)-N('Исходные данные'!$B$56)/12),IF('Исходные данные'!$B$53="Пользовательская база",MAX(0,N('Исходные данные'!$B$57)/12),0)))</f>
        <v>0</v>
      </c>
      <c r="Q132">
        <f>IF(D132=1,-P132*N('Исходные данные'!$B$50),0)</f>
        <v>0</v>
      </c>
      <c r="R132">
        <f t="shared" si="80"/>
        <v>0</v>
      </c>
      <c r="S132">
        <f>IF(OR(D132&lt;&gt;1,B132="",'Исходные данные'!$B$91="",N('Исходные данные'!$B$80)&lt;=0,'Исходные данные'!$B$88=""),0,IF(AND(YEAR(B132)=YEAR('Исходные данные'!$B$91),MONTH(B132)=MONTH('Исходные данные'!$B$91)),MAX(0,IF('Исходные данные'!$B$88="Последние 12 месяцев",SUMIFS($L$2:$L$194,$B$2:$B$194,"&gt;="&amp;EDATE(B132,-11),$B$2:$B$194,"&lt;="&amp;B132),IF('Исходные данные'!$B$88="Пользовательский NOI",N('Исходные данные'!$B$89),R132))/N('Исходные данные'!$B$80)*(1+N('Исходные данные'!$B$81))),0))</f>
        <v>0</v>
      </c>
      <c r="T132">
        <f>-S132*N('Исходные данные'!$B$73)</f>
        <v>0</v>
      </c>
      <c r="U132">
        <f>IF(S132=0,0,-N('Исходные данные'!$B$87)-IF('Исходные данные'!$B$82="Да",IF('Исходные данные'!$B$84="С выручки",S132,IF('Исходные данные'!$B$84="С прибыли",MAX(0,S132+T132-IF('Исходные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32">
        <f t="shared" si="81"/>
        <v>0</v>
      </c>
      <c r="W132">
        <f>IF(D132=1,Расчёты!AZ132+K132+N132+Q132+V132,0)</f>
        <v>0</v>
      </c>
      <c r="X132" t="str">
        <f t="shared" si="91"/>
        <v/>
      </c>
      <c r="Y132">
        <f>IF(OR(D132=0,'Исходные данные'!$B$9="",'Исходные данные'!$B$90=""),0,W132/(1+'Исходные данные'!$B$90)^((C132-'Исходные данные'!$B$9)/365))</f>
        <v>0</v>
      </c>
      <c r="Z132">
        <f>IF(D132=1,K132+Расчёты!O132+Расчёты!Q132+Расчёты!S132+Расчёты!U132+Расчёты!W132+Расчёты!X132+N132+Q132,0)</f>
        <v>0</v>
      </c>
      <c r="AA132">
        <f>IF(AND(D132=1,X132&gt;=0,X131&lt;0,MIN($X$2:X132)&lt;0),1,0)</f>
        <v>0</v>
      </c>
      <c r="AB132">
        <f>IF(Расчёты!F132=0,0,IF(Расчёты!G132=1,N('Сценарный анализ'!$C$5),IF(Расчёты!G132=2,N('Сценарный анализ'!$C$6),IF(Расчёты!G132=3,N('Сценарный анализ'!$C$7),N('Сценарный анализ'!$C$7)*(1+N('Сценарный анализ'!$C$8))^(Расчёты!G132-3)))))</f>
        <v>0</v>
      </c>
      <c r="AC132">
        <f>IF(OR(Расчёты!F132=0,N('Исходные данные'!$B$5)=0,AB132=0),0,N('Исходные данные'!$B$5)*AB132*IF(AND(B132&lt;='Исходные данные'!$B$30,Расчёты!C132&gt;='Исходные данные'!$B$30),(Расчёты!C132-'Исходные данные'!$B$30+1)/DAY(Расчёты!C132),1))</f>
        <v>0</v>
      </c>
      <c r="AD132">
        <f>IF(AND(Расчёты!F132&gt;0,Расчёты!F132&lt;=N('Исходные данные'!$B$37)),-AC132,0)</f>
        <v>0</v>
      </c>
      <c r="AE132">
        <f>IF(OR(Расчёты!F132=0,Расчёты!F132&lt;=N('Исходные данные'!$B$37)),0,-(AC132+AD132)*N('Сценарный анализ'!$C$9))</f>
        <v>0</v>
      </c>
      <c r="AF132">
        <f t="shared" si="82"/>
        <v>0</v>
      </c>
      <c r="AG132">
        <f>IF('Исходные данные'!$B$51="Да",AF132*N('Исходные данные'!$B$52),0)</f>
        <v>0</v>
      </c>
      <c r="AH132">
        <f t="shared" si="83"/>
        <v>0</v>
      </c>
      <c r="AI132">
        <f>AF132+(Расчёты!Y132-Расчёты!L132)</f>
        <v>0</v>
      </c>
      <c r="AJ132">
        <f t="shared" si="92"/>
        <v>0</v>
      </c>
      <c r="AK132">
        <f>IF('Исходные данные'!$B$51="Да",-MAX(0,AG132+Расчёты!R132+Расчёты!V132-Расчёты!P132-Расчёты!T132-AJ132),0)</f>
        <v>0</v>
      </c>
      <c r="AL132">
        <f>IF('Исходные данные'!$B$51="Да",MAX(0,AJ132+Расчёты!P132+Расчёты!T132-AG132-Расчёты!R132-Расчёты!V132),0)</f>
        <v>0</v>
      </c>
      <c r="AM132">
        <f>IF('Исходные данные'!$B$53="Выручка",MAX(0,AF132+(Расчёты!Q132-Расчёты!R132)+(Расчёты!U132-Расчёты!V132)),IF('Исходные данные'!$B$53="Прибыль до налога",MAX(0,AF132+(Расчёты!Q132-Расчёты!R132)+(Расчёты!U132-Расчёты!V132)+N('Исходные данные'!$B$54)*((Расчёты!O132+Расчёты!P132)+(Расчёты!S132+Расчёты!T132)+Расчёты!W132+Расчёты!X132)+IF('Исходные данные'!$B$55="Да",Расчёты!AG132,0)-N('Исходные данные'!$B$56)/12),IF('Исходные данные'!$B$53="Пользовательская база",MAX(0,N('Исходные данные'!$B$57)/12),0)))</f>
        <v>0</v>
      </c>
      <c r="AN132">
        <f>IF(D132=1,-AM132*N('Исходные данные'!$B$50),0)</f>
        <v>0</v>
      </c>
      <c r="AO132">
        <f t="shared" si="84"/>
        <v>0</v>
      </c>
      <c r="AP132">
        <f>IF(OR(D132&lt;&gt;1,B132="",'Исходные данные'!$B$91="",N('Исходные данные'!$B$80)&lt;=0,'Исходные данные'!$B$88=""),0,IF(AND(YEAR(B132)=YEAR('Исходные данные'!$B$91),MONTH(B132)=MONTH('Исходные данные'!$B$91)),MAX(0,IF('Исходные данные'!$B$88="Последние 12 месяцев",SUMIFS($AI$2:$AI$194,$B$2:$B$194,"&gt;="&amp;EDATE(B132,-11),$B$2:$B$194,"&lt;="&amp;B132),IF('Исходные данные'!$B$88="Пользовательский NOI",N('Исходные данные'!$B$89),AO132))/N('Исходные данные'!$B$80)*(1+N('Исходные данные'!$B$81))),0))</f>
        <v>0</v>
      </c>
      <c r="AQ132">
        <f>-AP132*N('Исходные данные'!$B$73)</f>
        <v>0</v>
      </c>
      <c r="AR132">
        <f>IF(AP132=0,0,-N('Исходные данные'!$B$87)-IF('Исходные данные'!$B$82="Да",IF('Исходные данные'!$B$84="С выручки",AP132,IF('Исходные данные'!$B$84="С прибыли",MAX(0,AP132+AQ132-IF('Исходные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32">
        <f t="shared" si="85"/>
        <v>0</v>
      </c>
      <c r="AT132">
        <f>IF(D132=1,Расчёты!AZ132+AH132+AK132+AN132+AS132,0)</f>
        <v>0</v>
      </c>
      <c r="AU132" t="str">
        <f t="shared" si="93"/>
        <v/>
      </c>
      <c r="AV132">
        <f>IF(OR(D132=0,'Исходные данные'!$B$9="",'Исходные данные'!$B$90=""),0,AT132/(1+'Исходные данные'!$B$90)^((C132-'Исходные данные'!$B$9)/365))</f>
        <v>0</v>
      </c>
      <c r="AW132">
        <f>IF(D132=1,AH132+Расчёты!O132+Расчёты!Q132+Расчёты!S132+Расчёты!U132+Расчёты!W132+Расчёты!X132+AK132+AN132,0)</f>
        <v>0</v>
      </c>
      <c r="AX132">
        <f>IF(AND(D132=1,AU132&gt;=0,AU131&lt;0,MIN($AU$2:AU132)&lt;0),1,0)</f>
        <v>0</v>
      </c>
      <c r="AY132">
        <f>IF(Расчёты!F132=0,0,IF(Расчёты!G132=1,N('Сценарный анализ'!$D$5),IF(Расчёты!G132=2,N('Сценарный анализ'!$D$6),IF(Расчёты!G132=3,N('Сценарный анализ'!$D$7),N('Сценарный анализ'!$D$7)*(1+N('Сценарный анализ'!$D$8))^(Расчёты!G132-3)))))</f>
        <v>0</v>
      </c>
      <c r="AZ132">
        <f>IF(OR(Расчёты!F132=0,N('Исходные данные'!$B$5)=0,AY132=0),0,N('Исходные данные'!$B$5)*AY132*IF(AND(B132&lt;='Исходные данные'!$B$30,Расчёты!C132&gt;='Исходные данные'!$B$30),(Расчёты!C132-'Исходные данные'!$B$30+1)/DAY(Расчёты!C132),1))</f>
        <v>0</v>
      </c>
      <c r="BA132">
        <f>IF(AND(Расчёты!F132&gt;0,Расчёты!F132&lt;=N('Исходные данные'!$B$37)),-AZ132,0)</f>
        <v>0</v>
      </c>
      <c r="BB132">
        <f>IF(OR(Расчёты!F132=0,Расчёты!F132&lt;=N('Исходные данные'!$B$37)),0,-(AZ132+BA132)*N('Сценарный анализ'!$D$9))</f>
        <v>0</v>
      </c>
      <c r="BC132">
        <f t="shared" si="86"/>
        <v>0</v>
      </c>
      <c r="BD132">
        <f>IF('Исходные данные'!$B$51="Да",BC132*N('Исходные данные'!$B$52),0)</f>
        <v>0</v>
      </c>
      <c r="BE132">
        <f t="shared" si="87"/>
        <v>0</v>
      </c>
      <c r="BF132">
        <f>BC132+(Расчёты!Y132-Расчёты!L132)</f>
        <v>0</v>
      </c>
      <c r="BG132">
        <f t="shared" si="94"/>
        <v>0</v>
      </c>
      <c r="BH132">
        <f>IF('Исходные данные'!$B$51="Да",-MAX(0,BD132+Расчёты!R132+Расчёты!V132-Расчёты!P132-Расчёты!T132-BG132),0)</f>
        <v>0</v>
      </c>
      <c r="BI132">
        <f>IF('Исходные данные'!$B$51="Да",MAX(0,BG132+Расчёты!P132+Расчёты!T132-BD132-Расчёты!R132-Расчёты!V132),0)</f>
        <v>0</v>
      </c>
      <c r="BJ132">
        <f>IF('Исходные данные'!$B$53="Выручка",MAX(0,BC132+(Расчёты!Q132-Расчёты!R132)+(Расчёты!U132-Расчёты!V132)),IF('Исходные данные'!$B$53="Прибыль до налога",MAX(0,BC132+(Расчёты!Q132-Расчёты!R132)+(Расчёты!U132-Расчёты!V132)+N('Исходные данные'!$B$54)*((Расчёты!O132+Расчёты!P132)+(Расчёты!S132+Расчёты!T132)+Расчёты!W132+Расчёты!X132)+IF('Исходные данные'!$B$55="Да",Расчёты!AG132,0)-N('Исходные данные'!$B$56)/12),IF('Исходные данные'!$B$53="Пользовательская база",MAX(0,N('Исходные данные'!$B$57)/12),0)))</f>
        <v>0</v>
      </c>
      <c r="BK132">
        <f>IF(D132=1,-BJ132*N('Исходные данные'!$B$50),0)</f>
        <v>0</v>
      </c>
      <c r="BL132">
        <f t="shared" si="88"/>
        <v>0</v>
      </c>
      <c r="BM132">
        <f>IF(OR(D132&lt;&gt;1,B132="",'Исходные данные'!$B$91="",N('Исходные данные'!$B$80)&lt;=0,'Исходные данные'!$B$88=""),0,IF(AND(YEAR(B132)=YEAR('Исходные данные'!$B$91),MONTH(B132)=MONTH('Исходные данные'!$B$91)),MAX(0,IF('Исходные данные'!$B$88="Последние 12 месяцев",SUMIFS($BF$2:$BF$194,$B$2:$B$194,"&gt;="&amp;EDATE(B132,-11),$B$2:$B$194,"&lt;="&amp;B132),IF('Исходные данные'!$B$88="Пользовательский NOI",N('Исходные данные'!$B$89),BL132))/N('Исходные данные'!$B$80)*(1+N('Исходные данные'!$B$81))),0))</f>
        <v>0</v>
      </c>
      <c r="BN132">
        <f>-BM132*N('Исходные данные'!$B$73)</f>
        <v>0</v>
      </c>
      <c r="BO132">
        <f>IF(BM132=0,0,-N('Исходные данные'!$B$87)-IF('Исходные данные'!$B$82="Да",IF('Исходные данные'!$B$84="С выручки",BM132,IF('Исходные данные'!$B$84="С прибыли",MAX(0,BM132+BN132-IF('Исходные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32">
        <f t="shared" si="89"/>
        <v>0</v>
      </c>
      <c r="BQ132">
        <f>IF(D132=1,Расчёты!AZ132+BE132+BH132+BK132+BP132,0)</f>
        <v>0</v>
      </c>
      <c r="BR132" t="str">
        <f t="shared" si="95"/>
        <v/>
      </c>
      <c r="BS132">
        <f>IF(OR(D132=0,'Исходные данные'!$B$9="",'Исходные данные'!$B$90=""),0,BQ132/(1+'Исходные данные'!$B$90)^((C132-'Исходные данные'!$B$9)/365))</f>
        <v>0</v>
      </c>
      <c r="BT132">
        <f>IF(D132=1,BE132+Расчёты!O132+Расчёты!Q132+Расчёты!S132+Расчёты!U132+Расчёты!W132+Расчёты!X132+BH132+BK132,0)</f>
        <v>0</v>
      </c>
      <c r="BU132">
        <f>IF(AND(D132=1,BR132&gt;=0,BR131&lt;0,MIN($BR$2:BR132)&lt;0),1,0)</f>
        <v>0</v>
      </c>
      <c r="BV132">
        <f>Расчёты!AZ132+K132+N132-P132*N('Исходные данные'!$B$50)</f>
        <v>0</v>
      </c>
      <c r="BW132">
        <f t="shared" ref="BW132:BW194" si="96">BW131+BV132</f>
        <v>0</v>
      </c>
      <c r="BX132">
        <f>IF(AND(BW132&gt;=0,BW131&lt;0,MIN($BW$2:BW132)&lt;0),1,0)</f>
        <v>0</v>
      </c>
      <c r="BY132">
        <f>Расчёты!AZ132+AH132+AK132-AM132*N('Исходные данные'!$B$50)</f>
        <v>0</v>
      </c>
      <c r="BZ132">
        <f t="shared" ref="BZ132:BZ194" si="97">BZ131+BY132</f>
        <v>0</v>
      </c>
      <c r="CA132">
        <f>IF(AND(BZ132&gt;=0,BZ131&lt;0,MIN($BZ$2:BZ132)&lt;0),1,0)</f>
        <v>0</v>
      </c>
      <c r="CB132">
        <f>Расчёты!AZ132+BE132+BH132-BJ132*N('Исходные данные'!$B$50)</f>
        <v>0</v>
      </c>
      <c r="CC132">
        <f t="shared" ref="CC132:CC194" si="98">CC131+CB132</f>
        <v>0</v>
      </c>
      <c r="CD132">
        <f>IF(AND(CC132&gt;=0,CC131&lt;0,MIN($CC$2:CC132)&lt;0),1,0)</f>
        <v>0</v>
      </c>
    </row>
    <row r="133" spans="1:82" x14ac:dyDescent="0.2">
      <c r="A133">
        <f>Расчёты!A133</f>
        <v>132</v>
      </c>
      <c r="B133" t="str">
        <f>Расчёты!B133</f>
        <v/>
      </c>
      <c r="C133" t="str">
        <f>Расчёты!D133</f>
        <v/>
      </c>
      <c r="D133">
        <f>Расчёты!E133</f>
        <v>0</v>
      </c>
      <c r="E133">
        <f>IF(Расчёты!F133=0,0,IF(Расчёты!G133=1,N('Сценарный анализ'!$B$5),IF(Расчёты!G133=2,N('Сценарный анализ'!$B$6),IF(Расчёты!G133=3,N('Сценарный анализ'!$B$7),N('Сценарный анализ'!$B$7)*(1+N('Сценарный анализ'!$B$8))^(Расчёты!G133-3)))))</f>
        <v>0</v>
      </c>
      <c r="F133">
        <f>IF(OR(Расчёты!F133=0,N('Исходные данные'!$B$5)=0,E133=0),0,N('Исходные данные'!$B$5)*E133*IF(AND(B133&lt;='Исходные данные'!$B$30,Расчёты!C133&gt;='Исходные данные'!$B$30),(Расчёты!C133-'Исходные данные'!$B$30+1)/DAY(Расчёты!C133),1))</f>
        <v>0</v>
      </c>
      <c r="G133">
        <f>IF(AND(Расчёты!F133&gt;0,Расчёты!F133&lt;=N('Исходные данные'!$B$37)),-F133,0)</f>
        <v>0</v>
      </c>
      <c r="H133">
        <f>IF(OR(Расчёты!F133=0,Расчёты!F133&lt;=N('Исходные данные'!$B$37)),0,-(F133+G133)*N('Сценарный анализ'!$B$9))</f>
        <v>0</v>
      </c>
      <c r="I133">
        <f t="shared" si="78"/>
        <v>0</v>
      </c>
      <c r="J133">
        <f>IF('Исходные данные'!$B$51="Да",I133*N('Исходные данные'!$B$52),0)</f>
        <v>0</v>
      </c>
      <c r="K133">
        <f t="shared" si="79"/>
        <v>0</v>
      </c>
      <c r="L133">
        <f>I133+(Расчёты!Y133-Расчёты!L133)</f>
        <v>0</v>
      </c>
      <c r="M133">
        <f t="shared" si="90"/>
        <v>0</v>
      </c>
      <c r="N133">
        <f>IF('Исходные данные'!$B$51="Да",-MAX(0,J133+Расчёты!R133+Расчёты!V133-Расчёты!P133-Расчёты!T133-M133),0)</f>
        <v>0</v>
      </c>
      <c r="O133">
        <f>IF('Исходные данные'!$B$51="Да",MAX(0,M133+Расчёты!P133+Расчёты!T133-J133-Расчёты!R133-Расчёты!V133),0)</f>
        <v>0</v>
      </c>
      <c r="P133">
        <f>IF('Исходные данные'!$B$53="Выручка",MAX(0,I133+(Расчёты!Q133-Расчёты!R133)+(Расчёты!U133-Расчёты!V133)),IF('Исходные данные'!$B$53="Прибыль до налога",MAX(0,I133+(Расчёты!Q133-Расчёты!R133)+(Расчёты!U133-Расчёты!V133)+N('Исходные данные'!$B$54)*((Расчёты!O133+Расчёты!P133)+(Расчёты!S133+Расчёты!T133)+Расчёты!W133+Расчёты!X133)+IF('Исходные данные'!$B$55="Да",Расчёты!AG133,0)-N('Исходные данные'!$B$56)/12),IF('Исходные данные'!$B$53="Пользовательская база",MAX(0,N('Исходные данные'!$B$57)/12),0)))</f>
        <v>0</v>
      </c>
      <c r="Q133">
        <f>IF(D133=1,-P133*N('Исходные данные'!$B$50),0)</f>
        <v>0</v>
      </c>
      <c r="R133">
        <f t="shared" si="80"/>
        <v>0</v>
      </c>
      <c r="S133">
        <f>IF(OR(D133&lt;&gt;1,B133="",'Исходные данные'!$B$91="",N('Исходные данные'!$B$80)&lt;=0,'Исходные данные'!$B$88=""),0,IF(AND(YEAR(B133)=YEAR('Исходные данные'!$B$91),MONTH(B133)=MONTH('Исходные данные'!$B$91)),MAX(0,IF('Исходные данные'!$B$88="Последние 12 месяцев",SUMIFS($L$2:$L$194,$B$2:$B$194,"&gt;="&amp;EDATE(B133,-11),$B$2:$B$194,"&lt;="&amp;B133),IF('Исходные данные'!$B$88="Пользовательский NOI",N('Исходные данные'!$B$89),R133))/N('Исходные данные'!$B$80)*(1+N('Исходные данные'!$B$81))),0))</f>
        <v>0</v>
      </c>
      <c r="T133">
        <f>-S133*N('Исходные данные'!$B$73)</f>
        <v>0</v>
      </c>
      <c r="U133">
        <f>IF(S133=0,0,-N('Исходные данные'!$B$87)-IF('Исходные данные'!$B$82="Да",IF('Исходные данные'!$B$84="С выручки",S133,IF('Исходные данные'!$B$84="С прибыли",MAX(0,S133+T133-IF('Исходные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33">
        <f t="shared" si="81"/>
        <v>0</v>
      </c>
      <c r="W133">
        <f>IF(D133=1,Расчёты!AZ133+K133+N133+Q133+V133,0)</f>
        <v>0</v>
      </c>
      <c r="X133" t="str">
        <f t="shared" si="91"/>
        <v/>
      </c>
      <c r="Y133">
        <f>IF(OR(D133=0,'Исходные данные'!$B$9="",'Исходные данные'!$B$90=""),0,W133/(1+'Исходные данные'!$B$90)^((C133-'Исходные данные'!$B$9)/365))</f>
        <v>0</v>
      </c>
      <c r="Z133">
        <f>IF(D133=1,K133+Расчёты!O133+Расчёты!Q133+Расчёты!S133+Расчёты!U133+Расчёты!W133+Расчёты!X133+N133+Q133,0)</f>
        <v>0</v>
      </c>
      <c r="AA133">
        <f>IF(AND(D133=1,X133&gt;=0,X132&lt;0,MIN($X$2:X133)&lt;0),1,0)</f>
        <v>0</v>
      </c>
      <c r="AB133">
        <f>IF(Расчёты!F133=0,0,IF(Расчёты!G133=1,N('Сценарный анализ'!$C$5),IF(Расчёты!G133=2,N('Сценарный анализ'!$C$6),IF(Расчёты!G133=3,N('Сценарный анализ'!$C$7),N('Сценарный анализ'!$C$7)*(1+N('Сценарный анализ'!$C$8))^(Расчёты!G133-3)))))</f>
        <v>0</v>
      </c>
      <c r="AC133">
        <f>IF(OR(Расчёты!F133=0,N('Исходные данные'!$B$5)=0,AB133=0),0,N('Исходные данные'!$B$5)*AB133*IF(AND(B133&lt;='Исходные данные'!$B$30,Расчёты!C133&gt;='Исходные данные'!$B$30),(Расчёты!C133-'Исходные данные'!$B$30+1)/DAY(Расчёты!C133),1))</f>
        <v>0</v>
      </c>
      <c r="AD133">
        <f>IF(AND(Расчёты!F133&gt;0,Расчёты!F133&lt;=N('Исходные данные'!$B$37)),-AC133,0)</f>
        <v>0</v>
      </c>
      <c r="AE133">
        <f>IF(OR(Расчёты!F133=0,Расчёты!F133&lt;=N('Исходные данные'!$B$37)),0,-(AC133+AD133)*N('Сценарный анализ'!$C$9))</f>
        <v>0</v>
      </c>
      <c r="AF133">
        <f t="shared" si="82"/>
        <v>0</v>
      </c>
      <c r="AG133">
        <f>IF('Исходные данные'!$B$51="Да",AF133*N('Исходные данные'!$B$52),0)</f>
        <v>0</v>
      </c>
      <c r="AH133">
        <f t="shared" si="83"/>
        <v>0</v>
      </c>
      <c r="AI133">
        <f>AF133+(Расчёты!Y133-Расчёты!L133)</f>
        <v>0</v>
      </c>
      <c r="AJ133">
        <f t="shared" si="92"/>
        <v>0</v>
      </c>
      <c r="AK133">
        <f>IF('Исходные данные'!$B$51="Да",-MAX(0,AG133+Расчёты!R133+Расчёты!V133-Расчёты!P133-Расчёты!T133-AJ133),0)</f>
        <v>0</v>
      </c>
      <c r="AL133">
        <f>IF('Исходные данные'!$B$51="Да",MAX(0,AJ133+Расчёты!P133+Расчёты!T133-AG133-Расчёты!R133-Расчёты!V133),0)</f>
        <v>0</v>
      </c>
      <c r="AM133">
        <f>IF('Исходные данные'!$B$53="Выручка",MAX(0,AF133+(Расчёты!Q133-Расчёты!R133)+(Расчёты!U133-Расчёты!V133)),IF('Исходные данные'!$B$53="Прибыль до налога",MAX(0,AF133+(Расчёты!Q133-Расчёты!R133)+(Расчёты!U133-Расчёты!V133)+N('Исходные данные'!$B$54)*((Расчёты!O133+Расчёты!P133)+(Расчёты!S133+Расчёты!T133)+Расчёты!W133+Расчёты!X133)+IF('Исходные данные'!$B$55="Да",Расчёты!AG133,0)-N('Исходные данные'!$B$56)/12),IF('Исходные данные'!$B$53="Пользовательская база",MAX(0,N('Исходные данные'!$B$57)/12),0)))</f>
        <v>0</v>
      </c>
      <c r="AN133">
        <f>IF(D133=1,-AM133*N('Исходные данные'!$B$50),0)</f>
        <v>0</v>
      </c>
      <c r="AO133">
        <f t="shared" si="84"/>
        <v>0</v>
      </c>
      <c r="AP133">
        <f>IF(OR(D133&lt;&gt;1,B133="",'Исходные данные'!$B$91="",N('Исходные данные'!$B$80)&lt;=0,'Исходные данные'!$B$88=""),0,IF(AND(YEAR(B133)=YEAR('Исходные данные'!$B$91),MONTH(B133)=MONTH('Исходные данные'!$B$91)),MAX(0,IF('Исходные данные'!$B$88="Последние 12 месяцев",SUMIFS($AI$2:$AI$194,$B$2:$B$194,"&gt;="&amp;EDATE(B133,-11),$B$2:$B$194,"&lt;="&amp;B133),IF('Исходные данные'!$B$88="Пользовательский NOI",N('Исходные данные'!$B$89),AO133))/N('Исходные данные'!$B$80)*(1+N('Исходные данные'!$B$81))),0))</f>
        <v>0</v>
      </c>
      <c r="AQ133">
        <f>-AP133*N('Исходные данные'!$B$73)</f>
        <v>0</v>
      </c>
      <c r="AR133">
        <f>IF(AP133=0,0,-N('Исходные данные'!$B$87)-IF('Исходные данные'!$B$82="Да",IF('Исходные данные'!$B$84="С выручки",AP133,IF('Исходные данные'!$B$84="С прибыли",MAX(0,AP133+AQ133-IF('Исходные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33">
        <f t="shared" si="85"/>
        <v>0</v>
      </c>
      <c r="AT133">
        <f>IF(D133=1,Расчёты!AZ133+AH133+AK133+AN133+AS133,0)</f>
        <v>0</v>
      </c>
      <c r="AU133" t="str">
        <f t="shared" si="93"/>
        <v/>
      </c>
      <c r="AV133">
        <f>IF(OR(D133=0,'Исходные данные'!$B$9="",'Исходные данные'!$B$90=""),0,AT133/(1+'Исходные данные'!$B$90)^((C133-'Исходные данные'!$B$9)/365))</f>
        <v>0</v>
      </c>
      <c r="AW133">
        <f>IF(D133=1,AH133+Расчёты!O133+Расчёты!Q133+Расчёты!S133+Расчёты!U133+Расчёты!W133+Расчёты!X133+AK133+AN133,0)</f>
        <v>0</v>
      </c>
      <c r="AX133">
        <f>IF(AND(D133=1,AU133&gt;=0,AU132&lt;0,MIN($AU$2:AU133)&lt;0),1,0)</f>
        <v>0</v>
      </c>
      <c r="AY133">
        <f>IF(Расчёты!F133=0,0,IF(Расчёты!G133=1,N('Сценарный анализ'!$D$5),IF(Расчёты!G133=2,N('Сценарный анализ'!$D$6),IF(Расчёты!G133=3,N('Сценарный анализ'!$D$7),N('Сценарный анализ'!$D$7)*(1+N('Сценарный анализ'!$D$8))^(Расчёты!G133-3)))))</f>
        <v>0</v>
      </c>
      <c r="AZ133">
        <f>IF(OR(Расчёты!F133=0,N('Исходные данные'!$B$5)=0,AY133=0),0,N('Исходные данные'!$B$5)*AY133*IF(AND(B133&lt;='Исходные данные'!$B$30,Расчёты!C133&gt;='Исходные данные'!$B$30),(Расчёты!C133-'Исходные данные'!$B$30+1)/DAY(Расчёты!C133),1))</f>
        <v>0</v>
      </c>
      <c r="BA133">
        <f>IF(AND(Расчёты!F133&gt;0,Расчёты!F133&lt;=N('Исходные данные'!$B$37)),-AZ133,0)</f>
        <v>0</v>
      </c>
      <c r="BB133">
        <f>IF(OR(Расчёты!F133=0,Расчёты!F133&lt;=N('Исходные данные'!$B$37)),0,-(AZ133+BA133)*N('Сценарный анализ'!$D$9))</f>
        <v>0</v>
      </c>
      <c r="BC133">
        <f t="shared" si="86"/>
        <v>0</v>
      </c>
      <c r="BD133">
        <f>IF('Исходные данные'!$B$51="Да",BC133*N('Исходные данные'!$B$52),0)</f>
        <v>0</v>
      </c>
      <c r="BE133">
        <f t="shared" si="87"/>
        <v>0</v>
      </c>
      <c r="BF133">
        <f>BC133+(Расчёты!Y133-Расчёты!L133)</f>
        <v>0</v>
      </c>
      <c r="BG133">
        <f t="shared" si="94"/>
        <v>0</v>
      </c>
      <c r="BH133">
        <f>IF('Исходные данные'!$B$51="Да",-MAX(0,BD133+Расчёты!R133+Расчёты!V133-Расчёты!P133-Расчёты!T133-BG133),0)</f>
        <v>0</v>
      </c>
      <c r="BI133">
        <f>IF('Исходные данные'!$B$51="Да",MAX(0,BG133+Расчёты!P133+Расчёты!T133-BD133-Расчёты!R133-Расчёты!V133),0)</f>
        <v>0</v>
      </c>
      <c r="BJ133">
        <f>IF('Исходные данные'!$B$53="Выручка",MAX(0,BC133+(Расчёты!Q133-Расчёты!R133)+(Расчёты!U133-Расчёты!V133)),IF('Исходные данные'!$B$53="Прибыль до налога",MAX(0,BC133+(Расчёты!Q133-Расчёты!R133)+(Расчёты!U133-Расчёты!V133)+N('Исходные данные'!$B$54)*((Расчёты!O133+Расчёты!P133)+(Расчёты!S133+Расчёты!T133)+Расчёты!W133+Расчёты!X133)+IF('Исходные данные'!$B$55="Да",Расчёты!AG133,0)-N('Исходные данные'!$B$56)/12),IF('Исходные данные'!$B$53="Пользовательская база",MAX(0,N('Исходные данные'!$B$57)/12),0)))</f>
        <v>0</v>
      </c>
      <c r="BK133">
        <f>IF(D133=1,-BJ133*N('Исходные данные'!$B$50),0)</f>
        <v>0</v>
      </c>
      <c r="BL133">
        <f t="shared" si="88"/>
        <v>0</v>
      </c>
      <c r="BM133">
        <f>IF(OR(D133&lt;&gt;1,B133="",'Исходные данные'!$B$91="",N('Исходные данные'!$B$80)&lt;=0,'Исходные данные'!$B$88=""),0,IF(AND(YEAR(B133)=YEAR('Исходные данные'!$B$91),MONTH(B133)=MONTH('Исходные данные'!$B$91)),MAX(0,IF('Исходные данные'!$B$88="Последние 12 месяцев",SUMIFS($BF$2:$BF$194,$B$2:$B$194,"&gt;="&amp;EDATE(B133,-11),$B$2:$B$194,"&lt;="&amp;B133),IF('Исходные данные'!$B$88="Пользовательский NOI",N('Исходные данные'!$B$89),BL133))/N('Исходные данные'!$B$80)*(1+N('Исходные данные'!$B$81))),0))</f>
        <v>0</v>
      </c>
      <c r="BN133">
        <f>-BM133*N('Исходные данные'!$B$73)</f>
        <v>0</v>
      </c>
      <c r="BO133">
        <f>IF(BM133=0,0,-N('Исходные данные'!$B$87)-IF('Исходные данные'!$B$82="Да",IF('Исходные данные'!$B$84="С выручки",BM133,IF('Исходные данные'!$B$84="С прибыли",MAX(0,BM133+BN133-IF('Исходные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33">
        <f t="shared" si="89"/>
        <v>0</v>
      </c>
      <c r="BQ133">
        <f>IF(D133=1,Расчёты!AZ133+BE133+BH133+BK133+BP133,0)</f>
        <v>0</v>
      </c>
      <c r="BR133" t="str">
        <f t="shared" si="95"/>
        <v/>
      </c>
      <c r="BS133">
        <f>IF(OR(D133=0,'Исходные данные'!$B$9="",'Исходные данные'!$B$90=""),0,BQ133/(1+'Исходные данные'!$B$90)^((C133-'Исходные данные'!$B$9)/365))</f>
        <v>0</v>
      </c>
      <c r="BT133">
        <f>IF(D133=1,BE133+Расчёты!O133+Расчёты!Q133+Расчёты!S133+Расчёты!U133+Расчёты!W133+Расчёты!X133+BH133+BK133,0)</f>
        <v>0</v>
      </c>
      <c r="BU133">
        <f>IF(AND(D133=1,BR133&gt;=0,BR132&lt;0,MIN($BR$2:BR133)&lt;0),1,0)</f>
        <v>0</v>
      </c>
      <c r="BV133">
        <f>Расчёты!AZ133+K133+N133-P133*N('Исходные данные'!$B$50)</f>
        <v>0</v>
      </c>
      <c r="BW133">
        <f t="shared" si="96"/>
        <v>0</v>
      </c>
      <c r="BX133">
        <f>IF(AND(BW133&gt;=0,BW132&lt;0,MIN($BW$2:BW133)&lt;0),1,0)</f>
        <v>0</v>
      </c>
      <c r="BY133">
        <f>Расчёты!AZ133+AH133+AK133-AM133*N('Исходные данные'!$B$50)</f>
        <v>0</v>
      </c>
      <c r="BZ133">
        <f t="shared" si="97"/>
        <v>0</v>
      </c>
      <c r="CA133">
        <f>IF(AND(BZ133&gt;=0,BZ132&lt;0,MIN($BZ$2:BZ133)&lt;0),1,0)</f>
        <v>0</v>
      </c>
      <c r="CB133">
        <f>Расчёты!AZ133+BE133+BH133-BJ133*N('Исходные данные'!$B$50)</f>
        <v>0</v>
      </c>
      <c r="CC133">
        <f t="shared" si="98"/>
        <v>0</v>
      </c>
      <c r="CD133">
        <f>IF(AND(CC133&gt;=0,CC132&lt;0,MIN($CC$2:CC133)&lt;0),1,0)</f>
        <v>0</v>
      </c>
    </row>
    <row r="134" spans="1:82" x14ac:dyDescent="0.2">
      <c r="A134">
        <f>Расчёты!A134</f>
        <v>133</v>
      </c>
      <c r="B134" t="str">
        <f>Расчёты!B134</f>
        <v/>
      </c>
      <c r="C134" t="str">
        <f>Расчёты!D134</f>
        <v/>
      </c>
      <c r="D134">
        <f>Расчёты!E134</f>
        <v>0</v>
      </c>
      <c r="E134">
        <f>IF(Расчёты!F134=0,0,IF(Расчёты!G134=1,N('Сценарный анализ'!$B$5),IF(Расчёты!G134=2,N('Сценарный анализ'!$B$6),IF(Расчёты!G134=3,N('Сценарный анализ'!$B$7),N('Сценарный анализ'!$B$7)*(1+N('Сценарный анализ'!$B$8))^(Расчёты!G134-3)))))</f>
        <v>0</v>
      </c>
      <c r="F134">
        <f>IF(OR(Расчёты!F134=0,N('Исходные данные'!$B$5)=0,E134=0),0,N('Исходные данные'!$B$5)*E134*IF(AND(B134&lt;='Исходные данные'!$B$30,Расчёты!C134&gt;='Исходные данные'!$B$30),(Расчёты!C134-'Исходные данные'!$B$30+1)/DAY(Расчёты!C134),1))</f>
        <v>0</v>
      </c>
      <c r="G134">
        <f>IF(AND(Расчёты!F134&gt;0,Расчёты!F134&lt;=N('Исходные данные'!$B$37)),-F134,0)</f>
        <v>0</v>
      </c>
      <c r="H134">
        <f>IF(OR(Расчёты!F134=0,Расчёты!F134&lt;=N('Исходные данные'!$B$37)),0,-(F134+G134)*N('Сценарный анализ'!$B$9))</f>
        <v>0</v>
      </c>
      <c r="I134">
        <f t="shared" si="78"/>
        <v>0</v>
      </c>
      <c r="J134">
        <f>IF('Исходные данные'!$B$51="Да",I134*N('Исходные данные'!$B$52),0)</f>
        <v>0</v>
      </c>
      <c r="K134">
        <f t="shared" si="79"/>
        <v>0</v>
      </c>
      <c r="L134">
        <f>I134+(Расчёты!Y134-Расчёты!L134)</f>
        <v>0</v>
      </c>
      <c r="M134">
        <f t="shared" si="90"/>
        <v>0</v>
      </c>
      <c r="N134">
        <f>IF('Исходные данные'!$B$51="Да",-MAX(0,J134+Расчёты!R134+Расчёты!V134-Расчёты!P134-Расчёты!T134-M134),0)</f>
        <v>0</v>
      </c>
      <c r="O134">
        <f>IF('Исходные данные'!$B$51="Да",MAX(0,M134+Расчёты!P134+Расчёты!T134-J134-Расчёты!R134-Расчёты!V134),0)</f>
        <v>0</v>
      </c>
      <c r="P134">
        <f>IF('Исходные данные'!$B$53="Выручка",MAX(0,I134+(Расчёты!Q134-Расчёты!R134)+(Расчёты!U134-Расчёты!V134)),IF('Исходные данные'!$B$53="Прибыль до налога",MAX(0,I134+(Расчёты!Q134-Расчёты!R134)+(Расчёты!U134-Расчёты!V134)+N('Исходные данные'!$B$54)*((Расчёты!O134+Расчёты!P134)+(Расчёты!S134+Расчёты!T134)+Расчёты!W134+Расчёты!X134)+IF('Исходные данные'!$B$55="Да",Расчёты!AG134,0)-N('Исходные данные'!$B$56)/12),IF('Исходные данные'!$B$53="Пользовательская база",MAX(0,N('Исходные данные'!$B$57)/12),0)))</f>
        <v>0</v>
      </c>
      <c r="Q134">
        <f>IF(D134=1,-P134*N('Исходные данные'!$B$50),0)</f>
        <v>0</v>
      </c>
      <c r="R134">
        <f t="shared" si="80"/>
        <v>0</v>
      </c>
      <c r="S134">
        <f>IF(OR(D134&lt;&gt;1,B134="",'Исходные данные'!$B$91="",N('Исходные данные'!$B$80)&lt;=0,'Исходные данные'!$B$88=""),0,IF(AND(YEAR(B134)=YEAR('Исходные данные'!$B$91),MONTH(B134)=MONTH('Исходные данные'!$B$91)),MAX(0,IF('Исходные данные'!$B$88="Последние 12 месяцев",SUMIFS($L$2:$L$194,$B$2:$B$194,"&gt;="&amp;EDATE(B134,-11),$B$2:$B$194,"&lt;="&amp;B134),IF('Исходные данные'!$B$88="Пользовательский NOI",N('Исходные данные'!$B$89),R134))/N('Исходные данные'!$B$80)*(1+N('Исходные данные'!$B$81))),0))</f>
        <v>0</v>
      </c>
      <c r="T134">
        <f>-S134*N('Исходные данные'!$B$73)</f>
        <v>0</v>
      </c>
      <c r="U134">
        <f>IF(S134=0,0,-N('Исходные данные'!$B$87)-IF('Исходные данные'!$B$82="Да",IF('Исходные данные'!$B$84="С выручки",S134,IF('Исходные данные'!$B$84="С прибыли",MAX(0,S134+T134-IF('Исходные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34">
        <f t="shared" si="81"/>
        <v>0</v>
      </c>
      <c r="W134">
        <f>IF(D134=1,Расчёты!AZ134+K134+N134+Q134+V134,0)</f>
        <v>0</v>
      </c>
      <c r="X134" t="str">
        <f t="shared" si="91"/>
        <v/>
      </c>
      <c r="Y134">
        <f>IF(OR(D134=0,'Исходные данные'!$B$9="",'Исходные данные'!$B$90=""),0,W134/(1+'Исходные данные'!$B$90)^((C134-'Исходные данные'!$B$9)/365))</f>
        <v>0</v>
      </c>
      <c r="Z134">
        <f>IF(D134=1,K134+Расчёты!O134+Расчёты!Q134+Расчёты!S134+Расчёты!U134+Расчёты!W134+Расчёты!X134+N134+Q134,0)</f>
        <v>0</v>
      </c>
      <c r="AA134">
        <f>IF(AND(D134=1,X134&gt;=0,X133&lt;0,MIN($X$2:X134)&lt;0),1,0)</f>
        <v>0</v>
      </c>
      <c r="AB134">
        <f>IF(Расчёты!F134=0,0,IF(Расчёты!G134=1,N('Сценарный анализ'!$C$5),IF(Расчёты!G134=2,N('Сценарный анализ'!$C$6),IF(Расчёты!G134=3,N('Сценарный анализ'!$C$7),N('Сценарный анализ'!$C$7)*(1+N('Сценарный анализ'!$C$8))^(Расчёты!G134-3)))))</f>
        <v>0</v>
      </c>
      <c r="AC134">
        <f>IF(OR(Расчёты!F134=0,N('Исходные данные'!$B$5)=0,AB134=0),0,N('Исходные данные'!$B$5)*AB134*IF(AND(B134&lt;='Исходные данные'!$B$30,Расчёты!C134&gt;='Исходные данные'!$B$30),(Расчёты!C134-'Исходные данные'!$B$30+1)/DAY(Расчёты!C134),1))</f>
        <v>0</v>
      </c>
      <c r="AD134">
        <f>IF(AND(Расчёты!F134&gt;0,Расчёты!F134&lt;=N('Исходные данные'!$B$37)),-AC134,0)</f>
        <v>0</v>
      </c>
      <c r="AE134">
        <f>IF(OR(Расчёты!F134=0,Расчёты!F134&lt;=N('Исходные данные'!$B$37)),0,-(AC134+AD134)*N('Сценарный анализ'!$C$9))</f>
        <v>0</v>
      </c>
      <c r="AF134">
        <f t="shared" si="82"/>
        <v>0</v>
      </c>
      <c r="AG134">
        <f>IF('Исходные данные'!$B$51="Да",AF134*N('Исходные данные'!$B$52),0)</f>
        <v>0</v>
      </c>
      <c r="AH134">
        <f t="shared" si="83"/>
        <v>0</v>
      </c>
      <c r="AI134">
        <f>AF134+(Расчёты!Y134-Расчёты!L134)</f>
        <v>0</v>
      </c>
      <c r="AJ134">
        <f t="shared" si="92"/>
        <v>0</v>
      </c>
      <c r="AK134">
        <f>IF('Исходные данные'!$B$51="Да",-MAX(0,AG134+Расчёты!R134+Расчёты!V134-Расчёты!P134-Расчёты!T134-AJ134),0)</f>
        <v>0</v>
      </c>
      <c r="AL134">
        <f>IF('Исходные данные'!$B$51="Да",MAX(0,AJ134+Расчёты!P134+Расчёты!T134-AG134-Расчёты!R134-Расчёты!V134),0)</f>
        <v>0</v>
      </c>
      <c r="AM134">
        <f>IF('Исходные данные'!$B$53="Выручка",MAX(0,AF134+(Расчёты!Q134-Расчёты!R134)+(Расчёты!U134-Расчёты!V134)),IF('Исходные данные'!$B$53="Прибыль до налога",MAX(0,AF134+(Расчёты!Q134-Расчёты!R134)+(Расчёты!U134-Расчёты!V134)+N('Исходные данные'!$B$54)*((Расчёты!O134+Расчёты!P134)+(Расчёты!S134+Расчёты!T134)+Расчёты!W134+Расчёты!X134)+IF('Исходные данные'!$B$55="Да",Расчёты!AG134,0)-N('Исходные данные'!$B$56)/12),IF('Исходные данные'!$B$53="Пользовательская база",MAX(0,N('Исходные данные'!$B$57)/12),0)))</f>
        <v>0</v>
      </c>
      <c r="AN134">
        <f>IF(D134=1,-AM134*N('Исходные данные'!$B$50),0)</f>
        <v>0</v>
      </c>
      <c r="AO134">
        <f t="shared" si="84"/>
        <v>0</v>
      </c>
      <c r="AP134">
        <f>IF(OR(D134&lt;&gt;1,B134="",'Исходные данные'!$B$91="",N('Исходные данные'!$B$80)&lt;=0,'Исходные данные'!$B$88=""),0,IF(AND(YEAR(B134)=YEAR('Исходные данные'!$B$91),MONTH(B134)=MONTH('Исходные данные'!$B$91)),MAX(0,IF('Исходные данные'!$B$88="Последние 12 месяцев",SUMIFS($AI$2:$AI$194,$B$2:$B$194,"&gt;="&amp;EDATE(B134,-11),$B$2:$B$194,"&lt;="&amp;B134),IF('Исходные данные'!$B$88="Пользовательский NOI",N('Исходные данные'!$B$89),AO134))/N('Исходные данные'!$B$80)*(1+N('Исходные данные'!$B$81))),0))</f>
        <v>0</v>
      </c>
      <c r="AQ134">
        <f>-AP134*N('Исходные данные'!$B$73)</f>
        <v>0</v>
      </c>
      <c r="AR134">
        <f>IF(AP134=0,0,-N('Исходные данные'!$B$87)-IF('Исходные данные'!$B$82="Да",IF('Исходные данные'!$B$84="С выручки",AP134,IF('Исходные данные'!$B$84="С прибыли",MAX(0,AP134+AQ134-IF('Исходные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34">
        <f t="shared" si="85"/>
        <v>0</v>
      </c>
      <c r="AT134">
        <f>IF(D134=1,Расчёты!AZ134+AH134+AK134+AN134+AS134,0)</f>
        <v>0</v>
      </c>
      <c r="AU134" t="str">
        <f t="shared" si="93"/>
        <v/>
      </c>
      <c r="AV134">
        <f>IF(OR(D134=0,'Исходные данные'!$B$9="",'Исходные данные'!$B$90=""),0,AT134/(1+'Исходные данные'!$B$90)^((C134-'Исходные данные'!$B$9)/365))</f>
        <v>0</v>
      </c>
      <c r="AW134">
        <f>IF(D134=1,AH134+Расчёты!O134+Расчёты!Q134+Расчёты!S134+Расчёты!U134+Расчёты!W134+Расчёты!X134+AK134+AN134,0)</f>
        <v>0</v>
      </c>
      <c r="AX134">
        <f>IF(AND(D134=1,AU134&gt;=0,AU133&lt;0,MIN($AU$2:AU134)&lt;0),1,0)</f>
        <v>0</v>
      </c>
      <c r="AY134">
        <f>IF(Расчёты!F134=0,0,IF(Расчёты!G134=1,N('Сценарный анализ'!$D$5),IF(Расчёты!G134=2,N('Сценарный анализ'!$D$6),IF(Расчёты!G134=3,N('Сценарный анализ'!$D$7),N('Сценарный анализ'!$D$7)*(1+N('Сценарный анализ'!$D$8))^(Расчёты!G134-3)))))</f>
        <v>0</v>
      </c>
      <c r="AZ134">
        <f>IF(OR(Расчёты!F134=0,N('Исходные данные'!$B$5)=0,AY134=0),0,N('Исходные данные'!$B$5)*AY134*IF(AND(B134&lt;='Исходные данные'!$B$30,Расчёты!C134&gt;='Исходные данные'!$B$30),(Расчёты!C134-'Исходные данные'!$B$30+1)/DAY(Расчёты!C134),1))</f>
        <v>0</v>
      </c>
      <c r="BA134">
        <f>IF(AND(Расчёты!F134&gt;0,Расчёты!F134&lt;=N('Исходные данные'!$B$37)),-AZ134,0)</f>
        <v>0</v>
      </c>
      <c r="BB134">
        <f>IF(OR(Расчёты!F134=0,Расчёты!F134&lt;=N('Исходные данные'!$B$37)),0,-(AZ134+BA134)*N('Сценарный анализ'!$D$9))</f>
        <v>0</v>
      </c>
      <c r="BC134">
        <f t="shared" si="86"/>
        <v>0</v>
      </c>
      <c r="BD134">
        <f>IF('Исходные данные'!$B$51="Да",BC134*N('Исходные данные'!$B$52),0)</f>
        <v>0</v>
      </c>
      <c r="BE134">
        <f t="shared" si="87"/>
        <v>0</v>
      </c>
      <c r="BF134">
        <f>BC134+(Расчёты!Y134-Расчёты!L134)</f>
        <v>0</v>
      </c>
      <c r="BG134">
        <f t="shared" si="94"/>
        <v>0</v>
      </c>
      <c r="BH134">
        <f>IF('Исходные данные'!$B$51="Да",-MAX(0,BD134+Расчёты!R134+Расчёты!V134-Расчёты!P134-Расчёты!T134-BG134),0)</f>
        <v>0</v>
      </c>
      <c r="BI134">
        <f>IF('Исходные данные'!$B$51="Да",MAX(0,BG134+Расчёты!P134+Расчёты!T134-BD134-Расчёты!R134-Расчёты!V134),0)</f>
        <v>0</v>
      </c>
      <c r="BJ134">
        <f>IF('Исходные данные'!$B$53="Выручка",MAX(0,BC134+(Расчёты!Q134-Расчёты!R134)+(Расчёты!U134-Расчёты!V134)),IF('Исходные данные'!$B$53="Прибыль до налога",MAX(0,BC134+(Расчёты!Q134-Расчёты!R134)+(Расчёты!U134-Расчёты!V134)+N('Исходные данные'!$B$54)*((Расчёты!O134+Расчёты!P134)+(Расчёты!S134+Расчёты!T134)+Расчёты!W134+Расчёты!X134)+IF('Исходные данные'!$B$55="Да",Расчёты!AG134,0)-N('Исходные данные'!$B$56)/12),IF('Исходные данные'!$B$53="Пользовательская база",MAX(0,N('Исходные данные'!$B$57)/12),0)))</f>
        <v>0</v>
      </c>
      <c r="BK134">
        <f>IF(D134=1,-BJ134*N('Исходные данные'!$B$50),0)</f>
        <v>0</v>
      </c>
      <c r="BL134">
        <f t="shared" si="88"/>
        <v>0</v>
      </c>
      <c r="BM134">
        <f>IF(OR(D134&lt;&gt;1,B134="",'Исходные данные'!$B$91="",N('Исходные данные'!$B$80)&lt;=0,'Исходные данные'!$B$88=""),0,IF(AND(YEAR(B134)=YEAR('Исходные данные'!$B$91),MONTH(B134)=MONTH('Исходные данные'!$B$91)),MAX(0,IF('Исходные данные'!$B$88="Последние 12 месяцев",SUMIFS($BF$2:$BF$194,$B$2:$B$194,"&gt;="&amp;EDATE(B134,-11),$B$2:$B$194,"&lt;="&amp;B134),IF('Исходные данные'!$B$88="Пользовательский NOI",N('Исходные данные'!$B$89),BL134))/N('Исходные данные'!$B$80)*(1+N('Исходные данные'!$B$81))),0))</f>
        <v>0</v>
      </c>
      <c r="BN134">
        <f>-BM134*N('Исходные данные'!$B$73)</f>
        <v>0</v>
      </c>
      <c r="BO134">
        <f>IF(BM134=0,0,-N('Исходные данные'!$B$87)-IF('Исходные данные'!$B$82="Да",IF('Исходные данные'!$B$84="С выручки",BM134,IF('Исходные данные'!$B$84="С прибыли",MAX(0,BM134+BN134-IF('Исходные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34">
        <f t="shared" si="89"/>
        <v>0</v>
      </c>
      <c r="BQ134">
        <f>IF(D134=1,Расчёты!AZ134+BE134+BH134+BK134+BP134,0)</f>
        <v>0</v>
      </c>
      <c r="BR134" t="str">
        <f t="shared" si="95"/>
        <v/>
      </c>
      <c r="BS134">
        <f>IF(OR(D134=0,'Исходные данные'!$B$9="",'Исходные данные'!$B$90=""),0,BQ134/(1+'Исходные данные'!$B$90)^((C134-'Исходные данные'!$B$9)/365))</f>
        <v>0</v>
      </c>
      <c r="BT134">
        <f>IF(D134=1,BE134+Расчёты!O134+Расчёты!Q134+Расчёты!S134+Расчёты!U134+Расчёты!W134+Расчёты!X134+BH134+BK134,0)</f>
        <v>0</v>
      </c>
      <c r="BU134">
        <f>IF(AND(D134=1,BR134&gt;=0,BR133&lt;0,MIN($BR$2:BR134)&lt;0),1,0)</f>
        <v>0</v>
      </c>
      <c r="BV134">
        <f>Расчёты!AZ134+K134+N134-P134*N('Исходные данные'!$B$50)</f>
        <v>0</v>
      </c>
      <c r="BW134">
        <f t="shared" si="96"/>
        <v>0</v>
      </c>
      <c r="BX134">
        <f>IF(AND(BW134&gt;=0,BW133&lt;0,MIN($BW$2:BW134)&lt;0),1,0)</f>
        <v>0</v>
      </c>
      <c r="BY134">
        <f>Расчёты!AZ134+AH134+AK134-AM134*N('Исходные данные'!$B$50)</f>
        <v>0</v>
      </c>
      <c r="BZ134">
        <f t="shared" si="97"/>
        <v>0</v>
      </c>
      <c r="CA134">
        <f>IF(AND(BZ134&gt;=0,BZ133&lt;0,MIN($BZ$2:BZ134)&lt;0),1,0)</f>
        <v>0</v>
      </c>
      <c r="CB134">
        <f>Расчёты!AZ134+BE134+BH134-BJ134*N('Исходные данные'!$B$50)</f>
        <v>0</v>
      </c>
      <c r="CC134">
        <f t="shared" si="98"/>
        <v>0</v>
      </c>
      <c r="CD134">
        <f>IF(AND(CC134&gt;=0,CC133&lt;0,MIN($CC$2:CC134)&lt;0),1,0)</f>
        <v>0</v>
      </c>
    </row>
    <row r="135" spans="1:82" x14ac:dyDescent="0.2">
      <c r="A135">
        <f>Расчёты!A135</f>
        <v>134</v>
      </c>
      <c r="B135" t="str">
        <f>Расчёты!B135</f>
        <v/>
      </c>
      <c r="C135" t="str">
        <f>Расчёты!D135</f>
        <v/>
      </c>
      <c r="D135">
        <f>Расчёты!E135</f>
        <v>0</v>
      </c>
      <c r="E135">
        <f>IF(Расчёты!F135=0,0,IF(Расчёты!G135=1,N('Сценарный анализ'!$B$5),IF(Расчёты!G135=2,N('Сценарный анализ'!$B$6),IF(Расчёты!G135=3,N('Сценарный анализ'!$B$7),N('Сценарный анализ'!$B$7)*(1+N('Сценарный анализ'!$B$8))^(Расчёты!G135-3)))))</f>
        <v>0</v>
      </c>
      <c r="F135">
        <f>IF(OR(Расчёты!F135=0,N('Исходные данные'!$B$5)=0,E135=0),0,N('Исходные данные'!$B$5)*E135*IF(AND(B135&lt;='Исходные данные'!$B$30,Расчёты!C135&gt;='Исходные данные'!$B$30),(Расчёты!C135-'Исходные данные'!$B$30+1)/DAY(Расчёты!C135),1))</f>
        <v>0</v>
      </c>
      <c r="G135">
        <f>IF(AND(Расчёты!F135&gt;0,Расчёты!F135&lt;=N('Исходные данные'!$B$37)),-F135,0)</f>
        <v>0</v>
      </c>
      <c r="H135">
        <f>IF(OR(Расчёты!F135=0,Расчёты!F135&lt;=N('Исходные данные'!$B$37)),0,-(F135+G135)*N('Сценарный анализ'!$B$9))</f>
        <v>0</v>
      </c>
      <c r="I135">
        <f t="shared" si="78"/>
        <v>0</v>
      </c>
      <c r="J135">
        <f>IF('Исходные данные'!$B$51="Да",I135*N('Исходные данные'!$B$52),0)</f>
        <v>0</v>
      </c>
      <c r="K135">
        <f t="shared" si="79"/>
        <v>0</v>
      </c>
      <c r="L135">
        <f>I135+(Расчёты!Y135-Расчёты!L135)</f>
        <v>0</v>
      </c>
      <c r="M135">
        <f t="shared" si="90"/>
        <v>0</v>
      </c>
      <c r="N135">
        <f>IF('Исходные данные'!$B$51="Да",-MAX(0,J135+Расчёты!R135+Расчёты!V135-Расчёты!P135-Расчёты!T135-M135),0)</f>
        <v>0</v>
      </c>
      <c r="O135">
        <f>IF('Исходные данные'!$B$51="Да",MAX(0,M135+Расчёты!P135+Расчёты!T135-J135-Расчёты!R135-Расчёты!V135),0)</f>
        <v>0</v>
      </c>
      <c r="P135">
        <f>IF('Исходные данные'!$B$53="Выручка",MAX(0,I135+(Расчёты!Q135-Расчёты!R135)+(Расчёты!U135-Расчёты!V135)),IF('Исходные данные'!$B$53="Прибыль до налога",MAX(0,I135+(Расчёты!Q135-Расчёты!R135)+(Расчёты!U135-Расчёты!V135)+N('Исходные данные'!$B$54)*((Расчёты!O135+Расчёты!P135)+(Расчёты!S135+Расчёты!T135)+Расчёты!W135+Расчёты!X135)+IF('Исходные данные'!$B$55="Да",Расчёты!AG135,0)-N('Исходные данные'!$B$56)/12),IF('Исходные данные'!$B$53="Пользовательская база",MAX(0,N('Исходные данные'!$B$57)/12),0)))</f>
        <v>0</v>
      </c>
      <c r="Q135">
        <f>IF(D135=1,-P135*N('Исходные данные'!$B$50),0)</f>
        <v>0</v>
      </c>
      <c r="R135">
        <f t="shared" si="80"/>
        <v>0</v>
      </c>
      <c r="S135">
        <f>IF(OR(D135&lt;&gt;1,B135="",'Исходные данные'!$B$91="",N('Исходные данные'!$B$80)&lt;=0,'Исходные данные'!$B$88=""),0,IF(AND(YEAR(B135)=YEAR('Исходные данные'!$B$91),MONTH(B135)=MONTH('Исходные данные'!$B$91)),MAX(0,IF('Исходные данные'!$B$88="Последние 12 месяцев",SUMIFS($L$2:$L$194,$B$2:$B$194,"&gt;="&amp;EDATE(B135,-11),$B$2:$B$194,"&lt;="&amp;B135),IF('Исходные данные'!$B$88="Пользовательский NOI",N('Исходные данные'!$B$89),R135))/N('Исходные данные'!$B$80)*(1+N('Исходные данные'!$B$81))),0))</f>
        <v>0</v>
      </c>
      <c r="T135">
        <f>-S135*N('Исходные данные'!$B$73)</f>
        <v>0</v>
      </c>
      <c r="U135">
        <f>IF(S135=0,0,-N('Исходные данные'!$B$87)-IF('Исходные данные'!$B$82="Да",IF('Исходные данные'!$B$84="С выручки",S135,IF('Исходные данные'!$B$84="С прибыли",MAX(0,S135+T135-IF('Исходные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35">
        <f t="shared" si="81"/>
        <v>0</v>
      </c>
      <c r="W135">
        <f>IF(D135=1,Расчёты!AZ135+K135+N135+Q135+V135,0)</f>
        <v>0</v>
      </c>
      <c r="X135" t="str">
        <f t="shared" si="91"/>
        <v/>
      </c>
      <c r="Y135">
        <f>IF(OR(D135=0,'Исходные данные'!$B$9="",'Исходные данные'!$B$90=""),0,W135/(1+'Исходные данные'!$B$90)^((C135-'Исходные данные'!$B$9)/365))</f>
        <v>0</v>
      </c>
      <c r="Z135">
        <f>IF(D135=1,K135+Расчёты!O135+Расчёты!Q135+Расчёты!S135+Расчёты!U135+Расчёты!W135+Расчёты!X135+N135+Q135,0)</f>
        <v>0</v>
      </c>
      <c r="AA135">
        <f>IF(AND(D135=1,X135&gt;=0,X134&lt;0,MIN($X$2:X135)&lt;0),1,0)</f>
        <v>0</v>
      </c>
      <c r="AB135">
        <f>IF(Расчёты!F135=0,0,IF(Расчёты!G135=1,N('Сценарный анализ'!$C$5),IF(Расчёты!G135=2,N('Сценарный анализ'!$C$6),IF(Расчёты!G135=3,N('Сценарный анализ'!$C$7),N('Сценарный анализ'!$C$7)*(1+N('Сценарный анализ'!$C$8))^(Расчёты!G135-3)))))</f>
        <v>0</v>
      </c>
      <c r="AC135">
        <f>IF(OR(Расчёты!F135=0,N('Исходные данные'!$B$5)=0,AB135=0),0,N('Исходные данные'!$B$5)*AB135*IF(AND(B135&lt;='Исходные данные'!$B$30,Расчёты!C135&gt;='Исходные данные'!$B$30),(Расчёты!C135-'Исходные данные'!$B$30+1)/DAY(Расчёты!C135),1))</f>
        <v>0</v>
      </c>
      <c r="AD135">
        <f>IF(AND(Расчёты!F135&gt;0,Расчёты!F135&lt;=N('Исходные данные'!$B$37)),-AC135,0)</f>
        <v>0</v>
      </c>
      <c r="AE135">
        <f>IF(OR(Расчёты!F135=0,Расчёты!F135&lt;=N('Исходные данные'!$B$37)),0,-(AC135+AD135)*N('Сценарный анализ'!$C$9))</f>
        <v>0</v>
      </c>
      <c r="AF135">
        <f t="shared" si="82"/>
        <v>0</v>
      </c>
      <c r="AG135">
        <f>IF('Исходные данные'!$B$51="Да",AF135*N('Исходные данные'!$B$52),0)</f>
        <v>0</v>
      </c>
      <c r="AH135">
        <f t="shared" si="83"/>
        <v>0</v>
      </c>
      <c r="AI135">
        <f>AF135+(Расчёты!Y135-Расчёты!L135)</f>
        <v>0</v>
      </c>
      <c r="AJ135">
        <f t="shared" si="92"/>
        <v>0</v>
      </c>
      <c r="AK135">
        <f>IF('Исходные данные'!$B$51="Да",-MAX(0,AG135+Расчёты!R135+Расчёты!V135-Расчёты!P135-Расчёты!T135-AJ135),0)</f>
        <v>0</v>
      </c>
      <c r="AL135">
        <f>IF('Исходные данные'!$B$51="Да",MAX(0,AJ135+Расчёты!P135+Расчёты!T135-AG135-Расчёты!R135-Расчёты!V135),0)</f>
        <v>0</v>
      </c>
      <c r="AM135">
        <f>IF('Исходные данные'!$B$53="Выручка",MAX(0,AF135+(Расчёты!Q135-Расчёты!R135)+(Расчёты!U135-Расчёты!V135)),IF('Исходные данные'!$B$53="Прибыль до налога",MAX(0,AF135+(Расчёты!Q135-Расчёты!R135)+(Расчёты!U135-Расчёты!V135)+N('Исходные данные'!$B$54)*((Расчёты!O135+Расчёты!P135)+(Расчёты!S135+Расчёты!T135)+Расчёты!W135+Расчёты!X135)+IF('Исходные данные'!$B$55="Да",Расчёты!AG135,0)-N('Исходные данные'!$B$56)/12),IF('Исходные данные'!$B$53="Пользовательская база",MAX(0,N('Исходные данные'!$B$57)/12),0)))</f>
        <v>0</v>
      </c>
      <c r="AN135">
        <f>IF(D135=1,-AM135*N('Исходные данные'!$B$50),0)</f>
        <v>0</v>
      </c>
      <c r="AO135">
        <f t="shared" si="84"/>
        <v>0</v>
      </c>
      <c r="AP135">
        <f>IF(OR(D135&lt;&gt;1,B135="",'Исходные данные'!$B$91="",N('Исходные данные'!$B$80)&lt;=0,'Исходные данные'!$B$88=""),0,IF(AND(YEAR(B135)=YEAR('Исходные данные'!$B$91),MONTH(B135)=MONTH('Исходные данные'!$B$91)),MAX(0,IF('Исходные данные'!$B$88="Последние 12 месяцев",SUMIFS($AI$2:$AI$194,$B$2:$B$194,"&gt;="&amp;EDATE(B135,-11),$B$2:$B$194,"&lt;="&amp;B135),IF('Исходные данные'!$B$88="Пользовательский NOI",N('Исходные данные'!$B$89),AO135))/N('Исходные данные'!$B$80)*(1+N('Исходные данные'!$B$81))),0))</f>
        <v>0</v>
      </c>
      <c r="AQ135">
        <f>-AP135*N('Исходные данные'!$B$73)</f>
        <v>0</v>
      </c>
      <c r="AR135">
        <f>IF(AP135=0,0,-N('Исходные данные'!$B$87)-IF('Исходные данные'!$B$82="Да",IF('Исходные данные'!$B$84="С выручки",AP135,IF('Исходные данные'!$B$84="С прибыли",MAX(0,AP135+AQ135-IF('Исходные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35">
        <f t="shared" si="85"/>
        <v>0</v>
      </c>
      <c r="AT135">
        <f>IF(D135=1,Расчёты!AZ135+AH135+AK135+AN135+AS135,0)</f>
        <v>0</v>
      </c>
      <c r="AU135" t="str">
        <f t="shared" si="93"/>
        <v/>
      </c>
      <c r="AV135">
        <f>IF(OR(D135=0,'Исходные данные'!$B$9="",'Исходные данные'!$B$90=""),0,AT135/(1+'Исходные данные'!$B$90)^((C135-'Исходные данные'!$B$9)/365))</f>
        <v>0</v>
      </c>
      <c r="AW135">
        <f>IF(D135=1,AH135+Расчёты!O135+Расчёты!Q135+Расчёты!S135+Расчёты!U135+Расчёты!W135+Расчёты!X135+AK135+AN135,0)</f>
        <v>0</v>
      </c>
      <c r="AX135">
        <f>IF(AND(D135=1,AU135&gt;=0,AU134&lt;0,MIN($AU$2:AU135)&lt;0),1,0)</f>
        <v>0</v>
      </c>
      <c r="AY135">
        <f>IF(Расчёты!F135=0,0,IF(Расчёты!G135=1,N('Сценарный анализ'!$D$5),IF(Расчёты!G135=2,N('Сценарный анализ'!$D$6),IF(Расчёты!G135=3,N('Сценарный анализ'!$D$7),N('Сценарный анализ'!$D$7)*(1+N('Сценарный анализ'!$D$8))^(Расчёты!G135-3)))))</f>
        <v>0</v>
      </c>
      <c r="AZ135">
        <f>IF(OR(Расчёты!F135=0,N('Исходные данные'!$B$5)=0,AY135=0),0,N('Исходные данные'!$B$5)*AY135*IF(AND(B135&lt;='Исходные данные'!$B$30,Расчёты!C135&gt;='Исходные данные'!$B$30),(Расчёты!C135-'Исходные данные'!$B$30+1)/DAY(Расчёты!C135),1))</f>
        <v>0</v>
      </c>
      <c r="BA135">
        <f>IF(AND(Расчёты!F135&gt;0,Расчёты!F135&lt;=N('Исходные данные'!$B$37)),-AZ135,0)</f>
        <v>0</v>
      </c>
      <c r="BB135">
        <f>IF(OR(Расчёты!F135=0,Расчёты!F135&lt;=N('Исходные данные'!$B$37)),0,-(AZ135+BA135)*N('Сценарный анализ'!$D$9))</f>
        <v>0</v>
      </c>
      <c r="BC135">
        <f t="shared" si="86"/>
        <v>0</v>
      </c>
      <c r="BD135">
        <f>IF('Исходные данные'!$B$51="Да",BC135*N('Исходные данные'!$B$52),0)</f>
        <v>0</v>
      </c>
      <c r="BE135">
        <f t="shared" si="87"/>
        <v>0</v>
      </c>
      <c r="BF135">
        <f>BC135+(Расчёты!Y135-Расчёты!L135)</f>
        <v>0</v>
      </c>
      <c r="BG135">
        <f t="shared" si="94"/>
        <v>0</v>
      </c>
      <c r="BH135">
        <f>IF('Исходные данные'!$B$51="Да",-MAX(0,BD135+Расчёты!R135+Расчёты!V135-Расчёты!P135-Расчёты!T135-BG135),0)</f>
        <v>0</v>
      </c>
      <c r="BI135">
        <f>IF('Исходные данные'!$B$51="Да",MAX(0,BG135+Расчёты!P135+Расчёты!T135-BD135-Расчёты!R135-Расчёты!V135),0)</f>
        <v>0</v>
      </c>
      <c r="BJ135">
        <f>IF('Исходные данные'!$B$53="Выручка",MAX(0,BC135+(Расчёты!Q135-Расчёты!R135)+(Расчёты!U135-Расчёты!V135)),IF('Исходные данные'!$B$53="Прибыль до налога",MAX(0,BC135+(Расчёты!Q135-Расчёты!R135)+(Расчёты!U135-Расчёты!V135)+N('Исходные данные'!$B$54)*((Расчёты!O135+Расчёты!P135)+(Расчёты!S135+Расчёты!T135)+Расчёты!W135+Расчёты!X135)+IF('Исходные данные'!$B$55="Да",Расчёты!AG135,0)-N('Исходные данные'!$B$56)/12),IF('Исходные данные'!$B$53="Пользовательская база",MAX(0,N('Исходные данные'!$B$57)/12),0)))</f>
        <v>0</v>
      </c>
      <c r="BK135">
        <f>IF(D135=1,-BJ135*N('Исходные данные'!$B$50),0)</f>
        <v>0</v>
      </c>
      <c r="BL135">
        <f t="shared" si="88"/>
        <v>0</v>
      </c>
      <c r="BM135">
        <f>IF(OR(D135&lt;&gt;1,B135="",'Исходные данные'!$B$91="",N('Исходные данные'!$B$80)&lt;=0,'Исходные данные'!$B$88=""),0,IF(AND(YEAR(B135)=YEAR('Исходные данные'!$B$91),MONTH(B135)=MONTH('Исходные данные'!$B$91)),MAX(0,IF('Исходные данные'!$B$88="Последние 12 месяцев",SUMIFS($BF$2:$BF$194,$B$2:$B$194,"&gt;="&amp;EDATE(B135,-11),$B$2:$B$194,"&lt;="&amp;B135),IF('Исходные данные'!$B$88="Пользовательский NOI",N('Исходные данные'!$B$89),BL135))/N('Исходные данные'!$B$80)*(1+N('Исходные данные'!$B$81))),0))</f>
        <v>0</v>
      </c>
      <c r="BN135">
        <f>-BM135*N('Исходные данные'!$B$73)</f>
        <v>0</v>
      </c>
      <c r="BO135">
        <f>IF(BM135=0,0,-N('Исходные данные'!$B$87)-IF('Исходные данные'!$B$82="Да",IF('Исходные данные'!$B$84="С выручки",BM135,IF('Исходные данные'!$B$84="С прибыли",MAX(0,BM135+BN135-IF('Исходные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35">
        <f t="shared" si="89"/>
        <v>0</v>
      </c>
      <c r="BQ135">
        <f>IF(D135=1,Расчёты!AZ135+BE135+BH135+BK135+BP135,0)</f>
        <v>0</v>
      </c>
      <c r="BR135" t="str">
        <f t="shared" si="95"/>
        <v/>
      </c>
      <c r="BS135">
        <f>IF(OR(D135=0,'Исходные данные'!$B$9="",'Исходные данные'!$B$90=""),0,BQ135/(1+'Исходные данные'!$B$90)^((C135-'Исходные данные'!$B$9)/365))</f>
        <v>0</v>
      </c>
      <c r="BT135">
        <f>IF(D135=1,BE135+Расчёты!O135+Расчёты!Q135+Расчёты!S135+Расчёты!U135+Расчёты!W135+Расчёты!X135+BH135+BK135,0)</f>
        <v>0</v>
      </c>
      <c r="BU135">
        <f>IF(AND(D135=1,BR135&gt;=0,BR134&lt;0,MIN($BR$2:BR135)&lt;0),1,0)</f>
        <v>0</v>
      </c>
      <c r="BV135">
        <f>Расчёты!AZ135+K135+N135-P135*N('Исходные данные'!$B$50)</f>
        <v>0</v>
      </c>
      <c r="BW135">
        <f t="shared" si="96"/>
        <v>0</v>
      </c>
      <c r="BX135">
        <f>IF(AND(BW135&gt;=0,BW134&lt;0,MIN($BW$2:BW135)&lt;0),1,0)</f>
        <v>0</v>
      </c>
      <c r="BY135">
        <f>Расчёты!AZ135+AH135+AK135-AM135*N('Исходные данные'!$B$50)</f>
        <v>0</v>
      </c>
      <c r="BZ135">
        <f t="shared" si="97"/>
        <v>0</v>
      </c>
      <c r="CA135">
        <f>IF(AND(BZ135&gt;=0,BZ134&lt;0,MIN($BZ$2:BZ135)&lt;0),1,0)</f>
        <v>0</v>
      </c>
      <c r="CB135">
        <f>Расчёты!AZ135+BE135+BH135-BJ135*N('Исходные данные'!$B$50)</f>
        <v>0</v>
      </c>
      <c r="CC135">
        <f t="shared" si="98"/>
        <v>0</v>
      </c>
      <c r="CD135">
        <f>IF(AND(CC135&gt;=0,CC134&lt;0,MIN($CC$2:CC135)&lt;0),1,0)</f>
        <v>0</v>
      </c>
    </row>
    <row r="136" spans="1:82" x14ac:dyDescent="0.2">
      <c r="A136">
        <f>Расчёты!A136</f>
        <v>135</v>
      </c>
      <c r="B136" t="str">
        <f>Расчёты!B136</f>
        <v/>
      </c>
      <c r="C136" t="str">
        <f>Расчёты!D136</f>
        <v/>
      </c>
      <c r="D136">
        <f>Расчёты!E136</f>
        <v>0</v>
      </c>
      <c r="E136">
        <f>IF(Расчёты!F136=0,0,IF(Расчёты!G136=1,N('Сценарный анализ'!$B$5),IF(Расчёты!G136=2,N('Сценарный анализ'!$B$6),IF(Расчёты!G136=3,N('Сценарный анализ'!$B$7),N('Сценарный анализ'!$B$7)*(1+N('Сценарный анализ'!$B$8))^(Расчёты!G136-3)))))</f>
        <v>0</v>
      </c>
      <c r="F136">
        <f>IF(OR(Расчёты!F136=0,N('Исходные данные'!$B$5)=0,E136=0),0,N('Исходные данные'!$B$5)*E136*IF(AND(B136&lt;='Исходные данные'!$B$30,Расчёты!C136&gt;='Исходные данные'!$B$30),(Расчёты!C136-'Исходные данные'!$B$30+1)/DAY(Расчёты!C136),1))</f>
        <v>0</v>
      </c>
      <c r="G136">
        <f>IF(AND(Расчёты!F136&gt;0,Расчёты!F136&lt;=N('Исходные данные'!$B$37)),-F136,0)</f>
        <v>0</v>
      </c>
      <c r="H136">
        <f>IF(OR(Расчёты!F136=0,Расчёты!F136&lt;=N('Исходные данные'!$B$37)),0,-(F136+G136)*N('Сценарный анализ'!$B$9))</f>
        <v>0</v>
      </c>
      <c r="I136">
        <f t="shared" si="78"/>
        <v>0</v>
      </c>
      <c r="J136">
        <f>IF('Исходные данные'!$B$51="Да",I136*N('Исходные данные'!$B$52),0)</f>
        <v>0</v>
      </c>
      <c r="K136">
        <f t="shared" si="79"/>
        <v>0</v>
      </c>
      <c r="L136">
        <f>I136+(Расчёты!Y136-Расчёты!L136)</f>
        <v>0</v>
      </c>
      <c r="M136">
        <f t="shared" si="90"/>
        <v>0</v>
      </c>
      <c r="N136">
        <f>IF('Исходные данные'!$B$51="Да",-MAX(0,J136+Расчёты!R136+Расчёты!V136-Расчёты!P136-Расчёты!T136-M136),0)</f>
        <v>0</v>
      </c>
      <c r="O136">
        <f>IF('Исходные данные'!$B$51="Да",MAX(0,M136+Расчёты!P136+Расчёты!T136-J136-Расчёты!R136-Расчёты!V136),0)</f>
        <v>0</v>
      </c>
      <c r="P136">
        <f>IF('Исходные данные'!$B$53="Выручка",MAX(0,I136+(Расчёты!Q136-Расчёты!R136)+(Расчёты!U136-Расчёты!V136)),IF('Исходные данные'!$B$53="Прибыль до налога",MAX(0,I136+(Расчёты!Q136-Расчёты!R136)+(Расчёты!U136-Расчёты!V136)+N('Исходные данные'!$B$54)*((Расчёты!O136+Расчёты!P136)+(Расчёты!S136+Расчёты!T136)+Расчёты!W136+Расчёты!X136)+IF('Исходные данные'!$B$55="Да",Расчёты!AG136,0)-N('Исходные данные'!$B$56)/12),IF('Исходные данные'!$B$53="Пользовательская база",MAX(0,N('Исходные данные'!$B$57)/12),0)))</f>
        <v>0</v>
      </c>
      <c r="Q136">
        <f>IF(D136=1,-P136*N('Исходные данные'!$B$50),0)</f>
        <v>0</v>
      </c>
      <c r="R136">
        <f t="shared" si="80"/>
        <v>0</v>
      </c>
      <c r="S136">
        <f>IF(OR(D136&lt;&gt;1,B136="",'Исходные данные'!$B$91="",N('Исходные данные'!$B$80)&lt;=0,'Исходные данные'!$B$88=""),0,IF(AND(YEAR(B136)=YEAR('Исходные данные'!$B$91),MONTH(B136)=MONTH('Исходные данные'!$B$91)),MAX(0,IF('Исходные данные'!$B$88="Последние 12 месяцев",SUMIFS($L$2:$L$194,$B$2:$B$194,"&gt;="&amp;EDATE(B136,-11),$B$2:$B$194,"&lt;="&amp;B136),IF('Исходные данные'!$B$88="Пользовательский NOI",N('Исходные данные'!$B$89),R136))/N('Исходные данные'!$B$80)*(1+N('Исходные данные'!$B$81))),0))</f>
        <v>0</v>
      </c>
      <c r="T136">
        <f>-S136*N('Исходные данные'!$B$73)</f>
        <v>0</v>
      </c>
      <c r="U136">
        <f>IF(S136=0,0,-N('Исходные данные'!$B$87)-IF('Исходные данные'!$B$82="Да",IF('Исходные данные'!$B$84="С выручки",S136,IF('Исходные данные'!$B$84="С прибыли",MAX(0,S136+T136-IF('Исходные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36">
        <f t="shared" si="81"/>
        <v>0</v>
      </c>
      <c r="W136">
        <f>IF(D136=1,Расчёты!AZ136+K136+N136+Q136+V136,0)</f>
        <v>0</v>
      </c>
      <c r="X136" t="str">
        <f t="shared" si="91"/>
        <v/>
      </c>
      <c r="Y136">
        <f>IF(OR(D136=0,'Исходные данные'!$B$9="",'Исходные данные'!$B$90=""),0,W136/(1+'Исходные данные'!$B$90)^((C136-'Исходные данные'!$B$9)/365))</f>
        <v>0</v>
      </c>
      <c r="Z136">
        <f>IF(D136=1,K136+Расчёты!O136+Расчёты!Q136+Расчёты!S136+Расчёты!U136+Расчёты!W136+Расчёты!X136+N136+Q136,0)</f>
        <v>0</v>
      </c>
      <c r="AA136">
        <f>IF(AND(D136=1,X136&gt;=0,X135&lt;0,MIN($X$2:X136)&lt;0),1,0)</f>
        <v>0</v>
      </c>
      <c r="AB136">
        <f>IF(Расчёты!F136=0,0,IF(Расчёты!G136=1,N('Сценарный анализ'!$C$5),IF(Расчёты!G136=2,N('Сценарный анализ'!$C$6),IF(Расчёты!G136=3,N('Сценарный анализ'!$C$7),N('Сценарный анализ'!$C$7)*(1+N('Сценарный анализ'!$C$8))^(Расчёты!G136-3)))))</f>
        <v>0</v>
      </c>
      <c r="AC136">
        <f>IF(OR(Расчёты!F136=0,N('Исходные данные'!$B$5)=0,AB136=0),0,N('Исходные данные'!$B$5)*AB136*IF(AND(B136&lt;='Исходные данные'!$B$30,Расчёты!C136&gt;='Исходные данные'!$B$30),(Расчёты!C136-'Исходные данные'!$B$30+1)/DAY(Расчёты!C136),1))</f>
        <v>0</v>
      </c>
      <c r="AD136">
        <f>IF(AND(Расчёты!F136&gt;0,Расчёты!F136&lt;=N('Исходные данные'!$B$37)),-AC136,0)</f>
        <v>0</v>
      </c>
      <c r="AE136">
        <f>IF(OR(Расчёты!F136=0,Расчёты!F136&lt;=N('Исходные данные'!$B$37)),0,-(AC136+AD136)*N('Сценарный анализ'!$C$9))</f>
        <v>0</v>
      </c>
      <c r="AF136">
        <f t="shared" si="82"/>
        <v>0</v>
      </c>
      <c r="AG136">
        <f>IF('Исходные данные'!$B$51="Да",AF136*N('Исходные данные'!$B$52),0)</f>
        <v>0</v>
      </c>
      <c r="AH136">
        <f t="shared" si="83"/>
        <v>0</v>
      </c>
      <c r="AI136">
        <f>AF136+(Расчёты!Y136-Расчёты!L136)</f>
        <v>0</v>
      </c>
      <c r="AJ136">
        <f t="shared" si="92"/>
        <v>0</v>
      </c>
      <c r="AK136">
        <f>IF('Исходные данные'!$B$51="Да",-MAX(0,AG136+Расчёты!R136+Расчёты!V136-Расчёты!P136-Расчёты!T136-AJ136),0)</f>
        <v>0</v>
      </c>
      <c r="AL136">
        <f>IF('Исходные данные'!$B$51="Да",MAX(0,AJ136+Расчёты!P136+Расчёты!T136-AG136-Расчёты!R136-Расчёты!V136),0)</f>
        <v>0</v>
      </c>
      <c r="AM136">
        <f>IF('Исходные данные'!$B$53="Выручка",MAX(0,AF136+(Расчёты!Q136-Расчёты!R136)+(Расчёты!U136-Расчёты!V136)),IF('Исходные данные'!$B$53="Прибыль до налога",MAX(0,AF136+(Расчёты!Q136-Расчёты!R136)+(Расчёты!U136-Расчёты!V136)+N('Исходные данные'!$B$54)*((Расчёты!O136+Расчёты!P136)+(Расчёты!S136+Расчёты!T136)+Расчёты!W136+Расчёты!X136)+IF('Исходные данные'!$B$55="Да",Расчёты!AG136,0)-N('Исходные данные'!$B$56)/12),IF('Исходные данные'!$B$53="Пользовательская база",MAX(0,N('Исходные данные'!$B$57)/12),0)))</f>
        <v>0</v>
      </c>
      <c r="AN136">
        <f>IF(D136=1,-AM136*N('Исходные данные'!$B$50),0)</f>
        <v>0</v>
      </c>
      <c r="AO136">
        <f t="shared" si="84"/>
        <v>0</v>
      </c>
      <c r="AP136">
        <f>IF(OR(D136&lt;&gt;1,B136="",'Исходные данные'!$B$91="",N('Исходные данные'!$B$80)&lt;=0,'Исходные данные'!$B$88=""),0,IF(AND(YEAR(B136)=YEAR('Исходные данные'!$B$91),MONTH(B136)=MONTH('Исходные данные'!$B$91)),MAX(0,IF('Исходные данные'!$B$88="Последние 12 месяцев",SUMIFS($AI$2:$AI$194,$B$2:$B$194,"&gt;="&amp;EDATE(B136,-11),$B$2:$B$194,"&lt;="&amp;B136),IF('Исходные данные'!$B$88="Пользовательский NOI",N('Исходные данные'!$B$89),AO136))/N('Исходные данные'!$B$80)*(1+N('Исходные данные'!$B$81))),0))</f>
        <v>0</v>
      </c>
      <c r="AQ136">
        <f>-AP136*N('Исходные данные'!$B$73)</f>
        <v>0</v>
      </c>
      <c r="AR136">
        <f>IF(AP136=0,0,-N('Исходные данные'!$B$87)-IF('Исходные данные'!$B$82="Да",IF('Исходные данные'!$B$84="С выручки",AP136,IF('Исходные данные'!$B$84="С прибыли",MAX(0,AP136+AQ136-IF('Исходные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36">
        <f t="shared" si="85"/>
        <v>0</v>
      </c>
      <c r="AT136">
        <f>IF(D136=1,Расчёты!AZ136+AH136+AK136+AN136+AS136,0)</f>
        <v>0</v>
      </c>
      <c r="AU136" t="str">
        <f t="shared" si="93"/>
        <v/>
      </c>
      <c r="AV136">
        <f>IF(OR(D136=0,'Исходные данные'!$B$9="",'Исходные данные'!$B$90=""),0,AT136/(1+'Исходные данные'!$B$90)^((C136-'Исходные данные'!$B$9)/365))</f>
        <v>0</v>
      </c>
      <c r="AW136">
        <f>IF(D136=1,AH136+Расчёты!O136+Расчёты!Q136+Расчёты!S136+Расчёты!U136+Расчёты!W136+Расчёты!X136+AK136+AN136,0)</f>
        <v>0</v>
      </c>
      <c r="AX136">
        <f>IF(AND(D136=1,AU136&gt;=0,AU135&lt;0,MIN($AU$2:AU136)&lt;0),1,0)</f>
        <v>0</v>
      </c>
      <c r="AY136">
        <f>IF(Расчёты!F136=0,0,IF(Расчёты!G136=1,N('Сценарный анализ'!$D$5),IF(Расчёты!G136=2,N('Сценарный анализ'!$D$6),IF(Расчёты!G136=3,N('Сценарный анализ'!$D$7),N('Сценарный анализ'!$D$7)*(1+N('Сценарный анализ'!$D$8))^(Расчёты!G136-3)))))</f>
        <v>0</v>
      </c>
      <c r="AZ136">
        <f>IF(OR(Расчёты!F136=0,N('Исходные данные'!$B$5)=0,AY136=0),0,N('Исходные данные'!$B$5)*AY136*IF(AND(B136&lt;='Исходные данные'!$B$30,Расчёты!C136&gt;='Исходные данные'!$B$30),(Расчёты!C136-'Исходные данные'!$B$30+1)/DAY(Расчёты!C136),1))</f>
        <v>0</v>
      </c>
      <c r="BA136">
        <f>IF(AND(Расчёты!F136&gt;0,Расчёты!F136&lt;=N('Исходные данные'!$B$37)),-AZ136,0)</f>
        <v>0</v>
      </c>
      <c r="BB136">
        <f>IF(OR(Расчёты!F136=0,Расчёты!F136&lt;=N('Исходные данные'!$B$37)),0,-(AZ136+BA136)*N('Сценарный анализ'!$D$9))</f>
        <v>0</v>
      </c>
      <c r="BC136">
        <f t="shared" si="86"/>
        <v>0</v>
      </c>
      <c r="BD136">
        <f>IF('Исходные данные'!$B$51="Да",BC136*N('Исходные данные'!$B$52),0)</f>
        <v>0</v>
      </c>
      <c r="BE136">
        <f t="shared" si="87"/>
        <v>0</v>
      </c>
      <c r="BF136">
        <f>BC136+(Расчёты!Y136-Расчёты!L136)</f>
        <v>0</v>
      </c>
      <c r="BG136">
        <f t="shared" si="94"/>
        <v>0</v>
      </c>
      <c r="BH136">
        <f>IF('Исходные данные'!$B$51="Да",-MAX(0,BD136+Расчёты!R136+Расчёты!V136-Расчёты!P136-Расчёты!T136-BG136),0)</f>
        <v>0</v>
      </c>
      <c r="BI136">
        <f>IF('Исходные данные'!$B$51="Да",MAX(0,BG136+Расчёты!P136+Расчёты!T136-BD136-Расчёты!R136-Расчёты!V136),0)</f>
        <v>0</v>
      </c>
      <c r="BJ136">
        <f>IF('Исходные данные'!$B$53="Выручка",MAX(0,BC136+(Расчёты!Q136-Расчёты!R136)+(Расчёты!U136-Расчёты!V136)),IF('Исходные данные'!$B$53="Прибыль до налога",MAX(0,BC136+(Расчёты!Q136-Расчёты!R136)+(Расчёты!U136-Расчёты!V136)+N('Исходные данные'!$B$54)*((Расчёты!O136+Расчёты!P136)+(Расчёты!S136+Расчёты!T136)+Расчёты!W136+Расчёты!X136)+IF('Исходные данные'!$B$55="Да",Расчёты!AG136,0)-N('Исходные данные'!$B$56)/12),IF('Исходные данные'!$B$53="Пользовательская база",MAX(0,N('Исходные данные'!$B$57)/12),0)))</f>
        <v>0</v>
      </c>
      <c r="BK136">
        <f>IF(D136=1,-BJ136*N('Исходные данные'!$B$50),0)</f>
        <v>0</v>
      </c>
      <c r="BL136">
        <f t="shared" si="88"/>
        <v>0</v>
      </c>
      <c r="BM136">
        <f>IF(OR(D136&lt;&gt;1,B136="",'Исходные данные'!$B$91="",N('Исходные данные'!$B$80)&lt;=0,'Исходные данные'!$B$88=""),0,IF(AND(YEAR(B136)=YEAR('Исходные данные'!$B$91),MONTH(B136)=MONTH('Исходные данные'!$B$91)),MAX(0,IF('Исходные данные'!$B$88="Последние 12 месяцев",SUMIFS($BF$2:$BF$194,$B$2:$B$194,"&gt;="&amp;EDATE(B136,-11),$B$2:$B$194,"&lt;="&amp;B136),IF('Исходные данные'!$B$88="Пользовательский NOI",N('Исходные данные'!$B$89),BL136))/N('Исходные данные'!$B$80)*(1+N('Исходные данные'!$B$81))),0))</f>
        <v>0</v>
      </c>
      <c r="BN136">
        <f>-BM136*N('Исходные данные'!$B$73)</f>
        <v>0</v>
      </c>
      <c r="BO136">
        <f>IF(BM136=0,0,-N('Исходные данные'!$B$87)-IF('Исходные данные'!$B$82="Да",IF('Исходные данные'!$B$84="С выручки",BM136,IF('Исходные данные'!$B$84="С прибыли",MAX(0,BM136+BN136-IF('Исходные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36">
        <f t="shared" si="89"/>
        <v>0</v>
      </c>
      <c r="BQ136">
        <f>IF(D136=1,Расчёты!AZ136+BE136+BH136+BK136+BP136,0)</f>
        <v>0</v>
      </c>
      <c r="BR136" t="str">
        <f t="shared" si="95"/>
        <v/>
      </c>
      <c r="BS136">
        <f>IF(OR(D136=0,'Исходные данные'!$B$9="",'Исходные данные'!$B$90=""),0,BQ136/(1+'Исходные данные'!$B$90)^((C136-'Исходные данные'!$B$9)/365))</f>
        <v>0</v>
      </c>
      <c r="BT136">
        <f>IF(D136=1,BE136+Расчёты!O136+Расчёты!Q136+Расчёты!S136+Расчёты!U136+Расчёты!W136+Расчёты!X136+BH136+BK136,0)</f>
        <v>0</v>
      </c>
      <c r="BU136">
        <f>IF(AND(D136=1,BR136&gt;=0,BR135&lt;0,MIN($BR$2:BR136)&lt;0),1,0)</f>
        <v>0</v>
      </c>
      <c r="BV136">
        <f>Расчёты!AZ136+K136+N136-P136*N('Исходные данные'!$B$50)</f>
        <v>0</v>
      </c>
      <c r="BW136">
        <f t="shared" si="96"/>
        <v>0</v>
      </c>
      <c r="BX136">
        <f>IF(AND(BW136&gt;=0,BW135&lt;0,MIN($BW$2:BW136)&lt;0),1,0)</f>
        <v>0</v>
      </c>
      <c r="BY136">
        <f>Расчёты!AZ136+AH136+AK136-AM136*N('Исходные данные'!$B$50)</f>
        <v>0</v>
      </c>
      <c r="BZ136">
        <f t="shared" si="97"/>
        <v>0</v>
      </c>
      <c r="CA136">
        <f>IF(AND(BZ136&gt;=0,BZ135&lt;0,MIN($BZ$2:BZ136)&lt;0),1,0)</f>
        <v>0</v>
      </c>
      <c r="CB136">
        <f>Расчёты!AZ136+BE136+BH136-BJ136*N('Исходные данные'!$B$50)</f>
        <v>0</v>
      </c>
      <c r="CC136">
        <f t="shared" si="98"/>
        <v>0</v>
      </c>
      <c r="CD136">
        <f>IF(AND(CC136&gt;=0,CC135&lt;0,MIN($CC$2:CC136)&lt;0),1,0)</f>
        <v>0</v>
      </c>
    </row>
    <row r="137" spans="1:82" x14ac:dyDescent="0.2">
      <c r="A137">
        <f>Расчёты!A137</f>
        <v>136</v>
      </c>
      <c r="B137" t="str">
        <f>Расчёты!B137</f>
        <v/>
      </c>
      <c r="C137" t="str">
        <f>Расчёты!D137</f>
        <v/>
      </c>
      <c r="D137">
        <f>Расчёты!E137</f>
        <v>0</v>
      </c>
      <c r="E137">
        <f>IF(Расчёты!F137=0,0,IF(Расчёты!G137=1,N('Сценарный анализ'!$B$5),IF(Расчёты!G137=2,N('Сценарный анализ'!$B$6),IF(Расчёты!G137=3,N('Сценарный анализ'!$B$7),N('Сценарный анализ'!$B$7)*(1+N('Сценарный анализ'!$B$8))^(Расчёты!G137-3)))))</f>
        <v>0</v>
      </c>
      <c r="F137">
        <f>IF(OR(Расчёты!F137=0,N('Исходные данные'!$B$5)=0,E137=0),0,N('Исходные данные'!$B$5)*E137*IF(AND(B137&lt;='Исходные данные'!$B$30,Расчёты!C137&gt;='Исходные данные'!$B$30),(Расчёты!C137-'Исходные данные'!$B$30+1)/DAY(Расчёты!C137),1))</f>
        <v>0</v>
      </c>
      <c r="G137">
        <f>IF(AND(Расчёты!F137&gt;0,Расчёты!F137&lt;=N('Исходные данные'!$B$37)),-F137,0)</f>
        <v>0</v>
      </c>
      <c r="H137">
        <f>IF(OR(Расчёты!F137=0,Расчёты!F137&lt;=N('Исходные данные'!$B$37)),0,-(F137+G137)*N('Сценарный анализ'!$B$9))</f>
        <v>0</v>
      </c>
      <c r="I137">
        <f t="shared" si="78"/>
        <v>0</v>
      </c>
      <c r="J137">
        <f>IF('Исходные данные'!$B$51="Да",I137*N('Исходные данные'!$B$52),0)</f>
        <v>0</v>
      </c>
      <c r="K137">
        <f t="shared" si="79"/>
        <v>0</v>
      </c>
      <c r="L137">
        <f>I137+(Расчёты!Y137-Расчёты!L137)</f>
        <v>0</v>
      </c>
      <c r="M137">
        <f t="shared" si="90"/>
        <v>0</v>
      </c>
      <c r="N137">
        <f>IF('Исходные данные'!$B$51="Да",-MAX(0,J137+Расчёты!R137+Расчёты!V137-Расчёты!P137-Расчёты!T137-M137),0)</f>
        <v>0</v>
      </c>
      <c r="O137">
        <f>IF('Исходные данные'!$B$51="Да",MAX(0,M137+Расчёты!P137+Расчёты!T137-J137-Расчёты!R137-Расчёты!V137),0)</f>
        <v>0</v>
      </c>
      <c r="P137">
        <f>IF('Исходные данные'!$B$53="Выручка",MAX(0,I137+(Расчёты!Q137-Расчёты!R137)+(Расчёты!U137-Расчёты!V137)),IF('Исходные данные'!$B$53="Прибыль до налога",MAX(0,I137+(Расчёты!Q137-Расчёты!R137)+(Расчёты!U137-Расчёты!V137)+N('Исходные данные'!$B$54)*((Расчёты!O137+Расчёты!P137)+(Расчёты!S137+Расчёты!T137)+Расчёты!W137+Расчёты!X137)+IF('Исходные данные'!$B$55="Да",Расчёты!AG137,0)-N('Исходные данные'!$B$56)/12),IF('Исходные данные'!$B$53="Пользовательская база",MAX(0,N('Исходные данные'!$B$57)/12),0)))</f>
        <v>0</v>
      </c>
      <c r="Q137">
        <f>IF(D137=1,-P137*N('Исходные данные'!$B$50),0)</f>
        <v>0</v>
      </c>
      <c r="R137">
        <f t="shared" si="80"/>
        <v>0</v>
      </c>
      <c r="S137">
        <f>IF(OR(D137&lt;&gt;1,B137="",'Исходные данные'!$B$91="",N('Исходные данные'!$B$80)&lt;=0,'Исходные данные'!$B$88=""),0,IF(AND(YEAR(B137)=YEAR('Исходные данные'!$B$91),MONTH(B137)=MONTH('Исходные данные'!$B$91)),MAX(0,IF('Исходные данные'!$B$88="Последние 12 месяцев",SUMIFS($L$2:$L$194,$B$2:$B$194,"&gt;="&amp;EDATE(B137,-11),$B$2:$B$194,"&lt;="&amp;B137),IF('Исходные данные'!$B$88="Пользовательский NOI",N('Исходные данные'!$B$89),R137))/N('Исходные данные'!$B$80)*(1+N('Исходные данные'!$B$81))),0))</f>
        <v>0</v>
      </c>
      <c r="T137">
        <f>-S137*N('Исходные данные'!$B$73)</f>
        <v>0</v>
      </c>
      <c r="U137">
        <f>IF(S137=0,0,-N('Исходные данные'!$B$87)-IF('Исходные данные'!$B$82="Да",IF('Исходные данные'!$B$84="С выручки",S137,IF('Исходные данные'!$B$84="С прибыли",MAX(0,S137+T137-IF('Исходные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37">
        <f t="shared" si="81"/>
        <v>0</v>
      </c>
      <c r="W137">
        <f>IF(D137=1,Расчёты!AZ137+K137+N137+Q137+V137,0)</f>
        <v>0</v>
      </c>
      <c r="X137" t="str">
        <f t="shared" si="91"/>
        <v/>
      </c>
      <c r="Y137">
        <f>IF(OR(D137=0,'Исходные данные'!$B$9="",'Исходные данные'!$B$90=""),0,W137/(1+'Исходные данные'!$B$90)^((C137-'Исходные данные'!$B$9)/365))</f>
        <v>0</v>
      </c>
      <c r="Z137">
        <f>IF(D137=1,K137+Расчёты!O137+Расчёты!Q137+Расчёты!S137+Расчёты!U137+Расчёты!W137+Расчёты!X137+N137+Q137,0)</f>
        <v>0</v>
      </c>
      <c r="AA137">
        <f>IF(AND(D137=1,X137&gt;=0,X136&lt;0,MIN($X$2:X137)&lt;0),1,0)</f>
        <v>0</v>
      </c>
      <c r="AB137">
        <f>IF(Расчёты!F137=0,0,IF(Расчёты!G137=1,N('Сценарный анализ'!$C$5),IF(Расчёты!G137=2,N('Сценарный анализ'!$C$6),IF(Расчёты!G137=3,N('Сценарный анализ'!$C$7),N('Сценарный анализ'!$C$7)*(1+N('Сценарный анализ'!$C$8))^(Расчёты!G137-3)))))</f>
        <v>0</v>
      </c>
      <c r="AC137">
        <f>IF(OR(Расчёты!F137=0,N('Исходные данные'!$B$5)=0,AB137=0),0,N('Исходные данные'!$B$5)*AB137*IF(AND(B137&lt;='Исходные данные'!$B$30,Расчёты!C137&gt;='Исходные данные'!$B$30),(Расчёты!C137-'Исходные данные'!$B$30+1)/DAY(Расчёты!C137),1))</f>
        <v>0</v>
      </c>
      <c r="AD137">
        <f>IF(AND(Расчёты!F137&gt;0,Расчёты!F137&lt;=N('Исходные данные'!$B$37)),-AC137,0)</f>
        <v>0</v>
      </c>
      <c r="AE137">
        <f>IF(OR(Расчёты!F137=0,Расчёты!F137&lt;=N('Исходные данные'!$B$37)),0,-(AC137+AD137)*N('Сценарный анализ'!$C$9))</f>
        <v>0</v>
      </c>
      <c r="AF137">
        <f t="shared" si="82"/>
        <v>0</v>
      </c>
      <c r="AG137">
        <f>IF('Исходные данные'!$B$51="Да",AF137*N('Исходные данные'!$B$52),0)</f>
        <v>0</v>
      </c>
      <c r="AH137">
        <f t="shared" si="83"/>
        <v>0</v>
      </c>
      <c r="AI137">
        <f>AF137+(Расчёты!Y137-Расчёты!L137)</f>
        <v>0</v>
      </c>
      <c r="AJ137">
        <f t="shared" si="92"/>
        <v>0</v>
      </c>
      <c r="AK137">
        <f>IF('Исходные данные'!$B$51="Да",-MAX(0,AG137+Расчёты!R137+Расчёты!V137-Расчёты!P137-Расчёты!T137-AJ137),0)</f>
        <v>0</v>
      </c>
      <c r="AL137">
        <f>IF('Исходные данные'!$B$51="Да",MAX(0,AJ137+Расчёты!P137+Расчёты!T137-AG137-Расчёты!R137-Расчёты!V137),0)</f>
        <v>0</v>
      </c>
      <c r="AM137">
        <f>IF('Исходные данные'!$B$53="Выручка",MAX(0,AF137+(Расчёты!Q137-Расчёты!R137)+(Расчёты!U137-Расчёты!V137)),IF('Исходные данные'!$B$53="Прибыль до налога",MAX(0,AF137+(Расчёты!Q137-Расчёты!R137)+(Расчёты!U137-Расчёты!V137)+N('Исходные данные'!$B$54)*((Расчёты!O137+Расчёты!P137)+(Расчёты!S137+Расчёты!T137)+Расчёты!W137+Расчёты!X137)+IF('Исходные данные'!$B$55="Да",Расчёты!AG137,0)-N('Исходные данные'!$B$56)/12),IF('Исходные данные'!$B$53="Пользовательская база",MAX(0,N('Исходные данные'!$B$57)/12),0)))</f>
        <v>0</v>
      </c>
      <c r="AN137">
        <f>IF(D137=1,-AM137*N('Исходные данные'!$B$50),0)</f>
        <v>0</v>
      </c>
      <c r="AO137">
        <f t="shared" si="84"/>
        <v>0</v>
      </c>
      <c r="AP137">
        <f>IF(OR(D137&lt;&gt;1,B137="",'Исходные данные'!$B$91="",N('Исходные данные'!$B$80)&lt;=0,'Исходные данные'!$B$88=""),0,IF(AND(YEAR(B137)=YEAR('Исходные данные'!$B$91),MONTH(B137)=MONTH('Исходные данные'!$B$91)),MAX(0,IF('Исходные данные'!$B$88="Последние 12 месяцев",SUMIFS($AI$2:$AI$194,$B$2:$B$194,"&gt;="&amp;EDATE(B137,-11),$B$2:$B$194,"&lt;="&amp;B137),IF('Исходные данные'!$B$88="Пользовательский NOI",N('Исходные данные'!$B$89),AO137))/N('Исходные данные'!$B$80)*(1+N('Исходные данные'!$B$81))),0))</f>
        <v>0</v>
      </c>
      <c r="AQ137">
        <f>-AP137*N('Исходные данные'!$B$73)</f>
        <v>0</v>
      </c>
      <c r="AR137">
        <f>IF(AP137=0,0,-N('Исходные данные'!$B$87)-IF('Исходные данные'!$B$82="Да",IF('Исходные данные'!$B$84="С выручки",AP137,IF('Исходные данные'!$B$84="С прибыли",MAX(0,AP137+AQ137-IF('Исходные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37">
        <f t="shared" si="85"/>
        <v>0</v>
      </c>
      <c r="AT137">
        <f>IF(D137=1,Расчёты!AZ137+AH137+AK137+AN137+AS137,0)</f>
        <v>0</v>
      </c>
      <c r="AU137" t="str">
        <f t="shared" si="93"/>
        <v/>
      </c>
      <c r="AV137">
        <f>IF(OR(D137=0,'Исходные данные'!$B$9="",'Исходные данные'!$B$90=""),0,AT137/(1+'Исходные данные'!$B$90)^((C137-'Исходные данные'!$B$9)/365))</f>
        <v>0</v>
      </c>
      <c r="AW137">
        <f>IF(D137=1,AH137+Расчёты!O137+Расчёты!Q137+Расчёты!S137+Расчёты!U137+Расчёты!W137+Расчёты!X137+AK137+AN137,0)</f>
        <v>0</v>
      </c>
      <c r="AX137">
        <f>IF(AND(D137=1,AU137&gt;=0,AU136&lt;0,MIN($AU$2:AU137)&lt;0),1,0)</f>
        <v>0</v>
      </c>
      <c r="AY137">
        <f>IF(Расчёты!F137=0,0,IF(Расчёты!G137=1,N('Сценарный анализ'!$D$5),IF(Расчёты!G137=2,N('Сценарный анализ'!$D$6),IF(Расчёты!G137=3,N('Сценарный анализ'!$D$7),N('Сценарный анализ'!$D$7)*(1+N('Сценарный анализ'!$D$8))^(Расчёты!G137-3)))))</f>
        <v>0</v>
      </c>
      <c r="AZ137">
        <f>IF(OR(Расчёты!F137=0,N('Исходные данные'!$B$5)=0,AY137=0),0,N('Исходные данные'!$B$5)*AY137*IF(AND(B137&lt;='Исходные данные'!$B$30,Расчёты!C137&gt;='Исходные данные'!$B$30),(Расчёты!C137-'Исходные данные'!$B$30+1)/DAY(Расчёты!C137),1))</f>
        <v>0</v>
      </c>
      <c r="BA137">
        <f>IF(AND(Расчёты!F137&gt;0,Расчёты!F137&lt;=N('Исходные данные'!$B$37)),-AZ137,0)</f>
        <v>0</v>
      </c>
      <c r="BB137">
        <f>IF(OR(Расчёты!F137=0,Расчёты!F137&lt;=N('Исходные данные'!$B$37)),0,-(AZ137+BA137)*N('Сценарный анализ'!$D$9))</f>
        <v>0</v>
      </c>
      <c r="BC137">
        <f t="shared" si="86"/>
        <v>0</v>
      </c>
      <c r="BD137">
        <f>IF('Исходные данные'!$B$51="Да",BC137*N('Исходные данные'!$B$52),0)</f>
        <v>0</v>
      </c>
      <c r="BE137">
        <f t="shared" si="87"/>
        <v>0</v>
      </c>
      <c r="BF137">
        <f>BC137+(Расчёты!Y137-Расчёты!L137)</f>
        <v>0</v>
      </c>
      <c r="BG137">
        <f t="shared" si="94"/>
        <v>0</v>
      </c>
      <c r="BH137">
        <f>IF('Исходные данные'!$B$51="Да",-MAX(0,BD137+Расчёты!R137+Расчёты!V137-Расчёты!P137-Расчёты!T137-BG137),0)</f>
        <v>0</v>
      </c>
      <c r="BI137">
        <f>IF('Исходные данные'!$B$51="Да",MAX(0,BG137+Расчёты!P137+Расчёты!T137-BD137-Расчёты!R137-Расчёты!V137),0)</f>
        <v>0</v>
      </c>
      <c r="BJ137">
        <f>IF('Исходные данные'!$B$53="Выручка",MAX(0,BC137+(Расчёты!Q137-Расчёты!R137)+(Расчёты!U137-Расчёты!V137)),IF('Исходные данные'!$B$53="Прибыль до налога",MAX(0,BC137+(Расчёты!Q137-Расчёты!R137)+(Расчёты!U137-Расчёты!V137)+N('Исходные данные'!$B$54)*((Расчёты!O137+Расчёты!P137)+(Расчёты!S137+Расчёты!T137)+Расчёты!W137+Расчёты!X137)+IF('Исходные данные'!$B$55="Да",Расчёты!AG137,0)-N('Исходные данные'!$B$56)/12),IF('Исходные данные'!$B$53="Пользовательская база",MAX(0,N('Исходные данные'!$B$57)/12),0)))</f>
        <v>0</v>
      </c>
      <c r="BK137">
        <f>IF(D137=1,-BJ137*N('Исходные данные'!$B$50),0)</f>
        <v>0</v>
      </c>
      <c r="BL137">
        <f t="shared" si="88"/>
        <v>0</v>
      </c>
      <c r="BM137">
        <f>IF(OR(D137&lt;&gt;1,B137="",'Исходные данные'!$B$91="",N('Исходные данные'!$B$80)&lt;=0,'Исходные данные'!$B$88=""),0,IF(AND(YEAR(B137)=YEAR('Исходные данные'!$B$91),MONTH(B137)=MONTH('Исходные данные'!$B$91)),MAX(0,IF('Исходные данные'!$B$88="Последние 12 месяцев",SUMIFS($BF$2:$BF$194,$B$2:$B$194,"&gt;="&amp;EDATE(B137,-11),$B$2:$B$194,"&lt;="&amp;B137),IF('Исходные данные'!$B$88="Пользовательский NOI",N('Исходные данные'!$B$89),BL137))/N('Исходные данные'!$B$80)*(1+N('Исходные данные'!$B$81))),0))</f>
        <v>0</v>
      </c>
      <c r="BN137">
        <f>-BM137*N('Исходные данные'!$B$73)</f>
        <v>0</v>
      </c>
      <c r="BO137">
        <f>IF(BM137=0,0,-N('Исходные данные'!$B$87)-IF('Исходные данные'!$B$82="Да",IF('Исходные данные'!$B$84="С выручки",BM137,IF('Исходные данные'!$B$84="С прибыли",MAX(0,BM137+BN137-IF('Исходные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37">
        <f t="shared" si="89"/>
        <v>0</v>
      </c>
      <c r="BQ137">
        <f>IF(D137=1,Расчёты!AZ137+BE137+BH137+BK137+BP137,0)</f>
        <v>0</v>
      </c>
      <c r="BR137" t="str">
        <f t="shared" si="95"/>
        <v/>
      </c>
      <c r="BS137">
        <f>IF(OR(D137=0,'Исходные данные'!$B$9="",'Исходные данные'!$B$90=""),0,BQ137/(1+'Исходные данные'!$B$90)^((C137-'Исходные данные'!$B$9)/365))</f>
        <v>0</v>
      </c>
      <c r="BT137">
        <f>IF(D137=1,BE137+Расчёты!O137+Расчёты!Q137+Расчёты!S137+Расчёты!U137+Расчёты!W137+Расчёты!X137+BH137+BK137,0)</f>
        <v>0</v>
      </c>
      <c r="BU137">
        <f>IF(AND(D137=1,BR137&gt;=0,BR136&lt;0,MIN($BR$2:BR137)&lt;0),1,0)</f>
        <v>0</v>
      </c>
      <c r="BV137">
        <f>Расчёты!AZ137+K137+N137-P137*N('Исходные данные'!$B$50)</f>
        <v>0</v>
      </c>
      <c r="BW137">
        <f t="shared" si="96"/>
        <v>0</v>
      </c>
      <c r="BX137">
        <f>IF(AND(BW137&gt;=0,BW136&lt;0,MIN($BW$2:BW137)&lt;0),1,0)</f>
        <v>0</v>
      </c>
      <c r="BY137">
        <f>Расчёты!AZ137+AH137+AK137-AM137*N('Исходные данные'!$B$50)</f>
        <v>0</v>
      </c>
      <c r="BZ137">
        <f t="shared" si="97"/>
        <v>0</v>
      </c>
      <c r="CA137">
        <f>IF(AND(BZ137&gt;=0,BZ136&lt;0,MIN($BZ$2:BZ137)&lt;0),1,0)</f>
        <v>0</v>
      </c>
      <c r="CB137">
        <f>Расчёты!AZ137+BE137+BH137-BJ137*N('Исходные данные'!$B$50)</f>
        <v>0</v>
      </c>
      <c r="CC137">
        <f t="shared" si="98"/>
        <v>0</v>
      </c>
      <c r="CD137">
        <f>IF(AND(CC137&gt;=0,CC136&lt;0,MIN($CC$2:CC137)&lt;0),1,0)</f>
        <v>0</v>
      </c>
    </row>
    <row r="138" spans="1:82" x14ac:dyDescent="0.2">
      <c r="A138">
        <f>Расчёты!A138</f>
        <v>137</v>
      </c>
      <c r="B138" t="str">
        <f>Расчёты!B138</f>
        <v/>
      </c>
      <c r="C138" t="str">
        <f>Расчёты!D138</f>
        <v/>
      </c>
      <c r="D138">
        <f>Расчёты!E138</f>
        <v>0</v>
      </c>
      <c r="E138">
        <f>IF(Расчёты!F138=0,0,IF(Расчёты!G138=1,N('Сценарный анализ'!$B$5),IF(Расчёты!G138=2,N('Сценарный анализ'!$B$6),IF(Расчёты!G138=3,N('Сценарный анализ'!$B$7),N('Сценарный анализ'!$B$7)*(1+N('Сценарный анализ'!$B$8))^(Расчёты!G138-3)))))</f>
        <v>0</v>
      </c>
      <c r="F138">
        <f>IF(OR(Расчёты!F138=0,N('Исходные данные'!$B$5)=0,E138=0),0,N('Исходные данные'!$B$5)*E138*IF(AND(B138&lt;='Исходные данные'!$B$30,Расчёты!C138&gt;='Исходные данные'!$B$30),(Расчёты!C138-'Исходные данные'!$B$30+1)/DAY(Расчёты!C138),1))</f>
        <v>0</v>
      </c>
      <c r="G138">
        <f>IF(AND(Расчёты!F138&gt;0,Расчёты!F138&lt;=N('Исходные данные'!$B$37)),-F138,0)</f>
        <v>0</v>
      </c>
      <c r="H138">
        <f>IF(OR(Расчёты!F138=0,Расчёты!F138&lt;=N('Исходные данные'!$B$37)),0,-(F138+G138)*N('Сценарный анализ'!$B$9))</f>
        <v>0</v>
      </c>
      <c r="I138">
        <f t="shared" si="78"/>
        <v>0</v>
      </c>
      <c r="J138">
        <f>IF('Исходные данные'!$B$51="Да",I138*N('Исходные данные'!$B$52),0)</f>
        <v>0</v>
      </c>
      <c r="K138">
        <f t="shared" si="79"/>
        <v>0</v>
      </c>
      <c r="L138">
        <f>I138+(Расчёты!Y138-Расчёты!L138)</f>
        <v>0</v>
      </c>
      <c r="M138">
        <f t="shared" si="90"/>
        <v>0</v>
      </c>
      <c r="N138">
        <f>IF('Исходные данные'!$B$51="Да",-MAX(0,J138+Расчёты!R138+Расчёты!V138-Расчёты!P138-Расчёты!T138-M138),0)</f>
        <v>0</v>
      </c>
      <c r="O138">
        <f>IF('Исходные данные'!$B$51="Да",MAX(0,M138+Расчёты!P138+Расчёты!T138-J138-Расчёты!R138-Расчёты!V138),0)</f>
        <v>0</v>
      </c>
      <c r="P138">
        <f>IF('Исходные данные'!$B$53="Выручка",MAX(0,I138+(Расчёты!Q138-Расчёты!R138)+(Расчёты!U138-Расчёты!V138)),IF('Исходные данные'!$B$53="Прибыль до налога",MAX(0,I138+(Расчёты!Q138-Расчёты!R138)+(Расчёты!U138-Расчёты!V138)+N('Исходные данные'!$B$54)*((Расчёты!O138+Расчёты!P138)+(Расчёты!S138+Расчёты!T138)+Расчёты!W138+Расчёты!X138)+IF('Исходные данные'!$B$55="Да",Расчёты!AG138,0)-N('Исходные данные'!$B$56)/12),IF('Исходные данные'!$B$53="Пользовательская база",MAX(0,N('Исходные данные'!$B$57)/12),0)))</f>
        <v>0</v>
      </c>
      <c r="Q138">
        <f>IF(D138=1,-P138*N('Исходные данные'!$B$50),0)</f>
        <v>0</v>
      </c>
      <c r="R138">
        <f t="shared" si="80"/>
        <v>0</v>
      </c>
      <c r="S138">
        <f>IF(OR(D138&lt;&gt;1,B138="",'Исходные данные'!$B$91="",N('Исходные данные'!$B$80)&lt;=0,'Исходные данные'!$B$88=""),0,IF(AND(YEAR(B138)=YEAR('Исходные данные'!$B$91),MONTH(B138)=MONTH('Исходные данные'!$B$91)),MAX(0,IF('Исходные данные'!$B$88="Последние 12 месяцев",SUMIFS($L$2:$L$194,$B$2:$B$194,"&gt;="&amp;EDATE(B138,-11),$B$2:$B$194,"&lt;="&amp;B138),IF('Исходные данные'!$B$88="Пользовательский NOI",N('Исходные данные'!$B$89),R138))/N('Исходные данные'!$B$80)*(1+N('Исходные данные'!$B$81))),0))</f>
        <v>0</v>
      </c>
      <c r="T138">
        <f>-S138*N('Исходные данные'!$B$73)</f>
        <v>0</v>
      </c>
      <c r="U138">
        <f>IF(S138=0,0,-N('Исходные данные'!$B$87)-IF('Исходные данные'!$B$82="Да",IF('Исходные данные'!$B$84="С выручки",S138,IF('Исходные данные'!$B$84="С прибыли",MAX(0,S138+T138-IF('Исходные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38">
        <f t="shared" si="81"/>
        <v>0</v>
      </c>
      <c r="W138">
        <f>IF(D138=1,Расчёты!AZ138+K138+N138+Q138+V138,0)</f>
        <v>0</v>
      </c>
      <c r="X138" t="str">
        <f t="shared" si="91"/>
        <v/>
      </c>
      <c r="Y138">
        <f>IF(OR(D138=0,'Исходные данные'!$B$9="",'Исходные данные'!$B$90=""),0,W138/(1+'Исходные данные'!$B$90)^((C138-'Исходные данные'!$B$9)/365))</f>
        <v>0</v>
      </c>
      <c r="Z138">
        <f>IF(D138=1,K138+Расчёты!O138+Расчёты!Q138+Расчёты!S138+Расчёты!U138+Расчёты!W138+Расчёты!X138+N138+Q138,0)</f>
        <v>0</v>
      </c>
      <c r="AA138">
        <f>IF(AND(D138=1,X138&gt;=0,X137&lt;0,MIN($X$2:X138)&lt;0),1,0)</f>
        <v>0</v>
      </c>
      <c r="AB138">
        <f>IF(Расчёты!F138=0,0,IF(Расчёты!G138=1,N('Сценарный анализ'!$C$5),IF(Расчёты!G138=2,N('Сценарный анализ'!$C$6),IF(Расчёты!G138=3,N('Сценарный анализ'!$C$7),N('Сценарный анализ'!$C$7)*(1+N('Сценарный анализ'!$C$8))^(Расчёты!G138-3)))))</f>
        <v>0</v>
      </c>
      <c r="AC138">
        <f>IF(OR(Расчёты!F138=0,N('Исходные данные'!$B$5)=0,AB138=0),0,N('Исходные данные'!$B$5)*AB138*IF(AND(B138&lt;='Исходные данные'!$B$30,Расчёты!C138&gt;='Исходные данные'!$B$30),(Расчёты!C138-'Исходные данные'!$B$30+1)/DAY(Расчёты!C138),1))</f>
        <v>0</v>
      </c>
      <c r="AD138">
        <f>IF(AND(Расчёты!F138&gt;0,Расчёты!F138&lt;=N('Исходные данные'!$B$37)),-AC138,0)</f>
        <v>0</v>
      </c>
      <c r="AE138">
        <f>IF(OR(Расчёты!F138=0,Расчёты!F138&lt;=N('Исходные данные'!$B$37)),0,-(AC138+AD138)*N('Сценарный анализ'!$C$9))</f>
        <v>0</v>
      </c>
      <c r="AF138">
        <f t="shared" si="82"/>
        <v>0</v>
      </c>
      <c r="AG138">
        <f>IF('Исходные данные'!$B$51="Да",AF138*N('Исходные данные'!$B$52),0)</f>
        <v>0</v>
      </c>
      <c r="AH138">
        <f t="shared" si="83"/>
        <v>0</v>
      </c>
      <c r="AI138">
        <f>AF138+(Расчёты!Y138-Расчёты!L138)</f>
        <v>0</v>
      </c>
      <c r="AJ138">
        <f t="shared" si="92"/>
        <v>0</v>
      </c>
      <c r="AK138">
        <f>IF('Исходные данные'!$B$51="Да",-MAX(0,AG138+Расчёты!R138+Расчёты!V138-Расчёты!P138-Расчёты!T138-AJ138),0)</f>
        <v>0</v>
      </c>
      <c r="AL138">
        <f>IF('Исходные данные'!$B$51="Да",MAX(0,AJ138+Расчёты!P138+Расчёты!T138-AG138-Расчёты!R138-Расчёты!V138),0)</f>
        <v>0</v>
      </c>
      <c r="AM138">
        <f>IF('Исходные данные'!$B$53="Выручка",MAX(0,AF138+(Расчёты!Q138-Расчёты!R138)+(Расчёты!U138-Расчёты!V138)),IF('Исходные данные'!$B$53="Прибыль до налога",MAX(0,AF138+(Расчёты!Q138-Расчёты!R138)+(Расчёты!U138-Расчёты!V138)+N('Исходные данные'!$B$54)*((Расчёты!O138+Расчёты!P138)+(Расчёты!S138+Расчёты!T138)+Расчёты!W138+Расчёты!X138)+IF('Исходные данные'!$B$55="Да",Расчёты!AG138,0)-N('Исходные данные'!$B$56)/12),IF('Исходные данные'!$B$53="Пользовательская база",MAX(0,N('Исходные данные'!$B$57)/12),0)))</f>
        <v>0</v>
      </c>
      <c r="AN138">
        <f>IF(D138=1,-AM138*N('Исходные данные'!$B$50),0)</f>
        <v>0</v>
      </c>
      <c r="AO138">
        <f t="shared" si="84"/>
        <v>0</v>
      </c>
      <c r="AP138">
        <f>IF(OR(D138&lt;&gt;1,B138="",'Исходные данные'!$B$91="",N('Исходные данные'!$B$80)&lt;=0,'Исходные данные'!$B$88=""),0,IF(AND(YEAR(B138)=YEAR('Исходные данные'!$B$91),MONTH(B138)=MONTH('Исходные данные'!$B$91)),MAX(0,IF('Исходные данные'!$B$88="Последние 12 месяцев",SUMIFS($AI$2:$AI$194,$B$2:$B$194,"&gt;="&amp;EDATE(B138,-11),$B$2:$B$194,"&lt;="&amp;B138),IF('Исходные данные'!$B$88="Пользовательский NOI",N('Исходные данные'!$B$89),AO138))/N('Исходные данные'!$B$80)*(1+N('Исходные данные'!$B$81))),0))</f>
        <v>0</v>
      </c>
      <c r="AQ138">
        <f>-AP138*N('Исходные данные'!$B$73)</f>
        <v>0</v>
      </c>
      <c r="AR138">
        <f>IF(AP138=0,0,-N('Исходные данные'!$B$87)-IF('Исходные данные'!$B$82="Да",IF('Исходные данные'!$B$84="С выручки",AP138,IF('Исходные данные'!$B$84="С прибыли",MAX(0,AP138+AQ138-IF('Исходные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38">
        <f t="shared" si="85"/>
        <v>0</v>
      </c>
      <c r="AT138">
        <f>IF(D138=1,Расчёты!AZ138+AH138+AK138+AN138+AS138,0)</f>
        <v>0</v>
      </c>
      <c r="AU138" t="str">
        <f t="shared" si="93"/>
        <v/>
      </c>
      <c r="AV138">
        <f>IF(OR(D138=0,'Исходные данные'!$B$9="",'Исходные данные'!$B$90=""),0,AT138/(1+'Исходные данные'!$B$90)^((C138-'Исходные данные'!$B$9)/365))</f>
        <v>0</v>
      </c>
      <c r="AW138">
        <f>IF(D138=1,AH138+Расчёты!O138+Расчёты!Q138+Расчёты!S138+Расчёты!U138+Расчёты!W138+Расчёты!X138+AK138+AN138,0)</f>
        <v>0</v>
      </c>
      <c r="AX138">
        <f>IF(AND(D138=1,AU138&gt;=0,AU137&lt;0,MIN($AU$2:AU138)&lt;0),1,0)</f>
        <v>0</v>
      </c>
      <c r="AY138">
        <f>IF(Расчёты!F138=0,0,IF(Расчёты!G138=1,N('Сценарный анализ'!$D$5),IF(Расчёты!G138=2,N('Сценарный анализ'!$D$6),IF(Расчёты!G138=3,N('Сценарный анализ'!$D$7),N('Сценарный анализ'!$D$7)*(1+N('Сценарный анализ'!$D$8))^(Расчёты!G138-3)))))</f>
        <v>0</v>
      </c>
      <c r="AZ138">
        <f>IF(OR(Расчёты!F138=0,N('Исходные данные'!$B$5)=0,AY138=0),0,N('Исходные данные'!$B$5)*AY138*IF(AND(B138&lt;='Исходные данные'!$B$30,Расчёты!C138&gt;='Исходные данные'!$B$30),(Расчёты!C138-'Исходные данные'!$B$30+1)/DAY(Расчёты!C138),1))</f>
        <v>0</v>
      </c>
      <c r="BA138">
        <f>IF(AND(Расчёты!F138&gt;0,Расчёты!F138&lt;=N('Исходные данные'!$B$37)),-AZ138,0)</f>
        <v>0</v>
      </c>
      <c r="BB138">
        <f>IF(OR(Расчёты!F138=0,Расчёты!F138&lt;=N('Исходные данные'!$B$37)),0,-(AZ138+BA138)*N('Сценарный анализ'!$D$9))</f>
        <v>0</v>
      </c>
      <c r="BC138">
        <f t="shared" si="86"/>
        <v>0</v>
      </c>
      <c r="BD138">
        <f>IF('Исходные данные'!$B$51="Да",BC138*N('Исходные данные'!$B$52),0)</f>
        <v>0</v>
      </c>
      <c r="BE138">
        <f t="shared" si="87"/>
        <v>0</v>
      </c>
      <c r="BF138">
        <f>BC138+(Расчёты!Y138-Расчёты!L138)</f>
        <v>0</v>
      </c>
      <c r="BG138">
        <f t="shared" si="94"/>
        <v>0</v>
      </c>
      <c r="BH138">
        <f>IF('Исходные данные'!$B$51="Да",-MAX(0,BD138+Расчёты!R138+Расчёты!V138-Расчёты!P138-Расчёты!T138-BG138),0)</f>
        <v>0</v>
      </c>
      <c r="BI138">
        <f>IF('Исходные данные'!$B$51="Да",MAX(0,BG138+Расчёты!P138+Расчёты!T138-BD138-Расчёты!R138-Расчёты!V138),0)</f>
        <v>0</v>
      </c>
      <c r="BJ138">
        <f>IF('Исходные данные'!$B$53="Выручка",MAX(0,BC138+(Расчёты!Q138-Расчёты!R138)+(Расчёты!U138-Расчёты!V138)),IF('Исходные данные'!$B$53="Прибыль до налога",MAX(0,BC138+(Расчёты!Q138-Расчёты!R138)+(Расчёты!U138-Расчёты!V138)+N('Исходные данные'!$B$54)*((Расчёты!O138+Расчёты!P138)+(Расчёты!S138+Расчёты!T138)+Расчёты!W138+Расчёты!X138)+IF('Исходные данные'!$B$55="Да",Расчёты!AG138,0)-N('Исходные данные'!$B$56)/12),IF('Исходные данные'!$B$53="Пользовательская база",MAX(0,N('Исходные данные'!$B$57)/12),0)))</f>
        <v>0</v>
      </c>
      <c r="BK138">
        <f>IF(D138=1,-BJ138*N('Исходные данные'!$B$50),0)</f>
        <v>0</v>
      </c>
      <c r="BL138">
        <f t="shared" si="88"/>
        <v>0</v>
      </c>
      <c r="BM138">
        <f>IF(OR(D138&lt;&gt;1,B138="",'Исходные данные'!$B$91="",N('Исходные данные'!$B$80)&lt;=0,'Исходные данные'!$B$88=""),0,IF(AND(YEAR(B138)=YEAR('Исходные данные'!$B$91),MONTH(B138)=MONTH('Исходные данные'!$B$91)),MAX(0,IF('Исходные данные'!$B$88="Последние 12 месяцев",SUMIFS($BF$2:$BF$194,$B$2:$B$194,"&gt;="&amp;EDATE(B138,-11),$B$2:$B$194,"&lt;="&amp;B138),IF('Исходные данные'!$B$88="Пользовательский NOI",N('Исходные данные'!$B$89),BL138))/N('Исходные данные'!$B$80)*(1+N('Исходные данные'!$B$81))),0))</f>
        <v>0</v>
      </c>
      <c r="BN138">
        <f>-BM138*N('Исходные данные'!$B$73)</f>
        <v>0</v>
      </c>
      <c r="BO138">
        <f>IF(BM138=0,0,-N('Исходные данные'!$B$87)-IF('Исходные данные'!$B$82="Да",IF('Исходные данные'!$B$84="С выручки",BM138,IF('Исходные данные'!$B$84="С прибыли",MAX(0,BM138+BN138-IF('Исходные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38">
        <f t="shared" si="89"/>
        <v>0</v>
      </c>
      <c r="BQ138">
        <f>IF(D138=1,Расчёты!AZ138+BE138+BH138+BK138+BP138,0)</f>
        <v>0</v>
      </c>
      <c r="BR138" t="str">
        <f t="shared" si="95"/>
        <v/>
      </c>
      <c r="BS138">
        <f>IF(OR(D138=0,'Исходные данные'!$B$9="",'Исходные данные'!$B$90=""),0,BQ138/(1+'Исходные данные'!$B$90)^((C138-'Исходные данные'!$B$9)/365))</f>
        <v>0</v>
      </c>
      <c r="BT138">
        <f>IF(D138=1,BE138+Расчёты!O138+Расчёты!Q138+Расчёты!S138+Расчёты!U138+Расчёты!W138+Расчёты!X138+BH138+BK138,0)</f>
        <v>0</v>
      </c>
      <c r="BU138">
        <f>IF(AND(D138=1,BR138&gt;=0,BR137&lt;0,MIN($BR$2:BR138)&lt;0),1,0)</f>
        <v>0</v>
      </c>
      <c r="BV138">
        <f>Расчёты!AZ138+K138+N138-P138*N('Исходные данные'!$B$50)</f>
        <v>0</v>
      </c>
      <c r="BW138">
        <f t="shared" si="96"/>
        <v>0</v>
      </c>
      <c r="BX138">
        <f>IF(AND(BW138&gt;=0,BW137&lt;0,MIN($BW$2:BW138)&lt;0),1,0)</f>
        <v>0</v>
      </c>
      <c r="BY138">
        <f>Расчёты!AZ138+AH138+AK138-AM138*N('Исходные данные'!$B$50)</f>
        <v>0</v>
      </c>
      <c r="BZ138">
        <f t="shared" si="97"/>
        <v>0</v>
      </c>
      <c r="CA138">
        <f>IF(AND(BZ138&gt;=0,BZ137&lt;0,MIN($BZ$2:BZ138)&lt;0),1,0)</f>
        <v>0</v>
      </c>
      <c r="CB138">
        <f>Расчёты!AZ138+BE138+BH138-BJ138*N('Исходные данные'!$B$50)</f>
        <v>0</v>
      </c>
      <c r="CC138">
        <f t="shared" si="98"/>
        <v>0</v>
      </c>
      <c r="CD138">
        <f>IF(AND(CC138&gt;=0,CC137&lt;0,MIN($CC$2:CC138)&lt;0),1,0)</f>
        <v>0</v>
      </c>
    </row>
    <row r="139" spans="1:82" x14ac:dyDescent="0.2">
      <c r="A139">
        <f>Расчёты!A139</f>
        <v>138</v>
      </c>
      <c r="B139" t="str">
        <f>Расчёты!B139</f>
        <v/>
      </c>
      <c r="C139" t="str">
        <f>Расчёты!D139</f>
        <v/>
      </c>
      <c r="D139">
        <f>Расчёты!E139</f>
        <v>0</v>
      </c>
      <c r="E139">
        <f>IF(Расчёты!F139=0,0,IF(Расчёты!G139=1,N('Сценарный анализ'!$B$5),IF(Расчёты!G139=2,N('Сценарный анализ'!$B$6),IF(Расчёты!G139=3,N('Сценарный анализ'!$B$7),N('Сценарный анализ'!$B$7)*(1+N('Сценарный анализ'!$B$8))^(Расчёты!G139-3)))))</f>
        <v>0</v>
      </c>
      <c r="F139">
        <f>IF(OR(Расчёты!F139=0,N('Исходные данные'!$B$5)=0,E139=0),0,N('Исходные данные'!$B$5)*E139*IF(AND(B139&lt;='Исходные данные'!$B$30,Расчёты!C139&gt;='Исходные данные'!$B$30),(Расчёты!C139-'Исходные данные'!$B$30+1)/DAY(Расчёты!C139),1))</f>
        <v>0</v>
      </c>
      <c r="G139">
        <f>IF(AND(Расчёты!F139&gt;0,Расчёты!F139&lt;=N('Исходные данные'!$B$37)),-F139,0)</f>
        <v>0</v>
      </c>
      <c r="H139">
        <f>IF(OR(Расчёты!F139=0,Расчёты!F139&lt;=N('Исходные данные'!$B$37)),0,-(F139+G139)*N('Сценарный анализ'!$B$9))</f>
        <v>0</v>
      </c>
      <c r="I139">
        <f t="shared" si="78"/>
        <v>0</v>
      </c>
      <c r="J139">
        <f>IF('Исходные данные'!$B$51="Да",I139*N('Исходные данные'!$B$52),0)</f>
        <v>0</v>
      </c>
      <c r="K139">
        <f t="shared" si="79"/>
        <v>0</v>
      </c>
      <c r="L139">
        <f>I139+(Расчёты!Y139-Расчёты!L139)</f>
        <v>0</v>
      </c>
      <c r="M139">
        <f t="shared" si="90"/>
        <v>0</v>
      </c>
      <c r="N139">
        <f>IF('Исходные данные'!$B$51="Да",-MAX(0,J139+Расчёты!R139+Расчёты!V139-Расчёты!P139-Расчёты!T139-M139),0)</f>
        <v>0</v>
      </c>
      <c r="O139">
        <f>IF('Исходные данные'!$B$51="Да",MAX(0,M139+Расчёты!P139+Расчёты!T139-J139-Расчёты!R139-Расчёты!V139),0)</f>
        <v>0</v>
      </c>
      <c r="P139">
        <f>IF('Исходные данные'!$B$53="Выручка",MAX(0,I139+(Расчёты!Q139-Расчёты!R139)+(Расчёты!U139-Расчёты!V139)),IF('Исходные данные'!$B$53="Прибыль до налога",MAX(0,I139+(Расчёты!Q139-Расчёты!R139)+(Расчёты!U139-Расчёты!V139)+N('Исходные данные'!$B$54)*((Расчёты!O139+Расчёты!P139)+(Расчёты!S139+Расчёты!T139)+Расчёты!W139+Расчёты!X139)+IF('Исходные данные'!$B$55="Да",Расчёты!AG139,0)-N('Исходные данные'!$B$56)/12),IF('Исходные данные'!$B$53="Пользовательская база",MAX(0,N('Исходные данные'!$B$57)/12),0)))</f>
        <v>0</v>
      </c>
      <c r="Q139">
        <f>IF(D139=1,-P139*N('Исходные данные'!$B$50),0)</f>
        <v>0</v>
      </c>
      <c r="R139">
        <f t="shared" si="80"/>
        <v>0</v>
      </c>
      <c r="S139">
        <f>IF(OR(D139&lt;&gt;1,B139="",'Исходные данные'!$B$91="",N('Исходные данные'!$B$80)&lt;=0,'Исходные данные'!$B$88=""),0,IF(AND(YEAR(B139)=YEAR('Исходные данные'!$B$91),MONTH(B139)=MONTH('Исходные данные'!$B$91)),MAX(0,IF('Исходные данные'!$B$88="Последние 12 месяцев",SUMIFS($L$2:$L$194,$B$2:$B$194,"&gt;="&amp;EDATE(B139,-11),$B$2:$B$194,"&lt;="&amp;B139),IF('Исходные данные'!$B$88="Пользовательский NOI",N('Исходные данные'!$B$89),R139))/N('Исходные данные'!$B$80)*(1+N('Исходные данные'!$B$81))),0))</f>
        <v>0</v>
      </c>
      <c r="T139">
        <f>-S139*N('Исходные данные'!$B$73)</f>
        <v>0</v>
      </c>
      <c r="U139">
        <f>IF(S139=0,0,-N('Исходные данные'!$B$87)-IF('Исходные данные'!$B$82="Да",IF('Исходные данные'!$B$84="С выручки",S139,IF('Исходные данные'!$B$84="С прибыли",MAX(0,S139+T139-IF('Исходные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39">
        <f t="shared" si="81"/>
        <v>0</v>
      </c>
      <c r="W139">
        <f>IF(D139=1,Расчёты!AZ139+K139+N139+Q139+V139,0)</f>
        <v>0</v>
      </c>
      <c r="X139" t="str">
        <f t="shared" si="91"/>
        <v/>
      </c>
      <c r="Y139">
        <f>IF(OR(D139=0,'Исходные данные'!$B$9="",'Исходные данные'!$B$90=""),0,W139/(1+'Исходные данные'!$B$90)^((C139-'Исходные данные'!$B$9)/365))</f>
        <v>0</v>
      </c>
      <c r="Z139">
        <f>IF(D139=1,K139+Расчёты!O139+Расчёты!Q139+Расчёты!S139+Расчёты!U139+Расчёты!W139+Расчёты!X139+N139+Q139,0)</f>
        <v>0</v>
      </c>
      <c r="AA139">
        <f>IF(AND(D139=1,X139&gt;=0,X138&lt;0,MIN($X$2:X139)&lt;0),1,0)</f>
        <v>0</v>
      </c>
      <c r="AB139">
        <f>IF(Расчёты!F139=0,0,IF(Расчёты!G139=1,N('Сценарный анализ'!$C$5),IF(Расчёты!G139=2,N('Сценарный анализ'!$C$6),IF(Расчёты!G139=3,N('Сценарный анализ'!$C$7),N('Сценарный анализ'!$C$7)*(1+N('Сценарный анализ'!$C$8))^(Расчёты!G139-3)))))</f>
        <v>0</v>
      </c>
      <c r="AC139">
        <f>IF(OR(Расчёты!F139=0,N('Исходные данные'!$B$5)=0,AB139=0),0,N('Исходные данные'!$B$5)*AB139*IF(AND(B139&lt;='Исходные данные'!$B$30,Расчёты!C139&gt;='Исходные данные'!$B$30),(Расчёты!C139-'Исходные данные'!$B$30+1)/DAY(Расчёты!C139),1))</f>
        <v>0</v>
      </c>
      <c r="AD139">
        <f>IF(AND(Расчёты!F139&gt;0,Расчёты!F139&lt;=N('Исходные данные'!$B$37)),-AC139,0)</f>
        <v>0</v>
      </c>
      <c r="AE139">
        <f>IF(OR(Расчёты!F139=0,Расчёты!F139&lt;=N('Исходные данные'!$B$37)),0,-(AC139+AD139)*N('Сценарный анализ'!$C$9))</f>
        <v>0</v>
      </c>
      <c r="AF139">
        <f t="shared" si="82"/>
        <v>0</v>
      </c>
      <c r="AG139">
        <f>IF('Исходные данные'!$B$51="Да",AF139*N('Исходные данные'!$B$52),0)</f>
        <v>0</v>
      </c>
      <c r="AH139">
        <f t="shared" si="83"/>
        <v>0</v>
      </c>
      <c r="AI139">
        <f>AF139+(Расчёты!Y139-Расчёты!L139)</f>
        <v>0</v>
      </c>
      <c r="AJ139">
        <f t="shared" si="92"/>
        <v>0</v>
      </c>
      <c r="AK139">
        <f>IF('Исходные данные'!$B$51="Да",-MAX(0,AG139+Расчёты!R139+Расчёты!V139-Расчёты!P139-Расчёты!T139-AJ139),0)</f>
        <v>0</v>
      </c>
      <c r="AL139">
        <f>IF('Исходные данные'!$B$51="Да",MAX(0,AJ139+Расчёты!P139+Расчёты!T139-AG139-Расчёты!R139-Расчёты!V139),0)</f>
        <v>0</v>
      </c>
      <c r="AM139">
        <f>IF('Исходные данные'!$B$53="Выручка",MAX(0,AF139+(Расчёты!Q139-Расчёты!R139)+(Расчёты!U139-Расчёты!V139)),IF('Исходные данные'!$B$53="Прибыль до налога",MAX(0,AF139+(Расчёты!Q139-Расчёты!R139)+(Расчёты!U139-Расчёты!V139)+N('Исходные данные'!$B$54)*((Расчёты!O139+Расчёты!P139)+(Расчёты!S139+Расчёты!T139)+Расчёты!W139+Расчёты!X139)+IF('Исходные данные'!$B$55="Да",Расчёты!AG139,0)-N('Исходные данные'!$B$56)/12),IF('Исходные данные'!$B$53="Пользовательская база",MAX(0,N('Исходные данные'!$B$57)/12),0)))</f>
        <v>0</v>
      </c>
      <c r="AN139">
        <f>IF(D139=1,-AM139*N('Исходные данные'!$B$50),0)</f>
        <v>0</v>
      </c>
      <c r="AO139">
        <f t="shared" si="84"/>
        <v>0</v>
      </c>
      <c r="AP139">
        <f>IF(OR(D139&lt;&gt;1,B139="",'Исходные данные'!$B$91="",N('Исходные данные'!$B$80)&lt;=0,'Исходные данные'!$B$88=""),0,IF(AND(YEAR(B139)=YEAR('Исходные данные'!$B$91),MONTH(B139)=MONTH('Исходные данные'!$B$91)),MAX(0,IF('Исходные данные'!$B$88="Последние 12 месяцев",SUMIFS($AI$2:$AI$194,$B$2:$B$194,"&gt;="&amp;EDATE(B139,-11),$B$2:$B$194,"&lt;="&amp;B139),IF('Исходные данные'!$B$88="Пользовательский NOI",N('Исходные данные'!$B$89),AO139))/N('Исходные данные'!$B$80)*(1+N('Исходные данные'!$B$81))),0))</f>
        <v>0</v>
      </c>
      <c r="AQ139">
        <f>-AP139*N('Исходные данные'!$B$73)</f>
        <v>0</v>
      </c>
      <c r="AR139">
        <f>IF(AP139=0,0,-N('Исходные данные'!$B$87)-IF('Исходные данные'!$B$82="Да",IF('Исходные данные'!$B$84="С выручки",AP139,IF('Исходные данные'!$B$84="С прибыли",MAX(0,AP139+AQ139-IF('Исходные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39">
        <f t="shared" si="85"/>
        <v>0</v>
      </c>
      <c r="AT139">
        <f>IF(D139=1,Расчёты!AZ139+AH139+AK139+AN139+AS139,0)</f>
        <v>0</v>
      </c>
      <c r="AU139" t="str">
        <f t="shared" si="93"/>
        <v/>
      </c>
      <c r="AV139">
        <f>IF(OR(D139=0,'Исходные данные'!$B$9="",'Исходные данные'!$B$90=""),0,AT139/(1+'Исходные данные'!$B$90)^((C139-'Исходные данные'!$B$9)/365))</f>
        <v>0</v>
      </c>
      <c r="AW139">
        <f>IF(D139=1,AH139+Расчёты!O139+Расчёты!Q139+Расчёты!S139+Расчёты!U139+Расчёты!W139+Расчёты!X139+AK139+AN139,0)</f>
        <v>0</v>
      </c>
      <c r="AX139">
        <f>IF(AND(D139=1,AU139&gt;=0,AU138&lt;0,MIN($AU$2:AU139)&lt;0),1,0)</f>
        <v>0</v>
      </c>
      <c r="AY139">
        <f>IF(Расчёты!F139=0,0,IF(Расчёты!G139=1,N('Сценарный анализ'!$D$5),IF(Расчёты!G139=2,N('Сценарный анализ'!$D$6),IF(Расчёты!G139=3,N('Сценарный анализ'!$D$7),N('Сценарный анализ'!$D$7)*(1+N('Сценарный анализ'!$D$8))^(Расчёты!G139-3)))))</f>
        <v>0</v>
      </c>
      <c r="AZ139">
        <f>IF(OR(Расчёты!F139=0,N('Исходные данные'!$B$5)=0,AY139=0),0,N('Исходные данные'!$B$5)*AY139*IF(AND(B139&lt;='Исходные данные'!$B$30,Расчёты!C139&gt;='Исходные данные'!$B$30),(Расчёты!C139-'Исходные данные'!$B$30+1)/DAY(Расчёты!C139),1))</f>
        <v>0</v>
      </c>
      <c r="BA139">
        <f>IF(AND(Расчёты!F139&gt;0,Расчёты!F139&lt;=N('Исходные данные'!$B$37)),-AZ139,0)</f>
        <v>0</v>
      </c>
      <c r="BB139">
        <f>IF(OR(Расчёты!F139=0,Расчёты!F139&lt;=N('Исходные данные'!$B$37)),0,-(AZ139+BA139)*N('Сценарный анализ'!$D$9))</f>
        <v>0</v>
      </c>
      <c r="BC139">
        <f t="shared" si="86"/>
        <v>0</v>
      </c>
      <c r="BD139">
        <f>IF('Исходные данные'!$B$51="Да",BC139*N('Исходные данные'!$B$52),0)</f>
        <v>0</v>
      </c>
      <c r="BE139">
        <f t="shared" si="87"/>
        <v>0</v>
      </c>
      <c r="BF139">
        <f>BC139+(Расчёты!Y139-Расчёты!L139)</f>
        <v>0</v>
      </c>
      <c r="BG139">
        <f t="shared" si="94"/>
        <v>0</v>
      </c>
      <c r="BH139">
        <f>IF('Исходные данные'!$B$51="Да",-MAX(0,BD139+Расчёты!R139+Расчёты!V139-Расчёты!P139-Расчёты!T139-BG139),0)</f>
        <v>0</v>
      </c>
      <c r="BI139">
        <f>IF('Исходные данные'!$B$51="Да",MAX(0,BG139+Расчёты!P139+Расчёты!T139-BD139-Расчёты!R139-Расчёты!V139),0)</f>
        <v>0</v>
      </c>
      <c r="BJ139">
        <f>IF('Исходные данные'!$B$53="Выручка",MAX(0,BC139+(Расчёты!Q139-Расчёты!R139)+(Расчёты!U139-Расчёты!V139)),IF('Исходные данные'!$B$53="Прибыль до налога",MAX(0,BC139+(Расчёты!Q139-Расчёты!R139)+(Расчёты!U139-Расчёты!V139)+N('Исходные данные'!$B$54)*((Расчёты!O139+Расчёты!P139)+(Расчёты!S139+Расчёты!T139)+Расчёты!W139+Расчёты!X139)+IF('Исходные данные'!$B$55="Да",Расчёты!AG139,0)-N('Исходные данные'!$B$56)/12),IF('Исходные данные'!$B$53="Пользовательская база",MAX(0,N('Исходные данные'!$B$57)/12),0)))</f>
        <v>0</v>
      </c>
      <c r="BK139">
        <f>IF(D139=1,-BJ139*N('Исходные данные'!$B$50),0)</f>
        <v>0</v>
      </c>
      <c r="BL139">
        <f t="shared" si="88"/>
        <v>0</v>
      </c>
      <c r="BM139">
        <f>IF(OR(D139&lt;&gt;1,B139="",'Исходные данные'!$B$91="",N('Исходные данные'!$B$80)&lt;=0,'Исходные данные'!$B$88=""),0,IF(AND(YEAR(B139)=YEAR('Исходные данные'!$B$91),MONTH(B139)=MONTH('Исходные данные'!$B$91)),MAX(0,IF('Исходные данные'!$B$88="Последние 12 месяцев",SUMIFS($BF$2:$BF$194,$B$2:$B$194,"&gt;="&amp;EDATE(B139,-11),$B$2:$B$194,"&lt;="&amp;B139),IF('Исходные данные'!$B$88="Пользовательский NOI",N('Исходные данные'!$B$89),BL139))/N('Исходные данные'!$B$80)*(1+N('Исходные данные'!$B$81))),0))</f>
        <v>0</v>
      </c>
      <c r="BN139">
        <f>-BM139*N('Исходные данные'!$B$73)</f>
        <v>0</v>
      </c>
      <c r="BO139">
        <f>IF(BM139=0,0,-N('Исходные данные'!$B$87)-IF('Исходные данные'!$B$82="Да",IF('Исходные данные'!$B$84="С выручки",BM139,IF('Исходные данные'!$B$84="С прибыли",MAX(0,BM139+BN139-IF('Исходные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39">
        <f t="shared" si="89"/>
        <v>0</v>
      </c>
      <c r="BQ139">
        <f>IF(D139=1,Расчёты!AZ139+BE139+BH139+BK139+BP139,0)</f>
        <v>0</v>
      </c>
      <c r="BR139" t="str">
        <f t="shared" si="95"/>
        <v/>
      </c>
      <c r="BS139">
        <f>IF(OR(D139=0,'Исходные данные'!$B$9="",'Исходные данные'!$B$90=""),0,BQ139/(1+'Исходные данные'!$B$90)^((C139-'Исходные данные'!$B$9)/365))</f>
        <v>0</v>
      </c>
      <c r="BT139">
        <f>IF(D139=1,BE139+Расчёты!O139+Расчёты!Q139+Расчёты!S139+Расчёты!U139+Расчёты!W139+Расчёты!X139+BH139+BK139,0)</f>
        <v>0</v>
      </c>
      <c r="BU139">
        <f>IF(AND(D139=1,BR139&gt;=0,BR138&lt;0,MIN($BR$2:BR139)&lt;0),1,0)</f>
        <v>0</v>
      </c>
      <c r="BV139">
        <f>Расчёты!AZ139+K139+N139-P139*N('Исходные данные'!$B$50)</f>
        <v>0</v>
      </c>
      <c r="BW139">
        <f t="shared" si="96"/>
        <v>0</v>
      </c>
      <c r="BX139">
        <f>IF(AND(BW139&gt;=0,BW138&lt;0,MIN($BW$2:BW139)&lt;0),1,0)</f>
        <v>0</v>
      </c>
      <c r="BY139">
        <f>Расчёты!AZ139+AH139+AK139-AM139*N('Исходные данные'!$B$50)</f>
        <v>0</v>
      </c>
      <c r="BZ139">
        <f t="shared" si="97"/>
        <v>0</v>
      </c>
      <c r="CA139">
        <f>IF(AND(BZ139&gt;=0,BZ138&lt;0,MIN($BZ$2:BZ139)&lt;0),1,0)</f>
        <v>0</v>
      </c>
      <c r="CB139">
        <f>Расчёты!AZ139+BE139+BH139-BJ139*N('Исходные данные'!$B$50)</f>
        <v>0</v>
      </c>
      <c r="CC139">
        <f t="shared" si="98"/>
        <v>0</v>
      </c>
      <c r="CD139">
        <f>IF(AND(CC139&gt;=0,CC138&lt;0,MIN($CC$2:CC139)&lt;0),1,0)</f>
        <v>0</v>
      </c>
    </row>
    <row r="140" spans="1:82" x14ac:dyDescent="0.2">
      <c r="A140">
        <f>Расчёты!A140</f>
        <v>139</v>
      </c>
      <c r="B140" t="str">
        <f>Расчёты!B140</f>
        <v/>
      </c>
      <c r="C140" t="str">
        <f>Расчёты!D140</f>
        <v/>
      </c>
      <c r="D140">
        <f>Расчёты!E140</f>
        <v>0</v>
      </c>
      <c r="E140">
        <f>IF(Расчёты!F140=0,0,IF(Расчёты!G140=1,N('Сценарный анализ'!$B$5),IF(Расчёты!G140=2,N('Сценарный анализ'!$B$6),IF(Расчёты!G140=3,N('Сценарный анализ'!$B$7),N('Сценарный анализ'!$B$7)*(1+N('Сценарный анализ'!$B$8))^(Расчёты!G140-3)))))</f>
        <v>0</v>
      </c>
      <c r="F140">
        <f>IF(OR(Расчёты!F140=0,N('Исходные данные'!$B$5)=0,E140=0),0,N('Исходные данные'!$B$5)*E140*IF(AND(B140&lt;='Исходные данные'!$B$30,Расчёты!C140&gt;='Исходные данные'!$B$30),(Расчёты!C140-'Исходные данные'!$B$30+1)/DAY(Расчёты!C140),1))</f>
        <v>0</v>
      </c>
      <c r="G140">
        <f>IF(AND(Расчёты!F140&gt;0,Расчёты!F140&lt;=N('Исходные данные'!$B$37)),-F140,0)</f>
        <v>0</v>
      </c>
      <c r="H140">
        <f>IF(OR(Расчёты!F140=0,Расчёты!F140&lt;=N('Исходные данные'!$B$37)),0,-(F140+G140)*N('Сценарный анализ'!$B$9))</f>
        <v>0</v>
      </c>
      <c r="I140">
        <f t="shared" si="78"/>
        <v>0</v>
      </c>
      <c r="J140">
        <f>IF('Исходные данные'!$B$51="Да",I140*N('Исходные данные'!$B$52),0)</f>
        <v>0</v>
      </c>
      <c r="K140">
        <f t="shared" si="79"/>
        <v>0</v>
      </c>
      <c r="L140">
        <f>I140+(Расчёты!Y140-Расчёты!L140)</f>
        <v>0</v>
      </c>
      <c r="M140">
        <f t="shared" si="90"/>
        <v>0</v>
      </c>
      <c r="N140">
        <f>IF('Исходные данные'!$B$51="Да",-MAX(0,J140+Расчёты!R140+Расчёты!V140-Расчёты!P140-Расчёты!T140-M140),0)</f>
        <v>0</v>
      </c>
      <c r="O140">
        <f>IF('Исходные данные'!$B$51="Да",MAX(0,M140+Расчёты!P140+Расчёты!T140-J140-Расчёты!R140-Расчёты!V140),0)</f>
        <v>0</v>
      </c>
      <c r="P140">
        <f>IF('Исходные данные'!$B$53="Выручка",MAX(0,I140+(Расчёты!Q140-Расчёты!R140)+(Расчёты!U140-Расчёты!V140)),IF('Исходные данные'!$B$53="Прибыль до налога",MAX(0,I140+(Расчёты!Q140-Расчёты!R140)+(Расчёты!U140-Расчёты!V140)+N('Исходные данные'!$B$54)*((Расчёты!O140+Расчёты!P140)+(Расчёты!S140+Расчёты!T140)+Расчёты!W140+Расчёты!X140)+IF('Исходные данные'!$B$55="Да",Расчёты!AG140,0)-N('Исходные данные'!$B$56)/12),IF('Исходные данные'!$B$53="Пользовательская база",MAX(0,N('Исходные данные'!$B$57)/12),0)))</f>
        <v>0</v>
      </c>
      <c r="Q140">
        <f>IF(D140=1,-P140*N('Исходные данные'!$B$50),0)</f>
        <v>0</v>
      </c>
      <c r="R140">
        <f t="shared" si="80"/>
        <v>0</v>
      </c>
      <c r="S140">
        <f>IF(OR(D140&lt;&gt;1,B140="",'Исходные данные'!$B$91="",N('Исходные данные'!$B$80)&lt;=0,'Исходные данные'!$B$88=""),0,IF(AND(YEAR(B140)=YEAR('Исходные данные'!$B$91),MONTH(B140)=MONTH('Исходные данные'!$B$91)),MAX(0,IF('Исходные данные'!$B$88="Последние 12 месяцев",SUMIFS($L$2:$L$194,$B$2:$B$194,"&gt;="&amp;EDATE(B140,-11),$B$2:$B$194,"&lt;="&amp;B140),IF('Исходные данные'!$B$88="Пользовательский NOI",N('Исходные данные'!$B$89),R140))/N('Исходные данные'!$B$80)*(1+N('Исходные данные'!$B$81))),0))</f>
        <v>0</v>
      </c>
      <c r="T140">
        <f>-S140*N('Исходные данные'!$B$73)</f>
        <v>0</v>
      </c>
      <c r="U140">
        <f>IF(S140=0,0,-N('Исходные данные'!$B$87)-IF('Исходные данные'!$B$82="Да",IF('Исходные данные'!$B$84="С выручки",S140,IF('Исходные данные'!$B$84="С прибыли",MAX(0,S140+T140-IF('Исходные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40">
        <f t="shared" si="81"/>
        <v>0</v>
      </c>
      <c r="W140">
        <f>IF(D140=1,Расчёты!AZ140+K140+N140+Q140+V140,0)</f>
        <v>0</v>
      </c>
      <c r="X140" t="str">
        <f t="shared" si="91"/>
        <v/>
      </c>
      <c r="Y140">
        <f>IF(OR(D140=0,'Исходные данные'!$B$9="",'Исходные данные'!$B$90=""),0,W140/(1+'Исходные данные'!$B$90)^((C140-'Исходные данные'!$B$9)/365))</f>
        <v>0</v>
      </c>
      <c r="Z140">
        <f>IF(D140=1,K140+Расчёты!O140+Расчёты!Q140+Расчёты!S140+Расчёты!U140+Расчёты!W140+Расчёты!X140+N140+Q140,0)</f>
        <v>0</v>
      </c>
      <c r="AA140">
        <f>IF(AND(D140=1,X140&gt;=0,X139&lt;0,MIN($X$2:X140)&lt;0),1,0)</f>
        <v>0</v>
      </c>
      <c r="AB140">
        <f>IF(Расчёты!F140=0,0,IF(Расчёты!G140=1,N('Сценарный анализ'!$C$5),IF(Расчёты!G140=2,N('Сценарный анализ'!$C$6),IF(Расчёты!G140=3,N('Сценарный анализ'!$C$7),N('Сценарный анализ'!$C$7)*(1+N('Сценарный анализ'!$C$8))^(Расчёты!G140-3)))))</f>
        <v>0</v>
      </c>
      <c r="AC140">
        <f>IF(OR(Расчёты!F140=0,N('Исходные данные'!$B$5)=0,AB140=0),0,N('Исходные данные'!$B$5)*AB140*IF(AND(B140&lt;='Исходные данные'!$B$30,Расчёты!C140&gt;='Исходные данные'!$B$30),(Расчёты!C140-'Исходные данные'!$B$30+1)/DAY(Расчёты!C140),1))</f>
        <v>0</v>
      </c>
      <c r="AD140">
        <f>IF(AND(Расчёты!F140&gt;0,Расчёты!F140&lt;=N('Исходные данные'!$B$37)),-AC140,0)</f>
        <v>0</v>
      </c>
      <c r="AE140">
        <f>IF(OR(Расчёты!F140=0,Расчёты!F140&lt;=N('Исходные данные'!$B$37)),0,-(AC140+AD140)*N('Сценарный анализ'!$C$9))</f>
        <v>0</v>
      </c>
      <c r="AF140">
        <f t="shared" si="82"/>
        <v>0</v>
      </c>
      <c r="AG140">
        <f>IF('Исходные данные'!$B$51="Да",AF140*N('Исходные данные'!$B$52),0)</f>
        <v>0</v>
      </c>
      <c r="AH140">
        <f t="shared" si="83"/>
        <v>0</v>
      </c>
      <c r="AI140">
        <f>AF140+(Расчёты!Y140-Расчёты!L140)</f>
        <v>0</v>
      </c>
      <c r="AJ140">
        <f t="shared" si="92"/>
        <v>0</v>
      </c>
      <c r="AK140">
        <f>IF('Исходные данные'!$B$51="Да",-MAX(0,AG140+Расчёты!R140+Расчёты!V140-Расчёты!P140-Расчёты!T140-AJ140),0)</f>
        <v>0</v>
      </c>
      <c r="AL140">
        <f>IF('Исходные данные'!$B$51="Да",MAX(0,AJ140+Расчёты!P140+Расчёты!T140-AG140-Расчёты!R140-Расчёты!V140),0)</f>
        <v>0</v>
      </c>
      <c r="AM140">
        <f>IF('Исходные данные'!$B$53="Выручка",MAX(0,AF140+(Расчёты!Q140-Расчёты!R140)+(Расчёты!U140-Расчёты!V140)),IF('Исходные данные'!$B$53="Прибыль до налога",MAX(0,AF140+(Расчёты!Q140-Расчёты!R140)+(Расчёты!U140-Расчёты!V140)+N('Исходные данные'!$B$54)*((Расчёты!O140+Расчёты!P140)+(Расчёты!S140+Расчёты!T140)+Расчёты!W140+Расчёты!X140)+IF('Исходные данные'!$B$55="Да",Расчёты!AG140,0)-N('Исходные данные'!$B$56)/12),IF('Исходные данные'!$B$53="Пользовательская база",MAX(0,N('Исходные данные'!$B$57)/12),0)))</f>
        <v>0</v>
      </c>
      <c r="AN140">
        <f>IF(D140=1,-AM140*N('Исходные данные'!$B$50),0)</f>
        <v>0</v>
      </c>
      <c r="AO140">
        <f t="shared" si="84"/>
        <v>0</v>
      </c>
      <c r="AP140">
        <f>IF(OR(D140&lt;&gt;1,B140="",'Исходные данные'!$B$91="",N('Исходные данные'!$B$80)&lt;=0,'Исходные данные'!$B$88=""),0,IF(AND(YEAR(B140)=YEAR('Исходные данные'!$B$91),MONTH(B140)=MONTH('Исходные данные'!$B$91)),MAX(0,IF('Исходные данные'!$B$88="Последние 12 месяцев",SUMIFS($AI$2:$AI$194,$B$2:$B$194,"&gt;="&amp;EDATE(B140,-11),$B$2:$B$194,"&lt;="&amp;B140),IF('Исходные данные'!$B$88="Пользовательский NOI",N('Исходные данные'!$B$89),AO140))/N('Исходные данные'!$B$80)*(1+N('Исходные данные'!$B$81))),0))</f>
        <v>0</v>
      </c>
      <c r="AQ140">
        <f>-AP140*N('Исходные данные'!$B$73)</f>
        <v>0</v>
      </c>
      <c r="AR140">
        <f>IF(AP140=0,0,-N('Исходные данные'!$B$87)-IF('Исходные данные'!$B$82="Да",IF('Исходные данные'!$B$84="С выручки",AP140,IF('Исходные данные'!$B$84="С прибыли",MAX(0,AP140+AQ140-IF('Исходные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40">
        <f t="shared" si="85"/>
        <v>0</v>
      </c>
      <c r="AT140">
        <f>IF(D140=1,Расчёты!AZ140+AH140+AK140+AN140+AS140,0)</f>
        <v>0</v>
      </c>
      <c r="AU140" t="str">
        <f t="shared" si="93"/>
        <v/>
      </c>
      <c r="AV140">
        <f>IF(OR(D140=0,'Исходные данные'!$B$9="",'Исходные данные'!$B$90=""),0,AT140/(1+'Исходные данные'!$B$90)^((C140-'Исходные данные'!$B$9)/365))</f>
        <v>0</v>
      </c>
      <c r="AW140">
        <f>IF(D140=1,AH140+Расчёты!O140+Расчёты!Q140+Расчёты!S140+Расчёты!U140+Расчёты!W140+Расчёты!X140+AK140+AN140,0)</f>
        <v>0</v>
      </c>
      <c r="AX140">
        <f>IF(AND(D140=1,AU140&gt;=0,AU139&lt;0,MIN($AU$2:AU140)&lt;0),1,0)</f>
        <v>0</v>
      </c>
      <c r="AY140">
        <f>IF(Расчёты!F140=0,0,IF(Расчёты!G140=1,N('Сценарный анализ'!$D$5),IF(Расчёты!G140=2,N('Сценарный анализ'!$D$6),IF(Расчёты!G140=3,N('Сценарный анализ'!$D$7),N('Сценарный анализ'!$D$7)*(1+N('Сценарный анализ'!$D$8))^(Расчёты!G140-3)))))</f>
        <v>0</v>
      </c>
      <c r="AZ140">
        <f>IF(OR(Расчёты!F140=0,N('Исходные данные'!$B$5)=0,AY140=0),0,N('Исходные данные'!$B$5)*AY140*IF(AND(B140&lt;='Исходные данные'!$B$30,Расчёты!C140&gt;='Исходные данные'!$B$30),(Расчёты!C140-'Исходные данные'!$B$30+1)/DAY(Расчёты!C140),1))</f>
        <v>0</v>
      </c>
      <c r="BA140">
        <f>IF(AND(Расчёты!F140&gt;0,Расчёты!F140&lt;=N('Исходные данные'!$B$37)),-AZ140,0)</f>
        <v>0</v>
      </c>
      <c r="BB140">
        <f>IF(OR(Расчёты!F140=0,Расчёты!F140&lt;=N('Исходные данные'!$B$37)),0,-(AZ140+BA140)*N('Сценарный анализ'!$D$9))</f>
        <v>0</v>
      </c>
      <c r="BC140">
        <f t="shared" si="86"/>
        <v>0</v>
      </c>
      <c r="BD140">
        <f>IF('Исходные данные'!$B$51="Да",BC140*N('Исходные данные'!$B$52),0)</f>
        <v>0</v>
      </c>
      <c r="BE140">
        <f t="shared" si="87"/>
        <v>0</v>
      </c>
      <c r="BF140">
        <f>BC140+(Расчёты!Y140-Расчёты!L140)</f>
        <v>0</v>
      </c>
      <c r="BG140">
        <f t="shared" si="94"/>
        <v>0</v>
      </c>
      <c r="BH140">
        <f>IF('Исходные данные'!$B$51="Да",-MAX(0,BD140+Расчёты!R140+Расчёты!V140-Расчёты!P140-Расчёты!T140-BG140),0)</f>
        <v>0</v>
      </c>
      <c r="BI140">
        <f>IF('Исходные данные'!$B$51="Да",MAX(0,BG140+Расчёты!P140+Расчёты!T140-BD140-Расчёты!R140-Расчёты!V140),0)</f>
        <v>0</v>
      </c>
      <c r="BJ140">
        <f>IF('Исходные данные'!$B$53="Выручка",MAX(0,BC140+(Расчёты!Q140-Расчёты!R140)+(Расчёты!U140-Расчёты!V140)),IF('Исходные данные'!$B$53="Прибыль до налога",MAX(0,BC140+(Расчёты!Q140-Расчёты!R140)+(Расчёты!U140-Расчёты!V140)+N('Исходные данные'!$B$54)*((Расчёты!O140+Расчёты!P140)+(Расчёты!S140+Расчёты!T140)+Расчёты!W140+Расчёты!X140)+IF('Исходные данные'!$B$55="Да",Расчёты!AG140,0)-N('Исходные данные'!$B$56)/12),IF('Исходные данные'!$B$53="Пользовательская база",MAX(0,N('Исходные данные'!$B$57)/12),0)))</f>
        <v>0</v>
      </c>
      <c r="BK140">
        <f>IF(D140=1,-BJ140*N('Исходные данные'!$B$50),0)</f>
        <v>0</v>
      </c>
      <c r="BL140">
        <f t="shared" si="88"/>
        <v>0</v>
      </c>
      <c r="BM140">
        <f>IF(OR(D140&lt;&gt;1,B140="",'Исходные данные'!$B$91="",N('Исходные данные'!$B$80)&lt;=0,'Исходные данные'!$B$88=""),0,IF(AND(YEAR(B140)=YEAR('Исходные данные'!$B$91),MONTH(B140)=MONTH('Исходные данные'!$B$91)),MAX(0,IF('Исходные данные'!$B$88="Последние 12 месяцев",SUMIFS($BF$2:$BF$194,$B$2:$B$194,"&gt;="&amp;EDATE(B140,-11),$B$2:$B$194,"&lt;="&amp;B140),IF('Исходные данные'!$B$88="Пользовательский NOI",N('Исходные данные'!$B$89),BL140))/N('Исходные данные'!$B$80)*(1+N('Исходные данные'!$B$81))),0))</f>
        <v>0</v>
      </c>
      <c r="BN140">
        <f>-BM140*N('Исходные данные'!$B$73)</f>
        <v>0</v>
      </c>
      <c r="BO140">
        <f>IF(BM140=0,0,-N('Исходные данные'!$B$87)-IF('Исходные данные'!$B$82="Да",IF('Исходные данные'!$B$84="С выручки",BM140,IF('Исходные данные'!$B$84="С прибыли",MAX(0,BM140+BN140-IF('Исходные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40">
        <f t="shared" si="89"/>
        <v>0</v>
      </c>
      <c r="BQ140">
        <f>IF(D140=1,Расчёты!AZ140+BE140+BH140+BK140+BP140,0)</f>
        <v>0</v>
      </c>
      <c r="BR140" t="str">
        <f t="shared" si="95"/>
        <v/>
      </c>
      <c r="BS140">
        <f>IF(OR(D140=0,'Исходные данные'!$B$9="",'Исходные данные'!$B$90=""),0,BQ140/(1+'Исходные данные'!$B$90)^((C140-'Исходные данные'!$B$9)/365))</f>
        <v>0</v>
      </c>
      <c r="BT140">
        <f>IF(D140=1,BE140+Расчёты!O140+Расчёты!Q140+Расчёты!S140+Расчёты!U140+Расчёты!W140+Расчёты!X140+BH140+BK140,0)</f>
        <v>0</v>
      </c>
      <c r="BU140">
        <f>IF(AND(D140=1,BR140&gt;=0,BR139&lt;0,MIN($BR$2:BR140)&lt;0),1,0)</f>
        <v>0</v>
      </c>
      <c r="BV140">
        <f>Расчёты!AZ140+K140+N140-P140*N('Исходные данные'!$B$50)</f>
        <v>0</v>
      </c>
      <c r="BW140">
        <f t="shared" si="96"/>
        <v>0</v>
      </c>
      <c r="BX140">
        <f>IF(AND(BW140&gt;=0,BW139&lt;0,MIN($BW$2:BW140)&lt;0),1,0)</f>
        <v>0</v>
      </c>
      <c r="BY140">
        <f>Расчёты!AZ140+AH140+AK140-AM140*N('Исходные данные'!$B$50)</f>
        <v>0</v>
      </c>
      <c r="BZ140">
        <f t="shared" si="97"/>
        <v>0</v>
      </c>
      <c r="CA140">
        <f>IF(AND(BZ140&gt;=0,BZ139&lt;0,MIN($BZ$2:BZ140)&lt;0),1,0)</f>
        <v>0</v>
      </c>
      <c r="CB140">
        <f>Расчёты!AZ140+BE140+BH140-BJ140*N('Исходные данные'!$B$50)</f>
        <v>0</v>
      </c>
      <c r="CC140">
        <f t="shared" si="98"/>
        <v>0</v>
      </c>
      <c r="CD140">
        <f>IF(AND(CC140&gt;=0,CC139&lt;0,MIN($CC$2:CC140)&lt;0),1,0)</f>
        <v>0</v>
      </c>
    </row>
    <row r="141" spans="1:82" x14ac:dyDescent="0.2">
      <c r="A141">
        <f>Расчёты!A141</f>
        <v>140</v>
      </c>
      <c r="B141" t="str">
        <f>Расчёты!B141</f>
        <v/>
      </c>
      <c r="C141" t="str">
        <f>Расчёты!D141</f>
        <v/>
      </c>
      <c r="D141">
        <f>Расчёты!E141</f>
        <v>0</v>
      </c>
      <c r="E141">
        <f>IF(Расчёты!F141=0,0,IF(Расчёты!G141=1,N('Сценарный анализ'!$B$5),IF(Расчёты!G141=2,N('Сценарный анализ'!$B$6),IF(Расчёты!G141=3,N('Сценарный анализ'!$B$7),N('Сценарный анализ'!$B$7)*(1+N('Сценарный анализ'!$B$8))^(Расчёты!G141-3)))))</f>
        <v>0</v>
      </c>
      <c r="F141">
        <f>IF(OR(Расчёты!F141=0,N('Исходные данные'!$B$5)=0,E141=0),0,N('Исходные данные'!$B$5)*E141*IF(AND(B141&lt;='Исходные данные'!$B$30,Расчёты!C141&gt;='Исходные данные'!$B$30),(Расчёты!C141-'Исходные данные'!$B$30+1)/DAY(Расчёты!C141),1))</f>
        <v>0</v>
      </c>
      <c r="G141">
        <f>IF(AND(Расчёты!F141&gt;0,Расчёты!F141&lt;=N('Исходные данные'!$B$37)),-F141,0)</f>
        <v>0</v>
      </c>
      <c r="H141">
        <f>IF(OR(Расчёты!F141=0,Расчёты!F141&lt;=N('Исходные данные'!$B$37)),0,-(F141+G141)*N('Сценарный анализ'!$B$9))</f>
        <v>0</v>
      </c>
      <c r="I141">
        <f t="shared" si="78"/>
        <v>0</v>
      </c>
      <c r="J141">
        <f>IF('Исходные данные'!$B$51="Да",I141*N('Исходные данные'!$B$52),0)</f>
        <v>0</v>
      </c>
      <c r="K141">
        <f t="shared" si="79"/>
        <v>0</v>
      </c>
      <c r="L141">
        <f>I141+(Расчёты!Y141-Расчёты!L141)</f>
        <v>0</v>
      </c>
      <c r="M141">
        <f t="shared" si="90"/>
        <v>0</v>
      </c>
      <c r="N141">
        <f>IF('Исходные данные'!$B$51="Да",-MAX(0,J141+Расчёты!R141+Расчёты!V141-Расчёты!P141-Расчёты!T141-M141),0)</f>
        <v>0</v>
      </c>
      <c r="O141">
        <f>IF('Исходные данные'!$B$51="Да",MAX(0,M141+Расчёты!P141+Расчёты!T141-J141-Расчёты!R141-Расчёты!V141),0)</f>
        <v>0</v>
      </c>
      <c r="P141">
        <f>IF('Исходные данные'!$B$53="Выручка",MAX(0,I141+(Расчёты!Q141-Расчёты!R141)+(Расчёты!U141-Расчёты!V141)),IF('Исходные данные'!$B$53="Прибыль до налога",MAX(0,I141+(Расчёты!Q141-Расчёты!R141)+(Расчёты!U141-Расчёты!V141)+N('Исходные данные'!$B$54)*((Расчёты!O141+Расчёты!P141)+(Расчёты!S141+Расчёты!T141)+Расчёты!W141+Расчёты!X141)+IF('Исходные данные'!$B$55="Да",Расчёты!AG141,0)-N('Исходные данные'!$B$56)/12),IF('Исходные данные'!$B$53="Пользовательская база",MAX(0,N('Исходные данные'!$B$57)/12),0)))</f>
        <v>0</v>
      </c>
      <c r="Q141">
        <f>IF(D141=1,-P141*N('Исходные данные'!$B$50),0)</f>
        <v>0</v>
      </c>
      <c r="R141">
        <f t="shared" si="80"/>
        <v>0</v>
      </c>
      <c r="S141">
        <f>IF(OR(D141&lt;&gt;1,B141="",'Исходные данные'!$B$91="",N('Исходные данные'!$B$80)&lt;=0,'Исходные данные'!$B$88=""),0,IF(AND(YEAR(B141)=YEAR('Исходные данные'!$B$91),MONTH(B141)=MONTH('Исходные данные'!$B$91)),MAX(0,IF('Исходные данные'!$B$88="Последние 12 месяцев",SUMIFS($L$2:$L$194,$B$2:$B$194,"&gt;="&amp;EDATE(B141,-11),$B$2:$B$194,"&lt;="&amp;B141),IF('Исходные данные'!$B$88="Пользовательский NOI",N('Исходные данные'!$B$89),R141))/N('Исходные данные'!$B$80)*(1+N('Исходные данные'!$B$81))),0))</f>
        <v>0</v>
      </c>
      <c r="T141">
        <f>-S141*N('Исходные данные'!$B$73)</f>
        <v>0</v>
      </c>
      <c r="U141">
        <f>IF(S141=0,0,-N('Исходные данные'!$B$87)-IF('Исходные данные'!$B$82="Да",IF('Исходные данные'!$B$84="С выручки",S141,IF('Исходные данные'!$B$84="С прибыли",MAX(0,S141+T141-IF('Исходные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41">
        <f t="shared" si="81"/>
        <v>0</v>
      </c>
      <c r="W141">
        <f>IF(D141=1,Расчёты!AZ141+K141+N141+Q141+V141,0)</f>
        <v>0</v>
      </c>
      <c r="X141" t="str">
        <f t="shared" si="91"/>
        <v/>
      </c>
      <c r="Y141">
        <f>IF(OR(D141=0,'Исходные данные'!$B$9="",'Исходные данные'!$B$90=""),0,W141/(1+'Исходные данные'!$B$90)^((C141-'Исходные данные'!$B$9)/365))</f>
        <v>0</v>
      </c>
      <c r="Z141">
        <f>IF(D141=1,K141+Расчёты!O141+Расчёты!Q141+Расчёты!S141+Расчёты!U141+Расчёты!W141+Расчёты!X141+N141+Q141,0)</f>
        <v>0</v>
      </c>
      <c r="AA141">
        <f>IF(AND(D141=1,X141&gt;=0,X140&lt;0,MIN($X$2:X141)&lt;0),1,0)</f>
        <v>0</v>
      </c>
      <c r="AB141">
        <f>IF(Расчёты!F141=0,0,IF(Расчёты!G141=1,N('Сценарный анализ'!$C$5),IF(Расчёты!G141=2,N('Сценарный анализ'!$C$6),IF(Расчёты!G141=3,N('Сценарный анализ'!$C$7),N('Сценарный анализ'!$C$7)*(1+N('Сценарный анализ'!$C$8))^(Расчёты!G141-3)))))</f>
        <v>0</v>
      </c>
      <c r="AC141">
        <f>IF(OR(Расчёты!F141=0,N('Исходные данные'!$B$5)=0,AB141=0),0,N('Исходные данные'!$B$5)*AB141*IF(AND(B141&lt;='Исходные данные'!$B$30,Расчёты!C141&gt;='Исходные данные'!$B$30),(Расчёты!C141-'Исходные данные'!$B$30+1)/DAY(Расчёты!C141),1))</f>
        <v>0</v>
      </c>
      <c r="AD141">
        <f>IF(AND(Расчёты!F141&gt;0,Расчёты!F141&lt;=N('Исходные данные'!$B$37)),-AC141,0)</f>
        <v>0</v>
      </c>
      <c r="AE141">
        <f>IF(OR(Расчёты!F141=0,Расчёты!F141&lt;=N('Исходные данные'!$B$37)),0,-(AC141+AD141)*N('Сценарный анализ'!$C$9))</f>
        <v>0</v>
      </c>
      <c r="AF141">
        <f t="shared" si="82"/>
        <v>0</v>
      </c>
      <c r="AG141">
        <f>IF('Исходные данные'!$B$51="Да",AF141*N('Исходные данные'!$B$52),0)</f>
        <v>0</v>
      </c>
      <c r="AH141">
        <f t="shared" si="83"/>
        <v>0</v>
      </c>
      <c r="AI141">
        <f>AF141+(Расчёты!Y141-Расчёты!L141)</f>
        <v>0</v>
      </c>
      <c r="AJ141">
        <f t="shared" si="92"/>
        <v>0</v>
      </c>
      <c r="AK141">
        <f>IF('Исходные данные'!$B$51="Да",-MAX(0,AG141+Расчёты!R141+Расчёты!V141-Расчёты!P141-Расчёты!T141-AJ141),0)</f>
        <v>0</v>
      </c>
      <c r="AL141">
        <f>IF('Исходные данные'!$B$51="Да",MAX(0,AJ141+Расчёты!P141+Расчёты!T141-AG141-Расчёты!R141-Расчёты!V141),0)</f>
        <v>0</v>
      </c>
      <c r="AM141">
        <f>IF('Исходные данные'!$B$53="Выручка",MAX(0,AF141+(Расчёты!Q141-Расчёты!R141)+(Расчёты!U141-Расчёты!V141)),IF('Исходные данные'!$B$53="Прибыль до налога",MAX(0,AF141+(Расчёты!Q141-Расчёты!R141)+(Расчёты!U141-Расчёты!V141)+N('Исходные данные'!$B$54)*((Расчёты!O141+Расчёты!P141)+(Расчёты!S141+Расчёты!T141)+Расчёты!W141+Расчёты!X141)+IF('Исходные данные'!$B$55="Да",Расчёты!AG141,0)-N('Исходные данные'!$B$56)/12),IF('Исходные данные'!$B$53="Пользовательская база",MAX(0,N('Исходные данные'!$B$57)/12),0)))</f>
        <v>0</v>
      </c>
      <c r="AN141">
        <f>IF(D141=1,-AM141*N('Исходные данные'!$B$50),0)</f>
        <v>0</v>
      </c>
      <c r="AO141">
        <f t="shared" si="84"/>
        <v>0</v>
      </c>
      <c r="AP141">
        <f>IF(OR(D141&lt;&gt;1,B141="",'Исходные данные'!$B$91="",N('Исходные данные'!$B$80)&lt;=0,'Исходные данные'!$B$88=""),0,IF(AND(YEAR(B141)=YEAR('Исходные данные'!$B$91),MONTH(B141)=MONTH('Исходные данные'!$B$91)),MAX(0,IF('Исходные данные'!$B$88="Последние 12 месяцев",SUMIFS($AI$2:$AI$194,$B$2:$B$194,"&gt;="&amp;EDATE(B141,-11),$B$2:$B$194,"&lt;="&amp;B141),IF('Исходные данные'!$B$88="Пользовательский NOI",N('Исходные данные'!$B$89),AO141))/N('Исходные данные'!$B$80)*(1+N('Исходные данные'!$B$81))),0))</f>
        <v>0</v>
      </c>
      <c r="AQ141">
        <f>-AP141*N('Исходные данные'!$B$73)</f>
        <v>0</v>
      </c>
      <c r="AR141">
        <f>IF(AP141=0,0,-N('Исходные данные'!$B$87)-IF('Исходные данные'!$B$82="Да",IF('Исходные данные'!$B$84="С выручки",AP141,IF('Исходные данные'!$B$84="С прибыли",MAX(0,AP141+AQ141-IF('Исходные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41">
        <f t="shared" si="85"/>
        <v>0</v>
      </c>
      <c r="AT141">
        <f>IF(D141=1,Расчёты!AZ141+AH141+AK141+AN141+AS141,0)</f>
        <v>0</v>
      </c>
      <c r="AU141" t="str">
        <f t="shared" si="93"/>
        <v/>
      </c>
      <c r="AV141">
        <f>IF(OR(D141=0,'Исходные данные'!$B$9="",'Исходные данные'!$B$90=""),0,AT141/(1+'Исходные данные'!$B$90)^((C141-'Исходные данные'!$B$9)/365))</f>
        <v>0</v>
      </c>
      <c r="AW141">
        <f>IF(D141=1,AH141+Расчёты!O141+Расчёты!Q141+Расчёты!S141+Расчёты!U141+Расчёты!W141+Расчёты!X141+AK141+AN141,0)</f>
        <v>0</v>
      </c>
      <c r="AX141">
        <f>IF(AND(D141=1,AU141&gt;=0,AU140&lt;0,MIN($AU$2:AU141)&lt;0),1,0)</f>
        <v>0</v>
      </c>
      <c r="AY141">
        <f>IF(Расчёты!F141=0,0,IF(Расчёты!G141=1,N('Сценарный анализ'!$D$5),IF(Расчёты!G141=2,N('Сценарный анализ'!$D$6),IF(Расчёты!G141=3,N('Сценарный анализ'!$D$7),N('Сценарный анализ'!$D$7)*(1+N('Сценарный анализ'!$D$8))^(Расчёты!G141-3)))))</f>
        <v>0</v>
      </c>
      <c r="AZ141">
        <f>IF(OR(Расчёты!F141=0,N('Исходные данные'!$B$5)=0,AY141=0),0,N('Исходные данные'!$B$5)*AY141*IF(AND(B141&lt;='Исходные данные'!$B$30,Расчёты!C141&gt;='Исходные данные'!$B$30),(Расчёты!C141-'Исходные данные'!$B$30+1)/DAY(Расчёты!C141),1))</f>
        <v>0</v>
      </c>
      <c r="BA141">
        <f>IF(AND(Расчёты!F141&gt;0,Расчёты!F141&lt;=N('Исходные данные'!$B$37)),-AZ141,0)</f>
        <v>0</v>
      </c>
      <c r="BB141">
        <f>IF(OR(Расчёты!F141=0,Расчёты!F141&lt;=N('Исходные данные'!$B$37)),0,-(AZ141+BA141)*N('Сценарный анализ'!$D$9))</f>
        <v>0</v>
      </c>
      <c r="BC141">
        <f t="shared" si="86"/>
        <v>0</v>
      </c>
      <c r="BD141">
        <f>IF('Исходные данные'!$B$51="Да",BC141*N('Исходные данные'!$B$52),0)</f>
        <v>0</v>
      </c>
      <c r="BE141">
        <f t="shared" si="87"/>
        <v>0</v>
      </c>
      <c r="BF141">
        <f>BC141+(Расчёты!Y141-Расчёты!L141)</f>
        <v>0</v>
      </c>
      <c r="BG141">
        <f t="shared" si="94"/>
        <v>0</v>
      </c>
      <c r="BH141">
        <f>IF('Исходные данные'!$B$51="Да",-MAX(0,BD141+Расчёты!R141+Расчёты!V141-Расчёты!P141-Расчёты!T141-BG141),0)</f>
        <v>0</v>
      </c>
      <c r="BI141">
        <f>IF('Исходные данные'!$B$51="Да",MAX(0,BG141+Расчёты!P141+Расчёты!T141-BD141-Расчёты!R141-Расчёты!V141),0)</f>
        <v>0</v>
      </c>
      <c r="BJ141">
        <f>IF('Исходные данные'!$B$53="Выручка",MAX(0,BC141+(Расчёты!Q141-Расчёты!R141)+(Расчёты!U141-Расчёты!V141)),IF('Исходные данные'!$B$53="Прибыль до налога",MAX(0,BC141+(Расчёты!Q141-Расчёты!R141)+(Расчёты!U141-Расчёты!V141)+N('Исходные данные'!$B$54)*((Расчёты!O141+Расчёты!P141)+(Расчёты!S141+Расчёты!T141)+Расчёты!W141+Расчёты!X141)+IF('Исходные данные'!$B$55="Да",Расчёты!AG141,0)-N('Исходные данные'!$B$56)/12),IF('Исходные данные'!$B$53="Пользовательская база",MAX(0,N('Исходные данные'!$B$57)/12),0)))</f>
        <v>0</v>
      </c>
      <c r="BK141">
        <f>IF(D141=1,-BJ141*N('Исходные данные'!$B$50),0)</f>
        <v>0</v>
      </c>
      <c r="BL141">
        <f t="shared" si="88"/>
        <v>0</v>
      </c>
      <c r="BM141">
        <f>IF(OR(D141&lt;&gt;1,B141="",'Исходные данные'!$B$91="",N('Исходные данные'!$B$80)&lt;=0,'Исходные данные'!$B$88=""),0,IF(AND(YEAR(B141)=YEAR('Исходные данные'!$B$91),MONTH(B141)=MONTH('Исходные данные'!$B$91)),MAX(0,IF('Исходные данные'!$B$88="Последние 12 месяцев",SUMIFS($BF$2:$BF$194,$B$2:$B$194,"&gt;="&amp;EDATE(B141,-11),$B$2:$B$194,"&lt;="&amp;B141),IF('Исходные данные'!$B$88="Пользовательский NOI",N('Исходные данные'!$B$89),BL141))/N('Исходные данные'!$B$80)*(1+N('Исходные данные'!$B$81))),0))</f>
        <v>0</v>
      </c>
      <c r="BN141">
        <f>-BM141*N('Исходные данные'!$B$73)</f>
        <v>0</v>
      </c>
      <c r="BO141">
        <f>IF(BM141=0,0,-N('Исходные данные'!$B$87)-IF('Исходные данные'!$B$82="Да",IF('Исходные данные'!$B$84="С выручки",BM141,IF('Исходные данные'!$B$84="С прибыли",MAX(0,BM141+BN141-IF('Исходные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41">
        <f t="shared" si="89"/>
        <v>0</v>
      </c>
      <c r="BQ141">
        <f>IF(D141=1,Расчёты!AZ141+BE141+BH141+BK141+BP141,0)</f>
        <v>0</v>
      </c>
      <c r="BR141" t="str">
        <f t="shared" si="95"/>
        <v/>
      </c>
      <c r="BS141">
        <f>IF(OR(D141=0,'Исходные данные'!$B$9="",'Исходные данные'!$B$90=""),0,BQ141/(1+'Исходные данные'!$B$90)^((C141-'Исходные данные'!$B$9)/365))</f>
        <v>0</v>
      </c>
      <c r="BT141">
        <f>IF(D141=1,BE141+Расчёты!O141+Расчёты!Q141+Расчёты!S141+Расчёты!U141+Расчёты!W141+Расчёты!X141+BH141+BK141,0)</f>
        <v>0</v>
      </c>
      <c r="BU141">
        <f>IF(AND(D141=1,BR141&gt;=0,BR140&lt;0,MIN($BR$2:BR141)&lt;0),1,0)</f>
        <v>0</v>
      </c>
      <c r="BV141">
        <f>Расчёты!AZ141+K141+N141-P141*N('Исходные данные'!$B$50)</f>
        <v>0</v>
      </c>
      <c r="BW141">
        <f t="shared" si="96"/>
        <v>0</v>
      </c>
      <c r="BX141">
        <f>IF(AND(BW141&gt;=0,BW140&lt;0,MIN($BW$2:BW141)&lt;0),1,0)</f>
        <v>0</v>
      </c>
      <c r="BY141">
        <f>Расчёты!AZ141+AH141+AK141-AM141*N('Исходные данные'!$B$50)</f>
        <v>0</v>
      </c>
      <c r="BZ141">
        <f t="shared" si="97"/>
        <v>0</v>
      </c>
      <c r="CA141">
        <f>IF(AND(BZ141&gt;=0,BZ140&lt;0,MIN($BZ$2:BZ141)&lt;0),1,0)</f>
        <v>0</v>
      </c>
      <c r="CB141">
        <f>Расчёты!AZ141+BE141+BH141-BJ141*N('Исходные данные'!$B$50)</f>
        <v>0</v>
      </c>
      <c r="CC141">
        <f t="shared" si="98"/>
        <v>0</v>
      </c>
      <c r="CD141">
        <f>IF(AND(CC141&gt;=0,CC140&lt;0,MIN($CC$2:CC141)&lt;0),1,0)</f>
        <v>0</v>
      </c>
    </row>
    <row r="142" spans="1:82" x14ac:dyDescent="0.2">
      <c r="A142">
        <f>Расчёты!A142</f>
        <v>141</v>
      </c>
      <c r="B142" t="str">
        <f>Расчёты!B142</f>
        <v/>
      </c>
      <c r="C142" t="str">
        <f>Расчёты!D142</f>
        <v/>
      </c>
      <c r="D142">
        <f>Расчёты!E142</f>
        <v>0</v>
      </c>
      <c r="E142">
        <f>IF(Расчёты!F142=0,0,IF(Расчёты!G142=1,N('Сценарный анализ'!$B$5),IF(Расчёты!G142=2,N('Сценарный анализ'!$B$6),IF(Расчёты!G142=3,N('Сценарный анализ'!$B$7),N('Сценарный анализ'!$B$7)*(1+N('Сценарный анализ'!$B$8))^(Расчёты!G142-3)))))</f>
        <v>0</v>
      </c>
      <c r="F142">
        <f>IF(OR(Расчёты!F142=0,N('Исходные данные'!$B$5)=0,E142=0),0,N('Исходные данные'!$B$5)*E142*IF(AND(B142&lt;='Исходные данные'!$B$30,Расчёты!C142&gt;='Исходные данные'!$B$30),(Расчёты!C142-'Исходные данные'!$B$30+1)/DAY(Расчёты!C142),1))</f>
        <v>0</v>
      </c>
      <c r="G142">
        <f>IF(AND(Расчёты!F142&gt;0,Расчёты!F142&lt;=N('Исходные данные'!$B$37)),-F142,0)</f>
        <v>0</v>
      </c>
      <c r="H142">
        <f>IF(OR(Расчёты!F142=0,Расчёты!F142&lt;=N('Исходные данные'!$B$37)),0,-(F142+G142)*N('Сценарный анализ'!$B$9))</f>
        <v>0</v>
      </c>
      <c r="I142">
        <f t="shared" si="78"/>
        <v>0</v>
      </c>
      <c r="J142">
        <f>IF('Исходные данные'!$B$51="Да",I142*N('Исходные данные'!$B$52),0)</f>
        <v>0</v>
      </c>
      <c r="K142">
        <f t="shared" si="79"/>
        <v>0</v>
      </c>
      <c r="L142">
        <f>I142+(Расчёты!Y142-Расчёты!L142)</f>
        <v>0</v>
      </c>
      <c r="M142">
        <f t="shared" si="90"/>
        <v>0</v>
      </c>
      <c r="N142">
        <f>IF('Исходные данные'!$B$51="Да",-MAX(0,J142+Расчёты!R142+Расчёты!V142-Расчёты!P142-Расчёты!T142-M142),0)</f>
        <v>0</v>
      </c>
      <c r="O142">
        <f>IF('Исходные данные'!$B$51="Да",MAX(0,M142+Расчёты!P142+Расчёты!T142-J142-Расчёты!R142-Расчёты!V142),0)</f>
        <v>0</v>
      </c>
      <c r="P142">
        <f>IF('Исходные данные'!$B$53="Выручка",MAX(0,I142+(Расчёты!Q142-Расчёты!R142)+(Расчёты!U142-Расчёты!V142)),IF('Исходные данные'!$B$53="Прибыль до налога",MAX(0,I142+(Расчёты!Q142-Расчёты!R142)+(Расчёты!U142-Расчёты!V142)+N('Исходные данные'!$B$54)*((Расчёты!O142+Расчёты!P142)+(Расчёты!S142+Расчёты!T142)+Расчёты!W142+Расчёты!X142)+IF('Исходные данные'!$B$55="Да",Расчёты!AG142,0)-N('Исходные данные'!$B$56)/12),IF('Исходные данные'!$B$53="Пользовательская база",MAX(0,N('Исходные данные'!$B$57)/12),0)))</f>
        <v>0</v>
      </c>
      <c r="Q142">
        <f>IF(D142=1,-P142*N('Исходные данные'!$B$50),0)</f>
        <v>0</v>
      </c>
      <c r="R142">
        <f t="shared" si="80"/>
        <v>0</v>
      </c>
      <c r="S142">
        <f>IF(OR(D142&lt;&gt;1,B142="",'Исходные данные'!$B$91="",N('Исходные данные'!$B$80)&lt;=0,'Исходные данные'!$B$88=""),0,IF(AND(YEAR(B142)=YEAR('Исходные данные'!$B$91),MONTH(B142)=MONTH('Исходные данные'!$B$91)),MAX(0,IF('Исходные данные'!$B$88="Последние 12 месяцев",SUMIFS($L$2:$L$194,$B$2:$B$194,"&gt;="&amp;EDATE(B142,-11),$B$2:$B$194,"&lt;="&amp;B142),IF('Исходные данные'!$B$88="Пользовательский NOI",N('Исходные данные'!$B$89),R142))/N('Исходные данные'!$B$80)*(1+N('Исходные данные'!$B$81))),0))</f>
        <v>0</v>
      </c>
      <c r="T142">
        <f>-S142*N('Исходные данные'!$B$73)</f>
        <v>0</v>
      </c>
      <c r="U142">
        <f>IF(S142=0,0,-N('Исходные данные'!$B$87)-IF('Исходные данные'!$B$82="Да",IF('Исходные данные'!$B$84="С выручки",S142,IF('Исходные данные'!$B$84="С прибыли",MAX(0,S142+T142-IF('Исходные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42">
        <f t="shared" si="81"/>
        <v>0</v>
      </c>
      <c r="W142">
        <f>IF(D142=1,Расчёты!AZ142+K142+N142+Q142+V142,0)</f>
        <v>0</v>
      </c>
      <c r="X142" t="str">
        <f t="shared" si="91"/>
        <v/>
      </c>
      <c r="Y142">
        <f>IF(OR(D142=0,'Исходные данные'!$B$9="",'Исходные данные'!$B$90=""),0,W142/(1+'Исходные данные'!$B$90)^((C142-'Исходные данные'!$B$9)/365))</f>
        <v>0</v>
      </c>
      <c r="Z142">
        <f>IF(D142=1,K142+Расчёты!O142+Расчёты!Q142+Расчёты!S142+Расчёты!U142+Расчёты!W142+Расчёты!X142+N142+Q142,0)</f>
        <v>0</v>
      </c>
      <c r="AA142">
        <f>IF(AND(D142=1,X142&gt;=0,X141&lt;0,MIN($X$2:X142)&lt;0),1,0)</f>
        <v>0</v>
      </c>
      <c r="AB142">
        <f>IF(Расчёты!F142=0,0,IF(Расчёты!G142=1,N('Сценарный анализ'!$C$5),IF(Расчёты!G142=2,N('Сценарный анализ'!$C$6),IF(Расчёты!G142=3,N('Сценарный анализ'!$C$7),N('Сценарный анализ'!$C$7)*(1+N('Сценарный анализ'!$C$8))^(Расчёты!G142-3)))))</f>
        <v>0</v>
      </c>
      <c r="AC142">
        <f>IF(OR(Расчёты!F142=0,N('Исходные данные'!$B$5)=0,AB142=0),0,N('Исходные данные'!$B$5)*AB142*IF(AND(B142&lt;='Исходные данные'!$B$30,Расчёты!C142&gt;='Исходные данные'!$B$30),(Расчёты!C142-'Исходные данные'!$B$30+1)/DAY(Расчёты!C142),1))</f>
        <v>0</v>
      </c>
      <c r="AD142">
        <f>IF(AND(Расчёты!F142&gt;0,Расчёты!F142&lt;=N('Исходные данные'!$B$37)),-AC142,0)</f>
        <v>0</v>
      </c>
      <c r="AE142">
        <f>IF(OR(Расчёты!F142=0,Расчёты!F142&lt;=N('Исходные данные'!$B$37)),0,-(AC142+AD142)*N('Сценарный анализ'!$C$9))</f>
        <v>0</v>
      </c>
      <c r="AF142">
        <f t="shared" si="82"/>
        <v>0</v>
      </c>
      <c r="AG142">
        <f>IF('Исходные данные'!$B$51="Да",AF142*N('Исходные данные'!$B$52),0)</f>
        <v>0</v>
      </c>
      <c r="AH142">
        <f t="shared" si="83"/>
        <v>0</v>
      </c>
      <c r="AI142">
        <f>AF142+(Расчёты!Y142-Расчёты!L142)</f>
        <v>0</v>
      </c>
      <c r="AJ142">
        <f t="shared" si="92"/>
        <v>0</v>
      </c>
      <c r="AK142">
        <f>IF('Исходные данные'!$B$51="Да",-MAX(0,AG142+Расчёты!R142+Расчёты!V142-Расчёты!P142-Расчёты!T142-AJ142),0)</f>
        <v>0</v>
      </c>
      <c r="AL142">
        <f>IF('Исходные данные'!$B$51="Да",MAX(0,AJ142+Расчёты!P142+Расчёты!T142-AG142-Расчёты!R142-Расчёты!V142),0)</f>
        <v>0</v>
      </c>
      <c r="AM142">
        <f>IF('Исходные данные'!$B$53="Выручка",MAX(0,AF142+(Расчёты!Q142-Расчёты!R142)+(Расчёты!U142-Расчёты!V142)),IF('Исходные данные'!$B$53="Прибыль до налога",MAX(0,AF142+(Расчёты!Q142-Расчёты!R142)+(Расчёты!U142-Расчёты!V142)+N('Исходные данные'!$B$54)*((Расчёты!O142+Расчёты!P142)+(Расчёты!S142+Расчёты!T142)+Расчёты!W142+Расчёты!X142)+IF('Исходные данные'!$B$55="Да",Расчёты!AG142,0)-N('Исходные данные'!$B$56)/12),IF('Исходные данные'!$B$53="Пользовательская база",MAX(0,N('Исходные данные'!$B$57)/12),0)))</f>
        <v>0</v>
      </c>
      <c r="AN142">
        <f>IF(D142=1,-AM142*N('Исходные данные'!$B$50),0)</f>
        <v>0</v>
      </c>
      <c r="AO142">
        <f t="shared" si="84"/>
        <v>0</v>
      </c>
      <c r="AP142">
        <f>IF(OR(D142&lt;&gt;1,B142="",'Исходные данные'!$B$91="",N('Исходные данные'!$B$80)&lt;=0,'Исходные данные'!$B$88=""),0,IF(AND(YEAR(B142)=YEAR('Исходные данные'!$B$91),MONTH(B142)=MONTH('Исходные данные'!$B$91)),MAX(0,IF('Исходные данные'!$B$88="Последние 12 месяцев",SUMIFS($AI$2:$AI$194,$B$2:$B$194,"&gt;="&amp;EDATE(B142,-11),$B$2:$B$194,"&lt;="&amp;B142),IF('Исходные данные'!$B$88="Пользовательский NOI",N('Исходные данные'!$B$89),AO142))/N('Исходные данные'!$B$80)*(1+N('Исходные данные'!$B$81))),0))</f>
        <v>0</v>
      </c>
      <c r="AQ142">
        <f>-AP142*N('Исходные данные'!$B$73)</f>
        <v>0</v>
      </c>
      <c r="AR142">
        <f>IF(AP142=0,0,-N('Исходные данные'!$B$87)-IF('Исходные данные'!$B$82="Да",IF('Исходные данные'!$B$84="С выручки",AP142,IF('Исходные данные'!$B$84="С прибыли",MAX(0,AP142+AQ142-IF('Исходные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42">
        <f t="shared" si="85"/>
        <v>0</v>
      </c>
      <c r="AT142">
        <f>IF(D142=1,Расчёты!AZ142+AH142+AK142+AN142+AS142,0)</f>
        <v>0</v>
      </c>
      <c r="AU142" t="str">
        <f t="shared" si="93"/>
        <v/>
      </c>
      <c r="AV142">
        <f>IF(OR(D142=0,'Исходные данные'!$B$9="",'Исходные данные'!$B$90=""),0,AT142/(1+'Исходные данные'!$B$90)^((C142-'Исходные данные'!$B$9)/365))</f>
        <v>0</v>
      </c>
      <c r="AW142">
        <f>IF(D142=1,AH142+Расчёты!O142+Расчёты!Q142+Расчёты!S142+Расчёты!U142+Расчёты!W142+Расчёты!X142+AK142+AN142,0)</f>
        <v>0</v>
      </c>
      <c r="AX142">
        <f>IF(AND(D142=1,AU142&gt;=0,AU141&lt;0,MIN($AU$2:AU142)&lt;0),1,0)</f>
        <v>0</v>
      </c>
      <c r="AY142">
        <f>IF(Расчёты!F142=0,0,IF(Расчёты!G142=1,N('Сценарный анализ'!$D$5),IF(Расчёты!G142=2,N('Сценарный анализ'!$D$6),IF(Расчёты!G142=3,N('Сценарный анализ'!$D$7),N('Сценарный анализ'!$D$7)*(1+N('Сценарный анализ'!$D$8))^(Расчёты!G142-3)))))</f>
        <v>0</v>
      </c>
      <c r="AZ142">
        <f>IF(OR(Расчёты!F142=0,N('Исходные данные'!$B$5)=0,AY142=0),0,N('Исходные данные'!$B$5)*AY142*IF(AND(B142&lt;='Исходные данные'!$B$30,Расчёты!C142&gt;='Исходные данные'!$B$30),(Расчёты!C142-'Исходные данные'!$B$30+1)/DAY(Расчёты!C142),1))</f>
        <v>0</v>
      </c>
      <c r="BA142">
        <f>IF(AND(Расчёты!F142&gt;0,Расчёты!F142&lt;=N('Исходные данные'!$B$37)),-AZ142,0)</f>
        <v>0</v>
      </c>
      <c r="BB142">
        <f>IF(OR(Расчёты!F142=0,Расчёты!F142&lt;=N('Исходные данные'!$B$37)),0,-(AZ142+BA142)*N('Сценарный анализ'!$D$9))</f>
        <v>0</v>
      </c>
      <c r="BC142">
        <f t="shared" si="86"/>
        <v>0</v>
      </c>
      <c r="BD142">
        <f>IF('Исходные данные'!$B$51="Да",BC142*N('Исходные данные'!$B$52),0)</f>
        <v>0</v>
      </c>
      <c r="BE142">
        <f t="shared" si="87"/>
        <v>0</v>
      </c>
      <c r="BF142">
        <f>BC142+(Расчёты!Y142-Расчёты!L142)</f>
        <v>0</v>
      </c>
      <c r="BG142">
        <f t="shared" si="94"/>
        <v>0</v>
      </c>
      <c r="BH142">
        <f>IF('Исходные данные'!$B$51="Да",-MAX(0,BD142+Расчёты!R142+Расчёты!V142-Расчёты!P142-Расчёты!T142-BG142),0)</f>
        <v>0</v>
      </c>
      <c r="BI142">
        <f>IF('Исходные данные'!$B$51="Да",MAX(0,BG142+Расчёты!P142+Расчёты!T142-BD142-Расчёты!R142-Расчёты!V142),0)</f>
        <v>0</v>
      </c>
      <c r="BJ142">
        <f>IF('Исходные данные'!$B$53="Выручка",MAX(0,BC142+(Расчёты!Q142-Расчёты!R142)+(Расчёты!U142-Расчёты!V142)),IF('Исходные данные'!$B$53="Прибыль до налога",MAX(0,BC142+(Расчёты!Q142-Расчёты!R142)+(Расчёты!U142-Расчёты!V142)+N('Исходные данные'!$B$54)*((Расчёты!O142+Расчёты!P142)+(Расчёты!S142+Расчёты!T142)+Расчёты!W142+Расчёты!X142)+IF('Исходные данные'!$B$55="Да",Расчёты!AG142,0)-N('Исходные данные'!$B$56)/12),IF('Исходные данные'!$B$53="Пользовательская база",MAX(0,N('Исходные данные'!$B$57)/12),0)))</f>
        <v>0</v>
      </c>
      <c r="BK142">
        <f>IF(D142=1,-BJ142*N('Исходные данные'!$B$50),0)</f>
        <v>0</v>
      </c>
      <c r="BL142">
        <f t="shared" si="88"/>
        <v>0</v>
      </c>
      <c r="BM142">
        <f>IF(OR(D142&lt;&gt;1,B142="",'Исходные данные'!$B$91="",N('Исходные данные'!$B$80)&lt;=0,'Исходные данные'!$B$88=""),0,IF(AND(YEAR(B142)=YEAR('Исходные данные'!$B$91),MONTH(B142)=MONTH('Исходные данные'!$B$91)),MAX(0,IF('Исходные данные'!$B$88="Последние 12 месяцев",SUMIFS($BF$2:$BF$194,$B$2:$B$194,"&gt;="&amp;EDATE(B142,-11),$B$2:$B$194,"&lt;="&amp;B142),IF('Исходные данные'!$B$88="Пользовательский NOI",N('Исходные данные'!$B$89),BL142))/N('Исходные данные'!$B$80)*(1+N('Исходные данные'!$B$81))),0))</f>
        <v>0</v>
      </c>
      <c r="BN142">
        <f>-BM142*N('Исходные данные'!$B$73)</f>
        <v>0</v>
      </c>
      <c r="BO142">
        <f>IF(BM142=0,0,-N('Исходные данные'!$B$87)-IF('Исходные данные'!$B$82="Да",IF('Исходные данные'!$B$84="С выручки",BM142,IF('Исходные данные'!$B$84="С прибыли",MAX(0,BM142+BN142-IF('Исходные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42">
        <f t="shared" si="89"/>
        <v>0</v>
      </c>
      <c r="BQ142">
        <f>IF(D142=1,Расчёты!AZ142+BE142+BH142+BK142+BP142,0)</f>
        <v>0</v>
      </c>
      <c r="BR142" t="str">
        <f t="shared" si="95"/>
        <v/>
      </c>
      <c r="BS142">
        <f>IF(OR(D142=0,'Исходные данные'!$B$9="",'Исходные данные'!$B$90=""),0,BQ142/(1+'Исходные данные'!$B$90)^((C142-'Исходные данные'!$B$9)/365))</f>
        <v>0</v>
      </c>
      <c r="BT142">
        <f>IF(D142=1,BE142+Расчёты!O142+Расчёты!Q142+Расчёты!S142+Расчёты!U142+Расчёты!W142+Расчёты!X142+BH142+BK142,0)</f>
        <v>0</v>
      </c>
      <c r="BU142">
        <f>IF(AND(D142=1,BR142&gt;=0,BR141&lt;0,MIN($BR$2:BR142)&lt;0),1,0)</f>
        <v>0</v>
      </c>
      <c r="BV142">
        <f>Расчёты!AZ142+K142+N142-P142*N('Исходные данные'!$B$50)</f>
        <v>0</v>
      </c>
      <c r="BW142">
        <f t="shared" si="96"/>
        <v>0</v>
      </c>
      <c r="BX142">
        <f>IF(AND(BW142&gt;=0,BW141&lt;0,MIN($BW$2:BW142)&lt;0),1,0)</f>
        <v>0</v>
      </c>
      <c r="BY142">
        <f>Расчёты!AZ142+AH142+AK142-AM142*N('Исходные данные'!$B$50)</f>
        <v>0</v>
      </c>
      <c r="BZ142">
        <f t="shared" si="97"/>
        <v>0</v>
      </c>
      <c r="CA142">
        <f>IF(AND(BZ142&gt;=0,BZ141&lt;0,MIN($BZ$2:BZ142)&lt;0),1,0)</f>
        <v>0</v>
      </c>
      <c r="CB142">
        <f>Расчёты!AZ142+BE142+BH142-BJ142*N('Исходные данные'!$B$50)</f>
        <v>0</v>
      </c>
      <c r="CC142">
        <f t="shared" si="98"/>
        <v>0</v>
      </c>
      <c r="CD142">
        <f>IF(AND(CC142&gt;=0,CC141&lt;0,MIN($CC$2:CC142)&lt;0),1,0)</f>
        <v>0</v>
      </c>
    </row>
    <row r="143" spans="1:82" x14ac:dyDescent="0.2">
      <c r="A143">
        <f>Расчёты!A143</f>
        <v>142</v>
      </c>
      <c r="B143" t="str">
        <f>Расчёты!B143</f>
        <v/>
      </c>
      <c r="C143" t="str">
        <f>Расчёты!D143</f>
        <v/>
      </c>
      <c r="D143">
        <f>Расчёты!E143</f>
        <v>0</v>
      </c>
      <c r="E143">
        <f>IF(Расчёты!F143=0,0,IF(Расчёты!G143=1,N('Сценарный анализ'!$B$5),IF(Расчёты!G143=2,N('Сценарный анализ'!$B$6),IF(Расчёты!G143=3,N('Сценарный анализ'!$B$7),N('Сценарный анализ'!$B$7)*(1+N('Сценарный анализ'!$B$8))^(Расчёты!G143-3)))))</f>
        <v>0</v>
      </c>
      <c r="F143">
        <f>IF(OR(Расчёты!F143=0,N('Исходные данные'!$B$5)=0,E143=0),0,N('Исходные данные'!$B$5)*E143*IF(AND(B143&lt;='Исходные данные'!$B$30,Расчёты!C143&gt;='Исходные данные'!$B$30),(Расчёты!C143-'Исходные данные'!$B$30+1)/DAY(Расчёты!C143),1))</f>
        <v>0</v>
      </c>
      <c r="G143">
        <f>IF(AND(Расчёты!F143&gt;0,Расчёты!F143&lt;=N('Исходные данные'!$B$37)),-F143,0)</f>
        <v>0</v>
      </c>
      <c r="H143">
        <f>IF(OR(Расчёты!F143=0,Расчёты!F143&lt;=N('Исходные данные'!$B$37)),0,-(F143+G143)*N('Сценарный анализ'!$B$9))</f>
        <v>0</v>
      </c>
      <c r="I143">
        <f t="shared" si="78"/>
        <v>0</v>
      </c>
      <c r="J143">
        <f>IF('Исходные данные'!$B$51="Да",I143*N('Исходные данные'!$B$52),0)</f>
        <v>0</v>
      </c>
      <c r="K143">
        <f t="shared" si="79"/>
        <v>0</v>
      </c>
      <c r="L143">
        <f>I143+(Расчёты!Y143-Расчёты!L143)</f>
        <v>0</v>
      </c>
      <c r="M143">
        <f t="shared" si="90"/>
        <v>0</v>
      </c>
      <c r="N143">
        <f>IF('Исходные данные'!$B$51="Да",-MAX(0,J143+Расчёты!R143+Расчёты!V143-Расчёты!P143-Расчёты!T143-M143),0)</f>
        <v>0</v>
      </c>
      <c r="O143">
        <f>IF('Исходные данные'!$B$51="Да",MAX(0,M143+Расчёты!P143+Расчёты!T143-J143-Расчёты!R143-Расчёты!V143),0)</f>
        <v>0</v>
      </c>
      <c r="P143">
        <f>IF('Исходные данные'!$B$53="Выручка",MAX(0,I143+(Расчёты!Q143-Расчёты!R143)+(Расчёты!U143-Расчёты!V143)),IF('Исходные данные'!$B$53="Прибыль до налога",MAX(0,I143+(Расчёты!Q143-Расчёты!R143)+(Расчёты!U143-Расчёты!V143)+N('Исходные данные'!$B$54)*((Расчёты!O143+Расчёты!P143)+(Расчёты!S143+Расчёты!T143)+Расчёты!W143+Расчёты!X143)+IF('Исходные данные'!$B$55="Да",Расчёты!AG143,0)-N('Исходные данные'!$B$56)/12),IF('Исходные данные'!$B$53="Пользовательская база",MAX(0,N('Исходные данные'!$B$57)/12),0)))</f>
        <v>0</v>
      </c>
      <c r="Q143">
        <f>IF(D143=1,-P143*N('Исходные данные'!$B$50),0)</f>
        <v>0</v>
      </c>
      <c r="R143">
        <f t="shared" si="80"/>
        <v>0</v>
      </c>
      <c r="S143">
        <f>IF(OR(D143&lt;&gt;1,B143="",'Исходные данные'!$B$91="",N('Исходные данные'!$B$80)&lt;=0,'Исходные данные'!$B$88=""),0,IF(AND(YEAR(B143)=YEAR('Исходные данные'!$B$91),MONTH(B143)=MONTH('Исходные данные'!$B$91)),MAX(0,IF('Исходные данные'!$B$88="Последние 12 месяцев",SUMIFS($L$2:$L$194,$B$2:$B$194,"&gt;="&amp;EDATE(B143,-11),$B$2:$B$194,"&lt;="&amp;B143),IF('Исходные данные'!$B$88="Пользовательский NOI",N('Исходные данные'!$B$89),R143))/N('Исходные данные'!$B$80)*(1+N('Исходные данные'!$B$81))),0))</f>
        <v>0</v>
      </c>
      <c r="T143">
        <f>-S143*N('Исходные данные'!$B$73)</f>
        <v>0</v>
      </c>
      <c r="U143">
        <f>IF(S143=0,0,-N('Исходные данные'!$B$87)-IF('Исходные данные'!$B$82="Да",IF('Исходные данные'!$B$84="С выручки",S143,IF('Исходные данные'!$B$84="С прибыли",MAX(0,S143+T143-IF('Исходные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43">
        <f t="shared" si="81"/>
        <v>0</v>
      </c>
      <c r="W143">
        <f>IF(D143=1,Расчёты!AZ143+K143+N143+Q143+V143,0)</f>
        <v>0</v>
      </c>
      <c r="X143" t="str">
        <f t="shared" si="91"/>
        <v/>
      </c>
      <c r="Y143">
        <f>IF(OR(D143=0,'Исходные данные'!$B$9="",'Исходные данные'!$B$90=""),0,W143/(1+'Исходные данные'!$B$90)^((C143-'Исходные данные'!$B$9)/365))</f>
        <v>0</v>
      </c>
      <c r="Z143">
        <f>IF(D143=1,K143+Расчёты!O143+Расчёты!Q143+Расчёты!S143+Расчёты!U143+Расчёты!W143+Расчёты!X143+N143+Q143,0)</f>
        <v>0</v>
      </c>
      <c r="AA143">
        <f>IF(AND(D143=1,X143&gt;=0,X142&lt;0,MIN($X$2:X143)&lt;0),1,0)</f>
        <v>0</v>
      </c>
      <c r="AB143">
        <f>IF(Расчёты!F143=0,0,IF(Расчёты!G143=1,N('Сценарный анализ'!$C$5),IF(Расчёты!G143=2,N('Сценарный анализ'!$C$6),IF(Расчёты!G143=3,N('Сценарный анализ'!$C$7),N('Сценарный анализ'!$C$7)*(1+N('Сценарный анализ'!$C$8))^(Расчёты!G143-3)))))</f>
        <v>0</v>
      </c>
      <c r="AC143">
        <f>IF(OR(Расчёты!F143=0,N('Исходные данные'!$B$5)=0,AB143=0),0,N('Исходные данные'!$B$5)*AB143*IF(AND(B143&lt;='Исходные данные'!$B$30,Расчёты!C143&gt;='Исходные данные'!$B$30),(Расчёты!C143-'Исходные данные'!$B$30+1)/DAY(Расчёты!C143),1))</f>
        <v>0</v>
      </c>
      <c r="AD143">
        <f>IF(AND(Расчёты!F143&gt;0,Расчёты!F143&lt;=N('Исходные данные'!$B$37)),-AC143,0)</f>
        <v>0</v>
      </c>
      <c r="AE143">
        <f>IF(OR(Расчёты!F143=0,Расчёты!F143&lt;=N('Исходные данные'!$B$37)),0,-(AC143+AD143)*N('Сценарный анализ'!$C$9))</f>
        <v>0</v>
      </c>
      <c r="AF143">
        <f t="shared" si="82"/>
        <v>0</v>
      </c>
      <c r="AG143">
        <f>IF('Исходные данные'!$B$51="Да",AF143*N('Исходные данные'!$B$52),0)</f>
        <v>0</v>
      </c>
      <c r="AH143">
        <f t="shared" si="83"/>
        <v>0</v>
      </c>
      <c r="AI143">
        <f>AF143+(Расчёты!Y143-Расчёты!L143)</f>
        <v>0</v>
      </c>
      <c r="AJ143">
        <f t="shared" si="92"/>
        <v>0</v>
      </c>
      <c r="AK143">
        <f>IF('Исходные данные'!$B$51="Да",-MAX(0,AG143+Расчёты!R143+Расчёты!V143-Расчёты!P143-Расчёты!T143-AJ143),0)</f>
        <v>0</v>
      </c>
      <c r="AL143">
        <f>IF('Исходные данные'!$B$51="Да",MAX(0,AJ143+Расчёты!P143+Расчёты!T143-AG143-Расчёты!R143-Расчёты!V143),0)</f>
        <v>0</v>
      </c>
      <c r="AM143">
        <f>IF('Исходные данные'!$B$53="Выручка",MAX(0,AF143+(Расчёты!Q143-Расчёты!R143)+(Расчёты!U143-Расчёты!V143)),IF('Исходные данные'!$B$53="Прибыль до налога",MAX(0,AF143+(Расчёты!Q143-Расчёты!R143)+(Расчёты!U143-Расчёты!V143)+N('Исходные данные'!$B$54)*((Расчёты!O143+Расчёты!P143)+(Расчёты!S143+Расчёты!T143)+Расчёты!W143+Расчёты!X143)+IF('Исходные данные'!$B$55="Да",Расчёты!AG143,0)-N('Исходные данные'!$B$56)/12),IF('Исходные данные'!$B$53="Пользовательская база",MAX(0,N('Исходные данные'!$B$57)/12),0)))</f>
        <v>0</v>
      </c>
      <c r="AN143">
        <f>IF(D143=1,-AM143*N('Исходные данные'!$B$50),0)</f>
        <v>0</v>
      </c>
      <c r="AO143">
        <f t="shared" si="84"/>
        <v>0</v>
      </c>
      <c r="AP143">
        <f>IF(OR(D143&lt;&gt;1,B143="",'Исходные данные'!$B$91="",N('Исходные данные'!$B$80)&lt;=0,'Исходные данные'!$B$88=""),0,IF(AND(YEAR(B143)=YEAR('Исходные данные'!$B$91),MONTH(B143)=MONTH('Исходные данные'!$B$91)),MAX(0,IF('Исходные данные'!$B$88="Последние 12 месяцев",SUMIFS($AI$2:$AI$194,$B$2:$B$194,"&gt;="&amp;EDATE(B143,-11),$B$2:$B$194,"&lt;="&amp;B143),IF('Исходные данные'!$B$88="Пользовательский NOI",N('Исходные данные'!$B$89),AO143))/N('Исходные данные'!$B$80)*(1+N('Исходные данные'!$B$81))),0))</f>
        <v>0</v>
      </c>
      <c r="AQ143">
        <f>-AP143*N('Исходные данные'!$B$73)</f>
        <v>0</v>
      </c>
      <c r="AR143">
        <f>IF(AP143=0,0,-N('Исходные данные'!$B$87)-IF('Исходные данные'!$B$82="Да",IF('Исходные данные'!$B$84="С выручки",AP143,IF('Исходные данные'!$B$84="С прибыли",MAX(0,AP143+AQ143-IF('Исходные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43">
        <f t="shared" si="85"/>
        <v>0</v>
      </c>
      <c r="AT143">
        <f>IF(D143=1,Расчёты!AZ143+AH143+AK143+AN143+AS143,0)</f>
        <v>0</v>
      </c>
      <c r="AU143" t="str">
        <f t="shared" si="93"/>
        <v/>
      </c>
      <c r="AV143">
        <f>IF(OR(D143=0,'Исходные данные'!$B$9="",'Исходные данные'!$B$90=""),0,AT143/(1+'Исходные данные'!$B$90)^((C143-'Исходные данные'!$B$9)/365))</f>
        <v>0</v>
      </c>
      <c r="AW143">
        <f>IF(D143=1,AH143+Расчёты!O143+Расчёты!Q143+Расчёты!S143+Расчёты!U143+Расчёты!W143+Расчёты!X143+AK143+AN143,0)</f>
        <v>0</v>
      </c>
      <c r="AX143">
        <f>IF(AND(D143=1,AU143&gt;=0,AU142&lt;0,MIN($AU$2:AU143)&lt;0),1,0)</f>
        <v>0</v>
      </c>
      <c r="AY143">
        <f>IF(Расчёты!F143=0,0,IF(Расчёты!G143=1,N('Сценарный анализ'!$D$5),IF(Расчёты!G143=2,N('Сценарный анализ'!$D$6),IF(Расчёты!G143=3,N('Сценарный анализ'!$D$7),N('Сценарный анализ'!$D$7)*(1+N('Сценарный анализ'!$D$8))^(Расчёты!G143-3)))))</f>
        <v>0</v>
      </c>
      <c r="AZ143">
        <f>IF(OR(Расчёты!F143=0,N('Исходные данные'!$B$5)=0,AY143=0),0,N('Исходные данные'!$B$5)*AY143*IF(AND(B143&lt;='Исходные данные'!$B$30,Расчёты!C143&gt;='Исходные данные'!$B$30),(Расчёты!C143-'Исходные данные'!$B$30+1)/DAY(Расчёты!C143),1))</f>
        <v>0</v>
      </c>
      <c r="BA143">
        <f>IF(AND(Расчёты!F143&gt;0,Расчёты!F143&lt;=N('Исходные данные'!$B$37)),-AZ143,0)</f>
        <v>0</v>
      </c>
      <c r="BB143">
        <f>IF(OR(Расчёты!F143=0,Расчёты!F143&lt;=N('Исходные данные'!$B$37)),0,-(AZ143+BA143)*N('Сценарный анализ'!$D$9))</f>
        <v>0</v>
      </c>
      <c r="BC143">
        <f t="shared" si="86"/>
        <v>0</v>
      </c>
      <c r="BD143">
        <f>IF('Исходные данные'!$B$51="Да",BC143*N('Исходные данные'!$B$52),0)</f>
        <v>0</v>
      </c>
      <c r="BE143">
        <f t="shared" si="87"/>
        <v>0</v>
      </c>
      <c r="BF143">
        <f>BC143+(Расчёты!Y143-Расчёты!L143)</f>
        <v>0</v>
      </c>
      <c r="BG143">
        <f t="shared" si="94"/>
        <v>0</v>
      </c>
      <c r="BH143">
        <f>IF('Исходные данные'!$B$51="Да",-MAX(0,BD143+Расчёты!R143+Расчёты!V143-Расчёты!P143-Расчёты!T143-BG143),0)</f>
        <v>0</v>
      </c>
      <c r="BI143">
        <f>IF('Исходные данные'!$B$51="Да",MAX(0,BG143+Расчёты!P143+Расчёты!T143-BD143-Расчёты!R143-Расчёты!V143),0)</f>
        <v>0</v>
      </c>
      <c r="BJ143">
        <f>IF('Исходные данные'!$B$53="Выручка",MAX(0,BC143+(Расчёты!Q143-Расчёты!R143)+(Расчёты!U143-Расчёты!V143)),IF('Исходные данные'!$B$53="Прибыль до налога",MAX(0,BC143+(Расчёты!Q143-Расчёты!R143)+(Расчёты!U143-Расчёты!V143)+N('Исходные данные'!$B$54)*((Расчёты!O143+Расчёты!P143)+(Расчёты!S143+Расчёты!T143)+Расчёты!W143+Расчёты!X143)+IF('Исходные данные'!$B$55="Да",Расчёты!AG143,0)-N('Исходные данные'!$B$56)/12),IF('Исходные данные'!$B$53="Пользовательская база",MAX(0,N('Исходные данные'!$B$57)/12),0)))</f>
        <v>0</v>
      </c>
      <c r="BK143">
        <f>IF(D143=1,-BJ143*N('Исходные данные'!$B$50),0)</f>
        <v>0</v>
      </c>
      <c r="BL143">
        <f t="shared" si="88"/>
        <v>0</v>
      </c>
      <c r="BM143">
        <f>IF(OR(D143&lt;&gt;1,B143="",'Исходные данные'!$B$91="",N('Исходные данные'!$B$80)&lt;=0,'Исходные данные'!$B$88=""),0,IF(AND(YEAR(B143)=YEAR('Исходные данные'!$B$91),MONTH(B143)=MONTH('Исходные данные'!$B$91)),MAX(0,IF('Исходные данные'!$B$88="Последние 12 месяцев",SUMIFS($BF$2:$BF$194,$B$2:$B$194,"&gt;="&amp;EDATE(B143,-11),$B$2:$B$194,"&lt;="&amp;B143),IF('Исходные данные'!$B$88="Пользовательский NOI",N('Исходные данные'!$B$89),BL143))/N('Исходные данные'!$B$80)*(1+N('Исходные данные'!$B$81))),0))</f>
        <v>0</v>
      </c>
      <c r="BN143">
        <f>-BM143*N('Исходные данные'!$B$73)</f>
        <v>0</v>
      </c>
      <c r="BO143">
        <f>IF(BM143=0,0,-N('Исходные данные'!$B$87)-IF('Исходные данные'!$B$82="Да",IF('Исходные данные'!$B$84="С выручки",BM143,IF('Исходные данные'!$B$84="С прибыли",MAX(0,BM143+BN143-IF('Исходные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43">
        <f t="shared" si="89"/>
        <v>0</v>
      </c>
      <c r="BQ143">
        <f>IF(D143=1,Расчёты!AZ143+BE143+BH143+BK143+BP143,0)</f>
        <v>0</v>
      </c>
      <c r="BR143" t="str">
        <f t="shared" si="95"/>
        <v/>
      </c>
      <c r="BS143">
        <f>IF(OR(D143=0,'Исходные данные'!$B$9="",'Исходные данные'!$B$90=""),0,BQ143/(1+'Исходные данные'!$B$90)^((C143-'Исходные данные'!$B$9)/365))</f>
        <v>0</v>
      </c>
      <c r="BT143">
        <f>IF(D143=1,BE143+Расчёты!O143+Расчёты!Q143+Расчёты!S143+Расчёты!U143+Расчёты!W143+Расчёты!X143+BH143+BK143,0)</f>
        <v>0</v>
      </c>
      <c r="BU143">
        <f>IF(AND(D143=1,BR143&gt;=0,BR142&lt;0,MIN($BR$2:BR143)&lt;0),1,0)</f>
        <v>0</v>
      </c>
      <c r="BV143">
        <f>Расчёты!AZ143+K143+N143-P143*N('Исходные данные'!$B$50)</f>
        <v>0</v>
      </c>
      <c r="BW143">
        <f t="shared" si="96"/>
        <v>0</v>
      </c>
      <c r="BX143">
        <f>IF(AND(BW143&gt;=0,BW142&lt;0,MIN($BW$2:BW143)&lt;0),1,0)</f>
        <v>0</v>
      </c>
      <c r="BY143">
        <f>Расчёты!AZ143+AH143+AK143-AM143*N('Исходные данные'!$B$50)</f>
        <v>0</v>
      </c>
      <c r="BZ143">
        <f t="shared" si="97"/>
        <v>0</v>
      </c>
      <c r="CA143">
        <f>IF(AND(BZ143&gt;=0,BZ142&lt;0,MIN($BZ$2:BZ143)&lt;0),1,0)</f>
        <v>0</v>
      </c>
      <c r="CB143">
        <f>Расчёты!AZ143+BE143+BH143-BJ143*N('Исходные данные'!$B$50)</f>
        <v>0</v>
      </c>
      <c r="CC143">
        <f t="shared" si="98"/>
        <v>0</v>
      </c>
      <c r="CD143">
        <f>IF(AND(CC143&gt;=0,CC142&lt;0,MIN($CC$2:CC143)&lt;0),1,0)</f>
        <v>0</v>
      </c>
    </row>
    <row r="144" spans="1:82" x14ac:dyDescent="0.2">
      <c r="A144">
        <f>Расчёты!A144</f>
        <v>143</v>
      </c>
      <c r="B144" t="str">
        <f>Расчёты!B144</f>
        <v/>
      </c>
      <c r="C144" t="str">
        <f>Расчёты!D144</f>
        <v/>
      </c>
      <c r="D144">
        <f>Расчёты!E144</f>
        <v>0</v>
      </c>
      <c r="E144">
        <f>IF(Расчёты!F144=0,0,IF(Расчёты!G144=1,N('Сценарный анализ'!$B$5),IF(Расчёты!G144=2,N('Сценарный анализ'!$B$6),IF(Расчёты!G144=3,N('Сценарный анализ'!$B$7),N('Сценарный анализ'!$B$7)*(1+N('Сценарный анализ'!$B$8))^(Расчёты!G144-3)))))</f>
        <v>0</v>
      </c>
      <c r="F144">
        <f>IF(OR(Расчёты!F144=0,N('Исходные данные'!$B$5)=0,E144=0),0,N('Исходные данные'!$B$5)*E144*IF(AND(B144&lt;='Исходные данные'!$B$30,Расчёты!C144&gt;='Исходные данные'!$B$30),(Расчёты!C144-'Исходные данные'!$B$30+1)/DAY(Расчёты!C144),1))</f>
        <v>0</v>
      </c>
      <c r="G144">
        <f>IF(AND(Расчёты!F144&gt;0,Расчёты!F144&lt;=N('Исходные данные'!$B$37)),-F144,0)</f>
        <v>0</v>
      </c>
      <c r="H144">
        <f>IF(OR(Расчёты!F144=0,Расчёты!F144&lt;=N('Исходные данные'!$B$37)),0,-(F144+G144)*N('Сценарный анализ'!$B$9))</f>
        <v>0</v>
      </c>
      <c r="I144">
        <f t="shared" si="78"/>
        <v>0</v>
      </c>
      <c r="J144">
        <f>IF('Исходные данные'!$B$51="Да",I144*N('Исходные данные'!$B$52),0)</f>
        <v>0</v>
      </c>
      <c r="K144">
        <f t="shared" si="79"/>
        <v>0</v>
      </c>
      <c r="L144">
        <f>I144+(Расчёты!Y144-Расчёты!L144)</f>
        <v>0</v>
      </c>
      <c r="M144">
        <f t="shared" si="90"/>
        <v>0</v>
      </c>
      <c r="N144">
        <f>IF('Исходные данные'!$B$51="Да",-MAX(0,J144+Расчёты!R144+Расчёты!V144-Расчёты!P144-Расчёты!T144-M144),0)</f>
        <v>0</v>
      </c>
      <c r="O144">
        <f>IF('Исходные данные'!$B$51="Да",MAX(0,M144+Расчёты!P144+Расчёты!T144-J144-Расчёты!R144-Расчёты!V144),0)</f>
        <v>0</v>
      </c>
      <c r="P144">
        <f>IF('Исходные данные'!$B$53="Выручка",MAX(0,I144+(Расчёты!Q144-Расчёты!R144)+(Расчёты!U144-Расчёты!V144)),IF('Исходные данные'!$B$53="Прибыль до налога",MAX(0,I144+(Расчёты!Q144-Расчёты!R144)+(Расчёты!U144-Расчёты!V144)+N('Исходные данные'!$B$54)*((Расчёты!O144+Расчёты!P144)+(Расчёты!S144+Расчёты!T144)+Расчёты!W144+Расчёты!X144)+IF('Исходные данные'!$B$55="Да",Расчёты!AG144,0)-N('Исходные данные'!$B$56)/12),IF('Исходные данные'!$B$53="Пользовательская база",MAX(0,N('Исходные данные'!$B$57)/12),0)))</f>
        <v>0</v>
      </c>
      <c r="Q144">
        <f>IF(D144=1,-P144*N('Исходные данные'!$B$50),0)</f>
        <v>0</v>
      </c>
      <c r="R144">
        <f t="shared" si="80"/>
        <v>0</v>
      </c>
      <c r="S144">
        <f>IF(OR(D144&lt;&gt;1,B144="",'Исходные данные'!$B$91="",N('Исходные данные'!$B$80)&lt;=0,'Исходные данные'!$B$88=""),0,IF(AND(YEAR(B144)=YEAR('Исходные данные'!$B$91),MONTH(B144)=MONTH('Исходные данные'!$B$91)),MAX(0,IF('Исходные данные'!$B$88="Последние 12 месяцев",SUMIFS($L$2:$L$194,$B$2:$B$194,"&gt;="&amp;EDATE(B144,-11),$B$2:$B$194,"&lt;="&amp;B144),IF('Исходные данные'!$B$88="Пользовательский NOI",N('Исходные данные'!$B$89),R144))/N('Исходные данные'!$B$80)*(1+N('Исходные данные'!$B$81))),0))</f>
        <v>0</v>
      </c>
      <c r="T144">
        <f>-S144*N('Исходные данные'!$B$73)</f>
        <v>0</v>
      </c>
      <c r="U144">
        <f>IF(S144=0,0,-N('Исходные данные'!$B$87)-IF('Исходные данные'!$B$82="Да",IF('Исходные данные'!$B$84="С выручки",S144,IF('Исходные данные'!$B$84="С прибыли",MAX(0,S144+T144-IF('Исходные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44">
        <f t="shared" si="81"/>
        <v>0</v>
      </c>
      <c r="W144">
        <f>IF(D144=1,Расчёты!AZ144+K144+N144+Q144+V144,0)</f>
        <v>0</v>
      </c>
      <c r="X144" t="str">
        <f t="shared" si="91"/>
        <v/>
      </c>
      <c r="Y144">
        <f>IF(OR(D144=0,'Исходные данные'!$B$9="",'Исходные данные'!$B$90=""),0,W144/(1+'Исходные данные'!$B$90)^((C144-'Исходные данные'!$B$9)/365))</f>
        <v>0</v>
      </c>
      <c r="Z144">
        <f>IF(D144=1,K144+Расчёты!O144+Расчёты!Q144+Расчёты!S144+Расчёты!U144+Расчёты!W144+Расчёты!X144+N144+Q144,0)</f>
        <v>0</v>
      </c>
      <c r="AA144">
        <f>IF(AND(D144=1,X144&gt;=0,X143&lt;0,MIN($X$2:X144)&lt;0),1,0)</f>
        <v>0</v>
      </c>
      <c r="AB144">
        <f>IF(Расчёты!F144=0,0,IF(Расчёты!G144=1,N('Сценарный анализ'!$C$5),IF(Расчёты!G144=2,N('Сценарный анализ'!$C$6),IF(Расчёты!G144=3,N('Сценарный анализ'!$C$7),N('Сценарный анализ'!$C$7)*(1+N('Сценарный анализ'!$C$8))^(Расчёты!G144-3)))))</f>
        <v>0</v>
      </c>
      <c r="AC144">
        <f>IF(OR(Расчёты!F144=0,N('Исходные данные'!$B$5)=0,AB144=0),0,N('Исходные данные'!$B$5)*AB144*IF(AND(B144&lt;='Исходные данные'!$B$30,Расчёты!C144&gt;='Исходные данные'!$B$30),(Расчёты!C144-'Исходные данные'!$B$30+1)/DAY(Расчёты!C144),1))</f>
        <v>0</v>
      </c>
      <c r="AD144">
        <f>IF(AND(Расчёты!F144&gt;0,Расчёты!F144&lt;=N('Исходные данные'!$B$37)),-AC144,0)</f>
        <v>0</v>
      </c>
      <c r="AE144">
        <f>IF(OR(Расчёты!F144=0,Расчёты!F144&lt;=N('Исходные данные'!$B$37)),0,-(AC144+AD144)*N('Сценарный анализ'!$C$9))</f>
        <v>0</v>
      </c>
      <c r="AF144">
        <f t="shared" si="82"/>
        <v>0</v>
      </c>
      <c r="AG144">
        <f>IF('Исходные данные'!$B$51="Да",AF144*N('Исходные данные'!$B$52),0)</f>
        <v>0</v>
      </c>
      <c r="AH144">
        <f t="shared" si="83"/>
        <v>0</v>
      </c>
      <c r="AI144">
        <f>AF144+(Расчёты!Y144-Расчёты!L144)</f>
        <v>0</v>
      </c>
      <c r="AJ144">
        <f t="shared" si="92"/>
        <v>0</v>
      </c>
      <c r="AK144">
        <f>IF('Исходные данные'!$B$51="Да",-MAX(0,AG144+Расчёты!R144+Расчёты!V144-Расчёты!P144-Расчёты!T144-AJ144),0)</f>
        <v>0</v>
      </c>
      <c r="AL144">
        <f>IF('Исходные данные'!$B$51="Да",MAX(0,AJ144+Расчёты!P144+Расчёты!T144-AG144-Расчёты!R144-Расчёты!V144),0)</f>
        <v>0</v>
      </c>
      <c r="AM144">
        <f>IF('Исходные данные'!$B$53="Выручка",MAX(0,AF144+(Расчёты!Q144-Расчёты!R144)+(Расчёты!U144-Расчёты!V144)),IF('Исходные данные'!$B$53="Прибыль до налога",MAX(0,AF144+(Расчёты!Q144-Расчёты!R144)+(Расчёты!U144-Расчёты!V144)+N('Исходные данные'!$B$54)*((Расчёты!O144+Расчёты!P144)+(Расчёты!S144+Расчёты!T144)+Расчёты!W144+Расчёты!X144)+IF('Исходные данные'!$B$55="Да",Расчёты!AG144,0)-N('Исходные данные'!$B$56)/12),IF('Исходные данные'!$B$53="Пользовательская база",MAX(0,N('Исходные данные'!$B$57)/12),0)))</f>
        <v>0</v>
      </c>
      <c r="AN144">
        <f>IF(D144=1,-AM144*N('Исходные данные'!$B$50),0)</f>
        <v>0</v>
      </c>
      <c r="AO144">
        <f t="shared" si="84"/>
        <v>0</v>
      </c>
      <c r="AP144">
        <f>IF(OR(D144&lt;&gt;1,B144="",'Исходные данные'!$B$91="",N('Исходные данные'!$B$80)&lt;=0,'Исходные данные'!$B$88=""),0,IF(AND(YEAR(B144)=YEAR('Исходные данные'!$B$91),MONTH(B144)=MONTH('Исходные данные'!$B$91)),MAX(0,IF('Исходные данные'!$B$88="Последние 12 месяцев",SUMIFS($AI$2:$AI$194,$B$2:$B$194,"&gt;="&amp;EDATE(B144,-11),$B$2:$B$194,"&lt;="&amp;B144),IF('Исходные данные'!$B$88="Пользовательский NOI",N('Исходные данные'!$B$89),AO144))/N('Исходные данные'!$B$80)*(1+N('Исходные данные'!$B$81))),0))</f>
        <v>0</v>
      </c>
      <c r="AQ144">
        <f>-AP144*N('Исходные данные'!$B$73)</f>
        <v>0</v>
      </c>
      <c r="AR144">
        <f>IF(AP144=0,0,-N('Исходные данные'!$B$87)-IF('Исходные данные'!$B$82="Да",IF('Исходные данные'!$B$84="С выручки",AP144,IF('Исходные данные'!$B$84="С прибыли",MAX(0,AP144+AQ144-IF('Исходные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44">
        <f t="shared" si="85"/>
        <v>0</v>
      </c>
      <c r="AT144">
        <f>IF(D144=1,Расчёты!AZ144+AH144+AK144+AN144+AS144,0)</f>
        <v>0</v>
      </c>
      <c r="AU144" t="str">
        <f t="shared" si="93"/>
        <v/>
      </c>
      <c r="AV144">
        <f>IF(OR(D144=0,'Исходные данные'!$B$9="",'Исходные данные'!$B$90=""),0,AT144/(1+'Исходные данные'!$B$90)^((C144-'Исходные данные'!$B$9)/365))</f>
        <v>0</v>
      </c>
      <c r="AW144">
        <f>IF(D144=1,AH144+Расчёты!O144+Расчёты!Q144+Расчёты!S144+Расчёты!U144+Расчёты!W144+Расчёты!X144+AK144+AN144,0)</f>
        <v>0</v>
      </c>
      <c r="AX144">
        <f>IF(AND(D144=1,AU144&gt;=0,AU143&lt;0,MIN($AU$2:AU144)&lt;0),1,0)</f>
        <v>0</v>
      </c>
      <c r="AY144">
        <f>IF(Расчёты!F144=0,0,IF(Расчёты!G144=1,N('Сценарный анализ'!$D$5),IF(Расчёты!G144=2,N('Сценарный анализ'!$D$6),IF(Расчёты!G144=3,N('Сценарный анализ'!$D$7),N('Сценарный анализ'!$D$7)*(1+N('Сценарный анализ'!$D$8))^(Расчёты!G144-3)))))</f>
        <v>0</v>
      </c>
      <c r="AZ144">
        <f>IF(OR(Расчёты!F144=0,N('Исходные данные'!$B$5)=0,AY144=0),0,N('Исходные данные'!$B$5)*AY144*IF(AND(B144&lt;='Исходные данные'!$B$30,Расчёты!C144&gt;='Исходные данные'!$B$30),(Расчёты!C144-'Исходные данные'!$B$30+1)/DAY(Расчёты!C144),1))</f>
        <v>0</v>
      </c>
      <c r="BA144">
        <f>IF(AND(Расчёты!F144&gt;0,Расчёты!F144&lt;=N('Исходные данные'!$B$37)),-AZ144,0)</f>
        <v>0</v>
      </c>
      <c r="BB144">
        <f>IF(OR(Расчёты!F144=0,Расчёты!F144&lt;=N('Исходные данные'!$B$37)),0,-(AZ144+BA144)*N('Сценарный анализ'!$D$9))</f>
        <v>0</v>
      </c>
      <c r="BC144">
        <f t="shared" si="86"/>
        <v>0</v>
      </c>
      <c r="BD144">
        <f>IF('Исходные данные'!$B$51="Да",BC144*N('Исходные данные'!$B$52),0)</f>
        <v>0</v>
      </c>
      <c r="BE144">
        <f t="shared" si="87"/>
        <v>0</v>
      </c>
      <c r="BF144">
        <f>BC144+(Расчёты!Y144-Расчёты!L144)</f>
        <v>0</v>
      </c>
      <c r="BG144">
        <f t="shared" si="94"/>
        <v>0</v>
      </c>
      <c r="BH144">
        <f>IF('Исходные данные'!$B$51="Да",-MAX(0,BD144+Расчёты!R144+Расчёты!V144-Расчёты!P144-Расчёты!T144-BG144),0)</f>
        <v>0</v>
      </c>
      <c r="BI144">
        <f>IF('Исходные данные'!$B$51="Да",MAX(0,BG144+Расчёты!P144+Расчёты!T144-BD144-Расчёты!R144-Расчёты!V144),0)</f>
        <v>0</v>
      </c>
      <c r="BJ144">
        <f>IF('Исходные данные'!$B$53="Выручка",MAX(0,BC144+(Расчёты!Q144-Расчёты!R144)+(Расчёты!U144-Расчёты!V144)),IF('Исходные данные'!$B$53="Прибыль до налога",MAX(0,BC144+(Расчёты!Q144-Расчёты!R144)+(Расчёты!U144-Расчёты!V144)+N('Исходные данные'!$B$54)*((Расчёты!O144+Расчёты!P144)+(Расчёты!S144+Расчёты!T144)+Расчёты!W144+Расчёты!X144)+IF('Исходные данные'!$B$55="Да",Расчёты!AG144,0)-N('Исходные данные'!$B$56)/12),IF('Исходные данные'!$B$53="Пользовательская база",MAX(0,N('Исходные данные'!$B$57)/12),0)))</f>
        <v>0</v>
      </c>
      <c r="BK144">
        <f>IF(D144=1,-BJ144*N('Исходные данные'!$B$50),0)</f>
        <v>0</v>
      </c>
      <c r="BL144">
        <f t="shared" si="88"/>
        <v>0</v>
      </c>
      <c r="BM144">
        <f>IF(OR(D144&lt;&gt;1,B144="",'Исходные данные'!$B$91="",N('Исходные данные'!$B$80)&lt;=0,'Исходные данные'!$B$88=""),0,IF(AND(YEAR(B144)=YEAR('Исходные данные'!$B$91),MONTH(B144)=MONTH('Исходные данные'!$B$91)),MAX(0,IF('Исходные данные'!$B$88="Последние 12 месяцев",SUMIFS($BF$2:$BF$194,$B$2:$B$194,"&gt;="&amp;EDATE(B144,-11),$B$2:$B$194,"&lt;="&amp;B144),IF('Исходные данные'!$B$88="Пользовательский NOI",N('Исходные данные'!$B$89),BL144))/N('Исходные данные'!$B$80)*(1+N('Исходные данные'!$B$81))),0))</f>
        <v>0</v>
      </c>
      <c r="BN144">
        <f>-BM144*N('Исходные данные'!$B$73)</f>
        <v>0</v>
      </c>
      <c r="BO144">
        <f>IF(BM144=0,0,-N('Исходные данные'!$B$87)-IF('Исходные данные'!$B$82="Да",IF('Исходные данные'!$B$84="С выручки",BM144,IF('Исходные данные'!$B$84="С прибыли",MAX(0,BM144+BN144-IF('Исходные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44">
        <f t="shared" si="89"/>
        <v>0</v>
      </c>
      <c r="BQ144">
        <f>IF(D144=1,Расчёты!AZ144+BE144+BH144+BK144+BP144,0)</f>
        <v>0</v>
      </c>
      <c r="BR144" t="str">
        <f t="shared" si="95"/>
        <v/>
      </c>
      <c r="BS144">
        <f>IF(OR(D144=0,'Исходные данные'!$B$9="",'Исходные данные'!$B$90=""),0,BQ144/(1+'Исходные данные'!$B$90)^((C144-'Исходные данные'!$B$9)/365))</f>
        <v>0</v>
      </c>
      <c r="BT144">
        <f>IF(D144=1,BE144+Расчёты!O144+Расчёты!Q144+Расчёты!S144+Расчёты!U144+Расчёты!W144+Расчёты!X144+BH144+BK144,0)</f>
        <v>0</v>
      </c>
      <c r="BU144">
        <f>IF(AND(D144=1,BR144&gt;=0,BR143&lt;0,MIN($BR$2:BR144)&lt;0),1,0)</f>
        <v>0</v>
      </c>
      <c r="BV144">
        <f>Расчёты!AZ144+K144+N144-P144*N('Исходные данные'!$B$50)</f>
        <v>0</v>
      </c>
      <c r="BW144">
        <f t="shared" si="96"/>
        <v>0</v>
      </c>
      <c r="BX144">
        <f>IF(AND(BW144&gt;=0,BW143&lt;0,MIN($BW$2:BW144)&lt;0),1,0)</f>
        <v>0</v>
      </c>
      <c r="BY144">
        <f>Расчёты!AZ144+AH144+AK144-AM144*N('Исходные данные'!$B$50)</f>
        <v>0</v>
      </c>
      <c r="BZ144">
        <f t="shared" si="97"/>
        <v>0</v>
      </c>
      <c r="CA144">
        <f>IF(AND(BZ144&gt;=0,BZ143&lt;0,MIN($BZ$2:BZ144)&lt;0),1,0)</f>
        <v>0</v>
      </c>
      <c r="CB144">
        <f>Расчёты!AZ144+BE144+BH144-BJ144*N('Исходные данные'!$B$50)</f>
        <v>0</v>
      </c>
      <c r="CC144">
        <f t="shared" si="98"/>
        <v>0</v>
      </c>
      <c r="CD144">
        <f>IF(AND(CC144&gt;=0,CC143&lt;0,MIN($CC$2:CC144)&lt;0),1,0)</f>
        <v>0</v>
      </c>
    </row>
    <row r="145" spans="1:82" x14ac:dyDescent="0.2">
      <c r="A145">
        <f>Расчёты!A145</f>
        <v>144</v>
      </c>
      <c r="B145" t="str">
        <f>Расчёты!B145</f>
        <v/>
      </c>
      <c r="C145" t="str">
        <f>Расчёты!D145</f>
        <v/>
      </c>
      <c r="D145">
        <f>Расчёты!E145</f>
        <v>0</v>
      </c>
      <c r="E145">
        <f>IF(Расчёты!F145=0,0,IF(Расчёты!G145=1,N('Сценарный анализ'!$B$5),IF(Расчёты!G145=2,N('Сценарный анализ'!$B$6),IF(Расчёты!G145=3,N('Сценарный анализ'!$B$7),N('Сценарный анализ'!$B$7)*(1+N('Сценарный анализ'!$B$8))^(Расчёты!G145-3)))))</f>
        <v>0</v>
      </c>
      <c r="F145">
        <f>IF(OR(Расчёты!F145=0,N('Исходные данные'!$B$5)=0,E145=0),0,N('Исходные данные'!$B$5)*E145*IF(AND(B145&lt;='Исходные данные'!$B$30,Расчёты!C145&gt;='Исходные данные'!$B$30),(Расчёты!C145-'Исходные данные'!$B$30+1)/DAY(Расчёты!C145),1))</f>
        <v>0</v>
      </c>
      <c r="G145">
        <f>IF(AND(Расчёты!F145&gt;0,Расчёты!F145&lt;=N('Исходные данные'!$B$37)),-F145,0)</f>
        <v>0</v>
      </c>
      <c r="H145">
        <f>IF(OR(Расчёты!F145=0,Расчёты!F145&lt;=N('Исходные данные'!$B$37)),0,-(F145+G145)*N('Сценарный анализ'!$B$9))</f>
        <v>0</v>
      </c>
      <c r="I145">
        <f t="shared" si="78"/>
        <v>0</v>
      </c>
      <c r="J145">
        <f>IF('Исходные данные'!$B$51="Да",I145*N('Исходные данные'!$B$52),0)</f>
        <v>0</v>
      </c>
      <c r="K145">
        <f t="shared" si="79"/>
        <v>0</v>
      </c>
      <c r="L145">
        <f>I145+(Расчёты!Y145-Расчёты!L145)</f>
        <v>0</v>
      </c>
      <c r="M145">
        <f t="shared" si="90"/>
        <v>0</v>
      </c>
      <c r="N145">
        <f>IF('Исходные данные'!$B$51="Да",-MAX(0,J145+Расчёты!R145+Расчёты!V145-Расчёты!P145-Расчёты!T145-M145),0)</f>
        <v>0</v>
      </c>
      <c r="O145">
        <f>IF('Исходные данные'!$B$51="Да",MAX(0,M145+Расчёты!P145+Расчёты!T145-J145-Расчёты!R145-Расчёты!V145),0)</f>
        <v>0</v>
      </c>
      <c r="P145">
        <f>IF('Исходные данные'!$B$53="Выручка",MAX(0,I145+(Расчёты!Q145-Расчёты!R145)+(Расчёты!U145-Расчёты!V145)),IF('Исходные данные'!$B$53="Прибыль до налога",MAX(0,I145+(Расчёты!Q145-Расчёты!R145)+(Расчёты!U145-Расчёты!V145)+N('Исходные данные'!$B$54)*((Расчёты!O145+Расчёты!P145)+(Расчёты!S145+Расчёты!T145)+Расчёты!W145+Расчёты!X145)+IF('Исходные данные'!$B$55="Да",Расчёты!AG145,0)-N('Исходные данные'!$B$56)/12),IF('Исходные данные'!$B$53="Пользовательская база",MAX(0,N('Исходные данные'!$B$57)/12),0)))</f>
        <v>0</v>
      </c>
      <c r="Q145">
        <f>IF(D145=1,-P145*N('Исходные данные'!$B$50),0)</f>
        <v>0</v>
      </c>
      <c r="R145">
        <f t="shared" si="80"/>
        <v>0</v>
      </c>
      <c r="S145">
        <f>IF(OR(D145&lt;&gt;1,B145="",'Исходные данные'!$B$91="",N('Исходные данные'!$B$80)&lt;=0,'Исходные данные'!$B$88=""),0,IF(AND(YEAR(B145)=YEAR('Исходные данные'!$B$91),MONTH(B145)=MONTH('Исходные данные'!$B$91)),MAX(0,IF('Исходные данные'!$B$88="Последние 12 месяцев",SUMIFS($L$2:$L$194,$B$2:$B$194,"&gt;="&amp;EDATE(B145,-11),$B$2:$B$194,"&lt;="&amp;B145),IF('Исходные данные'!$B$88="Пользовательский NOI",N('Исходные данные'!$B$89),R145))/N('Исходные данные'!$B$80)*(1+N('Исходные данные'!$B$81))),0))</f>
        <v>0</v>
      </c>
      <c r="T145">
        <f>-S145*N('Исходные данные'!$B$73)</f>
        <v>0</v>
      </c>
      <c r="U145">
        <f>IF(S145=0,0,-N('Исходные данные'!$B$87)-IF('Исходные данные'!$B$82="Да",IF('Исходные данные'!$B$84="С выручки",S145,IF('Исходные данные'!$B$84="С прибыли",MAX(0,S145+T145-IF('Исходные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45">
        <f t="shared" si="81"/>
        <v>0</v>
      </c>
      <c r="W145">
        <f>IF(D145=1,Расчёты!AZ145+K145+N145+Q145+V145,0)</f>
        <v>0</v>
      </c>
      <c r="X145" t="str">
        <f t="shared" si="91"/>
        <v/>
      </c>
      <c r="Y145">
        <f>IF(OR(D145=0,'Исходные данные'!$B$9="",'Исходные данные'!$B$90=""),0,W145/(1+'Исходные данные'!$B$90)^((C145-'Исходные данные'!$B$9)/365))</f>
        <v>0</v>
      </c>
      <c r="Z145">
        <f>IF(D145=1,K145+Расчёты!O145+Расчёты!Q145+Расчёты!S145+Расчёты!U145+Расчёты!W145+Расчёты!X145+N145+Q145,0)</f>
        <v>0</v>
      </c>
      <c r="AA145">
        <f>IF(AND(D145=1,X145&gt;=0,X144&lt;0,MIN($X$2:X145)&lt;0),1,0)</f>
        <v>0</v>
      </c>
      <c r="AB145">
        <f>IF(Расчёты!F145=0,0,IF(Расчёты!G145=1,N('Сценарный анализ'!$C$5),IF(Расчёты!G145=2,N('Сценарный анализ'!$C$6),IF(Расчёты!G145=3,N('Сценарный анализ'!$C$7),N('Сценарный анализ'!$C$7)*(1+N('Сценарный анализ'!$C$8))^(Расчёты!G145-3)))))</f>
        <v>0</v>
      </c>
      <c r="AC145">
        <f>IF(OR(Расчёты!F145=0,N('Исходные данные'!$B$5)=0,AB145=0),0,N('Исходные данные'!$B$5)*AB145*IF(AND(B145&lt;='Исходные данные'!$B$30,Расчёты!C145&gt;='Исходные данные'!$B$30),(Расчёты!C145-'Исходные данные'!$B$30+1)/DAY(Расчёты!C145),1))</f>
        <v>0</v>
      </c>
      <c r="AD145">
        <f>IF(AND(Расчёты!F145&gt;0,Расчёты!F145&lt;=N('Исходные данные'!$B$37)),-AC145,0)</f>
        <v>0</v>
      </c>
      <c r="AE145">
        <f>IF(OR(Расчёты!F145=0,Расчёты!F145&lt;=N('Исходные данные'!$B$37)),0,-(AC145+AD145)*N('Сценарный анализ'!$C$9))</f>
        <v>0</v>
      </c>
      <c r="AF145">
        <f t="shared" si="82"/>
        <v>0</v>
      </c>
      <c r="AG145">
        <f>IF('Исходные данные'!$B$51="Да",AF145*N('Исходные данные'!$B$52),0)</f>
        <v>0</v>
      </c>
      <c r="AH145">
        <f t="shared" si="83"/>
        <v>0</v>
      </c>
      <c r="AI145">
        <f>AF145+(Расчёты!Y145-Расчёты!L145)</f>
        <v>0</v>
      </c>
      <c r="AJ145">
        <f t="shared" si="92"/>
        <v>0</v>
      </c>
      <c r="AK145">
        <f>IF('Исходные данные'!$B$51="Да",-MAX(0,AG145+Расчёты!R145+Расчёты!V145-Расчёты!P145-Расчёты!T145-AJ145),0)</f>
        <v>0</v>
      </c>
      <c r="AL145">
        <f>IF('Исходные данные'!$B$51="Да",MAX(0,AJ145+Расчёты!P145+Расчёты!T145-AG145-Расчёты!R145-Расчёты!V145),0)</f>
        <v>0</v>
      </c>
      <c r="AM145">
        <f>IF('Исходные данные'!$B$53="Выручка",MAX(0,AF145+(Расчёты!Q145-Расчёты!R145)+(Расчёты!U145-Расчёты!V145)),IF('Исходные данные'!$B$53="Прибыль до налога",MAX(0,AF145+(Расчёты!Q145-Расчёты!R145)+(Расчёты!U145-Расчёты!V145)+N('Исходные данные'!$B$54)*((Расчёты!O145+Расчёты!P145)+(Расчёты!S145+Расчёты!T145)+Расчёты!W145+Расчёты!X145)+IF('Исходные данные'!$B$55="Да",Расчёты!AG145,0)-N('Исходные данные'!$B$56)/12),IF('Исходные данные'!$B$53="Пользовательская база",MAX(0,N('Исходные данные'!$B$57)/12),0)))</f>
        <v>0</v>
      </c>
      <c r="AN145">
        <f>IF(D145=1,-AM145*N('Исходные данные'!$B$50),0)</f>
        <v>0</v>
      </c>
      <c r="AO145">
        <f t="shared" si="84"/>
        <v>0</v>
      </c>
      <c r="AP145">
        <f>IF(OR(D145&lt;&gt;1,B145="",'Исходные данные'!$B$91="",N('Исходные данные'!$B$80)&lt;=0,'Исходные данные'!$B$88=""),0,IF(AND(YEAR(B145)=YEAR('Исходные данные'!$B$91),MONTH(B145)=MONTH('Исходные данные'!$B$91)),MAX(0,IF('Исходные данные'!$B$88="Последние 12 месяцев",SUMIFS($AI$2:$AI$194,$B$2:$B$194,"&gt;="&amp;EDATE(B145,-11),$B$2:$B$194,"&lt;="&amp;B145),IF('Исходные данные'!$B$88="Пользовательский NOI",N('Исходные данные'!$B$89),AO145))/N('Исходные данные'!$B$80)*(1+N('Исходные данные'!$B$81))),0))</f>
        <v>0</v>
      </c>
      <c r="AQ145">
        <f>-AP145*N('Исходные данные'!$B$73)</f>
        <v>0</v>
      </c>
      <c r="AR145">
        <f>IF(AP145=0,0,-N('Исходные данные'!$B$87)-IF('Исходные данные'!$B$82="Да",IF('Исходные данные'!$B$84="С выручки",AP145,IF('Исходные данные'!$B$84="С прибыли",MAX(0,AP145+AQ145-IF('Исходные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45">
        <f t="shared" si="85"/>
        <v>0</v>
      </c>
      <c r="AT145">
        <f>IF(D145=1,Расчёты!AZ145+AH145+AK145+AN145+AS145,0)</f>
        <v>0</v>
      </c>
      <c r="AU145" t="str">
        <f t="shared" si="93"/>
        <v/>
      </c>
      <c r="AV145">
        <f>IF(OR(D145=0,'Исходные данные'!$B$9="",'Исходные данные'!$B$90=""),0,AT145/(1+'Исходные данные'!$B$90)^((C145-'Исходные данные'!$B$9)/365))</f>
        <v>0</v>
      </c>
      <c r="AW145">
        <f>IF(D145=1,AH145+Расчёты!O145+Расчёты!Q145+Расчёты!S145+Расчёты!U145+Расчёты!W145+Расчёты!X145+AK145+AN145,0)</f>
        <v>0</v>
      </c>
      <c r="AX145">
        <f>IF(AND(D145=1,AU145&gt;=0,AU144&lt;0,MIN($AU$2:AU145)&lt;0),1,0)</f>
        <v>0</v>
      </c>
      <c r="AY145">
        <f>IF(Расчёты!F145=0,0,IF(Расчёты!G145=1,N('Сценарный анализ'!$D$5),IF(Расчёты!G145=2,N('Сценарный анализ'!$D$6),IF(Расчёты!G145=3,N('Сценарный анализ'!$D$7),N('Сценарный анализ'!$D$7)*(1+N('Сценарный анализ'!$D$8))^(Расчёты!G145-3)))))</f>
        <v>0</v>
      </c>
      <c r="AZ145">
        <f>IF(OR(Расчёты!F145=0,N('Исходные данные'!$B$5)=0,AY145=0),0,N('Исходные данные'!$B$5)*AY145*IF(AND(B145&lt;='Исходные данные'!$B$30,Расчёты!C145&gt;='Исходные данные'!$B$30),(Расчёты!C145-'Исходные данные'!$B$30+1)/DAY(Расчёты!C145),1))</f>
        <v>0</v>
      </c>
      <c r="BA145">
        <f>IF(AND(Расчёты!F145&gt;0,Расчёты!F145&lt;=N('Исходные данные'!$B$37)),-AZ145,0)</f>
        <v>0</v>
      </c>
      <c r="BB145">
        <f>IF(OR(Расчёты!F145=0,Расчёты!F145&lt;=N('Исходные данные'!$B$37)),0,-(AZ145+BA145)*N('Сценарный анализ'!$D$9))</f>
        <v>0</v>
      </c>
      <c r="BC145">
        <f t="shared" si="86"/>
        <v>0</v>
      </c>
      <c r="BD145">
        <f>IF('Исходные данные'!$B$51="Да",BC145*N('Исходные данные'!$B$52),0)</f>
        <v>0</v>
      </c>
      <c r="BE145">
        <f t="shared" si="87"/>
        <v>0</v>
      </c>
      <c r="BF145">
        <f>BC145+(Расчёты!Y145-Расчёты!L145)</f>
        <v>0</v>
      </c>
      <c r="BG145">
        <f t="shared" si="94"/>
        <v>0</v>
      </c>
      <c r="BH145">
        <f>IF('Исходные данные'!$B$51="Да",-MAX(0,BD145+Расчёты!R145+Расчёты!V145-Расчёты!P145-Расчёты!T145-BG145),0)</f>
        <v>0</v>
      </c>
      <c r="BI145">
        <f>IF('Исходные данные'!$B$51="Да",MAX(0,BG145+Расчёты!P145+Расчёты!T145-BD145-Расчёты!R145-Расчёты!V145),0)</f>
        <v>0</v>
      </c>
      <c r="BJ145">
        <f>IF('Исходные данные'!$B$53="Выручка",MAX(0,BC145+(Расчёты!Q145-Расчёты!R145)+(Расчёты!U145-Расчёты!V145)),IF('Исходные данные'!$B$53="Прибыль до налога",MAX(0,BC145+(Расчёты!Q145-Расчёты!R145)+(Расчёты!U145-Расчёты!V145)+N('Исходные данные'!$B$54)*((Расчёты!O145+Расчёты!P145)+(Расчёты!S145+Расчёты!T145)+Расчёты!W145+Расчёты!X145)+IF('Исходные данные'!$B$55="Да",Расчёты!AG145,0)-N('Исходные данные'!$B$56)/12),IF('Исходные данные'!$B$53="Пользовательская база",MAX(0,N('Исходные данные'!$B$57)/12),0)))</f>
        <v>0</v>
      </c>
      <c r="BK145">
        <f>IF(D145=1,-BJ145*N('Исходные данные'!$B$50),0)</f>
        <v>0</v>
      </c>
      <c r="BL145">
        <f t="shared" si="88"/>
        <v>0</v>
      </c>
      <c r="BM145">
        <f>IF(OR(D145&lt;&gt;1,B145="",'Исходные данные'!$B$91="",N('Исходные данные'!$B$80)&lt;=0,'Исходные данные'!$B$88=""),0,IF(AND(YEAR(B145)=YEAR('Исходные данные'!$B$91),MONTH(B145)=MONTH('Исходные данные'!$B$91)),MAX(0,IF('Исходные данные'!$B$88="Последние 12 месяцев",SUMIFS($BF$2:$BF$194,$B$2:$B$194,"&gt;="&amp;EDATE(B145,-11),$B$2:$B$194,"&lt;="&amp;B145),IF('Исходные данные'!$B$88="Пользовательский NOI",N('Исходные данные'!$B$89),BL145))/N('Исходные данные'!$B$80)*(1+N('Исходные данные'!$B$81))),0))</f>
        <v>0</v>
      </c>
      <c r="BN145">
        <f>-BM145*N('Исходные данные'!$B$73)</f>
        <v>0</v>
      </c>
      <c r="BO145">
        <f>IF(BM145=0,0,-N('Исходные данные'!$B$87)-IF('Исходные данные'!$B$82="Да",IF('Исходные данные'!$B$84="С выручки",BM145,IF('Исходные данные'!$B$84="С прибыли",MAX(0,BM145+BN145-IF('Исходные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45">
        <f t="shared" si="89"/>
        <v>0</v>
      </c>
      <c r="BQ145">
        <f>IF(D145=1,Расчёты!AZ145+BE145+BH145+BK145+BP145,0)</f>
        <v>0</v>
      </c>
      <c r="BR145" t="str">
        <f t="shared" si="95"/>
        <v/>
      </c>
      <c r="BS145">
        <f>IF(OR(D145=0,'Исходные данные'!$B$9="",'Исходные данные'!$B$90=""),0,BQ145/(1+'Исходные данные'!$B$90)^((C145-'Исходные данные'!$B$9)/365))</f>
        <v>0</v>
      </c>
      <c r="BT145">
        <f>IF(D145=1,BE145+Расчёты!O145+Расчёты!Q145+Расчёты!S145+Расчёты!U145+Расчёты!W145+Расчёты!X145+BH145+BK145,0)</f>
        <v>0</v>
      </c>
      <c r="BU145">
        <f>IF(AND(D145=1,BR145&gt;=0,BR144&lt;0,MIN($BR$2:BR145)&lt;0),1,0)</f>
        <v>0</v>
      </c>
      <c r="BV145">
        <f>Расчёты!AZ145+K145+N145-P145*N('Исходные данные'!$B$50)</f>
        <v>0</v>
      </c>
      <c r="BW145">
        <f t="shared" si="96"/>
        <v>0</v>
      </c>
      <c r="BX145">
        <f>IF(AND(BW145&gt;=0,BW144&lt;0,MIN($BW$2:BW145)&lt;0),1,0)</f>
        <v>0</v>
      </c>
      <c r="BY145">
        <f>Расчёты!AZ145+AH145+AK145-AM145*N('Исходные данные'!$B$50)</f>
        <v>0</v>
      </c>
      <c r="BZ145">
        <f t="shared" si="97"/>
        <v>0</v>
      </c>
      <c r="CA145">
        <f>IF(AND(BZ145&gt;=0,BZ144&lt;0,MIN($BZ$2:BZ145)&lt;0),1,0)</f>
        <v>0</v>
      </c>
      <c r="CB145">
        <f>Расчёты!AZ145+BE145+BH145-BJ145*N('Исходные данные'!$B$50)</f>
        <v>0</v>
      </c>
      <c r="CC145">
        <f t="shared" si="98"/>
        <v>0</v>
      </c>
      <c r="CD145">
        <f>IF(AND(CC145&gt;=0,CC144&lt;0,MIN($CC$2:CC145)&lt;0),1,0)</f>
        <v>0</v>
      </c>
    </row>
    <row r="146" spans="1:82" x14ac:dyDescent="0.2">
      <c r="A146">
        <f>Расчёты!A146</f>
        <v>145</v>
      </c>
      <c r="B146" t="str">
        <f>Расчёты!B146</f>
        <v/>
      </c>
      <c r="C146" t="str">
        <f>Расчёты!D146</f>
        <v/>
      </c>
      <c r="D146">
        <f>Расчёты!E146</f>
        <v>0</v>
      </c>
      <c r="E146">
        <f>IF(Расчёты!F146=0,0,IF(Расчёты!G146=1,N('Сценарный анализ'!$B$5),IF(Расчёты!G146=2,N('Сценарный анализ'!$B$6),IF(Расчёты!G146=3,N('Сценарный анализ'!$B$7),N('Сценарный анализ'!$B$7)*(1+N('Сценарный анализ'!$B$8))^(Расчёты!G146-3)))))</f>
        <v>0</v>
      </c>
      <c r="F146">
        <f>IF(OR(Расчёты!F146=0,N('Исходные данные'!$B$5)=0,E146=0),0,N('Исходные данные'!$B$5)*E146*IF(AND(B146&lt;='Исходные данные'!$B$30,Расчёты!C146&gt;='Исходные данные'!$B$30),(Расчёты!C146-'Исходные данные'!$B$30+1)/DAY(Расчёты!C146),1))</f>
        <v>0</v>
      </c>
      <c r="G146">
        <f>IF(AND(Расчёты!F146&gt;0,Расчёты!F146&lt;=N('Исходные данные'!$B$37)),-F146,0)</f>
        <v>0</v>
      </c>
      <c r="H146">
        <f>IF(OR(Расчёты!F146=0,Расчёты!F146&lt;=N('Исходные данные'!$B$37)),0,-(F146+G146)*N('Сценарный анализ'!$B$9))</f>
        <v>0</v>
      </c>
      <c r="I146">
        <f t="shared" si="78"/>
        <v>0</v>
      </c>
      <c r="J146">
        <f>IF('Исходные данные'!$B$51="Да",I146*N('Исходные данные'!$B$52),0)</f>
        <v>0</v>
      </c>
      <c r="K146">
        <f t="shared" si="79"/>
        <v>0</v>
      </c>
      <c r="L146">
        <f>I146+(Расчёты!Y146-Расчёты!L146)</f>
        <v>0</v>
      </c>
      <c r="M146">
        <f t="shared" si="90"/>
        <v>0</v>
      </c>
      <c r="N146">
        <f>IF('Исходные данные'!$B$51="Да",-MAX(0,J146+Расчёты!R146+Расчёты!V146-Расчёты!P146-Расчёты!T146-M146),0)</f>
        <v>0</v>
      </c>
      <c r="O146">
        <f>IF('Исходные данные'!$B$51="Да",MAX(0,M146+Расчёты!P146+Расчёты!T146-J146-Расчёты!R146-Расчёты!V146),0)</f>
        <v>0</v>
      </c>
      <c r="P146">
        <f>IF('Исходные данные'!$B$53="Выручка",MAX(0,I146+(Расчёты!Q146-Расчёты!R146)+(Расчёты!U146-Расчёты!V146)),IF('Исходные данные'!$B$53="Прибыль до налога",MAX(0,I146+(Расчёты!Q146-Расчёты!R146)+(Расчёты!U146-Расчёты!V146)+N('Исходные данные'!$B$54)*((Расчёты!O146+Расчёты!P146)+(Расчёты!S146+Расчёты!T146)+Расчёты!W146+Расчёты!X146)+IF('Исходные данные'!$B$55="Да",Расчёты!AG146,0)-N('Исходные данные'!$B$56)/12),IF('Исходные данные'!$B$53="Пользовательская база",MAX(0,N('Исходные данные'!$B$57)/12),0)))</f>
        <v>0</v>
      </c>
      <c r="Q146">
        <f>IF(D146=1,-P146*N('Исходные данные'!$B$50),0)</f>
        <v>0</v>
      </c>
      <c r="R146">
        <f t="shared" si="80"/>
        <v>0</v>
      </c>
      <c r="S146">
        <f>IF(OR(D146&lt;&gt;1,B146="",'Исходные данные'!$B$91="",N('Исходные данные'!$B$80)&lt;=0,'Исходные данные'!$B$88=""),0,IF(AND(YEAR(B146)=YEAR('Исходные данные'!$B$91),MONTH(B146)=MONTH('Исходные данные'!$B$91)),MAX(0,IF('Исходные данные'!$B$88="Последние 12 месяцев",SUMIFS($L$2:$L$194,$B$2:$B$194,"&gt;="&amp;EDATE(B146,-11),$B$2:$B$194,"&lt;="&amp;B146),IF('Исходные данные'!$B$88="Пользовательский NOI",N('Исходные данные'!$B$89),R146))/N('Исходные данные'!$B$80)*(1+N('Исходные данные'!$B$81))),0))</f>
        <v>0</v>
      </c>
      <c r="T146">
        <f>-S146*N('Исходные данные'!$B$73)</f>
        <v>0</v>
      </c>
      <c r="U146">
        <f>IF(S146=0,0,-N('Исходные данные'!$B$87)-IF('Исходные данные'!$B$82="Да",IF('Исходные данные'!$B$84="С выручки",S146,IF('Исходные данные'!$B$84="С прибыли",MAX(0,S146+T146-IF('Исходные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46">
        <f t="shared" si="81"/>
        <v>0</v>
      </c>
      <c r="W146">
        <f>IF(D146=1,Расчёты!AZ146+K146+N146+Q146+V146,0)</f>
        <v>0</v>
      </c>
      <c r="X146" t="str">
        <f t="shared" si="91"/>
        <v/>
      </c>
      <c r="Y146">
        <f>IF(OR(D146=0,'Исходные данные'!$B$9="",'Исходные данные'!$B$90=""),0,W146/(1+'Исходные данные'!$B$90)^((C146-'Исходные данные'!$B$9)/365))</f>
        <v>0</v>
      </c>
      <c r="Z146">
        <f>IF(D146=1,K146+Расчёты!O146+Расчёты!Q146+Расчёты!S146+Расчёты!U146+Расчёты!W146+Расчёты!X146+N146+Q146,0)</f>
        <v>0</v>
      </c>
      <c r="AA146">
        <f>IF(AND(D146=1,X146&gt;=0,X145&lt;0,MIN($X$2:X146)&lt;0),1,0)</f>
        <v>0</v>
      </c>
      <c r="AB146">
        <f>IF(Расчёты!F146=0,0,IF(Расчёты!G146=1,N('Сценарный анализ'!$C$5),IF(Расчёты!G146=2,N('Сценарный анализ'!$C$6),IF(Расчёты!G146=3,N('Сценарный анализ'!$C$7),N('Сценарный анализ'!$C$7)*(1+N('Сценарный анализ'!$C$8))^(Расчёты!G146-3)))))</f>
        <v>0</v>
      </c>
      <c r="AC146">
        <f>IF(OR(Расчёты!F146=0,N('Исходные данные'!$B$5)=0,AB146=0),0,N('Исходные данные'!$B$5)*AB146*IF(AND(B146&lt;='Исходные данные'!$B$30,Расчёты!C146&gt;='Исходные данные'!$B$30),(Расчёты!C146-'Исходные данные'!$B$30+1)/DAY(Расчёты!C146),1))</f>
        <v>0</v>
      </c>
      <c r="AD146">
        <f>IF(AND(Расчёты!F146&gt;0,Расчёты!F146&lt;=N('Исходные данные'!$B$37)),-AC146,0)</f>
        <v>0</v>
      </c>
      <c r="AE146">
        <f>IF(OR(Расчёты!F146=0,Расчёты!F146&lt;=N('Исходные данные'!$B$37)),0,-(AC146+AD146)*N('Сценарный анализ'!$C$9))</f>
        <v>0</v>
      </c>
      <c r="AF146">
        <f t="shared" si="82"/>
        <v>0</v>
      </c>
      <c r="AG146">
        <f>IF('Исходные данные'!$B$51="Да",AF146*N('Исходные данные'!$B$52),0)</f>
        <v>0</v>
      </c>
      <c r="AH146">
        <f t="shared" si="83"/>
        <v>0</v>
      </c>
      <c r="AI146">
        <f>AF146+(Расчёты!Y146-Расчёты!L146)</f>
        <v>0</v>
      </c>
      <c r="AJ146">
        <f t="shared" si="92"/>
        <v>0</v>
      </c>
      <c r="AK146">
        <f>IF('Исходные данные'!$B$51="Да",-MAX(0,AG146+Расчёты!R146+Расчёты!V146-Расчёты!P146-Расчёты!T146-AJ146),0)</f>
        <v>0</v>
      </c>
      <c r="AL146">
        <f>IF('Исходные данные'!$B$51="Да",MAX(0,AJ146+Расчёты!P146+Расчёты!T146-AG146-Расчёты!R146-Расчёты!V146),0)</f>
        <v>0</v>
      </c>
      <c r="AM146">
        <f>IF('Исходные данные'!$B$53="Выручка",MAX(0,AF146+(Расчёты!Q146-Расчёты!R146)+(Расчёты!U146-Расчёты!V146)),IF('Исходные данные'!$B$53="Прибыль до налога",MAX(0,AF146+(Расчёты!Q146-Расчёты!R146)+(Расчёты!U146-Расчёты!V146)+N('Исходные данные'!$B$54)*((Расчёты!O146+Расчёты!P146)+(Расчёты!S146+Расчёты!T146)+Расчёты!W146+Расчёты!X146)+IF('Исходные данные'!$B$55="Да",Расчёты!AG146,0)-N('Исходные данные'!$B$56)/12),IF('Исходные данные'!$B$53="Пользовательская база",MAX(0,N('Исходные данные'!$B$57)/12),0)))</f>
        <v>0</v>
      </c>
      <c r="AN146">
        <f>IF(D146=1,-AM146*N('Исходные данные'!$B$50),0)</f>
        <v>0</v>
      </c>
      <c r="AO146">
        <f t="shared" si="84"/>
        <v>0</v>
      </c>
      <c r="AP146">
        <f>IF(OR(D146&lt;&gt;1,B146="",'Исходные данные'!$B$91="",N('Исходные данные'!$B$80)&lt;=0,'Исходные данные'!$B$88=""),0,IF(AND(YEAR(B146)=YEAR('Исходные данные'!$B$91),MONTH(B146)=MONTH('Исходные данные'!$B$91)),MAX(0,IF('Исходные данные'!$B$88="Последние 12 месяцев",SUMIFS($AI$2:$AI$194,$B$2:$B$194,"&gt;="&amp;EDATE(B146,-11),$B$2:$B$194,"&lt;="&amp;B146),IF('Исходные данные'!$B$88="Пользовательский NOI",N('Исходные данные'!$B$89),AO146))/N('Исходные данные'!$B$80)*(1+N('Исходные данные'!$B$81))),0))</f>
        <v>0</v>
      </c>
      <c r="AQ146">
        <f>-AP146*N('Исходные данные'!$B$73)</f>
        <v>0</v>
      </c>
      <c r="AR146">
        <f>IF(AP146=0,0,-N('Исходные данные'!$B$87)-IF('Исходные данные'!$B$82="Да",IF('Исходные данные'!$B$84="С выручки",AP146,IF('Исходные данные'!$B$84="С прибыли",MAX(0,AP146+AQ146-IF('Исходные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46">
        <f t="shared" si="85"/>
        <v>0</v>
      </c>
      <c r="AT146">
        <f>IF(D146=1,Расчёты!AZ146+AH146+AK146+AN146+AS146,0)</f>
        <v>0</v>
      </c>
      <c r="AU146" t="str">
        <f t="shared" si="93"/>
        <v/>
      </c>
      <c r="AV146">
        <f>IF(OR(D146=0,'Исходные данные'!$B$9="",'Исходные данные'!$B$90=""),0,AT146/(1+'Исходные данные'!$B$90)^((C146-'Исходные данные'!$B$9)/365))</f>
        <v>0</v>
      </c>
      <c r="AW146">
        <f>IF(D146=1,AH146+Расчёты!O146+Расчёты!Q146+Расчёты!S146+Расчёты!U146+Расчёты!W146+Расчёты!X146+AK146+AN146,0)</f>
        <v>0</v>
      </c>
      <c r="AX146">
        <f>IF(AND(D146=1,AU146&gt;=0,AU145&lt;0,MIN($AU$2:AU146)&lt;0),1,0)</f>
        <v>0</v>
      </c>
      <c r="AY146">
        <f>IF(Расчёты!F146=0,0,IF(Расчёты!G146=1,N('Сценарный анализ'!$D$5),IF(Расчёты!G146=2,N('Сценарный анализ'!$D$6),IF(Расчёты!G146=3,N('Сценарный анализ'!$D$7),N('Сценарный анализ'!$D$7)*(1+N('Сценарный анализ'!$D$8))^(Расчёты!G146-3)))))</f>
        <v>0</v>
      </c>
      <c r="AZ146">
        <f>IF(OR(Расчёты!F146=0,N('Исходные данные'!$B$5)=0,AY146=0),0,N('Исходные данные'!$B$5)*AY146*IF(AND(B146&lt;='Исходные данные'!$B$30,Расчёты!C146&gt;='Исходные данные'!$B$30),(Расчёты!C146-'Исходные данные'!$B$30+1)/DAY(Расчёты!C146),1))</f>
        <v>0</v>
      </c>
      <c r="BA146">
        <f>IF(AND(Расчёты!F146&gt;0,Расчёты!F146&lt;=N('Исходные данные'!$B$37)),-AZ146,0)</f>
        <v>0</v>
      </c>
      <c r="BB146">
        <f>IF(OR(Расчёты!F146=0,Расчёты!F146&lt;=N('Исходные данные'!$B$37)),0,-(AZ146+BA146)*N('Сценарный анализ'!$D$9))</f>
        <v>0</v>
      </c>
      <c r="BC146">
        <f t="shared" si="86"/>
        <v>0</v>
      </c>
      <c r="BD146">
        <f>IF('Исходные данные'!$B$51="Да",BC146*N('Исходные данные'!$B$52),0)</f>
        <v>0</v>
      </c>
      <c r="BE146">
        <f t="shared" si="87"/>
        <v>0</v>
      </c>
      <c r="BF146">
        <f>BC146+(Расчёты!Y146-Расчёты!L146)</f>
        <v>0</v>
      </c>
      <c r="BG146">
        <f t="shared" si="94"/>
        <v>0</v>
      </c>
      <c r="BH146">
        <f>IF('Исходные данные'!$B$51="Да",-MAX(0,BD146+Расчёты!R146+Расчёты!V146-Расчёты!P146-Расчёты!T146-BG146),0)</f>
        <v>0</v>
      </c>
      <c r="BI146">
        <f>IF('Исходные данные'!$B$51="Да",MAX(0,BG146+Расчёты!P146+Расчёты!T146-BD146-Расчёты!R146-Расчёты!V146),0)</f>
        <v>0</v>
      </c>
      <c r="BJ146">
        <f>IF('Исходные данные'!$B$53="Выручка",MAX(0,BC146+(Расчёты!Q146-Расчёты!R146)+(Расчёты!U146-Расчёты!V146)),IF('Исходные данные'!$B$53="Прибыль до налога",MAX(0,BC146+(Расчёты!Q146-Расчёты!R146)+(Расчёты!U146-Расчёты!V146)+N('Исходные данные'!$B$54)*((Расчёты!O146+Расчёты!P146)+(Расчёты!S146+Расчёты!T146)+Расчёты!W146+Расчёты!X146)+IF('Исходные данные'!$B$55="Да",Расчёты!AG146,0)-N('Исходные данные'!$B$56)/12),IF('Исходные данные'!$B$53="Пользовательская база",MAX(0,N('Исходные данные'!$B$57)/12),0)))</f>
        <v>0</v>
      </c>
      <c r="BK146">
        <f>IF(D146=1,-BJ146*N('Исходные данные'!$B$50),0)</f>
        <v>0</v>
      </c>
      <c r="BL146">
        <f t="shared" si="88"/>
        <v>0</v>
      </c>
      <c r="BM146">
        <f>IF(OR(D146&lt;&gt;1,B146="",'Исходные данные'!$B$91="",N('Исходные данные'!$B$80)&lt;=0,'Исходные данные'!$B$88=""),0,IF(AND(YEAR(B146)=YEAR('Исходные данные'!$B$91),MONTH(B146)=MONTH('Исходные данные'!$B$91)),MAX(0,IF('Исходные данные'!$B$88="Последние 12 месяцев",SUMIFS($BF$2:$BF$194,$B$2:$B$194,"&gt;="&amp;EDATE(B146,-11),$B$2:$B$194,"&lt;="&amp;B146),IF('Исходные данные'!$B$88="Пользовательский NOI",N('Исходные данные'!$B$89),BL146))/N('Исходные данные'!$B$80)*(1+N('Исходные данные'!$B$81))),0))</f>
        <v>0</v>
      </c>
      <c r="BN146">
        <f>-BM146*N('Исходные данные'!$B$73)</f>
        <v>0</v>
      </c>
      <c r="BO146">
        <f>IF(BM146=0,0,-N('Исходные данные'!$B$87)-IF('Исходные данные'!$B$82="Да",IF('Исходные данные'!$B$84="С выручки",BM146,IF('Исходные данные'!$B$84="С прибыли",MAX(0,BM146+BN146-IF('Исходные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46">
        <f t="shared" si="89"/>
        <v>0</v>
      </c>
      <c r="BQ146">
        <f>IF(D146=1,Расчёты!AZ146+BE146+BH146+BK146+BP146,0)</f>
        <v>0</v>
      </c>
      <c r="BR146" t="str">
        <f t="shared" si="95"/>
        <v/>
      </c>
      <c r="BS146">
        <f>IF(OR(D146=0,'Исходные данные'!$B$9="",'Исходные данные'!$B$90=""),0,BQ146/(1+'Исходные данные'!$B$90)^((C146-'Исходные данные'!$B$9)/365))</f>
        <v>0</v>
      </c>
      <c r="BT146">
        <f>IF(D146=1,BE146+Расчёты!O146+Расчёты!Q146+Расчёты!S146+Расчёты!U146+Расчёты!W146+Расчёты!X146+BH146+BK146,0)</f>
        <v>0</v>
      </c>
      <c r="BU146">
        <f>IF(AND(D146=1,BR146&gt;=0,BR145&lt;0,MIN($BR$2:BR146)&lt;0),1,0)</f>
        <v>0</v>
      </c>
      <c r="BV146">
        <f>Расчёты!AZ146+K146+N146-P146*N('Исходные данные'!$B$50)</f>
        <v>0</v>
      </c>
      <c r="BW146">
        <f t="shared" si="96"/>
        <v>0</v>
      </c>
      <c r="BX146">
        <f>IF(AND(BW146&gt;=0,BW145&lt;0,MIN($BW$2:BW146)&lt;0),1,0)</f>
        <v>0</v>
      </c>
      <c r="BY146">
        <f>Расчёты!AZ146+AH146+AK146-AM146*N('Исходные данные'!$B$50)</f>
        <v>0</v>
      </c>
      <c r="BZ146">
        <f t="shared" si="97"/>
        <v>0</v>
      </c>
      <c r="CA146">
        <f>IF(AND(BZ146&gt;=0,BZ145&lt;0,MIN($BZ$2:BZ146)&lt;0),1,0)</f>
        <v>0</v>
      </c>
      <c r="CB146">
        <f>Расчёты!AZ146+BE146+BH146-BJ146*N('Исходные данные'!$B$50)</f>
        <v>0</v>
      </c>
      <c r="CC146">
        <f t="shared" si="98"/>
        <v>0</v>
      </c>
      <c r="CD146">
        <f>IF(AND(CC146&gt;=0,CC145&lt;0,MIN($CC$2:CC146)&lt;0),1,0)</f>
        <v>0</v>
      </c>
    </row>
    <row r="147" spans="1:82" x14ac:dyDescent="0.2">
      <c r="A147">
        <f>Расчёты!A147</f>
        <v>146</v>
      </c>
      <c r="B147" t="str">
        <f>Расчёты!B147</f>
        <v/>
      </c>
      <c r="C147" t="str">
        <f>Расчёты!D147</f>
        <v/>
      </c>
      <c r="D147">
        <f>Расчёты!E147</f>
        <v>0</v>
      </c>
      <c r="E147">
        <f>IF(Расчёты!F147=0,0,IF(Расчёты!G147=1,N('Сценарный анализ'!$B$5),IF(Расчёты!G147=2,N('Сценарный анализ'!$B$6),IF(Расчёты!G147=3,N('Сценарный анализ'!$B$7),N('Сценарный анализ'!$B$7)*(1+N('Сценарный анализ'!$B$8))^(Расчёты!G147-3)))))</f>
        <v>0</v>
      </c>
      <c r="F147">
        <f>IF(OR(Расчёты!F147=0,N('Исходные данные'!$B$5)=0,E147=0),0,N('Исходные данные'!$B$5)*E147*IF(AND(B147&lt;='Исходные данные'!$B$30,Расчёты!C147&gt;='Исходные данные'!$B$30),(Расчёты!C147-'Исходные данные'!$B$30+1)/DAY(Расчёты!C147),1))</f>
        <v>0</v>
      </c>
      <c r="G147">
        <f>IF(AND(Расчёты!F147&gt;0,Расчёты!F147&lt;=N('Исходные данные'!$B$37)),-F147,0)</f>
        <v>0</v>
      </c>
      <c r="H147">
        <f>IF(OR(Расчёты!F147=0,Расчёты!F147&lt;=N('Исходные данные'!$B$37)),0,-(F147+G147)*N('Сценарный анализ'!$B$9))</f>
        <v>0</v>
      </c>
      <c r="I147">
        <f t="shared" si="78"/>
        <v>0</v>
      </c>
      <c r="J147">
        <f>IF('Исходные данные'!$B$51="Да",I147*N('Исходные данные'!$B$52),0)</f>
        <v>0</v>
      </c>
      <c r="K147">
        <f t="shared" si="79"/>
        <v>0</v>
      </c>
      <c r="L147">
        <f>I147+(Расчёты!Y147-Расчёты!L147)</f>
        <v>0</v>
      </c>
      <c r="M147">
        <f t="shared" si="90"/>
        <v>0</v>
      </c>
      <c r="N147">
        <f>IF('Исходные данные'!$B$51="Да",-MAX(0,J147+Расчёты!R147+Расчёты!V147-Расчёты!P147-Расчёты!T147-M147),0)</f>
        <v>0</v>
      </c>
      <c r="O147">
        <f>IF('Исходные данные'!$B$51="Да",MAX(0,M147+Расчёты!P147+Расчёты!T147-J147-Расчёты!R147-Расчёты!V147),0)</f>
        <v>0</v>
      </c>
      <c r="P147">
        <f>IF('Исходные данные'!$B$53="Выручка",MAX(0,I147+(Расчёты!Q147-Расчёты!R147)+(Расчёты!U147-Расчёты!V147)),IF('Исходные данные'!$B$53="Прибыль до налога",MAX(0,I147+(Расчёты!Q147-Расчёты!R147)+(Расчёты!U147-Расчёты!V147)+N('Исходные данные'!$B$54)*((Расчёты!O147+Расчёты!P147)+(Расчёты!S147+Расчёты!T147)+Расчёты!W147+Расчёты!X147)+IF('Исходные данные'!$B$55="Да",Расчёты!AG147,0)-N('Исходные данные'!$B$56)/12),IF('Исходные данные'!$B$53="Пользовательская база",MAX(0,N('Исходные данные'!$B$57)/12),0)))</f>
        <v>0</v>
      </c>
      <c r="Q147">
        <f>IF(D147=1,-P147*N('Исходные данные'!$B$50),0)</f>
        <v>0</v>
      </c>
      <c r="R147">
        <f t="shared" si="80"/>
        <v>0</v>
      </c>
      <c r="S147">
        <f>IF(OR(D147&lt;&gt;1,B147="",'Исходные данные'!$B$91="",N('Исходные данные'!$B$80)&lt;=0,'Исходные данные'!$B$88=""),0,IF(AND(YEAR(B147)=YEAR('Исходные данные'!$B$91),MONTH(B147)=MONTH('Исходные данные'!$B$91)),MAX(0,IF('Исходные данные'!$B$88="Последние 12 месяцев",SUMIFS($L$2:$L$194,$B$2:$B$194,"&gt;="&amp;EDATE(B147,-11),$B$2:$B$194,"&lt;="&amp;B147),IF('Исходные данные'!$B$88="Пользовательский NOI",N('Исходные данные'!$B$89),R147))/N('Исходные данные'!$B$80)*(1+N('Исходные данные'!$B$81))),0))</f>
        <v>0</v>
      </c>
      <c r="T147">
        <f>-S147*N('Исходные данные'!$B$73)</f>
        <v>0</v>
      </c>
      <c r="U147">
        <f>IF(S147=0,0,-N('Исходные данные'!$B$87)-IF('Исходные данные'!$B$82="Да",IF('Исходные данные'!$B$84="С выручки",S147,IF('Исходные данные'!$B$84="С прибыли",MAX(0,S147+T147-IF('Исходные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47">
        <f t="shared" si="81"/>
        <v>0</v>
      </c>
      <c r="W147">
        <f>IF(D147=1,Расчёты!AZ147+K147+N147+Q147+V147,0)</f>
        <v>0</v>
      </c>
      <c r="X147" t="str">
        <f t="shared" si="91"/>
        <v/>
      </c>
      <c r="Y147">
        <f>IF(OR(D147=0,'Исходные данные'!$B$9="",'Исходные данные'!$B$90=""),0,W147/(1+'Исходные данные'!$B$90)^((C147-'Исходные данные'!$B$9)/365))</f>
        <v>0</v>
      </c>
      <c r="Z147">
        <f>IF(D147=1,K147+Расчёты!O147+Расчёты!Q147+Расчёты!S147+Расчёты!U147+Расчёты!W147+Расчёты!X147+N147+Q147,0)</f>
        <v>0</v>
      </c>
      <c r="AA147">
        <f>IF(AND(D147=1,X147&gt;=0,X146&lt;0,MIN($X$2:X147)&lt;0),1,0)</f>
        <v>0</v>
      </c>
      <c r="AB147">
        <f>IF(Расчёты!F147=0,0,IF(Расчёты!G147=1,N('Сценарный анализ'!$C$5),IF(Расчёты!G147=2,N('Сценарный анализ'!$C$6),IF(Расчёты!G147=3,N('Сценарный анализ'!$C$7),N('Сценарный анализ'!$C$7)*(1+N('Сценарный анализ'!$C$8))^(Расчёты!G147-3)))))</f>
        <v>0</v>
      </c>
      <c r="AC147">
        <f>IF(OR(Расчёты!F147=0,N('Исходные данные'!$B$5)=0,AB147=0),0,N('Исходные данные'!$B$5)*AB147*IF(AND(B147&lt;='Исходные данные'!$B$30,Расчёты!C147&gt;='Исходные данные'!$B$30),(Расчёты!C147-'Исходные данные'!$B$30+1)/DAY(Расчёты!C147),1))</f>
        <v>0</v>
      </c>
      <c r="AD147">
        <f>IF(AND(Расчёты!F147&gt;0,Расчёты!F147&lt;=N('Исходные данные'!$B$37)),-AC147,0)</f>
        <v>0</v>
      </c>
      <c r="AE147">
        <f>IF(OR(Расчёты!F147=0,Расчёты!F147&lt;=N('Исходные данные'!$B$37)),0,-(AC147+AD147)*N('Сценарный анализ'!$C$9))</f>
        <v>0</v>
      </c>
      <c r="AF147">
        <f t="shared" si="82"/>
        <v>0</v>
      </c>
      <c r="AG147">
        <f>IF('Исходные данные'!$B$51="Да",AF147*N('Исходные данные'!$B$52),0)</f>
        <v>0</v>
      </c>
      <c r="AH147">
        <f t="shared" si="83"/>
        <v>0</v>
      </c>
      <c r="AI147">
        <f>AF147+(Расчёты!Y147-Расчёты!L147)</f>
        <v>0</v>
      </c>
      <c r="AJ147">
        <f t="shared" si="92"/>
        <v>0</v>
      </c>
      <c r="AK147">
        <f>IF('Исходные данные'!$B$51="Да",-MAX(0,AG147+Расчёты!R147+Расчёты!V147-Расчёты!P147-Расчёты!T147-AJ147),0)</f>
        <v>0</v>
      </c>
      <c r="AL147">
        <f>IF('Исходные данные'!$B$51="Да",MAX(0,AJ147+Расчёты!P147+Расчёты!T147-AG147-Расчёты!R147-Расчёты!V147),0)</f>
        <v>0</v>
      </c>
      <c r="AM147">
        <f>IF('Исходные данные'!$B$53="Выручка",MAX(0,AF147+(Расчёты!Q147-Расчёты!R147)+(Расчёты!U147-Расчёты!V147)),IF('Исходные данные'!$B$53="Прибыль до налога",MAX(0,AF147+(Расчёты!Q147-Расчёты!R147)+(Расчёты!U147-Расчёты!V147)+N('Исходные данные'!$B$54)*((Расчёты!O147+Расчёты!P147)+(Расчёты!S147+Расчёты!T147)+Расчёты!W147+Расчёты!X147)+IF('Исходные данные'!$B$55="Да",Расчёты!AG147,0)-N('Исходные данные'!$B$56)/12),IF('Исходные данные'!$B$53="Пользовательская база",MAX(0,N('Исходные данные'!$B$57)/12),0)))</f>
        <v>0</v>
      </c>
      <c r="AN147">
        <f>IF(D147=1,-AM147*N('Исходные данные'!$B$50),0)</f>
        <v>0</v>
      </c>
      <c r="AO147">
        <f t="shared" si="84"/>
        <v>0</v>
      </c>
      <c r="AP147">
        <f>IF(OR(D147&lt;&gt;1,B147="",'Исходные данные'!$B$91="",N('Исходные данные'!$B$80)&lt;=0,'Исходные данные'!$B$88=""),0,IF(AND(YEAR(B147)=YEAR('Исходные данные'!$B$91),MONTH(B147)=MONTH('Исходные данные'!$B$91)),MAX(0,IF('Исходные данные'!$B$88="Последние 12 месяцев",SUMIFS($AI$2:$AI$194,$B$2:$B$194,"&gt;="&amp;EDATE(B147,-11),$B$2:$B$194,"&lt;="&amp;B147),IF('Исходные данные'!$B$88="Пользовательский NOI",N('Исходные данные'!$B$89),AO147))/N('Исходные данные'!$B$80)*(1+N('Исходные данные'!$B$81))),0))</f>
        <v>0</v>
      </c>
      <c r="AQ147">
        <f>-AP147*N('Исходные данные'!$B$73)</f>
        <v>0</v>
      </c>
      <c r="AR147">
        <f>IF(AP147=0,0,-N('Исходные данные'!$B$87)-IF('Исходные данные'!$B$82="Да",IF('Исходные данные'!$B$84="С выручки",AP147,IF('Исходные данные'!$B$84="С прибыли",MAX(0,AP147+AQ147-IF('Исходные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47">
        <f t="shared" si="85"/>
        <v>0</v>
      </c>
      <c r="AT147">
        <f>IF(D147=1,Расчёты!AZ147+AH147+AK147+AN147+AS147,0)</f>
        <v>0</v>
      </c>
      <c r="AU147" t="str">
        <f t="shared" si="93"/>
        <v/>
      </c>
      <c r="AV147">
        <f>IF(OR(D147=0,'Исходные данные'!$B$9="",'Исходные данные'!$B$90=""),0,AT147/(1+'Исходные данные'!$B$90)^((C147-'Исходные данные'!$B$9)/365))</f>
        <v>0</v>
      </c>
      <c r="AW147">
        <f>IF(D147=1,AH147+Расчёты!O147+Расчёты!Q147+Расчёты!S147+Расчёты!U147+Расчёты!W147+Расчёты!X147+AK147+AN147,0)</f>
        <v>0</v>
      </c>
      <c r="AX147">
        <f>IF(AND(D147=1,AU147&gt;=0,AU146&lt;0,MIN($AU$2:AU147)&lt;0),1,0)</f>
        <v>0</v>
      </c>
      <c r="AY147">
        <f>IF(Расчёты!F147=0,0,IF(Расчёты!G147=1,N('Сценарный анализ'!$D$5),IF(Расчёты!G147=2,N('Сценарный анализ'!$D$6),IF(Расчёты!G147=3,N('Сценарный анализ'!$D$7),N('Сценарный анализ'!$D$7)*(1+N('Сценарный анализ'!$D$8))^(Расчёты!G147-3)))))</f>
        <v>0</v>
      </c>
      <c r="AZ147">
        <f>IF(OR(Расчёты!F147=0,N('Исходные данные'!$B$5)=0,AY147=0),0,N('Исходные данные'!$B$5)*AY147*IF(AND(B147&lt;='Исходные данные'!$B$30,Расчёты!C147&gt;='Исходные данные'!$B$30),(Расчёты!C147-'Исходные данные'!$B$30+1)/DAY(Расчёты!C147),1))</f>
        <v>0</v>
      </c>
      <c r="BA147">
        <f>IF(AND(Расчёты!F147&gt;0,Расчёты!F147&lt;=N('Исходные данные'!$B$37)),-AZ147,0)</f>
        <v>0</v>
      </c>
      <c r="BB147">
        <f>IF(OR(Расчёты!F147=0,Расчёты!F147&lt;=N('Исходные данные'!$B$37)),0,-(AZ147+BA147)*N('Сценарный анализ'!$D$9))</f>
        <v>0</v>
      </c>
      <c r="BC147">
        <f t="shared" si="86"/>
        <v>0</v>
      </c>
      <c r="BD147">
        <f>IF('Исходные данные'!$B$51="Да",BC147*N('Исходные данные'!$B$52),0)</f>
        <v>0</v>
      </c>
      <c r="BE147">
        <f t="shared" si="87"/>
        <v>0</v>
      </c>
      <c r="BF147">
        <f>BC147+(Расчёты!Y147-Расчёты!L147)</f>
        <v>0</v>
      </c>
      <c r="BG147">
        <f t="shared" si="94"/>
        <v>0</v>
      </c>
      <c r="BH147">
        <f>IF('Исходные данные'!$B$51="Да",-MAX(0,BD147+Расчёты!R147+Расчёты!V147-Расчёты!P147-Расчёты!T147-BG147),0)</f>
        <v>0</v>
      </c>
      <c r="BI147">
        <f>IF('Исходные данные'!$B$51="Да",MAX(0,BG147+Расчёты!P147+Расчёты!T147-BD147-Расчёты!R147-Расчёты!V147),0)</f>
        <v>0</v>
      </c>
      <c r="BJ147">
        <f>IF('Исходные данные'!$B$53="Выручка",MAX(0,BC147+(Расчёты!Q147-Расчёты!R147)+(Расчёты!U147-Расчёты!V147)),IF('Исходные данные'!$B$53="Прибыль до налога",MAX(0,BC147+(Расчёты!Q147-Расчёты!R147)+(Расчёты!U147-Расчёты!V147)+N('Исходные данные'!$B$54)*((Расчёты!O147+Расчёты!P147)+(Расчёты!S147+Расчёты!T147)+Расчёты!W147+Расчёты!X147)+IF('Исходные данные'!$B$55="Да",Расчёты!AG147,0)-N('Исходные данные'!$B$56)/12),IF('Исходные данные'!$B$53="Пользовательская база",MAX(0,N('Исходные данные'!$B$57)/12),0)))</f>
        <v>0</v>
      </c>
      <c r="BK147">
        <f>IF(D147=1,-BJ147*N('Исходные данные'!$B$50),0)</f>
        <v>0</v>
      </c>
      <c r="BL147">
        <f t="shared" si="88"/>
        <v>0</v>
      </c>
      <c r="BM147">
        <f>IF(OR(D147&lt;&gt;1,B147="",'Исходные данные'!$B$91="",N('Исходные данные'!$B$80)&lt;=0,'Исходные данные'!$B$88=""),0,IF(AND(YEAR(B147)=YEAR('Исходные данные'!$B$91),MONTH(B147)=MONTH('Исходные данные'!$B$91)),MAX(0,IF('Исходные данные'!$B$88="Последние 12 месяцев",SUMIFS($BF$2:$BF$194,$B$2:$B$194,"&gt;="&amp;EDATE(B147,-11),$B$2:$B$194,"&lt;="&amp;B147),IF('Исходные данные'!$B$88="Пользовательский NOI",N('Исходные данные'!$B$89),BL147))/N('Исходные данные'!$B$80)*(1+N('Исходные данные'!$B$81))),0))</f>
        <v>0</v>
      </c>
      <c r="BN147">
        <f>-BM147*N('Исходные данные'!$B$73)</f>
        <v>0</v>
      </c>
      <c r="BO147">
        <f>IF(BM147=0,0,-N('Исходные данные'!$B$87)-IF('Исходные данные'!$B$82="Да",IF('Исходные данные'!$B$84="С выручки",BM147,IF('Исходные данные'!$B$84="С прибыли",MAX(0,BM147+BN147-IF('Исходные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47">
        <f t="shared" si="89"/>
        <v>0</v>
      </c>
      <c r="BQ147">
        <f>IF(D147=1,Расчёты!AZ147+BE147+BH147+BK147+BP147,0)</f>
        <v>0</v>
      </c>
      <c r="BR147" t="str">
        <f t="shared" si="95"/>
        <v/>
      </c>
      <c r="BS147">
        <f>IF(OR(D147=0,'Исходные данные'!$B$9="",'Исходные данные'!$B$90=""),0,BQ147/(1+'Исходные данные'!$B$90)^((C147-'Исходные данные'!$B$9)/365))</f>
        <v>0</v>
      </c>
      <c r="BT147">
        <f>IF(D147=1,BE147+Расчёты!O147+Расчёты!Q147+Расчёты!S147+Расчёты!U147+Расчёты!W147+Расчёты!X147+BH147+BK147,0)</f>
        <v>0</v>
      </c>
      <c r="BU147">
        <f>IF(AND(D147=1,BR147&gt;=0,BR146&lt;0,MIN($BR$2:BR147)&lt;0),1,0)</f>
        <v>0</v>
      </c>
      <c r="BV147">
        <f>Расчёты!AZ147+K147+N147-P147*N('Исходные данные'!$B$50)</f>
        <v>0</v>
      </c>
      <c r="BW147">
        <f t="shared" si="96"/>
        <v>0</v>
      </c>
      <c r="BX147">
        <f>IF(AND(BW147&gt;=0,BW146&lt;0,MIN($BW$2:BW147)&lt;0),1,0)</f>
        <v>0</v>
      </c>
      <c r="BY147">
        <f>Расчёты!AZ147+AH147+AK147-AM147*N('Исходные данные'!$B$50)</f>
        <v>0</v>
      </c>
      <c r="BZ147">
        <f t="shared" si="97"/>
        <v>0</v>
      </c>
      <c r="CA147">
        <f>IF(AND(BZ147&gt;=0,BZ146&lt;0,MIN($BZ$2:BZ147)&lt;0),1,0)</f>
        <v>0</v>
      </c>
      <c r="CB147">
        <f>Расчёты!AZ147+BE147+BH147-BJ147*N('Исходные данные'!$B$50)</f>
        <v>0</v>
      </c>
      <c r="CC147">
        <f t="shared" si="98"/>
        <v>0</v>
      </c>
      <c r="CD147">
        <f>IF(AND(CC147&gt;=0,CC146&lt;0,MIN($CC$2:CC147)&lt;0),1,0)</f>
        <v>0</v>
      </c>
    </row>
    <row r="148" spans="1:82" x14ac:dyDescent="0.2">
      <c r="A148">
        <f>Расчёты!A148</f>
        <v>147</v>
      </c>
      <c r="B148" t="str">
        <f>Расчёты!B148</f>
        <v/>
      </c>
      <c r="C148" t="str">
        <f>Расчёты!D148</f>
        <v/>
      </c>
      <c r="D148">
        <f>Расчёты!E148</f>
        <v>0</v>
      </c>
      <c r="E148">
        <f>IF(Расчёты!F148=0,0,IF(Расчёты!G148=1,N('Сценарный анализ'!$B$5),IF(Расчёты!G148=2,N('Сценарный анализ'!$B$6),IF(Расчёты!G148=3,N('Сценарный анализ'!$B$7),N('Сценарный анализ'!$B$7)*(1+N('Сценарный анализ'!$B$8))^(Расчёты!G148-3)))))</f>
        <v>0</v>
      </c>
      <c r="F148">
        <f>IF(OR(Расчёты!F148=0,N('Исходные данные'!$B$5)=0,E148=0),0,N('Исходные данные'!$B$5)*E148*IF(AND(B148&lt;='Исходные данные'!$B$30,Расчёты!C148&gt;='Исходные данные'!$B$30),(Расчёты!C148-'Исходные данные'!$B$30+1)/DAY(Расчёты!C148),1))</f>
        <v>0</v>
      </c>
      <c r="G148">
        <f>IF(AND(Расчёты!F148&gt;0,Расчёты!F148&lt;=N('Исходные данные'!$B$37)),-F148,0)</f>
        <v>0</v>
      </c>
      <c r="H148">
        <f>IF(OR(Расчёты!F148=0,Расчёты!F148&lt;=N('Исходные данные'!$B$37)),0,-(F148+G148)*N('Сценарный анализ'!$B$9))</f>
        <v>0</v>
      </c>
      <c r="I148">
        <f t="shared" si="78"/>
        <v>0</v>
      </c>
      <c r="J148">
        <f>IF('Исходные данные'!$B$51="Да",I148*N('Исходные данные'!$B$52),0)</f>
        <v>0</v>
      </c>
      <c r="K148">
        <f t="shared" si="79"/>
        <v>0</v>
      </c>
      <c r="L148">
        <f>I148+(Расчёты!Y148-Расчёты!L148)</f>
        <v>0</v>
      </c>
      <c r="M148">
        <f t="shared" si="90"/>
        <v>0</v>
      </c>
      <c r="N148">
        <f>IF('Исходные данные'!$B$51="Да",-MAX(0,J148+Расчёты!R148+Расчёты!V148-Расчёты!P148-Расчёты!T148-M148),0)</f>
        <v>0</v>
      </c>
      <c r="O148">
        <f>IF('Исходные данные'!$B$51="Да",MAX(0,M148+Расчёты!P148+Расчёты!T148-J148-Расчёты!R148-Расчёты!V148),0)</f>
        <v>0</v>
      </c>
      <c r="P148">
        <f>IF('Исходные данные'!$B$53="Выручка",MAX(0,I148+(Расчёты!Q148-Расчёты!R148)+(Расчёты!U148-Расчёты!V148)),IF('Исходные данные'!$B$53="Прибыль до налога",MAX(0,I148+(Расчёты!Q148-Расчёты!R148)+(Расчёты!U148-Расчёты!V148)+N('Исходные данные'!$B$54)*((Расчёты!O148+Расчёты!P148)+(Расчёты!S148+Расчёты!T148)+Расчёты!W148+Расчёты!X148)+IF('Исходные данные'!$B$55="Да",Расчёты!AG148,0)-N('Исходные данные'!$B$56)/12),IF('Исходные данные'!$B$53="Пользовательская база",MAX(0,N('Исходные данные'!$B$57)/12),0)))</f>
        <v>0</v>
      </c>
      <c r="Q148">
        <f>IF(D148=1,-P148*N('Исходные данные'!$B$50),0)</f>
        <v>0</v>
      </c>
      <c r="R148">
        <f t="shared" si="80"/>
        <v>0</v>
      </c>
      <c r="S148">
        <f>IF(OR(D148&lt;&gt;1,B148="",'Исходные данные'!$B$91="",N('Исходные данные'!$B$80)&lt;=0,'Исходные данные'!$B$88=""),0,IF(AND(YEAR(B148)=YEAR('Исходные данные'!$B$91),MONTH(B148)=MONTH('Исходные данные'!$B$91)),MAX(0,IF('Исходные данные'!$B$88="Последние 12 месяцев",SUMIFS($L$2:$L$194,$B$2:$B$194,"&gt;="&amp;EDATE(B148,-11),$B$2:$B$194,"&lt;="&amp;B148),IF('Исходные данные'!$B$88="Пользовательский NOI",N('Исходные данные'!$B$89),R148))/N('Исходные данные'!$B$80)*(1+N('Исходные данные'!$B$81))),0))</f>
        <v>0</v>
      </c>
      <c r="T148">
        <f>-S148*N('Исходные данные'!$B$73)</f>
        <v>0</v>
      </c>
      <c r="U148">
        <f>IF(S148=0,0,-N('Исходные данные'!$B$87)-IF('Исходные данные'!$B$82="Да",IF('Исходные данные'!$B$84="С выручки",S148,IF('Исходные данные'!$B$84="С прибыли",MAX(0,S148+T148-IF('Исходные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48">
        <f t="shared" si="81"/>
        <v>0</v>
      </c>
      <c r="W148">
        <f>IF(D148=1,Расчёты!AZ148+K148+N148+Q148+V148,0)</f>
        <v>0</v>
      </c>
      <c r="X148" t="str">
        <f t="shared" si="91"/>
        <v/>
      </c>
      <c r="Y148">
        <f>IF(OR(D148=0,'Исходные данные'!$B$9="",'Исходные данные'!$B$90=""),0,W148/(1+'Исходные данные'!$B$90)^((C148-'Исходные данные'!$B$9)/365))</f>
        <v>0</v>
      </c>
      <c r="Z148">
        <f>IF(D148=1,K148+Расчёты!O148+Расчёты!Q148+Расчёты!S148+Расчёты!U148+Расчёты!W148+Расчёты!X148+N148+Q148,0)</f>
        <v>0</v>
      </c>
      <c r="AA148">
        <f>IF(AND(D148=1,X148&gt;=0,X147&lt;0,MIN($X$2:X148)&lt;0),1,0)</f>
        <v>0</v>
      </c>
      <c r="AB148">
        <f>IF(Расчёты!F148=0,0,IF(Расчёты!G148=1,N('Сценарный анализ'!$C$5),IF(Расчёты!G148=2,N('Сценарный анализ'!$C$6),IF(Расчёты!G148=3,N('Сценарный анализ'!$C$7),N('Сценарный анализ'!$C$7)*(1+N('Сценарный анализ'!$C$8))^(Расчёты!G148-3)))))</f>
        <v>0</v>
      </c>
      <c r="AC148">
        <f>IF(OR(Расчёты!F148=0,N('Исходные данные'!$B$5)=0,AB148=0),0,N('Исходные данные'!$B$5)*AB148*IF(AND(B148&lt;='Исходные данные'!$B$30,Расчёты!C148&gt;='Исходные данные'!$B$30),(Расчёты!C148-'Исходные данные'!$B$30+1)/DAY(Расчёты!C148),1))</f>
        <v>0</v>
      </c>
      <c r="AD148">
        <f>IF(AND(Расчёты!F148&gt;0,Расчёты!F148&lt;=N('Исходные данные'!$B$37)),-AC148,0)</f>
        <v>0</v>
      </c>
      <c r="AE148">
        <f>IF(OR(Расчёты!F148=0,Расчёты!F148&lt;=N('Исходные данные'!$B$37)),0,-(AC148+AD148)*N('Сценарный анализ'!$C$9))</f>
        <v>0</v>
      </c>
      <c r="AF148">
        <f t="shared" si="82"/>
        <v>0</v>
      </c>
      <c r="AG148">
        <f>IF('Исходные данные'!$B$51="Да",AF148*N('Исходные данные'!$B$52),0)</f>
        <v>0</v>
      </c>
      <c r="AH148">
        <f t="shared" si="83"/>
        <v>0</v>
      </c>
      <c r="AI148">
        <f>AF148+(Расчёты!Y148-Расчёты!L148)</f>
        <v>0</v>
      </c>
      <c r="AJ148">
        <f t="shared" si="92"/>
        <v>0</v>
      </c>
      <c r="AK148">
        <f>IF('Исходные данные'!$B$51="Да",-MAX(0,AG148+Расчёты!R148+Расчёты!V148-Расчёты!P148-Расчёты!T148-AJ148),0)</f>
        <v>0</v>
      </c>
      <c r="AL148">
        <f>IF('Исходные данные'!$B$51="Да",MAX(0,AJ148+Расчёты!P148+Расчёты!T148-AG148-Расчёты!R148-Расчёты!V148),0)</f>
        <v>0</v>
      </c>
      <c r="AM148">
        <f>IF('Исходные данные'!$B$53="Выручка",MAX(0,AF148+(Расчёты!Q148-Расчёты!R148)+(Расчёты!U148-Расчёты!V148)),IF('Исходные данные'!$B$53="Прибыль до налога",MAX(0,AF148+(Расчёты!Q148-Расчёты!R148)+(Расчёты!U148-Расчёты!V148)+N('Исходные данные'!$B$54)*((Расчёты!O148+Расчёты!P148)+(Расчёты!S148+Расчёты!T148)+Расчёты!W148+Расчёты!X148)+IF('Исходные данные'!$B$55="Да",Расчёты!AG148,0)-N('Исходные данные'!$B$56)/12),IF('Исходные данные'!$B$53="Пользовательская база",MAX(0,N('Исходные данные'!$B$57)/12),0)))</f>
        <v>0</v>
      </c>
      <c r="AN148">
        <f>IF(D148=1,-AM148*N('Исходные данные'!$B$50),0)</f>
        <v>0</v>
      </c>
      <c r="AO148">
        <f t="shared" si="84"/>
        <v>0</v>
      </c>
      <c r="AP148">
        <f>IF(OR(D148&lt;&gt;1,B148="",'Исходные данные'!$B$91="",N('Исходные данные'!$B$80)&lt;=0,'Исходные данные'!$B$88=""),0,IF(AND(YEAR(B148)=YEAR('Исходные данные'!$B$91),MONTH(B148)=MONTH('Исходные данные'!$B$91)),MAX(0,IF('Исходные данные'!$B$88="Последние 12 месяцев",SUMIFS($AI$2:$AI$194,$B$2:$B$194,"&gt;="&amp;EDATE(B148,-11),$B$2:$B$194,"&lt;="&amp;B148),IF('Исходные данные'!$B$88="Пользовательский NOI",N('Исходные данные'!$B$89),AO148))/N('Исходные данные'!$B$80)*(1+N('Исходные данные'!$B$81))),0))</f>
        <v>0</v>
      </c>
      <c r="AQ148">
        <f>-AP148*N('Исходные данные'!$B$73)</f>
        <v>0</v>
      </c>
      <c r="AR148">
        <f>IF(AP148=0,0,-N('Исходные данные'!$B$87)-IF('Исходные данные'!$B$82="Да",IF('Исходные данные'!$B$84="С выручки",AP148,IF('Исходные данные'!$B$84="С прибыли",MAX(0,AP148+AQ148-IF('Исходные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48">
        <f t="shared" si="85"/>
        <v>0</v>
      </c>
      <c r="AT148">
        <f>IF(D148=1,Расчёты!AZ148+AH148+AK148+AN148+AS148,0)</f>
        <v>0</v>
      </c>
      <c r="AU148" t="str">
        <f t="shared" si="93"/>
        <v/>
      </c>
      <c r="AV148">
        <f>IF(OR(D148=0,'Исходные данные'!$B$9="",'Исходные данные'!$B$90=""),0,AT148/(1+'Исходные данные'!$B$90)^((C148-'Исходные данные'!$B$9)/365))</f>
        <v>0</v>
      </c>
      <c r="AW148">
        <f>IF(D148=1,AH148+Расчёты!O148+Расчёты!Q148+Расчёты!S148+Расчёты!U148+Расчёты!W148+Расчёты!X148+AK148+AN148,0)</f>
        <v>0</v>
      </c>
      <c r="AX148">
        <f>IF(AND(D148=1,AU148&gt;=0,AU147&lt;0,MIN($AU$2:AU148)&lt;0),1,0)</f>
        <v>0</v>
      </c>
      <c r="AY148">
        <f>IF(Расчёты!F148=0,0,IF(Расчёты!G148=1,N('Сценарный анализ'!$D$5),IF(Расчёты!G148=2,N('Сценарный анализ'!$D$6),IF(Расчёты!G148=3,N('Сценарный анализ'!$D$7),N('Сценарный анализ'!$D$7)*(1+N('Сценарный анализ'!$D$8))^(Расчёты!G148-3)))))</f>
        <v>0</v>
      </c>
      <c r="AZ148">
        <f>IF(OR(Расчёты!F148=0,N('Исходные данные'!$B$5)=0,AY148=0),0,N('Исходные данные'!$B$5)*AY148*IF(AND(B148&lt;='Исходные данные'!$B$30,Расчёты!C148&gt;='Исходные данные'!$B$30),(Расчёты!C148-'Исходные данные'!$B$30+1)/DAY(Расчёты!C148),1))</f>
        <v>0</v>
      </c>
      <c r="BA148">
        <f>IF(AND(Расчёты!F148&gt;0,Расчёты!F148&lt;=N('Исходные данные'!$B$37)),-AZ148,0)</f>
        <v>0</v>
      </c>
      <c r="BB148">
        <f>IF(OR(Расчёты!F148=0,Расчёты!F148&lt;=N('Исходные данные'!$B$37)),0,-(AZ148+BA148)*N('Сценарный анализ'!$D$9))</f>
        <v>0</v>
      </c>
      <c r="BC148">
        <f t="shared" si="86"/>
        <v>0</v>
      </c>
      <c r="BD148">
        <f>IF('Исходные данные'!$B$51="Да",BC148*N('Исходные данные'!$B$52),0)</f>
        <v>0</v>
      </c>
      <c r="BE148">
        <f t="shared" si="87"/>
        <v>0</v>
      </c>
      <c r="BF148">
        <f>BC148+(Расчёты!Y148-Расчёты!L148)</f>
        <v>0</v>
      </c>
      <c r="BG148">
        <f t="shared" si="94"/>
        <v>0</v>
      </c>
      <c r="BH148">
        <f>IF('Исходные данные'!$B$51="Да",-MAX(0,BD148+Расчёты!R148+Расчёты!V148-Расчёты!P148-Расчёты!T148-BG148),0)</f>
        <v>0</v>
      </c>
      <c r="BI148">
        <f>IF('Исходные данные'!$B$51="Да",MAX(0,BG148+Расчёты!P148+Расчёты!T148-BD148-Расчёты!R148-Расчёты!V148),0)</f>
        <v>0</v>
      </c>
      <c r="BJ148">
        <f>IF('Исходные данные'!$B$53="Выручка",MAX(0,BC148+(Расчёты!Q148-Расчёты!R148)+(Расчёты!U148-Расчёты!V148)),IF('Исходные данные'!$B$53="Прибыль до налога",MAX(0,BC148+(Расчёты!Q148-Расчёты!R148)+(Расчёты!U148-Расчёты!V148)+N('Исходные данные'!$B$54)*((Расчёты!O148+Расчёты!P148)+(Расчёты!S148+Расчёты!T148)+Расчёты!W148+Расчёты!X148)+IF('Исходные данные'!$B$55="Да",Расчёты!AG148,0)-N('Исходные данные'!$B$56)/12),IF('Исходные данные'!$B$53="Пользовательская база",MAX(0,N('Исходные данные'!$B$57)/12),0)))</f>
        <v>0</v>
      </c>
      <c r="BK148">
        <f>IF(D148=1,-BJ148*N('Исходные данные'!$B$50),0)</f>
        <v>0</v>
      </c>
      <c r="BL148">
        <f t="shared" si="88"/>
        <v>0</v>
      </c>
      <c r="BM148">
        <f>IF(OR(D148&lt;&gt;1,B148="",'Исходные данные'!$B$91="",N('Исходные данные'!$B$80)&lt;=0,'Исходные данные'!$B$88=""),0,IF(AND(YEAR(B148)=YEAR('Исходные данные'!$B$91),MONTH(B148)=MONTH('Исходные данные'!$B$91)),MAX(0,IF('Исходные данные'!$B$88="Последние 12 месяцев",SUMIFS($BF$2:$BF$194,$B$2:$B$194,"&gt;="&amp;EDATE(B148,-11),$B$2:$B$194,"&lt;="&amp;B148),IF('Исходные данные'!$B$88="Пользовательский NOI",N('Исходные данные'!$B$89),BL148))/N('Исходные данные'!$B$80)*(1+N('Исходные данные'!$B$81))),0))</f>
        <v>0</v>
      </c>
      <c r="BN148">
        <f>-BM148*N('Исходные данные'!$B$73)</f>
        <v>0</v>
      </c>
      <c r="BO148">
        <f>IF(BM148=0,0,-N('Исходные данные'!$B$87)-IF('Исходные данные'!$B$82="Да",IF('Исходные данные'!$B$84="С выручки",BM148,IF('Исходные данные'!$B$84="С прибыли",MAX(0,BM148+BN148-IF('Исходные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48">
        <f t="shared" si="89"/>
        <v>0</v>
      </c>
      <c r="BQ148">
        <f>IF(D148=1,Расчёты!AZ148+BE148+BH148+BK148+BP148,0)</f>
        <v>0</v>
      </c>
      <c r="BR148" t="str">
        <f t="shared" si="95"/>
        <v/>
      </c>
      <c r="BS148">
        <f>IF(OR(D148=0,'Исходные данные'!$B$9="",'Исходные данные'!$B$90=""),0,BQ148/(1+'Исходные данные'!$B$90)^((C148-'Исходные данные'!$B$9)/365))</f>
        <v>0</v>
      </c>
      <c r="BT148">
        <f>IF(D148=1,BE148+Расчёты!O148+Расчёты!Q148+Расчёты!S148+Расчёты!U148+Расчёты!W148+Расчёты!X148+BH148+BK148,0)</f>
        <v>0</v>
      </c>
      <c r="BU148">
        <f>IF(AND(D148=1,BR148&gt;=0,BR147&lt;0,MIN($BR$2:BR148)&lt;0),1,0)</f>
        <v>0</v>
      </c>
      <c r="BV148">
        <f>Расчёты!AZ148+K148+N148-P148*N('Исходные данные'!$B$50)</f>
        <v>0</v>
      </c>
      <c r="BW148">
        <f t="shared" si="96"/>
        <v>0</v>
      </c>
      <c r="BX148">
        <f>IF(AND(BW148&gt;=0,BW147&lt;0,MIN($BW$2:BW148)&lt;0),1,0)</f>
        <v>0</v>
      </c>
      <c r="BY148">
        <f>Расчёты!AZ148+AH148+AK148-AM148*N('Исходные данные'!$B$50)</f>
        <v>0</v>
      </c>
      <c r="BZ148">
        <f t="shared" si="97"/>
        <v>0</v>
      </c>
      <c r="CA148">
        <f>IF(AND(BZ148&gt;=0,BZ147&lt;0,MIN($BZ$2:BZ148)&lt;0),1,0)</f>
        <v>0</v>
      </c>
      <c r="CB148">
        <f>Расчёты!AZ148+BE148+BH148-BJ148*N('Исходные данные'!$B$50)</f>
        <v>0</v>
      </c>
      <c r="CC148">
        <f t="shared" si="98"/>
        <v>0</v>
      </c>
      <c r="CD148">
        <f>IF(AND(CC148&gt;=0,CC147&lt;0,MIN($CC$2:CC148)&lt;0),1,0)</f>
        <v>0</v>
      </c>
    </row>
    <row r="149" spans="1:82" x14ac:dyDescent="0.2">
      <c r="A149">
        <f>Расчёты!A149</f>
        <v>148</v>
      </c>
      <c r="B149" t="str">
        <f>Расчёты!B149</f>
        <v/>
      </c>
      <c r="C149" t="str">
        <f>Расчёты!D149</f>
        <v/>
      </c>
      <c r="D149">
        <f>Расчёты!E149</f>
        <v>0</v>
      </c>
      <c r="E149">
        <f>IF(Расчёты!F149=0,0,IF(Расчёты!G149=1,N('Сценарный анализ'!$B$5),IF(Расчёты!G149=2,N('Сценарный анализ'!$B$6),IF(Расчёты!G149=3,N('Сценарный анализ'!$B$7),N('Сценарный анализ'!$B$7)*(1+N('Сценарный анализ'!$B$8))^(Расчёты!G149-3)))))</f>
        <v>0</v>
      </c>
      <c r="F149">
        <f>IF(OR(Расчёты!F149=0,N('Исходные данные'!$B$5)=0,E149=0),0,N('Исходные данные'!$B$5)*E149*IF(AND(B149&lt;='Исходные данные'!$B$30,Расчёты!C149&gt;='Исходные данные'!$B$30),(Расчёты!C149-'Исходные данные'!$B$30+1)/DAY(Расчёты!C149),1))</f>
        <v>0</v>
      </c>
      <c r="G149">
        <f>IF(AND(Расчёты!F149&gt;0,Расчёты!F149&lt;=N('Исходные данные'!$B$37)),-F149,0)</f>
        <v>0</v>
      </c>
      <c r="H149">
        <f>IF(OR(Расчёты!F149=0,Расчёты!F149&lt;=N('Исходные данные'!$B$37)),0,-(F149+G149)*N('Сценарный анализ'!$B$9))</f>
        <v>0</v>
      </c>
      <c r="I149">
        <f t="shared" si="78"/>
        <v>0</v>
      </c>
      <c r="J149">
        <f>IF('Исходные данные'!$B$51="Да",I149*N('Исходные данные'!$B$52),0)</f>
        <v>0</v>
      </c>
      <c r="K149">
        <f t="shared" si="79"/>
        <v>0</v>
      </c>
      <c r="L149">
        <f>I149+(Расчёты!Y149-Расчёты!L149)</f>
        <v>0</v>
      </c>
      <c r="M149">
        <f t="shared" si="90"/>
        <v>0</v>
      </c>
      <c r="N149">
        <f>IF('Исходные данные'!$B$51="Да",-MAX(0,J149+Расчёты!R149+Расчёты!V149-Расчёты!P149-Расчёты!T149-M149),0)</f>
        <v>0</v>
      </c>
      <c r="O149">
        <f>IF('Исходные данные'!$B$51="Да",MAX(0,M149+Расчёты!P149+Расчёты!T149-J149-Расчёты!R149-Расчёты!V149),0)</f>
        <v>0</v>
      </c>
      <c r="P149">
        <f>IF('Исходные данные'!$B$53="Выручка",MAX(0,I149+(Расчёты!Q149-Расчёты!R149)+(Расчёты!U149-Расчёты!V149)),IF('Исходные данные'!$B$53="Прибыль до налога",MAX(0,I149+(Расчёты!Q149-Расчёты!R149)+(Расчёты!U149-Расчёты!V149)+N('Исходные данные'!$B$54)*((Расчёты!O149+Расчёты!P149)+(Расчёты!S149+Расчёты!T149)+Расчёты!W149+Расчёты!X149)+IF('Исходные данные'!$B$55="Да",Расчёты!AG149,0)-N('Исходные данные'!$B$56)/12),IF('Исходные данные'!$B$53="Пользовательская база",MAX(0,N('Исходные данные'!$B$57)/12),0)))</f>
        <v>0</v>
      </c>
      <c r="Q149">
        <f>IF(D149=1,-P149*N('Исходные данные'!$B$50),0)</f>
        <v>0</v>
      </c>
      <c r="R149">
        <f t="shared" si="80"/>
        <v>0</v>
      </c>
      <c r="S149">
        <f>IF(OR(D149&lt;&gt;1,B149="",'Исходные данные'!$B$91="",N('Исходные данные'!$B$80)&lt;=0,'Исходные данные'!$B$88=""),0,IF(AND(YEAR(B149)=YEAR('Исходные данные'!$B$91),MONTH(B149)=MONTH('Исходные данные'!$B$91)),MAX(0,IF('Исходные данные'!$B$88="Последние 12 месяцев",SUMIFS($L$2:$L$194,$B$2:$B$194,"&gt;="&amp;EDATE(B149,-11),$B$2:$B$194,"&lt;="&amp;B149),IF('Исходные данные'!$B$88="Пользовательский NOI",N('Исходные данные'!$B$89),R149))/N('Исходные данные'!$B$80)*(1+N('Исходные данные'!$B$81))),0))</f>
        <v>0</v>
      </c>
      <c r="T149">
        <f>-S149*N('Исходные данные'!$B$73)</f>
        <v>0</v>
      </c>
      <c r="U149">
        <f>IF(S149=0,0,-N('Исходные данные'!$B$87)-IF('Исходные данные'!$B$82="Да",IF('Исходные данные'!$B$84="С выручки",S149,IF('Исходные данные'!$B$84="С прибыли",MAX(0,S149+T149-IF('Исходные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49">
        <f t="shared" si="81"/>
        <v>0</v>
      </c>
      <c r="W149">
        <f>IF(D149=1,Расчёты!AZ149+K149+N149+Q149+V149,0)</f>
        <v>0</v>
      </c>
      <c r="X149" t="str">
        <f t="shared" si="91"/>
        <v/>
      </c>
      <c r="Y149">
        <f>IF(OR(D149=0,'Исходные данные'!$B$9="",'Исходные данные'!$B$90=""),0,W149/(1+'Исходные данные'!$B$90)^((C149-'Исходные данные'!$B$9)/365))</f>
        <v>0</v>
      </c>
      <c r="Z149">
        <f>IF(D149=1,K149+Расчёты!O149+Расчёты!Q149+Расчёты!S149+Расчёты!U149+Расчёты!W149+Расчёты!X149+N149+Q149,0)</f>
        <v>0</v>
      </c>
      <c r="AA149">
        <f>IF(AND(D149=1,X149&gt;=0,X148&lt;0,MIN($X$2:X149)&lt;0),1,0)</f>
        <v>0</v>
      </c>
      <c r="AB149">
        <f>IF(Расчёты!F149=0,0,IF(Расчёты!G149=1,N('Сценарный анализ'!$C$5),IF(Расчёты!G149=2,N('Сценарный анализ'!$C$6),IF(Расчёты!G149=3,N('Сценарный анализ'!$C$7),N('Сценарный анализ'!$C$7)*(1+N('Сценарный анализ'!$C$8))^(Расчёты!G149-3)))))</f>
        <v>0</v>
      </c>
      <c r="AC149">
        <f>IF(OR(Расчёты!F149=0,N('Исходные данные'!$B$5)=0,AB149=0),0,N('Исходные данные'!$B$5)*AB149*IF(AND(B149&lt;='Исходные данные'!$B$30,Расчёты!C149&gt;='Исходные данные'!$B$30),(Расчёты!C149-'Исходные данные'!$B$30+1)/DAY(Расчёты!C149),1))</f>
        <v>0</v>
      </c>
      <c r="AD149">
        <f>IF(AND(Расчёты!F149&gt;0,Расчёты!F149&lt;=N('Исходные данные'!$B$37)),-AC149,0)</f>
        <v>0</v>
      </c>
      <c r="AE149">
        <f>IF(OR(Расчёты!F149=0,Расчёты!F149&lt;=N('Исходные данные'!$B$37)),0,-(AC149+AD149)*N('Сценарный анализ'!$C$9))</f>
        <v>0</v>
      </c>
      <c r="AF149">
        <f t="shared" si="82"/>
        <v>0</v>
      </c>
      <c r="AG149">
        <f>IF('Исходные данные'!$B$51="Да",AF149*N('Исходные данные'!$B$52),0)</f>
        <v>0</v>
      </c>
      <c r="AH149">
        <f t="shared" si="83"/>
        <v>0</v>
      </c>
      <c r="AI149">
        <f>AF149+(Расчёты!Y149-Расчёты!L149)</f>
        <v>0</v>
      </c>
      <c r="AJ149">
        <f t="shared" si="92"/>
        <v>0</v>
      </c>
      <c r="AK149">
        <f>IF('Исходные данные'!$B$51="Да",-MAX(0,AG149+Расчёты!R149+Расчёты!V149-Расчёты!P149-Расчёты!T149-AJ149),0)</f>
        <v>0</v>
      </c>
      <c r="AL149">
        <f>IF('Исходные данные'!$B$51="Да",MAX(0,AJ149+Расчёты!P149+Расчёты!T149-AG149-Расчёты!R149-Расчёты!V149),0)</f>
        <v>0</v>
      </c>
      <c r="AM149">
        <f>IF('Исходные данные'!$B$53="Выручка",MAX(0,AF149+(Расчёты!Q149-Расчёты!R149)+(Расчёты!U149-Расчёты!V149)),IF('Исходные данные'!$B$53="Прибыль до налога",MAX(0,AF149+(Расчёты!Q149-Расчёты!R149)+(Расчёты!U149-Расчёты!V149)+N('Исходные данные'!$B$54)*((Расчёты!O149+Расчёты!P149)+(Расчёты!S149+Расчёты!T149)+Расчёты!W149+Расчёты!X149)+IF('Исходные данные'!$B$55="Да",Расчёты!AG149,0)-N('Исходные данные'!$B$56)/12),IF('Исходные данные'!$B$53="Пользовательская база",MAX(0,N('Исходные данные'!$B$57)/12),0)))</f>
        <v>0</v>
      </c>
      <c r="AN149">
        <f>IF(D149=1,-AM149*N('Исходные данные'!$B$50),0)</f>
        <v>0</v>
      </c>
      <c r="AO149">
        <f t="shared" si="84"/>
        <v>0</v>
      </c>
      <c r="AP149">
        <f>IF(OR(D149&lt;&gt;1,B149="",'Исходные данные'!$B$91="",N('Исходные данные'!$B$80)&lt;=0,'Исходные данные'!$B$88=""),0,IF(AND(YEAR(B149)=YEAR('Исходные данные'!$B$91),MONTH(B149)=MONTH('Исходные данные'!$B$91)),MAX(0,IF('Исходные данные'!$B$88="Последние 12 месяцев",SUMIFS($AI$2:$AI$194,$B$2:$B$194,"&gt;="&amp;EDATE(B149,-11),$B$2:$B$194,"&lt;="&amp;B149),IF('Исходные данные'!$B$88="Пользовательский NOI",N('Исходные данные'!$B$89),AO149))/N('Исходные данные'!$B$80)*(1+N('Исходные данные'!$B$81))),0))</f>
        <v>0</v>
      </c>
      <c r="AQ149">
        <f>-AP149*N('Исходные данные'!$B$73)</f>
        <v>0</v>
      </c>
      <c r="AR149">
        <f>IF(AP149=0,0,-N('Исходные данные'!$B$87)-IF('Исходные данные'!$B$82="Да",IF('Исходные данные'!$B$84="С выручки",AP149,IF('Исходные данные'!$B$84="С прибыли",MAX(0,AP149+AQ149-IF('Исходные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49">
        <f t="shared" si="85"/>
        <v>0</v>
      </c>
      <c r="AT149">
        <f>IF(D149=1,Расчёты!AZ149+AH149+AK149+AN149+AS149,0)</f>
        <v>0</v>
      </c>
      <c r="AU149" t="str">
        <f t="shared" si="93"/>
        <v/>
      </c>
      <c r="AV149">
        <f>IF(OR(D149=0,'Исходные данные'!$B$9="",'Исходные данные'!$B$90=""),0,AT149/(1+'Исходные данные'!$B$90)^((C149-'Исходные данные'!$B$9)/365))</f>
        <v>0</v>
      </c>
      <c r="AW149">
        <f>IF(D149=1,AH149+Расчёты!O149+Расчёты!Q149+Расчёты!S149+Расчёты!U149+Расчёты!W149+Расчёты!X149+AK149+AN149,0)</f>
        <v>0</v>
      </c>
      <c r="AX149">
        <f>IF(AND(D149=1,AU149&gt;=0,AU148&lt;0,MIN($AU$2:AU149)&lt;0),1,0)</f>
        <v>0</v>
      </c>
      <c r="AY149">
        <f>IF(Расчёты!F149=0,0,IF(Расчёты!G149=1,N('Сценарный анализ'!$D$5),IF(Расчёты!G149=2,N('Сценарный анализ'!$D$6),IF(Расчёты!G149=3,N('Сценарный анализ'!$D$7),N('Сценарный анализ'!$D$7)*(1+N('Сценарный анализ'!$D$8))^(Расчёты!G149-3)))))</f>
        <v>0</v>
      </c>
      <c r="AZ149">
        <f>IF(OR(Расчёты!F149=0,N('Исходные данные'!$B$5)=0,AY149=0),0,N('Исходные данные'!$B$5)*AY149*IF(AND(B149&lt;='Исходные данные'!$B$30,Расчёты!C149&gt;='Исходные данные'!$B$30),(Расчёты!C149-'Исходные данные'!$B$30+1)/DAY(Расчёты!C149),1))</f>
        <v>0</v>
      </c>
      <c r="BA149">
        <f>IF(AND(Расчёты!F149&gt;0,Расчёты!F149&lt;=N('Исходные данные'!$B$37)),-AZ149,0)</f>
        <v>0</v>
      </c>
      <c r="BB149">
        <f>IF(OR(Расчёты!F149=0,Расчёты!F149&lt;=N('Исходные данные'!$B$37)),0,-(AZ149+BA149)*N('Сценарный анализ'!$D$9))</f>
        <v>0</v>
      </c>
      <c r="BC149">
        <f t="shared" si="86"/>
        <v>0</v>
      </c>
      <c r="BD149">
        <f>IF('Исходные данные'!$B$51="Да",BC149*N('Исходные данные'!$B$52),0)</f>
        <v>0</v>
      </c>
      <c r="BE149">
        <f t="shared" si="87"/>
        <v>0</v>
      </c>
      <c r="BF149">
        <f>BC149+(Расчёты!Y149-Расчёты!L149)</f>
        <v>0</v>
      </c>
      <c r="BG149">
        <f t="shared" si="94"/>
        <v>0</v>
      </c>
      <c r="BH149">
        <f>IF('Исходные данные'!$B$51="Да",-MAX(0,BD149+Расчёты!R149+Расчёты!V149-Расчёты!P149-Расчёты!T149-BG149),0)</f>
        <v>0</v>
      </c>
      <c r="BI149">
        <f>IF('Исходные данные'!$B$51="Да",MAX(0,BG149+Расчёты!P149+Расчёты!T149-BD149-Расчёты!R149-Расчёты!V149),0)</f>
        <v>0</v>
      </c>
      <c r="BJ149">
        <f>IF('Исходные данные'!$B$53="Выручка",MAX(0,BC149+(Расчёты!Q149-Расчёты!R149)+(Расчёты!U149-Расчёты!V149)),IF('Исходные данные'!$B$53="Прибыль до налога",MAX(0,BC149+(Расчёты!Q149-Расчёты!R149)+(Расчёты!U149-Расчёты!V149)+N('Исходные данные'!$B$54)*((Расчёты!O149+Расчёты!P149)+(Расчёты!S149+Расчёты!T149)+Расчёты!W149+Расчёты!X149)+IF('Исходные данные'!$B$55="Да",Расчёты!AG149,0)-N('Исходные данные'!$B$56)/12),IF('Исходные данные'!$B$53="Пользовательская база",MAX(0,N('Исходные данные'!$B$57)/12),0)))</f>
        <v>0</v>
      </c>
      <c r="BK149">
        <f>IF(D149=1,-BJ149*N('Исходные данные'!$B$50),0)</f>
        <v>0</v>
      </c>
      <c r="BL149">
        <f t="shared" si="88"/>
        <v>0</v>
      </c>
      <c r="BM149">
        <f>IF(OR(D149&lt;&gt;1,B149="",'Исходные данные'!$B$91="",N('Исходные данные'!$B$80)&lt;=0,'Исходные данные'!$B$88=""),0,IF(AND(YEAR(B149)=YEAR('Исходные данные'!$B$91),MONTH(B149)=MONTH('Исходные данные'!$B$91)),MAX(0,IF('Исходные данные'!$B$88="Последние 12 месяцев",SUMIFS($BF$2:$BF$194,$B$2:$B$194,"&gt;="&amp;EDATE(B149,-11),$B$2:$B$194,"&lt;="&amp;B149),IF('Исходные данные'!$B$88="Пользовательский NOI",N('Исходные данные'!$B$89),BL149))/N('Исходные данные'!$B$80)*(1+N('Исходные данные'!$B$81))),0))</f>
        <v>0</v>
      </c>
      <c r="BN149">
        <f>-BM149*N('Исходные данные'!$B$73)</f>
        <v>0</v>
      </c>
      <c r="BO149">
        <f>IF(BM149=0,0,-N('Исходные данные'!$B$87)-IF('Исходные данные'!$B$82="Да",IF('Исходные данные'!$B$84="С выручки",BM149,IF('Исходные данные'!$B$84="С прибыли",MAX(0,BM149+BN149-IF('Исходные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49">
        <f t="shared" si="89"/>
        <v>0</v>
      </c>
      <c r="BQ149">
        <f>IF(D149=1,Расчёты!AZ149+BE149+BH149+BK149+BP149,0)</f>
        <v>0</v>
      </c>
      <c r="BR149" t="str">
        <f t="shared" si="95"/>
        <v/>
      </c>
      <c r="BS149">
        <f>IF(OR(D149=0,'Исходные данные'!$B$9="",'Исходные данные'!$B$90=""),0,BQ149/(1+'Исходные данные'!$B$90)^((C149-'Исходные данные'!$B$9)/365))</f>
        <v>0</v>
      </c>
      <c r="BT149">
        <f>IF(D149=1,BE149+Расчёты!O149+Расчёты!Q149+Расчёты!S149+Расчёты!U149+Расчёты!W149+Расчёты!X149+BH149+BK149,0)</f>
        <v>0</v>
      </c>
      <c r="BU149">
        <f>IF(AND(D149=1,BR149&gt;=0,BR148&lt;0,MIN($BR$2:BR149)&lt;0),1,0)</f>
        <v>0</v>
      </c>
      <c r="BV149">
        <f>Расчёты!AZ149+K149+N149-P149*N('Исходные данные'!$B$50)</f>
        <v>0</v>
      </c>
      <c r="BW149">
        <f t="shared" si="96"/>
        <v>0</v>
      </c>
      <c r="BX149">
        <f>IF(AND(BW149&gt;=0,BW148&lt;0,MIN($BW$2:BW149)&lt;0),1,0)</f>
        <v>0</v>
      </c>
      <c r="BY149">
        <f>Расчёты!AZ149+AH149+AK149-AM149*N('Исходные данные'!$B$50)</f>
        <v>0</v>
      </c>
      <c r="BZ149">
        <f t="shared" si="97"/>
        <v>0</v>
      </c>
      <c r="CA149">
        <f>IF(AND(BZ149&gt;=0,BZ148&lt;0,MIN($BZ$2:BZ149)&lt;0),1,0)</f>
        <v>0</v>
      </c>
      <c r="CB149">
        <f>Расчёты!AZ149+BE149+BH149-BJ149*N('Исходные данные'!$B$50)</f>
        <v>0</v>
      </c>
      <c r="CC149">
        <f t="shared" si="98"/>
        <v>0</v>
      </c>
      <c r="CD149">
        <f>IF(AND(CC149&gt;=0,CC148&lt;0,MIN($CC$2:CC149)&lt;0),1,0)</f>
        <v>0</v>
      </c>
    </row>
    <row r="150" spans="1:82" x14ac:dyDescent="0.2">
      <c r="A150">
        <f>Расчёты!A150</f>
        <v>149</v>
      </c>
      <c r="B150" t="str">
        <f>Расчёты!B150</f>
        <v/>
      </c>
      <c r="C150" t="str">
        <f>Расчёты!D150</f>
        <v/>
      </c>
      <c r="D150">
        <f>Расчёты!E150</f>
        <v>0</v>
      </c>
      <c r="E150">
        <f>IF(Расчёты!F150=0,0,IF(Расчёты!G150=1,N('Сценарный анализ'!$B$5),IF(Расчёты!G150=2,N('Сценарный анализ'!$B$6),IF(Расчёты!G150=3,N('Сценарный анализ'!$B$7),N('Сценарный анализ'!$B$7)*(1+N('Сценарный анализ'!$B$8))^(Расчёты!G150-3)))))</f>
        <v>0</v>
      </c>
      <c r="F150">
        <f>IF(OR(Расчёты!F150=0,N('Исходные данные'!$B$5)=0,E150=0),0,N('Исходные данные'!$B$5)*E150*IF(AND(B150&lt;='Исходные данные'!$B$30,Расчёты!C150&gt;='Исходные данные'!$B$30),(Расчёты!C150-'Исходные данные'!$B$30+1)/DAY(Расчёты!C150),1))</f>
        <v>0</v>
      </c>
      <c r="G150">
        <f>IF(AND(Расчёты!F150&gt;0,Расчёты!F150&lt;=N('Исходные данные'!$B$37)),-F150,0)</f>
        <v>0</v>
      </c>
      <c r="H150">
        <f>IF(OR(Расчёты!F150=0,Расчёты!F150&lt;=N('Исходные данные'!$B$37)),0,-(F150+G150)*N('Сценарный анализ'!$B$9))</f>
        <v>0</v>
      </c>
      <c r="I150">
        <f t="shared" si="78"/>
        <v>0</v>
      </c>
      <c r="J150">
        <f>IF('Исходные данные'!$B$51="Да",I150*N('Исходные данные'!$B$52),0)</f>
        <v>0</v>
      </c>
      <c r="K150">
        <f t="shared" si="79"/>
        <v>0</v>
      </c>
      <c r="L150">
        <f>I150+(Расчёты!Y150-Расчёты!L150)</f>
        <v>0</v>
      </c>
      <c r="M150">
        <f t="shared" si="90"/>
        <v>0</v>
      </c>
      <c r="N150">
        <f>IF('Исходные данные'!$B$51="Да",-MAX(0,J150+Расчёты!R150+Расчёты!V150-Расчёты!P150-Расчёты!T150-M150),0)</f>
        <v>0</v>
      </c>
      <c r="O150">
        <f>IF('Исходные данные'!$B$51="Да",MAX(0,M150+Расчёты!P150+Расчёты!T150-J150-Расчёты!R150-Расчёты!V150),0)</f>
        <v>0</v>
      </c>
      <c r="P150">
        <f>IF('Исходные данные'!$B$53="Выручка",MAX(0,I150+(Расчёты!Q150-Расчёты!R150)+(Расчёты!U150-Расчёты!V150)),IF('Исходные данные'!$B$53="Прибыль до налога",MAX(0,I150+(Расчёты!Q150-Расчёты!R150)+(Расчёты!U150-Расчёты!V150)+N('Исходные данные'!$B$54)*((Расчёты!O150+Расчёты!P150)+(Расчёты!S150+Расчёты!T150)+Расчёты!W150+Расчёты!X150)+IF('Исходные данные'!$B$55="Да",Расчёты!AG150,0)-N('Исходные данные'!$B$56)/12),IF('Исходные данные'!$B$53="Пользовательская база",MAX(0,N('Исходные данные'!$B$57)/12),0)))</f>
        <v>0</v>
      </c>
      <c r="Q150">
        <f>IF(D150=1,-P150*N('Исходные данные'!$B$50),0)</f>
        <v>0</v>
      </c>
      <c r="R150">
        <f t="shared" si="80"/>
        <v>0</v>
      </c>
      <c r="S150">
        <f>IF(OR(D150&lt;&gt;1,B150="",'Исходные данные'!$B$91="",N('Исходные данные'!$B$80)&lt;=0,'Исходные данные'!$B$88=""),0,IF(AND(YEAR(B150)=YEAR('Исходные данные'!$B$91),MONTH(B150)=MONTH('Исходные данные'!$B$91)),MAX(0,IF('Исходные данные'!$B$88="Последние 12 месяцев",SUMIFS($L$2:$L$194,$B$2:$B$194,"&gt;="&amp;EDATE(B150,-11),$B$2:$B$194,"&lt;="&amp;B150),IF('Исходные данные'!$B$88="Пользовательский NOI",N('Исходные данные'!$B$89),R150))/N('Исходные данные'!$B$80)*(1+N('Исходные данные'!$B$81))),0))</f>
        <v>0</v>
      </c>
      <c r="T150">
        <f>-S150*N('Исходные данные'!$B$73)</f>
        <v>0</v>
      </c>
      <c r="U150">
        <f>IF(S150=0,0,-N('Исходные данные'!$B$87)-IF('Исходные данные'!$B$82="Да",IF('Исходные данные'!$B$84="С выручки",S150,IF('Исходные данные'!$B$84="С прибыли",MAX(0,S150+T150-IF('Исходные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50">
        <f t="shared" si="81"/>
        <v>0</v>
      </c>
      <c r="W150">
        <f>IF(D150=1,Расчёты!AZ150+K150+N150+Q150+V150,0)</f>
        <v>0</v>
      </c>
      <c r="X150" t="str">
        <f t="shared" si="91"/>
        <v/>
      </c>
      <c r="Y150">
        <f>IF(OR(D150=0,'Исходные данные'!$B$9="",'Исходные данные'!$B$90=""),0,W150/(1+'Исходные данные'!$B$90)^((C150-'Исходные данные'!$B$9)/365))</f>
        <v>0</v>
      </c>
      <c r="Z150">
        <f>IF(D150=1,K150+Расчёты!O150+Расчёты!Q150+Расчёты!S150+Расчёты!U150+Расчёты!W150+Расчёты!X150+N150+Q150,0)</f>
        <v>0</v>
      </c>
      <c r="AA150">
        <f>IF(AND(D150=1,X150&gt;=0,X149&lt;0,MIN($X$2:X150)&lt;0),1,0)</f>
        <v>0</v>
      </c>
      <c r="AB150">
        <f>IF(Расчёты!F150=0,0,IF(Расчёты!G150=1,N('Сценарный анализ'!$C$5),IF(Расчёты!G150=2,N('Сценарный анализ'!$C$6),IF(Расчёты!G150=3,N('Сценарный анализ'!$C$7),N('Сценарный анализ'!$C$7)*(1+N('Сценарный анализ'!$C$8))^(Расчёты!G150-3)))))</f>
        <v>0</v>
      </c>
      <c r="AC150">
        <f>IF(OR(Расчёты!F150=0,N('Исходные данные'!$B$5)=0,AB150=0),0,N('Исходные данные'!$B$5)*AB150*IF(AND(B150&lt;='Исходные данные'!$B$30,Расчёты!C150&gt;='Исходные данные'!$B$30),(Расчёты!C150-'Исходные данные'!$B$30+1)/DAY(Расчёты!C150),1))</f>
        <v>0</v>
      </c>
      <c r="AD150">
        <f>IF(AND(Расчёты!F150&gt;0,Расчёты!F150&lt;=N('Исходные данные'!$B$37)),-AC150,0)</f>
        <v>0</v>
      </c>
      <c r="AE150">
        <f>IF(OR(Расчёты!F150=0,Расчёты!F150&lt;=N('Исходные данные'!$B$37)),0,-(AC150+AD150)*N('Сценарный анализ'!$C$9))</f>
        <v>0</v>
      </c>
      <c r="AF150">
        <f t="shared" si="82"/>
        <v>0</v>
      </c>
      <c r="AG150">
        <f>IF('Исходные данные'!$B$51="Да",AF150*N('Исходные данные'!$B$52),0)</f>
        <v>0</v>
      </c>
      <c r="AH150">
        <f t="shared" si="83"/>
        <v>0</v>
      </c>
      <c r="AI150">
        <f>AF150+(Расчёты!Y150-Расчёты!L150)</f>
        <v>0</v>
      </c>
      <c r="AJ150">
        <f t="shared" si="92"/>
        <v>0</v>
      </c>
      <c r="AK150">
        <f>IF('Исходные данные'!$B$51="Да",-MAX(0,AG150+Расчёты!R150+Расчёты!V150-Расчёты!P150-Расчёты!T150-AJ150),0)</f>
        <v>0</v>
      </c>
      <c r="AL150">
        <f>IF('Исходные данные'!$B$51="Да",MAX(0,AJ150+Расчёты!P150+Расчёты!T150-AG150-Расчёты!R150-Расчёты!V150),0)</f>
        <v>0</v>
      </c>
      <c r="AM150">
        <f>IF('Исходные данные'!$B$53="Выручка",MAX(0,AF150+(Расчёты!Q150-Расчёты!R150)+(Расчёты!U150-Расчёты!V150)),IF('Исходные данные'!$B$53="Прибыль до налога",MAX(0,AF150+(Расчёты!Q150-Расчёты!R150)+(Расчёты!U150-Расчёты!V150)+N('Исходные данные'!$B$54)*((Расчёты!O150+Расчёты!P150)+(Расчёты!S150+Расчёты!T150)+Расчёты!W150+Расчёты!X150)+IF('Исходные данные'!$B$55="Да",Расчёты!AG150,0)-N('Исходные данные'!$B$56)/12),IF('Исходные данные'!$B$53="Пользовательская база",MAX(0,N('Исходные данные'!$B$57)/12),0)))</f>
        <v>0</v>
      </c>
      <c r="AN150">
        <f>IF(D150=1,-AM150*N('Исходные данные'!$B$50),0)</f>
        <v>0</v>
      </c>
      <c r="AO150">
        <f t="shared" si="84"/>
        <v>0</v>
      </c>
      <c r="AP150">
        <f>IF(OR(D150&lt;&gt;1,B150="",'Исходные данные'!$B$91="",N('Исходные данные'!$B$80)&lt;=0,'Исходные данные'!$B$88=""),0,IF(AND(YEAR(B150)=YEAR('Исходные данные'!$B$91),MONTH(B150)=MONTH('Исходные данные'!$B$91)),MAX(0,IF('Исходные данные'!$B$88="Последние 12 месяцев",SUMIFS($AI$2:$AI$194,$B$2:$B$194,"&gt;="&amp;EDATE(B150,-11),$B$2:$B$194,"&lt;="&amp;B150),IF('Исходные данные'!$B$88="Пользовательский NOI",N('Исходные данные'!$B$89),AO150))/N('Исходные данные'!$B$80)*(1+N('Исходные данные'!$B$81))),0))</f>
        <v>0</v>
      </c>
      <c r="AQ150">
        <f>-AP150*N('Исходные данные'!$B$73)</f>
        <v>0</v>
      </c>
      <c r="AR150">
        <f>IF(AP150=0,0,-N('Исходные данные'!$B$87)-IF('Исходные данные'!$B$82="Да",IF('Исходные данные'!$B$84="С выручки",AP150,IF('Исходные данные'!$B$84="С прибыли",MAX(0,AP150+AQ150-IF('Исходные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50">
        <f t="shared" si="85"/>
        <v>0</v>
      </c>
      <c r="AT150">
        <f>IF(D150=1,Расчёты!AZ150+AH150+AK150+AN150+AS150,0)</f>
        <v>0</v>
      </c>
      <c r="AU150" t="str">
        <f t="shared" si="93"/>
        <v/>
      </c>
      <c r="AV150">
        <f>IF(OR(D150=0,'Исходные данные'!$B$9="",'Исходные данные'!$B$90=""),0,AT150/(1+'Исходные данные'!$B$90)^((C150-'Исходные данные'!$B$9)/365))</f>
        <v>0</v>
      </c>
      <c r="AW150">
        <f>IF(D150=1,AH150+Расчёты!O150+Расчёты!Q150+Расчёты!S150+Расчёты!U150+Расчёты!W150+Расчёты!X150+AK150+AN150,0)</f>
        <v>0</v>
      </c>
      <c r="AX150">
        <f>IF(AND(D150=1,AU150&gt;=0,AU149&lt;0,MIN($AU$2:AU150)&lt;0),1,0)</f>
        <v>0</v>
      </c>
      <c r="AY150">
        <f>IF(Расчёты!F150=0,0,IF(Расчёты!G150=1,N('Сценарный анализ'!$D$5),IF(Расчёты!G150=2,N('Сценарный анализ'!$D$6),IF(Расчёты!G150=3,N('Сценарный анализ'!$D$7),N('Сценарный анализ'!$D$7)*(1+N('Сценарный анализ'!$D$8))^(Расчёты!G150-3)))))</f>
        <v>0</v>
      </c>
      <c r="AZ150">
        <f>IF(OR(Расчёты!F150=0,N('Исходные данные'!$B$5)=0,AY150=0),0,N('Исходные данные'!$B$5)*AY150*IF(AND(B150&lt;='Исходные данные'!$B$30,Расчёты!C150&gt;='Исходные данные'!$B$30),(Расчёты!C150-'Исходные данные'!$B$30+1)/DAY(Расчёты!C150),1))</f>
        <v>0</v>
      </c>
      <c r="BA150">
        <f>IF(AND(Расчёты!F150&gt;0,Расчёты!F150&lt;=N('Исходные данные'!$B$37)),-AZ150,0)</f>
        <v>0</v>
      </c>
      <c r="BB150">
        <f>IF(OR(Расчёты!F150=0,Расчёты!F150&lt;=N('Исходные данные'!$B$37)),0,-(AZ150+BA150)*N('Сценарный анализ'!$D$9))</f>
        <v>0</v>
      </c>
      <c r="BC150">
        <f t="shared" si="86"/>
        <v>0</v>
      </c>
      <c r="BD150">
        <f>IF('Исходные данные'!$B$51="Да",BC150*N('Исходные данные'!$B$52),0)</f>
        <v>0</v>
      </c>
      <c r="BE150">
        <f t="shared" si="87"/>
        <v>0</v>
      </c>
      <c r="BF150">
        <f>BC150+(Расчёты!Y150-Расчёты!L150)</f>
        <v>0</v>
      </c>
      <c r="BG150">
        <f t="shared" si="94"/>
        <v>0</v>
      </c>
      <c r="BH150">
        <f>IF('Исходные данные'!$B$51="Да",-MAX(0,BD150+Расчёты!R150+Расчёты!V150-Расчёты!P150-Расчёты!T150-BG150),0)</f>
        <v>0</v>
      </c>
      <c r="BI150">
        <f>IF('Исходные данные'!$B$51="Да",MAX(0,BG150+Расчёты!P150+Расчёты!T150-BD150-Расчёты!R150-Расчёты!V150),0)</f>
        <v>0</v>
      </c>
      <c r="BJ150">
        <f>IF('Исходные данные'!$B$53="Выручка",MAX(0,BC150+(Расчёты!Q150-Расчёты!R150)+(Расчёты!U150-Расчёты!V150)),IF('Исходные данные'!$B$53="Прибыль до налога",MAX(0,BC150+(Расчёты!Q150-Расчёты!R150)+(Расчёты!U150-Расчёты!V150)+N('Исходные данные'!$B$54)*((Расчёты!O150+Расчёты!P150)+(Расчёты!S150+Расчёты!T150)+Расчёты!W150+Расчёты!X150)+IF('Исходные данные'!$B$55="Да",Расчёты!AG150,0)-N('Исходные данные'!$B$56)/12),IF('Исходные данные'!$B$53="Пользовательская база",MAX(0,N('Исходные данные'!$B$57)/12),0)))</f>
        <v>0</v>
      </c>
      <c r="BK150">
        <f>IF(D150=1,-BJ150*N('Исходные данные'!$B$50),0)</f>
        <v>0</v>
      </c>
      <c r="BL150">
        <f t="shared" si="88"/>
        <v>0</v>
      </c>
      <c r="BM150">
        <f>IF(OR(D150&lt;&gt;1,B150="",'Исходные данные'!$B$91="",N('Исходные данные'!$B$80)&lt;=0,'Исходные данные'!$B$88=""),0,IF(AND(YEAR(B150)=YEAR('Исходные данные'!$B$91),MONTH(B150)=MONTH('Исходные данные'!$B$91)),MAX(0,IF('Исходные данные'!$B$88="Последние 12 месяцев",SUMIFS($BF$2:$BF$194,$B$2:$B$194,"&gt;="&amp;EDATE(B150,-11),$B$2:$B$194,"&lt;="&amp;B150),IF('Исходные данные'!$B$88="Пользовательский NOI",N('Исходные данные'!$B$89),BL150))/N('Исходные данные'!$B$80)*(1+N('Исходные данные'!$B$81))),0))</f>
        <v>0</v>
      </c>
      <c r="BN150">
        <f>-BM150*N('Исходные данные'!$B$73)</f>
        <v>0</v>
      </c>
      <c r="BO150">
        <f>IF(BM150=0,0,-N('Исходные данные'!$B$87)-IF('Исходные данные'!$B$82="Да",IF('Исходные данные'!$B$84="С выручки",BM150,IF('Исходные данные'!$B$84="С прибыли",MAX(0,BM150+BN150-IF('Исходные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50">
        <f t="shared" si="89"/>
        <v>0</v>
      </c>
      <c r="BQ150">
        <f>IF(D150=1,Расчёты!AZ150+BE150+BH150+BK150+BP150,0)</f>
        <v>0</v>
      </c>
      <c r="BR150" t="str">
        <f t="shared" si="95"/>
        <v/>
      </c>
      <c r="BS150">
        <f>IF(OR(D150=0,'Исходные данные'!$B$9="",'Исходные данные'!$B$90=""),0,BQ150/(1+'Исходные данные'!$B$90)^((C150-'Исходные данные'!$B$9)/365))</f>
        <v>0</v>
      </c>
      <c r="BT150">
        <f>IF(D150=1,BE150+Расчёты!O150+Расчёты!Q150+Расчёты!S150+Расчёты!U150+Расчёты!W150+Расчёты!X150+BH150+BK150,0)</f>
        <v>0</v>
      </c>
      <c r="BU150">
        <f>IF(AND(D150=1,BR150&gt;=0,BR149&lt;0,MIN($BR$2:BR150)&lt;0),1,0)</f>
        <v>0</v>
      </c>
      <c r="BV150">
        <f>Расчёты!AZ150+K150+N150-P150*N('Исходные данные'!$B$50)</f>
        <v>0</v>
      </c>
      <c r="BW150">
        <f t="shared" si="96"/>
        <v>0</v>
      </c>
      <c r="BX150">
        <f>IF(AND(BW150&gt;=0,BW149&lt;0,MIN($BW$2:BW150)&lt;0),1,0)</f>
        <v>0</v>
      </c>
      <c r="BY150">
        <f>Расчёты!AZ150+AH150+AK150-AM150*N('Исходные данные'!$B$50)</f>
        <v>0</v>
      </c>
      <c r="BZ150">
        <f t="shared" si="97"/>
        <v>0</v>
      </c>
      <c r="CA150">
        <f>IF(AND(BZ150&gt;=0,BZ149&lt;0,MIN($BZ$2:BZ150)&lt;0),1,0)</f>
        <v>0</v>
      </c>
      <c r="CB150">
        <f>Расчёты!AZ150+BE150+BH150-BJ150*N('Исходные данные'!$B$50)</f>
        <v>0</v>
      </c>
      <c r="CC150">
        <f t="shared" si="98"/>
        <v>0</v>
      </c>
      <c r="CD150">
        <f>IF(AND(CC150&gt;=0,CC149&lt;0,MIN($CC$2:CC150)&lt;0),1,0)</f>
        <v>0</v>
      </c>
    </row>
    <row r="151" spans="1:82" x14ac:dyDescent="0.2">
      <c r="A151">
        <f>Расчёты!A151</f>
        <v>150</v>
      </c>
      <c r="B151" t="str">
        <f>Расчёты!B151</f>
        <v/>
      </c>
      <c r="C151" t="str">
        <f>Расчёты!D151</f>
        <v/>
      </c>
      <c r="D151">
        <f>Расчёты!E151</f>
        <v>0</v>
      </c>
      <c r="E151">
        <f>IF(Расчёты!F151=0,0,IF(Расчёты!G151=1,N('Сценарный анализ'!$B$5),IF(Расчёты!G151=2,N('Сценарный анализ'!$B$6),IF(Расчёты!G151=3,N('Сценарный анализ'!$B$7),N('Сценарный анализ'!$B$7)*(1+N('Сценарный анализ'!$B$8))^(Расчёты!G151-3)))))</f>
        <v>0</v>
      </c>
      <c r="F151">
        <f>IF(OR(Расчёты!F151=0,N('Исходные данные'!$B$5)=0,E151=0),0,N('Исходные данные'!$B$5)*E151*IF(AND(B151&lt;='Исходные данные'!$B$30,Расчёты!C151&gt;='Исходные данные'!$B$30),(Расчёты!C151-'Исходные данные'!$B$30+1)/DAY(Расчёты!C151),1))</f>
        <v>0</v>
      </c>
      <c r="G151">
        <f>IF(AND(Расчёты!F151&gt;0,Расчёты!F151&lt;=N('Исходные данные'!$B$37)),-F151,0)</f>
        <v>0</v>
      </c>
      <c r="H151">
        <f>IF(OR(Расчёты!F151=0,Расчёты!F151&lt;=N('Исходные данные'!$B$37)),0,-(F151+G151)*N('Сценарный анализ'!$B$9))</f>
        <v>0</v>
      </c>
      <c r="I151">
        <f t="shared" si="78"/>
        <v>0</v>
      </c>
      <c r="J151">
        <f>IF('Исходные данные'!$B$51="Да",I151*N('Исходные данные'!$B$52),0)</f>
        <v>0</v>
      </c>
      <c r="K151">
        <f t="shared" si="79"/>
        <v>0</v>
      </c>
      <c r="L151">
        <f>I151+(Расчёты!Y151-Расчёты!L151)</f>
        <v>0</v>
      </c>
      <c r="M151">
        <f t="shared" si="90"/>
        <v>0</v>
      </c>
      <c r="N151">
        <f>IF('Исходные данные'!$B$51="Да",-MAX(0,J151+Расчёты!R151+Расчёты!V151-Расчёты!P151-Расчёты!T151-M151),0)</f>
        <v>0</v>
      </c>
      <c r="O151">
        <f>IF('Исходные данные'!$B$51="Да",MAX(0,M151+Расчёты!P151+Расчёты!T151-J151-Расчёты!R151-Расчёты!V151),0)</f>
        <v>0</v>
      </c>
      <c r="P151">
        <f>IF('Исходные данные'!$B$53="Выручка",MAX(0,I151+(Расчёты!Q151-Расчёты!R151)+(Расчёты!U151-Расчёты!V151)),IF('Исходные данные'!$B$53="Прибыль до налога",MAX(0,I151+(Расчёты!Q151-Расчёты!R151)+(Расчёты!U151-Расчёты!V151)+N('Исходные данные'!$B$54)*((Расчёты!O151+Расчёты!P151)+(Расчёты!S151+Расчёты!T151)+Расчёты!W151+Расчёты!X151)+IF('Исходные данные'!$B$55="Да",Расчёты!AG151,0)-N('Исходные данные'!$B$56)/12),IF('Исходные данные'!$B$53="Пользовательская база",MAX(0,N('Исходные данные'!$B$57)/12),0)))</f>
        <v>0</v>
      </c>
      <c r="Q151">
        <f>IF(D151=1,-P151*N('Исходные данные'!$B$50),0)</f>
        <v>0</v>
      </c>
      <c r="R151">
        <f t="shared" si="80"/>
        <v>0</v>
      </c>
      <c r="S151">
        <f>IF(OR(D151&lt;&gt;1,B151="",'Исходные данные'!$B$91="",N('Исходные данные'!$B$80)&lt;=0,'Исходные данные'!$B$88=""),0,IF(AND(YEAR(B151)=YEAR('Исходные данные'!$B$91),MONTH(B151)=MONTH('Исходные данные'!$B$91)),MAX(0,IF('Исходные данные'!$B$88="Последние 12 месяцев",SUMIFS($L$2:$L$194,$B$2:$B$194,"&gt;="&amp;EDATE(B151,-11),$B$2:$B$194,"&lt;="&amp;B151),IF('Исходные данные'!$B$88="Пользовательский NOI",N('Исходные данные'!$B$89),R151))/N('Исходные данные'!$B$80)*(1+N('Исходные данные'!$B$81))),0))</f>
        <v>0</v>
      </c>
      <c r="T151">
        <f>-S151*N('Исходные данные'!$B$73)</f>
        <v>0</v>
      </c>
      <c r="U151">
        <f>IF(S151=0,0,-N('Исходные данные'!$B$87)-IF('Исходные данные'!$B$82="Да",IF('Исходные данные'!$B$84="С выручки",S151,IF('Исходные данные'!$B$84="С прибыли",MAX(0,S151+T151-IF('Исходные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51">
        <f t="shared" si="81"/>
        <v>0</v>
      </c>
      <c r="W151">
        <f>IF(D151=1,Расчёты!AZ151+K151+N151+Q151+V151,0)</f>
        <v>0</v>
      </c>
      <c r="X151" t="str">
        <f t="shared" si="91"/>
        <v/>
      </c>
      <c r="Y151">
        <f>IF(OR(D151=0,'Исходные данные'!$B$9="",'Исходные данные'!$B$90=""),0,W151/(1+'Исходные данные'!$B$90)^((C151-'Исходные данные'!$B$9)/365))</f>
        <v>0</v>
      </c>
      <c r="Z151">
        <f>IF(D151=1,K151+Расчёты!O151+Расчёты!Q151+Расчёты!S151+Расчёты!U151+Расчёты!W151+Расчёты!X151+N151+Q151,0)</f>
        <v>0</v>
      </c>
      <c r="AA151">
        <f>IF(AND(D151=1,X151&gt;=0,X150&lt;0,MIN($X$2:X151)&lt;0),1,0)</f>
        <v>0</v>
      </c>
      <c r="AB151">
        <f>IF(Расчёты!F151=0,0,IF(Расчёты!G151=1,N('Сценарный анализ'!$C$5),IF(Расчёты!G151=2,N('Сценарный анализ'!$C$6),IF(Расчёты!G151=3,N('Сценарный анализ'!$C$7),N('Сценарный анализ'!$C$7)*(1+N('Сценарный анализ'!$C$8))^(Расчёты!G151-3)))))</f>
        <v>0</v>
      </c>
      <c r="AC151">
        <f>IF(OR(Расчёты!F151=0,N('Исходные данные'!$B$5)=0,AB151=0),0,N('Исходные данные'!$B$5)*AB151*IF(AND(B151&lt;='Исходные данные'!$B$30,Расчёты!C151&gt;='Исходные данные'!$B$30),(Расчёты!C151-'Исходные данные'!$B$30+1)/DAY(Расчёты!C151),1))</f>
        <v>0</v>
      </c>
      <c r="AD151">
        <f>IF(AND(Расчёты!F151&gt;0,Расчёты!F151&lt;=N('Исходные данные'!$B$37)),-AC151,0)</f>
        <v>0</v>
      </c>
      <c r="AE151">
        <f>IF(OR(Расчёты!F151=0,Расчёты!F151&lt;=N('Исходные данные'!$B$37)),0,-(AC151+AD151)*N('Сценарный анализ'!$C$9))</f>
        <v>0</v>
      </c>
      <c r="AF151">
        <f t="shared" si="82"/>
        <v>0</v>
      </c>
      <c r="AG151">
        <f>IF('Исходные данные'!$B$51="Да",AF151*N('Исходные данные'!$B$52),0)</f>
        <v>0</v>
      </c>
      <c r="AH151">
        <f t="shared" si="83"/>
        <v>0</v>
      </c>
      <c r="AI151">
        <f>AF151+(Расчёты!Y151-Расчёты!L151)</f>
        <v>0</v>
      </c>
      <c r="AJ151">
        <f t="shared" si="92"/>
        <v>0</v>
      </c>
      <c r="AK151">
        <f>IF('Исходные данные'!$B$51="Да",-MAX(0,AG151+Расчёты!R151+Расчёты!V151-Расчёты!P151-Расчёты!T151-AJ151),0)</f>
        <v>0</v>
      </c>
      <c r="AL151">
        <f>IF('Исходные данные'!$B$51="Да",MAX(0,AJ151+Расчёты!P151+Расчёты!T151-AG151-Расчёты!R151-Расчёты!V151),0)</f>
        <v>0</v>
      </c>
      <c r="AM151">
        <f>IF('Исходные данные'!$B$53="Выручка",MAX(0,AF151+(Расчёты!Q151-Расчёты!R151)+(Расчёты!U151-Расчёты!V151)),IF('Исходные данные'!$B$53="Прибыль до налога",MAX(0,AF151+(Расчёты!Q151-Расчёты!R151)+(Расчёты!U151-Расчёты!V151)+N('Исходные данные'!$B$54)*((Расчёты!O151+Расчёты!P151)+(Расчёты!S151+Расчёты!T151)+Расчёты!W151+Расчёты!X151)+IF('Исходные данные'!$B$55="Да",Расчёты!AG151,0)-N('Исходные данные'!$B$56)/12),IF('Исходные данные'!$B$53="Пользовательская база",MAX(0,N('Исходные данные'!$B$57)/12),0)))</f>
        <v>0</v>
      </c>
      <c r="AN151">
        <f>IF(D151=1,-AM151*N('Исходные данные'!$B$50),0)</f>
        <v>0</v>
      </c>
      <c r="AO151">
        <f t="shared" si="84"/>
        <v>0</v>
      </c>
      <c r="AP151">
        <f>IF(OR(D151&lt;&gt;1,B151="",'Исходные данные'!$B$91="",N('Исходные данные'!$B$80)&lt;=0,'Исходные данные'!$B$88=""),0,IF(AND(YEAR(B151)=YEAR('Исходные данные'!$B$91),MONTH(B151)=MONTH('Исходные данные'!$B$91)),MAX(0,IF('Исходные данные'!$B$88="Последние 12 месяцев",SUMIFS($AI$2:$AI$194,$B$2:$B$194,"&gt;="&amp;EDATE(B151,-11),$B$2:$B$194,"&lt;="&amp;B151),IF('Исходные данные'!$B$88="Пользовательский NOI",N('Исходные данные'!$B$89),AO151))/N('Исходные данные'!$B$80)*(1+N('Исходные данные'!$B$81))),0))</f>
        <v>0</v>
      </c>
      <c r="AQ151">
        <f>-AP151*N('Исходные данные'!$B$73)</f>
        <v>0</v>
      </c>
      <c r="AR151">
        <f>IF(AP151=0,0,-N('Исходные данные'!$B$87)-IF('Исходные данные'!$B$82="Да",IF('Исходные данные'!$B$84="С выручки",AP151,IF('Исходные данные'!$B$84="С прибыли",MAX(0,AP151+AQ151-IF('Исходные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51">
        <f t="shared" si="85"/>
        <v>0</v>
      </c>
      <c r="AT151">
        <f>IF(D151=1,Расчёты!AZ151+AH151+AK151+AN151+AS151,0)</f>
        <v>0</v>
      </c>
      <c r="AU151" t="str">
        <f t="shared" si="93"/>
        <v/>
      </c>
      <c r="AV151">
        <f>IF(OR(D151=0,'Исходные данные'!$B$9="",'Исходные данные'!$B$90=""),0,AT151/(1+'Исходные данные'!$B$90)^((C151-'Исходные данные'!$B$9)/365))</f>
        <v>0</v>
      </c>
      <c r="AW151">
        <f>IF(D151=1,AH151+Расчёты!O151+Расчёты!Q151+Расчёты!S151+Расчёты!U151+Расчёты!W151+Расчёты!X151+AK151+AN151,0)</f>
        <v>0</v>
      </c>
      <c r="AX151">
        <f>IF(AND(D151=1,AU151&gt;=0,AU150&lt;0,MIN($AU$2:AU151)&lt;0),1,0)</f>
        <v>0</v>
      </c>
      <c r="AY151">
        <f>IF(Расчёты!F151=0,0,IF(Расчёты!G151=1,N('Сценарный анализ'!$D$5),IF(Расчёты!G151=2,N('Сценарный анализ'!$D$6),IF(Расчёты!G151=3,N('Сценарный анализ'!$D$7),N('Сценарный анализ'!$D$7)*(1+N('Сценарный анализ'!$D$8))^(Расчёты!G151-3)))))</f>
        <v>0</v>
      </c>
      <c r="AZ151">
        <f>IF(OR(Расчёты!F151=0,N('Исходные данные'!$B$5)=0,AY151=0),0,N('Исходные данные'!$B$5)*AY151*IF(AND(B151&lt;='Исходные данные'!$B$30,Расчёты!C151&gt;='Исходные данные'!$B$30),(Расчёты!C151-'Исходные данные'!$B$30+1)/DAY(Расчёты!C151),1))</f>
        <v>0</v>
      </c>
      <c r="BA151">
        <f>IF(AND(Расчёты!F151&gt;0,Расчёты!F151&lt;=N('Исходные данные'!$B$37)),-AZ151,0)</f>
        <v>0</v>
      </c>
      <c r="BB151">
        <f>IF(OR(Расчёты!F151=0,Расчёты!F151&lt;=N('Исходные данные'!$B$37)),0,-(AZ151+BA151)*N('Сценарный анализ'!$D$9))</f>
        <v>0</v>
      </c>
      <c r="BC151">
        <f t="shared" si="86"/>
        <v>0</v>
      </c>
      <c r="BD151">
        <f>IF('Исходные данные'!$B$51="Да",BC151*N('Исходные данные'!$B$52),0)</f>
        <v>0</v>
      </c>
      <c r="BE151">
        <f t="shared" si="87"/>
        <v>0</v>
      </c>
      <c r="BF151">
        <f>BC151+(Расчёты!Y151-Расчёты!L151)</f>
        <v>0</v>
      </c>
      <c r="BG151">
        <f t="shared" si="94"/>
        <v>0</v>
      </c>
      <c r="BH151">
        <f>IF('Исходные данные'!$B$51="Да",-MAX(0,BD151+Расчёты!R151+Расчёты!V151-Расчёты!P151-Расчёты!T151-BG151),0)</f>
        <v>0</v>
      </c>
      <c r="BI151">
        <f>IF('Исходные данные'!$B$51="Да",MAX(0,BG151+Расчёты!P151+Расчёты!T151-BD151-Расчёты!R151-Расчёты!V151),0)</f>
        <v>0</v>
      </c>
      <c r="BJ151">
        <f>IF('Исходные данные'!$B$53="Выручка",MAX(0,BC151+(Расчёты!Q151-Расчёты!R151)+(Расчёты!U151-Расчёты!V151)),IF('Исходные данные'!$B$53="Прибыль до налога",MAX(0,BC151+(Расчёты!Q151-Расчёты!R151)+(Расчёты!U151-Расчёты!V151)+N('Исходные данные'!$B$54)*((Расчёты!O151+Расчёты!P151)+(Расчёты!S151+Расчёты!T151)+Расчёты!W151+Расчёты!X151)+IF('Исходные данные'!$B$55="Да",Расчёты!AG151,0)-N('Исходные данные'!$B$56)/12),IF('Исходные данные'!$B$53="Пользовательская база",MAX(0,N('Исходные данные'!$B$57)/12),0)))</f>
        <v>0</v>
      </c>
      <c r="BK151">
        <f>IF(D151=1,-BJ151*N('Исходные данные'!$B$50),0)</f>
        <v>0</v>
      </c>
      <c r="BL151">
        <f t="shared" si="88"/>
        <v>0</v>
      </c>
      <c r="BM151">
        <f>IF(OR(D151&lt;&gt;1,B151="",'Исходные данные'!$B$91="",N('Исходные данные'!$B$80)&lt;=0,'Исходные данные'!$B$88=""),0,IF(AND(YEAR(B151)=YEAR('Исходные данные'!$B$91),MONTH(B151)=MONTH('Исходные данные'!$B$91)),MAX(0,IF('Исходные данные'!$B$88="Последние 12 месяцев",SUMIFS($BF$2:$BF$194,$B$2:$B$194,"&gt;="&amp;EDATE(B151,-11),$B$2:$B$194,"&lt;="&amp;B151),IF('Исходные данные'!$B$88="Пользовательский NOI",N('Исходные данные'!$B$89),BL151))/N('Исходные данные'!$B$80)*(1+N('Исходные данные'!$B$81))),0))</f>
        <v>0</v>
      </c>
      <c r="BN151">
        <f>-BM151*N('Исходные данные'!$B$73)</f>
        <v>0</v>
      </c>
      <c r="BO151">
        <f>IF(BM151=0,0,-N('Исходные данные'!$B$87)-IF('Исходные данные'!$B$82="Да",IF('Исходные данные'!$B$84="С выручки",BM151,IF('Исходные данные'!$B$84="С прибыли",MAX(0,BM151+BN151-IF('Исходные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51">
        <f t="shared" si="89"/>
        <v>0</v>
      </c>
      <c r="BQ151">
        <f>IF(D151=1,Расчёты!AZ151+BE151+BH151+BK151+BP151,0)</f>
        <v>0</v>
      </c>
      <c r="BR151" t="str">
        <f t="shared" si="95"/>
        <v/>
      </c>
      <c r="BS151">
        <f>IF(OR(D151=0,'Исходные данные'!$B$9="",'Исходные данные'!$B$90=""),0,BQ151/(1+'Исходные данные'!$B$90)^((C151-'Исходные данные'!$B$9)/365))</f>
        <v>0</v>
      </c>
      <c r="BT151">
        <f>IF(D151=1,BE151+Расчёты!O151+Расчёты!Q151+Расчёты!S151+Расчёты!U151+Расчёты!W151+Расчёты!X151+BH151+BK151,0)</f>
        <v>0</v>
      </c>
      <c r="BU151">
        <f>IF(AND(D151=1,BR151&gt;=0,BR150&lt;0,MIN($BR$2:BR151)&lt;0),1,0)</f>
        <v>0</v>
      </c>
      <c r="BV151">
        <f>Расчёты!AZ151+K151+N151-P151*N('Исходные данные'!$B$50)</f>
        <v>0</v>
      </c>
      <c r="BW151">
        <f t="shared" si="96"/>
        <v>0</v>
      </c>
      <c r="BX151">
        <f>IF(AND(BW151&gt;=0,BW150&lt;0,MIN($BW$2:BW151)&lt;0),1,0)</f>
        <v>0</v>
      </c>
      <c r="BY151">
        <f>Расчёты!AZ151+AH151+AK151-AM151*N('Исходные данные'!$B$50)</f>
        <v>0</v>
      </c>
      <c r="BZ151">
        <f t="shared" si="97"/>
        <v>0</v>
      </c>
      <c r="CA151">
        <f>IF(AND(BZ151&gt;=0,BZ150&lt;0,MIN($BZ$2:BZ151)&lt;0),1,0)</f>
        <v>0</v>
      </c>
      <c r="CB151">
        <f>Расчёты!AZ151+BE151+BH151-BJ151*N('Исходные данные'!$B$50)</f>
        <v>0</v>
      </c>
      <c r="CC151">
        <f t="shared" si="98"/>
        <v>0</v>
      </c>
      <c r="CD151">
        <f>IF(AND(CC151&gt;=0,CC150&lt;0,MIN($CC$2:CC151)&lt;0),1,0)</f>
        <v>0</v>
      </c>
    </row>
    <row r="152" spans="1:82" x14ac:dyDescent="0.2">
      <c r="A152">
        <f>Расчёты!A152</f>
        <v>151</v>
      </c>
      <c r="B152" t="str">
        <f>Расчёты!B152</f>
        <v/>
      </c>
      <c r="C152" t="str">
        <f>Расчёты!D152</f>
        <v/>
      </c>
      <c r="D152">
        <f>Расчёты!E152</f>
        <v>0</v>
      </c>
      <c r="E152">
        <f>IF(Расчёты!F152=0,0,IF(Расчёты!G152=1,N('Сценарный анализ'!$B$5),IF(Расчёты!G152=2,N('Сценарный анализ'!$B$6),IF(Расчёты!G152=3,N('Сценарный анализ'!$B$7),N('Сценарный анализ'!$B$7)*(1+N('Сценарный анализ'!$B$8))^(Расчёты!G152-3)))))</f>
        <v>0</v>
      </c>
      <c r="F152">
        <f>IF(OR(Расчёты!F152=0,N('Исходные данные'!$B$5)=0,E152=0),0,N('Исходные данные'!$B$5)*E152*IF(AND(B152&lt;='Исходные данные'!$B$30,Расчёты!C152&gt;='Исходные данные'!$B$30),(Расчёты!C152-'Исходные данные'!$B$30+1)/DAY(Расчёты!C152),1))</f>
        <v>0</v>
      </c>
      <c r="G152">
        <f>IF(AND(Расчёты!F152&gt;0,Расчёты!F152&lt;=N('Исходные данные'!$B$37)),-F152,0)</f>
        <v>0</v>
      </c>
      <c r="H152">
        <f>IF(OR(Расчёты!F152=0,Расчёты!F152&lt;=N('Исходные данные'!$B$37)),0,-(F152+G152)*N('Сценарный анализ'!$B$9))</f>
        <v>0</v>
      </c>
      <c r="I152">
        <f t="shared" si="78"/>
        <v>0</v>
      </c>
      <c r="J152">
        <f>IF('Исходные данные'!$B$51="Да",I152*N('Исходные данные'!$B$52),0)</f>
        <v>0</v>
      </c>
      <c r="K152">
        <f t="shared" si="79"/>
        <v>0</v>
      </c>
      <c r="L152">
        <f>I152+(Расчёты!Y152-Расчёты!L152)</f>
        <v>0</v>
      </c>
      <c r="M152">
        <f t="shared" si="90"/>
        <v>0</v>
      </c>
      <c r="N152">
        <f>IF('Исходные данные'!$B$51="Да",-MAX(0,J152+Расчёты!R152+Расчёты!V152-Расчёты!P152-Расчёты!T152-M152),0)</f>
        <v>0</v>
      </c>
      <c r="O152">
        <f>IF('Исходные данные'!$B$51="Да",MAX(0,M152+Расчёты!P152+Расчёты!T152-J152-Расчёты!R152-Расчёты!V152),0)</f>
        <v>0</v>
      </c>
      <c r="P152">
        <f>IF('Исходные данные'!$B$53="Выручка",MAX(0,I152+(Расчёты!Q152-Расчёты!R152)+(Расчёты!U152-Расчёты!V152)),IF('Исходные данные'!$B$53="Прибыль до налога",MAX(0,I152+(Расчёты!Q152-Расчёты!R152)+(Расчёты!U152-Расчёты!V152)+N('Исходные данные'!$B$54)*((Расчёты!O152+Расчёты!P152)+(Расчёты!S152+Расчёты!T152)+Расчёты!W152+Расчёты!X152)+IF('Исходные данные'!$B$55="Да",Расчёты!AG152,0)-N('Исходные данные'!$B$56)/12),IF('Исходные данные'!$B$53="Пользовательская база",MAX(0,N('Исходные данные'!$B$57)/12),0)))</f>
        <v>0</v>
      </c>
      <c r="Q152">
        <f>IF(D152=1,-P152*N('Исходные данные'!$B$50),0)</f>
        <v>0</v>
      </c>
      <c r="R152">
        <f t="shared" si="80"/>
        <v>0</v>
      </c>
      <c r="S152">
        <f>IF(OR(D152&lt;&gt;1,B152="",'Исходные данные'!$B$91="",N('Исходные данные'!$B$80)&lt;=0,'Исходные данные'!$B$88=""),0,IF(AND(YEAR(B152)=YEAR('Исходные данные'!$B$91),MONTH(B152)=MONTH('Исходные данные'!$B$91)),MAX(0,IF('Исходные данные'!$B$88="Последние 12 месяцев",SUMIFS($L$2:$L$194,$B$2:$B$194,"&gt;="&amp;EDATE(B152,-11),$B$2:$B$194,"&lt;="&amp;B152),IF('Исходные данные'!$B$88="Пользовательский NOI",N('Исходные данные'!$B$89),R152))/N('Исходные данные'!$B$80)*(1+N('Исходные данные'!$B$81))),0))</f>
        <v>0</v>
      </c>
      <c r="T152">
        <f>-S152*N('Исходные данные'!$B$73)</f>
        <v>0</v>
      </c>
      <c r="U152">
        <f>IF(S152=0,0,-N('Исходные данные'!$B$87)-IF('Исходные данные'!$B$82="Да",IF('Исходные данные'!$B$84="С выручки",S152,IF('Исходные данные'!$B$84="С прибыли",MAX(0,S152+T152-IF('Исходные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52">
        <f t="shared" si="81"/>
        <v>0</v>
      </c>
      <c r="W152">
        <f>IF(D152=1,Расчёты!AZ152+K152+N152+Q152+V152,0)</f>
        <v>0</v>
      </c>
      <c r="X152" t="str">
        <f t="shared" si="91"/>
        <v/>
      </c>
      <c r="Y152">
        <f>IF(OR(D152=0,'Исходные данные'!$B$9="",'Исходные данные'!$B$90=""),0,W152/(1+'Исходные данные'!$B$90)^((C152-'Исходные данные'!$B$9)/365))</f>
        <v>0</v>
      </c>
      <c r="Z152">
        <f>IF(D152=1,K152+Расчёты!O152+Расчёты!Q152+Расчёты!S152+Расчёты!U152+Расчёты!W152+Расчёты!X152+N152+Q152,0)</f>
        <v>0</v>
      </c>
      <c r="AA152">
        <f>IF(AND(D152=1,X152&gt;=0,X151&lt;0,MIN($X$2:X152)&lt;0),1,0)</f>
        <v>0</v>
      </c>
      <c r="AB152">
        <f>IF(Расчёты!F152=0,0,IF(Расчёты!G152=1,N('Сценарный анализ'!$C$5),IF(Расчёты!G152=2,N('Сценарный анализ'!$C$6),IF(Расчёты!G152=3,N('Сценарный анализ'!$C$7),N('Сценарный анализ'!$C$7)*(1+N('Сценарный анализ'!$C$8))^(Расчёты!G152-3)))))</f>
        <v>0</v>
      </c>
      <c r="AC152">
        <f>IF(OR(Расчёты!F152=0,N('Исходные данные'!$B$5)=0,AB152=0),0,N('Исходные данные'!$B$5)*AB152*IF(AND(B152&lt;='Исходные данные'!$B$30,Расчёты!C152&gt;='Исходные данные'!$B$30),(Расчёты!C152-'Исходные данные'!$B$30+1)/DAY(Расчёты!C152),1))</f>
        <v>0</v>
      </c>
      <c r="AD152">
        <f>IF(AND(Расчёты!F152&gt;0,Расчёты!F152&lt;=N('Исходные данные'!$B$37)),-AC152,0)</f>
        <v>0</v>
      </c>
      <c r="AE152">
        <f>IF(OR(Расчёты!F152=0,Расчёты!F152&lt;=N('Исходные данные'!$B$37)),0,-(AC152+AD152)*N('Сценарный анализ'!$C$9))</f>
        <v>0</v>
      </c>
      <c r="AF152">
        <f t="shared" si="82"/>
        <v>0</v>
      </c>
      <c r="AG152">
        <f>IF('Исходные данные'!$B$51="Да",AF152*N('Исходные данные'!$B$52),0)</f>
        <v>0</v>
      </c>
      <c r="AH152">
        <f t="shared" si="83"/>
        <v>0</v>
      </c>
      <c r="AI152">
        <f>AF152+(Расчёты!Y152-Расчёты!L152)</f>
        <v>0</v>
      </c>
      <c r="AJ152">
        <f t="shared" si="92"/>
        <v>0</v>
      </c>
      <c r="AK152">
        <f>IF('Исходные данные'!$B$51="Да",-MAX(0,AG152+Расчёты!R152+Расчёты!V152-Расчёты!P152-Расчёты!T152-AJ152),0)</f>
        <v>0</v>
      </c>
      <c r="AL152">
        <f>IF('Исходные данные'!$B$51="Да",MAX(0,AJ152+Расчёты!P152+Расчёты!T152-AG152-Расчёты!R152-Расчёты!V152),0)</f>
        <v>0</v>
      </c>
      <c r="AM152">
        <f>IF('Исходные данные'!$B$53="Выручка",MAX(0,AF152+(Расчёты!Q152-Расчёты!R152)+(Расчёты!U152-Расчёты!V152)),IF('Исходные данные'!$B$53="Прибыль до налога",MAX(0,AF152+(Расчёты!Q152-Расчёты!R152)+(Расчёты!U152-Расчёты!V152)+N('Исходные данные'!$B$54)*((Расчёты!O152+Расчёты!P152)+(Расчёты!S152+Расчёты!T152)+Расчёты!W152+Расчёты!X152)+IF('Исходные данные'!$B$55="Да",Расчёты!AG152,0)-N('Исходные данные'!$B$56)/12),IF('Исходные данные'!$B$53="Пользовательская база",MAX(0,N('Исходные данные'!$B$57)/12),0)))</f>
        <v>0</v>
      </c>
      <c r="AN152">
        <f>IF(D152=1,-AM152*N('Исходные данные'!$B$50),0)</f>
        <v>0</v>
      </c>
      <c r="AO152">
        <f t="shared" si="84"/>
        <v>0</v>
      </c>
      <c r="AP152">
        <f>IF(OR(D152&lt;&gt;1,B152="",'Исходные данные'!$B$91="",N('Исходные данные'!$B$80)&lt;=0,'Исходные данные'!$B$88=""),0,IF(AND(YEAR(B152)=YEAR('Исходные данные'!$B$91),MONTH(B152)=MONTH('Исходные данные'!$B$91)),MAX(0,IF('Исходные данные'!$B$88="Последние 12 месяцев",SUMIFS($AI$2:$AI$194,$B$2:$B$194,"&gt;="&amp;EDATE(B152,-11),$B$2:$B$194,"&lt;="&amp;B152),IF('Исходные данные'!$B$88="Пользовательский NOI",N('Исходные данные'!$B$89),AO152))/N('Исходные данные'!$B$80)*(1+N('Исходные данные'!$B$81))),0))</f>
        <v>0</v>
      </c>
      <c r="AQ152">
        <f>-AP152*N('Исходные данные'!$B$73)</f>
        <v>0</v>
      </c>
      <c r="AR152">
        <f>IF(AP152=0,0,-N('Исходные данные'!$B$87)-IF('Исходные данные'!$B$82="Да",IF('Исходные данные'!$B$84="С выручки",AP152,IF('Исходные данные'!$B$84="С прибыли",MAX(0,AP152+AQ152-IF('Исходные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52">
        <f t="shared" si="85"/>
        <v>0</v>
      </c>
      <c r="AT152">
        <f>IF(D152=1,Расчёты!AZ152+AH152+AK152+AN152+AS152,0)</f>
        <v>0</v>
      </c>
      <c r="AU152" t="str">
        <f t="shared" si="93"/>
        <v/>
      </c>
      <c r="AV152">
        <f>IF(OR(D152=0,'Исходные данные'!$B$9="",'Исходные данные'!$B$90=""),0,AT152/(1+'Исходные данные'!$B$90)^((C152-'Исходные данные'!$B$9)/365))</f>
        <v>0</v>
      </c>
      <c r="AW152">
        <f>IF(D152=1,AH152+Расчёты!O152+Расчёты!Q152+Расчёты!S152+Расчёты!U152+Расчёты!W152+Расчёты!X152+AK152+AN152,0)</f>
        <v>0</v>
      </c>
      <c r="AX152">
        <f>IF(AND(D152=1,AU152&gt;=0,AU151&lt;0,MIN($AU$2:AU152)&lt;0),1,0)</f>
        <v>0</v>
      </c>
      <c r="AY152">
        <f>IF(Расчёты!F152=0,0,IF(Расчёты!G152=1,N('Сценарный анализ'!$D$5),IF(Расчёты!G152=2,N('Сценарный анализ'!$D$6),IF(Расчёты!G152=3,N('Сценарный анализ'!$D$7),N('Сценарный анализ'!$D$7)*(1+N('Сценарный анализ'!$D$8))^(Расчёты!G152-3)))))</f>
        <v>0</v>
      </c>
      <c r="AZ152">
        <f>IF(OR(Расчёты!F152=0,N('Исходные данные'!$B$5)=0,AY152=0),0,N('Исходные данные'!$B$5)*AY152*IF(AND(B152&lt;='Исходные данные'!$B$30,Расчёты!C152&gt;='Исходные данные'!$B$30),(Расчёты!C152-'Исходные данные'!$B$30+1)/DAY(Расчёты!C152),1))</f>
        <v>0</v>
      </c>
      <c r="BA152">
        <f>IF(AND(Расчёты!F152&gt;0,Расчёты!F152&lt;=N('Исходные данные'!$B$37)),-AZ152,0)</f>
        <v>0</v>
      </c>
      <c r="BB152">
        <f>IF(OR(Расчёты!F152=0,Расчёты!F152&lt;=N('Исходные данные'!$B$37)),0,-(AZ152+BA152)*N('Сценарный анализ'!$D$9))</f>
        <v>0</v>
      </c>
      <c r="BC152">
        <f t="shared" si="86"/>
        <v>0</v>
      </c>
      <c r="BD152">
        <f>IF('Исходные данные'!$B$51="Да",BC152*N('Исходные данные'!$B$52),0)</f>
        <v>0</v>
      </c>
      <c r="BE152">
        <f t="shared" si="87"/>
        <v>0</v>
      </c>
      <c r="BF152">
        <f>BC152+(Расчёты!Y152-Расчёты!L152)</f>
        <v>0</v>
      </c>
      <c r="BG152">
        <f t="shared" si="94"/>
        <v>0</v>
      </c>
      <c r="BH152">
        <f>IF('Исходные данные'!$B$51="Да",-MAX(0,BD152+Расчёты!R152+Расчёты!V152-Расчёты!P152-Расчёты!T152-BG152),0)</f>
        <v>0</v>
      </c>
      <c r="BI152">
        <f>IF('Исходные данные'!$B$51="Да",MAX(0,BG152+Расчёты!P152+Расчёты!T152-BD152-Расчёты!R152-Расчёты!V152),0)</f>
        <v>0</v>
      </c>
      <c r="BJ152">
        <f>IF('Исходные данные'!$B$53="Выручка",MAX(0,BC152+(Расчёты!Q152-Расчёты!R152)+(Расчёты!U152-Расчёты!V152)),IF('Исходные данные'!$B$53="Прибыль до налога",MAX(0,BC152+(Расчёты!Q152-Расчёты!R152)+(Расчёты!U152-Расчёты!V152)+N('Исходные данные'!$B$54)*((Расчёты!O152+Расчёты!P152)+(Расчёты!S152+Расчёты!T152)+Расчёты!W152+Расчёты!X152)+IF('Исходные данные'!$B$55="Да",Расчёты!AG152,0)-N('Исходные данные'!$B$56)/12),IF('Исходные данные'!$B$53="Пользовательская база",MAX(0,N('Исходные данные'!$B$57)/12),0)))</f>
        <v>0</v>
      </c>
      <c r="BK152">
        <f>IF(D152=1,-BJ152*N('Исходные данные'!$B$50),0)</f>
        <v>0</v>
      </c>
      <c r="BL152">
        <f t="shared" si="88"/>
        <v>0</v>
      </c>
      <c r="BM152">
        <f>IF(OR(D152&lt;&gt;1,B152="",'Исходные данные'!$B$91="",N('Исходные данные'!$B$80)&lt;=0,'Исходные данные'!$B$88=""),0,IF(AND(YEAR(B152)=YEAR('Исходные данные'!$B$91),MONTH(B152)=MONTH('Исходные данные'!$B$91)),MAX(0,IF('Исходные данные'!$B$88="Последние 12 месяцев",SUMIFS($BF$2:$BF$194,$B$2:$B$194,"&gt;="&amp;EDATE(B152,-11),$B$2:$B$194,"&lt;="&amp;B152),IF('Исходные данные'!$B$88="Пользовательский NOI",N('Исходные данные'!$B$89),BL152))/N('Исходные данные'!$B$80)*(1+N('Исходные данные'!$B$81))),0))</f>
        <v>0</v>
      </c>
      <c r="BN152">
        <f>-BM152*N('Исходные данные'!$B$73)</f>
        <v>0</v>
      </c>
      <c r="BO152">
        <f>IF(BM152=0,0,-N('Исходные данные'!$B$87)-IF('Исходные данные'!$B$82="Да",IF('Исходные данные'!$B$84="С выручки",BM152,IF('Исходные данные'!$B$84="С прибыли",MAX(0,BM152+BN152-IF('Исходные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52">
        <f t="shared" si="89"/>
        <v>0</v>
      </c>
      <c r="BQ152">
        <f>IF(D152=1,Расчёты!AZ152+BE152+BH152+BK152+BP152,0)</f>
        <v>0</v>
      </c>
      <c r="BR152" t="str">
        <f t="shared" si="95"/>
        <v/>
      </c>
      <c r="BS152">
        <f>IF(OR(D152=0,'Исходные данные'!$B$9="",'Исходные данные'!$B$90=""),0,BQ152/(1+'Исходные данные'!$B$90)^((C152-'Исходные данные'!$B$9)/365))</f>
        <v>0</v>
      </c>
      <c r="BT152">
        <f>IF(D152=1,BE152+Расчёты!O152+Расчёты!Q152+Расчёты!S152+Расчёты!U152+Расчёты!W152+Расчёты!X152+BH152+BK152,0)</f>
        <v>0</v>
      </c>
      <c r="BU152">
        <f>IF(AND(D152=1,BR152&gt;=0,BR151&lt;0,MIN($BR$2:BR152)&lt;0),1,0)</f>
        <v>0</v>
      </c>
      <c r="BV152">
        <f>Расчёты!AZ152+K152+N152-P152*N('Исходные данные'!$B$50)</f>
        <v>0</v>
      </c>
      <c r="BW152">
        <f t="shared" si="96"/>
        <v>0</v>
      </c>
      <c r="BX152">
        <f>IF(AND(BW152&gt;=0,BW151&lt;0,MIN($BW$2:BW152)&lt;0),1,0)</f>
        <v>0</v>
      </c>
      <c r="BY152">
        <f>Расчёты!AZ152+AH152+AK152-AM152*N('Исходные данные'!$B$50)</f>
        <v>0</v>
      </c>
      <c r="BZ152">
        <f t="shared" si="97"/>
        <v>0</v>
      </c>
      <c r="CA152">
        <f>IF(AND(BZ152&gt;=0,BZ151&lt;0,MIN($BZ$2:BZ152)&lt;0),1,0)</f>
        <v>0</v>
      </c>
      <c r="CB152">
        <f>Расчёты!AZ152+BE152+BH152-BJ152*N('Исходные данные'!$B$50)</f>
        <v>0</v>
      </c>
      <c r="CC152">
        <f t="shared" si="98"/>
        <v>0</v>
      </c>
      <c r="CD152">
        <f>IF(AND(CC152&gt;=0,CC151&lt;0,MIN($CC$2:CC152)&lt;0),1,0)</f>
        <v>0</v>
      </c>
    </row>
    <row r="153" spans="1:82" x14ac:dyDescent="0.2">
      <c r="A153">
        <f>Расчёты!A153</f>
        <v>152</v>
      </c>
      <c r="B153" t="str">
        <f>Расчёты!B153</f>
        <v/>
      </c>
      <c r="C153" t="str">
        <f>Расчёты!D153</f>
        <v/>
      </c>
      <c r="D153">
        <f>Расчёты!E153</f>
        <v>0</v>
      </c>
      <c r="E153">
        <f>IF(Расчёты!F153=0,0,IF(Расчёты!G153=1,N('Сценарный анализ'!$B$5),IF(Расчёты!G153=2,N('Сценарный анализ'!$B$6),IF(Расчёты!G153=3,N('Сценарный анализ'!$B$7),N('Сценарный анализ'!$B$7)*(1+N('Сценарный анализ'!$B$8))^(Расчёты!G153-3)))))</f>
        <v>0</v>
      </c>
      <c r="F153">
        <f>IF(OR(Расчёты!F153=0,N('Исходные данные'!$B$5)=0,E153=0),0,N('Исходные данные'!$B$5)*E153*IF(AND(B153&lt;='Исходные данные'!$B$30,Расчёты!C153&gt;='Исходные данные'!$B$30),(Расчёты!C153-'Исходные данные'!$B$30+1)/DAY(Расчёты!C153),1))</f>
        <v>0</v>
      </c>
      <c r="G153">
        <f>IF(AND(Расчёты!F153&gt;0,Расчёты!F153&lt;=N('Исходные данные'!$B$37)),-F153,0)</f>
        <v>0</v>
      </c>
      <c r="H153">
        <f>IF(OR(Расчёты!F153=0,Расчёты!F153&lt;=N('Исходные данные'!$B$37)),0,-(F153+G153)*N('Сценарный анализ'!$B$9))</f>
        <v>0</v>
      </c>
      <c r="I153">
        <f t="shared" si="78"/>
        <v>0</v>
      </c>
      <c r="J153">
        <f>IF('Исходные данные'!$B$51="Да",I153*N('Исходные данные'!$B$52),0)</f>
        <v>0</v>
      </c>
      <c r="K153">
        <f t="shared" si="79"/>
        <v>0</v>
      </c>
      <c r="L153">
        <f>I153+(Расчёты!Y153-Расчёты!L153)</f>
        <v>0</v>
      </c>
      <c r="M153">
        <f t="shared" si="90"/>
        <v>0</v>
      </c>
      <c r="N153">
        <f>IF('Исходные данные'!$B$51="Да",-MAX(0,J153+Расчёты!R153+Расчёты!V153-Расчёты!P153-Расчёты!T153-M153),0)</f>
        <v>0</v>
      </c>
      <c r="O153">
        <f>IF('Исходные данные'!$B$51="Да",MAX(0,M153+Расчёты!P153+Расчёты!T153-J153-Расчёты!R153-Расчёты!V153),0)</f>
        <v>0</v>
      </c>
      <c r="P153">
        <f>IF('Исходные данные'!$B$53="Выручка",MAX(0,I153+(Расчёты!Q153-Расчёты!R153)+(Расчёты!U153-Расчёты!V153)),IF('Исходные данные'!$B$53="Прибыль до налога",MAX(0,I153+(Расчёты!Q153-Расчёты!R153)+(Расчёты!U153-Расчёты!V153)+N('Исходные данные'!$B$54)*((Расчёты!O153+Расчёты!P153)+(Расчёты!S153+Расчёты!T153)+Расчёты!W153+Расчёты!X153)+IF('Исходные данные'!$B$55="Да",Расчёты!AG153,0)-N('Исходные данные'!$B$56)/12),IF('Исходные данные'!$B$53="Пользовательская база",MAX(0,N('Исходные данные'!$B$57)/12),0)))</f>
        <v>0</v>
      </c>
      <c r="Q153">
        <f>IF(D153=1,-P153*N('Исходные данные'!$B$50),0)</f>
        <v>0</v>
      </c>
      <c r="R153">
        <f t="shared" si="80"/>
        <v>0</v>
      </c>
      <c r="S153">
        <f>IF(OR(D153&lt;&gt;1,B153="",'Исходные данные'!$B$91="",N('Исходные данные'!$B$80)&lt;=0,'Исходные данные'!$B$88=""),0,IF(AND(YEAR(B153)=YEAR('Исходные данные'!$B$91),MONTH(B153)=MONTH('Исходные данные'!$B$91)),MAX(0,IF('Исходные данные'!$B$88="Последние 12 месяцев",SUMIFS($L$2:$L$194,$B$2:$B$194,"&gt;="&amp;EDATE(B153,-11),$B$2:$B$194,"&lt;="&amp;B153),IF('Исходные данные'!$B$88="Пользовательский NOI",N('Исходные данные'!$B$89),R153))/N('Исходные данные'!$B$80)*(1+N('Исходные данные'!$B$81))),0))</f>
        <v>0</v>
      </c>
      <c r="T153">
        <f>-S153*N('Исходные данные'!$B$73)</f>
        <v>0</v>
      </c>
      <c r="U153">
        <f>IF(S153=0,0,-N('Исходные данные'!$B$87)-IF('Исходные данные'!$B$82="Да",IF('Исходные данные'!$B$84="С выручки",S153,IF('Исходные данные'!$B$84="С прибыли",MAX(0,S153+T153-IF('Исходные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53">
        <f t="shared" si="81"/>
        <v>0</v>
      </c>
      <c r="W153">
        <f>IF(D153=1,Расчёты!AZ153+K153+N153+Q153+V153,0)</f>
        <v>0</v>
      </c>
      <c r="X153" t="str">
        <f t="shared" si="91"/>
        <v/>
      </c>
      <c r="Y153">
        <f>IF(OR(D153=0,'Исходные данные'!$B$9="",'Исходные данные'!$B$90=""),0,W153/(1+'Исходные данные'!$B$90)^((C153-'Исходные данные'!$B$9)/365))</f>
        <v>0</v>
      </c>
      <c r="Z153">
        <f>IF(D153=1,K153+Расчёты!O153+Расчёты!Q153+Расчёты!S153+Расчёты!U153+Расчёты!W153+Расчёты!X153+N153+Q153,0)</f>
        <v>0</v>
      </c>
      <c r="AA153">
        <f>IF(AND(D153=1,X153&gt;=0,X152&lt;0,MIN($X$2:X153)&lt;0),1,0)</f>
        <v>0</v>
      </c>
      <c r="AB153">
        <f>IF(Расчёты!F153=0,0,IF(Расчёты!G153=1,N('Сценарный анализ'!$C$5),IF(Расчёты!G153=2,N('Сценарный анализ'!$C$6),IF(Расчёты!G153=3,N('Сценарный анализ'!$C$7),N('Сценарный анализ'!$C$7)*(1+N('Сценарный анализ'!$C$8))^(Расчёты!G153-3)))))</f>
        <v>0</v>
      </c>
      <c r="AC153">
        <f>IF(OR(Расчёты!F153=0,N('Исходные данные'!$B$5)=0,AB153=0),0,N('Исходные данные'!$B$5)*AB153*IF(AND(B153&lt;='Исходные данные'!$B$30,Расчёты!C153&gt;='Исходные данные'!$B$30),(Расчёты!C153-'Исходные данные'!$B$30+1)/DAY(Расчёты!C153),1))</f>
        <v>0</v>
      </c>
      <c r="AD153">
        <f>IF(AND(Расчёты!F153&gt;0,Расчёты!F153&lt;=N('Исходные данные'!$B$37)),-AC153,0)</f>
        <v>0</v>
      </c>
      <c r="AE153">
        <f>IF(OR(Расчёты!F153=0,Расчёты!F153&lt;=N('Исходные данные'!$B$37)),0,-(AC153+AD153)*N('Сценарный анализ'!$C$9))</f>
        <v>0</v>
      </c>
      <c r="AF153">
        <f t="shared" si="82"/>
        <v>0</v>
      </c>
      <c r="AG153">
        <f>IF('Исходные данные'!$B$51="Да",AF153*N('Исходные данные'!$B$52),0)</f>
        <v>0</v>
      </c>
      <c r="AH153">
        <f t="shared" si="83"/>
        <v>0</v>
      </c>
      <c r="AI153">
        <f>AF153+(Расчёты!Y153-Расчёты!L153)</f>
        <v>0</v>
      </c>
      <c r="AJ153">
        <f t="shared" si="92"/>
        <v>0</v>
      </c>
      <c r="AK153">
        <f>IF('Исходные данные'!$B$51="Да",-MAX(0,AG153+Расчёты!R153+Расчёты!V153-Расчёты!P153-Расчёты!T153-AJ153),0)</f>
        <v>0</v>
      </c>
      <c r="AL153">
        <f>IF('Исходные данные'!$B$51="Да",MAX(0,AJ153+Расчёты!P153+Расчёты!T153-AG153-Расчёты!R153-Расчёты!V153),0)</f>
        <v>0</v>
      </c>
      <c r="AM153">
        <f>IF('Исходные данные'!$B$53="Выручка",MAX(0,AF153+(Расчёты!Q153-Расчёты!R153)+(Расчёты!U153-Расчёты!V153)),IF('Исходные данные'!$B$53="Прибыль до налога",MAX(0,AF153+(Расчёты!Q153-Расчёты!R153)+(Расчёты!U153-Расчёты!V153)+N('Исходные данные'!$B$54)*((Расчёты!O153+Расчёты!P153)+(Расчёты!S153+Расчёты!T153)+Расчёты!W153+Расчёты!X153)+IF('Исходные данные'!$B$55="Да",Расчёты!AG153,0)-N('Исходные данные'!$B$56)/12),IF('Исходные данные'!$B$53="Пользовательская база",MAX(0,N('Исходные данные'!$B$57)/12),0)))</f>
        <v>0</v>
      </c>
      <c r="AN153">
        <f>IF(D153=1,-AM153*N('Исходные данные'!$B$50),0)</f>
        <v>0</v>
      </c>
      <c r="AO153">
        <f t="shared" si="84"/>
        <v>0</v>
      </c>
      <c r="AP153">
        <f>IF(OR(D153&lt;&gt;1,B153="",'Исходные данные'!$B$91="",N('Исходные данные'!$B$80)&lt;=0,'Исходные данные'!$B$88=""),0,IF(AND(YEAR(B153)=YEAR('Исходные данные'!$B$91),MONTH(B153)=MONTH('Исходные данные'!$B$91)),MAX(0,IF('Исходные данные'!$B$88="Последние 12 месяцев",SUMIFS($AI$2:$AI$194,$B$2:$B$194,"&gt;="&amp;EDATE(B153,-11),$B$2:$B$194,"&lt;="&amp;B153),IF('Исходные данные'!$B$88="Пользовательский NOI",N('Исходные данные'!$B$89),AO153))/N('Исходные данные'!$B$80)*(1+N('Исходные данные'!$B$81))),0))</f>
        <v>0</v>
      </c>
      <c r="AQ153">
        <f>-AP153*N('Исходные данные'!$B$73)</f>
        <v>0</v>
      </c>
      <c r="AR153">
        <f>IF(AP153=0,0,-N('Исходные данные'!$B$87)-IF('Исходные данные'!$B$82="Да",IF('Исходные данные'!$B$84="С выручки",AP153,IF('Исходные данные'!$B$84="С прибыли",MAX(0,AP153+AQ153-IF('Исходные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53">
        <f t="shared" si="85"/>
        <v>0</v>
      </c>
      <c r="AT153">
        <f>IF(D153=1,Расчёты!AZ153+AH153+AK153+AN153+AS153,0)</f>
        <v>0</v>
      </c>
      <c r="AU153" t="str">
        <f t="shared" si="93"/>
        <v/>
      </c>
      <c r="AV153">
        <f>IF(OR(D153=0,'Исходные данные'!$B$9="",'Исходные данные'!$B$90=""),0,AT153/(1+'Исходные данные'!$B$90)^((C153-'Исходные данные'!$B$9)/365))</f>
        <v>0</v>
      </c>
      <c r="AW153">
        <f>IF(D153=1,AH153+Расчёты!O153+Расчёты!Q153+Расчёты!S153+Расчёты!U153+Расчёты!W153+Расчёты!X153+AK153+AN153,0)</f>
        <v>0</v>
      </c>
      <c r="AX153">
        <f>IF(AND(D153=1,AU153&gt;=0,AU152&lt;0,MIN($AU$2:AU153)&lt;0),1,0)</f>
        <v>0</v>
      </c>
      <c r="AY153">
        <f>IF(Расчёты!F153=0,0,IF(Расчёты!G153=1,N('Сценарный анализ'!$D$5),IF(Расчёты!G153=2,N('Сценарный анализ'!$D$6),IF(Расчёты!G153=3,N('Сценарный анализ'!$D$7),N('Сценарный анализ'!$D$7)*(1+N('Сценарный анализ'!$D$8))^(Расчёты!G153-3)))))</f>
        <v>0</v>
      </c>
      <c r="AZ153">
        <f>IF(OR(Расчёты!F153=0,N('Исходные данные'!$B$5)=0,AY153=0),0,N('Исходные данные'!$B$5)*AY153*IF(AND(B153&lt;='Исходные данные'!$B$30,Расчёты!C153&gt;='Исходные данные'!$B$30),(Расчёты!C153-'Исходные данные'!$B$30+1)/DAY(Расчёты!C153),1))</f>
        <v>0</v>
      </c>
      <c r="BA153">
        <f>IF(AND(Расчёты!F153&gt;0,Расчёты!F153&lt;=N('Исходные данные'!$B$37)),-AZ153,0)</f>
        <v>0</v>
      </c>
      <c r="BB153">
        <f>IF(OR(Расчёты!F153=0,Расчёты!F153&lt;=N('Исходные данные'!$B$37)),0,-(AZ153+BA153)*N('Сценарный анализ'!$D$9))</f>
        <v>0</v>
      </c>
      <c r="BC153">
        <f t="shared" si="86"/>
        <v>0</v>
      </c>
      <c r="BD153">
        <f>IF('Исходные данные'!$B$51="Да",BC153*N('Исходные данные'!$B$52),0)</f>
        <v>0</v>
      </c>
      <c r="BE153">
        <f t="shared" si="87"/>
        <v>0</v>
      </c>
      <c r="BF153">
        <f>BC153+(Расчёты!Y153-Расчёты!L153)</f>
        <v>0</v>
      </c>
      <c r="BG153">
        <f t="shared" si="94"/>
        <v>0</v>
      </c>
      <c r="BH153">
        <f>IF('Исходные данные'!$B$51="Да",-MAX(0,BD153+Расчёты!R153+Расчёты!V153-Расчёты!P153-Расчёты!T153-BG153),0)</f>
        <v>0</v>
      </c>
      <c r="BI153">
        <f>IF('Исходные данные'!$B$51="Да",MAX(0,BG153+Расчёты!P153+Расчёты!T153-BD153-Расчёты!R153-Расчёты!V153),0)</f>
        <v>0</v>
      </c>
      <c r="BJ153">
        <f>IF('Исходные данные'!$B$53="Выручка",MAX(0,BC153+(Расчёты!Q153-Расчёты!R153)+(Расчёты!U153-Расчёты!V153)),IF('Исходные данные'!$B$53="Прибыль до налога",MAX(0,BC153+(Расчёты!Q153-Расчёты!R153)+(Расчёты!U153-Расчёты!V153)+N('Исходные данные'!$B$54)*((Расчёты!O153+Расчёты!P153)+(Расчёты!S153+Расчёты!T153)+Расчёты!W153+Расчёты!X153)+IF('Исходные данные'!$B$55="Да",Расчёты!AG153,0)-N('Исходные данные'!$B$56)/12),IF('Исходные данные'!$B$53="Пользовательская база",MAX(0,N('Исходные данные'!$B$57)/12),0)))</f>
        <v>0</v>
      </c>
      <c r="BK153">
        <f>IF(D153=1,-BJ153*N('Исходные данные'!$B$50),0)</f>
        <v>0</v>
      </c>
      <c r="BL153">
        <f t="shared" si="88"/>
        <v>0</v>
      </c>
      <c r="BM153">
        <f>IF(OR(D153&lt;&gt;1,B153="",'Исходные данные'!$B$91="",N('Исходные данные'!$B$80)&lt;=0,'Исходные данные'!$B$88=""),0,IF(AND(YEAR(B153)=YEAR('Исходные данные'!$B$91),MONTH(B153)=MONTH('Исходные данные'!$B$91)),MAX(0,IF('Исходные данные'!$B$88="Последние 12 месяцев",SUMIFS($BF$2:$BF$194,$B$2:$B$194,"&gt;="&amp;EDATE(B153,-11),$B$2:$B$194,"&lt;="&amp;B153),IF('Исходные данные'!$B$88="Пользовательский NOI",N('Исходные данные'!$B$89),BL153))/N('Исходные данные'!$B$80)*(1+N('Исходные данные'!$B$81))),0))</f>
        <v>0</v>
      </c>
      <c r="BN153">
        <f>-BM153*N('Исходные данные'!$B$73)</f>
        <v>0</v>
      </c>
      <c r="BO153">
        <f>IF(BM153=0,0,-N('Исходные данные'!$B$87)-IF('Исходные данные'!$B$82="Да",IF('Исходные данные'!$B$84="С выручки",BM153,IF('Исходные данные'!$B$84="С прибыли",MAX(0,BM153+BN153-IF('Исходные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53">
        <f t="shared" si="89"/>
        <v>0</v>
      </c>
      <c r="BQ153">
        <f>IF(D153=1,Расчёты!AZ153+BE153+BH153+BK153+BP153,0)</f>
        <v>0</v>
      </c>
      <c r="BR153" t="str">
        <f t="shared" si="95"/>
        <v/>
      </c>
      <c r="BS153">
        <f>IF(OR(D153=0,'Исходные данные'!$B$9="",'Исходные данные'!$B$90=""),0,BQ153/(1+'Исходные данные'!$B$90)^((C153-'Исходные данные'!$B$9)/365))</f>
        <v>0</v>
      </c>
      <c r="BT153">
        <f>IF(D153=1,BE153+Расчёты!O153+Расчёты!Q153+Расчёты!S153+Расчёты!U153+Расчёты!W153+Расчёты!X153+BH153+BK153,0)</f>
        <v>0</v>
      </c>
      <c r="BU153">
        <f>IF(AND(D153=1,BR153&gt;=0,BR152&lt;0,MIN($BR$2:BR153)&lt;0),1,0)</f>
        <v>0</v>
      </c>
      <c r="BV153">
        <f>Расчёты!AZ153+K153+N153-P153*N('Исходные данные'!$B$50)</f>
        <v>0</v>
      </c>
      <c r="BW153">
        <f t="shared" si="96"/>
        <v>0</v>
      </c>
      <c r="BX153">
        <f>IF(AND(BW153&gt;=0,BW152&lt;0,MIN($BW$2:BW153)&lt;0),1,0)</f>
        <v>0</v>
      </c>
      <c r="BY153">
        <f>Расчёты!AZ153+AH153+AK153-AM153*N('Исходные данные'!$B$50)</f>
        <v>0</v>
      </c>
      <c r="BZ153">
        <f t="shared" si="97"/>
        <v>0</v>
      </c>
      <c r="CA153">
        <f>IF(AND(BZ153&gt;=0,BZ152&lt;0,MIN($BZ$2:BZ153)&lt;0),1,0)</f>
        <v>0</v>
      </c>
      <c r="CB153">
        <f>Расчёты!AZ153+BE153+BH153-BJ153*N('Исходные данные'!$B$50)</f>
        <v>0</v>
      </c>
      <c r="CC153">
        <f t="shared" si="98"/>
        <v>0</v>
      </c>
      <c r="CD153">
        <f>IF(AND(CC153&gt;=0,CC152&lt;0,MIN($CC$2:CC153)&lt;0),1,0)</f>
        <v>0</v>
      </c>
    </row>
    <row r="154" spans="1:82" x14ac:dyDescent="0.2">
      <c r="A154">
        <f>Расчёты!A154</f>
        <v>153</v>
      </c>
      <c r="B154" t="str">
        <f>Расчёты!B154</f>
        <v/>
      </c>
      <c r="C154" t="str">
        <f>Расчёты!D154</f>
        <v/>
      </c>
      <c r="D154">
        <f>Расчёты!E154</f>
        <v>0</v>
      </c>
      <c r="E154">
        <f>IF(Расчёты!F154=0,0,IF(Расчёты!G154=1,N('Сценарный анализ'!$B$5),IF(Расчёты!G154=2,N('Сценарный анализ'!$B$6),IF(Расчёты!G154=3,N('Сценарный анализ'!$B$7),N('Сценарный анализ'!$B$7)*(1+N('Сценарный анализ'!$B$8))^(Расчёты!G154-3)))))</f>
        <v>0</v>
      </c>
      <c r="F154">
        <f>IF(OR(Расчёты!F154=0,N('Исходные данные'!$B$5)=0,E154=0),0,N('Исходные данные'!$B$5)*E154*IF(AND(B154&lt;='Исходные данные'!$B$30,Расчёты!C154&gt;='Исходные данные'!$B$30),(Расчёты!C154-'Исходные данные'!$B$30+1)/DAY(Расчёты!C154),1))</f>
        <v>0</v>
      </c>
      <c r="G154">
        <f>IF(AND(Расчёты!F154&gt;0,Расчёты!F154&lt;=N('Исходные данные'!$B$37)),-F154,0)</f>
        <v>0</v>
      </c>
      <c r="H154">
        <f>IF(OR(Расчёты!F154=0,Расчёты!F154&lt;=N('Исходные данные'!$B$37)),0,-(F154+G154)*N('Сценарный анализ'!$B$9))</f>
        <v>0</v>
      </c>
      <c r="I154">
        <f t="shared" si="78"/>
        <v>0</v>
      </c>
      <c r="J154">
        <f>IF('Исходные данные'!$B$51="Да",I154*N('Исходные данные'!$B$52),0)</f>
        <v>0</v>
      </c>
      <c r="K154">
        <f t="shared" si="79"/>
        <v>0</v>
      </c>
      <c r="L154">
        <f>I154+(Расчёты!Y154-Расчёты!L154)</f>
        <v>0</v>
      </c>
      <c r="M154">
        <f t="shared" si="90"/>
        <v>0</v>
      </c>
      <c r="N154">
        <f>IF('Исходные данные'!$B$51="Да",-MAX(0,J154+Расчёты!R154+Расчёты!V154-Расчёты!P154-Расчёты!T154-M154),0)</f>
        <v>0</v>
      </c>
      <c r="O154">
        <f>IF('Исходные данные'!$B$51="Да",MAX(0,M154+Расчёты!P154+Расчёты!T154-J154-Расчёты!R154-Расчёты!V154),0)</f>
        <v>0</v>
      </c>
      <c r="P154">
        <f>IF('Исходные данные'!$B$53="Выручка",MAX(0,I154+(Расчёты!Q154-Расчёты!R154)+(Расчёты!U154-Расчёты!V154)),IF('Исходные данные'!$B$53="Прибыль до налога",MAX(0,I154+(Расчёты!Q154-Расчёты!R154)+(Расчёты!U154-Расчёты!V154)+N('Исходные данные'!$B$54)*((Расчёты!O154+Расчёты!P154)+(Расчёты!S154+Расчёты!T154)+Расчёты!W154+Расчёты!X154)+IF('Исходные данные'!$B$55="Да",Расчёты!AG154,0)-N('Исходные данные'!$B$56)/12),IF('Исходные данные'!$B$53="Пользовательская база",MAX(0,N('Исходные данные'!$B$57)/12),0)))</f>
        <v>0</v>
      </c>
      <c r="Q154">
        <f>IF(D154=1,-P154*N('Исходные данные'!$B$50),0)</f>
        <v>0</v>
      </c>
      <c r="R154">
        <f t="shared" si="80"/>
        <v>0</v>
      </c>
      <c r="S154">
        <f>IF(OR(D154&lt;&gt;1,B154="",'Исходные данные'!$B$91="",N('Исходные данные'!$B$80)&lt;=0,'Исходные данные'!$B$88=""),0,IF(AND(YEAR(B154)=YEAR('Исходные данные'!$B$91),MONTH(B154)=MONTH('Исходные данные'!$B$91)),MAX(0,IF('Исходные данные'!$B$88="Последние 12 месяцев",SUMIFS($L$2:$L$194,$B$2:$B$194,"&gt;="&amp;EDATE(B154,-11),$B$2:$B$194,"&lt;="&amp;B154),IF('Исходные данные'!$B$88="Пользовательский NOI",N('Исходные данные'!$B$89),R154))/N('Исходные данные'!$B$80)*(1+N('Исходные данные'!$B$81))),0))</f>
        <v>0</v>
      </c>
      <c r="T154">
        <f>-S154*N('Исходные данные'!$B$73)</f>
        <v>0</v>
      </c>
      <c r="U154">
        <f>IF(S154=0,0,-N('Исходные данные'!$B$87)-IF('Исходные данные'!$B$82="Да",IF('Исходные данные'!$B$84="С выручки",S154,IF('Исходные данные'!$B$84="С прибыли",MAX(0,S154+T154-IF('Исходные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54">
        <f t="shared" si="81"/>
        <v>0</v>
      </c>
      <c r="W154">
        <f>IF(D154=1,Расчёты!AZ154+K154+N154+Q154+V154,0)</f>
        <v>0</v>
      </c>
      <c r="X154" t="str">
        <f t="shared" si="91"/>
        <v/>
      </c>
      <c r="Y154">
        <f>IF(OR(D154=0,'Исходные данные'!$B$9="",'Исходные данные'!$B$90=""),0,W154/(1+'Исходные данные'!$B$90)^((C154-'Исходные данные'!$B$9)/365))</f>
        <v>0</v>
      </c>
      <c r="Z154">
        <f>IF(D154=1,K154+Расчёты!O154+Расчёты!Q154+Расчёты!S154+Расчёты!U154+Расчёты!W154+Расчёты!X154+N154+Q154,0)</f>
        <v>0</v>
      </c>
      <c r="AA154">
        <f>IF(AND(D154=1,X154&gt;=0,X153&lt;0,MIN($X$2:X154)&lt;0),1,0)</f>
        <v>0</v>
      </c>
      <c r="AB154">
        <f>IF(Расчёты!F154=0,0,IF(Расчёты!G154=1,N('Сценарный анализ'!$C$5),IF(Расчёты!G154=2,N('Сценарный анализ'!$C$6),IF(Расчёты!G154=3,N('Сценарный анализ'!$C$7),N('Сценарный анализ'!$C$7)*(1+N('Сценарный анализ'!$C$8))^(Расчёты!G154-3)))))</f>
        <v>0</v>
      </c>
      <c r="AC154">
        <f>IF(OR(Расчёты!F154=0,N('Исходные данные'!$B$5)=0,AB154=0),0,N('Исходные данные'!$B$5)*AB154*IF(AND(B154&lt;='Исходные данные'!$B$30,Расчёты!C154&gt;='Исходные данные'!$B$30),(Расчёты!C154-'Исходные данные'!$B$30+1)/DAY(Расчёты!C154),1))</f>
        <v>0</v>
      </c>
      <c r="AD154">
        <f>IF(AND(Расчёты!F154&gt;0,Расчёты!F154&lt;=N('Исходные данные'!$B$37)),-AC154,0)</f>
        <v>0</v>
      </c>
      <c r="AE154">
        <f>IF(OR(Расчёты!F154=0,Расчёты!F154&lt;=N('Исходные данные'!$B$37)),0,-(AC154+AD154)*N('Сценарный анализ'!$C$9))</f>
        <v>0</v>
      </c>
      <c r="AF154">
        <f t="shared" si="82"/>
        <v>0</v>
      </c>
      <c r="AG154">
        <f>IF('Исходные данные'!$B$51="Да",AF154*N('Исходные данные'!$B$52),0)</f>
        <v>0</v>
      </c>
      <c r="AH154">
        <f t="shared" si="83"/>
        <v>0</v>
      </c>
      <c r="AI154">
        <f>AF154+(Расчёты!Y154-Расчёты!L154)</f>
        <v>0</v>
      </c>
      <c r="AJ154">
        <f t="shared" si="92"/>
        <v>0</v>
      </c>
      <c r="AK154">
        <f>IF('Исходные данные'!$B$51="Да",-MAX(0,AG154+Расчёты!R154+Расчёты!V154-Расчёты!P154-Расчёты!T154-AJ154),0)</f>
        <v>0</v>
      </c>
      <c r="AL154">
        <f>IF('Исходные данные'!$B$51="Да",MAX(0,AJ154+Расчёты!P154+Расчёты!T154-AG154-Расчёты!R154-Расчёты!V154),0)</f>
        <v>0</v>
      </c>
      <c r="AM154">
        <f>IF('Исходные данные'!$B$53="Выручка",MAX(0,AF154+(Расчёты!Q154-Расчёты!R154)+(Расчёты!U154-Расчёты!V154)),IF('Исходные данные'!$B$53="Прибыль до налога",MAX(0,AF154+(Расчёты!Q154-Расчёты!R154)+(Расчёты!U154-Расчёты!V154)+N('Исходные данные'!$B$54)*((Расчёты!O154+Расчёты!P154)+(Расчёты!S154+Расчёты!T154)+Расчёты!W154+Расчёты!X154)+IF('Исходные данные'!$B$55="Да",Расчёты!AG154,0)-N('Исходные данные'!$B$56)/12),IF('Исходные данные'!$B$53="Пользовательская база",MAX(0,N('Исходные данные'!$B$57)/12),0)))</f>
        <v>0</v>
      </c>
      <c r="AN154">
        <f>IF(D154=1,-AM154*N('Исходные данные'!$B$50),0)</f>
        <v>0</v>
      </c>
      <c r="AO154">
        <f t="shared" si="84"/>
        <v>0</v>
      </c>
      <c r="AP154">
        <f>IF(OR(D154&lt;&gt;1,B154="",'Исходные данные'!$B$91="",N('Исходные данные'!$B$80)&lt;=0,'Исходные данные'!$B$88=""),0,IF(AND(YEAR(B154)=YEAR('Исходные данные'!$B$91),MONTH(B154)=MONTH('Исходные данные'!$B$91)),MAX(0,IF('Исходные данные'!$B$88="Последние 12 месяцев",SUMIFS($AI$2:$AI$194,$B$2:$B$194,"&gt;="&amp;EDATE(B154,-11),$B$2:$B$194,"&lt;="&amp;B154),IF('Исходные данные'!$B$88="Пользовательский NOI",N('Исходные данные'!$B$89),AO154))/N('Исходные данные'!$B$80)*(1+N('Исходные данные'!$B$81))),0))</f>
        <v>0</v>
      </c>
      <c r="AQ154">
        <f>-AP154*N('Исходные данные'!$B$73)</f>
        <v>0</v>
      </c>
      <c r="AR154">
        <f>IF(AP154=0,0,-N('Исходные данные'!$B$87)-IF('Исходные данные'!$B$82="Да",IF('Исходные данные'!$B$84="С выручки",AP154,IF('Исходные данные'!$B$84="С прибыли",MAX(0,AP154+AQ154-IF('Исходные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54">
        <f t="shared" si="85"/>
        <v>0</v>
      </c>
      <c r="AT154">
        <f>IF(D154=1,Расчёты!AZ154+AH154+AK154+AN154+AS154,0)</f>
        <v>0</v>
      </c>
      <c r="AU154" t="str">
        <f t="shared" si="93"/>
        <v/>
      </c>
      <c r="AV154">
        <f>IF(OR(D154=0,'Исходные данные'!$B$9="",'Исходные данные'!$B$90=""),0,AT154/(1+'Исходные данные'!$B$90)^((C154-'Исходные данные'!$B$9)/365))</f>
        <v>0</v>
      </c>
      <c r="AW154">
        <f>IF(D154=1,AH154+Расчёты!O154+Расчёты!Q154+Расчёты!S154+Расчёты!U154+Расчёты!W154+Расчёты!X154+AK154+AN154,0)</f>
        <v>0</v>
      </c>
      <c r="AX154">
        <f>IF(AND(D154=1,AU154&gt;=0,AU153&lt;0,MIN($AU$2:AU154)&lt;0),1,0)</f>
        <v>0</v>
      </c>
      <c r="AY154">
        <f>IF(Расчёты!F154=0,0,IF(Расчёты!G154=1,N('Сценарный анализ'!$D$5),IF(Расчёты!G154=2,N('Сценарный анализ'!$D$6),IF(Расчёты!G154=3,N('Сценарный анализ'!$D$7),N('Сценарный анализ'!$D$7)*(1+N('Сценарный анализ'!$D$8))^(Расчёты!G154-3)))))</f>
        <v>0</v>
      </c>
      <c r="AZ154">
        <f>IF(OR(Расчёты!F154=0,N('Исходные данные'!$B$5)=0,AY154=0),0,N('Исходные данные'!$B$5)*AY154*IF(AND(B154&lt;='Исходные данные'!$B$30,Расчёты!C154&gt;='Исходные данные'!$B$30),(Расчёты!C154-'Исходные данные'!$B$30+1)/DAY(Расчёты!C154),1))</f>
        <v>0</v>
      </c>
      <c r="BA154">
        <f>IF(AND(Расчёты!F154&gt;0,Расчёты!F154&lt;=N('Исходные данные'!$B$37)),-AZ154,0)</f>
        <v>0</v>
      </c>
      <c r="BB154">
        <f>IF(OR(Расчёты!F154=0,Расчёты!F154&lt;=N('Исходные данные'!$B$37)),0,-(AZ154+BA154)*N('Сценарный анализ'!$D$9))</f>
        <v>0</v>
      </c>
      <c r="BC154">
        <f t="shared" si="86"/>
        <v>0</v>
      </c>
      <c r="BD154">
        <f>IF('Исходные данные'!$B$51="Да",BC154*N('Исходные данные'!$B$52),0)</f>
        <v>0</v>
      </c>
      <c r="BE154">
        <f t="shared" si="87"/>
        <v>0</v>
      </c>
      <c r="BF154">
        <f>BC154+(Расчёты!Y154-Расчёты!L154)</f>
        <v>0</v>
      </c>
      <c r="BG154">
        <f t="shared" si="94"/>
        <v>0</v>
      </c>
      <c r="BH154">
        <f>IF('Исходные данные'!$B$51="Да",-MAX(0,BD154+Расчёты!R154+Расчёты!V154-Расчёты!P154-Расчёты!T154-BG154),0)</f>
        <v>0</v>
      </c>
      <c r="BI154">
        <f>IF('Исходные данные'!$B$51="Да",MAX(0,BG154+Расчёты!P154+Расчёты!T154-BD154-Расчёты!R154-Расчёты!V154),0)</f>
        <v>0</v>
      </c>
      <c r="BJ154">
        <f>IF('Исходные данные'!$B$53="Выручка",MAX(0,BC154+(Расчёты!Q154-Расчёты!R154)+(Расчёты!U154-Расчёты!V154)),IF('Исходные данные'!$B$53="Прибыль до налога",MAX(0,BC154+(Расчёты!Q154-Расчёты!R154)+(Расчёты!U154-Расчёты!V154)+N('Исходные данные'!$B$54)*((Расчёты!O154+Расчёты!P154)+(Расчёты!S154+Расчёты!T154)+Расчёты!W154+Расчёты!X154)+IF('Исходные данные'!$B$55="Да",Расчёты!AG154,0)-N('Исходные данные'!$B$56)/12),IF('Исходные данные'!$B$53="Пользовательская база",MAX(0,N('Исходные данные'!$B$57)/12),0)))</f>
        <v>0</v>
      </c>
      <c r="BK154">
        <f>IF(D154=1,-BJ154*N('Исходные данные'!$B$50),0)</f>
        <v>0</v>
      </c>
      <c r="BL154">
        <f t="shared" si="88"/>
        <v>0</v>
      </c>
      <c r="BM154">
        <f>IF(OR(D154&lt;&gt;1,B154="",'Исходные данные'!$B$91="",N('Исходные данные'!$B$80)&lt;=0,'Исходные данные'!$B$88=""),0,IF(AND(YEAR(B154)=YEAR('Исходные данные'!$B$91),MONTH(B154)=MONTH('Исходные данные'!$B$91)),MAX(0,IF('Исходные данные'!$B$88="Последние 12 месяцев",SUMIFS($BF$2:$BF$194,$B$2:$B$194,"&gt;="&amp;EDATE(B154,-11),$B$2:$B$194,"&lt;="&amp;B154),IF('Исходные данные'!$B$88="Пользовательский NOI",N('Исходные данные'!$B$89),BL154))/N('Исходные данные'!$B$80)*(1+N('Исходные данные'!$B$81))),0))</f>
        <v>0</v>
      </c>
      <c r="BN154">
        <f>-BM154*N('Исходные данные'!$B$73)</f>
        <v>0</v>
      </c>
      <c r="BO154">
        <f>IF(BM154=0,0,-N('Исходные данные'!$B$87)-IF('Исходные данные'!$B$82="Да",IF('Исходные данные'!$B$84="С выручки",BM154,IF('Исходные данные'!$B$84="С прибыли",MAX(0,BM154+BN154-IF('Исходные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54">
        <f t="shared" si="89"/>
        <v>0</v>
      </c>
      <c r="BQ154">
        <f>IF(D154=1,Расчёты!AZ154+BE154+BH154+BK154+BP154,0)</f>
        <v>0</v>
      </c>
      <c r="BR154" t="str">
        <f t="shared" si="95"/>
        <v/>
      </c>
      <c r="BS154">
        <f>IF(OR(D154=0,'Исходные данные'!$B$9="",'Исходные данные'!$B$90=""),0,BQ154/(1+'Исходные данные'!$B$90)^((C154-'Исходные данные'!$B$9)/365))</f>
        <v>0</v>
      </c>
      <c r="BT154">
        <f>IF(D154=1,BE154+Расчёты!O154+Расчёты!Q154+Расчёты!S154+Расчёты!U154+Расчёты!W154+Расчёты!X154+BH154+BK154,0)</f>
        <v>0</v>
      </c>
      <c r="BU154">
        <f>IF(AND(D154=1,BR154&gt;=0,BR153&lt;0,MIN($BR$2:BR154)&lt;0),1,0)</f>
        <v>0</v>
      </c>
      <c r="BV154">
        <f>Расчёты!AZ154+K154+N154-P154*N('Исходные данные'!$B$50)</f>
        <v>0</v>
      </c>
      <c r="BW154">
        <f t="shared" si="96"/>
        <v>0</v>
      </c>
      <c r="BX154">
        <f>IF(AND(BW154&gt;=0,BW153&lt;0,MIN($BW$2:BW154)&lt;0),1,0)</f>
        <v>0</v>
      </c>
      <c r="BY154">
        <f>Расчёты!AZ154+AH154+AK154-AM154*N('Исходные данные'!$B$50)</f>
        <v>0</v>
      </c>
      <c r="BZ154">
        <f t="shared" si="97"/>
        <v>0</v>
      </c>
      <c r="CA154">
        <f>IF(AND(BZ154&gt;=0,BZ153&lt;0,MIN($BZ$2:BZ154)&lt;0),1,0)</f>
        <v>0</v>
      </c>
      <c r="CB154">
        <f>Расчёты!AZ154+BE154+BH154-BJ154*N('Исходные данные'!$B$50)</f>
        <v>0</v>
      </c>
      <c r="CC154">
        <f t="shared" si="98"/>
        <v>0</v>
      </c>
      <c r="CD154">
        <f>IF(AND(CC154&gt;=0,CC153&lt;0,MIN($CC$2:CC154)&lt;0),1,0)</f>
        <v>0</v>
      </c>
    </row>
    <row r="155" spans="1:82" x14ac:dyDescent="0.2">
      <c r="A155">
        <f>Расчёты!A155</f>
        <v>154</v>
      </c>
      <c r="B155" t="str">
        <f>Расчёты!B155</f>
        <v/>
      </c>
      <c r="C155" t="str">
        <f>Расчёты!D155</f>
        <v/>
      </c>
      <c r="D155">
        <f>Расчёты!E155</f>
        <v>0</v>
      </c>
      <c r="E155">
        <f>IF(Расчёты!F155=0,0,IF(Расчёты!G155=1,N('Сценарный анализ'!$B$5),IF(Расчёты!G155=2,N('Сценарный анализ'!$B$6),IF(Расчёты!G155=3,N('Сценарный анализ'!$B$7),N('Сценарный анализ'!$B$7)*(1+N('Сценарный анализ'!$B$8))^(Расчёты!G155-3)))))</f>
        <v>0</v>
      </c>
      <c r="F155">
        <f>IF(OR(Расчёты!F155=0,N('Исходные данные'!$B$5)=0,E155=0),0,N('Исходные данные'!$B$5)*E155*IF(AND(B155&lt;='Исходные данные'!$B$30,Расчёты!C155&gt;='Исходные данные'!$B$30),(Расчёты!C155-'Исходные данные'!$B$30+1)/DAY(Расчёты!C155),1))</f>
        <v>0</v>
      </c>
      <c r="G155">
        <f>IF(AND(Расчёты!F155&gt;0,Расчёты!F155&lt;=N('Исходные данные'!$B$37)),-F155,0)</f>
        <v>0</v>
      </c>
      <c r="H155">
        <f>IF(OR(Расчёты!F155=0,Расчёты!F155&lt;=N('Исходные данные'!$B$37)),0,-(F155+G155)*N('Сценарный анализ'!$B$9))</f>
        <v>0</v>
      </c>
      <c r="I155">
        <f t="shared" si="78"/>
        <v>0</v>
      </c>
      <c r="J155">
        <f>IF('Исходные данные'!$B$51="Да",I155*N('Исходные данные'!$B$52),0)</f>
        <v>0</v>
      </c>
      <c r="K155">
        <f t="shared" si="79"/>
        <v>0</v>
      </c>
      <c r="L155">
        <f>I155+(Расчёты!Y155-Расчёты!L155)</f>
        <v>0</v>
      </c>
      <c r="M155">
        <f t="shared" si="90"/>
        <v>0</v>
      </c>
      <c r="N155">
        <f>IF('Исходные данные'!$B$51="Да",-MAX(0,J155+Расчёты!R155+Расчёты!V155-Расчёты!P155-Расчёты!T155-M155),0)</f>
        <v>0</v>
      </c>
      <c r="O155">
        <f>IF('Исходные данные'!$B$51="Да",MAX(0,M155+Расчёты!P155+Расчёты!T155-J155-Расчёты!R155-Расчёты!V155),0)</f>
        <v>0</v>
      </c>
      <c r="P155">
        <f>IF('Исходные данные'!$B$53="Выручка",MAX(0,I155+(Расчёты!Q155-Расчёты!R155)+(Расчёты!U155-Расчёты!V155)),IF('Исходные данные'!$B$53="Прибыль до налога",MAX(0,I155+(Расчёты!Q155-Расчёты!R155)+(Расчёты!U155-Расчёты!V155)+N('Исходные данные'!$B$54)*((Расчёты!O155+Расчёты!P155)+(Расчёты!S155+Расчёты!T155)+Расчёты!W155+Расчёты!X155)+IF('Исходные данные'!$B$55="Да",Расчёты!AG155,0)-N('Исходные данные'!$B$56)/12),IF('Исходные данные'!$B$53="Пользовательская база",MAX(0,N('Исходные данные'!$B$57)/12),0)))</f>
        <v>0</v>
      </c>
      <c r="Q155">
        <f>IF(D155=1,-P155*N('Исходные данные'!$B$50),0)</f>
        <v>0</v>
      </c>
      <c r="R155">
        <f t="shared" si="80"/>
        <v>0</v>
      </c>
      <c r="S155">
        <f>IF(OR(D155&lt;&gt;1,B155="",'Исходные данные'!$B$91="",N('Исходные данные'!$B$80)&lt;=0,'Исходные данные'!$B$88=""),0,IF(AND(YEAR(B155)=YEAR('Исходные данные'!$B$91),MONTH(B155)=MONTH('Исходные данные'!$B$91)),MAX(0,IF('Исходные данные'!$B$88="Последние 12 месяцев",SUMIFS($L$2:$L$194,$B$2:$B$194,"&gt;="&amp;EDATE(B155,-11),$B$2:$B$194,"&lt;="&amp;B155),IF('Исходные данные'!$B$88="Пользовательский NOI",N('Исходные данные'!$B$89),R155))/N('Исходные данные'!$B$80)*(1+N('Исходные данные'!$B$81))),0))</f>
        <v>0</v>
      </c>
      <c r="T155">
        <f>-S155*N('Исходные данные'!$B$73)</f>
        <v>0</v>
      </c>
      <c r="U155">
        <f>IF(S155=0,0,-N('Исходные данные'!$B$87)-IF('Исходные данные'!$B$82="Да",IF('Исходные данные'!$B$84="С выручки",S155,IF('Исходные данные'!$B$84="С прибыли",MAX(0,S155+T155-IF('Исходные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55">
        <f t="shared" si="81"/>
        <v>0</v>
      </c>
      <c r="W155">
        <f>IF(D155=1,Расчёты!AZ155+K155+N155+Q155+V155,0)</f>
        <v>0</v>
      </c>
      <c r="X155" t="str">
        <f t="shared" si="91"/>
        <v/>
      </c>
      <c r="Y155">
        <f>IF(OR(D155=0,'Исходные данные'!$B$9="",'Исходные данные'!$B$90=""),0,W155/(1+'Исходные данные'!$B$90)^((C155-'Исходные данные'!$B$9)/365))</f>
        <v>0</v>
      </c>
      <c r="Z155">
        <f>IF(D155=1,K155+Расчёты!O155+Расчёты!Q155+Расчёты!S155+Расчёты!U155+Расчёты!W155+Расчёты!X155+N155+Q155,0)</f>
        <v>0</v>
      </c>
      <c r="AA155">
        <f>IF(AND(D155=1,X155&gt;=0,X154&lt;0,MIN($X$2:X155)&lt;0),1,0)</f>
        <v>0</v>
      </c>
      <c r="AB155">
        <f>IF(Расчёты!F155=0,0,IF(Расчёты!G155=1,N('Сценарный анализ'!$C$5),IF(Расчёты!G155=2,N('Сценарный анализ'!$C$6),IF(Расчёты!G155=3,N('Сценарный анализ'!$C$7),N('Сценарный анализ'!$C$7)*(1+N('Сценарный анализ'!$C$8))^(Расчёты!G155-3)))))</f>
        <v>0</v>
      </c>
      <c r="AC155">
        <f>IF(OR(Расчёты!F155=0,N('Исходные данные'!$B$5)=0,AB155=0),0,N('Исходные данные'!$B$5)*AB155*IF(AND(B155&lt;='Исходные данные'!$B$30,Расчёты!C155&gt;='Исходные данные'!$B$30),(Расчёты!C155-'Исходные данные'!$B$30+1)/DAY(Расчёты!C155),1))</f>
        <v>0</v>
      </c>
      <c r="AD155">
        <f>IF(AND(Расчёты!F155&gt;0,Расчёты!F155&lt;=N('Исходные данные'!$B$37)),-AC155,0)</f>
        <v>0</v>
      </c>
      <c r="AE155">
        <f>IF(OR(Расчёты!F155=0,Расчёты!F155&lt;=N('Исходные данные'!$B$37)),0,-(AC155+AD155)*N('Сценарный анализ'!$C$9))</f>
        <v>0</v>
      </c>
      <c r="AF155">
        <f t="shared" si="82"/>
        <v>0</v>
      </c>
      <c r="AG155">
        <f>IF('Исходные данные'!$B$51="Да",AF155*N('Исходные данные'!$B$52),0)</f>
        <v>0</v>
      </c>
      <c r="AH155">
        <f t="shared" si="83"/>
        <v>0</v>
      </c>
      <c r="AI155">
        <f>AF155+(Расчёты!Y155-Расчёты!L155)</f>
        <v>0</v>
      </c>
      <c r="AJ155">
        <f t="shared" si="92"/>
        <v>0</v>
      </c>
      <c r="AK155">
        <f>IF('Исходные данные'!$B$51="Да",-MAX(0,AG155+Расчёты!R155+Расчёты!V155-Расчёты!P155-Расчёты!T155-AJ155),0)</f>
        <v>0</v>
      </c>
      <c r="AL155">
        <f>IF('Исходные данные'!$B$51="Да",MAX(0,AJ155+Расчёты!P155+Расчёты!T155-AG155-Расчёты!R155-Расчёты!V155),0)</f>
        <v>0</v>
      </c>
      <c r="AM155">
        <f>IF('Исходные данные'!$B$53="Выручка",MAX(0,AF155+(Расчёты!Q155-Расчёты!R155)+(Расчёты!U155-Расчёты!V155)),IF('Исходные данные'!$B$53="Прибыль до налога",MAX(0,AF155+(Расчёты!Q155-Расчёты!R155)+(Расчёты!U155-Расчёты!V155)+N('Исходные данные'!$B$54)*((Расчёты!O155+Расчёты!P155)+(Расчёты!S155+Расчёты!T155)+Расчёты!W155+Расчёты!X155)+IF('Исходные данные'!$B$55="Да",Расчёты!AG155,0)-N('Исходные данные'!$B$56)/12),IF('Исходные данные'!$B$53="Пользовательская база",MAX(0,N('Исходные данные'!$B$57)/12),0)))</f>
        <v>0</v>
      </c>
      <c r="AN155">
        <f>IF(D155=1,-AM155*N('Исходные данные'!$B$50),0)</f>
        <v>0</v>
      </c>
      <c r="AO155">
        <f t="shared" si="84"/>
        <v>0</v>
      </c>
      <c r="AP155">
        <f>IF(OR(D155&lt;&gt;1,B155="",'Исходные данные'!$B$91="",N('Исходные данные'!$B$80)&lt;=0,'Исходные данные'!$B$88=""),0,IF(AND(YEAR(B155)=YEAR('Исходные данные'!$B$91),MONTH(B155)=MONTH('Исходные данные'!$B$91)),MAX(0,IF('Исходные данные'!$B$88="Последние 12 месяцев",SUMIFS($AI$2:$AI$194,$B$2:$B$194,"&gt;="&amp;EDATE(B155,-11),$B$2:$B$194,"&lt;="&amp;B155),IF('Исходные данные'!$B$88="Пользовательский NOI",N('Исходные данные'!$B$89),AO155))/N('Исходные данные'!$B$80)*(1+N('Исходные данные'!$B$81))),0))</f>
        <v>0</v>
      </c>
      <c r="AQ155">
        <f>-AP155*N('Исходные данные'!$B$73)</f>
        <v>0</v>
      </c>
      <c r="AR155">
        <f>IF(AP155=0,0,-N('Исходные данные'!$B$87)-IF('Исходные данные'!$B$82="Да",IF('Исходные данные'!$B$84="С выручки",AP155,IF('Исходные данные'!$B$84="С прибыли",MAX(0,AP155+AQ155-IF('Исходные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55">
        <f t="shared" si="85"/>
        <v>0</v>
      </c>
      <c r="AT155">
        <f>IF(D155=1,Расчёты!AZ155+AH155+AK155+AN155+AS155,0)</f>
        <v>0</v>
      </c>
      <c r="AU155" t="str">
        <f t="shared" si="93"/>
        <v/>
      </c>
      <c r="AV155">
        <f>IF(OR(D155=0,'Исходные данные'!$B$9="",'Исходные данные'!$B$90=""),0,AT155/(1+'Исходные данные'!$B$90)^((C155-'Исходные данные'!$B$9)/365))</f>
        <v>0</v>
      </c>
      <c r="AW155">
        <f>IF(D155=1,AH155+Расчёты!O155+Расчёты!Q155+Расчёты!S155+Расчёты!U155+Расчёты!W155+Расчёты!X155+AK155+AN155,0)</f>
        <v>0</v>
      </c>
      <c r="AX155">
        <f>IF(AND(D155=1,AU155&gt;=0,AU154&lt;0,MIN($AU$2:AU155)&lt;0),1,0)</f>
        <v>0</v>
      </c>
      <c r="AY155">
        <f>IF(Расчёты!F155=0,0,IF(Расчёты!G155=1,N('Сценарный анализ'!$D$5),IF(Расчёты!G155=2,N('Сценарный анализ'!$D$6),IF(Расчёты!G155=3,N('Сценарный анализ'!$D$7),N('Сценарный анализ'!$D$7)*(1+N('Сценарный анализ'!$D$8))^(Расчёты!G155-3)))))</f>
        <v>0</v>
      </c>
      <c r="AZ155">
        <f>IF(OR(Расчёты!F155=0,N('Исходные данные'!$B$5)=0,AY155=0),0,N('Исходные данные'!$B$5)*AY155*IF(AND(B155&lt;='Исходные данные'!$B$30,Расчёты!C155&gt;='Исходные данные'!$B$30),(Расчёты!C155-'Исходные данные'!$B$30+1)/DAY(Расчёты!C155),1))</f>
        <v>0</v>
      </c>
      <c r="BA155">
        <f>IF(AND(Расчёты!F155&gt;0,Расчёты!F155&lt;=N('Исходные данные'!$B$37)),-AZ155,0)</f>
        <v>0</v>
      </c>
      <c r="BB155">
        <f>IF(OR(Расчёты!F155=0,Расчёты!F155&lt;=N('Исходные данные'!$B$37)),0,-(AZ155+BA155)*N('Сценарный анализ'!$D$9))</f>
        <v>0</v>
      </c>
      <c r="BC155">
        <f t="shared" si="86"/>
        <v>0</v>
      </c>
      <c r="BD155">
        <f>IF('Исходные данные'!$B$51="Да",BC155*N('Исходные данные'!$B$52),0)</f>
        <v>0</v>
      </c>
      <c r="BE155">
        <f t="shared" si="87"/>
        <v>0</v>
      </c>
      <c r="BF155">
        <f>BC155+(Расчёты!Y155-Расчёты!L155)</f>
        <v>0</v>
      </c>
      <c r="BG155">
        <f t="shared" si="94"/>
        <v>0</v>
      </c>
      <c r="BH155">
        <f>IF('Исходные данные'!$B$51="Да",-MAX(0,BD155+Расчёты!R155+Расчёты!V155-Расчёты!P155-Расчёты!T155-BG155),0)</f>
        <v>0</v>
      </c>
      <c r="BI155">
        <f>IF('Исходные данные'!$B$51="Да",MAX(0,BG155+Расчёты!P155+Расчёты!T155-BD155-Расчёты!R155-Расчёты!V155),0)</f>
        <v>0</v>
      </c>
      <c r="BJ155">
        <f>IF('Исходные данные'!$B$53="Выручка",MAX(0,BC155+(Расчёты!Q155-Расчёты!R155)+(Расчёты!U155-Расчёты!V155)),IF('Исходные данные'!$B$53="Прибыль до налога",MAX(0,BC155+(Расчёты!Q155-Расчёты!R155)+(Расчёты!U155-Расчёты!V155)+N('Исходные данные'!$B$54)*((Расчёты!O155+Расчёты!P155)+(Расчёты!S155+Расчёты!T155)+Расчёты!W155+Расчёты!X155)+IF('Исходные данные'!$B$55="Да",Расчёты!AG155,0)-N('Исходные данные'!$B$56)/12),IF('Исходные данные'!$B$53="Пользовательская база",MAX(0,N('Исходные данные'!$B$57)/12),0)))</f>
        <v>0</v>
      </c>
      <c r="BK155">
        <f>IF(D155=1,-BJ155*N('Исходные данные'!$B$50),0)</f>
        <v>0</v>
      </c>
      <c r="BL155">
        <f t="shared" si="88"/>
        <v>0</v>
      </c>
      <c r="BM155">
        <f>IF(OR(D155&lt;&gt;1,B155="",'Исходные данные'!$B$91="",N('Исходные данные'!$B$80)&lt;=0,'Исходные данные'!$B$88=""),0,IF(AND(YEAR(B155)=YEAR('Исходные данные'!$B$91),MONTH(B155)=MONTH('Исходные данные'!$B$91)),MAX(0,IF('Исходные данные'!$B$88="Последние 12 месяцев",SUMIFS($BF$2:$BF$194,$B$2:$B$194,"&gt;="&amp;EDATE(B155,-11),$B$2:$B$194,"&lt;="&amp;B155),IF('Исходные данные'!$B$88="Пользовательский NOI",N('Исходные данные'!$B$89),BL155))/N('Исходные данные'!$B$80)*(1+N('Исходные данные'!$B$81))),0))</f>
        <v>0</v>
      </c>
      <c r="BN155">
        <f>-BM155*N('Исходные данные'!$B$73)</f>
        <v>0</v>
      </c>
      <c r="BO155">
        <f>IF(BM155=0,0,-N('Исходные данные'!$B$87)-IF('Исходные данные'!$B$82="Да",IF('Исходные данные'!$B$84="С выручки",BM155,IF('Исходные данные'!$B$84="С прибыли",MAX(0,BM155+BN155-IF('Исходные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55">
        <f t="shared" si="89"/>
        <v>0</v>
      </c>
      <c r="BQ155">
        <f>IF(D155=1,Расчёты!AZ155+BE155+BH155+BK155+BP155,0)</f>
        <v>0</v>
      </c>
      <c r="BR155" t="str">
        <f t="shared" si="95"/>
        <v/>
      </c>
      <c r="BS155">
        <f>IF(OR(D155=0,'Исходные данные'!$B$9="",'Исходные данные'!$B$90=""),0,BQ155/(1+'Исходные данные'!$B$90)^((C155-'Исходные данные'!$B$9)/365))</f>
        <v>0</v>
      </c>
      <c r="BT155">
        <f>IF(D155=1,BE155+Расчёты!O155+Расчёты!Q155+Расчёты!S155+Расчёты!U155+Расчёты!W155+Расчёты!X155+BH155+BK155,0)</f>
        <v>0</v>
      </c>
      <c r="BU155">
        <f>IF(AND(D155=1,BR155&gt;=0,BR154&lt;0,MIN($BR$2:BR155)&lt;0),1,0)</f>
        <v>0</v>
      </c>
      <c r="BV155">
        <f>Расчёты!AZ155+K155+N155-P155*N('Исходные данные'!$B$50)</f>
        <v>0</v>
      </c>
      <c r="BW155">
        <f t="shared" si="96"/>
        <v>0</v>
      </c>
      <c r="BX155">
        <f>IF(AND(BW155&gt;=0,BW154&lt;0,MIN($BW$2:BW155)&lt;0),1,0)</f>
        <v>0</v>
      </c>
      <c r="BY155">
        <f>Расчёты!AZ155+AH155+AK155-AM155*N('Исходные данные'!$B$50)</f>
        <v>0</v>
      </c>
      <c r="BZ155">
        <f t="shared" si="97"/>
        <v>0</v>
      </c>
      <c r="CA155">
        <f>IF(AND(BZ155&gt;=0,BZ154&lt;0,MIN($BZ$2:BZ155)&lt;0),1,0)</f>
        <v>0</v>
      </c>
      <c r="CB155">
        <f>Расчёты!AZ155+BE155+BH155-BJ155*N('Исходные данные'!$B$50)</f>
        <v>0</v>
      </c>
      <c r="CC155">
        <f t="shared" si="98"/>
        <v>0</v>
      </c>
      <c r="CD155">
        <f>IF(AND(CC155&gt;=0,CC154&lt;0,MIN($CC$2:CC155)&lt;0),1,0)</f>
        <v>0</v>
      </c>
    </row>
    <row r="156" spans="1:82" x14ac:dyDescent="0.2">
      <c r="A156">
        <f>Расчёты!A156</f>
        <v>155</v>
      </c>
      <c r="B156" t="str">
        <f>Расчёты!B156</f>
        <v/>
      </c>
      <c r="C156" t="str">
        <f>Расчёты!D156</f>
        <v/>
      </c>
      <c r="D156">
        <f>Расчёты!E156</f>
        <v>0</v>
      </c>
      <c r="E156">
        <f>IF(Расчёты!F156=0,0,IF(Расчёты!G156=1,N('Сценарный анализ'!$B$5),IF(Расчёты!G156=2,N('Сценарный анализ'!$B$6),IF(Расчёты!G156=3,N('Сценарный анализ'!$B$7),N('Сценарный анализ'!$B$7)*(1+N('Сценарный анализ'!$B$8))^(Расчёты!G156-3)))))</f>
        <v>0</v>
      </c>
      <c r="F156">
        <f>IF(OR(Расчёты!F156=0,N('Исходные данные'!$B$5)=0,E156=0),0,N('Исходные данные'!$B$5)*E156*IF(AND(B156&lt;='Исходные данные'!$B$30,Расчёты!C156&gt;='Исходные данные'!$B$30),(Расчёты!C156-'Исходные данные'!$B$30+1)/DAY(Расчёты!C156),1))</f>
        <v>0</v>
      </c>
      <c r="G156">
        <f>IF(AND(Расчёты!F156&gt;0,Расчёты!F156&lt;=N('Исходные данные'!$B$37)),-F156,0)</f>
        <v>0</v>
      </c>
      <c r="H156">
        <f>IF(OR(Расчёты!F156=0,Расчёты!F156&lt;=N('Исходные данные'!$B$37)),0,-(F156+G156)*N('Сценарный анализ'!$B$9))</f>
        <v>0</v>
      </c>
      <c r="I156">
        <f t="shared" si="78"/>
        <v>0</v>
      </c>
      <c r="J156">
        <f>IF('Исходные данные'!$B$51="Да",I156*N('Исходные данные'!$B$52),0)</f>
        <v>0</v>
      </c>
      <c r="K156">
        <f t="shared" si="79"/>
        <v>0</v>
      </c>
      <c r="L156">
        <f>I156+(Расчёты!Y156-Расчёты!L156)</f>
        <v>0</v>
      </c>
      <c r="M156">
        <f t="shared" si="90"/>
        <v>0</v>
      </c>
      <c r="N156">
        <f>IF('Исходные данные'!$B$51="Да",-MAX(0,J156+Расчёты!R156+Расчёты!V156-Расчёты!P156-Расчёты!T156-M156),0)</f>
        <v>0</v>
      </c>
      <c r="O156">
        <f>IF('Исходные данные'!$B$51="Да",MAX(0,M156+Расчёты!P156+Расчёты!T156-J156-Расчёты!R156-Расчёты!V156),0)</f>
        <v>0</v>
      </c>
      <c r="P156">
        <f>IF('Исходные данные'!$B$53="Выручка",MAX(0,I156+(Расчёты!Q156-Расчёты!R156)+(Расчёты!U156-Расчёты!V156)),IF('Исходные данные'!$B$53="Прибыль до налога",MAX(0,I156+(Расчёты!Q156-Расчёты!R156)+(Расчёты!U156-Расчёты!V156)+N('Исходные данные'!$B$54)*((Расчёты!O156+Расчёты!P156)+(Расчёты!S156+Расчёты!T156)+Расчёты!W156+Расчёты!X156)+IF('Исходные данные'!$B$55="Да",Расчёты!AG156,0)-N('Исходные данные'!$B$56)/12),IF('Исходные данные'!$B$53="Пользовательская база",MAX(0,N('Исходные данные'!$B$57)/12),0)))</f>
        <v>0</v>
      </c>
      <c r="Q156">
        <f>IF(D156=1,-P156*N('Исходные данные'!$B$50),0)</f>
        <v>0</v>
      </c>
      <c r="R156">
        <f t="shared" si="80"/>
        <v>0</v>
      </c>
      <c r="S156">
        <f>IF(OR(D156&lt;&gt;1,B156="",'Исходные данные'!$B$91="",N('Исходные данные'!$B$80)&lt;=0,'Исходные данные'!$B$88=""),0,IF(AND(YEAR(B156)=YEAR('Исходные данные'!$B$91),MONTH(B156)=MONTH('Исходные данные'!$B$91)),MAX(0,IF('Исходные данные'!$B$88="Последние 12 месяцев",SUMIFS($L$2:$L$194,$B$2:$B$194,"&gt;="&amp;EDATE(B156,-11),$B$2:$B$194,"&lt;="&amp;B156),IF('Исходные данные'!$B$88="Пользовательский NOI",N('Исходные данные'!$B$89),R156))/N('Исходные данные'!$B$80)*(1+N('Исходные данные'!$B$81))),0))</f>
        <v>0</v>
      </c>
      <c r="T156">
        <f>-S156*N('Исходные данные'!$B$73)</f>
        <v>0</v>
      </c>
      <c r="U156">
        <f>IF(S156=0,0,-N('Исходные данные'!$B$87)-IF('Исходные данные'!$B$82="Да",IF('Исходные данные'!$B$84="С выручки",S156,IF('Исходные данные'!$B$84="С прибыли",MAX(0,S156+T156-IF('Исходные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56">
        <f t="shared" si="81"/>
        <v>0</v>
      </c>
      <c r="W156">
        <f>IF(D156=1,Расчёты!AZ156+K156+N156+Q156+V156,0)</f>
        <v>0</v>
      </c>
      <c r="X156" t="str">
        <f t="shared" si="91"/>
        <v/>
      </c>
      <c r="Y156">
        <f>IF(OR(D156=0,'Исходные данные'!$B$9="",'Исходные данные'!$B$90=""),0,W156/(1+'Исходные данные'!$B$90)^((C156-'Исходные данные'!$B$9)/365))</f>
        <v>0</v>
      </c>
      <c r="Z156">
        <f>IF(D156=1,K156+Расчёты!O156+Расчёты!Q156+Расчёты!S156+Расчёты!U156+Расчёты!W156+Расчёты!X156+N156+Q156,0)</f>
        <v>0</v>
      </c>
      <c r="AA156">
        <f>IF(AND(D156=1,X156&gt;=0,X155&lt;0,MIN($X$2:X156)&lt;0),1,0)</f>
        <v>0</v>
      </c>
      <c r="AB156">
        <f>IF(Расчёты!F156=0,0,IF(Расчёты!G156=1,N('Сценарный анализ'!$C$5),IF(Расчёты!G156=2,N('Сценарный анализ'!$C$6),IF(Расчёты!G156=3,N('Сценарный анализ'!$C$7),N('Сценарный анализ'!$C$7)*(1+N('Сценарный анализ'!$C$8))^(Расчёты!G156-3)))))</f>
        <v>0</v>
      </c>
      <c r="AC156">
        <f>IF(OR(Расчёты!F156=0,N('Исходные данные'!$B$5)=0,AB156=0),0,N('Исходные данные'!$B$5)*AB156*IF(AND(B156&lt;='Исходные данные'!$B$30,Расчёты!C156&gt;='Исходные данные'!$B$30),(Расчёты!C156-'Исходные данные'!$B$30+1)/DAY(Расчёты!C156),1))</f>
        <v>0</v>
      </c>
      <c r="AD156">
        <f>IF(AND(Расчёты!F156&gt;0,Расчёты!F156&lt;=N('Исходные данные'!$B$37)),-AC156,0)</f>
        <v>0</v>
      </c>
      <c r="AE156">
        <f>IF(OR(Расчёты!F156=0,Расчёты!F156&lt;=N('Исходные данные'!$B$37)),0,-(AC156+AD156)*N('Сценарный анализ'!$C$9))</f>
        <v>0</v>
      </c>
      <c r="AF156">
        <f t="shared" si="82"/>
        <v>0</v>
      </c>
      <c r="AG156">
        <f>IF('Исходные данные'!$B$51="Да",AF156*N('Исходные данные'!$B$52),0)</f>
        <v>0</v>
      </c>
      <c r="AH156">
        <f t="shared" si="83"/>
        <v>0</v>
      </c>
      <c r="AI156">
        <f>AF156+(Расчёты!Y156-Расчёты!L156)</f>
        <v>0</v>
      </c>
      <c r="AJ156">
        <f t="shared" si="92"/>
        <v>0</v>
      </c>
      <c r="AK156">
        <f>IF('Исходные данные'!$B$51="Да",-MAX(0,AG156+Расчёты!R156+Расчёты!V156-Расчёты!P156-Расчёты!T156-AJ156),0)</f>
        <v>0</v>
      </c>
      <c r="AL156">
        <f>IF('Исходные данные'!$B$51="Да",MAX(0,AJ156+Расчёты!P156+Расчёты!T156-AG156-Расчёты!R156-Расчёты!V156),0)</f>
        <v>0</v>
      </c>
      <c r="AM156">
        <f>IF('Исходные данные'!$B$53="Выручка",MAX(0,AF156+(Расчёты!Q156-Расчёты!R156)+(Расчёты!U156-Расчёты!V156)),IF('Исходные данные'!$B$53="Прибыль до налога",MAX(0,AF156+(Расчёты!Q156-Расчёты!R156)+(Расчёты!U156-Расчёты!V156)+N('Исходные данные'!$B$54)*((Расчёты!O156+Расчёты!P156)+(Расчёты!S156+Расчёты!T156)+Расчёты!W156+Расчёты!X156)+IF('Исходные данные'!$B$55="Да",Расчёты!AG156,0)-N('Исходные данные'!$B$56)/12),IF('Исходные данные'!$B$53="Пользовательская база",MAX(0,N('Исходные данные'!$B$57)/12),0)))</f>
        <v>0</v>
      </c>
      <c r="AN156">
        <f>IF(D156=1,-AM156*N('Исходные данные'!$B$50),0)</f>
        <v>0</v>
      </c>
      <c r="AO156">
        <f t="shared" si="84"/>
        <v>0</v>
      </c>
      <c r="AP156">
        <f>IF(OR(D156&lt;&gt;1,B156="",'Исходные данные'!$B$91="",N('Исходные данные'!$B$80)&lt;=0,'Исходные данные'!$B$88=""),0,IF(AND(YEAR(B156)=YEAR('Исходные данные'!$B$91),MONTH(B156)=MONTH('Исходные данные'!$B$91)),MAX(0,IF('Исходные данные'!$B$88="Последние 12 месяцев",SUMIFS($AI$2:$AI$194,$B$2:$B$194,"&gt;="&amp;EDATE(B156,-11),$B$2:$B$194,"&lt;="&amp;B156),IF('Исходные данные'!$B$88="Пользовательский NOI",N('Исходные данные'!$B$89),AO156))/N('Исходные данные'!$B$80)*(1+N('Исходные данные'!$B$81))),0))</f>
        <v>0</v>
      </c>
      <c r="AQ156">
        <f>-AP156*N('Исходные данные'!$B$73)</f>
        <v>0</v>
      </c>
      <c r="AR156">
        <f>IF(AP156=0,0,-N('Исходные данные'!$B$87)-IF('Исходные данные'!$B$82="Да",IF('Исходные данные'!$B$84="С выручки",AP156,IF('Исходные данные'!$B$84="С прибыли",MAX(0,AP156+AQ156-IF('Исходные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56">
        <f t="shared" si="85"/>
        <v>0</v>
      </c>
      <c r="AT156">
        <f>IF(D156=1,Расчёты!AZ156+AH156+AK156+AN156+AS156,0)</f>
        <v>0</v>
      </c>
      <c r="AU156" t="str">
        <f t="shared" si="93"/>
        <v/>
      </c>
      <c r="AV156">
        <f>IF(OR(D156=0,'Исходные данные'!$B$9="",'Исходные данные'!$B$90=""),0,AT156/(1+'Исходные данные'!$B$90)^((C156-'Исходные данные'!$B$9)/365))</f>
        <v>0</v>
      </c>
      <c r="AW156">
        <f>IF(D156=1,AH156+Расчёты!O156+Расчёты!Q156+Расчёты!S156+Расчёты!U156+Расчёты!W156+Расчёты!X156+AK156+AN156,0)</f>
        <v>0</v>
      </c>
      <c r="AX156">
        <f>IF(AND(D156=1,AU156&gt;=0,AU155&lt;0,MIN($AU$2:AU156)&lt;0),1,0)</f>
        <v>0</v>
      </c>
      <c r="AY156">
        <f>IF(Расчёты!F156=0,0,IF(Расчёты!G156=1,N('Сценарный анализ'!$D$5),IF(Расчёты!G156=2,N('Сценарный анализ'!$D$6),IF(Расчёты!G156=3,N('Сценарный анализ'!$D$7),N('Сценарный анализ'!$D$7)*(1+N('Сценарный анализ'!$D$8))^(Расчёты!G156-3)))))</f>
        <v>0</v>
      </c>
      <c r="AZ156">
        <f>IF(OR(Расчёты!F156=0,N('Исходные данные'!$B$5)=0,AY156=0),0,N('Исходные данные'!$B$5)*AY156*IF(AND(B156&lt;='Исходные данные'!$B$30,Расчёты!C156&gt;='Исходные данные'!$B$30),(Расчёты!C156-'Исходные данные'!$B$30+1)/DAY(Расчёты!C156),1))</f>
        <v>0</v>
      </c>
      <c r="BA156">
        <f>IF(AND(Расчёты!F156&gt;0,Расчёты!F156&lt;=N('Исходные данные'!$B$37)),-AZ156,0)</f>
        <v>0</v>
      </c>
      <c r="BB156">
        <f>IF(OR(Расчёты!F156=0,Расчёты!F156&lt;=N('Исходные данные'!$B$37)),0,-(AZ156+BA156)*N('Сценарный анализ'!$D$9))</f>
        <v>0</v>
      </c>
      <c r="BC156">
        <f t="shared" si="86"/>
        <v>0</v>
      </c>
      <c r="BD156">
        <f>IF('Исходные данные'!$B$51="Да",BC156*N('Исходные данные'!$B$52),0)</f>
        <v>0</v>
      </c>
      <c r="BE156">
        <f t="shared" si="87"/>
        <v>0</v>
      </c>
      <c r="BF156">
        <f>BC156+(Расчёты!Y156-Расчёты!L156)</f>
        <v>0</v>
      </c>
      <c r="BG156">
        <f t="shared" si="94"/>
        <v>0</v>
      </c>
      <c r="BH156">
        <f>IF('Исходные данные'!$B$51="Да",-MAX(0,BD156+Расчёты!R156+Расчёты!V156-Расчёты!P156-Расчёты!T156-BG156),0)</f>
        <v>0</v>
      </c>
      <c r="BI156">
        <f>IF('Исходные данные'!$B$51="Да",MAX(0,BG156+Расчёты!P156+Расчёты!T156-BD156-Расчёты!R156-Расчёты!V156),0)</f>
        <v>0</v>
      </c>
      <c r="BJ156">
        <f>IF('Исходные данные'!$B$53="Выручка",MAX(0,BC156+(Расчёты!Q156-Расчёты!R156)+(Расчёты!U156-Расчёты!V156)),IF('Исходные данные'!$B$53="Прибыль до налога",MAX(0,BC156+(Расчёты!Q156-Расчёты!R156)+(Расчёты!U156-Расчёты!V156)+N('Исходные данные'!$B$54)*((Расчёты!O156+Расчёты!P156)+(Расчёты!S156+Расчёты!T156)+Расчёты!W156+Расчёты!X156)+IF('Исходные данные'!$B$55="Да",Расчёты!AG156,0)-N('Исходные данные'!$B$56)/12),IF('Исходные данные'!$B$53="Пользовательская база",MAX(0,N('Исходные данные'!$B$57)/12),0)))</f>
        <v>0</v>
      </c>
      <c r="BK156">
        <f>IF(D156=1,-BJ156*N('Исходные данные'!$B$50),0)</f>
        <v>0</v>
      </c>
      <c r="BL156">
        <f t="shared" si="88"/>
        <v>0</v>
      </c>
      <c r="BM156">
        <f>IF(OR(D156&lt;&gt;1,B156="",'Исходные данные'!$B$91="",N('Исходные данные'!$B$80)&lt;=0,'Исходные данные'!$B$88=""),0,IF(AND(YEAR(B156)=YEAR('Исходные данные'!$B$91),MONTH(B156)=MONTH('Исходные данные'!$B$91)),MAX(0,IF('Исходные данные'!$B$88="Последние 12 месяцев",SUMIFS($BF$2:$BF$194,$B$2:$B$194,"&gt;="&amp;EDATE(B156,-11),$B$2:$B$194,"&lt;="&amp;B156),IF('Исходные данные'!$B$88="Пользовательский NOI",N('Исходные данные'!$B$89),BL156))/N('Исходные данные'!$B$80)*(1+N('Исходные данные'!$B$81))),0))</f>
        <v>0</v>
      </c>
      <c r="BN156">
        <f>-BM156*N('Исходные данные'!$B$73)</f>
        <v>0</v>
      </c>
      <c r="BO156">
        <f>IF(BM156=0,0,-N('Исходные данные'!$B$87)-IF('Исходные данные'!$B$82="Да",IF('Исходные данные'!$B$84="С выручки",BM156,IF('Исходные данные'!$B$84="С прибыли",MAX(0,BM156+BN156-IF('Исходные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56">
        <f t="shared" si="89"/>
        <v>0</v>
      </c>
      <c r="BQ156">
        <f>IF(D156=1,Расчёты!AZ156+BE156+BH156+BK156+BP156,0)</f>
        <v>0</v>
      </c>
      <c r="BR156" t="str">
        <f t="shared" si="95"/>
        <v/>
      </c>
      <c r="BS156">
        <f>IF(OR(D156=0,'Исходные данные'!$B$9="",'Исходные данные'!$B$90=""),0,BQ156/(1+'Исходные данные'!$B$90)^((C156-'Исходные данные'!$B$9)/365))</f>
        <v>0</v>
      </c>
      <c r="BT156">
        <f>IF(D156=1,BE156+Расчёты!O156+Расчёты!Q156+Расчёты!S156+Расчёты!U156+Расчёты!W156+Расчёты!X156+BH156+BK156,0)</f>
        <v>0</v>
      </c>
      <c r="BU156">
        <f>IF(AND(D156=1,BR156&gt;=0,BR155&lt;0,MIN($BR$2:BR156)&lt;0),1,0)</f>
        <v>0</v>
      </c>
      <c r="BV156">
        <f>Расчёты!AZ156+K156+N156-P156*N('Исходные данные'!$B$50)</f>
        <v>0</v>
      </c>
      <c r="BW156">
        <f t="shared" si="96"/>
        <v>0</v>
      </c>
      <c r="BX156">
        <f>IF(AND(BW156&gt;=0,BW155&lt;0,MIN($BW$2:BW156)&lt;0),1,0)</f>
        <v>0</v>
      </c>
      <c r="BY156">
        <f>Расчёты!AZ156+AH156+AK156-AM156*N('Исходные данные'!$B$50)</f>
        <v>0</v>
      </c>
      <c r="BZ156">
        <f t="shared" si="97"/>
        <v>0</v>
      </c>
      <c r="CA156">
        <f>IF(AND(BZ156&gt;=0,BZ155&lt;0,MIN($BZ$2:BZ156)&lt;0),1,0)</f>
        <v>0</v>
      </c>
      <c r="CB156">
        <f>Расчёты!AZ156+BE156+BH156-BJ156*N('Исходные данные'!$B$50)</f>
        <v>0</v>
      </c>
      <c r="CC156">
        <f t="shared" si="98"/>
        <v>0</v>
      </c>
      <c r="CD156">
        <f>IF(AND(CC156&gt;=0,CC155&lt;0,MIN($CC$2:CC156)&lt;0),1,0)</f>
        <v>0</v>
      </c>
    </row>
    <row r="157" spans="1:82" x14ac:dyDescent="0.2">
      <c r="A157">
        <f>Расчёты!A157</f>
        <v>156</v>
      </c>
      <c r="B157" t="str">
        <f>Расчёты!B157</f>
        <v/>
      </c>
      <c r="C157" t="str">
        <f>Расчёты!D157</f>
        <v/>
      </c>
      <c r="D157">
        <f>Расчёты!E157</f>
        <v>0</v>
      </c>
      <c r="E157">
        <f>IF(Расчёты!F157=0,0,IF(Расчёты!G157=1,N('Сценарный анализ'!$B$5),IF(Расчёты!G157=2,N('Сценарный анализ'!$B$6),IF(Расчёты!G157=3,N('Сценарный анализ'!$B$7),N('Сценарный анализ'!$B$7)*(1+N('Сценарный анализ'!$B$8))^(Расчёты!G157-3)))))</f>
        <v>0</v>
      </c>
      <c r="F157">
        <f>IF(OR(Расчёты!F157=0,N('Исходные данные'!$B$5)=0,E157=0),0,N('Исходные данные'!$B$5)*E157*IF(AND(B157&lt;='Исходные данные'!$B$30,Расчёты!C157&gt;='Исходные данные'!$B$30),(Расчёты!C157-'Исходные данные'!$B$30+1)/DAY(Расчёты!C157),1))</f>
        <v>0</v>
      </c>
      <c r="G157">
        <f>IF(AND(Расчёты!F157&gt;0,Расчёты!F157&lt;=N('Исходные данные'!$B$37)),-F157,0)</f>
        <v>0</v>
      </c>
      <c r="H157">
        <f>IF(OR(Расчёты!F157=0,Расчёты!F157&lt;=N('Исходные данные'!$B$37)),0,-(F157+G157)*N('Сценарный анализ'!$B$9))</f>
        <v>0</v>
      </c>
      <c r="I157">
        <f t="shared" si="78"/>
        <v>0</v>
      </c>
      <c r="J157">
        <f>IF('Исходные данные'!$B$51="Да",I157*N('Исходные данные'!$B$52),0)</f>
        <v>0</v>
      </c>
      <c r="K157">
        <f t="shared" si="79"/>
        <v>0</v>
      </c>
      <c r="L157">
        <f>I157+(Расчёты!Y157-Расчёты!L157)</f>
        <v>0</v>
      </c>
      <c r="M157">
        <f t="shared" si="90"/>
        <v>0</v>
      </c>
      <c r="N157">
        <f>IF('Исходные данные'!$B$51="Да",-MAX(0,J157+Расчёты!R157+Расчёты!V157-Расчёты!P157-Расчёты!T157-M157),0)</f>
        <v>0</v>
      </c>
      <c r="O157">
        <f>IF('Исходные данные'!$B$51="Да",MAX(0,M157+Расчёты!P157+Расчёты!T157-J157-Расчёты!R157-Расчёты!V157),0)</f>
        <v>0</v>
      </c>
      <c r="P157">
        <f>IF('Исходные данные'!$B$53="Выручка",MAX(0,I157+(Расчёты!Q157-Расчёты!R157)+(Расчёты!U157-Расчёты!V157)),IF('Исходные данные'!$B$53="Прибыль до налога",MAX(0,I157+(Расчёты!Q157-Расчёты!R157)+(Расчёты!U157-Расчёты!V157)+N('Исходные данные'!$B$54)*((Расчёты!O157+Расчёты!P157)+(Расчёты!S157+Расчёты!T157)+Расчёты!W157+Расчёты!X157)+IF('Исходные данные'!$B$55="Да",Расчёты!AG157,0)-N('Исходные данные'!$B$56)/12),IF('Исходные данные'!$B$53="Пользовательская база",MAX(0,N('Исходные данные'!$B$57)/12),0)))</f>
        <v>0</v>
      </c>
      <c r="Q157">
        <f>IF(D157=1,-P157*N('Исходные данные'!$B$50),0)</f>
        <v>0</v>
      </c>
      <c r="R157">
        <f t="shared" si="80"/>
        <v>0</v>
      </c>
      <c r="S157">
        <f>IF(OR(D157&lt;&gt;1,B157="",'Исходные данные'!$B$91="",N('Исходные данные'!$B$80)&lt;=0,'Исходные данные'!$B$88=""),0,IF(AND(YEAR(B157)=YEAR('Исходные данные'!$B$91),MONTH(B157)=MONTH('Исходные данные'!$B$91)),MAX(0,IF('Исходные данные'!$B$88="Последние 12 месяцев",SUMIFS($L$2:$L$194,$B$2:$B$194,"&gt;="&amp;EDATE(B157,-11),$B$2:$B$194,"&lt;="&amp;B157),IF('Исходные данные'!$B$88="Пользовательский NOI",N('Исходные данные'!$B$89),R157))/N('Исходные данные'!$B$80)*(1+N('Исходные данные'!$B$81))),0))</f>
        <v>0</v>
      </c>
      <c r="T157">
        <f>-S157*N('Исходные данные'!$B$73)</f>
        <v>0</v>
      </c>
      <c r="U157">
        <f>IF(S157=0,0,-N('Исходные данные'!$B$87)-IF('Исходные данные'!$B$82="Да",IF('Исходные данные'!$B$84="С выручки",S157,IF('Исходные данные'!$B$84="С прибыли",MAX(0,S157+T157-IF('Исходные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57">
        <f t="shared" si="81"/>
        <v>0</v>
      </c>
      <c r="W157">
        <f>IF(D157=1,Расчёты!AZ157+K157+N157+Q157+V157,0)</f>
        <v>0</v>
      </c>
      <c r="X157" t="str">
        <f t="shared" si="91"/>
        <v/>
      </c>
      <c r="Y157">
        <f>IF(OR(D157=0,'Исходные данные'!$B$9="",'Исходные данные'!$B$90=""),0,W157/(1+'Исходные данные'!$B$90)^((C157-'Исходные данные'!$B$9)/365))</f>
        <v>0</v>
      </c>
      <c r="Z157">
        <f>IF(D157=1,K157+Расчёты!O157+Расчёты!Q157+Расчёты!S157+Расчёты!U157+Расчёты!W157+Расчёты!X157+N157+Q157,0)</f>
        <v>0</v>
      </c>
      <c r="AA157">
        <f>IF(AND(D157=1,X157&gt;=0,X156&lt;0,MIN($X$2:X157)&lt;0),1,0)</f>
        <v>0</v>
      </c>
      <c r="AB157">
        <f>IF(Расчёты!F157=0,0,IF(Расчёты!G157=1,N('Сценарный анализ'!$C$5),IF(Расчёты!G157=2,N('Сценарный анализ'!$C$6),IF(Расчёты!G157=3,N('Сценарный анализ'!$C$7),N('Сценарный анализ'!$C$7)*(1+N('Сценарный анализ'!$C$8))^(Расчёты!G157-3)))))</f>
        <v>0</v>
      </c>
      <c r="AC157">
        <f>IF(OR(Расчёты!F157=0,N('Исходные данные'!$B$5)=0,AB157=0),0,N('Исходные данные'!$B$5)*AB157*IF(AND(B157&lt;='Исходные данные'!$B$30,Расчёты!C157&gt;='Исходные данные'!$B$30),(Расчёты!C157-'Исходные данные'!$B$30+1)/DAY(Расчёты!C157),1))</f>
        <v>0</v>
      </c>
      <c r="AD157">
        <f>IF(AND(Расчёты!F157&gt;0,Расчёты!F157&lt;=N('Исходные данные'!$B$37)),-AC157,0)</f>
        <v>0</v>
      </c>
      <c r="AE157">
        <f>IF(OR(Расчёты!F157=0,Расчёты!F157&lt;=N('Исходные данные'!$B$37)),0,-(AC157+AD157)*N('Сценарный анализ'!$C$9))</f>
        <v>0</v>
      </c>
      <c r="AF157">
        <f t="shared" si="82"/>
        <v>0</v>
      </c>
      <c r="AG157">
        <f>IF('Исходные данные'!$B$51="Да",AF157*N('Исходные данные'!$B$52),0)</f>
        <v>0</v>
      </c>
      <c r="AH157">
        <f t="shared" si="83"/>
        <v>0</v>
      </c>
      <c r="AI157">
        <f>AF157+(Расчёты!Y157-Расчёты!L157)</f>
        <v>0</v>
      </c>
      <c r="AJ157">
        <f t="shared" si="92"/>
        <v>0</v>
      </c>
      <c r="AK157">
        <f>IF('Исходные данные'!$B$51="Да",-MAX(0,AG157+Расчёты!R157+Расчёты!V157-Расчёты!P157-Расчёты!T157-AJ157),0)</f>
        <v>0</v>
      </c>
      <c r="AL157">
        <f>IF('Исходные данные'!$B$51="Да",MAX(0,AJ157+Расчёты!P157+Расчёты!T157-AG157-Расчёты!R157-Расчёты!V157),0)</f>
        <v>0</v>
      </c>
      <c r="AM157">
        <f>IF('Исходные данные'!$B$53="Выручка",MAX(0,AF157+(Расчёты!Q157-Расчёты!R157)+(Расчёты!U157-Расчёты!V157)),IF('Исходные данные'!$B$53="Прибыль до налога",MAX(0,AF157+(Расчёты!Q157-Расчёты!R157)+(Расчёты!U157-Расчёты!V157)+N('Исходные данные'!$B$54)*((Расчёты!O157+Расчёты!P157)+(Расчёты!S157+Расчёты!T157)+Расчёты!W157+Расчёты!X157)+IF('Исходные данные'!$B$55="Да",Расчёты!AG157,0)-N('Исходные данные'!$B$56)/12),IF('Исходные данные'!$B$53="Пользовательская база",MAX(0,N('Исходные данные'!$B$57)/12),0)))</f>
        <v>0</v>
      </c>
      <c r="AN157">
        <f>IF(D157=1,-AM157*N('Исходные данные'!$B$50),0)</f>
        <v>0</v>
      </c>
      <c r="AO157">
        <f t="shared" si="84"/>
        <v>0</v>
      </c>
      <c r="AP157">
        <f>IF(OR(D157&lt;&gt;1,B157="",'Исходные данные'!$B$91="",N('Исходные данные'!$B$80)&lt;=0,'Исходные данные'!$B$88=""),0,IF(AND(YEAR(B157)=YEAR('Исходные данные'!$B$91),MONTH(B157)=MONTH('Исходные данные'!$B$91)),MAX(0,IF('Исходные данные'!$B$88="Последние 12 месяцев",SUMIFS($AI$2:$AI$194,$B$2:$B$194,"&gt;="&amp;EDATE(B157,-11),$B$2:$B$194,"&lt;="&amp;B157),IF('Исходные данные'!$B$88="Пользовательский NOI",N('Исходные данные'!$B$89),AO157))/N('Исходные данные'!$B$80)*(1+N('Исходные данные'!$B$81))),0))</f>
        <v>0</v>
      </c>
      <c r="AQ157">
        <f>-AP157*N('Исходные данные'!$B$73)</f>
        <v>0</v>
      </c>
      <c r="AR157">
        <f>IF(AP157=0,0,-N('Исходные данные'!$B$87)-IF('Исходные данные'!$B$82="Да",IF('Исходные данные'!$B$84="С выручки",AP157,IF('Исходные данные'!$B$84="С прибыли",MAX(0,AP157+AQ157-IF('Исходные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57">
        <f t="shared" si="85"/>
        <v>0</v>
      </c>
      <c r="AT157">
        <f>IF(D157=1,Расчёты!AZ157+AH157+AK157+AN157+AS157,0)</f>
        <v>0</v>
      </c>
      <c r="AU157" t="str">
        <f t="shared" si="93"/>
        <v/>
      </c>
      <c r="AV157">
        <f>IF(OR(D157=0,'Исходные данные'!$B$9="",'Исходные данные'!$B$90=""),0,AT157/(1+'Исходные данные'!$B$90)^((C157-'Исходные данные'!$B$9)/365))</f>
        <v>0</v>
      </c>
      <c r="AW157">
        <f>IF(D157=1,AH157+Расчёты!O157+Расчёты!Q157+Расчёты!S157+Расчёты!U157+Расчёты!W157+Расчёты!X157+AK157+AN157,0)</f>
        <v>0</v>
      </c>
      <c r="AX157">
        <f>IF(AND(D157=1,AU157&gt;=0,AU156&lt;0,MIN($AU$2:AU157)&lt;0),1,0)</f>
        <v>0</v>
      </c>
      <c r="AY157">
        <f>IF(Расчёты!F157=0,0,IF(Расчёты!G157=1,N('Сценарный анализ'!$D$5),IF(Расчёты!G157=2,N('Сценарный анализ'!$D$6),IF(Расчёты!G157=3,N('Сценарный анализ'!$D$7),N('Сценарный анализ'!$D$7)*(1+N('Сценарный анализ'!$D$8))^(Расчёты!G157-3)))))</f>
        <v>0</v>
      </c>
      <c r="AZ157">
        <f>IF(OR(Расчёты!F157=0,N('Исходные данные'!$B$5)=0,AY157=0),0,N('Исходные данные'!$B$5)*AY157*IF(AND(B157&lt;='Исходные данные'!$B$30,Расчёты!C157&gt;='Исходные данные'!$B$30),(Расчёты!C157-'Исходные данные'!$B$30+1)/DAY(Расчёты!C157),1))</f>
        <v>0</v>
      </c>
      <c r="BA157">
        <f>IF(AND(Расчёты!F157&gt;0,Расчёты!F157&lt;=N('Исходные данные'!$B$37)),-AZ157,0)</f>
        <v>0</v>
      </c>
      <c r="BB157">
        <f>IF(OR(Расчёты!F157=0,Расчёты!F157&lt;=N('Исходные данные'!$B$37)),0,-(AZ157+BA157)*N('Сценарный анализ'!$D$9))</f>
        <v>0</v>
      </c>
      <c r="BC157">
        <f t="shared" si="86"/>
        <v>0</v>
      </c>
      <c r="BD157">
        <f>IF('Исходные данные'!$B$51="Да",BC157*N('Исходные данные'!$B$52),0)</f>
        <v>0</v>
      </c>
      <c r="BE157">
        <f t="shared" si="87"/>
        <v>0</v>
      </c>
      <c r="BF157">
        <f>BC157+(Расчёты!Y157-Расчёты!L157)</f>
        <v>0</v>
      </c>
      <c r="BG157">
        <f t="shared" si="94"/>
        <v>0</v>
      </c>
      <c r="BH157">
        <f>IF('Исходные данные'!$B$51="Да",-MAX(0,BD157+Расчёты!R157+Расчёты!V157-Расчёты!P157-Расчёты!T157-BG157),0)</f>
        <v>0</v>
      </c>
      <c r="BI157">
        <f>IF('Исходные данные'!$B$51="Да",MAX(0,BG157+Расчёты!P157+Расчёты!T157-BD157-Расчёты!R157-Расчёты!V157),0)</f>
        <v>0</v>
      </c>
      <c r="BJ157">
        <f>IF('Исходные данные'!$B$53="Выручка",MAX(0,BC157+(Расчёты!Q157-Расчёты!R157)+(Расчёты!U157-Расчёты!V157)),IF('Исходные данные'!$B$53="Прибыль до налога",MAX(0,BC157+(Расчёты!Q157-Расчёты!R157)+(Расчёты!U157-Расчёты!V157)+N('Исходные данные'!$B$54)*((Расчёты!O157+Расчёты!P157)+(Расчёты!S157+Расчёты!T157)+Расчёты!W157+Расчёты!X157)+IF('Исходные данные'!$B$55="Да",Расчёты!AG157,0)-N('Исходные данные'!$B$56)/12),IF('Исходные данные'!$B$53="Пользовательская база",MAX(0,N('Исходные данные'!$B$57)/12),0)))</f>
        <v>0</v>
      </c>
      <c r="BK157">
        <f>IF(D157=1,-BJ157*N('Исходные данные'!$B$50),0)</f>
        <v>0</v>
      </c>
      <c r="BL157">
        <f t="shared" si="88"/>
        <v>0</v>
      </c>
      <c r="BM157">
        <f>IF(OR(D157&lt;&gt;1,B157="",'Исходные данные'!$B$91="",N('Исходные данные'!$B$80)&lt;=0,'Исходные данные'!$B$88=""),0,IF(AND(YEAR(B157)=YEAR('Исходные данные'!$B$91),MONTH(B157)=MONTH('Исходные данные'!$B$91)),MAX(0,IF('Исходные данные'!$B$88="Последние 12 месяцев",SUMIFS($BF$2:$BF$194,$B$2:$B$194,"&gt;="&amp;EDATE(B157,-11),$B$2:$B$194,"&lt;="&amp;B157),IF('Исходные данные'!$B$88="Пользовательский NOI",N('Исходные данные'!$B$89),BL157))/N('Исходные данные'!$B$80)*(1+N('Исходные данные'!$B$81))),0))</f>
        <v>0</v>
      </c>
      <c r="BN157">
        <f>-BM157*N('Исходные данные'!$B$73)</f>
        <v>0</v>
      </c>
      <c r="BO157">
        <f>IF(BM157=0,0,-N('Исходные данные'!$B$87)-IF('Исходные данные'!$B$82="Да",IF('Исходные данные'!$B$84="С выручки",BM157,IF('Исходные данные'!$B$84="С прибыли",MAX(0,BM157+BN157-IF('Исходные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57">
        <f t="shared" si="89"/>
        <v>0</v>
      </c>
      <c r="BQ157">
        <f>IF(D157=1,Расчёты!AZ157+BE157+BH157+BK157+BP157,0)</f>
        <v>0</v>
      </c>
      <c r="BR157" t="str">
        <f t="shared" si="95"/>
        <v/>
      </c>
      <c r="BS157">
        <f>IF(OR(D157=0,'Исходные данные'!$B$9="",'Исходные данные'!$B$90=""),0,BQ157/(1+'Исходные данные'!$B$90)^((C157-'Исходные данные'!$B$9)/365))</f>
        <v>0</v>
      </c>
      <c r="BT157">
        <f>IF(D157=1,BE157+Расчёты!O157+Расчёты!Q157+Расчёты!S157+Расчёты!U157+Расчёты!W157+Расчёты!X157+BH157+BK157,0)</f>
        <v>0</v>
      </c>
      <c r="BU157">
        <f>IF(AND(D157=1,BR157&gt;=0,BR156&lt;0,MIN($BR$2:BR157)&lt;0),1,0)</f>
        <v>0</v>
      </c>
      <c r="BV157">
        <f>Расчёты!AZ157+K157+N157-P157*N('Исходные данные'!$B$50)</f>
        <v>0</v>
      </c>
      <c r="BW157">
        <f t="shared" si="96"/>
        <v>0</v>
      </c>
      <c r="BX157">
        <f>IF(AND(BW157&gt;=0,BW156&lt;0,MIN($BW$2:BW157)&lt;0),1,0)</f>
        <v>0</v>
      </c>
      <c r="BY157">
        <f>Расчёты!AZ157+AH157+AK157-AM157*N('Исходные данные'!$B$50)</f>
        <v>0</v>
      </c>
      <c r="BZ157">
        <f t="shared" si="97"/>
        <v>0</v>
      </c>
      <c r="CA157">
        <f>IF(AND(BZ157&gt;=0,BZ156&lt;0,MIN($BZ$2:BZ157)&lt;0),1,0)</f>
        <v>0</v>
      </c>
      <c r="CB157">
        <f>Расчёты!AZ157+BE157+BH157-BJ157*N('Исходные данные'!$B$50)</f>
        <v>0</v>
      </c>
      <c r="CC157">
        <f t="shared" si="98"/>
        <v>0</v>
      </c>
      <c r="CD157">
        <f>IF(AND(CC157&gt;=0,CC156&lt;0,MIN($CC$2:CC157)&lt;0),1,0)</f>
        <v>0</v>
      </c>
    </row>
    <row r="158" spans="1:82" x14ac:dyDescent="0.2">
      <c r="A158">
        <f>Расчёты!A158</f>
        <v>157</v>
      </c>
      <c r="B158" t="str">
        <f>Расчёты!B158</f>
        <v/>
      </c>
      <c r="C158" t="str">
        <f>Расчёты!D158</f>
        <v/>
      </c>
      <c r="D158">
        <f>Расчёты!E158</f>
        <v>0</v>
      </c>
      <c r="E158">
        <f>IF(Расчёты!F158=0,0,IF(Расчёты!G158=1,N('Сценарный анализ'!$B$5),IF(Расчёты!G158=2,N('Сценарный анализ'!$B$6),IF(Расчёты!G158=3,N('Сценарный анализ'!$B$7),N('Сценарный анализ'!$B$7)*(1+N('Сценарный анализ'!$B$8))^(Расчёты!G158-3)))))</f>
        <v>0</v>
      </c>
      <c r="F158">
        <f>IF(OR(Расчёты!F158=0,N('Исходные данные'!$B$5)=0,E158=0),0,N('Исходные данные'!$B$5)*E158*IF(AND(B158&lt;='Исходные данные'!$B$30,Расчёты!C158&gt;='Исходные данные'!$B$30),(Расчёты!C158-'Исходные данные'!$B$30+1)/DAY(Расчёты!C158),1))</f>
        <v>0</v>
      </c>
      <c r="G158">
        <f>IF(AND(Расчёты!F158&gt;0,Расчёты!F158&lt;=N('Исходные данные'!$B$37)),-F158,0)</f>
        <v>0</v>
      </c>
      <c r="H158">
        <f>IF(OR(Расчёты!F158=0,Расчёты!F158&lt;=N('Исходные данные'!$B$37)),0,-(F158+G158)*N('Сценарный анализ'!$B$9))</f>
        <v>0</v>
      </c>
      <c r="I158">
        <f t="shared" si="78"/>
        <v>0</v>
      </c>
      <c r="J158">
        <f>IF('Исходные данные'!$B$51="Да",I158*N('Исходные данные'!$B$52),0)</f>
        <v>0</v>
      </c>
      <c r="K158">
        <f t="shared" si="79"/>
        <v>0</v>
      </c>
      <c r="L158">
        <f>I158+(Расчёты!Y158-Расчёты!L158)</f>
        <v>0</v>
      </c>
      <c r="M158">
        <f t="shared" si="90"/>
        <v>0</v>
      </c>
      <c r="N158">
        <f>IF('Исходные данные'!$B$51="Да",-MAX(0,J158+Расчёты!R158+Расчёты!V158-Расчёты!P158-Расчёты!T158-M158),0)</f>
        <v>0</v>
      </c>
      <c r="O158">
        <f>IF('Исходные данные'!$B$51="Да",MAX(0,M158+Расчёты!P158+Расчёты!T158-J158-Расчёты!R158-Расчёты!V158),0)</f>
        <v>0</v>
      </c>
      <c r="P158">
        <f>IF('Исходные данные'!$B$53="Выручка",MAX(0,I158+(Расчёты!Q158-Расчёты!R158)+(Расчёты!U158-Расчёты!V158)),IF('Исходные данные'!$B$53="Прибыль до налога",MAX(0,I158+(Расчёты!Q158-Расчёты!R158)+(Расчёты!U158-Расчёты!V158)+N('Исходные данные'!$B$54)*((Расчёты!O158+Расчёты!P158)+(Расчёты!S158+Расчёты!T158)+Расчёты!W158+Расчёты!X158)+IF('Исходные данные'!$B$55="Да",Расчёты!AG158,0)-N('Исходные данные'!$B$56)/12),IF('Исходные данные'!$B$53="Пользовательская база",MAX(0,N('Исходные данные'!$B$57)/12),0)))</f>
        <v>0</v>
      </c>
      <c r="Q158">
        <f>IF(D158=1,-P158*N('Исходные данные'!$B$50),0)</f>
        <v>0</v>
      </c>
      <c r="R158">
        <f t="shared" si="80"/>
        <v>0</v>
      </c>
      <c r="S158">
        <f>IF(OR(D158&lt;&gt;1,B158="",'Исходные данные'!$B$91="",N('Исходные данные'!$B$80)&lt;=0,'Исходные данные'!$B$88=""),0,IF(AND(YEAR(B158)=YEAR('Исходные данные'!$B$91),MONTH(B158)=MONTH('Исходные данные'!$B$91)),MAX(0,IF('Исходные данные'!$B$88="Последние 12 месяцев",SUMIFS($L$2:$L$194,$B$2:$B$194,"&gt;="&amp;EDATE(B158,-11),$B$2:$B$194,"&lt;="&amp;B158),IF('Исходные данные'!$B$88="Пользовательский NOI",N('Исходные данные'!$B$89),R158))/N('Исходные данные'!$B$80)*(1+N('Исходные данные'!$B$81))),0))</f>
        <v>0</v>
      </c>
      <c r="T158">
        <f>-S158*N('Исходные данные'!$B$73)</f>
        <v>0</v>
      </c>
      <c r="U158">
        <f>IF(S158=0,0,-N('Исходные данные'!$B$87)-IF('Исходные данные'!$B$82="Да",IF('Исходные данные'!$B$84="С выручки",S158,IF('Исходные данные'!$B$84="С прибыли",MAX(0,S158+T158-IF('Исходные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58">
        <f t="shared" si="81"/>
        <v>0</v>
      </c>
      <c r="W158">
        <f>IF(D158=1,Расчёты!AZ158+K158+N158+Q158+V158,0)</f>
        <v>0</v>
      </c>
      <c r="X158" t="str">
        <f t="shared" si="91"/>
        <v/>
      </c>
      <c r="Y158">
        <f>IF(OR(D158=0,'Исходные данные'!$B$9="",'Исходные данные'!$B$90=""),0,W158/(1+'Исходные данные'!$B$90)^((C158-'Исходные данные'!$B$9)/365))</f>
        <v>0</v>
      </c>
      <c r="Z158">
        <f>IF(D158=1,K158+Расчёты!O158+Расчёты!Q158+Расчёты!S158+Расчёты!U158+Расчёты!W158+Расчёты!X158+N158+Q158,0)</f>
        <v>0</v>
      </c>
      <c r="AA158">
        <f>IF(AND(D158=1,X158&gt;=0,X157&lt;0,MIN($X$2:X158)&lt;0),1,0)</f>
        <v>0</v>
      </c>
      <c r="AB158">
        <f>IF(Расчёты!F158=0,0,IF(Расчёты!G158=1,N('Сценарный анализ'!$C$5),IF(Расчёты!G158=2,N('Сценарный анализ'!$C$6),IF(Расчёты!G158=3,N('Сценарный анализ'!$C$7),N('Сценарный анализ'!$C$7)*(1+N('Сценарный анализ'!$C$8))^(Расчёты!G158-3)))))</f>
        <v>0</v>
      </c>
      <c r="AC158">
        <f>IF(OR(Расчёты!F158=0,N('Исходные данные'!$B$5)=0,AB158=0),0,N('Исходные данные'!$B$5)*AB158*IF(AND(B158&lt;='Исходные данные'!$B$30,Расчёты!C158&gt;='Исходные данные'!$B$30),(Расчёты!C158-'Исходные данные'!$B$30+1)/DAY(Расчёты!C158),1))</f>
        <v>0</v>
      </c>
      <c r="AD158">
        <f>IF(AND(Расчёты!F158&gt;0,Расчёты!F158&lt;=N('Исходные данные'!$B$37)),-AC158,0)</f>
        <v>0</v>
      </c>
      <c r="AE158">
        <f>IF(OR(Расчёты!F158=0,Расчёты!F158&lt;=N('Исходные данные'!$B$37)),0,-(AC158+AD158)*N('Сценарный анализ'!$C$9))</f>
        <v>0</v>
      </c>
      <c r="AF158">
        <f t="shared" si="82"/>
        <v>0</v>
      </c>
      <c r="AG158">
        <f>IF('Исходные данные'!$B$51="Да",AF158*N('Исходные данные'!$B$52),0)</f>
        <v>0</v>
      </c>
      <c r="AH158">
        <f t="shared" si="83"/>
        <v>0</v>
      </c>
      <c r="AI158">
        <f>AF158+(Расчёты!Y158-Расчёты!L158)</f>
        <v>0</v>
      </c>
      <c r="AJ158">
        <f t="shared" si="92"/>
        <v>0</v>
      </c>
      <c r="AK158">
        <f>IF('Исходные данные'!$B$51="Да",-MAX(0,AG158+Расчёты!R158+Расчёты!V158-Расчёты!P158-Расчёты!T158-AJ158),0)</f>
        <v>0</v>
      </c>
      <c r="AL158">
        <f>IF('Исходные данные'!$B$51="Да",MAX(0,AJ158+Расчёты!P158+Расчёты!T158-AG158-Расчёты!R158-Расчёты!V158),0)</f>
        <v>0</v>
      </c>
      <c r="AM158">
        <f>IF('Исходные данные'!$B$53="Выручка",MAX(0,AF158+(Расчёты!Q158-Расчёты!R158)+(Расчёты!U158-Расчёты!V158)),IF('Исходные данные'!$B$53="Прибыль до налога",MAX(0,AF158+(Расчёты!Q158-Расчёты!R158)+(Расчёты!U158-Расчёты!V158)+N('Исходные данные'!$B$54)*((Расчёты!O158+Расчёты!P158)+(Расчёты!S158+Расчёты!T158)+Расчёты!W158+Расчёты!X158)+IF('Исходные данные'!$B$55="Да",Расчёты!AG158,0)-N('Исходные данные'!$B$56)/12),IF('Исходные данные'!$B$53="Пользовательская база",MAX(0,N('Исходные данные'!$B$57)/12),0)))</f>
        <v>0</v>
      </c>
      <c r="AN158">
        <f>IF(D158=1,-AM158*N('Исходные данные'!$B$50),0)</f>
        <v>0</v>
      </c>
      <c r="AO158">
        <f t="shared" si="84"/>
        <v>0</v>
      </c>
      <c r="AP158">
        <f>IF(OR(D158&lt;&gt;1,B158="",'Исходные данные'!$B$91="",N('Исходные данные'!$B$80)&lt;=0,'Исходные данные'!$B$88=""),0,IF(AND(YEAR(B158)=YEAR('Исходные данные'!$B$91),MONTH(B158)=MONTH('Исходные данные'!$B$91)),MAX(0,IF('Исходные данные'!$B$88="Последние 12 месяцев",SUMIFS($AI$2:$AI$194,$B$2:$B$194,"&gt;="&amp;EDATE(B158,-11),$B$2:$B$194,"&lt;="&amp;B158),IF('Исходные данные'!$B$88="Пользовательский NOI",N('Исходные данные'!$B$89),AO158))/N('Исходные данные'!$B$80)*(1+N('Исходные данные'!$B$81))),0))</f>
        <v>0</v>
      </c>
      <c r="AQ158">
        <f>-AP158*N('Исходные данные'!$B$73)</f>
        <v>0</v>
      </c>
      <c r="AR158">
        <f>IF(AP158=0,0,-N('Исходные данные'!$B$87)-IF('Исходные данные'!$B$82="Да",IF('Исходные данные'!$B$84="С выручки",AP158,IF('Исходные данные'!$B$84="С прибыли",MAX(0,AP158+AQ158-IF('Исходные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58">
        <f t="shared" si="85"/>
        <v>0</v>
      </c>
      <c r="AT158">
        <f>IF(D158=1,Расчёты!AZ158+AH158+AK158+AN158+AS158,0)</f>
        <v>0</v>
      </c>
      <c r="AU158" t="str">
        <f t="shared" si="93"/>
        <v/>
      </c>
      <c r="AV158">
        <f>IF(OR(D158=0,'Исходные данные'!$B$9="",'Исходные данные'!$B$90=""),0,AT158/(1+'Исходные данные'!$B$90)^((C158-'Исходные данные'!$B$9)/365))</f>
        <v>0</v>
      </c>
      <c r="AW158">
        <f>IF(D158=1,AH158+Расчёты!O158+Расчёты!Q158+Расчёты!S158+Расчёты!U158+Расчёты!W158+Расчёты!X158+AK158+AN158,0)</f>
        <v>0</v>
      </c>
      <c r="AX158">
        <f>IF(AND(D158=1,AU158&gt;=0,AU157&lt;0,MIN($AU$2:AU158)&lt;0),1,0)</f>
        <v>0</v>
      </c>
      <c r="AY158">
        <f>IF(Расчёты!F158=0,0,IF(Расчёты!G158=1,N('Сценарный анализ'!$D$5),IF(Расчёты!G158=2,N('Сценарный анализ'!$D$6),IF(Расчёты!G158=3,N('Сценарный анализ'!$D$7),N('Сценарный анализ'!$D$7)*(1+N('Сценарный анализ'!$D$8))^(Расчёты!G158-3)))))</f>
        <v>0</v>
      </c>
      <c r="AZ158">
        <f>IF(OR(Расчёты!F158=0,N('Исходные данные'!$B$5)=0,AY158=0),0,N('Исходные данные'!$B$5)*AY158*IF(AND(B158&lt;='Исходные данные'!$B$30,Расчёты!C158&gt;='Исходные данные'!$B$30),(Расчёты!C158-'Исходные данные'!$B$30+1)/DAY(Расчёты!C158),1))</f>
        <v>0</v>
      </c>
      <c r="BA158">
        <f>IF(AND(Расчёты!F158&gt;0,Расчёты!F158&lt;=N('Исходные данные'!$B$37)),-AZ158,0)</f>
        <v>0</v>
      </c>
      <c r="BB158">
        <f>IF(OR(Расчёты!F158=0,Расчёты!F158&lt;=N('Исходные данные'!$B$37)),0,-(AZ158+BA158)*N('Сценарный анализ'!$D$9))</f>
        <v>0</v>
      </c>
      <c r="BC158">
        <f t="shared" si="86"/>
        <v>0</v>
      </c>
      <c r="BD158">
        <f>IF('Исходные данные'!$B$51="Да",BC158*N('Исходные данные'!$B$52),0)</f>
        <v>0</v>
      </c>
      <c r="BE158">
        <f t="shared" si="87"/>
        <v>0</v>
      </c>
      <c r="BF158">
        <f>BC158+(Расчёты!Y158-Расчёты!L158)</f>
        <v>0</v>
      </c>
      <c r="BG158">
        <f t="shared" si="94"/>
        <v>0</v>
      </c>
      <c r="BH158">
        <f>IF('Исходные данные'!$B$51="Да",-MAX(0,BD158+Расчёты!R158+Расчёты!V158-Расчёты!P158-Расчёты!T158-BG158),0)</f>
        <v>0</v>
      </c>
      <c r="BI158">
        <f>IF('Исходные данные'!$B$51="Да",MAX(0,BG158+Расчёты!P158+Расчёты!T158-BD158-Расчёты!R158-Расчёты!V158),0)</f>
        <v>0</v>
      </c>
      <c r="BJ158">
        <f>IF('Исходные данные'!$B$53="Выручка",MAX(0,BC158+(Расчёты!Q158-Расчёты!R158)+(Расчёты!U158-Расчёты!V158)),IF('Исходные данные'!$B$53="Прибыль до налога",MAX(0,BC158+(Расчёты!Q158-Расчёты!R158)+(Расчёты!U158-Расчёты!V158)+N('Исходные данные'!$B$54)*((Расчёты!O158+Расчёты!P158)+(Расчёты!S158+Расчёты!T158)+Расчёты!W158+Расчёты!X158)+IF('Исходные данные'!$B$55="Да",Расчёты!AG158,0)-N('Исходные данные'!$B$56)/12),IF('Исходные данные'!$B$53="Пользовательская база",MAX(0,N('Исходные данные'!$B$57)/12),0)))</f>
        <v>0</v>
      </c>
      <c r="BK158">
        <f>IF(D158=1,-BJ158*N('Исходные данные'!$B$50),0)</f>
        <v>0</v>
      </c>
      <c r="BL158">
        <f t="shared" si="88"/>
        <v>0</v>
      </c>
      <c r="BM158">
        <f>IF(OR(D158&lt;&gt;1,B158="",'Исходные данные'!$B$91="",N('Исходные данные'!$B$80)&lt;=0,'Исходные данные'!$B$88=""),0,IF(AND(YEAR(B158)=YEAR('Исходные данные'!$B$91),MONTH(B158)=MONTH('Исходные данные'!$B$91)),MAX(0,IF('Исходные данные'!$B$88="Последние 12 месяцев",SUMIFS($BF$2:$BF$194,$B$2:$B$194,"&gt;="&amp;EDATE(B158,-11),$B$2:$B$194,"&lt;="&amp;B158),IF('Исходные данные'!$B$88="Пользовательский NOI",N('Исходные данные'!$B$89),BL158))/N('Исходные данные'!$B$80)*(1+N('Исходные данные'!$B$81))),0))</f>
        <v>0</v>
      </c>
      <c r="BN158">
        <f>-BM158*N('Исходные данные'!$B$73)</f>
        <v>0</v>
      </c>
      <c r="BO158">
        <f>IF(BM158=0,0,-N('Исходные данные'!$B$87)-IF('Исходные данные'!$B$82="Да",IF('Исходные данные'!$B$84="С выручки",BM158,IF('Исходные данные'!$B$84="С прибыли",MAX(0,BM158+BN158-IF('Исходные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58">
        <f t="shared" si="89"/>
        <v>0</v>
      </c>
      <c r="BQ158">
        <f>IF(D158=1,Расчёты!AZ158+BE158+BH158+BK158+BP158,0)</f>
        <v>0</v>
      </c>
      <c r="BR158" t="str">
        <f t="shared" si="95"/>
        <v/>
      </c>
      <c r="BS158">
        <f>IF(OR(D158=0,'Исходные данные'!$B$9="",'Исходные данные'!$B$90=""),0,BQ158/(1+'Исходные данные'!$B$90)^((C158-'Исходные данные'!$B$9)/365))</f>
        <v>0</v>
      </c>
      <c r="BT158">
        <f>IF(D158=1,BE158+Расчёты!O158+Расчёты!Q158+Расчёты!S158+Расчёты!U158+Расчёты!W158+Расчёты!X158+BH158+BK158,0)</f>
        <v>0</v>
      </c>
      <c r="BU158">
        <f>IF(AND(D158=1,BR158&gt;=0,BR157&lt;0,MIN($BR$2:BR158)&lt;0),1,0)</f>
        <v>0</v>
      </c>
      <c r="BV158">
        <f>Расчёты!AZ158+K158+N158-P158*N('Исходные данные'!$B$50)</f>
        <v>0</v>
      </c>
      <c r="BW158">
        <f t="shared" si="96"/>
        <v>0</v>
      </c>
      <c r="BX158">
        <f>IF(AND(BW158&gt;=0,BW157&lt;0,MIN($BW$2:BW158)&lt;0),1,0)</f>
        <v>0</v>
      </c>
      <c r="BY158">
        <f>Расчёты!AZ158+AH158+AK158-AM158*N('Исходные данные'!$B$50)</f>
        <v>0</v>
      </c>
      <c r="BZ158">
        <f t="shared" si="97"/>
        <v>0</v>
      </c>
      <c r="CA158">
        <f>IF(AND(BZ158&gt;=0,BZ157&lt;0,MIN($BZ$2:BZ158)&lt;0),1,0)</f>
        <v>0</v>
      </c>
      <c r="CB158">
        <f>Расчёты!AZ158+BE158+BH158-BJ158*N('Исходные данные'!$B$50)</f>
        <v>0</v>
      </c>
      <c r="CC158">
        <f t="shared" si="98"/>
        <v>0</v>
      </c>
      <c r="CD158">
        <f>IF(AND(CC158&gt;=0,CC157&lt;0,MIN($CC$2:CC158)&lt;0),1,0)</f>
        <v>0</v>
      </c>
    </row>
    <row r="159" spans="1:82" x14ac:dyDescent="0.2">
      <c r="A159">
        <f>Расчёты!A159</f>
        <v>158</v>
      </c>
      <c r="B159" t="str">
        <f>Расчёты!B159</f>
        <v/>
      </c>
      <c r="C159" t="str">
        <f>Расчёты!D159</f>
        <v/>
      </c>
      <c r="D159">
        <f>Расчёты!E159</f>
        <v>0</v>
      </c>
      <c r="E159">
        <f>IF(Расчёты!F159=0,0,IF(Расчёты!G159=1,N('Сценарный анализ'!$B$5),IF(Расчёты!G159=2,N('Сценарный анализ'!$B$6),IF(Расчёты!G159=3,N('Сценарный анализ'!$B$7),N('Сценарный анализ'!$B$7)*(1+N('Сценарный анализ'!$B$8))^(Расчёты!G159-3)))))</f>
        <v>0</v>
      </c>
      <c r="F159">
        <f>IF(OR(Расчёты!F159=0,N('Исходные данные'!$B$5)=0,E159=0),0,N('Исходные данные'!$B$5)*E159*IF(AND(B159&lt;='Исходные данные'!$B$30,Расчёты!C159&gt;='Исходные данные'!$B$30),(Расчёты!C159-'Исходные данные'!$B$30+1)/DAY(Расчёты!C159),1))</f>
        <v>0</v>
      </c>
      <c r="G159">
        <f>IF(AND(Расчёты!F159&gt;0,Расчёты!F159&lt;=N('Исходные данные'!$B$37)),-F159,0)</f>
        <v>0</v>
      </c>
      <c r="H159">
        <f>IF(OR(Расчёты!F159=0,Расчёты!F159&lt;=N('Исходные данные'!$B$37)),0,-(F159+G159)*N('Сценарный анализ'!$B$9))</f>
        <v>0</v>
      </c>
      <c r="I159">
        <f t="shared" si="78"/>
        <v>0</v>
      </c>
      <c r="J159">
        <f>IF('Исходные данные'!$B$51="Да",I159*N('Исходные данные'!$B$52),0)</f>
        <v>0</v>
      </c>
      <c r="K159">
        <f t="shared" si="79"/>
        <v>0</v>
      </c>
      <c r="L159">
        <f>I159+(Расчёты!Y159-Расчёты!L159)</f>
        <v>0</v>
      </c>
      <c r="M159">
        <f t="shared" si="90"/>
        <v>0</v>
      </c>
      <c r="N159">
        <f>IF('Исходные данные'!$B$51="Да",-MAX(0,J159+Расчёты!R159+Расчёты!V159-Расчёты!P159-Расчёты!T159-M159),0)</f>
        <v>0</v>
      </c>
      <c r="O159">
        <f>IF('Исходные данные'!$B$51="Да",MAX(0,M159+Расчёты!P159+Расчёты!T159-J159-Расчёты!R159-Расчёты!V159),0)</f>
        <v>0</v>
      </c>
      <c r="P159">
        <f>IF('Исходные данные'!$B$53="Выручка",MAX(0,I159+(Расчёты!Q159-Расчёты!R159)+(Расчёты!U159-Расчёты!V159)),IF('Исходные данные'!$B$53="Прибыль до налога",MAX(0,I159+(Расчёты!Q159-Расчёты!R159)+(Расчёты!U159-Расчёты!V159)+N('Исходные данные'!$B$54)*((Расчёты!O159+Расчёты!P159)+(Расчёты!S159+Расчёты!T159)+Расчёты!W159+Расчёты!X159)+IF('Исходные данные'!$B$55="Да",Расчёты!AG159,0)-N('Исходные данные'!$B$56)/12),IF('Исходные данные'!$B$53="Пользовательская база",MAX(0,N('Исходные данные'!$B$57)/12),0)))</f>
        <v>0</v>
      </c>
      <c r="Q159">
        <f>IF(D159=1,-P159*N('Исходные данные'!$B$50),0)</f>
        <v>0</v>
      </c>
      <c r="R159">
        <f t="shared" si="80"/>
        <v>0</v>
      </c>
      <c r="S159">
        <f>IF(OR(D159&lt;&gt;1,B159="",'Исходные данные'!$B$91="",N('Исходные данные'!$B$80)&lt;=0,'Исходные данные'!$B$88=""),0,IF(AND(YEAR(B159)=YEAR('Исходные данные'!$B$91),MONTH(B159)=MONTH('Исходные данные'!$B$91)),MAX(0,IF('Исходные данные'!$B$88="Последние 12 месяцев",SUMIFS($L$2:$L$194,$B$2:$B$194,"&gt;="&amp;EDATE(B159,-11),$B$2:$B$194,"&lt;="&amp;B159),IF('Исходные данные'!$B$88="Пользовательский NOI",N('Исходные данные'!$B$89),R159))/N('Исходные данные'!$B$80)*(1+N('Исходные данные'!$B$81))),0))</f>
        <v>0</v>
      </c>
      <c r="T159">
        <f>-S159*N('Исходные данные'!$B$73)</f>
        <v>0</v>
      </c>
      <c r="U159">
        <f>IF(S159=0,0,-N('Исходные данные'!$B$87)-IF('Исходные данные'!$B$82="Да",IF('Исходные данные'!$B$84="С выручки",S159,IF('Исходные данные'!$B$84="С прибыли",MAX(0,S159+T159-IF('Исходные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59">
        <f t="shared" si="81"/>
        <v>0</v>
      </c>
      <c r="W159">
        <f>IF(D159=1,Расчёты!AZ159+K159+N159+Q159+V159,0)</f>
        <v>0</v>
      </c>
      <c r="X159" t="str">
        <f t="shared" si="91"/>
        <v/>
      </c>
      <c r="Y159">
        <f>IF(OR(D159=0,'Исходные данные'!$B$9="",'Исходные данные'!$B$90=""),0,W159/(1+'Исходные данные'!$B$90)^((C159-'Исходные данные'!$B$9)/365))</f>
        <v>0</v>
      </c>
      <c r="Z159">
        <f>IF(D159=1,K159+Расчёты!O159+Расчёты!Q159+Расчёты!S159+Расчёты!U159+Расчёты!W159+Расчёты!X159+N159+Q159,0)</f>
        <v>0</v>
      </c>
      <c r="AA159">
        <f>IF(AND(D159=1,X159&gt;=0,X158&lt;0,MIN($X$2:X159)&lt;0),1,0)</f>
        <v>0</v>
      </c>
      <c r="AB159">
        <f>IF(Расчёты!F159=0,0,IF(Расчёты!G159=1,N('Сценарный анализ'!$C$5),IF(Расчёты!G159=2,N('Сценарный анализ'!$C$6),IF(Расчёты!G159=3,N('Сценарный анализ'!$C$7),N('Сценарный анализ'!$C$7)*(1+N('Сценарный анализ'!$C$8))^(Расчёты!G159-3)))))</f>
        <v>0</v>
      </c>
      <c r="AC159">
        <f>IF(OR(Расчёты!F159=0,N('Исходные данные'!$B$5)=0,AB159=0),0,N('Исходные данные'!$B$5)*AB159*IF(AND(B159&lt;='Исходные данные'!$B$30,Расчёты!C159&gt;='Исходные данные'!$B$30),(Расчёты!C159-'Исходные данные'!$B$30+1)/DAY(Расчёты!C159),1))</f>
        <v>0</v>
      </c>
      <c r="AD159">
        <f>IF(AND(Расчёты!F159&gt;0,Расчёты!F159&lt;=N('Исходные данные'!$B$37)),-AC159,0)</f>
        <v>0</v>
      </c>
      <c r="AE159">
        <f>IF(OR(Расчёты!F159=0,Расчёты!F159&lt;=N('Исходные данные'!$B$37)),0,-(AC159+AD159)*N('Сценарный анализ'!$C$9))</f>
        <v>0</v>
      </c>
      <c r="AF159">
        <f t="shared" si="82"/>
        <v>0</v>
      </c>
      <c r="AG159">
        <f>IF('Исходные данные'!$B$51="Да",AF159*N('Исходные данные'!$B$52),0)</f>
        <v>0</v>
      </c>
      <c r="AH159">
        <f t="shared" si="83"/>
        <v>0</v>
      </c>
      <c r="AI159">
        <f>AF159+(Расчёты!Y159-Расчёты!L159)</f>
        <v>0</v>
      </c>
      <c r="AJ159">
        <f t="shared" si="92"/>
        <v>0</v>
      </c>
      <c r="AK159">
        <f>IF('Исходные данные'!$B$51="Да",-MAX(0,AG159+Расчёты!R159+Расчёты!V159-Расчёты!P159-Расчёты!T159-AJ159),0)</f>
        <v>0</v>
      </c>
      <c r="AL159">
        <f>IF('Исходные данные'!$B$51="Да",MAX(0,AJ159+Расчёты!P159+Расчёты!T159-AG159-Расчёты!R159-Расчёты!V159),0)</f>
        <v>0</v>
      </c>
      <c r="AM159">
        <f>IF('Исходные данные'!$B$53="Выручка",MAX(0,AF159+(Расчёты!Q159-Расчёты!R159)+(Расчёты!U159-Расчёты!V159)),IF('Исходные данные'!$B$53="Прибыль до налога",MAX(0,AF159+(Расчёты!Q159-Расчёты!R159)+(Расчёты!U159-Расчёты!V159)+N('Исходные данные'!$B$54)*((Расчёты!O159+Расчёты!P159)+(Расчёты!S159+Расчёты!T159)+Расчёты!W159+Расчёты!X159)+IF('Исходные данные'!$B$55="Да",Расчёты!AG159,0)-N('Исходные данные'!$B$56)/12),IF('Исходные данные'!$B$53="Пользовательская база",MAX(0,N('Исходные данные'!$B$57)/12),0)))</f>
        <v>0</v>
      </c>
      <c r="AN159">
        <f>IF(D159=1,-AM159*N('Исходные данные'!$B$50),0)</f>
        <v>0</v>
      </c>
      <c r="AO159">
        <f t="shared" si="84"/>
        <v>0</v>
      </c>
      <c r="AP159">
        <f>IF(OR(D159&lt;&gt;1,B159="",'Исходные данные'!$B$91="",N('Исходные данные'!$B$80)&lt;=0,'Исходные данные'!$B$88=""),0,IF(AND(YEAR(B159)=YEAR('Исходные данные'!$B$91),MONTH(B159)=MONTH('Исходные данные'!$B$91)),MAX(0,IF('Исходные данные'!$B$88="Последние 12 месяцев",SUMIFS($AI$2:$AI$194,$B$2:$B$194,"&gt;="&amp;EDATE(B159,-11),$B$2:$B$194,"&lt;="&amp;B159),IF('Исходные данные'!$B$88="Пользовательский NOI",N('Исходные данные'!$B$89),AO159))/N('Исходные данные'!$B$80)*(1+N('Исходные данные'!$B$81))),0))</f>
        <v>0</v>
      </c>
      <c r="AQ159">
        <f>-AP159*N('Исходные данные'!$B$73)</f>
        <v>0</v>
      </c>
      <c r="AR159">
        <f>IF(AP159=0,0,-N('Исходные данные'!$B$87)-IF('Исходные данные'!$B$82="Да",IF('Исходные данные'!$B$84="С выручки",AP159,IF('Исходные данные'!$B$84="С прибыли",MAX(0,AP159+AQ159-IF('Исходные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59">
        <f t="shared" si="85"/>
        <v>0</v>
      </c>
      <c r="AT159">
        <f>IF(D159=1,Расчёты!AZ159+AH159+AK159+AN159+AS159,0)</f>
        <v>0</v>
      </c>
      <c r="AU159" t="str">
        <f t="shared" si="93"/>
        <v/>
      </c>
      <c r="AV159">
        <f>IF(OR(D159=0,'Исходные данные'!$B$9="",'Исходные данные'!$B$90=""),0,AT159/(1+'Исходные данные'!$B$90)^((C159-'Исходные данные'!$B$9)/365))</f>
        <v>0</v>
      </c>
      <c r="AW159">
        <f>IF(D159=1,AH159+Расчёты!O159+Расчёты!Q159+Расчёты!S159+Расчёты!U159+Расчёты!W159+Расчёты!X159+AK159+AN159,0)</f>
        <v>0</v>
      </c>
      <c r="AX159">
        <f>IF(AND(D159=1,AU159&gt;=0,AU158&lt;0,MIN($AU$2:AU159)&lt;0),1,0)</f>
        <v>0</v>
      </c>
      <c r="AY159">
        <f>IF(Расчёты!F159=0,0,IF(Расчёты!G159=1,N('Сценарный анализ'!$D$5),IF(Расчёты!G159=2,N('Сценарный анализ'!$D$6),IF(Расчёты!G159=3,N('Сценарный анализ'!$D$7),N('Сценарный анализ'!$D$7)*(1+N('Сценарный анализ'!$D$8))^(Расчёты!G159-3)))))</f>
        <v>0</v>
      </c>
      <c r="AZ159">
        <f>IF(OR(Расчёты!F159=0,N('Исходные данные'!$B$5)=0,AY159=0),0,N('Исходные данные'!$B$5)*AY159*IF(AND(B159&lt;='Исходные данные'!$B$30,Расчёты!C159&gt;='Исходные данные'!$B$30),(Расчёты!C159-'Исходные данные'!$B$30+1)/DAY(Расчёты!C159),1))</f>
        <v>0</v>
      </c>
      <c r="BA159">
        <f>IF(AND(Расчёты!F159&gt;0,Расчёты!F159&lt;=N('Исходные данные'!$B$37)),-AZ159,0)</f>
        <v>0</v>
      </c>
      <c r="BB159">
        <f>IF(OR(Расчёты!F159=0,Расчёты!F159&lt;=N('Исходные данные'!$B$37)),0,-(AZ159+BA159)*N('Сценарный анализ'!$D$9))</f>
        <v>0</v>
      </c>
      <c r="BC159">
        <f t="shared" si="86"/>
        <v>0</v>
      </c>
      <c r="BD159">
        <f>IF('Исходные данные'!$B$51="Да",BC159*N('Исходные данные'!$B$52),0)</f>
        <v>0</v>
      </c>
      <c r="BE159">
        <f t="shared" si="87"/>
        <v>0</v>
      </c>
      <c r="BF159">
        <f>BC159+(Расчёты!Y159-Расчёты!L159)</f>
        <v>0</v>
      </c>
      <c r="BG159">
        <f t="shared" si="94"/>
        <v>0</v>
      </c>
      <c r="BH159">
        <f>IF('Исходные данные'!$B$51="Да",-MAX(0,BD159+Расчёты!R159+Расчёты!V159-Расчёты!P159-Расчёты!T159-BG159),0)</f>
        <v>0</v>
      </c>
      <c r="BI159">
        <f>IF('Исходные данные'!$B$51="Да",MAX(0,BG159+Расчёты!P159+Расчёты!T159-BD159-Расчёты!R159-Расчёты!V159),0)</f>
        <v>0</v>
      </c>
      <c r="BJ159">
        <f>IF('Исходные данные'!$B$53="Выручка",MAX(0,BC159+(Расчёты!Q159-Расчёты!R159)+(Расчёты!U159-Расчёты!V159)),IF('Исходные данные'!$B$53="Прибыль до налога",MAX(0,BC159+(Расчёты!Q159-Расчёты!R159)+(Расчёты!U159-Расчёты!V159)+N('Исходные данные'!$B$54)*((Расчёты!O159+Расчёты!P159)+(Расчёты!S159+Расчёты!T159)+Расчёты!W159+Расчёты!X159)+IF('Исходные данные'!$B$55="Да",Расчёты!AG159,0)-N('Исходные данные'!$B$56)/12),IF('Исходные данные'!$B$53="Пользовательская база",MAX(0,N('Исходные данные'!$B$57)/12),0)))</f>
        <v>0</v>
      </c>
      <c r="BK159">
        <f>IF(D159=1,-BJ159*N('Исходные данные'!$B$50),0)</f>
        <v>0</v>
      </c>
      <c r="BL159">
        <f t="shared" si="88"/>
        <v>0</v>
      </c>
      <c r="BM159">
        <f>IF(OR(D159&lt;&gt;1,B159="",'Исходные данные'!$B$91="",N('Исходные данные'!$B$80)&lt;=0,'Исходные данные'!$B$88=""),0,IF(AND(YEAR(B159)=YEAR('Исходные данные'!$B$91),MONTH(B159)=MONTH('Исходные данные'!$B$91)),MAX(0,IF('Исходные данные'!$B$88="Последние 12 месяцев",SUMIFS($BF$2:$BF$194,$B$2:$B$194,"&gt;="&amp;EDATE(B159,-11),$B$2:$B$194,"&lt;="&amp;B159),IF('Исходные данные'!$B$88="Пользовательский NOI",N('Исходные данные'!$B$89),BL159))/N('Исходные данные'!$B$80)*(1+N('Исходные данные'!$B$81))),0))</f>
        <v>0</v>
      </c>
      <c r="BN159">
        <f>-BM159*N('Исходные данные'!$B$73)</f>
        <v>0</v>
      </c>
      <c r="BO159">
        <f>IF(BM159=0,0,-N('Исходные данные'!$B$87)-IF('Исходные данные'!$B$82="Да",IF('Исходные данные'!$B$84="С выручки",BM159,IF('Исходные данные'!$B$84="С прибыли",MAX(0,BM159+BN159-IF('Исходные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59">
        <f t="shared" si="89"/>
        <v>0</v>
      </c>
      <c r="BQ159">
        <f>IF(D159=1,Расчёты!AZ159+BE159+BH159+BK159+BP159,0)</f>
        <v>0</v>
      </c>
      <c r="BR159" t="str">
        <f t="shared" si="95"/>
        <v/>
      </c>
      <c r="BS159">
        <f>IF(OR(D159=0,'Исходные данные'!$B$9="",'Исходные данные'!$B$90=""),0,BQ159/(1+'Исходные данные'!$B$90)^((C159-'Исходные данные'!$B$9)/365))</f>
        <v>0</v>
      </c>
      <c r="BT159">
        <f>IF(D159=1,BE159+Расчёты!O159+Расчёты!Q159+Расчёты!S159+Расчёты!U159+Расчёты!W159+Расчёты!X159+BH159+BK159,0)</f>
        <v>0</v>
      </c>
      <c r="BU159">
        <f>IF(AND(D159=1,BR159&gt;=0,BR158&lt;0,MIN($BR$2:BR159)&lt;0),1,0)</f>
        <v>0</v>
      </c>
      <c r="BV159">
        <f>Расчёты!AZ159+K159+N159-P159*N('Исходные данные'!$B$50)</f>
        <v>0</v>
      </c>
      <c r="BW159">
        <f t="shared" si="96"/>
        <v>0</v>
      </c>
      <c r="BX159">
        <f>IF(AND(BW159&gt;=0,BW158&lt;0,MIN($BW$2:BW159)&lt;0),1,0)</f>
        <v>0</v>
      </c>
      <c r="BY159">
        <f>Расчёты!AZ159+AH159+AK159-AM159*N('Исходные данные'!$B$50)</f>
        <v>0</v>
      </c>
      <c r="BZ159">
        <f t="shared" si="97"/>
        <v>0</v>
      </c>
      <c r="CA159">
        <f>IF(AND(BZ159&gt;=0,BZ158&lt;0,MIN($BZ$2:BZ159)&lt;0),1,0)</f>
        <v>0</v>
      </c>
      <c r="CB159">
        <f>Расчёты!AZ159+BE159+BH159-BJ159*N('Исходные данные'!$B$50)</f>
        <v>0</v>
      </c>
      <c r="CC159">
        <f t="shared" si="98"/>
        <v>0</v>
      </c>
      <c r="CD159">
        <f>IF(AND(CC159&gt;=0,CC158&lt;0,MIN($CC$2:CC159)&lt;0),1,0)</f>
        <v>0</v>
      </c>
    </row>
    <row r="160" spans="1:82" x14ac:dyDescent="0.2">
      <c r="A160">
        <f>Расчёты!A160</f>
        <v>159</v>
      </c>
      <c r="B160" t="str">
        <f>Расчёты!B160</f>
        <v/>
      </c>
      <c r="C160" t="str">
        <f>Расчёты!D160</f>
        <v/>
      </c>
      <c r="D160">
        <f>Расчёты!E160</f>
        <v>0</v>
      </c>
      <c r="E160">
        <f>IF(Расчёты!F160=0,0,IF(Расчёты!G160=1,N('Сценарный анализ'!$B$5),IF(Расчёты!G160=2,N('Сценарный анализ'!$B$6),IF(Расчёты!G160=3,N('Сценарный анализ'!$B$7),N('Сценарный анализ'!$B$7)*(1+N('Сценарный анализ'!$B$8))^(Расчёты!G160-3)))))</f>
        <v>0</v>
      </c>
      <c r="F160">
        <f>IF(OR(Расчёты!F160=0,N('Исходные данные'!$B$5)=0,E160=0),0,N('Исходные данные'!$B$5)*E160*IF(AND(B160&lt;='Исходные данные'!$B$30,Расчёты!C160&gt;='Исходные данные'!$B$30),(Расчёты!C160-'Исходные данные'!$B$30+1)/DAY(Расчёты!C160),1))</f>
        <v>0</v>
      </c>
      <c r="G160">
        <f>IF(AND(Расчёты!F160&gt;0,Расчёты!F160&lt;=N('Исходные данные'!$B$37)),-F160,0)</f>
        <v>0</v>
      </c>
      <c r="H160">
        <f>IF(OR(Расчёты!F160=0,Расчёты!F160&lt;=N('Исходные данные'!$B$37)),0,-(F160+G160)*N('Сценарный анализ'!$B$9))</f>
        <v>0</v>
      </c>
      <c r="I160">
        <f t="shared" si="78"/>
        <v>0</v>
      </c>
      <c r="J160">
        <f>IF('Исходные данные'!$B$51="Да",I160*N('Исходные данные'!$B$52),0)</f>
        <v>0</v>
      </c>
      <c r="K160">
        <f t="shared" si="79"/>
        <v>0</v>
      </c>
      <c r="L160">
        <f>I160+(Расчёты!Y160-Расчёты!L160)</f>
        <v>0</v>
      </c>
      <c r="M160">
        <f t="shared" si="90"/>
        <v>0</v>
      </c>
      <c r="N160">
        <f>IF('Исходные данные'!$B$51="Да",-MAX(0,J160+Расчёты!R160+Расчёты!V160-Расчёты!P160-Расчёты!T160-M160),0)</f>
        <v>0</v>
      </c>
      <c r="O160">
        <f>IF('Исходные данные'!$B$51="Да",MAX(0,M160+Расчёты!P160+Расчёты!T160-J160-Расчёты!R160-Расчёты!V160),0)</f>
        <v>0</v>
      </c>
      <c r="P160">
        <f>IF('Исходные данные'!$B$53="Выручка",MAX(0,I160+(Расчёты!Q160-Расчёты!R160)+(Расчёты!U160-Расчёты!V160)),IF('Исходные данные'!$B$53="Прибыль до налога",MAX(0,I160+(Расчёты!Q160-Расчёты!R160)+(Расчёты!U160-Расчёты!V160)+N('Исходные данные'!$B$54)*((Расчёты!O160+Расчёты!P160)+(Расчёты!S160+Расчёты!T160)+Расчёты!W160+Расчёты!X160)+IF('Исходные данные'!$B$55="Да",Расчёты!AG160,0)-N('Исходные данные'!$B$56)/12),IF('Исходные данные'!$B$53="Пользовательская база",MAX(0,N('Исходные данные'!$B$57)/12),0)))</f>
        <v>0</v>
      </c>
      <c r="Q160">
        <f>IF(D160=1,-P160*N('Исходные данные'!$B$50),0)</f>
        <v>0</v>
      </c>
      <c r="R160">
        <f t="shared" si="80"/>
        <v>0</v>
      </c>
      <c r="S160">
        <f>IF(OR(D160&lt;&gt;1,B160="",'Исходные данные'!$B$91="",N('Исходные данные'!$B$80)&lt;=0,'Исходные данные'!$B$88=""),0,IF(AND(YEAR(B160)=YEAR('Исходные данные'!$B$91),MONTH(B160)=MONTH('Исходные данные'!$B$91)),MAX(0,IF('Исходные данные'!$B$88="Последние 12 месяцев",SUMIFS($L$2:$L$194,$B$2:$B$194,"&gt;="&amp;EDATE(B160,-11),$B$2:$B$194,"&lt;="&amp;B160),IF('Исходные данные'!$B$88="Пользовательский NOI",N('Исходные данные'!$B$89),R160))/N('Исходные данные'!$B$80)*(1+N('Исходные данные'!$B$81))),0))</f>
        <v>0</v>
      </c>
      <c r="T160">
        <f>-S160*N('Исходные данные'!$B$73)</f>
        <v>0</v>
      </c>
      <c r="U160">
        <f>IF(S160=0,0,-N('Исходные данные'!$B$87)-IF('Исходные данные'!$B$82="Да",IF('Исходные данные'!$B$84="С выручки",S160,IF('Исходные данные'!$B$84="С прибыли",MAX(0,S160+T160-IF('Исходные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60">
        <f t="shared" si="81"/>
        <v>0</v>
      </c>
      <c r="W160">
        <f>IF(D160=1,Расчёты!AZ160+K160+N160+Q160+V160,0)</f>
        <v>0</v>
      </c>
      <c r="X160" t="str">
        <f t="shared" si="91"/>
        <v/>
      </c>
      <c r="Y160">
        <f>IF(OR(D160=0,'Исходные данные'!$B$9="",'Исходные данные'!$B$90=""),0,W160/(1+'Исходные данные'!$B$90)^((C160-'Исходные данные'!$B$9)/365))</f>
        <v>0</v>
      </c>
      <c r="Z160">
        <f>IF(D160=1,K160+Расчёты!O160+Расчёты!Q160+Расчёты!S160+Расчёты!U160+Расчёты!W160+Расчёты!X160+N160+Q160,0)</f>
        <v>0</v>
      </c>
      <c r="AA160">
        <f>IF(AND(D160=1,X160&gt;=0,X159&lt;0,MIN($X$2:X160)&lt;0),1,0)</f>
        <v>0</v>
      </c>
      <c r="AB160">
        <f>IF(Расчёты!F160=0,0,IF(Расчёты!G160=1,N('Сценарный анализ'!$C$5),IF(Расчёты!G160=2,N('Сценарный анализ'!$C$6),IF(Расчёты!G160=3,N('Сценарный анализ'!$C$7),N('Сценарный анализ'!$C$7)*(1+N('Сценарный анализ'!$C$8))^(Расчёты!G160-3)))))</f>
        <v>0</v>
      </c>
      <c r="AC160">
        <f>IF(OR(Расчёты!F160=0,N('Исходные данные'!$B$5)=0,AB160=0),0,N('Исходные данные'!$B$5)*AB160*IF(AND(B160&lt;='Исходные данные'!$B$30,Расчёты!C160&gt;='Исходные данные'!$B$30),(Расчёты!C160-'Исходные данные'!$B$30+1)/DAY(Расчёты!C160),1))</f>
        <v>0</v>
      </c>
      <c r="AD160">
        <f>IF(AND(Расчёты!F160&gt;0,Расчёты!F160&lt;=N('Исходные данные'!$B$37)),-AC160,0)</f>
        <v>0</v>
      </c>
      <c r="AE160">
        <f>IF(OR(Расчёты!F160=0,Расчёты!F160&lt;=N('Исходные данные'!$B$37)),0,-(AC160+AD160)*N('Сценарный анализ'!$C$9))</f>
        <v>0</v>
      </c>
      <c r="AF160">
        <f t="shared" si="82"/>
        <v>0</v>
      </c>
      <c r="AG160">
        <f>IF('Исходные данные'!$B$51="Да",AF160*N('Исходные данные'!$B$52),0)</f>
        <v>0</v>
      </c>
      <c r="AH160">
        <f t="shared" si="83"/>
        <v>0</v>
      </c>
      <c r="AI160">
        <f>AF160+(Расчёты!Y160-Расчёты!L160)</f>
        <v>0</v>
      </c>
      <c r="AJ160">
        <f t="shared" si="92"/>
        <v>0</v>
      </c>
      <c r="AK160">
        <f>IF('Исходные данные'!$B$51="Да",-MAX(0,AG160+Расчёты!R160+Расчёты!V160-Расчёты!P160-Расчёты!T160-AJ160),0)</f>
        <v>0</v>
      </c>
      <c r="AL160">
        <f>IF('Исходные данные'!$B$51="Да",MAX(0,AJ160+Расчёты!P160+Расчёты!T160-AG160-Расчёты!R160-Расчёты!V160),0)</f>
        <v>0</v>
      </c>
      <c r="AM160">
        <f>IF('Исходные данные'!$B$53="Выручка",MAX(0,AF160+(Расчёты!Q160-Расчёты!R160)+(Расчёты!U160-Расчёты!V160)),IF('Исходные данные'!$B$53="Прибыль до налога",MAX(0,AF160+(Расчёты!Q160-Расчёты!R160)+(Расчёты!U160-Расчёты!V160)+N('Исходные данные'!$B$54)*((Расчёты!O160+Расчёты!P160)+(Расчёты!S160+Расчёты!T160)+Расчёты!W160+Расчёты!X160)+IF('Исходные данные'!$B$55="Да",Расчёты!AG160,0)-N('Исходные данные'!$B$56)/12),IF('Исходные данные'!$B$53="Пользовательская база",MAX(0,N('Исходные данные'!$B$57)/12),0)))</f>
        <v>0</v>
      </c>
      <c r="AN160">
        <f>IF(D160=1,-AM160*N('Исходные данные'!$B$50),0)</f>
        <v>0</v>
      </c>
      <c r="AO160">
        <f t="shared" si="84"/>
        <v>0</v>
      </c>
      <c r="AP160">
        <f>IF(OR(D160&lt;&gt;1,B160="",'Исходные данные'!$B$91="",N('Исходные данные'!$B$80)&lt;=0,'Исходные данные'!$B$88=""),0,IF(AND(YEAR(B160)=YEAR('Исходные данные'!$B$91),MONTH(B160)=MONTH('Исходные данные'!$B$91)),MAX(0,IF('Исходные данные'!$B$88="Последние 12 месяцев",SUMIFS($AI$2:$AI$194,$B$2:$B$194,"&gt;="&amp;EDATE(B160,-11),$B$2:$B$194,"&lt;="&amp;B160),IF('Исходные данные'!$B$88="Пользовательский NOI",N('Исходные данные'!$B$89),AO160))/N('Исходные данные'!$B$80)*(1+N('Исходные данные'!$B$81))),0))</f>
        <v>0</v>
      </c>
      <c r="AQ160">
        <f>-AP160*N('Исходные данные'!$B$73)</f>
        <v>0</v>
      </c>
      <c r="AR160">
        <f>IF(AP160=0,0,-N('Исходные данные'!$B$87)-IF('Исходные данные'!$B$82="Да",IF('Исходные данные'!$B$84="С выручки",AP160,IF('Исходные данные'!$B$84="С прибыли",MAX(0,AP160+AQ160-IF('Исходные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60">
        <f t="shared" si="85"/>
        <v>0</v>
      </c>
      <c r="AT160">
        <f>IF(D160=1,Расчёты!AZ160+AH160+AK160+AN160+AS160,0)</f>
        <v>0</v>
      </c>
      <c r="AU160" t="str">
        <f t="shared" si="93"/>
        <v/>
      </c>
      <c r="AV160">
        <f>IF(OR(D160=0,'Исходные данные'!$B$9="",'Исходные данные'!$B$90=""),0,AT160/(1+'Исходные данные'!$B$90)^((C160-'Исходные данные'!$B$9)/365))</f>
        <v>0</v>
      </c>
      <c r="AW160">
        <f>IF(D160=1,AH160+Расчёты!O160+Расчёты!Q160+Расчёты!S160+Расчёты!U160+Расчёты!W160+Расчёты!X160+AK160+AN160,0)</f>
        <v>0</v>
      </c>
      <c r="AX160">
        <f>IF(AND(D160=1,AU160&gt;=0,AU159&lt;0,MIN($AU$2:AU160)&lt;0),1,0)</f>
        <v>0</v>
      </c>
      <c r="AY160">
        <f>IF(Расчёты!F160=0,0,IF(Расчёты!G160=1,N('Сценарный анализ'!$D$5),IF(Расчёты!G160=2,N('Сценарный анализ'!$D$6),IF(Расчёты!G160=3,N('Сценарный анализ'!$D$7),N('Сценарный анализ'!$D$7)*(1+N('Сценарный анализ'!$D$8))^(Расчёты!G160-3)))))</f>
        <v>0</v>
      </c>
      <c r="AZ160">
        <f>IF(OR(Расчёты!F160=0,N('Исходные данные'!$B$5)=0,AY160=0),0,N('Исходные данные'!$B$5)*AY160*IF(AND(B160&lt;='Исходные данные'!$B$30,Расчёты!C160&gt;='Исходные данные'!$B$30),(Расчёты!C160-'Исходные данные'!$B$30+1)/DAY(Расчёты!C160),1))</f>
        <v>0</v>
      </c>
      <c r="BA160">
        <f>IF(AND(Расчёты!F160&gt;0,Расчёты!F160&lt;=N('Исходные данные'!$B$37)),-AZ160,0)</f>
        <v>0</v>
      </c>
      <c r="BB160">
        <f>IF(OR(Расчёты!F160=0,Расчёты!F160&lt;=N('Исходные данные'!$B$37)),0,-(AZ160+BA160)*N('Сценарный анализ'!$D$9))</f>
        <v>0</v>
      </c>
      <c r="BC160">
        <f t="shared" si="86"/>
        <v>0</v>
      </c>
      <c r="BD160">
        <f>IF('Исходные данные'!$B$51="Да",BC160*N('Исходные данные'!$B$52),0)</f>
        <v>0</v>
      </c>
      <c r="BE160">
        <f t="shared" si="87"/>
        <v>0</v>
      </c>
      <c r="BF160">
        <f>BC160+(Расчёты!Y160-Расчёты!L160)</f>
        <v>0</v>
      </c>
      <c r="BG160">
        <f t="shared" si="94"/>
        <v>0</v>
      </c>
      <c r="BH160">
        <f>IF('Исходные данные'!$B$51="Да",-MAX(0,BD160+Расчёты!R160+Расчёты!V160-Расчёты!P160-Расчёты!T160-BG160),0)</f>
        <v>0</v>
      </c>
      <c r="BI160">
        <f>IF('Исходные данные'!$B$51="Да",MAX(0,BG160+Расчёты!P160+Расчёты!T160-BD160-Расчёты!R160-Расчёты!V160),0)</f>
        <v>0</v>
      </c>
      <c r="BJ160">
        <f>IF('Исходные данные'!$B$53="Выручка",MAX(0,BC160+(Расчёты!Q160-Расчёты!R160)+(Расчёты!U160-Расчёты!V160)),IF('Исходные данные'!$B$53="Прибыль до налога",MAX(0,BC160+(Расчёты!Q160-Расчёты!R160)+(Расчёты!U160-Расчёты!V160)+N('Исходные данные'!$B$54)*((Расчёты!O160+Расчёты!P160)+(Расчёты!S160+Расчёты!T160)+Расчёты!W160+Расчёты!X160)+IF('Исходные данные'!$B$55="Да",Расчёты!AG160,0)-N('Исходные данные'!$B$56)/12),IF('Исходные данные'!$B$53="Пользовательская база",MAX(0,N('Исходные данные'!$B$57)/12),0)))</f>
        <v>0</v>
      </c>
      <c r="BK160">
        <f>IF(D160=1,-BJ160*N('Исходные данные'!$B$50),0)</f>
        <v>0</v>
      </c>
      <c r="BL160">
        <f t="shared" si="88"/>
        <v>0</v>
      </c>
      <c r="BM160">
        <f>IF(OR(D160&lt;&gt;1,B160="",'Исходные данные'!$B$91="",N('Исходные данные'!$B$80)&lt;=0,'Исходные данные'!$B$88=""),0,IF(AND(YEAR(B160)=YEAR('Исходные данные'!$B$91),MONTH(B160)=MONTH('Исходные данные'!$B$91)),MAX(0,IF('Исходные данные'!$B$88="Последние 12 месяцев",SUMIFS($BF$2:$BF$194,$B$2:$B$194,"&gt;="&amp;EDATE(B160,-11),$B$2:$B$194,"&lt;="&amp;B160),IF('Исходные данные'!$B$88="Пользовательский NOI",N('Исходные данные'!$B$89),BL160))/N('Исходные данные'!$B$80)*(1+N('Исходные данные'!$B$81))),0))</f>
        <v>0</v>
      </c>
      <c r="BN160">
        <f>-BM160*N('Исходные данные'!$B$73)</f>
        <v>0</v>
      </c>
      <c r="BO160">
        <f>IF(BM160=0,0,-N('Исходные данные'!$B$87)-IF('Исходные данные'!$B$82="Да",IF('Исходные данные'!$B$84="С выручки",BM160,IF('Исходные данные'!$B$84="С прибыли",MAX(0,BM160+BN160-IF('Исходные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60">
        <f t="shared" si="89"/>
        <v>0</v>
      </c>
      <c r="BQ160">
        <f>IF(D160=1,Расчёты!AZ160+BE160+BH160+BK160+BP160,0)</f>
        <v>0</v>
      </c>
      <c r="BR160" t="str">
        <f t="shared" si="95"/>
        <v/>
      </c>
      <c r="BS160">
        <f>IF(OR(D160=0,'Исходные данные'!$B$9="",'Исходные данные'!$B$90=""),0,BQ160/(1+'Исходные данные'!$B$90)^((C160-'Исходные данные'!$B$9)/365))</f>
        <v>0</v>
      </c>
      <c r="BT160">
        <f>IF(D160=1,BE160+Расчёты!O160+Расчёты!Q160+Расчёты!S160+Расчёты!U160+Расчёты!W160+Расчёты!X160+BH160+BK160,0)</f>
        <v>0</v>
      </c>
      <c r="BU160">
        <f>IF(AND(D160=1,BR160&gt;=0,BR159&lt;0,MIN($BR$2:BR160)&lt;0),1,0)</f>
        <v>0</v>
      </c>
      <c r="BV160">
        <f>Расчёты!AZ160+K160+N160-P160*N('Исходные данные'!$B$50)</f>
        <v>0</v>
      </c>
      <c r="BW160">
        <f t="shared" si="96"/>
        <v>0</v>
      </c>
      <c r="BX160">
        <f>IF(AND(BW160&gt;=0,BW159&lt;0,MIN($BW$2:BW160)&lt;0),1,0)</f>
        <v>0</v>
      </c>
      <c r="BY160">
        <f>Расчёты!AZ160+AH160+AK160-AM160*N('Исходные данные'!$B$50)</f>
        <v>0</v>
      </c>
      <c r="BZ160">
        <f t="shared" si="97"/>
        <v>0</v>
      </c>
      <c r="CA160">
        <f>IF(AND(BZ160&gt;=0,BZ159&lt;0,MIN($BZ$2:BZ160)&lt;0),1,0)</f>
        <v>0</v>
      </c>
      <c r="CB160">
        <f>Расчёты!AZ160+BE160+BH160-BJ160*N('Исходные данные'!$B$50)</f>
        <v>0</v>
      </c>
      <c r="CC160">
        <f t="shared" si="98"/>
        <v>0</v>
      </c>
      <c r="CD160">
        <f>IF(AND(CC160&gt;=0,CC159&lt;0,MIN($CC$2:CC160)&lt;0),1,0)</f>
        <v>0</v>
      </c>
    </row>
    <row r="161" spans="1:82" x14ac:dyDescent="0.2">
      <c r="A161">
        <f>Расчёты!A161</f>
        <v>160</v>
      </c>
      <c r="B161" t="str">
        <f>Расчёты!B161</f>
        <v/>
      </c>
      <c r="C161" t="str">
        <f>Расчёты!D161</f>
        <v/>
      </c>
      <c r="D161">
        <f>Расчёты!E161</f>
        <v>0</v>
      </c>
      <c r="E161">
        <f>IF(Расчёты!F161=0,0,IF(Расчёты!G161=1,N('Сценарный анализ'!$B$5),IF(Расчёты!G161=2,N('Сценарный анализ'!$B$6),IF(Расчёты!G161=3,N('Сценарный анализ'!$B$7),N('Сценарный анализ'!$B$7)*(1+N('Сценарный анализ'!$B$8))^(Расчёты!G161-3)))))</f>
        <v>0</v>
      </c>
      <c r="F161">
        <f>IF(OR(Расчёты!F161=0,N('Исходные данные'!$B$5)=0,E161=0),0,N('Исходные данные'!$B$5)*E161*IF(AND(B161&lt;='Исходные данные'!$B$30,Расчёты!C161&gt;='Исходные данные'!$B$30),(Расчёты!C161-'Исходные данные'!$B$30+1)/DAY(Расчёты!C161),1))</f>
        <v>0</v>
      </c>
      <c r="G161">
        <f>IF(AND(Расчёты!F161&gt;0,Расчёты!F161&lt;=N('Исходные данные'!$B$37)),-F161,0)</f>
        <v>0</v>
      </c>
      <c r="H161">
        <f>IF(OR(Расчёты!F161=0,Расчёты!F161&lt;=N('Исходные данные'!$B$37)),0,-(F161+G161)*N('Сценарный анализ'!$B$9))</f>
        <v>0</v>
      </c>
      <c r="I161">
        <f t="shared" si="78"/>
        <v>0</v>
      </c>
      <c r="J161">
        <f>IF('Исходные данные'!$B$51="Да",I161*N('Исходные данные'!$B$52),0)</f>
        <v>0</v>
      </c>
      <c r="K161">
        <f t="shared" si="79"/>
        <v>0</v>
      </c>
      <c r="L161">
        <f>I161+(Расчёты!Y161-Расчёты!L161)</f>
        <v>0</v>
      </c>
      <c r="M161">
        <f t="shared" si="90"/>
        <v>0</v>
      </c>
      <c r="N161">
        <f>IF('Исходные данные'!$B$51="Да",-MAX(0,J161+Расчёты!R161+Расчёты!V161-Расчёты!P161-Расчёты!T161-M161),0)</f>
        <v>0</v>
      </c>
      <c r="O161">
        <f>IF('Исходные данные'!$B$51="Да",MAX(0,M161+Расчёты!P161+Расчёты!T161-J161-Расчёты!R161-Расчёты!V161),0)</f>
        <v>0</v>
      </c>
      <c r="P161">
        <f>IF('Исходные данные'!$B$53="Выручка",MAX(0,I161+(Расчёты!Q161-Расчёты!R161)+(Расчёты!U161-Расчёты!V161)),IF('Исходные данные'!$B$53="Прибыль до налога",MAX(0,I161+(Расчёты!Q161-Расчёты!R161)+(Расчёты!U161-Расчёты!V161)+N('Исходные данные'!$B$54)*((Расчёты!O161+Расчёты!P161)+(Расчёты!S161+Расчёты!T161)+Расчёты!W161+Расчёты!X161)+IF('Исходные данные'!$B$55="Да",Расчёты!AG161,0)-N('Исходные данные'!$B$56)/12),IF('Исходные данные'!$B$53="Пользовательская база",MAX(0,N('Исходные данные'!$B$57)/12),0)))</f>
        <v>0</v>
      </c>
      <c r="Q161">
        <f>IF(D161=1,-P161*N('Исходные данные'!$B$50),0)</f>
        <v>0</v>
      </c>
      <c r="R161">
        <f t="shared" si="80"/>
        <v>0</v>
      </c>
      <c r="S161">
        <f>IF(OR(D161&lt;&gt;1,B161="",'Исходные данные'!$B$91="",N('Исходные данные'!$B$80)&lt;=0,'Исходные данные'!$B$88=""),0,IF(AND(YEAR(B161)=YEAR('Исходные данные'!$B$91),MONTH(B161)=MONTH('Исходные данные'!$B$91)),MAX(0,IF('Исходные данные'!$B$88="Последние 12 месяцев",SUMIFS($L$2:$L$194,$B$2:$B$194,"&gt;="&amp;EDATE(B161,-11),$B$2:$B$194,"&lt;="&amp;B161),IF('Исходные данные'!$B$88="Пользовательский NOI",N('Исходные данные'!$B$89),R161))/N('Исходные данные'!$B$80)*(1+N('Исходные данные'!$B$81))),0))</f>
        <v>0</v>
      </c>
      <c r="T161">
        <f>-S161*N('Исходные данные'!$B$73)</f>
        <v>0</v>
      </c>
      <c r="U161">
        <f>IF(S161=0,0,-N('Исходные данные'!$B$87)-IF('Исходные данные'!$B$82="Да",IF('Исходные данные'!$B$84="С выручки",S161,IF('Исходные данные'!$B$84="С прибыли",MAX(0,S161+T161-IF('Исходные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61">
        <f t="shared" si="81"/>
        <v>0</v>
      </c>
      <c r="W161">
        <f>IF(D161=1,Расчёты!AZ161+K161+N161+Q161+V161,0)</f>
        <v>0</v>
      </c>
      <c r="X161" t="str">
        <f t="shared" si="91"/>
        <v/>
      </c>
      <c r="Y161">
        <f>IF(OR(D161=0,'Исходные данные'!$B$9="",'Исходные данные'!$B$90=""),0,W161/(1+'Исходные данные'!$B$90)^((C161-'Исходные данные'!$B$9)/365))</f>
        <v>0</v>
      </c>
      <c r="Z161">
        <f>IF(D161=1,K161+Расчёты!O161+Расчёты!Q161+Расчёты!S161+Расчёты!U161+Расчёты!W161+Расчёты!X161+N161+Q161,0)</f>
        <v>0</v>
      </c>
      <c r="AA161">
        <f>IF(AND(D161=1,X161&gt;=0,X160&lt;0,MIN($X$2:X161)&lt;0),1,0)</f>
        <v>0</v>
      </c>
      <c r="AB161">
        <f>IF(Расчёты!F161=0,0,IF(Расчёты!G161=1,N('Сценарный анализ'!$C$5),IF(Расчёты!G161=2,N('Сценарный анализ'!$C$6),IF(Расчёты!G161=3,N('Сценарный анализ'!$C$7),N('Сценарный анализ'!$C$7)*(1+N('Сценарный анализ'!$C$8))^(Расчёты!G161-3)))))</f>
        <v>0</v>
      </c>
      <c r="AC161">
        <f>IF(OR(Расчёты!F161=0,N('Исходные данные'!$B$5)=0,AB161=0),0,N('Исходные данные'!$B$5)*AB161*IF(AND(B161&lt;='Исходные данные'!$B$30,Расчёты!C161&gt;='Исходные данные'!$B$30),(Расчёты!C161-'Исходные данные'!$B$30+1)/DAY(Расчёты!C161),1))</f>
        <v>0</v>
      </c>
      <c r="AD161">
        <f>IF(AND(Расчёты!F161&gt;0,Расчёты!F161&lt;=N('Исходные данные'!$B$37)),-AC161,0)</f>
        <v>0</v>
      </c>
      <c r="AE161">
        <f>IF(OR(Расчёты!F161=0,Расчёты!F161&lt;=N('Исходные данные'!$B$37)),0,-(AC161+AD161)*N('Сценарный анализ'!$C$9))</f>
        <v>0</v>
      </c>
      <c r="AF161">
        <f t="shared" si="82"/>
        <v>0</v>
      </c>
      <c r="AG161">
        <f>IF('Исходные данные'!$B$51="Да",AF161*N('Исходные данные'!$B$52),0)</f>
        <v>0</v>
      </c>
      <c r="AH161">
        <f t="shared" si="83"/>
        <v>0</v>
      </c>
      <c r="AI161">
        <f>AF161+(Расчёты!Y161-Расчёты!L161)</f>
        <v>0</v>
      </c>
      <c r="AJ161">
        <f t="shared" si="92"/>
        <v>0</v>
      </c>
      <c r="AK161">
        <f>IF('Исходные данные'!$B$51="Да",-MAX(0,AG161+Расчёты!R161+Расчёты!V161-Расчёты!P161-Расчёты!T161-AJ161),0)</f>
        <v>0</v>
      </c>
      <c r="AL161">
        <f>IF('Исходные данные'!$B$51="Да",MAX(0,AJ161+Расчёты!P161+Расчёты!T161-AG161-Расчёты!R161-Расчёты!V161),0)</f>
        <v>0</v>
      </c>
      <c r="AM161">
        <f>IF('Исходные данные'!$B$53="Выручка",MAX(0,AF161+(Расчёты!Q161-Расчёты!R161)+(Расчёты!U161-Расчёты!V161)),IF('Исходные данные'!$B$53="Прибыль до налога",MAX(0,AF161+(Расчёты!Q161-Расчёты!R161)+(Расчёты!U161-Расчёты!V161)+N('Исходные данные'!$B$54)*((Расчёты!O161+Расчёты!P161)+(Расчёты!S161+Расчёты!T161)+Расчёты!W161+Расчёты!X161)+IF('Исходные данные'!$B$55="Да",Расчёты!AG161,0)-N('Исходные данные'!$B$56)/12),IF('Исходные данные'!$B$53="Пользовательская база",MAX(0,N('Исходные данные'!$B$57)/12),0)))</f>
        <v>0</v>
      </c>
      <c r="AN161">
        <f>IF(D161=1,-AM161*N('Исходные данные'!$B$50),0)</f>
        <v>0</v>
      </c>
      <c r="AO161">
        <f t="shared" si="84"/>
        <v>0</v>
      </c>
      <c r="AP161">
        <f>IF(OR(D161&lt;&gt;1,B161="",'Исходные данные'!$B$91="",N('Исходные данные'!$B$80)&lt;=0,'Исходные данные'!$B$88=""),0,IF(AND(YEAR(B161)=YEAR('Исходные данные'!$B$91),MONTH(B161)=MONTH('Исходные данные'!$B$91)),MAX(0,IF('Исходные данные'!$B$88="Последние 12 месяцев",SUMIFS($AI$2:$AI$194,$B$2:$B$194,"&gt;="&amp;EDATE(B161,-11),$B$2:$B$194,"&lt;="&amp;B161),IF('Исходные данные'!$B$88="Пользовательский NOI",N('Исходные данные'!$B$89),AO161))/N('Исходные данные'!$B$80)*(1+N('Исходные данные'!$B$81))),0))</f>
        <v>0</v>
      </c>
      <c r="AQ161">
        <f>-AP161*N('Исходные данные'!$B$73)</f>
        <v>0</v>
      </c>
      <c r="AR161">
        <f>IF(AP161=0,0,-N('Исходные данные'!$B$87)-IF('Исходные данные'!$B$82="Да",IF('Исходные данные'!$B$84="С выручки",AP161,IF('Исходные данные'!$B$84="С прибыли",MAX(0,AP161+AQ161-IF('Исходные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61">
        <f t="shared" si="85"/>
        <v>0</v>
      </c>
      <c r="AT161">
        <f>IF(D161=1,Расчёты!AZ161+AH161+AK161+AN161+AS161,0)</f>
        <v>0</v>
      </c>
      <c r="AU161" t="str">
        <f t="shared" si="93"/>
        <v/>
      </c>
      <c r="AV161">
        <f>IF(OR(D161=0,'Исходные данные'!$B$9="",'Исходные данные'!$B$90=""),0,AT161/(1+'Исходные данные'!$B$90)^((C161-'Исходные данные'!$B$9)/365))</f>
        <v>0</v>
      </c>
      <c r="AW161">
        <f>IF(D161=1,AH161+Расчёты!O161+Расчёты!Q161+Расчёты!S161+Расчёты!U161+Расчёты!W161+Расчёты!X161+AK161+AN161,0)</f>
        <v>0</v>
      </c>
      <c r="AX161">
        <f>IF(AND(D161=1,AU161&gt;=0,AU160&lt;0,MIN($AU$2:AU161)&lt;0),1,0)</f>
        <v>0</v>
      </c>
      <c r="AY161">
        <f>IF(Расчёты!F161=0,0,IF(Расчёты!G161=1,N('Сценарный анализ'!$D$5),IF(Расчёты!G161=2,N('Сценарный анализ'!$D$6),IF(Расчёты!G161=3,N('Сценарный анализ'!$D$7),N('Сценарный анализ'!$D$7)*(1+N('Сценарный анализ'!$D$8))^(Расчёты!G161-3)))))</f>
        <v>0</v>
      </c>
      <c r="AZ161">
        <f>IF(OR(Расчёты!F161=0,N('Исходные данные'!$B$5)=0,AY161=0),0,N('Исходные данные'!$B$5)*AY161*IF(AND(B161&lt;='Исходные данные'!$B$30,Расчёты!C161&gt;='Исходные данные'!$B$30),(Расчёты!C161-'Исходные данные'!$B$30+1)/DAY(Расчёты!C161),1))</f>
        <v>0</v>
      </c>
      <c r="BA161">
        <f>IF(AND(Расчёты!F161&gt;0,Расчёты!F161&lt;=N('Исходные данные'!$B$37)),-AZ161,0)</f>
        <v>0</v>
      </c>
      <c r="BB161">
        <f>IF(OR(Расчёты!F161=0,Расчёты!F161&lt;=N('Исходные данные'!$B$37)),0,-(AZ161+BA161)*N('Сценарный анализ'!$D$9))</f>
        <v>0</v>
      </c>
      <c r="BC161">
        <f t="shared" si="86"/>
        <v>0</v>
      </c>
      <c r="BD161">
        <f>IF('Исходные данные'!$B$51="Да",BC161*N('Исходные данные'!$B$52),0)</f>
        <v>0</v>
      </c>
      <c r="BE161">
        <f t="shared" si="87"/>
        <v>0</v>
      </c>
      <c r="BF161">
        <f>BC161+(Расчёты!Y161-Расчёты!L161)</f>
        <v>0</v>
      </c>
      <c r="BG161">
        <f t="shared" si="94"/>
        <v>0</v>
      </c>
      <c r="BH161">
        <f>IF('Исходные данные'!$B$51="Да",-MAX(0,BD161+Расчёты!R161+Расчёты!V161-Расчёты!P161-Расчёты!T161-BG161),0)</f>
        <v>0</v>
      </c>
      <c r="BI161">
        <f>IF('Исходные данные'!$B$51="Да",MAX(0,BG161+Расчёты!P161+Расчёты!T161-BD161-Расчёты!R161-Расчёты!V161),0)</f>
        <v>0</v>
      </c>
      <c r="BJ161">
        <f>IF('Исходные данные'!$B$53="Выручка",MAX(0,BC161+(Расчёты!Q161-Расчёты!R161)+(Расчёты!U161-Расчёты!V161)),IF('Исходные данные'!$B$53="Прибыль до налога",MAX(0,BC161+(Расчёты!Q161-Расчёты!R161)+(Расчёты!U161-Расчёты!V161)+N('Исходные данные'!$B$54)*((Расчёты!O161+Расчёты!P161)+(Расчёты!S161+Расчёты!T161)+Расчёты!W161+Расчёты!X161)+IF('Исходные данные'!$B$55="Да",Расчёты!AG161,0)-N('Исходные данные'!$B$56)/12),IF('Исходные данные'!$B$53="Пользовательская база",MAX(0,N('Исходные данные'!$B$57)/12),0)))</f>
        <v>0</v>
      </c>
      <c r="BK161">
        <f>IF(D161=1,-BJ161*N('Исходные данные'!$B$50),0)</f>
        <v>0</v>
      </c>
      <c r="BL161">
        <f t="shared" si="88"/>
        <v>0</v>
      </c>
      <c r="BM161">
        <f>IF(OR(D161&lt;&gt;1,B161="",'Исходные данные'!$B$91="",N('Исходные данные'!$B$80)&lt;=0,'Исходные данные'!$B$88=""),0,IF(AND(YEAR(B161)=YEAR('Исходные данные'!$B$91),MONTH(B161)=MONTH('Исходные данные'!$B$91)),MAX(0,IF('Исходные данные'!$B$88="Последние 12 месяцев",SUMIFS($BF$2:$BF$194,$B$2:$B$194,"&gt;="&amp;EDATE(B161,-11),$B$2:$B$194,"&lt;="&amp;B161),IF('Исходные данные'!$B$88="Пользовательский NOI",N('Исходные данные'!$B$89),BL161))/N('Исходные данные'!$B$80)*(1+N('Исходные данные'!$B$81))),0))</f>
        <v>0</v>
      </c>
      <c r="BN161">
        <f>-BM161*N('Исходные данные'!$B$73)</f>
        <v>0</v>
      </c>
      <c r="BO161">
        <f>IF(BM161=0,0,-N('Исходные данные'!$B$87)-IF('Исходные данные'!$B$82="Да",IF('Исходные данные'!$B$84="С выручки",BM161,IF('Исходные данные'!$B$84="С прибыли",MAX(0,BM161+BN161-IF('Исходные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61">
        <f t="shared" si="89"/>
        <v>0</v>
      </c>
      <c r="BQ161">
        <f>IF(D161=1,Расчёты!AZ161+BE161+BH161+BK161+BP161,0)</f>
        <v>0</v>
      </c>
      <c r="BR161" t="str">
        <f t="shared" si="95"/>
        <v/>
      </c>
      <c r="BS161">
        <f>IF(OR(D161=0,'Исходные данные'!$B$9="",'Исходные данные'!$B$90=""),0,BQ161/(1+'Исходные данные'!$B$90)^((C161-'Исходные данные'!$B$9)/365))</f>
        <v>0</v>
      </c>
      <c r="BT161">
        <f>IF(D161=1,BE161+Расчёты!O161+Расчёты!Q161+Расчёты!S161+Расчёты!U161+Расчёты!W161+Расчёты!X161+BH161+BK161,0)</f>
        <v>0</v>
      </c>
      <c r="BU161">
        <f>IF(AND(D161=1,BR161&gt;=0,BR160&lt;0,MIN($BR$2:BR161)&lt;0),1,0)</f>
        <v>0</v>
      </c>
      <c r="BV161">
        <f>Расчёты!AZ161+K161+N161-P161*N('Исходные данные'!$B$50)</f>
        <v>0</v>
      </c>
      <c r="BW161">
        <f t="shared" si="96"/>
        <v>0</v>
      </c>
      <c r="BX161">
        <f>IF(AND(BW161&gt;=0,BW160&lt;0,MIN($BW$2:BW161)&lt;0),1,0)</f>
        <v>0</v>
      </c>
      <c r="BY161">
        <f>Расчёты!AZ161+AH161+AK161-AM161*N('Исходные данные'!$B$50)</f>
        <v>0</v>
      </c>
      <c r="BZ161">
        <f t="shared" si="97"/>
        <v>0</v>
      </c>
      <c r="CA161">
        <f>IF(AND(BZ161&gt;=0,BZ160&lt;0,MIN($BZ$2:BZ161)&lt;0),1,0)</f>
        <v>0</v>
      </c>
      <c r="CB161">
        <f>Расчёты!AZ161+BE161+BH161-BJ161*N('Исходные данные'!$B$50)</f>
        <v>0</v>
      </c>
      <c r="CC161">
        <f t="shared" si="98"/>
        <v>0</v>
      </c>
      <c r="CD161">
        <f>IF(AND(CC161&gt;=0,CC160&lt;0,MIN($CC$2:CC161)&lt;0),1,0)</f>
        <v>0</v>
      </c>
    </row>
    <row r="162" spans="1:82" x14ac:dyDescent="0.2">
      <c r="A162">
        <f>Расчёты!A162</f>
        <v>161</v>
      </c>
      <c r="B162" t="str">
        <f>Расчёты!B162</f>
        <v/>
      </c>
      <c r="C162" t="str">
        <f>Расчёты!D162</f>
        <v/>
      </c>
      <c r="D162">
        <f>Расчёты!E162</f>
        <v>0</v>
      </c>
      <c r="E162">
        <f>IF(Расчёты!F162=0,0,IF(Расчёты!G162=1,N('Сценарный анализ'!$B$5),IF(Расчёты!G162=2,N('Сценарный анализ'!$B$6),IF(Расчёты!G162=3,N('Сценарный анализ'!$B$7),N('Сценарный анализ'!$B$7)*(1+N('Сценарный анализ'!$B$8))^(Расчёты!G162-3)))))</f>
        <v>0</v>
      </c>
      <c r="F162">
        <f>IF(OR(Расчёты!F162=0,N('Исходные данные'!$B$5)=0,E162=0),0,N('Исходные данные'!$B$5)*E162*IF(AND(B162&lt;='Исходные данные'!$B$30,Расчёты!C162&gt;='Исходные данные'!$B$30),(Расчёты!C162-'Исходные данные'!$B$30+1)/DAY(Расчёты!C162),1))</f>
        <v>0</v>
      </c>
      <c r="G162">
        <f>IF(AND(Расчёты!F162&gt;0,Расчёты!F162&lt;=N('Исходные данные'!$B$37)),-F162,0)</f>
        <v>0</v>
      </c>
      <c r="H162">
        <f>IF(OR(Расчёты!F162=0,Расчёты!F162&lt;=N('Исходные данные'!$B$37)),0,-(F162+G162)*N('Сценарный анализ'!$B$9))</f>
        <v>0</v>
      </c>
      <c r="I162">
        <f t="shared" ref="I162:I193" si="99">F162+G162+H162</f>
        <v>0</v>
      </c>
      <c r="J162">
        <f>IF('Исходные данные'!$B$51="Да",I162*N('Исходные данные'!$B$52),0)</f>
        <v>0</v>
      </c>
      <c r="K162">
        <f t="shared" ref="K162:K193" si="100">I162+J162</f>
        <v>0</v>
      </c>
      <c r="L162">
        <f>I162+(Расчёты!Y162-Расчёты!L162)</f>
        <v>0</v>
      </c>
      <c r="M162">
        <f t="shared" si="90"/>
        <v>0</v>
      </c>
      <c r="N162">
        <f>IF('Исходные данные'!$B$51="Да",-MAX(0,J162+Расчёты!R162+Расчёты!V162-Расчёты!P162-Расчёты!T162-M162),0)</f>
        <v>0</v>
      </c>
      <c r="O162">
        <f>IF('Исходные данные'!$B$51="Да",MAX(0,M162+Расчёты!P162+Расчёты!T162-J162-Расчёты!R162-Расчёты!V162),0)</f>
        <v>0</v>
      </c>
      <c r="P162">
        <f>IF('Исходные данные'!$B$53="Выручка",MAX(0,I162+(Расчёты!Q162-Расчёты!R162)+(Расчёты!U162-Расчёты!V162)),IF('Исходные данные'!$B$53="Прибыль до налога",MAX(0,I162+(Расчёты!Q162-Расчёты!R162)+(Расчёты!U162-Расчёты!V162)+N('Исходные данные'!$B$54)*((Расчёты!O162+Расчёты!P162)+(Расчёты!S162+Расчёты!T162)+Расчёты!W162+Расчёты!X162)+IF('Исходные данные'!$B$55="Да",Расчёты!AG162,0)-N('Исходные данные'!$B$56)/12),IF('Исходные данные'!$B$53="Пользовательская база",MAX(0,N('Исходные данные'!$B$57)/12),0)))</f>
        <v>0</v>
      </c>
      <c r="Q162">
        <f>IF(D162=1,-P162*N('Исходные данные'!$B$50),0)</f>
        <v>0</v>
      </c>
      <c r="R162">
        <f t="shared" ref="R162:R194" si="101">IF(B162="",0,SUMIFS($L$2:$L$194,$B$2:$B$194,"&gt;"&amp;B162,$B$2:$B$194,"&lt;="&amp;EDATE(B162,12)))</f>
        <v>0</v>
      </c>
      <c r="S162">
        <f>IF(OR(D162&lt;&gt;1,B162="",'Исходные данные'!$B$91="",N('Исходные данные'!$B$80)&lt;=0,'Исходные данные'!$B$88=""),0,IF(AND(YEAR(B162)=YEAR('Исходные данные'!$B$91),MONTH(B162)=MONTH('Исходные данные'!$B$91)),MAX(0,IF('Исходные данные'!$B$88="Последние 12 месяцев",SUMIFS($L$2:$L$194,$B$2:$B$194,"&gt;="&amp;EDATE(B162,-11),$B$2:$B$194,"&lt;="&amp;B162),IF('Исходные данные'!$B$88="Пользовательский NOI",N('Исходные данные'!$B$89),R162))/N('Исходные данные'!$B$80)*(1+N('Исходные данные'!$B$81))),0))</f>
        <v>0</v>
      </c>
      <c r="T162">
        <f>-S162*N('Исходные данные'!$B$73)</f>
        <v>0</v>
      </c>
      <c r="U162">
        <f>IF(S162=0,0,-N('Исходные данные'!$B$87)-IF('Исходные данные'!$B$82="Да",IF('Исходные данные'!$B$84="С выручки",S162,IF('Исходные данные'!$B$84="С прибыли",MAX(0,S162+T162-IF('Исходные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62">
        <f t="shared" ref="V162:V193" si="102">S162+T162+U162</f>
        <v>0</v>
      </c>
      <c r="W162">
        <f>IF(D162=1,Расчёты!AZ162+K162+N162+Q162+V162,0)</f>
        <v>0</v>
      </c>
      <c r="X162" t="str">
        <f t="shared" si="91"/>
        <v/>
      </c>
      <c r="Y162">
        <f>IF(OR(D162=0,'Исходные данные'!$B$9="",'Исходные данные'!$B$90=""),0,W162/(1+'Исходные данные'!$B$90)^((C162-'Исходные данные'!$B$9)/365))</f>
        <v>0</v>
      </c>
      <c r="Z162">
        <f>IF(D162=1,K162+Расчёты!O162+Расчёты!Q162+Расчёты!S162+Расчёты!U162+Расчёты!W162+Расчёты!X162+N162+Q162,0)</f>
        <v>0</v>
      </c>
      <c r="AA162">
        <f>IF(AND(D162=1,X162&gt;=0,X161&lt;0,MIN($X$2:X162)&lt;0),1,0)</f>
        <v>0</v>
      </c>
      <c r="AB162">
        <f>IF(Расчёты!F162=0,0,IF(Расчёты!G162=1,N('Сценарный анализ'!$C$5),IF(Расчёты!G162=2,N('Сценарный анализ'!$C$6),IF(Расчёты!G162=3,N('Сценарный анализ'!$C$7),N('Сценарный анализ'!$C$7)*(1+N('Сценарный анализ'!$C$8))^(Расчёты!G162-3)))))</f>
        <v>0</v>
      </c>
      <c r="AC162">
        <f>IF(OR(Расчёты!F162=0,N('Исходные данные'!$B$5)=0,AB162=0),0,N('Исходные данные'!$B$5)*AB162*IF(AND(B162&lt;='Исходные данные'!$B$30,Расчёты!C162&gt;='Исходные данные'!$B$30),(Расчёты!C162-'Исходные данные'!$B$30+1)/DAY(Расчёты!C162),1))</f>
        <v>0</v>
      </c>
      <c r="AD162">
        <f>IF(AND(Расчёты!F162&gt;0,Расчёты!F162&lt;=N('Исходные данные'!$B$37)),-AC162,0)</f>
        <v>0</v>
      </c>
      <c r="AE162">
        <f>IF(OR(Расчёты!F162=0,Расчёты!F162&lt;=N('Исходные данные'!$B$37)),0,-(AC162+AD162)*N('Сценарный анализ'!$C$9))</f>
        <v>0</v>
      </c>
      <c r="AF162">
        <f t="shared" ref="AF162:AF193" si="103">AC162+AD162+AE162</f>
        <v>0</v>
      </c>
      <c r="AG162">
        <f>IF('Исходные данные'!$B$51="Да",AF162*N('Исходные данные'!$B$52),0)</f>
        <v>0</v>
      </c>
      <c r="AH162">
        <f t="shared" ref="AH162:AH193" si="104">AF162+AG162</f>
        <v>0</v>
      </c>
      <c r="AI162">
        <f>AF162+(Расчёты!Y162-Расчёты!L162)</f>
        <v>0</v>
      </c>
      <c r="AJ162">
        <f t="shared" si="92"/>
        <v>0</v>
      </c>
      <c r="AK162">
        <f>IF('Исходные данные'!$B$51="Да",-MAX(0,AG162+Расчёты!R162+Расчёты!V162-Расчёты!P162-Расчёты!T162-AJ162),0)</f>
        <v>0</v>
      </c>
      <c r="AL162">
        <f>IF('Исходные данные'!$B$51="Да",MAX(0,AJ162+Расчёты!P162+Расчёты!T162-AG162-Расчёты!R162-Расчёты!V162),0)</f>
        <v>0</v>
      </c>
      <c r="AM162">
        <f>IF('Исходные данные'!$B$53="Выручка",MAX(0,AF162+(Расчёты!Q162-Расчёты!R162)+(Расчёты!U162-Расчёты!V162)),IF('Исходные данные'!$B$53="Прибыль до налога",MAX(0,AF162+(Расчёты!Q162-Расчёты!R162)+(Расчёты!U162-Расчёты!V162)+N('Исходные данные'!$B$54)*((Расчёты!O162+Расчёты!P162)+(Расчёты!S162+Расчёты!T162)+Расчёты!W162+Расчёты!X162)+IF('Исходные данные'!$B$55="Да",Расчёты!AG162,0)-N('Исходные данные'!$B$56)/12),IF('Исходные данные'!$B$53="Пользовательская база",MAX(0,N('Исходные данные'!$B$57)/12),0)))</f>
        <v>0</v>
      </c>
      <c r="AN162">
        <f>IF(D162=1,-AM162*N('Исходные данные'!$B$50),0)</f>
        <v>0</v>
      </c>
      <c r="AO162">
        <f t="shared" ref="AO162:AO194" si="105">IF(B162="",0,SUMIFS($AI$2:$AI$194,$B$2:$B$194,"&gt;"&amp;B162,$B$2:$B$194,"&lt;="&amp;EDATE(B162,12)))</f>
        <v>0</v>
      </c>
      <c r="AP162">
        <f>IF(OR(D162&lt;&gt;1,B162="",'Исходные данные'!$B$91="",N('Исходные данные'!$B$80)&lt;=0,'Исходные данные'!$B$88=""),0,IF(AND(YEAR(B162)=YEAR('Исходные данные'!$B$91),MONTH(B162)=MONTH('Исходные данные'!$B$91)),MAX(0,IF('Исходные данные'!$B$88="Последние 12 месяцев",SUMIFS($AI$2:$AI$194,$B$2:$B$194,"&gt;="&amp;EDATE(B162,-11),$B$2:$B$194,"&lt;="&amp;B162),IF('Исходные данные'!$B$88="Пользовательский NOI",N('Исходные данные'!$B$89),AO162))/N('Исходные данные'!$B$80)*(1+N('Исходные данные'!$B$81))),0))</f>
        <v>0</v>
      </c>
      <c r="AQ162">
        <f>-AP162*N('Исходные данные'!$B$73)</f>
        <v>0</v>
      </c>
      <c r="AR162">
        <f>IF(AP162=0,0,-N('Исходные данные'!$B$87)-IF('Исходные данные'!$B$82="Да",IF('Исходные данные'!$B$84="С выручки",AP162,IF('Исходные данные'!$B$84="С прибыли",MAX(0,AP162+AQ162-IF('Исходные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62">
        <f t="shared" ref="AS162:AS193" si="106">AP162+AQ162+AR162</f>
        <v>0</v>
      </c>
      <c r="AT162">
        <f>IF(D162=1,Расчёты!AZ162+AH162+AK162+AN162+AS162,0)</f>
        <v>0</v>
      </c>
      <c r="AU162" t="str">
        <f t="shared" si="93"/>
        <v/>
      </c>
      <c r="AV162">
        <f>IF(OR(D162=0,'Исходные данные'!$B$9="",'Исходные данные'!$B$90=""),0,AT162/(1+'Исходные данные'!$B$90)^((C162-'Исходные данные'!$B$9)/365))</f>
        <v>0</v>
      </c>
      <c r="AW162">
        <f>IF(D162=1,AH162+Расчёты!O162+Расчёты!Q162+Расчёты!S162+Расчёты!U162+Расчёты!W162+Расчёты!X162+AK162+AN162,0)</f>
        <v>0</v>
      </c>
      <c r="AX162">
        <f>IF(AND(D162=1,AU162&gt;=0,AU161&lt;0,MIN($AU$2:AU162)&lt;0),1,0)</f>
        <v>0</v>
      </c>
      <c r="AY162">
        <f>IF(Расчёты!F162=0,0,IF(Расчёты!G162=1,N('Сценарный анализ'!$D$5),IF(Расчёты!G162=2,N('Сценарный анализ'!$D$6),IF(Расчёты!G162=3,N('Сценарный анализ'!$D$7),N('Сценарный анализ'!$D$7)*(1+N('Сценарный анализ'!$D$8))^(Расчёты!G162-3)))))</f>
        <v>0</v>
      </c>
      <c r="AZ162">
        <f>IF(OR(Расчёты!F162=0,N('Исходные данные'!$B$5)=0,AY162=0),0,N('Исходные данные'!$B$5)*AY162*IF(AND(B162&lt;='Исходные данные'!$B$30,Расчёты!C162&gt;='Исходные данные'!$B$30),(Расчёты!C162-'Исходные данные'!$B$30+1)/DAY(Расчёты!C162),1))</f>
        <v>0</v>
      </c>
      <c r="BA162">
        <f>IF(AND(Расчёты!F162&gt;0,Расчёты!F162&lt;=N('Исходные данные'!$B$37)),-AZ162,0)</f>
        <v>0</v>
      </c>
      <c r="BB162">
        <f>IF(OR(Расчёты!F162=0,Расчёты!F162&lt;=N('Исходные данные'!$B$37)),0,-(AZ162+BA162)*N('Сценарный анализ'!$D$9))</f>
        <v>0</v>
      </c>
      <c r="BC162">
        <f t="shared" ref="BC162:BC193" si="107">AZ162+BA162+BB162</f>
        <v>0</v>
      </c>
      <c r="BD162">
        <f>IF('Исходные данные'!$B$51="Да",BC162*N('Исходные данные'!$B$52),0)</f>
        <v>0</v>
      </c>
      <c r="BE162">
        <f t="shared" ref="BE162:BE193" si="108">BC162+BD162</f>
        <v>0</v>
      </c>
      <c r="BF162">
        <f>BC162+(Расчёты!Y162-Расчёты!L162)</f>
        <v>0</v>
      </c>
      <c r="BG162">
        <f t="shared" si="94"/>
        <v>0</v>
      </c>
      <c r="BH162">
        <f>IF('Исходные данные'!$B$51="Да",-MAX(0,BD162+Расчёты!R162+Расчёты!V162-Расчёты!P162-Расчёты!T162-BG162),0)</f>
        <v>0</v>
      </c>
      <c r="BI162">
        <f>IF('Исходные данные'!$B$51="Да",MAX(0,BG162+Расчёты!P162+Расчёты!T162-BD162-Расчёты!R162-Расчёты!V162),0)</f>
        <v>0</v>
      </c>
      <c r="BJ162">
        <f>IF('Исходные данные'!$B$53="Выручка",MAX(0,BC162+(Расчёты!Q162-Расчёты!R162)+(Расчёты!U162-Расчёты!V162)),IF('Исходные данные'!$B$53="Прибыль до налога",MAX(0,BC162+(Расчёты!Q162-Расчёты!R162)+(Расчёты!U162-Расчёты!V162)+N('Исходные данные'!$B$54)*((Расчёты!O162+Расчёты!P162)+(Расчёты!S162+Расчёты!T162)+Расчёты!W162+Расчёты!X162)+IF('Исходные данные'!$B$55="Да",Расчёты!AG162,0)-N('Исходные данные'!$B$56)/12),IF('Исходные данные'!$B$53="Пользовательская база",MAX(0,N('Исходные данные'!$B$57)/12),0)))</f>
        <v>0</v>
      </c>
      <c r="BK162">
        <f>IF(D162=1,-BJ162*N('Исходные данные'!$B$50),0)</f>
        <v>0</v>
      </c>
      <c r="BL162">
        <f t="shared" ref="BL162:BL194" si="109">IF(B162="",0,SUMIFS($BF$2:$BF$194,$B$2:$B$194,"&gt;"&amp;B162,$B$2:$B$194,"&lt;="&amp;EDATE(B162,12)))</f>
        <v>0</v>
      </c>
      <c r="BM162">
        <f>IF(OR(D162&lt;&gt;1,B162="",'Исходные данные'!$B$91="",N('Исходные данные'!$B$80)&lt;=0,'Исходные данные'!$B$88=""),0,IF(AND(YEAR(B162)=YEAR('Исходные данные'!$B$91),MONTH(B162)=MONTH('Исходные данные'!$B$91)),MAX(0,IF('Исходные данные'!$B$88="Последние 12 месяцев",SUMIFS($BF$2:$BF$194,$B$2:$B$194,"&gt;="&amp;EDATE(B162,-11),$B$2:$B$194,"&lt;="&amp;B162),IF('Исходные данные'!$B$88="Пользовательский NOI",N('Исходные данные'!$B$89),BL162))/N('Исходные данные'!$B$80)*(1+N('Исходные данные'!$B$81))),0))</f>
        <v>0</v>
      </c>
      <c r="BN162">
        <f>-BM162*N('Исходные данные'!$B$73)</f>
        <v>0</v>
      </c>
      <c r="BO162">
        <f>IF(BM162=0,0,-N('Исходные данные'!$B$87)-IF('Исходные данные'!$B$82="Да",IF('Исходные данные'!$B$84="С выручки",BM162,IF('Исходные данные'!$B$84="С прибыли",MAX(0,BM162+BN162-IF('Исходные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62">
        <f t="shared" ref="BP162:BP193" si="110">BM162+BN162+BO162</f>
        <v>0</v>
      </c>
      <c r="BQ162">
        <f>IF(D162=1,Расчёты!AZ162+BE162+BH162+BK162+BP162,0)</f>
        <v>0</v>
      </c>
      <c r="BR162" t="str">
        <f t="shared" si="95"/>
        <v/>
      </c>
      <c r="BS162">
        <f>IF(OR(D162=0,'Исходные данные'!$B$9="",'Исходные данные'!$B$90=""),0,BQ162/(1+'Исходные данные'!$B$90)^((C162-'Исходные данные'!$B$9)/365))</f>
        <v>0</v>
      </c>
      <c r="BT162">
        <f>IF(D162=1,BE162+Расчёты!O162+Расчёты!Q162+Расчёты!S162+Расчёты!U162+Расчёты!W162+Расчёты!X162+BH162+BK162,0)</f>
        <v>0</v>
      </c>
      <c r="BU162">
        <f>IF(AND(D162=1,BR162&gt;=0,BR161&lt;0,MIN($BR$2:BR162)&lt;0),1,0)</f>
        <v>0</v>
      </c>
      <c r="BV162">
        <f>Расчёты!AZ162+K162+N162-P162*N('Исходные данные'!$B$50)</f>
        <v>0</v>
      </c>
      <c r="BW162">
        <f t="shared" si="96"/>
        <v>0</v>
      </c>
      <c r="BX162">
        <f>IF(AND(BW162&gt;=0,BW161&lt;0,MIN($BW$2:BW162)&lt;0),1,0)</f>
        <v>0</v>
      </c>
      <c r="BY162">
        <f>Расчёты!AZ162+AH162+AK162-AM162*N('Исходные данные'!$B$50)</f>
        <v>0</v>
      </c>
      <c r="BZ162">
        <f t="shared" si="97"/>
        <v>0</v>
      </c>
      <c r="CA162">
        <f>IF(AND(BZ162&gt;=0,BZ161&lt;0,MIN($BZ$2:BZ162)&lt;0),1,0)</f>
        <v>0</v>
      </c>
      <c r="CB162">
        <f>Расчёты!AZ162+BE162+BH162-BJ162*N('Исходные данные'!$B$50)</f>
        <v>0</v>
      </c>
      <c r="CC162">
        <f t="shared" si="98"/>
        <v>0</v>
      </c>
      <c r="CD162">
        <f>IF(AND(CC162&gt;=0,CC161&lt;0,MIN($CC$2:CC162)&lt;0),1,0)</f>
        <v>0</v>
      </c>
    </row>
    <row r="163" spans="1:82" x14ac:dyDescent="0.2">
      <c r="A163">
        <f>Расчёты!A163</f>
        <v>162</v>
      </c>
      <c r="B163" t="str">
        <f>Расчёты!B163</f>
        <v/>
      </c>
      <c r="C163" t="str">
        <f>Расчёты!D163</f>
        <v/>
      </c>
      <c r="D163">
        <f>Расчёты!E163</f>
        <v>0</v>
      </c>
      <c r="E163">
        <f>IF(Расчёты!F163=0,0,IF(Расчёты!G163=1,N('Сценарный анализ'!$B$5),IF(Расчёты!G163=2,N('Сценарный анализ'!$B$6),IF(Расчёты!G163=3,N('Сценарный анализ'!$B$7),N('Сценарный анализ'!$B$7)*(1+N('Сценарный анализ'!$B$8))^(Расчёты!G163-3)))))</f>
        <v>0</v>
      </c>
      <c r="F163">
        <f>IF(OR(Расчёты!F163=0,N('Исходные данные'!$B$5)=0,E163=0),0,N('Исходные данные'!$B$5)*E163*IF(AND(B163&lt;='Исходные данные'!$B$30,Расчёты!C163&gt;='Исходные данные'!$B$30),(Расчёты!C163-'Исходные данные'!$B$30+1)/DAY(Расчёты!C163),1))</f>
        <v>0</v>
      </c>
      <c r="G163">
        <f>IF(AND(Расчёты!F163&gt;0,Расчёты!F163&lt;=N('Исходные данные'!$B$37)),-F163,0)</f>
        <v>0</v>
      </c>
      <c r="H163">
        <f>IF(OR(Расчёты!F163=0,Расчёты!F163&lt;=N('Исходные данные'!$B$37)),0,-(F163+G163)*N('Сценарный анализ'!$B$9))</f>
        <v>0</v>
      </c>
      <c r="I163">
        <f t="shared" si="99"/>
        <v>0</v>
      </c>
      <c r="J163">
        <f>IF('Исходные данные'!$B$51="Да",I163*N('Исходные данные'!$B$52),0)</f>
        <v>0</v>
      </c>
      <c r="K163">
        <f t="shared" si="100"/>
        <v>0</v>
      </c>
      <c r="L163">
        <f>I163+(Расчёты!Y163-Расчёты!L163)</f>
        <v>0</v>
      </c>
      <c r="M163">
        <f t="shared" ref="M163:M194" si="111">O162</f>
        <v>0</v>
      </c>
      <c r="N163">
        <f>IF('Исходные данные'!$B$51="Да",-MAX(0,J163+Расчёты!R163+Расчёты!V163-Расчёты!P163-Расчёты!T163-M163),0)</f>
        <v>0</v>
      </c>
      <c r="O163">
        <f>IF('Исходные данные'!$B$51="Да",MAX(0,M163+Расчёты!P163+Расчёты!T163-J163-Расчёты!R163-Расчёты!V163),0)</f>
        <v>0</v>
      </c>
      <c r="P163">
        <f>IF('Исходные данные'!$B$53="Выручка",MAX(0,I163+(Расчёты!Q163-Расчёты!R163)+(Расчёты!U163-Расчёты!V163)),IF('Исходные данные'!$B$53="Прибыль до налога",MAX(0,I163+(Расчёты!Q163-Расчёты!R163)+(Расчёты!U163-Расчёты!V163)+N('Исходные данные'!$B$54)*((Расчёты!O163+Расчёты!P163)+(Расчёты!S163+Расчёты!T163)+Расчёты!W163+Расчёты!X163)+IF('Исходные данные'!$B$55="Да",Расчёты!AG163,0)-N('Исходные данные'!$B$56)/12),IF('Исходные данные'!$B$53="Пользовательская база",MAX(0,N('Исходные данные'!$B$57)/12),0)))</f>
        <v>0</v>
      </c>
      <c r="Q163">
        <f>IF(D163=1,-P163*N('Исходные данные'!$B$50),0)</f>
        <v>0</v>
      </c>
      <c r="R163">
        <f t="shared" si="101"/>
        <v>0</v>
      </c>
      <c r="S163">
        <f>IF(OR(D163&lt;&gt;1,B163="",'Исходные данные'!$B$91="",N('Исходные данные'!$B$80)&lt;=0,'Исходные данные'!$B$88=""),0,IF(AND(YEAR(B163)=YEAR('Исходные данные'!$B$91),MONTH(B163)=MONTH('Исходные данные'!$B$91)),MAX(0,IF('Исходные данные'!$B$88="Последние 12 месяцев",SUMIFS($L$2:$L$194,$B$2:$B$194,"&gt;="&amp;EDATE(B163,-11),$B$2:$B$194,"&lt;="&amp;B163),IF('Исходные данные'!$B$88="Пользовательский NOI",N('Исходные данные'!$B$89),R163))/N('Исходные данные'!$B$80)*(1+N('Исходные данные'!$B$81))),0))</f>
        <v>0</v>
      </c>
      <c r="T163">
        <f>-S163*N('Исходные данные'!$B$73)</f>
        <v>0</v>
      </c>
      <c r="U163">
        <f>IF(S163=0,0,-N('Исходные данные'!$B$87)-IF('Исходные данные'!$B$82="Да",IF('Исходные данные'!$B$84="С выручки",S163,IF('Исходные данные'!$B$84="С прибыли",MAX(0,S163+T163-IF('Исходные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63">
        <f t="shared" si="102"/>
        <v>0</v>
      </c>
      <c r="W163">
        <f>IF(D163=1,Расчёты!AZ163+K163+N163+Q163+V163,0)</f>
        <v>0</v>
      </c>
      <c r="X163" t="str">
        <f t="shared" ref="X163:X194" si="112">IF(D163=1,X162+W163,"")</f>
        <v/>
      </c>
      <c r="Y163">
        <f>IF(OR(D163=0,'Исходные данные'!$B$9="",'Исходные данные'!$B$90=""),0,W163/(1+'Исходные данные'!$B$90)^((C163-'Исходные данные'!$B$9)/365))</f>
        <v>0</v>
      </c>
      <c r="Z163">
        <f>IF(D163=1,K163+Расчёты!O163+Расчёты!Q163+Расчёты!S163+Расчёты!U163+Расчёты!W163+Расчёты!X163+N163+Q163,0)</f>
        <v>0</v>
      </c>
      <c r="AA163">
        <f>IF(AND(D163=1,X163&gt;=0,X162&lt;0,MIN($X$2:X163)&lt;0),1,0)</f>
        <v>0</v>
      </c>
      <c r="AB163">
        <f>IF(Расчёты!F163=0,0,IF(Расчёты!G163=1,N('Сценарный анализ'!$C$5),IF(Расчёты!G163=2,N('Сценарный анализ'!$C$6),IF(Расчёты!G163=3,N('Сценарный анализ'!$C$7),N('Сценарный анализ'!$C$7)*(1+N('Сценарный анализ'!$C$8))^(Расчёты!G163-3)))))</f>
        <v>0</v>
      </c>
      <c r="AC163">
        <f>IF(OR(Расчёты!F163=0,N('Исходные данные'!$B$5)=0,AB163=0),0,N('Исходные данные'!$B$5)*AB163*IF(AND(B163&lt;='Исходные данные'!$B$30,Расчёты!C163&gt;='Исходные данные'!$B$30),(Расчёты!C163-'Исходные данные'!$B$30+1)/DAY(Расчёты!C163),1))</f>
        <v>0</v>
      </c>
      <c r="AD163">
        <f>IF(AND(Расчёты!F163&gt;0,Расчёты!F163&lt;=N('Исходные данные'!$B$37)),-AC163,0)</f>
        <v>0</v>
      </c>
      <c r="AE163">
        <f>IF(OR(Расчёты!F163=0,Расчёты!F163&lt;=N('Исходные данные'!$B$37)),0,-(AC163+AD163)*N('Сценарный анализ'!$C$9))</f>
        <v>0</v>
      </c>
      <c r="AF163">
        <f t="shared" si="103"/>
        <v>0</v>
      </c>
      <c r="AG163">
        <f>IF('Исходные данные'!$B$51="Да",AF163*N('Исходные данные'!$B$52),0)</f>
        <v>0</v>
      </c>
      <c r="AH163">
        <f t="shared" si="104"/>
        <v>0</v>
      </c>
      <c r="AI163">
        <f>AF163+(Расчёты!Y163-Расчёты!L163)</f>
        <v>0</v>
      </c>
      <c r="AJ163">
        <f t="shared" ref="AJ163:AJ194" si="113">AL162</f>
        <v>0</v>
      </c>
      <c r="AK163">
        <f>IF('Исходные данные'!$B$51="Да",-MAX(0,AG163+Расчёты!R163+Расчёты!V163-Расчёты!P163-Расчёты!T163-AJ163),0)</f>
        <v>0</v>
      </c>
      <c r="AL163">
        <f>IF('Исходные данные'!$B$51="Да",MAX(0,AJ163+Расчёты!P163+Расчёты!T163-AG163-Расчёты!R163-Расчёты!V163),0)</f>
        <v>0</v>
      </c>
      <c r="AM163">
        <f>IF('Исходные данные'!$B$53="Выручка",MAX(0,AF163+(Расчёты!Q163-Расчёты!R163)+(Расчёты!U163-Расчёты!V163)),IF('Исходные данные'!$B$53="Прибыль до налога",MAX(0,AF163+(Расчёты!Q163-Расчёты!R163)+(Расчёты!U163-Расчёты!V163)+N('Исходные данные'!$B$54)*((Расчёты!O163+Расчёты!P163)+(Расчёты!S163+Расчёты!T163)+Расчёты!W163+Расчёты!X163)+IF('Исходные данные'!$B$55="Да",Расчёты!AG163,0)-N('Исходные данные'!$B$56)/12),IF('Исходные данные'!$B$53="Пользовательская база",MAX(0,N('Исходные данные'!$B$57)/12),0)))</f>
        <v>0</v>
      </c>
      <c r="AN163">
        <f>IF(D163=1,-AM163*N('Исходные данные'!$B$50),0)</f>
        <v>0</v>
      </c>
      <c r="AO163">
        <f t="shared" si="105"/>
        <v>0</v>
      </c>
      <c r="AP163">
        <f>IF(OR(D163&lt;&gt;1,B163="",'Исходные данные'!$B$91="",N('Исходные данные'!$B$80)&lt;=0,'Исходные данные'!$B$88=""),0,IF(AND(YEAR(B163)=YEAR('Исходные данные'!$B$91),MONTH(B163)=MONTH('Исходные данные'!$B$91)),MAX(0,IF('Исходные данные'!$B$88="Последние 12 месяцев",SUMIFS($AI$2:$AI$194,$B$2:$B$194,"&gt;="&amp;EDATE(B163,-11),$B$2:$B$194,"&lt;="&amp;B163),IF('Исходные данные'!$B$88="Пользовательский NOI",N('Исходные данные'!$B$89),AO163))/N('Исходные данные'!$B$80)*(1+N('Исходные данные'!$B$81))),0))</f>
        <v>0</v>
      </c>
      <c r="AQ163">
        <f>-AP163*N('Исходные данные'!$B$73)</f>
        <v>0</v>
      </c>
      <c r="AR163">
        <f>IF(AP163=0,0,-N('Исходные данные'!$B$87)-IF('Исходные данные'!$B$82="Да",IF('Исходные данные'!$B$84="С выручки",AP163,IF('Исходные данные'!$B$84="С прибыли",MAX(0,AP163+AQ163-IF('Исходные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63">
        <f t="shared" si="106"/>
        <v>0</v>
      </c>
      <c r="AT163">
        <f>IF(D163=1,Расчёты!AZ163+AH163+AK163+AN163+AS163,0)</f>
        <v>0</v>
      </c>
      <c r="AU163" t="str">
        <f t="shared" ref="AU163:AU194" si="114">IF(D163=1,AU162+AT163,"")</f>
        <v/>
      </c>
      <c r="AV163">
        <f>IF(OR(D163=0,'Исходные данные'!$B$9="",'Исходные данные'!$B$90=""),0,AT163/(1+'Исходные данные'!$B$90)^((C163-'Исходные данные'!$B$9)/365))</f>
        <v>0</v>
      </c>
      <c r="AW163">
        <f>IF(D163=1,AH163+Расчёты!O163+Расчёты!Q163+Расчёты!S163+Расчёты!U163+Расчёты!W163+Расчёты!X163+AK163+AN163,0)</f>
        <v>0</v>
      </c>
      <c r="AX163">
        <f>IF(AND(D163=1,AU163&gt;=0,AU162&lt;0,MIN($AU$2:AU163)&lt;0),1,0)</f>
        <v>0</v>
      </c>
      <c r="AY163">
        <f>IF(Расчёты!F163=0,0,IF(Расчёты!G163=1,N('Сценарный анализ'!$D$5),IF(Расчёты!G163=2,N('Сценарный анализ'!$D$6),IF(Расчёты!G163=3,N('Сценарный анализ'!$D$7),N('Сценарный анализ'!$D$7)*(1+N('Сценарный анализ'!$D$8))^(Расчёты!G163-3)))))</f>
        <v>0</v>
      </c>
      <c r="AZ163">
        <f>IF(OR(Расчёты!F163=0,N('Исходные данные'!$B$5)=0,AY163=0),0,N('Исходные данные'!$B$5)*AY163*IF(AND(B163&lt;='Исходные данные'!$B$30,Расчёты!C163&gt;='Исходные данные'!$B$30),(Расчёты!C163-'Исходные данные'!$B$30+1)/DAY(Расчёты!C163),1))</f>
        <v>0</v>
      </c>
      <c r="BA163">
        <f>IF(AND(Расчёты!F163&gt;0,Расчёты!F163&lt;=N('Исходные данные'!$B$37)),-AZ163,0)</f>
        <v>0</v>
      </c>
      <c r="BB163">
        <f>IF(OR(Расчёты!F163=0,Расчёты!F163&lt;=N('Исходные данные'!$B$37)),0,-(AZ163+BA163)*N('Сценарный анализ'!$D$9))</f>
        <v>0</v>
      </c>
      <c r="BC163">
        <f t="shared" si="107"/>
        <v>0</v>
      </c>
      <c r="BD163">
        <f>IF('Исходные данные'!$B$51="Да",BC163*N('Исходные данные'!$B$52),0)</f>
        <v>0</v>
      </c>
      <c r="BE163">
        <f t="shared" si="108"/>
        <v>0</v>
      </c>
      <c r="BF163">
        <f>BC163+(Расчёты!Y163-Расчёты!L163)</f>
        <v>0</v>
      </c>
      <c r="BG163">
        <f t="shared" ref="BG163:BG194" si="115">BI162</f>
        <v>0</v>
      </c>
      <c r="BH163">
        <f>IF('Исходные данные'!$B$51="Да",-MAX(0,BD163+Расчёты!R163+Расчёты!V163-Расчёты!P163-Расчёты!T163-BG163),0)</f>
        <v>0</v>
      </c>
      <c r="BI163">
        <f>IF('Исходные данные'!$B$51="Да",MAX(0,BG163+Расчёты!P163+Расчёты!T163-BD163-Расчёты!R163-Расчёты!V163),0)</f>
        <v>0</v>
      </c>
      <c r="BJ163">
        <f>IF('Исходные данные'!$B$53="Выручка",MAX(0,BC163+(Расчёты!Q163-Расчёты!R163)+(Расчёты!U163-Расчёты!V163)),IF('Исходные данные'!$B$53="Прибыль до налога",MAX(0,BC163+(Расчёты!Q163-Расчёты!R163)+(Расчёты!U163-Расчёты!V163)+N('Исходные данные'!$B$54)*((Расчёты!O163+Расчёты!P163)+(Расчёты!S163+Расчёты!T163)+Расчёты!W163+Расчёты!X163)+IF('Исходные данные'!$B$55="Да",Расчёты!AG163,0)-N('Исходные данные'!$B$56)/12),IF('Исходные данные'!$B$53="Пользовательская база",MAX(0,N('Исходные данные'!$B$57)/12),0)))</f>
        <v>0</v>
      </c>
      <c r="BK163">
        <f>IF(D163=1,-BJ163*N('Исходные данные'!$B$50),0)</f>
        <v>0</v>
      </c>
      <c r="BL163">
        <f t="shared" si="109"/>
        <v>0</v>
      </c>
      <c r="BM163">
        <f>IF(OR(D163&lt;&gt;1,B163="",'Исходные данные'!$B$91="",N('Исходные данные'!$B$80)&lt;=0,'Исходные данные'!$B$88=""),0,IF(AND(YEAR(B163)=YEAR('Исходные данные'!$B$91),MONTH(B163)=MONTH('Исходные данные'!$B$91)),MAX(0,IF('Исходные данные'!$B$88="Последние 12 месяцев",SUMIFS($BF$2:$BF$194,$B$2:$B$194,"&gt;="&amp;EDATE(B163,-11),$B$2:$B$194,"&lt;="&amp;B163),IF('Исходные данные'!$B$88="Пользовательский NOI",N('Исходные данные'!$B$89),BL163))/N('Исходные данные'!$B$80)*(1+N('Исходные данные'!$B$81))),0))</f>
        <v>0</v>
      </c>
      <c r="BN163">
        <f>-BM163*N('Исходные данные'!$B$73)</f>
        <v>0</v>
      </c>
      <c r="BO163">
        <f>IF(BM163=0,0,-N('Исходные данные'!$B$87)-IF('Исходные данные'!$B$82="Да",IF('Исходные данные'!$B$84="С выручки",BM163,IF('Исходные данные'!$B$84="С прибыли",MAX(0,BM163+BN163-IF('Исходные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63">
        <f t="shared" si="110"/>
        <v>0</v>
      </c>
      <c r="BQ163">
        <f>IF(D163=1,Расчёты!AZ163+BE163+BH163+BK163+BP163,0)</f>
        <v>0</v>
      </c>
      <c r="BR163" t="str">
        <f t="shared" ref="BR163:BR194" si="116">IF(D163=1,BR162+BQ163,"")</f>
        <v/>
      </c>
      <c r="BS163">
        <f>IF(OR(D163=0,'Исходные данные'!$B$9="",'Исходные данные'!$B$90=""),0,BQ163/(1+'Исходные данные'!$B$90)^((C163-'Исходные данные'!$B$9)/365))</f>
        <v>0</v>
      </c>
      <c r="BT163">
        <f>IF(D163=1,BE163+Расчёты!O163+Расчёты!Q163+Расчёты!S163+Расчёты!U163+Расчёты!W163+Расчёты!X163+BH163+BK163,0)</f>
        <v>0</v>
      </c>
      <c r="BU163">
        <f>IF(AND(D163=1,BR163&gt;=0,BR162&lt;0,MIN($BR$2:BR163)&lt;0),1,0)</f>
        <v>0</v>
      </c>
      <c r="BV163">
        <f>Расчёты!AZ163+K163+N163-P163*N('Исходные данные'!$B$50)</f>
        <v>0</v>
      </c>
      <c r="BW163">
        <f t="shared" si="96"/>
        <v>0</v>
      </c>
      <c r="BX163">
        <f>IF(AND(BW163&gt;=0,BW162&lt;0,MIN($BW$2:BW163)&lt;0),1,0)</f>
        <v>0</v>
      </c>
      <c r="BY163">
        <f>Расчёты!AZ163+AH163+AK163-AM163*N('Исходные данные'!$B$50)</f>
        <v>0</v>
      </c>
      <c r="BZ163">
        <f t="shared" si="97"/>
        <v>0</v>
      </c>
      <c r="CA163">
        <f>IF(AND(BZ163&gt;=0,BZ162&lt;0,MIN($BZ$2:BZ163)&lt;0),1,0)</f>
        <v>0</v>
      </c>
      <c r="CB163">
        <f>Расчёты!AZ163+BE163+BH163-BJ163*N('Исходные данные'!$B$50)</f>
        <v>0</v>
      </c>
      <c r="CC163">
        <f t="shared" si="98"/>
        <v>0</v>
      </c>
      <c r="CD163">
        <f>IF(AND(CC163&gt;=0,CC162&lt;0,MIN($CC$2:CC163)&lt;0),1,0)</f>
        <v>0</v>
      </c>
    </row>
    <row r="164" spans="1:82" x14ac:dyDescent="0.2">
      <c r="A164">
        <f>Расчёты!A164</f>
        <v>163</v>
      </c>
      <c r="B164" t="str">
        <f>Расчёты!B164</f>
        <v/>
      </c>
      <c r="C164" t="str">
        <f>Расчёты!D164</f>
        <v/>
      </c>
      <c r="D164">
        <f>Расчёты!E164</f>
        <v>0</v>
      </c>
      <c r="E164">
        <f>IF(Расчёты!F164=0,0,IF(Расчёты!G164=1,N('Сценарный анализ'!$B$5),IF(Расчёты!G164=2,N('Сценарный анализ'!$B$6),IF(Расчёты!G164=3,N('Сценарный анализ'!$B$7),N('Сценарный анализ'!$B$7)*(1+N('Сценарный анализ'!$B$8))^(Расчёты!G164-3)))))</f>
        <v>0</v>
      </c>
      <c r="F164">
        <f>IF(OR(Расчёты!F164=0,N('Исходные данные'!$B$5)=0,E164=0),0,N('Исходные данные'!$B$5)*E164*IF(AND(B164&lt;='Исходные данные'!$B$30,Расчёты!C164&gt;='Исходные данные'!$B$30),(Расчёты!C164-'Исходные данные'!$B$30+1)/DAY(Расчёты!C164),1))</f>
        <v>0</v>
      </c>
      <c r="G164">
        <f>IF(AND(Расчёты!F164&gt;0,Расчёты!F164&lt;=N('Исходные данные'!$B$37)),-F164,0)</f>
        <v>0</v>
      </c>
      <c r="H164">
        <f>IF(OR(Расчёты!F164=0,Расчёты!F164&lt;=N('Исходные данные'!$B$37)),0,-(F164+G164)*N('Сценарный анализ'!$B$9))</f>
        <v>0</v>
      </c>
      <c r="I164">
        <f t="shared" si="99"/>
        <v>0</v>
      </c>
      <c r="J164">
        <f>IF('Исходные данные'!$B$51="Да",I164*N('Исходные данные'!$B$52),0)</f>
        <v>0</v>
      </c>
      <c r="K164">
        <f t="shared" si="100"/>
        <v>0</v>
      </c>
      <c r="L164">
        <f>I164+(Расчёты!Y164-Расчёты!L164)</f>
        <v>0</v>
      </c>
      <c r="M164">
        <f t="shared" si="111"/>
        <v>0</v>
      </c>
      <c r="N164">
        <f>IF('Исходные данные'!$B$51="Да",-MAX(0,J164+Расчёты!R164+Расчёты!V164-Расчёты!P164-Расчёты!T164-M164),0)</f>
        <v>0</v>
      </c>
      <c r="O164">
        <f>IF('Исходные данные'!$B$51="Да",MAX(0,M164+Расчёты!P164+Расчёты!T164-J164-Расчёты!R164-Расчёты!V164),0)</f>
        <v>0</v>
      </c>
      <c r="P164">
        <f>IF('Исходные данные'!$B$53="Выручка",MAX(0,I164+(Расчёты!Q164-Расчёты!R164)+(Расчёты!U164-Расчёты!V164)),IF('Исходные данные'!$B$53="Прибыль до налога",MAX(0,I164+(Расчёты!Q164-Расчёты!R164)+(Расчёты!U164-Расчёты!V164)+N('Исходные данные'!$B$54)*((Расчёты!O164+Расчёты!P164)+(Расчёты!S164+Расчёты!T164)+Расчёты!W164+Расчёты!X164)+IF('Исходные данные'!$B$55="Да",Расчёты!AG164,0)-N('Исходные данные'!$B$56)/12),IF('Исходные данные'!$B$53="Пользовательская база",MAX(0,N('Исходные данные'!$B$57)/12),0)))</f>
        <v>0</v>
      </c>
      <c r="Q164">
        <f>IF(D164=1,-P164*N('Исходные данные'!$B$50),0)</f>
        <v>0</v>
      </c>
      <c r="R164">
        <f t="shared" si="101"/>
        <v>0</v>
      </c>
      <c r="S164">
        <f>IF(OR(D164&lt;&gt;1,B164="",'Исходные данные'!$B$91="",N('Исходные данные'!$B$80)&lt;=0,'Исходные данные'!$B$88=""),0,IF(AND(YEAR(B164)=YEAR('Исходные данные'!$B$91),MONTH(B164)=MONTH('Исходные данные'!$B$91)),MAX(0,IF('Исходные данные'!$B$88="Последние 12 месяцев",SUMIFS($L$2:$L$194,$B$2:$B$194,"&gt;="&amp;EDATE(B164,-11),$B$2:$B$194,"&lt;="&amp;B164),IF('Исходные данные'!$B$88="Пользовательский NOI",N('Исходные данные'!$B$89),R164))/N('Исходные данные'!$B$80)*(1+N('Исходные данные'!$B$81))),0))</f>
        <v>0</v>
      </c>
      <c r="T164">
        <f>-S164*N('Исходные данные'!$B$73)</f>
        <v>0</v>
      </c>
      <c r="U164">
        <f>IF(S164=0,0,-N('Исходные данные'!$B$87)-IF('Исходные данные'!$B$82="Да",IF('Исходные данные'!$B$84="С выручки",S164,IF('Исходные данные'!$B$84="С прибыли",MAX(0,S164+T164-IF('Исходные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64">
        <f t="shared" si="102"/>
        <v>0</v>
      </c>
      <c r="W164">
        <f>IF(D164=1,Расчёты!AZ164+K164+N164+Q164+V164,0)</f>
        <v>0</v>
      </c>
      <c r="X164" t="str">
        <f t="shared" si="112"/>
        <v/>
      </c>
      <c r="Y164">
        <f>IF(OR(D164=0,'Исходные данные'!$B$9="",'Исходные данные'!$B$90=""),0,W164/(1+'Исходные данные'!$B$90)^((C164-'Исходные данные'!$B$9)/365))</f>
        <v>0</v>
      </c>
      <c r="Z164">
        <f>IF(D164=1,K164+Расчёты!O164+Расчёты!Q164+Расчёты!S164+Расчёты!U164+Расчёты!W164+Расчёты!X164+N164+Q164,0)</f>
        <v>0</v>
      </c>
      <c r="AA164">
        <f>IF(AND(D164=1,X164&gt;=0,X163&lt;0,MIN($X$2:X164)&lt;0),1,0)</f>
        <v>0</v>
      </c>
      <c r="AB164">
        <f>IF(Расчёты!F164=0,0,IF(Расчёты!G164=1,N('Сценарный анализ'!$C$5),IF(Расчёты!G164=2,N('Сценарный анализ'!$C$6),IF(Расчёты!G164=3,N('Сценарный анализ'!$C$7),N('Сценарный анализ'!$C$7)*(1+N('Сценарный анализ'!$C$8))^(Расчёты!G164-3)))))</f>
        <v>0</v>
      </c>
      <c r="AC164">
        <f>IF(OR(Расчёты!F164=0,N('Исходные данные'!$B$5)=0,AB164=0),0,N('Исходные данные'!$B$5)*AB164*IF(AND(B164&lt;='Исходные данные'!$B$30,Расчёты!C164&gt;='Исходные данные'!$B$30),(Расчёты!C164-'Исходные данные'!$B$30+1)/DAY(Расчёты!C164),1))</f>
        <v>0</v>
      </c>
      <c r="AD164">
        <f>IF(AND(Расчёты!F164&gt;0,Расчёты!F164&lt;=N('Исходные данные'!$B$37)),-AC164,0)</f>
        <v>0</v>
      </c>
      <c r="AE164">
        <f>IF(OR(Расчёты!F164=0,Расчёты!F164&lt;=N('Исходные данные'!$B$37)),0,-(AC164+AD164)*N('Сценарный анализ'!$C$9))</f>
        <v>0</v>
      </c>
      <c r="AF164">
        <f t="shared" si="103"/>
        <v>0</v>
      </c>
      <c r="AG164">
        <f>IF('Исходные данные'!$B$51="Да",AF164*N('Исходные данные'!$B$52),0)</f>
        <v>0</v>
      </c>
      <c r="AH164">
        <f t="shared" si="104"/>
        <v>0</v>
      </c>
      <c r="AI164">
        <f>AF164+(Расчёты!Y164-Расчёты!L164)</f>
        <v>0</v>
      </c>
      <c r="AJ164">
        <f t="shared" si="113"/>
        <v>0</v>
      </c>
      <c r="AK164">
        <f>IF('Исходные данные'!$B$51="Да",-MAX(0,AG164+Расчёты!R164+Расчёты!V164-Расчёты!P164-Расчёты!T164-AJ164),0)</f>
        <v>0</v>
      </c>
      <c r="AL164">
        <f>IF('Исходные данные'!$B$51="Да",MAX(0,AJ164+Расчёты!P164+Расчёты!T164-AG164-Расчёты!R164-Расчёты!V164),0)</f>
        <v>0</v>
      </c>
      <c r="AM164">
        <f>IF('Исходные данные'!$B$53="Выручка",MAX(0,AF164+(Расчёты!Q164-Расчёты!R164)+(Расчёты!U164-Расчёты!V164)),IF('Исходные данные'!$B$53="Прибыль до налога",MAX(0,AF164+(Расчёты!Q164-Расчёты!R164)+(Расчёты!U164-Расчёты!V164)+N('Исходные данные'!$B$54)*((Расчёты!O164+Расчёты!P164)+(Расчёты!S164+Расчёты!T164)+Расчёты!W164+Расчёты!X164)+IF('Исходные данные'!$B$55="Да",Расчёты!AG164,0)-N('Исходные данные'!$B$56)/12),IF('Исходные данные'!$B$53="Пользовательская база",MAX(0,N('Исходные данные'!$B$57)/12),0)))</f>
        <v>0</v>
      </c>
      <c r="AN164">
        <f>IF(D164=1,-AM164*N('Исходные данные'!$B$50),0)</f>
        <v>0</v>
      </c>
      <c r="AO164">
        <f t="shared" si="105"/>
        <v>0</v>
      </c>
      <c r="AP164">
        <f>IF(OR(D164&lt;&gt;1,B164="",'Исходные данные'!$B$91="",N('Исходные данные'!$B$80)&lt;=0,'Исходные данные'!$B$88=""),0,IF(AND(YEAR(B164)=YEAR('Исходные данные'!$B$91),MONTH(B164)=MONTH('Исходные данные'!$B$91)),MAX(0,IF('Исходные данные'!$B$88="Последние 12 месяцев",SUMIFS($AI$2:$AI$194,$B$2:$B$194,"&gt;="&amp;EDATE(B164,-11),$B$2:$B$194,"&lt;="&amp;B164),IF('Исходные данные'!$B$88="Пользовательский NOI",N('Исходные данные'!$B$89),AO164))/N('Исходные данные'!$B$80)*(1+N('Исходные данные'!$B$81))),0))</f>
        <v>0</v>
      </c>
      <c r="AQ164">
        <f>-AP164*N('Исходные данные'!$B$73)</f>
        <v>0</v>
      </c>
      <c r="AR164">
        <f>IF(AP164=0,0,-N('Исходные данные'!$B$87)-IF('Исходные данные'!$B$82="Да",IF('Исходные данные'!$B$84="С выручки",AP164,IF('Исходные данные'!$B$84="С прибыли",MAX(0,AP164+AQ164-IF('Исходные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64">
        <f t="shared" si="106"/>
        <v>0</v>
      </c>
      <c r="AT164">
        <f>IF(D164=1,Расчёты!AZ164+AH164+AK164+AN164+AS164,0)</f>
        <v>0</v>
      </c>
      <c r="AU164" t="str">
        <f t="shared" si="114"/>
        <v/>
      </c>
      <c r="AV164">
        <f>IF(OR(D164=0,'Исходные данные'!$B$9="",'Исходные данные'!$B$90=""),0,AT164/(1+'Исходные данные'!$B$90)^((C164-'Исходные данные'!$B$9)/365))</f>
        <v>0</v>
      </c>
      <c r="AW164">
        <f>IF(D164=1,AH164+Расчёты!O164+Расчёты!Q164+Расчёты!S164+Расчёты!U164+Расчёты!W164+Расчёты!X164+AK164+AN164,0)</f>
        <v>0</v>
      </c>
      <c r="AX164">
        <f>IF(AND(D164=1,AU164&gt;=0,AU163&lt;0,MIN($AU$2:AU164)&lt;0),1,0)</f>
        <v>0</v>
      </c>
      <c r="AY164">
        <f>IF(Расчёты!F164=0,0,IF(Расчёты!G164=1,N('Сценарный анализ'!$D$5),IF(Расчёты!G164=2,N('Сценарный анализ'!$D$6),IF(Расчёты!G164=3,N('Сценарный анализ'!$D$7),N('Сценарный анализ'!$D$7)*(1+N('Сценарный анализ'!$D$8))^(Расчёты!G164-3)))))</f>
        <v>0</v>
      </c>
      <c r="AZ164">
        <f>IF(OR(Расчёты!F164=0,N('Исходные данные'!$B$5)=0,AY164=0),0,N('Исходные данные'!$B$5)*AY164*IF(AND(B164&lt;='Исходные данные'!$B$30,Расчёты!C164&gt;='Исходные данные'!$B$30),(Расчёты!C164-'Исходные данные'!$B$30+1)/DAY(Расчёты!C164),1))</f>
        <v>0</v>
      </c>
      <c r="BA164">
        <f>IF(AND(Расчёты!F164&gt;0,Расчёты!F164&lt;=N('Исходные данные'!$B$37)),-AZ164,0)</f>
        <v>0</v>
      </c>
      <c r="BB164">
        <f>IF(OR(Расчёты!F164=0,Расчёты!F164&lt;=N('Исходные данные'!$B$37)),0,-(AZ164+BA164)*N('Сценарный анализ'!$D$9))</f>
        <v>0</v>
      </c>
      <c r="BC164">
        <f t="shared" si="107"/>
        <v>0</v>
      </c>
      <c r="BD164">
        <f>IF('Исходные данные'!$B$51="Да",BC164*N('Исходные данные'!$B$52),0)</f>
        <v>0</v>
      </c>
      <c r="BE164">
        <f t="shared" si="108"/>
        <v>0</v>
      </c>
      <c r="BF164">
        <f>BC164+(Расчёты!Y164-Расчёты!L164)</f>
        <v>0</v>
      </c>
      <c r="BG164">
        <f t="shared" si="115"/>
        <v>0</v>
      </c>
      <c r="BH164">
        <f>IF('Исходные данные'!$B$51="Да",-MAX(0,BD164+Расчёты!R164+Расчёты!V164-Расчёты!P164-Расчёты!T164-BG164),0)</f>
        <v>0</v>
      </c>
      <c r="BI164">
        <f>IF('Исходные данные'!$B$51="Да",MAX(0,BG164+Расчёты!P164+Расчёты!T164-BD164-Расчёты!R164-Расчёты!V164),0)</f>
        <v>0</v>
      </c>
      <c r="BJ164">
        <f>IF('Исходные данные'!$B$53="Выручка",MAX(0,BC164+(Расчёты!Q164-Расчёты!R164)+(Расчёты!U164-Расчёты!V164)),IF('Исходные данные'!$B$53="Прибыль до налога",MAX(0,BC164+(Расчёты!Q164-Расчёты!R164)+(Расчёты!U164-Расчёты!V164)+N('Исходные данные'!$B$54)*((Расчёты!O164+Расчёты!P164)+(Расчёты!S164+Расчёты!T164)+Расчёты!W164+Расчёты!X164)+IF('Исходные данные'!$B$55="Да",Расчёты!AG164,0)-N('Исходные данные'!$B$56)/12),IF('Исходные данные'!$B$53="Пользовательская база",MAX(0,N('Исходные данные'!$B$57)/12),0)))</f>
        <v>0</v>
      </c>
      <c r="BK164">
        <f>IF(D164=1,-BJ164*N('Исходные данные'!$B$50),0)</f>
        <v>0</v>
      </c>
      <c r="BL164">
        <f t="shared" si="109"/>
        <v>0</v>
      </c>
      <c r="BM164">
        <f>IF(OR(D164&lt;&gt;1,B164="",'Исходные данные'!$B$91="",N('Исходные данные'!$B$80)&lt;=0,'Исходные данные'!$B$88=""),0,IF(AND(YEAR(B164)=YEAR('Исходные данные'!$B$91),MONTH(B164)=MONTH('Исходные данные'!$B$91)),MAX(0,IF('Исходные данные'!$B$88="Последние 12 месяцев",SUMIFS($BF$2:$BF$194,$B$2:$B$194,"&gt;="&amp;EDATE(B164,-11),$B$2:$B$194,"&lt;="&amp;B164),IF('Исходные данные'!$B$88="Пользовательский NOI",N('Исходные данные'!$B$89),BL164))/N('Исходные данные'!$B$80)*(1+N('Исходные данные'!$B$81))),0))</f>
        <v>0</v>
      </c>
      <c r="BN164">
        <f>-BM164*N('Исходные данные'!$B$73)</f>
        <v>0</v>
      </c>
      <c r="BO164">
        <f>IF(BM164=0,0,-N('Исходные данные'!$B$87)-IF('Исходные данные'!$B$82="Да",IF('Исходные данные'!$B$84="С выручки",BM164,IF('Исходные данные'!$B$84="С прибыли",MAX(0,BM164+BN164-IF('Исходные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64">
        <f t="shared" si="110"/>
        <v>0</v>
      </c>
      <c r="BQ164">
        <f>IF(D164=1,Расчёты!AZ164+BE164+BH164+BK164+BP164,0)</f>
        <v>0</v>
      </c>
      <c r="BR164" t="str">
        <f t="shared" si="116"/>
        <v/>
      </c>
      <c r="BS164">
        <f>IF(OR(D164=0,'Исходные данные'!$B$9="",'Исходные данные'!$B$90=""),0,BQ164/(1+'Исходные данные'!$B$90)^((C164-'Исходные данные'!$B$9)/365))</f>
        <v>0</v>
      </c>
      <c r="BT164">
        <f>IF(D164=1,BE164+Расчёты!O164+Расчёты!Q164+Расчёты!S164+Расчёты!U164+Расчёты!W164+Расчёты!X164+BH164+BK164,0)</f>
        <v>0</v>
      </c>
      <c r="BU164">
        <f>IF(AND(D164=1,BR164&gt;=0,BR163&lt;0,MIN($BR$2:BR164)&lt;0),1,0)</f>
        <v>0</v>
      </c>
      <c r="BV164">
        <f>Расчёты!AZ164+K164+N164-P164*N('Исходные данные'!$B$50)</f>
        <v>0</v>
      </c>
      <c r="BW164">
        <f t="shared" si="96"/>
        <v>0</v>
      </c>
      <c r="BX164">
        <f>IF(AND(BW164&gt;=0,BW163&lt;0,MIN($BW$2:BW164)&lt;0),1,0)</f>
        <v>0</v>
      </c>
      <c r="BY164">
        <f>Расчёты!AZ164+AH164+AK164-AM164*N('Исходные данные'!$B$50)</f>
        <v>0</v>
      </c>
      <c r="BZ164">
        <f t="shared" si="97"/>
        <v>0</v>
      </c>
      <c r="CA164">
        <f>IF(AND(BZ164&gt;=0,BZ163&lt;0,MIN($BZ$2:BZ164)&lt;0),1,0)</f>
        <v>0</v>
      </c>
      <c r="CB164">
        <f>Расчёты!AZ164+BE164+BH164-BJ164*N('Исходные данные'!$B$50)</f>
        <v>0</v>
      </c>
      <c r="CC164">
        <f t="shared" si="98"/>
        <v>0</v>
      </c>
      <c r="CD164">
        <f>IF(AND(CC164&gt;=0,CC163&lt;0,MIN($CC$2:CC164)&lt;0),1,0)</f>
        <v>0</v>
      </c>
    </row>
    <row r="165" spans="1:82" x14ac:dyDescent="0.2">
      <c r="A165">
        <f>Расчёты!A165</f>
        <v>164</v>
      </c>
      <c r="B165" t="str">
        <f>Расчёты!B165</f>
        <v/>
      </c>
      <c r="C165" t="str">
        <f>Расчёты!D165</f>
        <v/>
      </c>
      <c r="D165">
        <f>Расчёты!E165</f>
        <v>0</v>
      </c>
      <c r="E165">
        <f>IF(Расчёты!F165=0,0,IF(Расчёты!G165=1,N('Сценарный анализ'!$B$5),IF(Расчёты!G165=2,N('Сценарный анализ'!$B$6),IF(Расчёты!G165=3,N('Сценарный анализ'!$B$7),N('Сценарный анализ'!$B$7)*(1+N('Сценарный анализ'!$B$8))^(Расчёты!G165-3)))))</f>
        <v>0</v>
      </c>
      <c r="F165">
        <f>IF(OR(Расчёты!F165=0,N('Исходные данные'!$B$5)=0,E165=0),0,N('Исходные данные'!$B$5)*E165*IF(AND(B165&lt;='Исходные данные'!$B$30,Расчёты!C165&gt;='Исходные данные'!$B$30),(Расчёты!C165-'Исходные данные'!$B$30+1)/DAY(Расчёты!C165),1))</f>
        <v>0</v>
      </c>
      <c r="G165">
        <f>IF(AND(Расчёты!F165&gt;0,Расчёты!F165&lt;=N('Исходные данные'!$B$37)),-F165,0)</f>
        <v>0</v>
      </c>
      <c r="H165">
        <f>IF(OR(Расчёты!F165=0,Расчёты!F165&lt;=N('Исходные данные'!$B$37)),0,-(F165+G165)*N('Сценарный анализ'!$B$9))</f>
        <v>0</v>
      </c>
      <c r="I165">
        <f t="shared" si="99"/>
        <v>0</v>
      </c>
      <c r="J165">
        <f>IF('Исходные данные'!$B$51="Да",I165*N('Исходные данные'!$B$52),0)</f>
        <v>0</v>
      </c>
      <c r="K165">
        <f t="shared" si="100"/>
        <v>0</v>
      </c>
      <c r="L165">
        <f>I165+(Расчёты!Y165-Расчёты!L165)</f>
        <v>0</v>
      </c>
      <c r="M165">
        <f t="shared" si="111"/>
        <v>0</v>
      </c>
      <c r="N165">
        <f>IF('Исходные данные'!$B$51="Да",-MAX(0,J165+Расчёты!R165+Расчёты!V165-Расчёты!P165-Расчёты!T165-M165),0)</f>
        <v>0</v>
      </c>
      <c r="O165">
        <f>IF('Исходные данные'!$B$51="Да",MAX(0,M165+Расчёты!P165+Расчёты!T165-J165-Расчёты!R165-Расчёты!V165),0)</f>
        <v>0</v>
      </c>
      <c r="P165">
        <f>IF('Исходные данные'!$B$53="Выручка",MAX(0,I165+(Расчёты!Q165-Расчёты!R165)+(Расчёты!U165-Расчёты!V165)),IF('Исходные данные'!$B$53="Прибыль до налога",MAX(0,I165+(Расчёты!Q165-Расчёты!R165)+(Расчёты!U165-Расчёты!V165)+N('Исходные данные'!$B$54)*((Расчёты!O165+Расчёты!P165)+(Расчёты!S165+Расчёты!T165)+Расчёты!W165+Расчёты!X165)+IF('Исходные данные'!$B$55="Да",Расчёты!AG165,0)-N('Исходные данные'!$B$56)/12),IF('Исходные данные'!$B$53="Пользовательская база",MAX(0,N('Исходные данные'!$B$57)/12),0)))</f>
        <v>0</v>
      </c>
      <c r="Q165">
        <f>IF(D165=1,-P165*N('Исходные данные'!$B$50),0)</f>
        <v>0</v>
      </c>
      <c r="R165">
        <f t="shared" si="101"/>
        <v>0</v>
      </c>
      <c r="S165">
        <f>IF(OR(D165&lt;&gt;1,B165="",'Исходные данные'!$B$91="",N('Исходные данные'!$B$80)&lt;=0,'Исходные данные'!$B$88=""),0,IF(AND(YEAR(B165)=YEAR('Исходные данные'!$B$91),MONTH(B165)=MONTH('Исходные данные'!$B$91)),MAX(0,IF('Исходные данные'!$B$88="Последние 12 месяцев",SUMIFS($L$2:$L$194,$B$2:$B$194,"&gt;="&amp;EDATE(B165,-11),$B$2:$B$194,"&lt;="&amp;B165),IF('Исходные данные'!$B$88="Пользовательский NOI",N('Исходные данные'!$B$89),R165))/N('Исходные данные'!$B$80)*(1+N('Исходные данные'!$B$81))),0))</f>
        <v>0</v>
      </c>
      <c r="T165">
        <f>-S165*N('Исходные данные'!$B$73)</f>
        <v>0</v>
      </c>
      <c r="U165">
        <f>IF(S165=0,0,-N('Исходные данные'!$B$87)-IF('Исходные данные'!$B$82="Да",IF('Исходные данные'!$B$84="С выручки",S165,IF('Исходные данные'!$B$84="С прибыли",MAX(0,S165+T165-IF('Исходные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65">
        <f t="shared" si="102"/>
        <v>0</v>
      </c>
      <c r="W165">
        <f>IF(D165=1,Расчёты!AZ165+K165+N165+Q165+V165,0)</f>
        <v>0</v>
      </c>
      <c r="X165" t="str">
        <f t="shared" si="112"/>
        <v/>
      </c>
      <c r="Y165">
        <f>IF(OR(D165=0,'Исходные данные'!$B$9="",'Исходные данные'!$B$90=""),0,W165/(1+'Исходные данные'!$B$90)^((C165-'Исходные данные'!$B$9)/365))</f>
        <v>0</v>
      </c>
      <c r="Z165">
        <f>IF(D165=1,K165+Расчёты!O165+Расчёты!Q165+Расчёты!S165+Расчёты!U165+Расчёты!W165+Расчёты!X165+N165+Q165,0)</f>
        <v>0</v>
      </c>
      <c r="AA165">
        <f>IF(AND(D165=1,X165&gt;=0,X164&lt;0,MIN($X$2:X165)&lt;0),1,0)</f>
        <v>0</v>
      </c>
      <c r="AB165">
        <f>IF(Расчёты!F165=0,0,IF(Расчёты!G165=1,N('Сценарный анализ'!$C$5),IF(Расчёты!G165=2,N('Сценарный анализ'!$C$6),IF(Расчёты!G165=3,N('Сценарный анализ'!$C$7),N('Сценарный анализ'!$C$7)*(1+N('Сценарный анализ'!$C$8))^(Расчёты!G165-3)))))</f>
        <v>0</v>
      </c>
      <c r="AC165">
        <f>IF(OR(Расчёты!F165=0,N('Исходные данные'!$B$5)=0,AB165=0),0,N('Исходные данные'!$B$5)*AB165*IF(AND(B165&lt;='Исходные данные'!$B$30,Расчёты!C165&gt;='Исходные данные'!$B$30),(Расчёты!C165-'Исходные данные'!$B$30+1)/DAY(Расчёты!C165),1))</f>
        <v>0</v>
      </c>
      <c r="AD165">
        <f>IF(AND(Расчёты!F165&gt;0,Расчёты!F165&lt;=N('Исходные данные'!$B$37)),-AC165,0)</f>
        <v>0</v>
      </c>
      <c r="AE165">
        <f>IF(OR(Расчёты!F165=0,Расчёты!F165&lt;=N('Исходные данные'!$B$37)),0,-(AC165+AD165)*N('Сценарный анализ'!$C$9))</f>
        <v>0</v>
      </c>
      <c r="AF165">
        <f t="shared" si="103"/>
        <v>0</v>
      </c>
      <c r="AG165">
        <f>IF('Исходные данные'!$B$51="Да",AF165*N('Исходные данные'!$B$52),0)</f>
        <v>0</v>
      </c>
      <c r="AH165">
        <f t="shared" si="104"/>
        <v>0</v>
      </c>
      <c r="AI165">
        <f>AF165+(Расчёты!Y165-Расчёты!L165)</f>
        <v>0</v>
      </c>
      <c r="AJ165">
        <f t="shared" si="113"/>
        <v>0</v>
      </c>
      <c r="AK165">
        <f>IF('Исходные данные'!$B$51="Да",-MAX(0,AG165+Расчёты!R165+Расчёты!V165-Расчёты!P165-Расчёты!T165-AJ165),0)</f>
        <v>0</v>
      </c>
      <c r="AL165">
        <f>IF('Исходные данные'!$B$51="Да",MAX(0,AJ165+Расчёты!P165+Расчёты!T165-AG165-Расчёты!R165-Расчёты!V165),0)</f>
        <v>0</v>
      </c>
      <c r="AM165">
        <f>IF('Исходные данные'!$B$53="Выручка",MAX(0,AF165+(Расчёты!Q165-Расчёты!R165)+(Расчёты!U165-Расчёты!V165)),IF('Исходные данные'!$B$53="Прибыль до налога",MAX(0,AF165+(Расчёты!Q165-Расчёты!R165)+(Расчёты!U165-Расчёты!V165)+N('Исходные данные'!$B$54)*((Расчёты!O165+Расчёты!P165)+(Расчёты!S165+Расчёты!T165)+Расчёты!W165+Расчёты!X165)+IF('Исходные данные'!$B$55="Да",Расчёты!AG165,0)-N('Исходные данные'!$B$56)/12),IF('Исходные данные'!$B$53="Пользовательская база",MAX(0,N('Исходные данные'!$B$57)/12),0)))</f>
        <v>0</v>
      </c>
      <c r="AN165">
        <f>IF(D165=1,-AM165*N('Исходные данные'!$B$50),0)</f>
        <v>0</v>
      </c>
      <c r="AO165">
        <f t="shared" si="105"/>
        <v>0</v>
      </c>
      <c r="AP165">
        <f>IF(OR(D165&lt;&gt;1,B165="",'Исходные данные'!$B$91="",N('Исходные данные'!$B$80)&lt;=0,'Исходные данные'!$B$88=""),0,IF(AND(YEAR(B165)=YEAR('Исходные данные'!$B$91),MONTH(B165)=MONTH('Исходные данные'!$B$91)),MAX(0,IF('Исходные данные'!$B$88="Последние 12 месяцев",SUMIFS($AI$2:$AI$194,$B$2:$B$194,"&gt;="&amp;EDATE(B165,-11),$B$2:$B$194,"&lt;="&amp;B165),IF('Исходные данные'!$B$88="Пользовательский NOI",N('Исходные данные'!$B$89),AO165))/N('Исходные данные'!$B$80)*(1+N('Исходные данные'!$B$81))),0))</f>
        <v>0</v>
      </c>
      <c r="AQ165">
        <f>-AP165*N('Исходные данные'!$B$73)</f>
        <v>0</v>
      </c>
      <c r="AR165">
        <f>IF(AP165=0,0,-N('Исходные данные'!$B$87)-IF('Исходные данные'!$B$82="Да",IF('Исходные данные'!$B$84="С выручки",AP165,IF('Исходные данные'!$B$84="С прибыли",MAX(0,AP165+AQ165-IF('Исходные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65">
        <f t="shared" si="106"/>
        <v>0</v>
      </c>
      <c r="AT165">
        <f>IF(D165=1,Расчёты!AZ165+AH165+AK165+AN165+AS165,0)</f>
        <v>0</v>
      </c>
      <c r="AU165" t="str">
        <f t="shared" si="114"/>
        <v/>
      </c>
      <c r="AV165">
        <f>IF(OR(D165=0,'Исходные данные'!$B$9="",'Исходные данные'!$B$90=""),0,AT165/(1+'Исходные данные'!$B$90)^((C165-'Исходные данные'!$B$9)/365))</f>
        <v>0</v>
      </c>
      <c r="AW165">
        <f>IF(D165=1,AH165+Расчёты!O165+Расчёты!Q165+Расчёты!S165+Расчёты!U165+Расчёты!W165+Расчёты!X165+AK165+AN165,0)</f>
        <v>0</v>
      </c>
      <c r="AX165">
        <f>IF(AND(D165=1,AU165&gt;=0,AU164&lt;0,MIN($AU$2:AU165)&lt;0),1,0)</f>
        <v>0</v>
      </c>
      <c r="AY165">
        <f>IF(Расчёты!F165=0,0,IF(Расчёты!G165=1,N('Сценарный анализ'!$D$5),IF(Расчёты!G165=2,N('Сценарный анализ'!$D$6),IF(Расчёты!G165=3,N('Сценарный анализ'!$D$7),N('Сценарный анализ'!$D$7)*(1+N('Сценарный анализ'!$D$8))^(Расчёты!G165-3)))))</f>
        <v>0</v>
      </c>
      <c r="AZ165">
        <f>IF(OR(Расчёты!F165=0,N('Исходные данные'!$B$5)=0,AY165=0),0,N('Исходные данные'!$B$5)*AY165*IF(AND(B165&lt;='Исходные данные'!$B$30,Расчёты!C165&gt;='Исходные данные'!$B$30),(Расчёты!C165-'Исходные данные'!$B$30+1)/DAY(Расчёты!C165),1))</f>
        <v>0</v>
      </c>
      <c r="BA165">
        <f>IF(AND(Расчёты!F165&gt;0,Расчёты!F165&lt;=N('Исходные данные'!$B$37)),-AZ165,0)</f>
        <v>0</v>
      </c>
      <c r="BB165">
        <f>IF(OR(Расчёты!F165=0,Расчёты!F165&lt;=N('Исходные данные'!$B$37)),0,-(AZ165+BA165)*N('Сценарный анализ'!$D$9))</f>
        <v>0</v>
      </c>
      <c r="BC165">
        <f t="shared" si="107"/>
        <v>0</v>
      </c>
      <c r="BD165">
        <f>IF('Исходные данные'!$B$51="Да",BC165*N('Исходные данные'!$B$52),0)</f>
        <v>0</v>
      </c>
      <c r="BE165">
        <f t="shared" si="108"/>
        <v>0</v>
      </c>
      <c r="BF165">
        <f>BC165+(Расчёты!Y165-Расчёты!L165)</f>
        <v>0</v>
      </c>
      <c r="BG165">
        <f t="shared" si="115"/>
        <v>0</v>
      </c>
      <c r="BH165">
        <f>IF('Исходные данные'!$B$51="Да",-MAX(0,BD165+Расчёты!R165+Расчёты!V165-Расчёты!P165-Расчёты!T165-BG165),0)</f>
        <v>0</v>
      </c>
      <c r="BI165">
        <f>IF('Исходные данные'!$B$51="Да",MAX(0,BG165+Расчёты!P165+Расчёты!T165-BD165-Расчёты!R165-Расчёты!V165),0)</f>
        <v>0</v>
      </c>
      <c r="BJ165">
        <f>IF('Исходные данные'!$B$53="Выручка",MAX(0,BC165+(Расчёты!Q165-Расчёты!R165)+(Расчёты!U165-Расчёты!V165)),IF('Исходные данные'!$B$53="Прибыль до налога",MAX(0,BC165+(Расчёты!Q165-Расчёты!R165)+(Расчёты!U165-Расчёты!V165)+N('Исходные данные'!$B$54)*((Расчёты!O165+Расчёты!P165)+(Расчёты!S165+Расчёты!T165)+Расчёты!W165+Расчёты!X165)+IF('Исходные данные'!$B$55="Да",Расчёты!AG165,0)-N('Исходные данные'!$B$56)/12),IF('Исходные данные'!$B$53="Пользовательская база",MAX(0,N('Исходные данные'!$B$57)/12),0)))</f>
        <v>0</v>
      </c>
      <c r="BK165">
        <f>IF(D165=1,-BJ165*N('Исходные данные'!$B$50),0)</f>
        <v>0</v>
      </c>
      <c r="BL165">
        <f t="shared" si="109"/>
        <v>0</v>
      </c>
      <c r="BM165">
        <f>IF(OR(D165&lt;&gt;1,B165="",'Исходные данные'!$B$91="",N('Исходные данные'!$B$80)&lt;=0,'Исходные данные'!$B$88=""),0,IF(AND(YEAR(B165)=YEAR('Исходные данные'!$B$91),MONTH(B165)=MONTH('Исходные данные'!$B$91)),MAX(0,IF('Исходные данные'!$B$88="Последние 12 месяцев",SUMIFS($BF$2:$BF$194,$B$2:$B$194,"&gt;="&amp;EDATE(B165,-11),$B$2:$B$194,"&lt;="&amp;B165),IF('Исходные данные'!$B$88="Пользовательский NOI",N('Исходные данные'!$B$89),BL165))/N('Исходные данные'!$B$80)*(1+N('Исходные данные'!$B$81))),0))</f>
        <v>0</v>
      </c>
      <c r="BN165">
        <f>-BM165*N('Исходные данные'!$B$73)</f>
        <v>0</v>
      </c>
      <c r="BO165">
        <f>IF(BM165=0,0,-N('Исходные данные'!$B$87)-IF('Исходные данные'!$B$82="Да",IF('Исходные данные'!$B$84="С выручки",BM165,IF('Исходные данные'!$B$84="С прибыли",MAX(0,BM165+BN165-IF('Исходные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65">
        <f t="shared" si="110"/>
        <v>0</v>
      </c>
      <c r="BQ165">
        <f>IF(D165=1,Расчёты!AZ165+BE165+BH165+BK165+BP165,0)</f>
        <v>0</v>
      </c>
      <c r="BR165" t="str">
        <f t="shared" si="116"/>
        <v/>
      </c>
      <c r="BS165">
        <f>IF(OR(D165=0,'Исходные данные'!$B$9="",'Исходные данные'!$B$90=""),0,BQ165/(1+'Исходные данные'!$B$90)^((C165-'Исходные данные'!$B$9)/365))</f>
        <v>0</v>
      </c>
      <c r="BT165">
        <f>IF(D165=1,BE165+Расчёты!O165+Расчёты!Q165+Расчёты!S165+Расчёты!U165+Расчёты!W165+Расчёты!X165+BH165+BK165,0)</f>
        <v>0</v>
      </c>
      <c r="BU165">
        <f>IF(AND(D165=1,BR165&gt;=0,BR164&lt;0,MIN($BR$2:BR165)&lt;0),1,0)</f>
        <v>0</v>
      </c>
      <c r="BV165">
        <f>Расчёты!AZ165+K165+N165-P165*N('Исходные данные'!$B$50)</f>
        <v>0</v>
      </c>
      <c r="BW165">
        <f t="shared" si="96"/>
        <v>0</v>
      </c>
      <c r="BX165">
        <f>IF(AND(BW165&gt;=0,BW164&lt;0,MIN($BW$2:BW165)&lt;0),1,0)</f>
        <v>0</v>
      </c>
      <c r="BY165">
        <f>Расчёты!AZ165+AH165+AK165-AM165*N('Исходные данные'!$B$50)</f>
        <v>0</v>
      </c>
      <c r="BZ165">
        <f t="shared" si="97"/>
        <v>0</v>
      </c>
      <c r="CA165">
        <f>IF(AND(BZ165&gt;=0,BZ164&lt;0,MIN($BZ$2:BZ165)&lt;0),1,0)</f>
        <v>0</v>
      </c>
      <c r="CB165">
        <f>Расчёты!AZ165+BE165+BH165-BJ165*N('Исходные данные'!$B$50)</f>
        <v>0</v>
      </c>
      <c r="CC165">
        <f t="shared" si="98"/>
        <v>0</v>
      </c>
      <c r="CD165">
        <f>IF(AND(CC165&gt;=0,CC164&lt;0,MIN($CC$2:CC165)&lt;0),1,0)</f>
        <v>0</v>
      </c>
    </row>
    <row r="166" spans="1:82" x14ac:dyDescent="0.2">
      <c r="A166">
        <f>Расчёты!A166</f>
        <v>165</v>
      </c>
      <c r="B166" t="str">
        <f>Расчёты!B166</f>
        <v/>
      </c>
      <c r="C166" t="str">
        <f>Расчёты!D166</f>
        <v/>
      </c>
      <c r="D166">
        <f>Расчёты!E166</f>
        <v>0</v>
      </c>
      <c r="E166">
        <f>IF(Расчёты!F166=0,0,IF(Расчёты!G166=1,N('Сценарный анализ'!$B$5),IF(Расчёты!G166=2,N('Сценарный анализ'!$B$6),IF(Расчёты!G166=3,N('Сценарный анализ'!$B$7),N('Сценарный анализ'!$B$7)*(1+N('Сценарный анализ'!$B$8))^(Расчёты!G166-3)))))</f>
        <v>0</v>
      </c>
      <c r="F166">
        <f>IF(OR(Расчёты!F166=0,N('Исходные данные'!$B$5)=0,E166=0),0,N('Исходные данные'!$B$5)*E166*IF(AND(B166&lt;='Исходные данные'!$B$30,Расчёты!C166&gt;='Исходные данные'!$B$30),(Расчёты!C166-'Исходные данные'!$B$30+1)/DAY(Расчёты!C166),1))</f>
        <v>0</v>
      </c>
      <c r="G166">
        <f>IF(AND(Расчёты!F166&gt;0,Расчёты!F166&lt;=N('Исходные данные'!$B$37)),-F166,0)</f>
        <v>0</v>
      </c>
      <c r="H166">
        <f>IF(OR(Расчёты!F166=0,Расчёты!F166&lt;=N('Исходные данные'!$B$37)),0,-(F166+G166)*N('Сценарный анализ'!$B$9))</f>
        <v>0</v>
      </c>
      <c r="I166">
        <f t="shared" si="99"/>
        <v>0</v>
      </c>
      <c r="J166">
        <f>IF('Исходные данные'!$B$51="Да",I166*N('Исходные данные'!$B$52),0)</f>
        <v>0</v>
      </c>
      <c r="K166">
        <f t="shared" si="100"/>
        <v>0</v>
      </c>
      <c r="L166">
        <f>I166+(Расчёты!Y166-Расчёты!L166)</f>
        <v>0</v>
      </c>
      <c r="M166">
        <f t="shared" si="111"/>
        <v>0</v>
      </c>
      <c r="N166">
        <f>IF('Исходные данные'!$B$51="Да",-MAX(0,J166+Расчёты!R166+Расчёты!V166-Расчёты!P166-Расчёты!T166-M166),0)</f>
        <v>0</v>
      </c>
      <c r="O166">
        <f>IF('Исходные данные'!$B$51="Да",MAX(0,M166+Расчёты!P166+Расчёты!T166-J166-Расчёты!R166-Расчёты!V166),0)</f>
        <v>0</v>
      </c>
      <c r="P166">
        <f>IF('Исходные данные'!$B$53="Выручка",MAX(0,I166+(Расчёты!Q166-Расчёты!R166)+(Расчёты!U166-Расчёты!V166)),IF('Исходные данные'!$B$53="Прибыль до налога",MAX(0,I166+(Расчёты!Q166-Расчёты!R166)+(Расчёты!U166-Расчёты!V166)+N('Исходные данные'!$B$54)*((Расчёты!O166+Расчёты!P166)+(Расчёты!S166+Расчёты!T166)+Расчёты!W166+Расчёты!X166)+IF('Исходные данные'!$B$55="Да",Расчёты!AG166,0)-N('Исходные данные'!$B$56)/12),IF('Исходные данные'!$B$53="Пользовательская база",MAX(0,N('Исходные данные'!$B$57)/12),0)))</f>
        <v>0</v>
      </c>
      <c r="Q166">
        <f>IF(D166=1,-P166*N('Исходные данные'!$B$50),0)</f>
        <v>0</v>
      </c>
      <c r="R166">
        <f t="shared" si="101"/>
        <v>0</v>
      </c>
      <c r="S166">
        <f>IF(OR(D166&lt;&gt;1,B166="",'Исходные данные'!$B$91="",N('Исходные данные'!$B$80)&lt;=0,'Исходные данные'!$B$88=""),0,IF(AND(YEAR(B166)=YEAR('Исходные данные'!$B$91),MONTH(B166)=MONTH('Исходные данные'!$B$91)),MAX(0,IF('Исходные данные'!$B$88="Последние 12 месяцев",SUMIFS($L$2:$L$194,$B$2:$B$194,"&gt;="&amp;EDATE(B166,-11),$B$2:$B$194,"&lt;="&amp;B166),IF('Исходные данные'!$B$88="Пользовательский NOI",N('Исходные данные'!$B$89),R166))/N('Исходные данные'!$B$80)*(1+N('Исходные данные'!$B$81))),0))</f>
        <v>0</v>
      </c>
      <c r="T166">
        <f>-S166*N('Исходные данные'!$B$73)</f>
        <v>0</v>
      </c>
      <c r="U166">
        <f>IF(S166=0,0,-N('Исходные данные'!$B$87)-IF('Исходные данные'!$B$82="Да",IF('Исходные данные'!$B$84="С выручки",S166,IF('Исходные данные'!$B$84="С прибыли",MAX(0,S166+T166-IF('Исходные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66">
        <f t="shared" si="102"/>
        <v>0</v>
      </c>
      <c r="W166">
        <f>IF(D166=1,Расчёты!AZ166+K166+N166+Q166+V166,0)</f>
        <v>0</v>
      </c>
      <c r="X166" t="str">
        <f t="shared" si="112"/>
        <v/>
      </c>
      <c r="Y166">
        <f>IF(OR(D166=0,'Исходные данные'!$B$9="",'Исходные данные'!$B$90=""),0,W166/(1+'Исходные данные'!$B$90)^((C166-'Исходные данные'!$B$9)/365))</f>
        <v>0</v>
      </c>
      <c r="Z166">
        <f>IF(D166=1,K166+Расчёты!O166+Расчёты!Q166+Расчёты!S166+Расчёты!U166+Расчёты!W166+Расчёты!X166+N166+Q166,0)</f>
        <v>0</v>
      </c>
      <c r="AA166">
        <f>IF(AND(D166=1,X166&gt;=0,X165&lt;0,MIN($X$2:X166)&lt;0),1,0)</f>
        <v>0</v>
      </c>
      <c r="AB166">
        <f>IF(Расчёты!F166=0,0,IF(Расчёты!G166=1,N('Сценарный анализ'!$C$5),IF(Расчёты!G166=2,N('Сценарный анализ'!$C$6),IF(Расчёты!G166=3,N('Сценарный анализ'!$C$7),N('Сценарный анализ'!$C$7)*(1+N('Сценарный анализ'!$C$8))^(Расчёты!G166-3)))))</f>
        <v>0</v>
      </c>
      <c r="AC166">
        <f>IF(OR(Расчёты!F166=0,N('Исходные данные'!$B$5)=0,AB166=0),0,N('Исходные данные'!$B$5)*AB166*IF(AND(B166&lt;='Исходные данные'!$B$30,Расчёты!C166&gt;='Исходные данные'!$B$30),(Расчёты!C166-'Исходные данные'!$B$30+1)/DAY(Расчёты!C166),1))</f>
        <v>0</v>
      </c>
      <c r="AD166">
        <f>IF(AND(Расчёты!F166&gt;0,Расчёты!F166&lt;=N('Исходные данные'!$B$37)),-AC166,0)</f>
        <v>0</v>
      </c>
      <c r="AE166">
        <f>IF(OR(Расчёты!F166=0,Расчёты!F166&lt;=N('Исходные данные'!$B$37)),0,-(AC166+AD166)*N('Сценарный анализ'!$C$9))</f>
        <v>0</v>
      </c>
      <c r="AF166">
        <f t="shared" si="103"/>
        <v>0</v>
      </c>
      <c r="AG166">
        <f>IF('Исходные данные'!$B$51="Да",AF166*N('Исходные данные'!$B$52),0)</f>
        <v>0</v>
      </c>
      <c r="AH166">
        <f t="shared" si="104"/>
        <v>0</v>
      </c>
      <c r="AI166">
        <f>AF166+(Расчёты!Y166-Расчёты!L166)</f>
        <v>0</v>
      </c>
      <c r="AJ166">
        <f t="shared" si="113"/>
        <v>0</v>
      </c>
      <c r="AK166">
        <f>IF('Исходные данные'!$B$51="Да",-MAX(0,AG166+Расчёты!R166+Расчёты!V166-Расчёты!P166-Расчёты!T166-AJ166),0)</f>
        <v>0</v>
      </c>
      <c r="AL166">
        <f>IF('Исходные данные'!$B$51="Да",MAX(0,AJ166+Расчёты!P166+Расчёты!T166-AG166-Расчёты!R166-Расчёты!V166),0)</f>
        <v>0</v>
      </c>
      <c r="AM166">
        <f>IF('Исходные данные'!$B$53="Выручка",MAX(0,AF166+(Расчёты!Q166-Расчёты!R166)+(Расчёты!U166-Расчёты!V166)),IF('Исходные данные'!$B$53="Прибыль до налога",MAX(0,AF166+(Расчёты!Q166-Расчёты!R166)+(Расчёты!U166-Расчёты!V166)+N('Исходные данные'!$B$54)*((Расчёты!O166+Расчёты!P166)+(Расчёты!S166+Расчёты!T166)+Расчёты!W166+Расчёты!X166)+IF('Исходные данные'!$B$55="Да",Расчёты!AG166,0)-N('Исходные данные'!$B$56)/12),IF('Исходные данные'!$B$53="Пользовательская база",MAX(0,N('Исходные данные'!$B$57)/12),0)))</f>
        <v>0</v>
      </c>
      <c r="AN166">
        <f>IF(D166=1,-AM166*N('Исходные данные'!$B$50),0)</f>
        <v>0</v>
      </c>
      <c r="AO166">
        <f t="shared" si="105"/>
        <v>0</v>
      </c>
      <c r="AP166">
        <f>IF(OR(D166&lt;&gt;1,B166="",'Исходные данные'!$B$91="",N('Исходные данные'!$B$80)&lt;=0,'Исходные данные'!$B$88=""),0,IF(AND(YEAR(B166)=YEAR('Исходные данные'!$B$91),MONTH(B166)=MONTH('Исходные данные'!$B$91)),MAX(0,IF('Исходные данные'!$B$88="Последние 12 месяцев",SUMIFS($AI$2:$AI$194,$B$2:$B$194,"&gt;="&amp;EDATE(B166,-11),$B$2:$B$194,"&lt;="&amp;B166),IF('Исходные данные'!$B$88="Пользовательский NOI",N('Исходные данные'!$B$89),AO166))/N('Исходные данные'!$B$80)*(1+N('Исходные данные'!$B$81))),0))</f>
        <v>0</v>
      </c>
      <c r="AQ166">
        <f>-AP166*N('Исходные данные'!$B$73)</f>
        <v>0</v>
      </c>
      <c r="AR166">
        <f>IF(AP166=0,0,-N('Исходные данные'!$B$87)-IF('Исходные данные'!$B$82="Да",IF('Исходные данные'!$B$84="С выручки",AP166,IF('Исходные данные'!$B$84="С прибыли",MAX(0,AP166+AQ166-IF('Исходные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66">
        <f t="shared" si="106"/>
        <v>0</v>
      </c>
      <c r="AT166">
        <f>IF(D166=1,Расчёты!AZ166+AH166+AK166+AN166+AS166,0)</f>
        <v>0</v>
      </c>
      <c r="AU166" t="str">
        <f t="shared" si="114"/>
        <v/>
      </c>
      <c r="AV166">
        <f>IF(OR(D166=0,'Исходные данные'!$B$9="",'Исходные данные'!$B$90=""),0,AT166/(1+'Исходные данные'!$B$90)^((C166-'Исходные данные'!$B$9)/365))</f>
        <v>0</v>
      </c>
      <c r="AW166">
        <f>IF(D166=1,AH166+Расчёты!O166+Расчёты!Q166+Расчёты!S166+Расчёты!U166+Расчёты!W166+Расчёты!X166+AK166+AN166,0)</f>
        <v>0</v>
      </c>
      <c r="AX166">
        <f>IF(AND(D166=1,AU166&gt;=0,AU165&lt;0,MIN($AU$2:AU166)&lt;0),1,0)</f>
        <v>0</v>
      </c>
      <c r="AY166">
        <f>IF(Расчёты!F166=0,0,IF(Расчёты!G166=1,N('Сценарный анализ'!$D$5),IF(Расчёты!G166=2,N('Сценарный анализ'!$D$6),IF(Расчёты!G166=3,N('Сценарный анализ'!$D$7),N('Сценарный анализ'!$D$7)*(1+N('Сценарный анализ'!$D$8))^(Расчёты!G166-3)))))</f>
        <v>0</v>
      </c>
      <c r="AZ166">
        <f>IF(OR(Расчёты!F166=0,N('Исходные данные'!$B$5)=0,AY166=0),0,N('Исходные данные'!$B$5)*AY166*IF(AND(B166&lt;='Исходные данные'!$B$30,Расчёты!C166&gt;='Исходные данные'!$B$30),(Расчёты!C166-'Исходные данные'!$B$30+1)/DAY(Расчёты!C166),1))</f>
        <v>0</v>
      </c>
      <c r="BA166">
        <f>IF(AND(Расчёты!F166&gt;0,Расчёты!F166&lt;=N('Исходные данные'!$B$37)),-AZ166,0)</f>
        <v>0</v>
      </c>
      <c r="BB166">
        <f>IF(OR(Расчёты!F166=0,Расчёты!F166&lt;=N('Исходные данные'!$B$37)),0,-(AZ166+BA166)*N('Сценарный анализ'!$D$9))</f>
        <v>0</v>
      </c>
      <c r="BC166">
        <f t="shared" si="107"/>
        <v>0</v>
      </c>
      <c r="BD166">
        <f>IF('Исходные данные'!$B$51="Да",BC166*N('Исходные данные'!$B$52),0)</f>
        <v>0</v>
      </c>
      <c r="BE166">
        <f t="shared" si="108"/>
        <v>0</v>
      </c>
      <c r="BF166">
        <f>BC166+(Расчёты!Y166-Расчёты!L166)</f>
        <v>0</v>
      </c>
      <c r="BG166">
        <f t="shared" si="115"/>
        <v>0</v>
      </c>
      <c r="BH166">
        <f>IF('Исходные данные'!$B$51="Да",-MAX(0,BD166+Расчёты!R166+Расчёты!V166-Расчёты!P166-Расчёты!T166-BG166),0)</f>
        <v>0</v>
      </c>
      <c r="BI166">
        <f>IF('Исходные данные'!$B$51="Да",MAX(0,BG166+Расчёты!P166+Расчёты!T166-BD166-Расчёты!R166-Расчёты!V166),0)</f>
        <v>0</v>
      </c>
      <c r="BJ166">
        <f>IF('Исходные данные'!$B$53="Выручка",MAX(0,BC166+(Расчёты!Q166-Расчёты!R166)+(Расчёты!U166-Расчёты!V166)),IF('Исходные данные'!$B$53="Прибыль до налога",MAX(0,BC166+(Расчёты!Q166-Расчёты!R166)+(Расчёты!U166-Расчёты!V166)+N('Исходные данные'!$B$54)*((Расчёты!O166+Расчёты!P166)+(Расчёты!S166+Расчёты!T166)+Расчёты!W166+Расчёты!X166)+IF('Исходные данные'!$B$55="Да",Расчёты!AG166,0)-N('Исходные данные'!$B$56)/12),IF('Исходные данные'!$B$53="Пользовательская база",MAX(0,N('Исходные данные'!$B$57)/12),0)))</f>
        <v>0</v>
      </c>
      <c r="BK166">
        <f>IF(D166=1,-BJ166*N('Исходные данные'!$B$50),0)</f>
        <v>0</v>
      </c>
      <c r="BL166">
        <f t="shared" si="109"/>
        <v>0</v>
      </c>
      <c r="BM166">
        <f>IF(OR(D166&lt;&gt;1,B166="",'Исходные данные'!$B$91="",N('Исходные данные'!$B$80)&lt;=0,'Исходные данные'!$B$88=""),0,IF(AND(YEAR(B166)=YEAR('Исходные данные'!$B$91),MONTH(B166)=MONTH('Исходные данные'!$B$91)),MAX(0,IF('Исходные данные'!$B$88="Последние 12 месяцев",SUMIFS($BF$2:$BF$194,$B$2:$B$194,"&gt;="&amp;EDATE(B166,-11),$B$2:$B$194,"&lt;="&amp;B166),IF('Исходные данные'!$B$88="Пользовательский NOI",N('Исходные данные'!$B$89),BL166))/N('Исходные данные'!$B$80)*(1+N('Исходные данные'!$B$81))),0))</f>
        <v>0</v>
      </c>
      <c r="BN166">
        <f>-BM166*N('Исходные данные'!$B$73)</f>
        <v>0</v>
      </c>
      <c r="BO166">
        <f>IF(BM166=0,0,-N('Исходные данные'!$B$87)-IF('Исходные данные'!$B$82="Да",IF('Исходные данные'!$B$84="С выручки",BM166,IF('Исходные данные'!$B$84="С прибыли",MAX(0,BM166+BN166-IF('Исходные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66">
        <f t="shared" si="110"/>
        <v>0</v>
      </c>
      <c r="BQ166">
        <f>IF(D166=1,Расчёты!AZ166+BE166+BH166+BK166+BP166,0)</f>
        <v>0</v>
      </c>
      <c r="BR166" t="str">
        <f t="shared" si="116"/>
        <v/>
      </c>
      <c r="BS166">
        <f>IF(OR(D166=0,'Исходные данные'!$B$9="",'Исходные данные'!$B$90=""),0,BQ166/(1+'Исходные данные'!$B$90)^((C166-'Исходные данные'!$B$9)/365))</f>
        <v>0</v>
      </c>
      <c r="BT166">
        <f>IF(D166=1,BE166+Расчёты!O166+Расчёты!Q166+Расчёты!S166+Расчёты!U166+Расчёты!W166+Расчёты!X166+BH166+BK166,0)</f>
        <v>0</v>
      </c>
      <c r="BU166">
        <f>IF(AND(D166=1,BR166&gt;=0,BR165&lt;0,MIN($BR$2:BR166)&lt;0),1,0)</f>
        <v>0</v>
      </c>
      <c r="BV166">
        <f>Расчёты!AZ166+K166+N166-P166*N('Исходные данные'!$B$50)</f>
        <v>0</v>
      </c>
      <c r="BW166">
        <f t="shared" si="96"/>
        <v>0</v>
      </c>
      <c r="BX166">
        <f>IF(AND(BW166&gt;=0,BW165&lt;0,MIN($BW$2:BW166)&lt;0),1,0)</f>
        <v>0</v>
      </c>
      <c r="BY166">
        <f>Расчёты!AZ166+AH166+AK166-AM166*N('Исходные данные'!$B$50)</f>
        <v>0</v>
      </c>
      <c r="BZ166">
        <f t="shared" si="97"/>
        <v>0</v>
      </c>
      <c r="CA166">
        <f>IF(AND(BZ166&gt;=0,BZ165&lt;0,MIN($BZ$2:BZ166)&lt;0),1,0)</f>
        <v>0</v>
      </c>
      <c r="CB166">
        <f>Расчёты!AZ166+BE166+BH166-BJ166*N('Исходные данные'!$B$50)</f>
        <v>0</v>
      </c>
      <c r="CC166">
        <f t="shared" si="98"/>
        <v>0</v>
      </c>
      <c r="CD166">
        <f>IF(AND(CC166&gt;=0,CC165&lt;0,MIN($CC$2:CC166)&lt;0),1,0)</f>
        <v>0</v>
      </c>
    </row>
    <row r="167" spans="1:82" x14ac:dyDescent="0.2">
      <c r="A167">
        <f>Расчёты!A167</f>
        <v>166</v>
      </c>
      <c r="B167" t="str">
        <f>Расчёты!B167</f>
        <v/>
      </c>
      <c r="C167" t="str">
        <f>Расчёты!D167</f>
        <v/>
      </c>
      <c r="D167">
        <f>Расчёты!E167</f>
        <v>0</v>
      </c>
      <c r="E167">
        <f>IF(Расчёты!F167=0,0,IF(Расчёты!G167=1,N('Сценарный анализ'!$B$5),IF(Расчёты!G167=2,N('Сценарный анализ'!$B$6),IF(Расчёты!G167=3,N('Сценарный анализ'!$B$7),N('Сценарный анализ'!$B$7)*(1+N('Сценарный анализ'!$B$8))^(Расчёты!G167-3)))))</f>
        <v>0</v>
      </c>
      <c r="F167">
        <f>IF(OR(Расчёты!F167=0,N('Исходные данные'!$B$5)=0,E167=0),0,N('Исходные данные'!$B$5)*E167*IF(AND(B167&lt;='Исходные данные'!$B$30,Расчёты!C167&gt;='Исходные данные'!$B$30),(Расчёты!C167-'Исходные данные'!$B$30+1)/DAY(Расчёты!C167),1))</f>
        <v>0</v>
      </c>
      <c r="G167">
        <f>IF(AND(Расчёты!F167&gt;0,Расчёты!F167&lt;=N('Исходные данные'!$B$37)),-F167,0)</f>
        <v>0</v>
      </c>
      <c r="H167">
        <f>IF(OR(Расчёты!F167=0,Расчёты!F167&lt;=N('Исходные данные'!$B$37)),0,-(F167+G167)*N('Сценарный анализ'!$B$9))</f>
        <v>0</v>
      </c>
      <c r="I167">
        <f t="shared" si="99"/>
        <v>0</v>
      </c>
      <c r="J167">
        <f>IF('Исходные данные'!$B$51="Да",I167*N('Исходные данные'!$B$52),0)</f>
        <v>0</v>
      </c>
      <c r="K167">
        <f t="shared" si="100"/>
        <v>0</v>
      </c>
      <c r="L167">
        <f>I167+(Расчёты!Y167-Расчёты!L167)</f>
        <v>0</v>
      </c>
      <c r="M167">
        <f t="shared" si="111"/>
        <v>0</v>
      </c>
      <c r="N167">
        <f>IF('Исходные данные'!$B$51="Да",-MAX(0,J167+Расчёты!R167+Расчёты!V167-Расчёты!P167-Расчёты!T167-M167),0)</f>
        <v>0</v>
      </c>
      <c r="O167">
        <f>IF('Исходные данные'!$B$51="Да",MAX(0,M167+Расчёты!P167+Расчёты!T167-J167-Расчёты!R167-Расчёты!V167),0)</f>
        <v>0</v>
      </c>
      <c r="P167">
        <f>IF('Исходные данные'!$B$53="Выручка",MAX(0,I167+(Расчёты!Q167-Расчёты!R167)+(Расчёты!U167-Расчёты!V167)),IF('Исходные данные'!$B$53="Прибыль до налога",MAX(0,I167+(Расчёты!Q167-Расчёты!R167)+(Расчёты!U167-Расчёты!V167)+N('Исходные данные'!$B$54)*((Расчёты!O167+Расчёты!P167)+(Расчёты!S167+Расчёты!T167)+Расчёты!W167+Расчёты!X167)+IF('Исходные данные'!$B$55="Да",Расчёты!AG167,0)-N('Исходные данные'!$B$56)/12),IF('Исходные данные'!$B$53="Пользовательская база",MAX(0,N('Исходные данные'!$B$57)/12),0)))</f>
        <v>0</v>
      </c>
      <c r="Q167">
        <f>IF(D167=1,-P167*N('Исходные данные'!$B$50),0)</f>
        <v>0</v>
      </c>
      <c r="R167">
        <f t="shared" si="101"/>
        <v>0</v>
      </c>
      <c r="S167">
        <f>IF(OR(D167&lt;&gt;1,B167="",'Исходные данные'!$B$91="",N('Исходные данные'!$B$80)&lt;=0,'Исходные данные'!$B$88=""),0,IF(AND(YEAR(B167)=YEAR('Исходные данные'!$B$91),MONTH(B167)=MONTH('Исходные данные'!$B$91)),MAX(0,IF('Исходные данные'!$B$88="Последние 12 месяцев",SUMIFS($L$2:$L$194,$B$2:$B$194,"&gt;="&amp;EDATE(B167,-11),$B$2:$B$194,"&lt;="&amp;B167),IF('Исходные данные'!$B$88="Пользовательский NOI",N('Исходные данные'!$B$89),R167))/N('Исходные данные'!$B$80)*(1+N('Исходные данные'!$B$81))),0))</f>
        <v>0</v>
      </c>
      <c r="T167">
        <f>-S167*N('Исходные данные'!$B$73)</f>
        <v>0</v>
      </c>
      <c r="U167">
        <f>IF(S167=0,0,-N('Исходные данные'!$B$87)-IF('Исходные данные'!$B$82="Да",IF('Исходные данные'!$B$84="С выручки",S167,IF('Исходные данные'!$B$84="С прибыли",MAX(0,S167+T167-IF('Исходные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67">
        <f t="shared" si="102"/>
        <v>0</v>
      </c>
      <c r="W167">
        <f>IF(D167=1,Расчёты!AZ167+K167+N167+Q167+V167,0)</f>
        <v>0</v>
      </c>
      <c r="X167" t="str">
        <f t="shared" si="112"/>
        <v/>
      </c>
      <c r="Y167">
        <f>IF(OR(D167=0,'Исходные данные'!$B$9="",'Исходные данные'!$B$90=""),0,W167/(1+'Исходные данные'!$B$90)^((C167-'Исходные данные'!$B$9)/365))</f>
        <v>0</v>
      </c>
      <c r="Z167">
        <f>IF(D167=1,K167+Расчёты!O167+Расчёты!Q167+Расчёты!S167+Расчёты!U167+Расчёты!W167+Расчёты!X167+N167+Q167,0)</f>
        <v>0</v>
      </c>
      <c r="AA167">
        <f>IF(AND(D167=1,X167&gt;=0,X166&lt;0,MIN($X$2:X167)&lt;0),1,0)</f>
        <v>0</v>
      </c>
      <c r="AB167">
        <f>IF(Расчёты!F167=0,0,IF(Расчёты!G167=1,N('Сценарный анализ'!$C$5),IF(Расчёты!G167=2,N('Сценарный анализ'!$C$6),IF(Расчёты!G167=3,N('Сценарный анализ'!$C$7),N('Сценарный анализ'!$C$7)*(1+N('Сценарный анализ'!$C$8))^(Расчёты!G167-3)))))</f>
        <v>0</v>
      </c>
      <c r="AC167">
        <f>IF(OR(Расчёты!F167=0,N('Исходные данные'!$B$5)=0,AB167=0),0,N('Исходные данные'!$B$5)*AB167*IF(AND(B167&lt;='Исходные данные'!$B$30,Расчёты!C167&gt;='Исходные данные'!$B$30),(Расчёты!C167-'Исходные данные'!$B$30+1)/DAY(Расчёты!C167),1))</f>
        <v>0</v>
      </c>
      <c r="AD167">
        <f>IF(AND(Расчёты!F167&gt;0,Расчёты!F167&lt;=N('Исходные данные'!$B$37)),-AC167,0)</f>
        <v>0</v>
      </c>
      <c r="AE167">
        <f>IF(OR(Расчёты!F167=0,Расчёты!F167&lt;=N('Исходные данные'!$B$37)),0,-(AC167+AD167)*N('Сценарный анализ'!$C$9))</f>
        <v>0</v>
      </c>
      <c r="AF167">
        <f t="shared" si="103"/>
        <v>0</v>
      </c>
      <c r="AG167">
        <f>IF('Исходные данные'!$B$51="Да",AF167*N('Исходные данные'!$B$52),0)</f>
        <v>0</v>
      </c>
      <c r="AH167">
        <f t="shared" si="104"/>
        <v>0</v>
      </c>
      <c r="AI167">
        <f>AF167+(Расчёты!Y167-Расчёты!L167)</f>
        <v>0</v>
      </c>
      <c r="AJ167">
        <f t="shared" si="113"/>
        <v>0</v>
      </c>
      <c r="AK167">
        <f>IF('Исходные данные'!$B$51="Да",-MAX(0,AG167+Расчёты!R167+Расчёты!V167-Расчёты!P167-Расчёты!T167-AJ167),0)</f>
        <v>0</v>
      </c>
      <c r="AL167">
        <f>IF('Исходные данные'!$B$51="Да",MAX(0,AJ167+Расчёты!P167+Расчёты!T167-AG167-Расчёты!R167-Расчёты!V167),0)</f>
        <v>0</v>
      </c>
      <c r="AM167">
        <f>IF('Исходные данные'!$B$53="Выручка",MAX(0,AF167+(Расчёты!Q167-Расчёты!R167)+(Расчёты!U167-Расчёты!V167)),IF('Исходные данные'!$B$53="Прибыль до налога",MAX(0,AF167+(Расчёты!Q167-Расчёты!R167)+(Расчёты!U167-Расчёты!V167)+N('Исходные данные'!$B$54)*((Расчёты!O167+Расчёты!P167)+(Расчёты!S167+Расчёты!T167)+Расчёты!W167+Расчёты!X167)+IF('Исходные данные'!$B$55="Да",Расчёты!AG167,0)-N('Исходные данные'!$B$56)/12),IF('Исходные данные'!$B$53="Пользовательская база",MAX(0,N('Исходные данные'!$B$57)/12),0)))</f>
        <v>0</v>
      </c>
      <c r="AN167">
        <f>IF(D167=1,-AM167*N('Исходные данные'!$B$50),0)</f>
        <v>0</v>
      </c>
      <c r="AO167">
        <f t="shared" si="105"/>
        <v>0</v>
      </c>
      <c r="AP167">
        <f>IF(OR(D167&lt;&gt;1,B167="",'Исходные данные'!$B$91="",N('Исходные данные'!$B$80)&lt;=0,'Исходные данные'!$B$88=""),0,IF(AND(YEAR(B167)=YEAR('Исходные данные'!$B$91),MONTH(B167)=MONTH('Исходные данные'!$B$91)),MAX(0,IF('Исходные данные'!$B$88="Последние 12 месяцев",SUMIFS($AI$2:$AI$194,$B$2:$B$194,"&gt;="&amp;EDATE(B167,-11),$B$2:$B$194,"&lt;="&amp;B167),IF('Исходные данные'!$B$88="Пользовательский NOI",N('Исходные данные'!$B$89),AO167))/N('Исходные данные'!$B$80)*(1+N('Исходные данные'!$B$81))),0))</f>
        <v>0</v>
      </c>
      <c r="AQ167">
        <f>-AP167*N('Исходные данные'!$B$73)</f>
        <v>0</v>
      </c>
      <c r="AR167">
        <f>IF(AP167=0,0,-N('Исходные данные'!$B$87)-IF('Исходные данные'!$B$82="Да",IF('Исходные данные'!$B$84="С выручки",AP167,IF('Исходные данные'!$B$84="С прибыли",MAX(0,AP167+AQ167-IF('Исходные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67">
        <f t="shared" si="106"/>
        <v>0</v>
      </c>
      <c r="AT167">
        <f>IF(D167=1,Расчёты!AZ167+AH167+AK167+AN167+AS167,0)</f>
        <v>0</v>
      </c>
      <c r="AU167" t="str">
        <f t="shared" si="114"/>
        <v/>
      </c>
      <c r="AV167">
        <f>IF(OR(D167=0,'Исходные данные'!$B$9="",'Исходные данные'!$B$90=""),0,AT167/(1+'Исходные данные'!$B$90)^((C167-'Исходные данные'!$B$9)/365))</f>
        <v>0</v>
      </c>
      <c r="AW167">
        <f>IF(D167=1,AH167+Расчёты!O167+Расчёты!Q167+Расчёты!S167+Расчёты!U167+Расчёты!W167+Расчёты!X167+AK167+AN167,0)</f>
        <v>0</v>
      </c>
      <c r="AX167">
        <f>IF(AND(D167=1,AU167&gt;=0,AU166&lt;0,MIN($AU$2:AU167)&lt;0),1,0)</f>
        <v>0</v>
      </c>
      <c r="AY167">
        <f>IF(Расчёты!F167=0,0,IF(Расчёты!G167=1,N('Сценарный анализ'!$D$5),IF(Расчёты!G167=2,N('Сценарный анализ'!$D$6),IF(Расчёты!G167=3,N('Сценарный анализ'!$D$7),N('Сценарный анализ'!$D$7)*(1+N('Сценарный анализ'!$D$8))^(Расчёты!G167-3)))))</f>
        <v>0</v>
      </c>
      <c r="AZ167">
        <f>IF(OR(Расчёты!F167=0,N('Исходные данные'!$B$5)=0,AY167=0),0,N('Исходные данные'!$B$5)*AY167*IF(AND(B167&lt;='Исходные данные'!$B$30,Расчёты!C167&gt;='Исходные данные'!$B$30),(Расчёты!C167-'Исходные данные'!$B$30+1)/DAY(Расчёты!C167),1))</f>
        <v>0</v>
      </c>
      <c r="BA167">
        <f>IF(AND(Расчёты!F167&gt;0,Расчёты!F167&lt;=N('Исходные данные'!$B$37)),-AZ167,0)</f>
        <v>0</v>
      </c>
      <c r="BB167">
        <f>IF(OR(Расчёты!F167=0,Расчёты!F167&lt;=N('Исходные данные'!$B$37)),0,-(AZ167+BA167)*N('Сценарный анализ'!$D$9))</f>
        <v>0</v>
      </c>
      <c r="BC167">
        <f t="shared" si="107"/>
        <v>0</v>
      </c>
      <c r="BD167">
        <f>IF('Исходные данные'!$B$51="Да",BC167*N('Исходные данные'!$B$52),0)</f>
        <v>0</v>
      </c>
      <c r="BE167">
        <f t="shared" si="108"/>
        <v>0</v>
      </c>
      <c r="BF167">
        <f>BC167+(Расчёты!Y167-Расчёты!L167)</f>
        <v>0</v>
      </c>
      <c r="BG167">
        <f t="shared" si="115"/>
        <v>0</v>
      </c>
      <c r="BH167">
        <f>IF('Исходные данные'!$B$51="Да",-MAX(0,BD167+Расчёты!R167+Расчёты!V167-Расчёты!P167-Расчёты!T167-BG167),0)</f>
        <v>0</v>
      </c>
      <c r="BI167">
        <f>IF('Исходные данные'!$B$51="Да",MAX(0,BG167+Расчёты!P167+Расчёты!T167-BD167-Расчёты!R167-Расчёты!V167),0)</f>
        <v>0</v>
      </c>
      <c r="BJ167">
        <f>IF('Исходные данные'!$B$53="Выручка",MAX(0,BC167+(Расчёты!Q167-Расчёты!R167)+(Расчёты!U167-Расчёты!V167)),IF('Исходные данные'!$B$53="Прибыль до налога",MAX(0,BC167+(Расчёты!Q167-Расчёты!R167)+(Расчёты!U167-Расчёты!V167)+N('Исходные данные'!$B$54)*((Расчёты!O167+Расчёты!P167)+(Расчёты!S167+Расчёты!T167)+Расчёты!W167+Расчёты!X167)+IF('Исходные данные'!$B$55="Да",Расчёты!AG167,0)-N('Исходные данные'!$B$56)/12),IF('Исходные данные'!$B$53="Пользовательская база",MAX(0,N('Исходные данные'!$B$57)/12),0)))</f>
        <v>0</v>
      </c>
      <c r="BK167">
        <f>IF(D167=1,-BJ167*N('Исходные данные'!$B$50),0)</f>
        <v>0</v>
      </c>
      <c r="BL167">
        <f t="shared" si="109"/>
        <v>0</v>
      </c>
      <c r="BM167">
        <f>IF(OR(D167&lt;&gt;1,B167="",'Исходные данные'!$B$91="",N('Исходные данные'!$B$80)&lt;=0,'Исходные данные'!$B$88=""),0,IF(AND(YEAR(B167)=YEAR('Исходные данные'!$B$91),MONTH(B167)=MONTH('Исходные данные'!$B$91)),MAX(0,IF('Исходные данные'!$B$88="Последние 12 месяцев",SUMIFS($BF$2:$BF$194,$B$2:$B$194,"&gt;="&amp;EDATE(B167,-11),$B$2:$B$194,"&lt;="&amp;B167),IF('Исходные данные'!$B$88="Пользовательский NOI",N('Исходные данные'!$B$89),BL167))/N('Исходные данные'!$B$80)*(1+N('Исходные данные'!$B$81))),0))</f>
        <v>0</v>
      </c>
      <c r="BN167">
        <f>-BM167*N('Исходные данные'!$B$73)</f>
        <v>0</v>
      </c>
      <c r="BO167">
        <f>IF(BM167=0,0,-N('Исходные данные'!$B$87)-IF('Исходные данные'!$B$82="Да",IF('Исходные данные'!$B$84="С выручки",BM167,IF('Исходные данные'!$B$84="С прибыли",MAX(0,BM167+BN167-IF('Исходные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67">
        <f t="shared" si="110"/>
        <v>0</v>
      </c>
      <c r="BQ167">
        <f>IF(D167=1,Расчёты!AZ167+BE167+BH167+BK167+BP167,0)</f>
        <v>0</v>
      </c>
      <c r="BR167" t="str">
        <f t="shared" si="116"/>
        <v/>
      </c>
      <c r="BS167">
        <f>IF(OR(D167=0,'Исходные данные'!$B$9="",'Исходные данные'!$B$90=""),0,BQ167/(1+'Исходные данные'!$B$90)^((C167-'Исходные данные'!$B$9)/365))</f>
        <v>0</v>
      </c>
      <c r="BT167">
        <f>IF(D167=1,BE167+Расчёты!O167+Расчёты!Q167+Расчёты!S167+Расчёты!U167+Расчёты!W167+Расчёты!X167+BH167+BK167,0)</f>
        <v>0</v>
      </c>
      <c r="BU167">
        <f>IF(AND(D167=1,BR167&gt;=0,BR166&lt;0,MIN($BR$2:BR167)&lt;0),1,0)</f>
        <v>0</v>
      </c>
      <c r="BV167">
        <f>Расчёты!AZ167+K167+N167-P167*N('Исходные данные'!$B$50)</f>
        <v>0</v>
      </c>
      <c r="BW167">
        <f t="shared" si="96"/>
        <v>0</v>
      </c>
      <c r="BX167">
        <f>IF(AND(BW167&gt;=0,BW166&lt;0,MIN($BW$2:BW167)&lt;0),1,0)</f>
        <v>0</v>
      </c>
      <c r="BY167">
        <f>Расчёты!AZ167+AH167+AK167-AM167*N('Исходные данные'!$B$50)</f>
        <v>0</v>
      </c>
      <c r="BZ167">
        <f t="shared" si="97"/>
        <v>0</v>
      </c>
      <c r="CA167">
        <f>IF(AND(BZ167&gt;=0,BZ166&lt;0,MIN($BZ$2:BZ167)&lt;0),1,0)</f>
        <v>0</v>
      </c>
      <c r="CB167">
        <f>Расчёты!AZ167+BE167+BH167-BJ167*N('Исходные данные'!$B$50)</f>
        <v>0</v>
      </c>
      <c r="CC167">
        <f t="shared" si="98"/>
        <v>0</v>
      </c>
      <c r="CD167">
        <f>IF(AND(CC167&gt;=0,CC166&lt;0,MIN($CC$2:CC167)&lt;0),1,0)</f>
        <v>0</v>
      </c>
    </row>
    <row r="168" spans="1:82" x14ac:dyDescent="0.2">
      <c r="A168">
        <f>Расчёты!A168</f>
        <v>167</v>
      </c>
      <c r="B168" t="str">
        <f>Расчёты!B168</f>
        <v/>
      </c>
      <c r="C168" t="str">
        <f>Расчёты!D168</f>
        <v/>
      </c>
      <c r="D168">
        <f>Расчёты!E168</f>
        <v>0</v>
      </c>
      <c r="E168">
        <f>IF(Расчёты!F168=0,0,IF(Расчёты!G168=1,N('Сценарный анализ'!$B$5),IF(Расчёты!G168=2,N('Сценарный анализ'!$B$6),IF(Расчёты!G168=3,N('Сценарный анализ'!$B$7),N('Сценарный анализ'!$B$7)*(1+N('Сценарный анализ'!$B$8))^(Расчёты!G168-3)))))</f>
        <v>0</v>
      </c>
      <c r="F168">
        <f>IF(OR(Расчёты!F168=0,N('Исходные данные'!$B$5)=0,E168=0),0,N('Исходные данные'!$B$5)*E168*IF(AND(B168&lt;='Исходные данные'!$B$30,Расчёты!C168&gt;='Исходные данные'!$B$30),(Расчёты!C168-'Исходные данные'!$B$30+1)/DAY(Расчёты!C168),1))</f>
        <v>0</v>
      </c>
      <c r="G168">
        <f>IF(AND(Расчёты!F168&gt;0,Расчёты!F168&lt;=N('Исходные данные'!$B$37)),-F168,0)</f>
        <v>0</v>
      </c>
      <c r="H168">
        <f>IF(OR(Расчёты!F168=0,Расчёты!F168&lt;=N('Исходные данные'!$B$37)),0,-(F168+G168)*N('Сценарный анализ'!$B$9))</f>
        <v>0</v>
      </c>
      <c r="I168">
        <f t="shared" si="99"/>
        <v>0</v>
      </c>
      <c r="J168">
        <f>IF('Исходные данные'!$B$51="Да",I168*N('Исходные данные'!$B$52),0)</f>
        <v>0</v>
      </c>
      <c r="K168">
        <f t="shared" si="100"/>
        <v>0</v>
      </c>
      <c r="L168">
        <f>I168+(Расчёты!Y168-Расчёты!L168)</f>
        <v>0</v>
      </c>
      <c r="M168">
        <f t="shared" si="111"/>
        <v>0</v>
      </c>
      <c r="N168">
        <f>IF('Исходные данные'!$B$51="Да",-MAX(0,J168+Расчёты!R168+Расчёты!V168-Расчёты!P168-Расчёты!T168-M168),0)</f>
        <v>0</v>
      </c>
      <c r="O168">
        <f>IF('Исходные данные'!$B$51="Да",MAX(0,M168+Расчёты!P168+Расчёты!T168-J168-Расчёты!R168-Расчёты!V168),0)</f>
        <v>0</v>
      </c>
      <c r="P168">
        <f>IF('Исходные данные'!$B$53="Выручка",MAX(0,I168+(Расчёты!Q168-Расчёты!R168)+(Расчёты!U168-Расчёты!V168)),IF('Исходные данные'!$B$53="Прибыль до налога",MAX(0,I168+(Расчёты!Q168-Расчёты!R168)+(Расчёты!U168-Расчёты!V168)+N('Исходные данные'!$B$54)*((Расчёты!O168+Расчёты!P168)+(Расчёты!S168+Расчёты!T168)+Расчёты!W168+Расчёты!X168)+IF('Исходные данные'!$B$55="Да",Расчёты!AG168,0)-N('Исходные данные'!$B$56)/12),IF('Исходные данные'!$B$53="Пользовательская база",MAX(0,N('Исходные данные'!$B$57)/12),0)))</f>
        <v>0</v>
      </c>
      <c r="Q168">
        <f>IF(D168=1,-P168*N('Исходные данные'!$B$50),0)</f>
        <v>0</v>
      </c>
      <c r="R168">
        <f t="shared" si="101"/>
        <v>0</v>
      </c>
      <c r="S168">
        <f>IF(OR(D168&lt;&gt;1,B168="",'Исходные данные'!$B$91="",N('Исходные данные'!$B$80)&lt;=0,'Исходные данные'!$B$88=""),0,IF(AND(YEAR(B168)=YEAR('Исходные данные'!$B$91),MONTH(B168)=MONTH('Исходные данные'!$B$91)),MAX(0,IF('Исходные данные'!$B$88="Последние 12 месяцев",SUMIFS($L$2:$L$194,$B$2:$B$194,"&gt;="&amp;EDATE(B168,-11),$B$2:$B$194,"&lt;="&amp;B168),IF('Исходные данные'!$B$88="Пользовательский NOI",N('Исходные данные'!$B$89),R168))/N('Исходные данные'!$B$80)*(1+N('Исходные данные'!$B$81))),0))</f>
        <v>0</v>
      </c>
      <c r="T168">
        <f>-S168*N('Исходные данные'!$B$73)</f>
        <v>0</v>
      </c>
      <c r="U168">
        <f>IF(S168=0,0,-N('Исходные данные'!$B$87)-IF('Исходные данные'!$B$82="Да",IF('Исходные данные'!$B$84="С выручки",S168,IF('Исходные данные'!$B$84="С прибыли",MAX(0,S168+T168-IF('Исходные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68">
        <f t="shared" si="102"/>
        <v>0</v>
      </c>
      <c r="W168">
        <f>IF(D168=1,Расчёты!AZ168+K168+N168+Q168+V168,0)</f>
        <v>0</v>
      </c>
      <c r="X168" t="str">
        <f t="shared" si="112"/>
        <v/>
      </c>
      <c r="Y168">
        <f>IF(OR(D168=0,'Исходные данные'!$B$9="",'Исходные данные'!$B$90=""),0,W168/(1+'Исходные данные'!$B$90)^((C168-'Исходные данные'!$B$9)/365))</f>
        <v>0</v>
      </c>
      <c r="Z168">
        <f>IF(D168=1,K168+Расчёты!O168+Расчёты!Q168+Расчёты!S168+Расчёты!U168+Расчёты!W168+Расчёты!X168+N168+Q168,0)</f>
        <v>0</v>
      </c>
      <c r="AA168">
        <f>IF(AND(D168=1,X168&gt;=0,X167&lt;0,MIN($X$2:X168)&lt;0),1,0)</f>
        <v>0</v>
      </c>
      <c r="AB168">
        <f>IF(Расчёты!F168=0,0,IF(Расчёты!G168=1,N('Сценарный анализ'!$C$5),IF(Расчёты!G168=2,N('Сценарный анализ'!$C$6),IF(Расчёты!G168=3,N('Сценарный анализ'!$C$7),N('Сценарный анализ'!$C$7)*(1+N('Сценарный анализ'!$C$8))^(Расчёты!G168-3)))))</f>
        <v>0</v>
      </c>
      <c r="AC168">
        <f>IF(OR(Расчёты!F168=0,N('Исходные данные'!$B$5)=0,AB168=0),0,N('Исходные данные'!$B$5)*AB168*IF(AND(B168&lt;='Исходные данные'!$B$30,Расчёты!C168&gt;='Исходные данные'!$B$30),(Расчёты!C168-'Исходные данные'!$B$30+1)/DAY(Расчёты!C168),1))</f>
        <v>0</v>
      </c>
      <c r="AD168">
        <f>IF(AND(Расчёты!F168&gt;0,Расчёты!F168&lt;=N('Исходные данные'!$B$37)),-AC168,0)</f>
        <v>0</v>
      </c>
      <c r="AE168">
        <f>IF(OR(Расчёты!F168=0,Расчёты!F168&lt;=N('Исходные данные'!$B$37)),0,-(AC168+AD168)*N('Сценарный анализ'!$C$9))</f>
        <v>0</v>
      </c>
      <c r="AF168">
        <f t="shared" si="103"/>
        <v>0</v>
      </c>
      <c r="AG168">
        <f>IF('Исходные данные'!$B$51="Да",AF168*N('Исходные данные'!$B$52),0)</f>
        <v>0</v>
      </c>
      <c r="AH168">
        <f t="shared" si="104"/>
        <v>0</v>
      </c>
      <c r="AI168">
        <f>AF168+(Расчёты!Y168-Расчёты!L168)</f>
        <v>0</v>
      </c>
      <c r="AJ168">
        <f t="shared" si="113"/>
        <v>0</v>
      </c>
      <c r="AK168">
        <f>IF('Исходные данные'!$B$51="Да",-MAX(0,AG168+Расчёты!R168+Расчёты!V168-Расчёты!P168-Расчёты!T168-AJ168),0)</f>
        <v>0</v>
      </c>
      <c r="AL168">
        <f>IF('Исходные данные'!$B$51="Да",MAX(0,AJ168+Расчёты!P168+Расчёты!T168-AG168-Расчёты!R168-Расчёты!V168),0)</f>
        <v>0</v>
      </c>
      <c r="AM168">
        <f>IF('Исходные данные'!$B$53="Выручка",MAX(0,AF168+(Расчёты!Q168-Расчёты!R168)+(Расчёты!U168-Расчёты!V168)),IF('Исходные данные'!$B$53="Прибыль до налога",MAX(0,AF168+(Расчёты!Q168-Расчёты!R168)+(Расчёты!U168-Расчёты!V168)+N('Исходные данные'!$B$54)*((Расчёты!O168+Расчёты!P168)+(Расчёты!S168+Расчёты!T168)+Расчёты!W168+Расчёты!X168)+IF('Исходные данные'!$B$55="Да",Расчёты!AG168,0)-N('Исходные данные'!$B$56)/12),IF('Исходные данные'!$B$53="Пользовательская база",MAX(0,N('Исходные данные'!$B$57)/12),0)))</f>
        <v>0</v>
      </c>
      <c r="AN168">
        <f>IF(D168=1,-AM168*N('Исходные данные'!$B$50),0)</f>
        <v>0</v>
      </c>
      <c r="AO168">
        <f t="shared" si="105"/>
        <v>0</v>
      </c>
      <c r="AP168">
        <f>IF(OR(D168&lt;&gt;1,B168="",'Исходные данные'!$B$91="",N('Исходные данные'!$B$80)&lt;=0,'Исходные данные'!$B$88=""),0,IF(AND(YEAR(B168)=YEAR('Исходные данные'!$B$91),MONTH(B168)=MONTH('Исходные данные'!$B$91)),MAX(0,IF('Исходные данные'!$B$88="Последние 12 месяцев",SUMIFS($AI$2:$AI$194,$B$2:$B$194,"&gt;="&amp;EDATE(B168,-11),$B$2:$B$194,"&lt;="&amp;B168),IF('Исходные данные'!$B$88="Пользовательский NOI",N('Исходные данные'!$B$89),AO168))/N('Исходные данные'!$B$80)*(1+N('Исходные данные'!$B$81))),0))</f>
        <v>0</v>
      </c>
      <c r="AQ168">
        <f>-AP168*N('Исходные данные'!$B$73)</f>
        <v>0</v>
      </c>
      <c r="AR168">
        <f>IF(AP168=0,0,-N('Исходные данные'!$B$87)-IF('Исходные данные'!$B$82="Да",IF('Исходные данные'!$B$84="С выручки",AP168,IF('Исходные данные'!$B$84="С прибыли",MAX(0,AP168+AQ168-IF('Исходные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68">
        <f t="shared" si="106"/>
        <v>0</v>
      </c>
      <c r="AT168">
        <f>IF(D168=1,Расчёты!AZ168+AH168+AK168+AN168+AS168,0)</f>
        <v>0</v>
      </c>
      <c r="AU168" t="str">
        <f t="shared" si="114"/>
        <v/>
      </c>
      <c r="AV168">
        <f>IF(OR(D168=0,'Исходные данные'!$B$9="",'Исходные данные'!$B$90=""),0,AT168/(1+'Исходные данные'!$B$90)^((C168-'Исходные данные'!$B$9)/365))</f>
        <v>0</v>
      </c>
      <c r="AW168">
        <f>IF(D168=1,AH168+Расчёты!O168+Расчёты!Q168+Расчёты!S168+Расчёты!U168+Расчёты!W168+Расчёты!X168+AK168+AN168,0)</f>
        <v>0</v>
      </c>
      <c r="AX168">
        <f>IF(AND(D168=1,AU168&gt;=0,AU167&lt;0,MIN($AU$2:AU168)&lt;0),1,0)</f>
        <v>0</v>
      </c>
      <c r="AY168">
        <f>IF(Расчёты!F168=0,0,IF(Расчёты!G168=1,N('Сценарный анализ'!$D$5),IF(Расчёты!G168=2,N('Сценарный анализ'!$D$6),IF(Расчёты!G168=3,N('Сценарный анализ'!$D$7),N('Сценарный анализ'!$D$7)*(1+N('Сценарный анализ'!$D$8))^(Расчёты!G168-3)))))</f>
        <v>0</v>
      </c>
      <c r="AZ168">
        <f>IF(OR(Расчёты!F168=0,N('Исходные данные'!$B$5)=0,AY168=0),0,N('Исходные данные'!$B$5)*AY168*IF(AND(B168&lt;='Исходные данные'!$B$30,Расчёты!C168&gt;='Исходные данные'!$B$30),(Расчёты!C168-'Исходные данные'!$B$30+1)/DAY(Расчёты!C168),1))</f>
        <v>0</v>
      </c>
      <c r="BA168">
        <f>IF(AND(Расчёты!F168&gt;0,Расчёты!F168&lt;=N('Исходные данные'!$B$37)),-AZ168,0)</f>
        <v>0</v>
      </c>
      <c r="BB168">
        <f>IF(OR(Расчёты!F168=0,Расчёты!F168&lt;=N('Исходные данные'!$B$37)),0,-(AZ168+BA168)*N('Сценарный анализ'!$D$9))</f>
        <v>0</v>
      </c>
      <c r="BC168">
        <f t="shared" si="107"/>
        <v>0</v>
      </c>
      <c r="BD168">
        <f>IF('Исходные данные'!$B$51="Да",BC168*N('Исходные данные'!$B$52),0)</f>
        <v>0</v>
      </c>
      <c r="BE168">
        <f t="shared" si="108"/>
        <v>0</v>
      </c>
      <c r="BF168">
        <f>BC168+(Расчёты!Y168-Расчёты!L168)</f>
        <v>0</v>
      </c>
      <c r="BG168">
        <f t="shared" si="115"/>
        <v>0</v>
      </c>
      <c r="BH168">
        <f>IF('Исходные данные'!$B$51="Да",-MAX(0,BD168+Расчёты!R168+Расчёты!V168-Расчёты!P168-Расчёты!T168-BG168),0)</f>
        <v>0</v>
      </c>
      <c r="BI168">
        <f>IF('Исходные данные'!$B$51="Да",MAX(0,BG168+Расчёты!P168+Расчёты!T168-BD168-Расчёты!R168-Расчёты!V168),0)</f>
        <v>0</v>
      </c>
      <c r="BJ168">
        <f>IF('Исходные данные'!$B$53="Выручка",MAX(0,BC168+(Расчёты!Q168-Расчёты!R168)+(Расчёты!U168-Расчёты!V168)),IF('Исходные данные'!$B$53="Прибыль до налога",MAX(0,BC168+(Расчёты!Q168-Расчёты!R168)+(Расчёты!U168-Расчёты!V168)+N('Исходные данные'!$B$54)*((Расчёты!O168+Расчёты!P168)+(Расчёты!S168+Расчёты!T168)+Расчёты!W168+Расчёты!X168)+IF('Исходные данные'!$B$55="Да",Расчёты!AG168,0)-N('Исходные данные'!$B$56)/12),IF('Исходные данные'!$B$53="Пользовательская база",MAX(0,N('Исходные данные'!$B$57)/12),0)))</f>
        <v>0</v>
      </c>
      <c r="BK168">
        <f>IF(D168=1,-BJ168*N('Исходные данные'!$B$50),0)</f>
        <v>0</v>
      </c>
      <c r="BL168">
        <f t="shared" si="109"/>
        <v>0</v>
      </c>
      <c r="BM168">
        <f>IF(OR(D168&lt;&gt;1,B168="",'Исходные данные'!$B$91="",N('Исходные данные'!$B$80)&lt;=0,'Исходные данные'!$B$88=""),0,IF(AND(YEAR(B168)=YEAR('Исходные данные'!$B$91),MONTH(B168)=MONTH('Исходные данные'!$B$91)),MAX(0,IF('Исходные данные'!$B$88="Последние 12 месяцев",SUMIFS($BF$2:$BF$194,$B$2:$B$194,"&gt;="&amp;EDATE(B168,-11),$B$2:$B$194,"&lt;="&amp;B168),IF('Исходные данные'!$B$88="Пользовательский NOI",N('Исходные данные'!$B$89),BL168))/N('Исходные данные'!$B$80)*(1+N('Исходные данные'!$B$81))),0))</f>
        <v>0</v>
      </c>
      <c r="BN168">
        <f>-BM168*N('Исходные данные'!$B$73)</f>
        <v>0</v>
      </c>
      <c r="BO168">
        <f>IF(BM168=0,0,-N('Исходные данные'!$B$87)-IF('Исходные данные'!$B$82="Да",IF('Исходные данные'!$B$84="С выручки",BM168,IF('Исходные данные'!$B$84="С прибыли",MAX(0,BM168+BN168-IF('Исходные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68">
        <f t="shared" si="110"/>
        <v>0</v>
      </c>
      <c r="BQ168">
        <f>IF(D168=1,Расчёты!AZ168+BE168+BH168+BK168+BP168,0)</f>
        <v>0</v>
      </c>
      <c r="BR168" t="str">
        <f t="shared" si="116"/>
        <v/>
      </c>
      <c r="BS168">
        <f>IF(OR(D168=0,'Исходные данные'!$B$9="",'Исходные данные'!$B$90=""),0,BQ168/(1+'Исходные данные'!$B$90)^((C168-'Исходные данные'!$B$9)/365))</f>
        <v>0</v>
      </c>
      <c r="BT168">
        <f>IF(D168=1,BE168+Расчёты!O168+Расчёты!Q168+Расчёты!S168+Расчёты!U168+Расчёты!W168+Расчёты!X168+BH168+BK168,0)</f>
        <v>0</v>
      </c>
      <c r="BU168">
        <f>IF(AND(D168=1,BR168&gt;=0,BR167&lt;0,MIN($BR$2:BR168)&lt;0),1,0)</f>
        <v>0</v>
      </c>
      <c r="BV168">
        <f>Расчёты!AZ168+K168+N168-P168*N('Исходные данные'!$B$50)</f>
        <v>0</v>
      </c>
      <c r="BW168">
        <f t="shared" si="96"/>
        <v>0</v>
      </c>
      <c r="BX168">
        <f>IF(AND(BW168&gt;=0,BW167&lt;0,MIN($BW$2:BW168)&lt;0),1,0)</f>
        <v>0</v>
      </c>
      <c r="BY168">
        <f>Расчёты!AZ168+AH168+AK168-AM168*N('Исходные данные'!$B$50)</f>
        <v>0</v>
      </c>
      <c r="BZ168">
        <f t="shared" si="97"/>
        <v>0</v>
      </c>
      <c r="CA168">
        <f>IF(AND(BZ168&gt;=0,BZ167&lt;0,MIN($BZ$2:BZ168)&lt;0),1,0)</f>
        <v>0</v>
      </c>
      <c r="CB168">
        <f>Расчёты!AZ168+BE168+BH168-BJ168*N('Исходные данные'!$B$50)</f>
        <v>0</v>
      </c>
      <c r="CC168">
        <f t="shared" si="98"/>
        <v>0</v>
      </c>
      <c r="CD168">
        <f>IF(AND(CC168&gt;=0,CC167&lt;0,MIN($CC$2:CC168)&lt;0),1,0)</f>
        <v>0</v>
      </c>
    </row>
    <row r="169" spans="1:82" x14ac:dyDescent="0.2">
      <c r="A169">
        <f>Расчёты!A169</f>
        <v>168</v>
      </c>
      <c r="B169" t="str">
        <f>Расчёты!B169</f>
        <v/>
      </c>
      <c r="C169" t="str">
        <f>Расчёты!D169</f>
        <v/>
      </c>
      <c r="D169">
        <f>Расчёты!E169</f>
        <v>0</v>
      </c>
      <c r="E169">
        <f>IF(Расчёты!F169=0,0,IF(Расчёты!G169=1,N('Сценарный анализ'!$B$5),IF(Расчёты!G169=2,N('Сценарный анализ'!$B$6),IF(Расчёты!G169=3,N('Сценарный анализ'!$B$7),N('Сценарный анализ'!$B$7)*(1+N('Сценарный анализ'!$B$8))^(Расчёты!G169-3)))))</f>
        <v>0</v>
      </c>
      <c r="F169">
        <f>IF(OR(Расчёты!F169=0,N('Исходные данные'!$B$5)=0,E169=0),0,N('Исходные данные'!$B$5)*E169*IF(AND(B169&lt;='Исходные данные'!$B$30,Расчёты!C169&gt;='Исходные данные'!$B$30),(Расчёты!C169-'Исходные данные'!$B$30+1)/DAY(Расчёты!C169),1))</f>
        <v>0</v>
      </c>
      <c r="G169">
        <f>IF(AND(Расчёты!F169&gt;0,Расчёты!F169&lt;=N('Исходные данные'!$B$37)),-F169,0)</f>
        <v>0</v>
      </c>
      <c r="H169">
        <f>IF(OR(Расчёты!F169=0,Расчёты!F169&lt;=N('Исходные данные'!$B$37)),0,-(F169+G169)*N('Сценарный анализ'!$B$9))</f>
        <v>0</v>
      </c>
      <c r="I169">
        <f t="shared" si="99"/>
        <v>0</v>
      </c>
      <c r="J169">
        <f>IF('Исходные данные'!$B$51="Да",I169*N('Исходные данные'!$B$52),0)</f>
        <v>0</v>
      </c>
      <c r="K169">
        <f t="shared" si="100"/>
        <v>0</v>
      </c>
      <c r="L169">
        <f>I169+(Расчёты!Y169-Расчёты!L169)</f>
        <v>0</v>
      </c>
      <c r="M169">
        <f t="shared" si="111"/>
        <v>0</v>
      </c>
      <c r="N169">
        <f>IF('Исходные данные'!$B$51="Да",-MAX(0,J169+Расчёты!R169+Расчёты!V169-Расчёты!P169-Расчёты!T169-M169),0)</f>
        <v>0</v>
      </c>
      <c r="O169">
        <f>IF('Исходные данные'!$B$51="Да",MAX(0,M169+Расчёты!P169+Расчёты!T169-J169-Расчёты!R169-Расчёты!V169),0)</f>
        <v>0</v>
      </c>
      <c r="P169">
        <f>IF('Исходные данные'!$B$53="Выручка",MAX(0,I169+(Расчёты!Q169-Расчёты!R169)+(Расчёты!U169-Расчёты!V169)),IF('Исходные данные'!$B$53="Прибыль до налога",MAX(0,I169+(Расчёты!Q169-Расчёты!R169)+(Расчёты!U169-Расчёты!V169)+N('Исходные данные'!$B$54)*((Расчёты!O169+Расчёты!P169)+(Расчёты!S169+Расчёты!T169)+Расчёты!W169+Расчёты!X169)+IF('Исходные данные'!$B$55="Да",Расчёты!AG169,0)-N('Исходные данные'!$B$56)/12),IF('Исходные данные'!$B$53="Пользовательская база",MAX(0,N('Исходные данные'!$B$57)/12),0)))</f>
        <v>0</v>
      </c>
      <c r="Q169">
        <f>IF(D169=1,-P169*N('Исходные данные'!$B$50),0)</f>
        <v>0</v>
      </c>
      <c r="R169">
        <f t="shared" si="101"/>
        <v>0</v>
      </c>
      <c r="S169">
        <f>IF(OR(D169&lt;&gt;1,B169="",'Исходные данные'!$B$91="",N('Исходные данные'!$B$80)&lt;=0,'Исходные данные'!$B$88=""),0,IF(AND(YEAR(B169)=YEAR('Исходные данные'!$B$91),MONTH(B169)=MONTH('Исходные данные'!$B$91)),MAX(0,IF('Исходные данные'!$B$88="Последние 12 месяцев",SUMIFS($L$2:$L$194,$B$2:$B$194,"&gt;="&amp;EDATE(B169,-11),$B$2:$B$194,"&lt;="&amp;B169),IF('Исходные данные'!$B$88="Пользовательский NOI",N('Исходные данные'!$B$89),R169))/N('Исходные данные'!$B$80)*(1+N('Исходные данные'!$B$81))),0))</f>
        <v>0</v>
      </c>
      <c r="T169">
        <f>-S169*N('Исходные данные'!$B$73)</f>
        <v>0</v>
      </c>
      <c r="U169">
        <f>IF(S169=0,0,-N('Исходные данные'!$B$87)-IF('Исходные данные'!$B$82="Да",IF('Исходные данные'!$B$84="С выручки",S169,IF('Исходные данные'!$B$84="С прибыли",MAX(0,S169+T169-IF('Исходные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69">
        <f t="shared" si="102"/>
        <v>0</v>
      </c>
      <c r="W169">
        <f>IF(D169=1,Расчёты!AZ169+K169+N169+Q169+V169,0)</f>
        <v>0</v>
      </c>
      <c r="X169" t="str">
        <f t="shared" si="112"/>
        <v/>
      </c>
      <c r="Y169">
        <f>IF(OR(D169=0,'Исходные данные'!$B$9="",'Исходные данные'!$B$90=""),0,W169/(1+'Исходные данные'!$B$90)^((C169-'Исходные данные'!$B$9)/365))</f>
        <v>0</v>
      </c>
      <c r="Z169">
        <f>IF(D169=1,K169+Расчёты!O169+Расчёты!Q169+Расчёты!S169+Расчёты!U169+Расчёты!W169+Расчёты!X169+N169+Q169,0)</f>
        <v>0</v>
      </c>
      <c r="AA169">
        <f>IF(AND(D169=1,X169&gt;=0,X168&lt;0,MIN($X$2:X169)&lt;0),1,0)</f>
        <v>0</v>
      </c>
      <c r="AB169">
        <f>IF(Расчёты!F169=0,0,IF(Расчёты!G169=1,N('Сценарный анализ'!$C$5),IF(Расчёты!G169=2,N('Сценарный анализ'!$C$6),IF(Расчёты!G169=3,N('Сценарный анализ'!$C$7),N('Сценарный анализ'!$C$7)*(1+N('Сценарный анализ'!$C$8))^(Расчёты!G169-3)))))</f>
        <v>0</v>
      </c>
      <c r="AC169">
        <f>IF(OR(Расчёты!F169=0,N('Исходные данные'!$B$5)=0,AB169=0),0,N('Исходные данные'!$B$5)*AB169*IF(AND(B169&lt;='Исходные данные'!$B$30,Расчёты!C169&gt;='Исходные данные'!$B$30),(Расчёты!C169-'Исходные данные'!$B$30+1)/DAY(Расчёты!C169),1))</f>
        <v>0</v>
      </c>
      <c r="AD169">
        <f>IF(AND(Расчёты!F169&gt;0,Расчёты!F169&lt;=N('Исходные данные'!$B$37)),-AC169,0)</f>
        <v>0</v>
      </c>
      <c r="AE169">
        <f>IF(OR(Расчёты!F169=0,Расчёты!F169&lt;=N('Исходные данные'!$B$37)),0,-(AC169+AD169)*N('Сценарный анализ'!$C$9))</f>
        <v>0</v>
      </c>
      <c r="AF169">
        <f t="shared" si="103"/>
        <v>0</v>
      </c>
      <c r="AG169">
        <f>IF('Исходные данные'!$B$51="Да",AF169*N('Исходные данные'!$B$52),0)</f>
        <v>0</v>
      </c>
      <c r="AH169">
        <f t="shared" si="104"/>
        <v>0</v>
      </c>
      <c r="AI169">
        <f>AF169+(Расчёты!Y169-Расчёты!L169)</f>
        <v>0</v>
      </c>
      <c r="AJ169">
        <f t="shared" si="113"/>
        <v>0</v>
      </c>
      <c r="AK169">
        <f>IF('Исходные данные'!$B$51="Да",-MAX(0,AG169+Расчёты!R169+Расчёты!V169-Расчёты!P169-Расчёты!T169-AJ169),0)</f>
        <v>0</v>
      </c>
      <c r="AL169">
        <f>IF('Исходные данные'!$B$51="Да",MAX(0,AJ169+Расчёты!P169+Расчёты!T169-AG169-Расчёты!R169-Расчёты!V169),0)</f>
        <v>0</v>
      </c>
      <c r="AM169">
        <f>IF('Исходные данные'!$B$53="Выручка",MAX(0,AF169+(Расчёты!Q169-Расчёты!R169)+(Расчёты!U169-Расчёты!V169)),IF('Исходные данные'!$B$53="Прибыль до налога",MAX(0,AF169+(Расчёты!Q169-Расчёты!R169)+(Расчёты!U169-Расчёты!V169)+N('Исходные данные'!$B$54)*((Расчёты!O169+Расчёты!P169)+(Расчёты!S169+Расчёты!T169)+Расчёты!W169+Расчёты!X169)+IF('Исходные данные'!$B$55="Да",Расчёты!AG169,0)-N('Исходные данные'!$B$56)/12),IF('Исходные данные'!$B$53="Пользовательская база",MAX(0,N('Исходные данные'!$B$57)/12),0)))</f>
        <v>0</v>
      </c>
      <c r="AN169">
        <f>IF(D169=1,-AM169*N('Исходные данные'!$B$50),0)</f>
        <v>0</v>
      </c>
      <c r="AO169">
        <f t="shared" si="105"/>
        <v>0</v>
      </c>
      <c r="AP169">
        <f>IF(OR(D169&lt;&gt;1,B169="",'Исходные данные'!$B$91="",N('Исходные данные'!$B$80)&lt;=0,'Исходные данные'!$B$88=""),0,IF(AND(YEAR(B169)=YEAR('Исходные данные'!$B$91),MONTH(B169)=MONTH('Исходные данные'!$B$91)),MAX(0,IF('Исходные данные'!$B$88="Последние 12 месяцев",SUMIFS($AI$2:$AI$194,$B$2:$B$194,"&gt;="&amp;EDATE(B169,-11),$B$2:$B$194,"&lt;="&amp;B169),IF('Исходные данные'!$B$88="Пользовательский NOI",N('Исходные данные'!$B$89),AO169))/N('Исходные данные'!$B$80)*(1+N('Исходные данные'!$B$81))),0))</f>
        <v>0</v>
      </c>
      <c r="AQ169">
        <f>-AP169*N('Исходные данные'!$B$73)</f>
        <v>0</v>
      </c>
      <c r="AR169">
        <f>IF(AP169=0,0,-N('Исходные данные'!$B$87)-IF('Исходные данные'!$B$82="Да",IF('Исходные данные'!$B$84="С выручки",AP169,IF('Исходные данные'!$B$84="С прибыли",MAX(0,AP169+AQ169-IF('Исходные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69">
        <f t="shared" si="106"/>
        <v>0</v>
      </c>
      <c r="AT169">
        <f>IF(D169=1,Расчёты!AZ169+AH169+AK169+AN169+AS169,0)</f>
        <v>0</v>
      </c>
      <c r="AU169" t="str">
        <f t="shared" si="114"/>
        <v/>
      </c>
      <c r="AV169">
        <f>IF(OR(D169=0,'Исходные данные'!$B$9="",'Исходные данные'!$B$90=""),0,AT169/(1+'Исходные данные'!$B$90)^((C169-'Исходные данные'!$B$9)/365))</f>
        <v>0</v>
      </c>
      <c r="AW169">
        <f>IF(D169=1,AH169+Расчёты!O169+Расчёты!Q169+Расчёты!S169+Расчёты!U169+Расчёты!W169+Расчёты!X169+AK169+AN169,0)</f>
        <v>0</v>
      </c>
      <c r="AX169">
        <f>IF(AND(D169=1,AU169&gt;=0,AU168&lt;0,MIN($AU$2:AU169)&lt;0),1,0)</f>
        <v>0</v>
      </c>
      <c r="AY169">
        <f>IF(Расчёты!F169=0,0,IF(Расчёты!G169=1,N('Сценарный анализ'!$D$5),IF(Расчёты!G169=2,N('Сценарный анализ'!$D$6),IF(Расчёты!G169=3,N('Сценарный анализ'!$D$7),N('Сценарный анализ'!$D$7)*(1+N('Сценарный анализ'!$D$8))^(Расчёты!G169-3)))))</f>
        <v>0</v>
      </c>
      <c r="AZ169">
        <f>IF(OR(Расчёты!F169=0,N('Исходные данные'!$B$5)=0,AY169=0),0,N('Исходные данные'!$B$5)*AY169*IF(AND(B169&lt;='Исходные данные'!$B$30,Расчёты!C169&gt;='Исходные данные'!$B$30),(Расчёты!C169-'Исходные данные'!$B$30+1)/DAY(Расчёты!C169),1))</f>
        <v>0</v>
      </c>
      <c r="BA169">
        <f>IF(AND(Расчёты!F169&gt;0,Расчёты!F169&lt;=N('Исходные данные'!$B$37)),-AZ169,0)</f>
        <v>0</v>
      </c>
      <c r="BB169">
        <f>IF(OR(Расчёты!F169=0,Расчёты!F169&lt;=N('Исходные данные'!$B$37)),0,-(AZ169+BA169)*N('Сценарный анализ'!$D$9))</f>
        <v>0</v>
      </c>
      <c r="BC169">
        <f t="shared" si="107"/>
        <v>0</v>
      </c>
      <c r="BD169">
        <f>IF('Исходные данные'!$B$51="Да",BC169*N('Исходные данные'!$B$52),0)</f>
        <v>0</v>
      </c>
      <c r="BE169">
        <f t="shared" si="108"/>
        <v>0</v>
      </c>
      <c r="BF169">
        <f>BC169+(Расчёты!Y169-Расчёты!L169)</f>
        <v>0</v>
      </c>
      <c r="BG169">
        <f t="shared" si="115"/>
        <v>0</v>
      </c>
      <c r="BH169">
        <f>IF('Исходные данные'!$B$51="Да",-MAX(0,BD169+Расчёты!R169+Расчёты!V169-Расчёты!P169-Расчёты!T169-BG169),0)</f>
        <v>0</v>
      </c>
      <c r="BI169">
        <f>IF('Исходные данные'!$B$51="Да",MAX(0,BG169+Расчёты!P169+Расчёты!T169-BD169-Расчёты!R169-Расчёты!V169),0)</f>
        <v>0</v>
      </c>
      <c r="BJ169">
        <f>IF('Исходные данные'!$B$53="Выручка",MAX(0,BC169+(Расчёты!Q169-Расчёты!R169)+(Расчёты!U169-Расчёты!V169)),IF('Исходные данные'!$B$53="Прибыль до налога",MAX(0,BC169+(Расчёты!Q169-Расчёты!R169)+(Расчёты!U169-Расчёты!V169)+N('Исходные данные'!$B$54)*((Расчёты!O169+Расчёты!P169)+(Расчёты!S169+Расчёты!T169)+Расчёты!W169+Расчёты!X169)+IF('Исходные данные'!$B$55="Да",Расчёты!AG169,0)-N('Исходные данные'!$B$56)/12),IF('Исходные данные'!$B$53="Пользовательская база",MAX(0,N('Исходные данные'!$B$57)/12),0)))</f>
        <v>0</v>
      </c>
      <c r="BK169">
        <f>IF(D169=1,-BJ169*N('Исходные данные'!$B$50),0)</f>
        <v>0</v>
      </c>
      <c r="BL169">
        <f t="shared" si="109"/>
        <v>0</v>
      </c>
      <c r="BM169">
        <f>IF(OR(D169&lt;&gt;1,B169="",'Исходные данные'!$B$91="",N('Исходные данные'!$B$80)&lt;=0,'Исходные данные'!$B$88=""),0,IF(AND(YEAR(B169)=YEAR('Исходные данные'!$B$91),MONTH(B169)=MONTH('Исходные данные'!$B$91)),MAX(0,IF('Исходные данные'!$B$88="Последние 12 месяцев",SUMIFS($BF$2:$BF$194,$B$2:$B$194,"&gt;="&amp;EDATE(B169,-11),$B$2:$B$194,"&lt;="&amp;B169),IF('Исходные данные'!$B$88="Пользовательский NOI",N('Исходные данные'!$B$89),BL169))/N('Исходные данные'!$B$80)*(1+N('Исходные данные'!$B$81))),0))</f>
        <v>0</v>
      </c>
      <c r="BN169">
        <f>-BM169*N('Исходные данные'!$B$73)</f>
        <v>0</v>
      </c>
      <c r="BO169">
        <f>IF(BM169=0,0,-N('Исходные данные'!$B$87)-IF('Исходные данные'!$B$82="Да",IF('Исходные данные'!$B$84="С выручки",BM169,IF('Исходные данные'!$B$84="С прибыли",MAX(0,BM169+BN169-IF('Исходные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69">
        <f t="shared" si="110"/>
        <v>0</v>
      </c>
      <c r="BQ169">
        <f>IF(D169=1,Расчёты!AZ169+BE169+BH169+BK169+BP169,0)</f>
        <v>0</v>
      </c>
      <c r="BR169" t="str">
        <f t="shared" si="116"/>
        <v/>
      </c>
      <c r="BS169">
        <f>IF(OR(D169=0,'Исходные данные'!$B$9="",'Исходные данные'!$B$90=""),0,BQ169/(1+'Исходные данные'!$B$90)^((C169-'Исходные данные'!$B$9)/365))</f>
        <v>0</v>
      </c>
      <c r="BT169">
        <f>IF(D169=1,BE169+Расчёты!O169+Расчёты!Q169+Расчёты!S169+Расчёты!U169+Расчёты!W169+Расчёты!X169+BH169+BK169,0)</f>
        <v>0</v>
      </c>
      <c r="BU169">
        <f>IF(AND(D169=1,BR169&gt;=0,BR168&lt;0,MIN($BR$2:BR169)&lt;0),1,0)</f>
        <v>0</v>
      </c>
      <c r="BV169">
        <f>Расчёты!AZ169+K169+N169-P169*N('Исходные данные'!$B$50)</f>
        <v>0</v>
      </c>
      <c r="BW169">
        <f t="shared" si="96"/>
        <v>0</v>
      </c>
      <c r="BX169">
        <f>IF(AND(BW169&gt;=0,BW168&lt;0,MIN($BW$2:BW169)&lt;0),1,0)</f>
        <v>0</v>
      </c>
      <c r="BY169">
        <f>Расчёты!AZ169+AH169+AK169-AM169*N('Исходные данные'!$B$50)</f>
        <v>0</v>
      </c>
      <c r="BZ169">
        <f t="shared" si="97"/>
        <v>0</v>
      </c>
      <c r="CA169">
        <f>IF(AND(BZ169&gt;=0,BZ168&lt;0,MIN($BZ$2:BZ169)&lt;0),1,0)</f>
        <v>0</v>
      </c>
      <c r="CB169">
        <f>Расчёты!AZ169+BE169+BH169-BJ169*N('Исходные данные'!$B$50)</f>
        <v>0</v>
      </c>
      <c r="CC169">
        <f t="shared" si="98"/>
        <v>0</v>
      </c>
      <c r="CD169">
        <f>IF(AND(CC169&gt;=0,CC168&lt;0,MIN($CC$2:CC169)&lt;0),1,0)</f>
        <v>0</v>
      </c>
    </row>
    <row r="170" spans="1:82" x14ac:dyDescent="0.2">
      <c r="A170">
        <f>Расчёты!A170</f>
        <v>169</v>
      </c>
      <c r="B170" t="str">
        <f>Расчёты!B170</f>
        <v/>
      </c>
      <c r="C170" t="str">
        <f>Расчёты!D170</f>
        <v/>
      </c>
      <c r="D170">
        <f>Расчёты!E170</f>
        <v>0</v>
      </c>
      <c r="E170">
        <f>IF(Расчёты!F170=0,0,IF(Расчёты!G170=1,N('Сценарный анализ'!$B$5),IF(Расчёты!G170=2,N('Сценарный анализ'!$B$6),IF(Расчёты!G170=3,N('Сценарный анализ'!$B$7),N('Сценарный анализ'!$B$7)*(1+N('Сценарный анализ'!$B$8))^(Расчёты!G170-3)))))</f>
        <v>0</v>
      </c>
      <c r="F170">
        <f>IF(OR(Расчёты!F170=0,N('Исходные данные'!$B$5)=0,E170=0),0,N('Исходные данные'!$B$5)*E170*IF(AND(B170&lt;='Исходные данные'!$B$30,Расчёты!C170&gt;='Исходные данные'!$B$30),(Расчёты!C170-'Исходные данные'!$B$30+1)/DAY(Расчёты!C170),1))</f>
        <v>0</v>
      </c>
      <c r="G170">
        <f>IF(AND(Расчёты!F170&gt;0,Расчёты!F170&lt;=N('Исходные данные'!$B$37)),-F170,0)</f>
        <v>0</v>
      </c>
      <c r="H170">
        <f>IF(OR(Расчёты!F170=0,Расчёты!F170&lt;=N('Исходные данные'!$B$37)),0,-(F170+G170)*N('Сценарный анализ'!$B$9))</f>
        <v>0</v>
      </c>
      <c r="I170">
        <f t="shared" si="99"/>
        <v>0</v>
      </c>
      <c r="J170">
        <f>IF('Исходные данные'!$B$51="Да",I170*N('Исходные данные'!$B$52),0)</f>
        <v>0</v>
      </c>
      <c r="K170">
        <f t="shared" si="100"/>
        <v>0</v>
      </c>
      <c r="L170">
        <f>I170+(Расчёты!Y170-Расчёты!L170)</f>
        <v>0</v>
      </c>
      <c r="M170">
        <f t="shared" si="111"/>
        <v>0</v>
      </c>
      <c r="N170">
        <f>IF('Исходные данные'!$B$51="Да",-MAX(0,J170+Расчёты!R170+Расчёты!V170-Расчёты!P170-Расчёты!T170-M170),0)</f>
        <v>0</v>
      </c>
      <c r="O170">
        <f>IF('Исходные данные'!$B$51="Да",MAX(0,M170+Расчёты!P170+Расчёты!T170-J170-Расчёты!R170-Расчёты!V170),0)</f>
        <v>0</v>
      </c>
      <c r="P170">
        <f>IF('Исходные данные'!$B$53="Выручка",MAX(0,I170+(Расчёты!Q170-Расчёты!R170)+(Расчёты!U170-Расчёты!V170)),IF('Исходные данные'!$B$53="Прибыль до налога",MAX(0,I170+(Расчёты!Q170-Расчёты!R170)+(Расчёты!U170-Расчёты!V170)+N('Исходные данные'!$B$54)*((Расчёты!O170+Расчёты!P170)+(Расчёты!S170+Расчёты!T170)+Расчёты!W170+Расчёты!X170)+IF('Исходные данные'!$B$55="Да",Расчёты!AG170,0)-N('Исходные данные'!$B$56)/12),IF('Исходные данные'!$B$53="Пользовательская база",MAX(0,N('Исходные данные'!$B$57)/12),0)))</f>
        <v>0</v>
      </c>
      <c r="Q170">
        <f>IF(D170=1,-P170*N('Исходные данные'!$B$50),0)</f>
        <v>0</v>
      </c>
      <c r="R170">
        <f t="shared" si="101"/>
        <v>0</v>
      </c>
      <c r="S170">
        <f>IF(OR(D170&lt;&gt;1,B170="",'Исходные данные'!$B$91="",N('Исходные данные'!$B$80)&lt;=0,'Исходные данные'!$B$88=""),0,IF(AND(YEAR(B170)=YEAR('Исходные данные'!$B$91),MONTH(B170)=MONTH('Исходные данные'!$B$91)),MAX(0,IF('Исходные данные'!$B$88="Последние 12 месяцев",SUMIFS($L$2:$L$194,$B$2:$B$194,"&gt;="&amp;EDATE(B170,-11),$B$2:$B$194,"&lt;="&amp;B170),IF('Исходные данные'!$B$88="Пользовательский NOI",N('Исходные данные'!$B$89),R170))/N('Исходные данные'!$B$80)*(1+N('Исходные данные'!$B$81))),0))</f>
        <v>0</v>
      </c>
      <c r="T170">
        <f>-S170*N('Исходные данные'!$B$73)</f>
        <v>0</v>
      </c>
      <c r="U170">
        <f>IF(S170=0,0,-N('Исходные данные'!$B$87)-IF('Исходные данные'!$B$82="Да",IF('Исходные данные'!$B$84="С выручки",S170,IF('Исходные данные'!$B$84="С прибыли",MAX(0,S170+T170-IF('Исходные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70">
        <f t="shared" si="102"/>
        <v>0</v>
      </c>
      <c r="W170">
        <f>IF(D170=1,Расчёты!AZ170+K170+N170+Q170+V170,0)</f>
        <v>0</v>
      </c>
      <c r="X170" t="str">
        <f t="shared" si="112"/>
        <v/>
      </c>
      <c r="Y170">
        <f>IF(OR(D170=0,'Исходные данные'!$B$9="",'Исходные данные'!$B$90=""),0,W170/(1+'Исходные данные'!$B$90)^((C170-'Исходные данные'!$B$9)/365))</f>
        <v>0</v>
      </c>
      <c r="Z170">
        <f>IF(D170=1,K170+Расчёты!O170+Расчёты!Q170+Расчёты!S170+Расчёты!U170+Расчёты!W170+Расчёты!X170+N170+Q170,0)</f>
        <v>0</v>
      </c>
      <c r="AA170">
        <f>IF(AND(D170=1,X170&gt;=0,X169&lt;0,MIN($X$2:X170)&lt;0),1,0)</f>
        <v>0</v>
      </c>
      <c r="AB170">
        <f>IF(Расчёты!F170=0,0,IF(Расчёты!G170=1,N('Сценарный анализ'!$C$5),IF(Расчёты!G170=2,N('Сценарный анализ'!$C$6),IF(Расчёты!G170=3,N('Сценарный анализ'!$C$7),N('Сценарный анализ'!$C$7)*(1+N('Сценарный анализ'!$C$8))^(Расчёты!G170-3)))))</f>
        <v>0</v>
      </c>
      <c r="AC170">
        <f>IF(OR(Расчёты!F170=0,N('Исходные данные'!$B$5)=0,AB170=0),0,N('Исходные данные'!$B$5)*AB170*IF(AND(B170&lt;='Исходные данные'!$B$30,Расчёты!C170&gt;='Исходные данные'!$B$30),(Расчёты!C170-'Исходные данные'!$B$30+1)/DAY(Расчёты!C170),1))</f>
        <v>0</v>
      </c>
      <c r="AD170">
        <f>IF(AND(Расчёты!F170&gt;0,Расчёты!F170&lt;=N('Исходные данные'!$B$37)),-AC170,0)</f>
        <v>0</v>
      </c>
      <c r="AE170">
        <f>IF(OR(Расчёты!F170=0,Расчёты!F170&lt;=N('Исходные данные'!$B$37)),0,-(AC170+AD170)*N('Сценарный анализ'!$C$9))</f>
        <v>0</v>
      </c>
      <c r="AF170">
        <f t="shared" si="103"/>
        <v>0</v>
      </c>
      <c r="AG170">
        <f>IF('Исходные данные'!$B$51="Да",AF170*N('Исходные данные'!$B$52),0)</f>
        <v>0</v>
      </c>
      <c r="AH170">
        <f t="shared" si="104"/>
        <v>0</v>
      </c>
      <c r="AI170">
        <f>AF170+(Расчёты!Y170-Расчёты!L170)</f>
        <v>0</v>
      </c>
      <c r="AJ170">
        <f t="shared" si="113"/>
        <v>0</v>
      </c>
      <c r="AK170">
        <f>IF('Исходные данные'!$B$51="Да",-MAX(0,AG170+Расчёты!R170+Расчёты!V170-Расчёты!P170-Расчёты!T170-AJ170),0)</f>
        <v>0</v>
      </c>
      <c r="AL170">
        <f>IF('Исходные данные'!$B$51="Да",MAX(0,AJ170+Расчёты!P170+Расчёты!T170-AG170-Расчёты!R170-Расчёты!V170),0)</f>
        <v>0</v>
      </c>
      <c r="AM170">
        <f>IF('Исходные данные'!$B$53="Выручка",MAX(0,AF170+(Расчёты!Q170-Расчёты!R170)+(Расчёты!U170-Расчёты!V170)),IF('Исходные данные'!$B$53="Прибыль до налога",MAX(0,AF170+(Расчёты!Q170-Расчёты!R170)+(Расчёты!U170-Расчёты!V170)+N('Исходные данные'!$B$54)*((Расчёты!O170+Расчёты!P170)+(Расчёты!S170+Расчёты!T170)+Расчёты!W170+Расчёты!X170)+IF('Исходные данные'!$B$55="Да",Расчёты!AG170,0)-N('Исходные данные'!$B$56)/12),IF('Исходные данные'!$B$53="Пользовательская база",MAX(0,N('Исходные данные'!$B$57)/12),0)))</f>
        <v>0</v>
      </c>
      <c r="AN170">
        <f>IF(D170=1,-AM170*N('Исходные данные'!$B$50),0)</f>
        <v>0</v>
      </c>
      <c r="AO170">
        <f t="shared" si="105"/>
        <v>0</v>
      </c>
      <c r="AP170">
        <f>IF(OR(D170&lt;&gt;1,B170="",'Исходные данные'!$B$91="",N('Исходные данные'!$B$80)&lt;=0,'Исходные данные'!$B$88=""),0,IF(AND(YEAR(B170)=YEAR('Исходные данные'!$B$91),MONTH(B170)=MONTH('Исходные данные'!$B$91)),MAX(0,IF('Исходные данные'!$B$88="Последние 12 месяцев",SUMIFS($AI$2:$AI$194,$B$2:$B$194,"&gt;="&amp;EDATE(B170,-11),$B$2:$B$194,"&lt;="&amp;B170),IF('Исходные данные'!$B$88="Пользовательский NOI",N('Исходные данные'!$B$89),AO170))/N('Исходные данные'!$B$80)*(1+N('Исходные данные'!$B$81))),0))</f>
        <v>0</v>
      </c>
      <c r="AQ170">
        <f>-AP170*N('Исходные данные'!$B$73)</f>
        <v>0</v>
      </c>
      <c r="AR170">
        <f>IF(AP170=0,0,-N('Исходные данные'!$B$87)-IF('Исходные данные'!$B$82="Да",IF('Исходные данные'!$B$84="С выручки",AP170,IF('Исходные данные'!$B$84="С прибыли",MAX(0,AP170+AQ170-IF('Исходные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70">
        <f t="shared" si="106"/>
        <v>0</v>
      </c>
      <c r="AT170">
        <f>IF(D170=1,Расчёты!AZ170+AH170+AK170+AN170+AS170,0)</f>
        <v>0</v>
      </c>
      <c r="AU170" t="str">
        <f t="shared" si="114"/>
        <v/>
      </c>
      <c r="AV170">
        <f>IF(OR(D170=0,'Исходные данные'!$B$9="",'Исходные данные'!$B$90=""),0,AT170/(1+'Исходные данные'!$B$90)^((C170-'Исходные данные'!$B$9)/365))</f>
        <v>0</v>
      </c>
      <c r="AW170">
        <f>IF(D170=1,AH170+Расчёты!O170+Расчёты!Q170+Расчёты!S170+Расчёты!U170+Расчёты!W170+Расчёты!X170+AK170+AN170,0)</f>
        <v>0</v>
      </c>
      <c r="AX170">
        <f>IF(AND(D170=1,AU170&gt;=0,AU169&lt;0,MIN($AU$2:AU170)&lt;0),1,0)</f>
        <v>0</v>
      </c>
      <c r="AY170">
        <f>IF(Расчёты!F170=0,0,IF(Расчёты!G170=1,N('Сценарный анализ'!$D$5),IF(Расчёты!G170=2,N('Сценарный анализ'!$D$6),IF(Расчёты!G170=3,N('Сценарный анализ'!$D$7),N('Сценарный анализ'!$D$7)*(1+N('Сценарный анализ'!$D$8))^(Расчёты!G170-3)))))</f>
        <v>0</v>
      </c>
      <c r="AZ170">
        <f>IF(OR(Расчёты!F170=0,N('Исходные данные'!$B$5)=0,AY170=0),0,N('Исходные данные'!$B$5)*AY170*IF(AND(B170&lt;='Исходные данные'!$B$30,Расчёты!C170&gt;='Исходные данные'!$B$30),(Расчёты!C170-'Исходные данные'!$B$30+1)/DAY(Расчёты!C170),1))</f>
        <v>0</v>
      </c>
      <c r="BA170">
        <f>IF(AND(Расчёты!F170&gt;0,Расчёты!F170&lt;=N('Исходные данные'!$B$37)),-AZ170,0)</f>
        <v>0</v>
      </c>
      <c r="BB170">
        <f>IF(OR(Расчёты!F170=0,Расчёты!F170&lt;=N('Исходные данные'!$B$37)),0,-(AZ170+BA170)*N('Сценарный анализ'!$D$9))</f>
        <v>0</v>
      </c>
      <c r="BC170">
        <f t="shared" si="107"/>
        <v>0</v>
      </c>
      <c r="BD170">
        <f>IF('Исходные данные'!$B$51="Да",BC170*N('Исходные данные'!$B$52),0)</f>
        <v>0</v>
      </c>
      <c r="BE170">
        <f t="shared" si="108"/>
        <v>0</v>
      </c>
      <c r="BF170">
        <f>BC170+(Расчёты!Y170-Расчёты!L170)</f>
        <v>0</v>
      </c>
      <c r="BG170">
        <f t="shared" si="115"/>
        <v>0</v>
      </c>
      <c r="BH170">
        <f>IF('Исходные данные'!$B$51="Да",-MAX(0,BD170+Расчёты!R170+Расчёты!V170-Расчёты!P170-Расчёты!T170-BG170),0)</f>
        <v>0</v>
      </c>
      <c r="BI170">
        <f>IF('Исходные данные'!$B$51="Да",MAX(0,BG170+Расчёты!P170+Расчёты!T170-BD170-Расчёты!R170-Расчёты!V170),0)</f>
        <v>0</v>
      </c>
      <c r="BJ170">
        <f>IF('Исходные данные'!$B$53="Выручка",MAX(0,BC170+(Расчёты!Q170-Расчёты!R170)+(Расчёты!U170-Расчёты!V170)),IF('Исходные данные'!$B$53="Прибыль до налога",MAX(0,BC170+(Расчёты!Q170-Расчёты!R170)+(Расчёты!U170-Расчёты!V170)+N('Исходные данные'!$B$54)*((Расчёты!O170+Расчёты!P170)+(Расчёты!S170+Расчёты!T170)+Расчёты!W170+Расчёты!X170)+IF('Исходные данные'!$B$55="Да",Расчёты!AG170,0)-N('Исходные данные'!$B$56)/12),IF('Исходные данные'!$B$53="Пользовательская база",MAX(0,N('Исходные данные'!$B$57)/12),0)))</f>
        <v>0</v>
      </c>
      <c r="BK170">
        <f>IF(D170=1,-BJ170*N('Исходные данные'!$B$50),0)</f>
        <v>0</v>
      </c>
      <c r="BL170">
        <f t="shared" si="109"/>
        <v>0</v>
      </c>
      <c r="BM170">
        <f>IF(OR(D170&lt;&gt;1,B170="",'Исходные данные'!$B$91="",N('Исходные данные'!$B$80)&lt;=0,'Исходные данные'!$B$88=""),0,IF(AND(YEAR(B170)=YEAR('Исходные данные'!$B$91),MONTH(B170)=MONTH('Исходные данные'!$B$91)),MAX(0,IF('Исходные данные'!$B$88="Последние 12 месяцев",SUMIFS($BF$2:$BF$194,$B$2:$B$194,"&gt;="&amp;EDATE(B170,-11),$B$2:$B$194,"&lt;="&amp;B170),IF('Исходные данные'!$B$88="Пользовательский NOI",N('Исходные данные'!$B$89),BL170))/N('Исходные данные'!$B$80)*(1+N('Исходные данные'!$B$81))),0))</f>
        <v>0</v>
      </c>
      <c r="BN170">
        <f>-BM170*N('Исходные данные'!$B$73)</f>
        <v>0</v>
      </c>
      <c r="BO170">
        <f>IF(BM170=0,0,-N('Исходные данные'!$B$87)-IF('Исходные данные'!$B$82="Да",IF('Исходные данные'!$B$84="С выручки",BM170,IF('Исходные данные'!$B$84="С прибыли",MAX(0,BM170+BN170-IF('Исходные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70">
        <f t="shared" si="110"/>
        <v>0</v>
      </c>
      <c r="BQ170">
        <f>IF(D170=1,Расчёты!AZ170+BE170+BH170+BK170+BP170,0)</f>
        <v>0</v>
      </c>
      <c r="BR170" t="str">
        <f t="shared" si="116"/>
        <v/>
      </c>
      <c r="BS170">
        <f>IF(OR(D170=0,'Исходные данные'!$B$9="",'Исходные данные'!$B$90=""),0,BQ170/(1+'Исходные данные'!$B$90)^((C170-'Исходные данные'!$B$9)/365))</f>
        <v>0</v>
      </c>
      <c r="BT170">
        <f>IF(D170=1,BE170+Расчёты!O170+Расчёты!Q170+Расчёты!S170+Расчёты!U170+Расчёты!W170+Расчёты!X170+BH170+BK170,0)</f>
        <v>0</v>
      </c>
      <c r="BU170">
        <f>IF(AND(D170=1,BR170&gt;=0,BR169&lt;0,MIN($BR$2:BR170)&lt;0),1,0)</f>
        <v>0</v>
      </c>
      <c r="BV170">
        <f>Расчёты!AZ170+K170+N170-P170*N('Исходные данные'!$B$50)</f>
        <v>0</v>
      </c>
      <c r="BW170">
        <f t="shared" si="96"/>
        <v>0</v>
      </c>
      <c r="BX170">
        <f>IF(AND(BW170&gt;=0,BW169&lt;0,MIN($BW$2:BW170)&lt;0),1,0)</f>
        <v>0</v>
      </c>
      <c r="BY170">
        <f>Расчёты!AZ170+AH170+AK170-AM170*N('Исходные данные'!$B$50)</f>
        <v>0</v>
      </c>
      <c r="BZ170">
        <f t="shared" si="97"/>
        <v>0</v>
      </c>
      <c r="CA170">
        <f>IF(AND(BZ170&gt;=0,BZ169&lt;0,MIN($BZ$2:BZ170)&lt;0),1,0)</f>
        <v>0</v>
      </c>
      <c r="CB170">
        <f>Расчёты!AZ170+BE170+BH170-BJ170*N('Исходные данные'!$B$50)</f>
        <v>0</v>
      </c>
      <c r="CC170">
        <f t="shared" si="98"/>
        <v>0</v>
      </c>
      <c r="CD170">
        <f>IF(AND(CC170&gt;=0,CC169&lt;0,MIN($CC$2:CC170)&lt;0),1,0)</f>
        <v>0</v>
      </c>
    </row>
    <row r="171" spans="1:82" x14ac:dyDescent="0.2">
      <c r="A171">
        <f>Расчёты!A171</f>
        <v>170</v>
      </c>
      <c r="B171" t="str">
        <f>Расчёты!B171</f>
        <v/>
      </c>
      <c r="C171" t="str">
        <f>Расчёты!D171</f>
        <v/>
      </c>
      <c r="D171">
        <f>Расчёты!E171</f>
        <v>0</v>
      </c>
      <c r="E171">
        <f>IF(Расчёты!F171=0,0,IF(Расчёты!G171=1,N('Сценарный анализ'!$B$5),IF(Расчёты!G171=2,N('Сценарный анализ'!$B$6),IF(Расчёты!G171=3,N('Сценарный анализ'!$B$7),N('Сценарный анализ'!$B$7)*(1+N('Сценарный анализ'!$B$8))^(Расчёты!G171-3)))))</f>
        <v>0</v>
      </c>
      <c r="F171">
        <f>IF(OR(Расчёты!F171=0,N('Исходные данные'!$B$5)=0,E171=0),0,N('Исходные данные'!$B$5)*E171*IF(AND(B171&lt;='Исходные данные'!$B$30,Расчёты!C171&gt;='Исходные данные'!$B$30),(Расчёты!C171-'Исходные данные'!$B$30+1)/DAY(Расчёты!C171),1))</f>
        <v>0</v>
      </c>
      <c r="G171">
        <f>IF(AND(Расчёты!F171&gt;0,Расчёты!F171&lt;=N('Исходные данные'!$B$37)),-F171,0)</f>
        <v>0</v>
      </c>
      <c r="H171">
        <f>IF(OR(Расчёты!F171=0,Расчёты!F171&lt;=N('Исходные данные'!$B$37)),0,-(F171+G171)*N('Сценарный анализ'!$B$9))</f>
        <v>0</v>
      </c>
      <c r="I171">
        <f t="shared" si="99"/>
        <v>0</v>
      </c>
      <c r="J171">
        <f>IF('Исходные данные'!$B$51="Да",I171*N('Исходные данные'!$B$52),0)</f>
        <v>0</v>
      </c>
      <c r="K171">
        <f t="shared" si="100"/>
        <v>0</v>
      </c>
      <c r="L171">
        <f>I171+(Расчёты!Y171-Расчёты!L171)</f>
        <v>0</v>
      </c>
      <c r="M171">
        <f t="shared" si="111"/>
        <v>0</v>
      </c>
      <c r="N171">
        <f>IF('Исходные данные'!$B$51="Да",-MAX(0,J171+Расчёты!R171+Расчёты!V171-Расчёты!P171-Расчёты!T171-M171),0)</f>
        <v>0</v>
      </c>
      <c r="O171">
        <f>IF('Исходные данные'!$B$51="Да",MAX(0,M171+Расчёты!P171+Расчёты!T171-J171-Расчёты!R171-Расчёты!V171),0)</f>
        <v>0</v>
      </c>
      <c r="P171">
        <f>IF('Исходные данные'!$B$53="Выручка",MAX(0,I171+(Расчёты!Q171-Расчёты!R171)+(Расчёты!U171-Расчёты!V171)),IF('Исходные данные'!$B$53="Прибыль до налога",MAX(0,I171+(Расчёты!Q171-Расчёты!R171)+(Расчёты!U171-Расчёты!V171)+N('Исходные данные'!$B$54)*((Расчёты!O171+Расчёты!P171)+(Расчёты!S171+Расчёты!T171)+Расчёты!W171+Расчёты!X171)+IF('Исходные данные'!$B$55="Да",Расчёты!AG171,0)-N('Исходные данные'!$B$56)/12),IF('Исходные данные'!$B$53="Пользовательская база",MAX(0,N('Исходные данные'!$B$57)/12),0)))</f>
        <v>0</v>
      </c>
      <c r="Q171">
        <f>IF(D171=1,-P171*N('Исходные данные'!$B$50),0)</f>
        <v>0</v>
      </c>
      <c r="R171">
        <f t="shared" si="101"/>
        <v>0</v>
      </c>
      <c r="S171">
        <f>IF(OR(D171&lt;&gt;1,B171="",'Исходные данные'!$B$91="",N('Исходные данные'!$B$80)&lt;=0,'Исходные данные'!$B$88=""),0,IF(AND(YEAR(B171)=YEAR('Исходные данные'!$B$91),MONTH(B171)=MONTH('Исходные данные'!$B$91)),MAX(0,IF('Исходные данные'!$B$88="Последние 12 месяцев",SUMIFS($L$2:$L$194,$B$2:$B$194,"&gt;="&amp;EDATE(B171,-11),$B$2:$B$194,"&lt;="&amp;B171),IF('Исходные данные'!$B$88="Пользовательский NOI",N('Исходные данные'!$B$89),R171))/N('Исходные данные'!$B$80)*(1+N('Исходные данные'!$B$81))),0))</f>
        <v>0</v>
      </c>
      <c r="T171">
        <f>-S171*N('Исходные данные'!$B$73)</f>
        <v>0</v>
      </c>
      <c r="U171">
        <f>IF(S171=0,0,-N('Исходные данные'!$B$87)-IF('Исходные данные'!$B$82="Да",IF('Исходные данные'!$B$84="С выручки",S171,IF('Исходные данные'!$B$84="С прибыли",MAX(0,S171+T171-IF('Исходные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71">
        <f t="shared" si="102"/>
        <v>0</v>
      </c>
      <c r="W171">
        <f>IF(D171=1,Расчёты!AZ171+K171+N171+Q171+V171,0)</f>
        <v>0</v>
      </c>
      <c r="X171" t="str">
        <f t="shared" si="112"/>
        <v/>
      </c>
      <c r="Y171">
        <f>IF(OR(D171=0,'Исходные данные'!$B$9="",'Исходные данные'!$B$90=""),0,W171/(1+'Исходные данные'!$B$90)^((C171-'Исходные данные'!$B$9)/365))</f>
        <v>0</v>
      </c>
      <c r="Z171">
        <f>IF(D171=1,K171+Расчёты!O171+Расчёты!Q171+Расчёты!S171+Расчёты!U171+Расчёты!W171+Расчёты!X171+N171+Q171,0)</f>
        <v>0</v>
      </c>
      <c r="AA171">
        <f>IF(AND(D171=1,X171&gt;=0,X170&lt;0,MIN($X$2:X171)&lt;0),1,0)</f>
        <v>0</v>
      </c>
      <c r="AB171">
        <f>IF(Расчёты!F171=0,0,IF(Расчёты!G171=1,N('Сценарный анализ'!$C$5),IF(Расчёты!G171=2,N('Сценарный анализ'!$C$6),IF(Расчёты!G171=3,N('Сценарный анализ'!$C$7),N('Сценарный анализ'!$C$7)*(1+N('Сценарный анализ'!$C$8))^(Расчёты!G171-3)))))</f>
        <v>0</v>
      </c>
      <c r="AC171">
        <f>IF(OR(Расчёты!F171=0,N('Исходные данные'!$B$5)=0,AB171=0),0,N('Исходные данные'!$B$5)*AB171*IF(AND(B171&lt;='Исходные данные'!$B$30,Расчёты!C171&gt;='Исходные данные'!$B$30),(Расчёты!C171-'Исходные данные'!$B$30+1)/DAY(Расчёты!C171),1))</f>
        <v>0</v>
      </c>
      <c r="AD171">
        <f>IF(AND(Расчёты!F171&gt;0,Расчёты!F171&lt;=N('Исходные данные'!$B$37)),-AC171,0)</f>
        <v>0</v>
      </c>
      <c r="AE171">
        <f>IF(OR(Расчёты!F171=0,Расчёты!F171&lt;=N('Исходные данные'!$B$37)),0,-(AC171+AD171)*N('Сценарный анализ'!$C$9))</f>
        <v>0</v>
      </c>
      <c r="AF171">
        <f t="shared" si="103"/>
        <v>0</v>
      </c>
      <c r="AG171">
        <f>IF('Исходные данные'!$B$51="Да",AF171*N('Исходные данные'!$B$52),0)</f>
        <v>0</v>
      </c>
      <c r="AH171">
        <f t="shared" si="104"/>
        <v>0</v>
      </c>
      <c r="AI171">
        <f>AF171+(Расчёты!Y171-Расчёты!L171)</f>
        <v>0</v>
      </c>
      <c r="AJ171">
        <f t="shared" si="113"/>
        <v>0</v>
      </c>
      <c r="AK171">
        <f>IF('Исходные данные'!$B$51="Да",-MAX(0,AG171+Расчёты!R171+Расчёты!V171-Расчёты!P171-Расчёты!T171-AJ171),0)</f>
        <v>0</v>
      </c>
      <c r="AL171">
        <f>IF('Исходные данные'!$B$51="Да",MAX(0,AJ171+Расчёты!P171+Расчёты!T171-AG171-Расчёты!R171-Расчёты!V171),0)</f>
        <v>0</v>
      </c>
      <c r="AM171">
        <f>IF('Исходные данные'!$B$53="Выручка",MAX(0,AF171+(Расчёты!Q171-Расчёты!R171)+(Расчёты!U171-Расчёты!V171)),IF('Исходные данные'!$B$53="Прибыль до налога",MAX(0,AF171+(Расчёты!Q171-Расчёты!R171)+(Расчёты!U171-Расчёты!V171)+N('Исходные данные'!$B$54)*((Расчёты!O171+Расчёты!P171)+(Расчёты!S171+Расчёты!T171)+Расчёты!W171+Расчёты!X171)+IF('Исходные данные'!$B$55="Да",Расчёты!AG171,0)-N('Исходные данные'!$B$56)/12),IF('Исходные данные'!$B$53="Пользовательская база",MAX(0,N('Исходные данные'!$B$57)/12),0)))</f>
        <v>0</v>
      </c>
      <c r="AN171">
        <f>IF(D171=1,-AM171*N('Исходные данные'!$B$50),0)</f>
        <v>0</v>
      </c>
      <c r="AO171">
        <f t="shared" si="105"/>
        <v>0</v>
      </c>
      <c r="AP171">
        <f>IF(OR(D171&lt;&gt;1,B171="",'Исходные данные'!$B$91="",N('Исходные данные'!$B$80)&lt;=0,'Исходные данные'!$B$88=""),0,IF(AND(YEAR(B171)=YEAR('Исходные данные'!$B$91),MONTH(B171)=MONTH('Исходные данные'!$B$91)),MAX(0,IF('Исходные данные'!$B$88="Последние 12 месяцев",SUMIFS($AI$2:$AI$194,$B$2:$B$194,"&gt;="&amp;EDATE(B171,-11),$B$2:$B$194,"&lt;="&amp;B171),IF('Исходные данные'!$B$88="Пользовательский NOI",N('Исходные данные'!$B$89),AO171))/N('Исходные данные'!$B$80)*(1+N('Исходные данные'!$B$81))),0))</f>
        <v>0</v>
      </c>
      <c r="AQ171">
        <f>-AP171*N('Исходные данные'!$B$73)</f>
        <v>0</v>
      </c>
      <c r="AR171">
        <f>IF(AP171=0,0,-N('Исходные данные'!$B$87)-IF('Исходные данные'!$B$82="Да",IF('Исходные данные'!$B$84="С выручки",AP171,IF('Исходные данные'!$B$84="С прибыли",MAX(0,AP171+AQ171-IF('Исходные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71">
        <f t="shared" si="106"/>
        <v>0</v>
      </c>
      <c r="AT171">
        <f>IF(D171=1,Расчёты!AZ171+AH171+AK171+AN171+AS171,0)</f>
        <v>0</v>
      </c>
      <c r="AU171" t="str">
        <f t="shared" si="114"/>
        <v/>
      </c>
      <c r="AV171">
        <f>IF(OR(D171=0,'Исходные данные'!$B$9="",'Исходные данные'!$B$90=""),0,AT171/(1+'Исходные данные'!$B$90)^((C171-'Исходные данные'!$B$9)/365))</f>
        <v>0</v>
      </c>
      <c r="AW171">
        <f>IF(D171=1,AH171+Расчёты!O171+Расчёты!Q171+Расчёты!S171+Расчёты!U171+Расчёты!W171+Расчёты!X171+AK171+AN171,0)</f>
        <v>0</v>
      </c>
      <c r="AX171">
        <f>IF(AND(D171=1,AU171&gt;=0,AU170&lt;0,MIN($AU$2:AU171)&lt;0),1,0)</f>
        <v>0</v>
      </c>
      <c r="AY171">
        <f>IF(Расчёты!F171=0,0,IF(Расчёты!G171=1,N('Сценарный анализ'!$D$5),IF(Расчёты!G171=2,N('Сценарный анализ'!$D$6),IF(Расчёты!G171=3,N('Сценарный анализ'!$D$7),N('Сценарный анализ'!$D$7)*(1+N('Сценарный анализ'!$D$8))^(Расчёты!G171-3)))))</f>
        <v>0</v>
      </c>
      <c r="AZ171">
        <f>IF(OR(Расчёты!F171=0,N('Исходные данные'!$B$5)=0,AY171=0),0,N('Исходные данные'!$B$5)*AY171*IF(AND(B171&lt;='Исходные данные'!$B$30,Расчёты!C171&gt;='Исходные данные'!$B$30),(Расчёты!C171-'Исходные данные'!$B$30+1)/DAY(Расчёты!C171),1))</f>
        <v>0</v>
      </c>
      <c r="BA171">
        <f>IF(AND(Расчёты!F171&gt;0,Расчёты!F171&lt;=N('Исходные данные'!$B$37)),-AZ171,0)</f>
        <v>0</v>
      </c>
      <c r="BB171">
        <f>IF(OR(Расчёты!F171=0,Расчёты!F171&lt;=N('Исходные данные'!$B$37)),0,-(AZ171+BA171)*N('Сценарный анализ'!$D$9))</f>
        <v>0</v>
      </c>
      <c r="BC171">
        <f t="shared" si="107"/>
        <v>0</v>
      </c>
      <c r="BD171">
        <f>IF('Исходные данные'!$B$51="Да",BC171*N('Исходные данные'!$B$52),0)</f>
        <v>0</v>
      </c>
      <c r="BE171">
        <f t="shared" si="108"/>
        <v>0</v>
      </c>
      <c r="BF171">
        <f>BC171+(Расчёты!Y171-Расчёты!L171)</f>
        <v>0</v>
      </c>
      <c r="BG171">
        <f t="shared" si="115"/>
        <v>0</v>
      </c>
      <c r="BH171">
        <f>IF('Исходные данные'!$B$51="Да",-MAX(0,BD171+Расчёты!R171+Расчёты!V171-Расчёты!P171-Расчёты!T171-BG171),0)</f>
        <v>0</v>
      </c>
      <c r="BI171">
        <f>IF('Исходные данные'!$B$51="Да",MAX(0,BG171+Расчёты!P171+Расчёты!T171-BD171-Расчёты!R171-Расчёты!V171),0)</f>
        <v>0</v>
      </c>
      <c r="BJ171">
        <f>IF('Исходные данные'!$B$53="Выручка",MAX(0,BC171+(Расчёты!Q171-Расчёты!R171)+(Расчёты!U171-Расчёты!V171)),IF('Исходные данные'!$B$53="Прибыль до налога",MAX(0,BC171+(Расчёты!Q171-Расчёты!R171)+(Расчёты!U171-Расчёты!V171)+N('Исходные данные'!$B$54)*((Расчёты!O171+Расчёты!P171)+(Расчёты!S171+Расчёты!T171)+Расчёты!W171+Расчёты!X171)+IF('Исходные данные'!$B$55="Да",Расчёты!AG171,0)-N('Исходные данные'!$B$56)/12),IF('Исходные данные'!$B$53="Пользовательская база",MAX(0,N('Исходные данные'!$B$57)/12),0)))</f>
        <v>0</v>
      </c>
      <c r="BK171">
        <f>IF(D171=1,-BJ171*N('Исходные данные'!$B$50),0)</f>
        <v>0</v>
      </c>
      <c r="BL171">
        <f t="shared" si="109"/>
        <v>0</v>
      </c>
      <c r="BM171">
        <f>IF(OR(D171&lt;&gt;1,B171="",'Исходные данные'!$B$91="",N('Исходные данные'!$B$80)&lt;=0,'Исходные данные'!$B$88=""),0,IF(AND(YEAR(B171)=YEAR('Исходные данные'!$B$91),MONTH(B171)=MONTH('Исходные данные'!$B$91)),MAX(0,IF('Исходные данные'!$B$88="Последние 12 месяцев",SUMIFS($BF$2:$BF$194,$B$2:$B$194,"&gt;="&amp;EDATE(B171,-11),$B$2:$B$194,"&lt;="&amp;B171),IF('Исходные данные'!$B$88="Пользовательский NOI",N('Исходные данные'!$B$89),BL171))/N('Исходные данные'!$B$80)*(1+N('Исходные данные'!$B$81))),0))</f>
        <v>0</v>
      </c>
      <c r="BN171">
        <f>-BM171*N('Исходные данные'!$B$73)</f>
        <v>0</v>
      </c>
      <c r="BO171">
        <f>IF(BM171=0,0,-N('Исходные данные'!$B$87)-IF('Исходные данные'!$B$82="Да",IF('Исходные данные'!$B$84="С выручки",BM171,IF('Исходные данные'!$B$84="С прибыли",MAX(0,BM171+BN171-IF('Исходные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71">
        <f t="shared" si="110"/>
        <v>0</v>
      </c>
      <c r="BQ171">
        <f>IF(D171=1,Расчёты!AZ171+BE171+BH171+BK171+BP171,0)</f>
        <v>0</v>
      </c>
      <c r="BR171" t="str">
        <f t="shared" si="116"/>
        <v/>
      </c>
      <c r="BS171">
        <f>IF(OR(D171=0,'Исходные данные'!$B$9="",'Исходные данные'!$B$90=""),0,BQ171/(1+'Исходные данные'!$B$90)^((C171-'Исходные данные'!$B$9)/365))</f>
        <v>0</v>
      </c>
      <c r="BT171">
        <f>IF(D171=1,BE171+Расчёты!O171+Расчёты!Q171+Расчёты!S171+Расчёты!U171+Расчёты!W171+Расчёты!X171+BH171+BK171,0)</f>
        <v>0</v>
      </c>
      <c r="BU171">
        <f>IF(AND(D171=1,BR171&gt;=0,BR170&lt;0,MIN($BR$2:BR171)&lt;0),1,0)</f>
        <v>0</v>
      </c>
      <c r="BV171">
        <f>Расчёты!AZ171+K171+N171-P171*N('Исходные данные'!$B$50)</f>
        <v>0</v>
      </c>
      <c r="BW171">
        <f t="shared" si="96"/>
        <v>0</v>
      </c>
      <c r="BX171">
        <f>IF(AND(BW171&gt;=0,BW170&lt;0,MIN($BW$2:BW171)&lt;0),1,0)</f>
        <v>0</v>
      </c>
      <c r="BY171">
        <f>Расчёты!AZ171+AH171+AK171-AM171*N('Исходные данные'!$B$50)</f>
        <v>0</v>
      </c>
      <c r="BZ171">
        <f t="shared" si="97"/>
        <v>0</v>
      </c>
      <c r="CA171">
        <f>IF(AND(BZ171&gt;=0,BZ170&lt;0,MIN($BZ$2:BZ171)&lt;0),1,0)</f>
        <v>0</v>
      </c>
      <c r="CB171">
        <f>Расчёты!AZ171+BE171+BH171-BJ171*N('Исходные данные'!$B$50)</f>
        <v>0</v>
      </c>
      <c r="CC171">
        <f t="shared" si="98"/>
        <v>0</v>
      </c>
      <c r="CD171">
        <f>IF(AND(CC171&gt;=0,CC170&lt;0,MIN($CC$2:CC171)&lt;0),1,0)</f>
        <v>0</v>
      </c>
    </row>
    <row r="172" spans="1:82" x14ac:dyDescent="0.2">
      <c r="A172">
        <f>Расчёты!A172</f>
        <v>171</v>
      </c>
      <c r="B172" t="str">
        <f>Расчёты!B172</f>
        <v/>
      </c>
      <c r="C172" t="str">
        <f>Расчёты!D172</f>
        <v/>
      </c>
      <c r="D172">
        <f>Расчёты!E172</f>
        <v>0</v>
      </c>
      <c r="E172">
        <f>IF(Расчёты!F172=0,0,IF(Расчёты!G172=1,N('Сценарный анализ'!$B$5),IF(Расчёты!G172=2,N('Сценарный анализ'!$B$6),IF(Расчёты!G172=3,N('Сценарный анализ'!$B$7),N('Сценарный анализ'!$B$7)*(1+N('Сценарный анализ'!$B$8))^(Расчёты!G172-3)))))</f>
        <v>0</v>
      </c>
      <c r="F172">
        <f>IF(OR(Расчёты!F172=0,N('Исходные данные'!$B$5)=0,E172=0),0,N('Исходные данные'!$B$5)*E172*IF(AND(B172&lt;='Исходные данные'!$B$30,Расчёты!C172&gt;='Исходные данные'!$B$30),(Расчёты!C172-'Исходные данные'!$B$30+1)/DAY(Расчёты!C172),1))</f>
        <v>0</v>
      </c>
      <c r="G172">
        <f>IF(AND(Расчёты!F172&gt;0,Расчёты!F172&lt;=N('Исходные данные'!$B$37)),-F172,0)</f>
        <v>0</v>
      </c>
      <c r="H172">
        <f>IF(OR(Расчёты!F172=0,Расчёты!F172&lt;=N('Исходные данные'!$B$37)),0,-(F172+G172)*N('Сценарный анализ'!$B$9))</f>
        <v>0</v>
      </c>
      <c r="I172">
        <f t="shared" si="99"/>
        <v>0</v>
      </c>
      <c r="J172">
        <f>IF('Исходные данные'!$B$51="Да",I172*N('Исходные данные'!$B$52),0)</f>
        <v>0</v>
      </c>
      <c r="K172">
        <f t="shared" si="100"/>
        <v>0</v>
      </c>
      <c r="L172">
        <f>I172+(Расчёты!Y172-Расчёты!L172)</f>
        <v>0</v>
      </c>
      <c r="M172">
        <f t="shared" si="111"/>
        <v>0</v>
      </c>
      <c r="N172">
        <f>IF('Исходные данные'!$B$51="Да",-MAX(0,J172+Расчёты!R172+Расчёты!V172-Расчёты!P172-Расчёты!T172-M172),0)</f>
        <v>0</v>
      </c>
      <c r="O172">
        <f>IF('Исходные данные'!$B$51="Да",MAX(0,M172+Расчёты!P172+Расчёты!T172-J172-Расчёты!R172-Расчёты!V172),0)</f>
        <v>0</v>
      </c>
      <c r="P172">
        <f>IF('Исходные данные'!$B$53="Выручка",MAX(0,I172+(Расчёты!Q172-Расчёты!R172)+(Расчёты!U172-Расчёты!V172)),IF('Исходные данные'!$B$53="Прибыль до налога",MAX(0,I172+(Расчёты!Q172-Расчёты!R172)+(Расчёты!U172-Расчёты!V172)+N('Исходные данные'!$B$54)*((Расчёты!O172+Расчёты!P172)+(Расчёты!S172+Расчёты!T172)+Расчёты!W172+Расчёты!X172)+IF('Исходные данные'!$B$55="Да",Расчёты!AG172,0)-N('Исходные данные'!$B$56)/12),IF('Исходные данные'!$B$53="Пользовательская база",MAX(0,N('Исходные данные'!$B$57)/12),0)))</f>
        <v>0</v>
      </c>
      <c r="Q172">
        <f>IF(D172=1,-P172*N('Исходные данные'!$B$50),0)</f>
        <v>0</v>
      </c>
      <c r="R172">
        <f t="shared" si="101"/>
        <v>0</v>
      </c>
      <c r="S172">
        <f>IF(OR(D172&lt;&gt;1,B172="",'Исходные данные'!$B$91="",N('Исходные данные'!$B$80)&lt;=0,'Исходные данные'!$B$88=""),0,IF(AND(YEAR(B172)=YEAR('Исходные данные'!$B$91),MONTH(B172)=MONTH('Исходные данные'!$B$91)),MAX(0,IF('Исходные данные'!$B$88="Последние 12 месяцев",SUMIFS($L$2:$L$194,$B$2:$B$194,"&gt;="&amp;EDATE(B172,-11),$B$2:$B$194,"&lt;="&amp;B172),IF('Исходные данные'!$B$88="Пользовательский NOI",N('Исходные данные'!$B$89),R172))/N('Исходные данные'!$B$80)*(1+N('Исходные данные'!$B$81))),0))</f>
        <v>0</v>
      </c>
      <c r="T172">
        <f>-S172*N('Исходные данные'!$B$73)</f>
        <v>0</v>
      </c>
      <c r="U172">
        <f>IF(S172=0,0,-N('Исходные данные'!$B$87)-IF('Исходные данные'!$B$82="Да",IF('Исходные данные'!$B$84="С выручки",S172,IF('Исходные данные'!$B$84="С прибыли",MAX(0,S172+T172-IF('Исходные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72">
        <f t="shared" si="102"/>
        <v>0</v>
      </c>
      <c r="W172">
        <f>IF(D172=1,Расчёты!AZ172+K172+N172+Q172+V172,0)</f>
        <v>0</v>
      </c>
      <c r="X172" t="str">
        <f t="shared" si="112"/>
        <v/>
      </c>
      <c r="Y172">
        <f>IF(OR(D172=0,'Исходные данные'!$B$9="",'Исходные данные'!$B$90=""),0,W172/(1+'Исходные данные'!$B$90)^((C172-'Исходные данные'!$B$9)/365))</f>
        <v>0</v>
      </c>
      <c r="Z172">
        <f>IF(D172=1,K172+Расчёты!O172+Расчёты!Q172+Расчёты!S172+Расчёты!U172+Расчёты!W172+Расчёты!X172+N172+Q172,0)</f>
        <v>0</v>
      </c>
      <c r="AA172">
        <f>IF(AND(D172=1,X172&gt;=0,X171&lt;0,MIN($X$2:X172)&lt;0),1,0)</f>
        <v>0</v>
      </c>
      <c r="AB172">
        <f>IF(Расчёты!F172=0,0,IF(Расчёты!G172=1,N('Сценарный анализ'!$C$5),IF(Расчёты!G172=2,N('Сценарный анализ'!$C$6),IF(Расчёты!G172=3,N('Сценарный анализ'!$C$7),N('Сценарный анализ'!$C$7)*(1+N('Сценарный анализ'!$C$8))^(Расчёты!G172-3)))))</f>
        <v>0</v>
      </c>
      <c r="AC172">
        <f>IF(OR(Расчёты!F172=0,N('Исходные данные'!$B$5)=0,AB172=0),0,N('Исходные данные'!$B$5)*AB172*IF(AND(B172&lt;='Исходные данные'!$B$30,Расчёты!C172&gt;='Исходные данные'!$B$30),(Расчёты!C172-'Исходные данные'!$B$30+1)/DAY(Расчёты!C172),1))</f>
        <v>0</v>
      </c>
      <c r="AD172">
        <f>IF(AND(Расчёты!F172&gt;0,Расчёты!F172&lt;=N('Исходные данные'!$B$37)),-AC172,0)</f>
        <v>0</v>
      </c>
      <c r="AE172">
        <f>IF(OR(Расчёты!F172=0,Расчёты!F172&lt;=N('Исходные данные'!$B$37)),0,-(AC172+AD172)*N('Сценарный анализ'!$C$9))</f>
        <v>0</v>
      </c>
      <c r="AF172">
        <f t="shared" si="103"/>
        <v>0</v>
      </c>
      <c r="AG172">
        <f>IF('Исходные данные'!$B$51="Да",AF172*N('Исходные данные'!$B$52),0)</f>
        <v>0</v>
      </c>
      <c r="AH172">
        <f t="shared" si="104"/>
        <v>0</v>
      </c>
      <c r="AI172">
        <f>AF172+(Расчёты!Y172-Расчёты!L172)</f>
        <v>0</v>
      </c>
      <c r="AJ172">
        <f t="shared" si="113"/>
        <v>0</v>
      </c>
      <c r="AK172">
        <f>IF('Исходные данные'!$B$51="Да",-MAX(0,AG172+Расчёты!R172+Расчёты!V172-Расчёты!P172-Расчёты!T172-AJ172),0)</f>
        <v>0</v>
      </c>
      <c r="AL172">
        <f>IF('Исходные данные'!$B$51="Да",MAX(0,AJ172+Расчёты!P172+Расчёты!T172-AG172-Расчёты!R172-Расчёты!V172),0)</f>
        <v>0</v>
      </c>
      <c r="AM172">
        <f>IF('Исходные данные'!$B$53="Выручка",MAX(0,AF172+(Расчёты!Q172-Расчёты!R172)+(Расчёты!U172-Расчёты!V172)),IF('Исходные данные'!$B$53="Прибыль до налога",MAX(0,AF172+(Расчёты!Q172-Расчёты!R172)+(Расчёты!U172-Расчёты!V172)+N('Исходные данные'!$B$54)*((Расчёты!O172+Расчёты!P172)+(Расчёты!S172+Расчёты!T172)+Расчёты!W172+Расчёты!X172)+IF('Исходные данные'!$B$55="Да",Расчёты!AG172,0)-N('Исходные данные'!$B$56)/12),IF('Исходные данные'!$B$53="Пользовательская база",MAX(0,N('Исходные данные'!$B$57)/12),0)))</f>
        <v>0</v>
      </c>
      <c r="AN172">
        <f>IF(D172=1,-AM172*N('Исходные данные'!$B$50),0)</f>
        <v>0</v>
      </c>
      <c r="AO172">
        <f t="shared" si="105"/>
        <v>0</v>
      </c>
      <c r="AP172">
        <f>IF(OR(D172&lt;&gt;1,B172="",'Исходные данные'!$B$91="",N('Исходные данные'!$B$80)&lt;=0,'Исходные данные'!$B$88=""),0,IF(AND(YEAR(B172)=YEAR('Исходные данные'!$B$91),MONTH(B172)=MONTH('Исходные данные'!$B$91)),MAX(0,IF('Исходные данные'!$B$88="Последние 12 месяцев",SUMIFS($AI$2:$AI$194,$B$2:$B$194,"&gt;="&amp;EDATE(B172,-11),$B$2:$B$194,"&lt;="&amp;B172),IF('Исходные данные'!$B$88="Пользовательский NOI",N('Исходные данные'!$B$89),AO172))/N('Исходные данные'!$B$80)*(1+N('Исходные данные'!$B$81))),0))</f>
        <v>0</v>
      </c>
      <c r="AQ172">
        <f>-AP172*N('Исходные данные'!$B$73)</f>
        <v>0</v>
      </c>
      <c r="AR172">
        <f>IF(AP172=0,0,-N('Исходные данные'!$B$87)-IF('Исходные данные'!$B$82="Да",IF('Исходные данные'!$B$84="С выручки",AP172,IF('Исходные данные'!$B$84="С прибыли",MAX(0,AP172+AQ172-IF('Исходные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72">
        <f t="shared" si="106"/>
        <v>0</v>
      </c>
      <c r="AT172">
        <f>IF(D172=1,Расчёты!AZ172+AH172+AK172+AN172+AS172,0)</f>
        <v>0</v>
      </c>
      <c r="AU172" t="str">
        <f t="shared" si="114"/>
        <v/>
      </c>
      <c r="AV172">
        <f>IF(OR(D172=0,'Исходные данные'!$B$9="",'Исходные данные'!$B$90=""),0,AT172/(1+'Исходные данные'!$B$90)^((C172-'Исходные данные'!$B$9)/365))</f>
        <v>0</v>
      </c>
      <c r="AW172">
        <f>IF(D172=1,AH172+Расчёты!O172+Расчёты!Q172+Расчёты!S172+Расчёты!U172+Расчёты!W172+Расчёты!X172+AK172+AN172,0)</f>
        <v>0</v>
      </c>
      <c r="AX172">
        <f>IF(AND(D172=1,AU172&gt;=0,AU171&lt;0,MIN($AU$2:AU172)&lt;0),1,0)</f>
        <v>0</v>
      </c>
      <c r="AY172">
        <f>IF(Расчёты!F172=0,0,IF(Расчёты!G172=1,N('Сценарный анализ'!$D$5),IF(Расчёты!G172=2,N('Сценарный анализ'!$D$6),IF(Расчёты!G172=3,N('Сценарный анализ'!$D$7),N('Сценарный анализ'!$D$7)*(1+N('Сценарный анализ'!$D$8))^(Расчёты!G172-3)))))</f>
        <v>0</v>
      </c>
      <c r="AZ172">
        <f>IF(OR(Расчёты!F172=0,N('Исходные данные'!$B$5)=0,AY172=0),0,N('Исходные данные'!$B$5)*AY172*IF(AND(B172&lt;='Исходные данные'!$B$30,Расчёты!C172&gt;='Исходные данные'!$B$30),(Расчёты!C172-'Исходные данные'!$B$30+1)/DAY(Расчёты!C172),1))</f>
        <v>0</v>
      </c>
      <c r="BA172">
        <f>IF(AND(Расчёты!F172&gt;0,Расчёты!F172&lt;=N('Исходные данные'!$B$37)),-AZ172,0)</f>
        <v>0</v>
      </c>
      <c r="BB172">
        <f>IF(OR(Расчёты!F172=0,Расчёты!F172&lt;=N('Исходные данные'!$B$37)),0,-(AZ172+BA172)*N('Сценарный анализ'!$D$9))</f>
        <v>0</v>
      </c>
      <c r="BC172">
        <f t="shared" si="107"/>
        <v>0</v>
      </c>
      <c r="BD172">
        <f>IF('Исходные данные'!$B$51="Да",BC172*N('Исходные данные'!$B$52),0)</f>
        <v>0</v>
      </c>
      <c r="BE172">
        <f t="shared" si="108"/>
        <v>0</v>
      </c>
      <c r="BF172">
        <f>BC172+(Расчёты!Y172-Расчёты!L172)</f>
        <v>0</v>
      </c>
      <c r="BG172">
        <f t="shared" si="115"/>
        <v>0</v>
      </c>
      <c r="BH172">
        <f>IF('Исходные данные'!$B$51="Да",-MAX(0,BD172+Расчёты!R172+Расчёты!V172-Расчёты!P172-Расчёты!T172-BG172),0)</f>
        <v>0</v>
      </c>
      <c r="BI172">
        <f>IF('Исходные данные'!$B$51="Да",MAX(0,BG172+Расчёты!P172+Расчёты!T172-BD172-Расчёты!R172-Расчёты!V172),0)</f>
        <v>0</v>
      </c>
      <c r="BJ172">
        <f>IF('Исходные данные'!$B$53="Выручка",MAX(0,BC172+(Расчёты!Q172-Расчёты!R172)+(Расчёты!U172-Расчёты!V172)),IF('Исходные данные'!$B$53="Прибыль до налога",MAX(0,BC172+(Расчёты!Q172-Расчёты!R172)+(Расчёты!U172-Расчёты!V172)+N('Исходные данные'!$B$54)*((Расчёты!O172+Расчёты!P172)+(Расчёты!S172+Расчёты!T172)+Расчёты!W172+Расчёты!X172)+IF('Исходные данные'!$B$55="Да",Расчёты!AG172,0)-N('Исходные данные'!$B$56)/12),IF('Исходные данные'!$B$53="Пользовательская база",MAX(0,N('Исходные данные'!$B$57)/12),0)))</f>
        <v>0</v>
      </c>
      <c r="BK172">
        <f>IF(D172=1,-BJ172*N('Исходные данные'!$B$50),0)</f>
        <v>0</v>
      </c>
      <c r="BL172">
        <f t="shared" si="109"/>
        <v>0</v>
      </c>
      <c r="BM172">
        <f>IF(OR(D172&lt;&gt;1,B172="",'Исходные данные'!$B$91="",N('Исходные данные'!$B$80)&lt;=0,'Исходные данные'!$B$88=""),0,IF(AND(YEAR(B172)=YEAR('Исходные данные'!$B$91),MONTH(B172)=MONTH('Исходные данные'!$B$91)),MAX(0,IF('Исходные данные'!$B$88="Последние 12 месяцев",SUMIFS($BF$2:$BF$194,$B$2:$B$194,"&gt;="&amp;EDATE(B172,-11),$B$2:$B$194,"&lt;="&amp;B172),IF('Исходные данные'!$B$88="Пользовательский NOI",N('Исходные данные'!$B$89),BL172))/N('Исходные данные'!$B$80)*(1+N('Исходные данные'!$B$81))),0))</f>
        <v>0</v>
      </c>
      <c r="BN172">
        <f>-BM172*N('Исходные данные'!$B$73)</f>
        <v>0</v>
      </c>
      <c r="BO172">
        <f>IF(BM172=0,0,-N('Исходные данные'!$B$87)-IF('Исходные данные'!$B$82="Да",IF('Исходные данные'!$B$84="С выручки",BM172,IF('Исходные данные'!$B$84="С прибыли",MAX(0,BM172+BN172-IF('Исходные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72">
        <f t="shared" si="110"/>
        <v>0</v>
      </c>
      <c r="BQ172">
        <f>IF(D172=1,Расчёты!AZ172+BE172+BH172+BK172+BP172,0)</f>
        <v>0</v>
      </c>
      <c r="BR172" t="str">
        <f t="shared" si="116"/>
        <v/>
      </c>
      <c r="BS172">
        <f>IF(OR(D172=0,'Исходные данные'!$B$9="",'Исходные данные'!$B$90=""),0,BQ172/(1+'Исходные данные'!$B$90)^((C172-'Исходные данные'!$B$9)/365))</f>
        <v>0</v>
      </c>
      <c r="BT172">
        <f>IF(D172=1,BE172+Расчёты!O172+Расчёты!Q172+Расчёты!S172+Расчёты!U172+Расчёты!W172+Расчёты!X172+BH172+BK172,0)</f>
        <v>0</v>
      </c>
      <c r="BU172">
        <f>IF(AND(D172=1,BR172&gt;=0,BR171&lt;0,MIN($BR$2:BR172)&lt;0),1,0)</f>
        <v>0</v>
      </c>
      <c r="BV172">
        <f>Расчёты!AZ172+K172+N172-P172*N('Исходные данные'!$B$50)</f>
        <v>0</v>
      </c>
      <c r="BW172">
        <f t="shared" si="96"/>
        <v>0</v>
      </c>
      <c r="BX172">
        <f>IF(AND(BW172&gt;=0,BW171&lt;0,MIN($BW$2:BW172)&lt;0),1,0)</f>
        <v>0</v>
      </c>
      <c r="BY172">
        <f>Расчёты!AZ172+AH172+AK172-AM172*N('Исходные данные'!$B$50)</f>
        <v>0</v>
      </c>
      <c r="BZ172">
        <f t="shared" si="97"/>
        <v>0</v>
      </c>
      <c r="CA172">
        <f>IF(AND(BZ172&gt;=0,BZ171&lt;0,MIN($BZ$2:BZ172)&lt;0),1,0)</f>
        <v>0</v>
      </c>
      <c r="CB172">
        <f>Расчёты!AZ172+BE172+BH172-BJ172*N('Исходные данные'!$B$50)</f>
        <v>0</v>
      </c>
      <c r="CC172">
        <f t="shared" si="98"/>
        <v>0</v>
      </c>
      <c r="CD172">
        <f>IF(AND(CC172&gt;=0,CC171&lt;0,MIN($CC$2:CC172)&lt;0),1,0)</f>
        <v>0</v>
      </c>
    </row>
    <row r="173" spans="1:82" x14ac:dyDescent="0.2">
      <c r="A173">
        <f>Расчёты!A173</f>
        <v>172</v>
      </c>
      <c r="B173" t="str">
        <f>Расчёты!B173</f>
        <v/>
      </c>
      <c r="C173" t="str">
        <f>Расчёты!D173</f>
        <v/>
      </c>
      <c r="D173">
        <f>Расчёты!E173</f>
        <v>0</v>
      </c>
      <c r="E173">
        <f>IF(Расчёты!F173=0,0,IF(Расчёты!G173=1,N('Сценарный анализ'!$B$5),IF(Расчёты!G173=2,N('Сценарный анализ'!$B$6),IF(Расчёты!G173=3,N('Сценарный анализ'!$B$7),N('Сценарный анализ'!$B$7)*(1+N('Сценарный анализ'!$B$8))^(Расчёты!G173-3)))))</f>
        <v>0</v>
      </c>
      <c r="F173">
        <f>IF(OR(Расчёты!F173=0,N('Исходные данные'!$B$5)=0,E173=0),0,N('Исходные данные'!$B$5)*E173*IF(AND(B173&lt;='Исходные данные'!$B$30,Расчёты!C173&gt;='Исходные данные'!$B$30),(Расчёты!C173-'Исходные данные'!$B$30+1)/DAY(Расчёты!C173),1))</f>
        <v>0</v>
      </c>
      <c r="G173">
        <f>IF(AND(Расчёты!F173&gt;0,Расчёты!F173&lt;=N('Исходные данные'!$B$37)),-F173,0)</f>
        <v>0</v>
      </c>
      <c r="H173">
        <f>IF(OR(Расчёты!F173=0,Расчёты!F173&lt;=N('Исходные данные'!$B$37)),0,-(F173+G173)*N('Сценарный анализ'!$B$9))</f>
        <v>0</v>
      </c>
      <c r="I173">
        <f t="shared" si="99"/>
        <v>0</v>
      </c>
      <c r="J173">
        <f>IF('Исходные данные'!$B$51="Да",I173*N('Исходные данные'!$B$52),0)</f>
        <v>0</v>
      </c>
      <c r="K173">
        <f t="shared" si="100"/>
        <v>0</v>
      </c>
      <c r="L173">
        <f>I173+(Расчёты!Y173-Расчёты!L173)</f>
        <v>0</v>
      </c>
      <c r="M173">
        <f t="shared" si="111"/>
        <v>0</v>
      </c>
      <c r="N173">
        <f>IF('Исходные данные'!$B$51="Да",-MAX(0,J173+Расчёты!R173+Расчёты!V173-Расчёты!P173-Расчёты!T173-M173),0)</f>
        <v>0</v>
      </c>
      <c r="O173">
        <f>IF('Исходные данные'!$B$51="Да",MAX(0,M173+Расчёты!P173+Расчёты!T173-J173-Расчёты!R173-Расчёты!V173),0)</f>
        <v>0</v>
      </c>
      <c r="P173">
        <f>IF('Исходные данные'!$B$53="Выручка",MAX(0,I173+(Расчёты!Q173-Расчёты!R173)+(Расчёты!U173-Расчёты!V173)),IF('Исходные данные'!$B$53="Прибыль до налога",MAX(0,I173+(Расчёты!Q173-Расчёты!R173)+(Расчёты!U173-Расчёты!V173)+N('Исходные данные'!$B$54)*((Расчёты!O173+Расчёты!P173)+(Расчёты!S173+Расчёты!T173)+Расчёты!W173+Расчёты!X173)+IF('Исходные данные'!$B$55="Да",Расчёты!AG173,0)-N('Исходные данные'!$B$56)/12),IF('Исходные данные'!$B$53="Пользовательская база",MAX(0,N('Исходные данные'!$B$57)/12),0)))</f>
        <v>0</v>
      </c>
      <c r="Q173">
        <f>IF(D173=1,-P173*N('Исходные данные'!$B$50),0)</f>
        <v>0</v>
      </c>
      <c r="R173">
        <f t="shared" si="101"/>
        <v>0</v>
      </c>
      <c r="S173">
        <f>IF(OR(D173&lt;&gt;1,B173="",'Исходные данные'!$B$91="",N('Исходные данные'!$B$80)&lt;=0,'Исходные данные'!$B$88=""),0,IF(AND(YEAR(B173)=YEAR('Исходные данные'!$B$91),MONTH(B173)=MONTH('Исходные данные'!$B$91)),MAX(0,IF('Исходные данные'!$B$88="Последние 12 месяцев",SUMIFS($L$2:$L$194,$B$2:$B$194,"&gt;="&amp;EDATE(B173,-11),$B$2:$B$194,"&lt;="&amp;B173),IF('Исходные данные'!$B$88="Пользовательский NOI",N('Исходные данные'!$B$89),R173))/N('Исходные данные'!$B$80)*(1+N('Исходные данные'!$B$81))),0))</f>
        <v>0</v>
      </c>
      <c r="T173">
        <f>-S173*N('Исходные данные'!$B$73)</f>
        <v>0</v>
      </c>
      <c r="U173">
        <f>IF(S173=0,0,-N('Исходные данные'!$B$87)-IF('Исходные данные'!$B$82="Да",IF('Исходные данные'!$B$84="С выручки",S173,IF('Исходные данные'!$B$84="С прибыли",MAX(0,S173+T173-IF('Исходные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73">
        <f t="shared" si="102"/>
        <v>0</v>
      </c>
      <c r="W173">
        <f>IF(D173=1,Расчёты!AZ173+K173+N173+Q173+V173,0)</f>
        <v>0</v>
      </c>
      <c r="X173" t="str">
        <f t="shared" si="112"/>
        <v/>
      </c>
      <c r="Y173">
        <f>IF(OR(D173=0,'Исходные данные'!$B$9="",'Исходные данные'!$B$90=""),0,W173/(1+'Исходные данные'!$B$90)^((C173-'Исходные данные'!$B$9)/365))</f>
        <v>0</v>
      </c>
      <c r="Z173">
        <f>IF(D173=1,K173+Расчёты!O173+Расчёты!Q173+Расчёты!S173+Расчёты!U173+Расчёты!W173+Расчёты!X173+N173+Q173,0)</f>
        <v>0</v>
      </c>
      <c r="AA173">
        <f>IF(AND(D173=1,X173&gt;=0,X172&lt;0,MIN($X$2:X173)&lt;0),1,0)</f>
        <v>0</v>
      </c>
      <c r="AB173">
        <f>IF(Расчёты!F173=0,0,IF(Расчёты!G173=1,N('Сценарный анализ'!$C$5),IF(Расчёты!G173=2,N('Сценарный анализ'!$C$6),IF(Расчёты!G173=3,N('Сценарный анализ'!$C$7),N('Сценарный анализ'!$C$7)*(1+N('Сценарный анализ'!$C$8))^(Расчёты!G173-3)))))</f>
        <v>0</v>
      </c>
      <c r="AC173">
        <f>IF(OR(Расчёты!F173=0,N('Исходные данные'!$B$5)=0,AB173=0),0,N('Исходные данные'!$B$5)*AB173*IF(AND(B173&lt;='Исходные данные'!$B$30,Расчёты!C173&gt;='Исходные данные'!$B$30),(Расчёты!C173-'Исходные данные'!$B$30+1)/DAY(Расчёты!C173),1))</f>
        <v>0</v>
      </c>
      <c r="AD173">
        <f>IF(AND(Расчёты!F173&gt;0,Расчёты!F173&lt;=N('Исходные данные'!$B$37)),-AC173,0)</f>
        <v>0</v>
      </c>
      <c r="AE173">
        <f>IF(OR(Расчёты!F173=0,Расчёты!F173&lt;=N('Исходные данные'!$B$37)),0,-(AC173+AD173)*N('Сценарный анализ'!$C$9))</f>
        <v>0</v>
      </c>
      <c r="AF173">
        <f t="shared" si="103"/>
        <v>0</v>
      </c>
      <c r="AG173">
        <f>IF('Исходные данные'!$B$51="Да",AF173*N('Исходные данные'!$B$52),0)</f>
        <v>0</v>
      </c>
      <c r="AH173">
        <f t="shared" si="104"/>
        <v>0</v>
      </c>
      <c r="AI173">
        <f>AF173+(Расчёты!Y173-Расчёты!L173)</f>
        <v>0</v>
      </c>
      <c r="AJ173">
        <f t="shared" si="113"/>
        <v>0</v>
      </c>
      <c r="AK173">
        <f>IF('Исходные данные'!$B$51="Да",-MAX(0,AG173+Расчёты!R173+Расчёты!V173-Расчёты!P173-Расчёты!T173-AJ173),0)</f>
        <v>0</v>
      </c>
      <c r="AL173">
        <f>IF('Исходные данные'!$B$51="Да",MAX(0,AJ173+Расчёты!P173+Расчёты!T173-AG173-Расчёты!R173-Расчёты!V173),0)</f>
        <v>0</v>
      </c>
      <c r="AM173">
        <f>IF('Исходные данные'!$B$53="Выручка",MAX(0,AF173+(Расчёты!Q173-Расчёты!R173)+(Расчёты!U173-Расчёты!V173)),IF('Исходные данные'!$B$53="Прибыль до налога",MAX(0,AF173+(Расчёты!Q173-Расчёты!R173)+(Расчёты!U173-Расчёты!V173)+N('Исходные данные'!$B$54)*((Расчёты!O173+Расчёты!P173)+(Расчёты!S173+Расчёты!T173)+Расчёты!W173+Расчёты!X173)+IF('Исходные данные'!$B$55="Да",Расчёты!AG173,0)-N('Исходные данные'!$B$56)/12),IF('Исходные данные'!$B$53="Пользовательская база",MAX(0,N('Исходные данные'!$B$57)/12),0)))</f>
        <v>0</v>
      </c>
      <c r="AN173">
        <f>IF(D173=1,-AM173*N('Исходные данные'!$B$50),0)</f>
        <v>0</v>
      </c>
      <c r="AO173">
        <f t="shared" si="105"/>
        <v>0</v>
      </c>
      <c r="AP173">
        <f>IF(OR(D173&lt;&gt;1,B173="",'Исходные данные'!$B$91="",N('Исходные данные'!$B$80)&lt;=0,'Исходные данные'!$B$88=""),0,IF(AND(YEAR(B173)=YEAR('Исходные данные'!$B$91),MONTH(B173)=MONTH('Исходные данные'!$B$91)),MAX(0,IF('Исходные данные'!$B$88="Последние 12 месяцев",SUMIFS($AI$2:$AI$194,$B$2:$B$194,"&gt;="&amp;EDATE(B173,-11),$B$2:$B$194,"&lt;="&amp;B173),IF('Исходные данные'!$B$88="Пользовательский NOI",N('Исходные данные'!$B$89),AO173))/N('Исходные данные'!$B$80)*(1+N('Исходные данные'!$B$81))),0))</f>
        <v>0</v>
      </c>
      <c r="AQ173">
        <f>-AP173*N('Исходные данные'!$B$73)</f>
        <v>0</v>
      </c>
      <c r="AR173">
        <f>IF(AP173=0,0,-N('Исходные данные'!$B$87)-IF('Исходные данные'!$B$82="Да",IF('Исходные данные'!$B$84="С выручки",AP173,IF('Исходные данные'!$B$84="С прибыли",MAX(0,AP173+AQ173-IF('Исходные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73">
        <f t="shared" si="106"/>
        <v>0</v>
      </c>
      <c r="AT173">
        <f>IF(D173=1,Расчёты!AZ173+AH173+AK173+AN173+AS173,0)</f>
        <v>0</v>
      </c>
      <c r="AU173" t="str">
        <f t="shared" si="114"/>
        <v/>
      </c>
      <c r="AV173">
        <f>IF(OR(D173=0,'Исходные данные'!$B$9="",'Исходные данные'!$B$90=""),0,AT173/(1+'Исходные данные'!$B$90)^((C173-'Исходные данные'!$B$9)/365))</f>
        <v>0</v>
      </c>
      <c r="AW173">
        <f>IF(D173=1,AH173+Расчёты!O173+Расчёты!Q173+Расчёты!S173+Расчёты!U173+Расчёты!W173+Расчёты!X173+AK173+AN173,0)</f>
        <v>0</v>
      </c>
      <c r="AX173">
        <f>IF(AND(D173=1,AU173&gt;=0,AU172&lt;0,MIN($AU$2:AU173)&lt;0),1,0)</f>
        <v>0</v>
      </c>
      <c r="AY173">
        <f>IF(Расчёты!F173=0,0,IF(Расчёты!G173=1,N('Сценарный анализ'!$D$5),IF(Расчёты!G173=2,N('Сценарный анализ'!$D$6),IF(Расчёты!G173=3,N('Сценарный анализ'!$D$7),N('Сценарный анализ'!$D$7)*(1+N('Сценарный анализ'!$D$8))^(Расчёты!G173-3)))))</f>
        <v>0</v>
      </c>
      <c r="AZ173">
        <f>IF(OR(Расчёты!F173=0,N('Исходные данные'!$B$5)=0,AY173=0),0,N('Исходные данные'!$B$5)*AY173*IF(AND(B173&lt;='Исходные данные'!$B$30,Расчёты!C173&gt;='Исходные данные'!$B$30),(Расчёты!C173-'Исходные данные'!$B$30+1)/DAY(Расчёты!C173),1))</f>
        <v>0</v>
      </c>
      <c r="BA173">
        <f>IF(AND(Расчёты!F173&gt;0,Расчёты!F173&lt;=N('Исходные данные'!$B$37)),-AZ173,0)</f>
        <v>0</v>
      </c>
      <c r="BB173">
        <f>IF(OR(Расчёты!F173=0,Расчёты!F173&lt;=N('Исходные данные'!$B$37)),0,-(AZ173+BA173)*N('Сценарный анализ'!$D$9))</f>
        <v>0</v>
      </c>
      <c r="BC173">
        <f t="shared" si="107"/>
        <v>0</v>
      </c>
      <c r="BD173">
        <f>IF('Исходные данные'!$B$51="Да",BC173*N('Исходные данные'!$B$52),0)</f>
        <v>0</v>
      </c>
      <c r="BE173">
        <f t="shared" si="108"/>
        <v>0</v>
      </c>
      <c r="BF173">
        <f>BC173+(Расчёты!Y173-Расчёты!L173)</f>
        <v>0</v>
      </c>
      <c r="BG173">
        <f t="shared" si="115"/>
        <v>0</v>
      </c>
      <c r="BH173">
        <f>IF('Исходные данные'!$B$51="Да",-MAX(0,BD173+Расчёты!R173+Расчёты!V173-Расчёты!P173-Расчёты!T173-BG173),0)</f>
        <v>0</v>
      </c>
      <c r="BI173">
        <f>IF('Исходные данные'!$B$51="Да",MAX(0,BG173+Расчёты!P173+Расчёты!T173-BD173-Расчёты!R173-Расчёты!V173),0)</f>
        <v>0</v>
      </c>
      <c r="BJ173">
        <f>IF('Исходные данные'!$B$53="Выручка",MAX(0,BC173+(Расчёты!Q173-Расчёты!R173)+(Расчёты!U173-Расчёты!V173)),IF('Исходные данные'!$B$53="Прибыль до налога",MAX(0,BC173+(Расчёты!Q173-Расчёты!R173)+(Расчёты!U173-Расчёты!V173)+N('Исходные данные'!$B$54)*((Расчёты!O173+Расчёты!P173)+(Расчёты!S173+Расчёты!T173)+Расчёты!W173+Расчёты!X173)+IF('Исходные данные'!$B$55="Да",Расчёты!AG173,0)-N('Исходные данные'!$B$56)/12),IF('Исходные данные'!$B$53="Пользовательская база",MAX(0,N('Исходные данные'!$B$57)/12),0)))</f>
        <v>0</v>
      </c>
      <c r="BK173">
        <f>IF(D173=1,-BJ173*N('Исходные данные'!$B$50),0)</f>
        <v>0</v>
      </c>
      <c r="BL173">
        <f t="shared" si="109"/>
        <v>0</v>
      </c>
      <c r="BM173">
        <f>IF(OR(D173&lt;&gt;1,B173="",'Исходные данные'!$B$91="",N('Исходные данные'!$B$80)&lt;=0,'Исходные данные'!$B$88=""),0,IF(AND(YEAR(B173)=YEAR('Исходные данные'!$B$91),MONTH(B173)=MONTH('Исходные данные'!$B$91)),MAX(0,IF('Исходные данные'!$B$88="Последние 12 месяцев",SUMIFS($BF$2:$BF$194,$B$2:$B$194,"&gt;="&amp;EDATE(B173,-11),$B$2:$B$194,"&lt;="&amp;B173),IF('Исходные данные'!$B$88="Пользовательский NOI",N('Исходные данные'!$B$89),BL173))/N('Исходные данные'!$B$80)*(1+N('Исходные данные'!$B$81))),0))</f>
        <v>0</v>
      </c>
      <c r="BN173">
        <f>-BM173*N('Исходные данные'!$B$73)</f>
        <v>0</v>
      </c>
      <c r="BO173">
        <f>IF(BM173=0,0,-N('Исходные данные'!$B$87)-IF('Исходные данные'!$B$82="Да",IF('Исходные данные'!$B$84="С выручки",BM173,IF('Исходные данные'!$B$84="С прибыли",MAX(0,BM173+BN173-IF('Исходные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73">
        <f t="shared" si="110"/>
        <v>0</v>
      </c>
      <c r="BQ173">
        <f>IF(D173=1,Расчёты!AZ173+BE173+BH173+BK173+BP173,0)</f>
        <v>0</v>
      </c>
      <c r="BR173" t="str">
        <f t="shared" si="116"/>
        <v/>
      </c>
      <c r="BS173">
        <f>IF(OR(D173=0,'Исходные данные'!$B$9="",'Исходные данные'!$B$90=""),0,BQ173/(1+'Исходные данные'!$B$90)^((C173-'Исходные данные'!$B$9)/365))</f>
        <v>0</v>
      </c>
      <c r="BT173">
        <f>IF(D173=1,BE173+Расчёты!O173+Расчёты!Q173+Расчёты!S173+Расчёты!U173+Расчёты!W173+Расчёты!X173+BH173+BK173,0)</f>
        <v>0</v>
      </c>
      <c r="BU173">
        <f>IF(AND(D173=1,BR173&gt;=0,BR172&lt;0,MIN($BR$2:BR173)&lt;0),1,0)</f>
        <v>0</v>
      </c>
      <c r="BV173">
        <f>Расчёты!AZ173+K173+N173-P173*N('Исходные данные'!$B$50)</f>
        <v>0</v>
      </c>
      <c r="BW173">
        <f t="shared" si="96"/>
        <v>0</v>
      </c>
      <c r="BX173">
        <f>IF(AND(BW173&gt;=0,BW172&lt;0,MIN($BW$2:BW173)&lt;0),1,0)</f>
        <v>0</v>
      </c>
      <c r="BY173">
        <f>Расчёты!AZ173+AH173+AK173-AM173*N('Исходные данные'!$B$50)</f>
        <v>0</v>
      </c>
      <c r="BZ173">
        <f t="shared" si="97"/>
        <v>0</v>
      </c>
      <c r="CA173">
        <f>IF(AND(BZ173&gt;=0,BZ172&lt;0,MIN($BZ$2:BZ173)&lt;0),1,0)</f>
        <v>0</v>
      </c>
      <c r="CB173">
        <f>Расчёты!AZ173+BE173+BH173-BJ173*N('Исходные данные'!$B$50)</f>
        <v>0</v>
      </c>
      <c r="CC173">
        <f t="shared" si="98"/>
        <v>0</v>
      </c>
      <c r="CD173">
        <f>IF(AND(CC173&gt;=0,CC172&lt;0,MIN($CC$2:CC173)&lt;0),1,0)</f>
        <v>0</v>
      </c>
    </row>
    <row r="174" spans="1:82" x14ac:dyDescent="0.2">
      <c r="A174">
        <f>Расчёты!A174</f>
        <v>173</v>
      </c>
      <c r="B174" t="str">
        <f>Расчёты!B174</f>
        <v/>
      </c>
      <c r="C174" t="str">
        <f>Расчёты!D174</f>
        <v/>
      </c>
      <c r="D174">
        <f>Расчёты!E174</f>
        <v>0</v>
      </c>
      <c r="E174">
        <f>IF(Расчёты!F174=0,0,IF(Расчёты!G174=1,N('Сценарный анализ'!$B$5),IF(Расчёты!G174=2,N('Сценарный анализ'!$B$6),IF(Расчёты!G174=3,N('Сценарный анализ'!$B$7),N('Сценарный анализ'!$B$7)*(1+N('Сценарный анализ'!$B$8))^(Расчёты!G174-3)))))</f>
        <v>0</v>
      </c>
      <c r="F174">
        <f>IF(OR(Расчёты!F174=0,N('Исходные данные'!$B$5)=0,E174=0),0,N('Исходные данные'!$B$5)*E174*IF(AND(B174&lt;='Исходные данные'!$B$30,Расчёты!C174&gt;='Исходные данные'!$B$30),(Расчёты!C174-'Исходные данные'!$B$30+1)/DAY(Расчёты!C174),1))</f>
        <v>0</v>
      </c>
      <c r="G174">
        <f>IF(AND(Расчёты!F174&gt;0,Расчёты!F174&lt;=N('Исходные данные'!$B$37)),-F174,0)</f>
        <v>0</v>
      </c>
      <c r="H174">
        <f>IF(OR(Расчёты!F174=0,Расчёты!F174&lt;=N('Исходные данные'!$B$37)),0,-(F174+G174)*N('Сценарный анализ'!$B$9))</f>
        <v>0</v>
      </c>
      <c r="I174">
        <f t="shared" si="99"/>
        <v>0</v>
      </c>
      <c r="J174">
        <f>IF('Исходные данные'!$B$51="Да",I174*N('Исходные данные'!$B$52),0)</f>
        <v>0</v>
      </c>
      <c r="K174">
        <f t="shared" si="100"/>
        <v>0</v>
      </c>
      <c r="L174">
        <f>I174+(Расчёты!Y174-Расчёты!L174)</f>
        <v>0</v>
      </c>
      <c r="M174">
        <f t="shared" si="111"/>
        <v>0</v>
      </c>
      <c r="N174">
        <f>IF('Исходные данные'!$B$51="Да",-MAX(0,J174+Расчёты!R174+Расчёты!V174-Расчёты!P174-Расчёты!T174-M174),0)</f>
        <v>0</v>
      </c>
      <c r="O174">
        <f>IF('Исходные данные'!$B$51="Да",MAX(0,M174+Расчёты!P174+Расчёты!T174-J174-Расчёты!R174-Расчёты!V174),0)</f>
        <v>0</v>
      </c>
      <c r="P174">
        <f>IF('Исходные данные'!$B$53="Выручка",MAX(0,I174+(Расчёты!Q174-Расчёты!R174)+(Расчёты!U174-Расчёты!V174)),IF('Исходные данные'!$B$53="Прибыль до налога",MAX(0,I174+(Расчёты!Q174-Расчёты!R174)+(Расчёты!U174-Расчёты!V174)+N('Исходные данные'!$B$54)*((Расчёты!O174+Расчёты!P174)+(Расчёты!S174+Расчёты!T174)+Расчёты!W174+Расчёты!X174)+IF('Исходные данные'!$B$55="Да",Расчёты!AG174,0)-N('Исходные данные'!$B$56)/12),IF('Исходные данные'!$B$53="Пользовательская база",MAX(0,N('Исходные данные'!$B$57)/12),0)))</f>
        <v>0</v>
      </c>
      <c r="Q174">
        <f>IF(D174=1,-P174*N('Исходные данные'!$B$50),0)</f>
        <v>0</v>
      </c>
      <c r="R174">
        <f t="shared" si="101"/>
        <v>0</v>
      </c>
      <c r="S174">
        <f>IF(OR(D174&lt;&gt;1,B174="",'Исходные данные'!$B$91="",N('Исходные данные'!$B$80)&lt;=0,'Исходные данные'!$B$88=""),0,IF(AND(YEAR(B174)=YEAR('Исходные данные'!$B$91),MONTH(B174)=MONTH('Исходные данные'!$B$91)),MAX(0,IF('Исходные данные'!$B$88="Последние 12 месяцев",SUMIFS($L$2:$L$194,$B$2:$B$194,"&gt;="&amp;EDATE(B174,-11),$B$2:$B$194,"&lt;="&amp;B174),IF('Исходные данные'!$B$88="Пользовательский NOI",N('Исходные данные'!$B$89),R174))/N('Исходные данные'!$B$80)*(1+N('Исходные данные'!$B$81))),0))</f>
        <v>0</v>
      </c>
      <c r="T174">
        <f>-S174*N('Исходные данные'!$B$73)</f>
        <v>0</v>
      </c>
      <c r="U174">
        <f>IF(S174=0,0,-N('Исходные данные'!$B$87)-IF('Исходные данные'!$B$82="Да",IF('Исходные данные'!$B$84="С выручки",S174,IF('Исходные данные'!$B$84="С прибыли",MAX(0,S174+T174-IF('Исходные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74">
        <f t="shared" si="102"/>
        <v>0</v>
      </c>
      <c r="W174">
        <f>IF(D174=1,Расчёты!AZ174+K174+N174+Q174+V174,0)</f>
        <v>0</v>
      </c>
      <c r="X174" t="str">
        <f t="shared" si="112"/>
        <v/>
      </c>
      <c r="Y174">
        <f>IF(OR(D174=0,'Исходные данные'!$B$9="",'Исходные данные'!$B$90=""),0,W174/(1+'Исходные данные'!$B$90)^((C174-'Исходные данные'!$B$9)/365))</f>
        <v>0</v>
      </c>
      <c r="Z174">
        <f>IF(D174=1,K174+Расчёты!O174+Расчёты!Q174+Расчёты!S174+Расчёты!U174+Расчёты!W174+Расчёты!X174+N174+Q174,0)</f>
        <v>0</v>
      </c>
      <c r="AA174">
        <f>IF(AND(D174=1,X174&gt;=0,X173&lt;0,MIN($X$2:X174)&lt;0),1,0)</f>
        <v>0</v>
      </c>
      <c r="AB174">
        <f>IF(Расчёты!F174=0,0,IF(Расчёты!G174=1,N('Сценарный анализ'!$C$5),IF(Расчёты!G174=2,N('Сценарный анализ'!$C$6),IF(Расчёты!G174=3,N('Сценарный анализ'!$C$7),N('Сценарный анализ'!$C$7)*(1+N('Сценарный анализ'!$C$8))^(Расчёты!G174-3)))))</f>
        <v>0</v>
      </c>
      <c r="AC174">
        <f>IF(OR(Расчёты!F174=0,N('Исходные данные'!$B$5)=0,AB174=0),0,N('Исходные данные'!$B$5)*AB174*IF(AND(B174&lt;='Исходные данные'!$B$30,Расчёты!C174&gt;='Исходные данные'!$B$30),(Расчёты!C174-'Исходные данные'!$B$30+1)/DAY(Расчёты!C174),1))</f>
        <v>0</v>
      </c>
      <c r="AD174">
        <f>IF(AND(Расчёты!F174&gt;0,Расчёты!F174&lt;=N('Исходные данные'!$B$37)),-AC174,0)</f>
        <v>0</v>
      </c>
      <c r="AE174">
        <f>IF(OR(Расчёты!F174=0,Расчёты!F174&lt;=N('Исходные данные'!$B$37)),0,-(AC174+AD174)*N('Сценарный анализ'!$C$9))</f>
        <v>0</v>
      </c>
      <c r="AF174">
        <f t="shared" si="103"/>
        <v>0</v>
      </c>
      <c r="AG174">
        <f>IF('Исходные данные'!$B$51="Да",AF174*N('Исходные данные'!$B$52),0)</f>
        <v>0</v>
      </c>
      <c r="AH174">
        <f t="shared" si="104"/>
        <v>0</v>
      </c>
      <c r="AI174">
        <f>AF174+(Расчёты!Y174-Расчёты!L174)</f>
        <v>0</v>
      </c>
      <c r="AJ174">
        <f t="shared" si="113"/>
        <v>0</v>
      </c>
      <c r="AK174">
        <f>IF('Исходные данные'!$B$51="Да",-MAX(0,AG174+Расчёты!R174+Расчёты!V174-Расчёты!P174-Расчёты!T174-AJ174),0)</f>
        <v>0</v>
      </c>
      <c r="AL174">
        <f>IF('Исходные данные'!$B$51="Да",MAX(0,AJ174+Расчёты!P174+Расчёты!T174-AG174-Расчёты!R174-Расчёты!V174),0)</f>
        <v>0</v>
      </c>
      <c r="AM174">
        <f>IF('Исходные данные'!$B$53="Выручка",MAX(0,AF174+(Расчёты!Q174-Расчёты!R174)+(Расчёты!U174-Расчёты!V174)),IF('Исходные данные'!$B$53="Прибыль до налога",MAX(0,AF174+(Расчёты!Q174-Расчёты!R174)+(Расчёты!U174-Расчёты!V174)+N('Исходные данные'!$B$54)*((Расчёты!O174+Расчёты!P174)+(Расчёты!S174+Расчёты!T174)+Расчёты!W174+Расчёты!X174)+IF('Исходные данные'!$B$55="Да",Расчёты!AG174,0)-N('Исходные данные'!$B$56)/12),IF('Исходные данные'!$B$53="Пользовательская база",MAX(0,N('Исходные данные'!$B$57)/12),0)))</f>
        <v>0</v>
      </c>
      <c r="AN174">
        <f>IF(D174=1,-AM174*N('Исходные данные'!$B$50),0)</f>
        <v>0</v>
      </c>
      <c r="AO174">
        <f t="shared" si="105"/>
        <v>0</v>
      </c>
      <c r="AP174">
        <f>IF(OR(D174&lt;&gt;1,B174="",'Исходные данные'!$B$91="",N('Исходные данные'!$B$80)&lt;=0,'Исходные данные'!$B$88=""),0,IF(AND(YEAR(B174)=YEAR('Исходные данные'!$B$91),MONTH(B174)=MONTH('Исходные данные'!$B$91)),MAX(0,IF('Исходные данные'!$B$88="Последние 12 месяцев",SUMIFS($AI$2:$AI$194,$B$2:$B$194,"&gt;="&amp;EDATE(B174,-11),$B$2:$B$194,"&lt;="&amp;B174),IF('Исходные данные'!$B$88="Пользовательский NOI",N('Исходные данные'!$B$89),AO174))/N('Исходные данные'!$B$80)*(1+N('Исходные данные'!$B$81))),0))</f>
        <v>0</v>
      </c>
      <c r="AQ174">
        <f>-AP174*N('Исходные данные'!$B$73)</f>
        <v>0</v>
      </c>
      <c r="AR174">
        <f>IF(AP174=0,0,-N('Исходные данные'!$B$87)-IF('Исходные данные'!$B$82="Да",IF('Исходные данные'!$B$84="С выручки",AP174,IF('Исходные данные'!$B$84="С прибыли",MAX(0,AP174+AQ174-IF('Исходные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74">
        <f t="shared" si="106"/>
        <v>0</v>
      </c>
      <c r="AT174">
        <f>IF(D174=1,Расчёты!AZ174+AH174+AK174+AN174+AS174,0)</f>
        <v>0</v>
      </c>
      <c r="AU174" t="str">
        <f t="shared" si="114"/>
        <v/>
      </c>
      <c r="AV174">
        <f>IF(OR(D174=0,'Исходные данные'!$B$9="",'Исходные данные'!$B$90=""),0,AT174/(1+'Исходные данные'!$B$90)^((C174-'Исходные данные'!$B$9)/365))</f>
        <v>0</v>
      </c>
      <c r="AW174">
        <f>IF(D174=1,AH174+Расчёты!O174+Расчёты!Q174+Расчёты!S174+Расчёты!U174+Расчёты!W174+Расчёты!X174+AK174+AN174,0)</f>
        <v>0</v>
      </c>
      <c r="AX174">
        <f>IF(AND(D174=1,AU174&gt;=0,AU173&lt;0,MIN($AU$2:AU174)&lt;0),1,0)</f>
        <v>0</v>
      </c>
      <c r="AY174">
        <f>IF(Расчёты!F174=0,0,IF(Расчёты!G174=1,N('Сценарный анализ'!$D$5),IF(Расчёты!G174=2,N('Сценарный анализ'!$D$6),IF(Расчёты!G174=3,N('Сценарный анализ'!$D$7),N('Сценарный анализ'!$D$7)*(1+N('Сценарный анализ'!$D$8))^(Расчёты!G174-3)))))</f>
        <v>0</v>
      </c>
      <c r="AZ174">
        <f>IF(OR(Расчёты!F174=0,N('Исходные данные'!$B$5)=0,AY174=0),0,N('Исходные данные'!$B$5)*AY174*IF(AND(B174&lt;='Исходные данные'!$B$30,Расчёты!C174&gt;='Исходные данные'!$B$30),(Расчёты!C174-'Исходные данные'!$B$30+1)/DAY(Расчёты!C174),1))</f>
        <v>0</v>
      </c>
      <c r="BA174">
        <f>IF(AND(Расчёты!F174&gt;0,Расчёты!F174&lt;=N('Исходные данные'!$B$37)),-AZ174,0)</f>
        <v>0</v>
      </c>
      <c r="BB174">
        <f>IF(OR(Расчёты!F174=0,Расчёты!F174&lt;=N('Исходные данные'!$B$37)),0,-(AZ174+BA174)*N('Сценарный анализ'!$D$9))</f>
        <v>0</v>
      </c>
      <c r="BC174">
        <f t="shared" si="107"/>
        <v>0</v>
      </c>
      <c r="BD174">
        <f>IF('Исходные данные'!$B$51="Да",BC174*N('Исходные данные'!$B$52),0)</f>
        <v>0</v>
      </c>
      <c r="BE174">
        <f t="shared" si="108"/>
        <v>0</v>
      </c>
      <c r="BF174">
        <f>BC174+(Расчёты!Y174-Расчёты!L174)</f>
        <v>0</v>
      </c>
      <c r="BG174">
        <f t="shared" si="115"/>
        <v>0</v>
      </c>
      <c r="BH174">
        <f>IF('Исходные данные'!$B$51="Да",-MAX(0,BD174+Расчёты!R174+Расчёты!V174-Расчёты!P174-Расчёты!T174-BG174),0)</f>
        <v>0</v>
      </c>
      <c r="BI174">
        <f>IF('Исходные данные'!$B$51="Да",MAX(0,BG174+Расчёты!P174+Расчёты!T174-BD174-Расчёты!R174-Расчёты!V174),0)</f>
        <v>0</v>
      </c>
      <c r="BJ174">
        <f>IF('Исходные данные'!$B$53="Выручка",MAX(0,BC174+(Расчёты!Q174-Расчёты!R174)+(Расчёты!U174-Расчёты!V174)),IF('Исходные данные'!$B$53="Прибыль до налога",MAX(0,BC174+(Расчёты!Q174-Расчёты!R174)+(Расчёты!U174-Расчёты!V174)+N('Исходные данные'!$B$54)*((Расчёты!O174+Расчёты!P174)+(Расчёты!S174+Расчёты!T174)+Расчёты!W174+Расчёты!X174)+IF('Исходные данные'!$B$55="Да",Расчёты!AG174,0)-N('Исходные данные'!$B$56)/12),IF('Исходные данные'!$B$53="Пользовательская база",MAX(0,N('Исходные данные'!$B$57)/12),0)))</f>
        <v>0</v>
      </c>
      <c r="BK174">
        <f>IF(D174=1,-BJ174*N('Исходные данные'!$B$50),0)</f>
        <v>0</v>
      </c>
      <c r="BL174">
        <f t="shared" si="109"/>
        <v>0</v>
      </c>
      <c r="BM174">
        <f>IF(OR(D174&lt;&gt;1,B174="",'Исходные данные'!$B$91="",N('Исходные данные'!$B$80)&lt;=0,'Исходные данные'!$B$88=""),0,IF(AND(YEAR(B174)=YEAR('Исходные данные'!$B$91),MONTH(B174)=MONTH('Исходные данные'!$B$91)),MAX(0,IF('Исходные данные'!$B$88="Последние 12 месяцев",SUMIFS($BF$2:$BF$194,$B$2:$B$194,"&gt;="&amp;EDATE(B174,-11),$B$2:$B$194,"&lt;="&amp;B174),IF('Исходные данные'!$B$88="Пользовательский NOI",N('Исходные данные'!$B$89),BL174))/N('Исходные данные'!$B$80)*(1+N('Исходные данные'!$B$81))),0))</f>
        <v>0</v>
      </c>
      <c r="BN174">
        <f>-BM174*N('Исходные данные'!$B$73)</f>
        <v>0</v>
      </c>
      <c r="BO174">
        <f>IF(BM174=0,0,-N('Исходные данные'!$B$87)-IF('Исходные данные'!$B$82="Да",IF('Исходные данные'!$B$84="С выручки",BM174,IF('Исходные данные'!$B$84="С прибыли",MAX(0,BM174+BN174-IF('Исходные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74">
        <f t="shared" si="110"/>
        <v>0</v>
      </c>
      <c r="BQ174">
        <f>IF(D174=1,Расчёты!AZ174+BE174+BH174+BK174+BP174,0)</f>
        <v>0</v>
      </c>
      <c r="BR174" t="str">
        <f t="shared" si="116"/>
        <v/>
      </c>
      <c r="BS174">
        <f>IF(OR(D174=0,'Исходные данные'!$B$9="",'Исходные данные'!$B$90=""),0,BQ174/(1+'Исходные данные'!$B$90)^((C174-'Исходные данные'!$B$9)/365))</f>
        <v>0</v>
      </c>
      <c r="BT174">
        <f>IF(D174=1,BE174+Расчёты!O174+Расчёты!Q174+Расчёты!S174+Расчёты!U174+Расчёты!W174+Расчёты!X174+BH174+BK174,0)</f>
        <v>0</v>
      </c>
      <c r="BU174">
        <f>IF(AND(D174=1,BR174&gt;=0,BR173&lt;0,MIN($BR$2:BR174)&lt;0),1,0)</f>
        <v>0</v>
      </c>
      <c r="BV174">
        <f>Расчёты!AZ174+K174+N174-P174*N('Исходные данные'!$B$50)</f>
        <v>0</v>
      </c>
      <c r="BW174">
        <f t="shared" si="96"/>
        <v>0</v>
      </c>
      <c r="BX174">
        <f>IF(AND(BW174&gt;=0,BW173&lt;0,MIN($BW$2:BW174)&lt;0),1,0)</f>
        <v>0</v>
      </c>
      <c r="BY174">
        <f>Расчёты!AZ174+AH174+AK174-AM174*N('Исходные данные'!$B$50)</f>
        <v>0</v>
      </c>
      <c r="BZ174">
        <f t="shared" si="97"/>
        <v>0</v>
      </c>
      <c r="CA174">
        <f>IF(AND(BZ174&gt;=0,BZ173&lt;0,MIN($BZ$2:BZ174)&lt;0),1,0)</f>
        <v>0</v>
      </c>
      <c r="CB174">
        <f>Расчёты!AZ174+BE174+BH174-BJ174*N('Исходные данные'!$B$50)</f>
        <v>0</v>
      </c>
      <c r="CC174">
        <f t="shared" si="98"/>
        <v>0</v>
      </c>
      <c r="CD174">
        <f>IF(AND(CC174&gt;=0,CC173&lt;0,MIN($CC$2:CC174)&lt;0),1,0)</f>
        <v>0</v>
      </c>
    </row>
    <row r="175" spans="1:82" x14ac:dyDescent="0.2">
      <c r="A175">
        <f>Расчёты!A175</f>
        <v>174</v>
      </c>
      <c r="B175" t="str">
        <f>Расчёты!B175</f>
        <v/>
      </c>
      <c r="C175" t="str">
        <f>Расчёты!D175</f>
        <v/>
      </c>
      <c r="D175">
        <f>Расчёты!E175</f>
        <v>0</v>
      </c>
      <c r="E175">
        <f>IF(Расчёты!F175=0,0,IF(Расчёты!G175=1,N('Сценарный анализ'!$B$5),IF(Расчёты!G175=2,N('Сценарный анализ'!$B$6),IF(Расчёты!G175=3,N('Сценарный анализ'!$B$7),N('Сценарный анализ'!$B$7)*(1+N('Сценарный анализ'!$B$8))^(Расчёты!G175-3)))))</f>
        <v>0</v>
      </c>
      <c r="F175">
        <f>IF(OR(Расчёты!F175=0,N('Исходные данные'!$B$5)=0,E175=0),0,N('Исходные данные'!$B$5)*E175*IF(AND(B175&lt;='Исходные данные'!$B$30,Расчёты!C175&gt;='Исходные данные'!$B$30),(Расчёты!C175-'Исходные данные'!$B$30+1)/DAY(Расчёты!C175),1))</f>
        <v>0</v>
      </c>
      <c r="G175">
        <f>IF(AND(Расчёты!F175&gt;0,Расчёты!F175&lt;=N('Исходные данные'!$B$37)),-F175,0)</f>
        <v>0</v>
      </c>
      <c r="H175">
        <f>IF(OR(Расчёты!F175=0,Расчёты!F175&lt;=N('Исходные данные'!$B$37)),0,-(F175+G175)*N('Сценарный анализ'!$B$9))</f>
        <v>0</v>
      </c>
      <c r="I175">
        <f t="shared" si="99"/>
        <v>0</v>
      </c>
      <c r="J175">
        <f>IF('Исходные данные'!$B$51="Да",I175*N('Исходные данные'!$B$52),0)</f>
        <v>0</v>
      </c>
      <c r="K175">
        <f t="shared" si="100"/>
        <v>0</v>
      </c>
      <c r="L175">
        <f>I175+(Расчёты!Y175-Расчёты!L175)</f>
        <v>0</v>
      </c>
      <c r="M175">
        <f t="shared" si="111"/>
        <v>0</v>
      </c>
      <c r="N175">
        <f>IF('Исходные данные'!$B$51="Да",-MAX(0,J175+Расчёты!R175+Расчёты!V175-Расчёты!P175-Расчёты!T175-M175),0)</f>
        <v>0</v>
      </c>
      <c r="O175">
        <f>IF('Исходные данные'!$B$51="Да",MAX(0,M175+Расчёты!P175+Расчёты!T175-J175-Расчёты!R175-Расчёты!V175),0)</f>
        <v>0</v>
      </c>
      <c r="P175">
        <f>IF('Исходные данные'!$B$53="Выручка",MAX(0,I175+(Расчёты!Q175-Расчёты!R175)+(Расчёты!U175-Расчёты!V175)),IF('Исходные данные'!$B$53="Прибыль до налога",MAX(0,I175+(Расчёты!Q175-Расчёты!R175)+(Расчёты!U175-Расчёты!V175)+N('Исходные данные'!$B$54)*((Расчёты!O175+Расчёты!P175)+(Расчёты!S175+Расчёты!T175)+Расчёты!W175+Расчёты!X175)+IF('Исходные данные'!$B$55="Да",Расчёты!AG175,0)-N('Исходные данные'!$B$56)/12),IF('Исходные данные'!$B$53="Пользовательская база",MAX(0,N('Исходные данные'!$B$57)/12),0)))</f>
        <v>0</v>
      </c>
      <c r="Q175">
        <f>IF(D175=1,-P175*N('Исходные данные'!$B$50),0)</f>
        <v>0</v>
      </c>
      <c r="R175">
        <f t="shared" si="101"/>
        <v>0</v>
      </c>
      <c r="S175">
        <f>IF(OR(D175&lt;&gt;1,B175="",'Исходные данные'!$B$91="",N('Исходные данные'!$B$80)&lt;=0,'Исходные данные'!$B$88=""),0,IF(AND(YEAR(B175)=YEAR('Исходные данные'!$B$91),MONTH(B175)=MONTH('Исходные данные'!$B$91)),MAX(0,IF('Исходные данные'!$B$88="Последние 12 месяцев",SUMIFS($L$2:$L$194,$B$2:$B$194,"&gt;="&amp;EDATE(B175,-11),$B$2:$B$194,"&lt;="&amp;B175),IF('Исходные данные'!$B$88="Пользовательский NOI",N('Исходные данные'!$B$89),R175))/N('Исходные данные'!$B$80)*(1+N('Исходные данные'!$B$81))),0))</f>
        <v>0</v>
      </c>
      <c r="T175">
        <f>-S175*N('Исходные данные'!$B$73)</f>
        <v>0</v>
      </c>
      <c r="U175">
        <f>IF(S175=0,0,-N('Исходные данные'!$B$87)-IF('Исходные данные'!$B$82="Да",IF('Исходные данные'!$B$84="С выручки",S175,IF('Исходные данные'!$B$84="С прибыли",MAX(0,S175+T175-IF('Исходные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75">
        <f t="shared" si="102"/>
        <v>0</v>
      </c>
      <c r="W175">
        <f>IF(D175=1,Расчёты!AZ175+K175+N175+Q175+V175,0)</f>
        <v>0</v>
      </c>
      <c r="X175" t="str">
        <f t="shared" si="112"/>
        <v/>
      </c>
      <c r="Y175">
        <f>IF(OR(D175=0,'Исходные данные'!$B$9="",'Исходные данные'!$B$90=""),0,W175/(1+'Исходные данные'!$B$90)^((C175-'Исходные данные'!$B$9)/365))</f>
        <v>0</v>
      </c>
      <c r="Z175">
        <f>IF(D175=1,K175+Расчёты!O175+Расчёты!Q175+Расчёты!S175+Расчёты!U175+Расчёты!W175+Расчёты!X175+N175+Q175,0)</f>
        <v>0</v>
      </c>
      <c r="AA175">
        <f>IF(AND(D175=1,X175&gt;=0,X174&lt;0,MIN($X$2:X175)&lt;0),1,0)</f>
        <v>0</v>
      </c>
      <c r="AB175">
        <f>IF(Расчёты!F175=0,0,IF(Расчёты!G175=1,N('Сценарный анализ'!$C$5),IF(Расчёты!G175=2,N('Сценарный анализ'!$C$6),IF(Расчёты!G175=3,N('Сценарный анализ'!$C$7),N('Сценарный анализ'!$C$7)*(1+N('Сценарный анализ'!$C$8))^(Расчёты!G175-3)))))</f>
        <v>0</v>
      </c>
      <c r="AC175">
        <f>IF(OR(Расчёты!F175=0,N('Исходные данные'!$B$5)=0,AB175=0),0,N('Исходные данные'!$B$5)*AB175*IF(AND(B175&lt;='Исходные данные'!$B$30,Расчёты!C175&gt;='Исходные данные'!$B$30),(Расчёты!C175-'Исходные данные'!$B$30+1)/DAY(Расчёты!C175),1))</f>
        <v>0</v>
      </c>
      <c r="AD175">
        <f>IF(AND(Расчёты!F175&gt;0,Расчёты!F175&lt;=N('Исходные данные'!$B$37)),-AC175,0)</f>
        <v>0</v>
      </c>
      <c r="AE175">
        <f>IF(OR(Расчёты!F175=0,Расчёты!F175&lt;=N('Исходные данные'!$B$37)),0,-(AC175+AD175)*N('Сценарный анализ'!$C$9))</f>
        <v>0</v>
      </c>
      <c r="AF175">
        <f t="shared" si="103"/>
        <v>0</v>
      </c>
      <c r="AG175">
        <f>IF('Исходные данные'!$B$51="Да",AF175*N('Исходные данные'!$B$52),0)</f>
        <v>0</v>
      </c>
      <c r="AH175">
        <f t="shared" si="104"/>
        <v>0</v>
      </c>
      <c r="AI175">
        <f>AF175+(Расчёты!Y175-Расчёты!L175)</f>
        <v>0</v>
      </c>
      <c r="AJ175">
        <f t="shared" si="113"/>
        <v>0</v>
      </c>
      <c r="AK175">
        <f>IF('Исходные данные'!$B$51="Да",-MAX(0,AG175+Расчёты!R175+Расчёты!V175-Расчёты!P175-Расчёты!T175-AJ175),0)</f>
        <v>0</v>
      </c>
      <c r="AL175">
        <f>IF('Исходные данные'!$B$51="Да",MAX(0,AJ175+Расчёты!P175+Расчёты!T175-AG175-Расчёты!R175-Расчёты!V175),0)</f>
        <v>0</v>
      </c>
      <c r="AM175">
        <f>IF('Исходные данные'!$B$53="Выручка",MAX(0,AF175+(Расчёты!Q175-Расчёты!R175)+(Расчёты!U175-Расчёты!V175)),IF('Исходные данные'!$B$53="Прибыль до налога",MAX(0,AF175+(Расчёты!Q175-Расчёты!R175)+(Расчёты!U175-Расчёты!V175)+N('Исходные данные'!$B$54)*((Расчёты!O175+Расчёты!P175)+(Расчёты!S175+Расчёты!T175)+Расчёты!W175+Расчёты!X175)+IF('Исходные данные'!$B$55="Да",Расчёты!AG175,0)-N('Исходные данные'!$B$56)/12),IF('Исходные данные'!$B$53="Пользовательская база",MAX(0,N('Исходные данные'!$B$57)/12),0)))</f>
        <v>0</v>
      </c>
      <c r="AN175">
        <f>IF(D175=1,-AM175*N('Исходные данные'!$B$50),0)</f>
        <v>0</v>
      </c>
      <c r="AO175">
        <f t="shared" si="105"/>
        <v>0</v>
      </c>
      <c r="AP175">
        <f>IF(OR(D175&lt;&gt;1,B175="",'Исходные данные'!$B$91="",N('Исходные данные'!$B$80)&lt;=0,'Исходные данные'!$B$88=""),0,IF(AND(YEAR(B175)=YEAR('Исходные данные'!$B$91),MONTH(B175)=MONTH('Исходные данные'!$B$91)),MAX(0,IF('Исходные данные'!$B$88="Последние 12 месяцев",SUMIFS($AI$2:$AI$194,$B$2:$B$194,"&gt;="&amp;EDATE(B175,-11),$B$2:$B$194,"&lt;="&amp;B175),IF('Исходные данные'!$B$88="Пользовательский NOI",N('Исходные данные'!$B$89),AO175))/N('Исходные данные'!$B$80)*(1+N('Исходные данные'!$B$81))),0))</f>
        <v>0</v>
      </c>
      <c r="AQ175">
        <f>-AP175*N('Исходные данные'!$B$73)</f>
        <v>0</v>
      </c>
      <c r="AR175">
        <f>IF(AP175=0,0,-N('Исходные данные'!$B$87)-IF('Исходные данные'!$B$82="Да",IF('Исходные данные'!$B$84="С выручки",AP175,IF('Исходные данные'!$B$84="С прибыли",MAX(0,AP175+AQ175-IF('Исходные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75">
        <f t="shared" si="106"/>
        <v>0</v>
      </c>
      <c r="AT175">
        <f>IF(D175=1,Расчёты!AZ175+AH175+AK175+AN175+AS175,0)</f>
        <v>0</v>
      </c>
      <c r="AU175" t="str">
        <f t="shared" si="114"/>
        <v/>
      </c>
      <c r="AV175">
        <f>IF(OR(D175=0,'Исходные данные'!$B$9="",'Исходные данные'!$B$90=""),0,AT175/(1+'Исходные данные'!$B$90)^((C175-'Исходные данные'!$B$9)/365))</f>
        <v>0</v>
      </c>
      <c r="AW175">
        <f>IF(D175=1,AH175+Расчёты!O175+Расчёты!Q175+Расчёты!S175+Расчёты!U175+Расчёты!W175+Расчёты!X175+AK175+AN175,0)</f>
        <v>0</v>
      </c>
      <c r="AX175">
        <f>IF(AND(D175=1,AU175&gt;=0,AU174&lt;0,MIN($AU$2:AU175)&lt;0),1,0)</f>
        <v>0</v>
      </c>
      <c r="AY175">
        <f>IF(Расчёты!F175=0,0,IF(Расчёты!G175=1,N('Сценарный анализ'!$D$5),IF(Расчёты!G175=2,N('Сценарный анализ'!$D$6),IF(Расчёты!G175=3,N('Сценарный анализ'!$D$7),N('Сценарный анализ'!$D$7)*(1+N('Сценарный анализ'!$D$8))^(Расчёты!G175-3)))))</f>
        <v>0</v>
      </c>
      <c r="AZ175">
        <f>IF(OR(Расчёты!F175=0,N('Исходные данные'!$B$5)=0,AY175=0),0,N('Исходные данные'!$B$5)*AY175*IF(AND(B175&lt;='Исходные данные'!$B$30,Расчёты!C175&gt;='Исходные данные'!$B$30),(Расчёты!C175-'Исходные данные'!$B$30+1)/DAY(Расчёты!C175),1))</f>
        <v>0</v>
      </c>
      <c r="BA175">
        <f>IF(AND(Расчёты!F175&gt;0,Расчёты!F175&lt;=N('Исходные данные'!$B$37)),-AZ175,0)</f>
        <v>0</v>
      </c>
      <c r="BB175">
        <f>IF(OR(Расчёты!F175=0,Расчёты!F175&lt;=N('Исходные данные'!$B$37)),0,-(AZ175+BA175)*N('Сценарный анализ'!$D$9))</f>
        <v>0</v>
      </c>
      <c r="BC175">
        <f t="shared" si="107"/>
        <v>0</v>
      </c>
      <c r="BD175">
        <f>IF('Исходные данные'!$B$51="Да",BC175*N('Исходные данные'!$B$52),0)</f>
        <v>0</v>
      </c>
      <c r="BE175">
        <f t="shared" si="108"/>
        <v>0</v>
      </c>
      <c r="BF175">
        <f>BC175+(Расчёты!Y175-Расчёты!L175)</f>
        <v>0</v>
      </c>
      <c r="BG175">
        <f t="shared" si="115"/>
        <v>0</v>
      </c>
      <c r="BH175">
        <f>IF('Исходные данные'!$B$51="Да",-MAX(0,BD175+Расчёты!R175+Расчёты!V175-Расчёты!P175-Расчёты!T175-BG175),0)</f>
        <v>0</v>
      </c>
      <c r="BI175">
        <f>IF('Исходные данные'!$B$51="Да",MAX(0,BG175+Расчёты!P175+Расчёты!T175-BD175-Расчёты!R175-Расчёты!V175),0)</f>
        <v>0</v>
      </c>
      <c r="BJ175">
        <f>IF('Исходные данные'!$B$53="Выручка",MAX(0,BC175+(Расчёты!Q175-Расчёты!R175)+(Расчёты!U175-Расчёты!V175)),IF('Исходные данные'!$B$53="Прибыль до налога",MAX(0,BC175+(Расчёты!Q175-Расчёты!R175)+(Расчёты!U175-Расчёты!V175)+N('Исходные данные'!$B$54)*((Расчёты!O175+Расчёты!P175)+(Расчёты!S175+Расчёты!T175)+Расчёты!W175+Расчёты!X175)+IF('Исходные данные'!$B$55="Да",Расчёты!AG175,0)-N('Исходные данные'!$B$56)/12),IF('Исходные данные'!$B$53="Пользовательская база",MAX(0,N('Исходные данные'!$B$57)/12),0)))</f>
        <v>0</v>
      </c>
      <c r="BK175">
        <f>IF(D175=1,-BJ175*N('Исходные данные'!$B$50),0)</f>
        <v>0</v>
      </c>
      <c r="BL175">
        <f t="shared" si="109"/>
        <v>0</v>
      </c>
      <c r="BM175">
        <f>IF(OR(D175&lt;&gt;1,B175="",'Исходные данные'!$B$91="",N('Исходные данные'!$B$80)&lt;=0,'Исходные данные'!$B$88=""),0,IF(AND(YEAR(B175)=YEAR('Исходные данные'!$B$91),MONTH(B175)=MONTH('Исходные данные'!$B$91)),MAX(0,IF('Исходные данные'!$B$88="Последние 12 месяцев",SUMIFS($BF$2:$BF$194,$B$2:$B$194,"&gt;="&amp;EDATE(B175,-11),$B$2:$B$194,"&lt;="&amp;B175),IF('Исходные данные'!$B$88="Пользовательский NOI",N('Исходные данные'!$B$89),BL175))/N('Исходные данные'!$B$80)*(1+N('Исходные данные'!$B$81))),0))</f>
        <v>0</v>
      </c>
      <c r="BN175">
        <f>-BM175*N('Исходные данные'!$B$73)</f>
        <v>0</v>
      </c>
      <c r="BO175">
        <f>IF(BM175=0,0,-N('Исходные данные'!$B$87)-IF('Исходные данные'!$B$82="Да",IF('Исходные данные'!$B$84="С выручки",BM175,IF('Исходные данные'!$B$84="С прибыли",MAX(0,BM175+BN175-IF('Исходные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75">
        <f t="shared" si="110"/>
        <v>0</v>
      </c>
      <c r="BQ175">
        <f>IF(D175=1,Расчёты!AZ175+BE175+BH175+BK175+BP175,0)</f>
        <v>0</v>
      </c>
      <c r="BR175" t="str">
        <f t="shared" si="116"/>
        <v/>
      </c>
      <c r="BS175">
        <f>IF(OR(D175=0,'Исходные данные'!$B$9="",'Исходные данные'!$B$90=""),0,BQ175/(1+'Исходные данные'!$B$90)^((C175-'Исходные данные'!$B$9)/365))</f>
        <v>0</v>
      </c>
      <c r="BT175">
        <f>IF(D175=1,BE175+Расчёты!O175+Расчёты!Q175+Расчёты!S175+Расчёты!U175+Расчёты!W175+Расчёты!X175+BH175+BK175,0)</f>
        <v>0</v>
      </c>
      <c r="BU175">
        <f>IF(AND(D175=1,BR175&gt;=0,BR174&lt;0,MIN($BR$2:BR175)&lt;0),1,0)</f>
        <v>0</v>
      </c>
      <c r="BV175">
        <f>Расчёты!AZ175+K175+N175-P175*N('Исходные данные'!$B$50)</f>
        <v>0</v>
      </c>
      <c r="BW175">
        <f t="shared" si="96"/>
        <v>0</v>
      </c>
      <c r="BX175">
        <f>IF(AND(BW175&gt;=0,BW174&lt;0,MIN($BW$2:BW175)&lt;0),1,0)</f>
        <v>0</v>
      </c>
      <c r="BY175">
        <f>Расчёты!AZ175+AH175+AK175-AM175*N('Исходные данные'!$B$50)</f>
        <v>0</v>
      </c>
      <c r="BZ175">
        <f t="shared" si="97"/>
        <v>0</v>
      </c>
      <c r="CA175">
        <f>IF(AND(BZ175&gt;=0,BZ174&lt;0,MIN($BZ$2:BZ175)&lt;0),1,0)</f>
        <v>0</v>
      </c>
      <c r="CB175">
        <f>Расчёты!AZ175+BE175+BH175-BJ175*N('Исходные данные'!$B$50)</f>
        <v>0</v>
      </c>
      <c r="CC175">
        <f t="shared" si="98"/>
        <v>0</v>
      </c>
      <c r="CD175">
        <f>IF(AND(CC175&gt;=0,CC174&lt;0,MIN($CC$2:CC175)&lt;0),1,0)</f>
        <v>0</v>
      </c>
    </row>
    <row r="176" spans="1:82" x14ac:dyDescent="0.2">
      <c r="A176">
        <f>Расчёты!A176</f>
        <v>175</v>
      </c>
      <c r="B176" t="str">
        <f>Расчёты!B176</f>
        <v/>
      </c>
      <c r="C176" t="str">
        <f>Расчёты!D176</f>
        <v/>
      </c>
      <c r="D176">
        <f>Расчёты!E176</f>
        <v>0</v>
      </c>
      <c r="E176">
        <f>IF(Расчёты!F176=0,0,IF(Расчёты!G176=1,N('Сценарный анализ'!$B$5),IF(Расчёты!G176=2,N('Сценарный анализ'!$B$6),IF(Расчёты!G176=3,N('Сценарный анализ'!$B$7),N('Сценарный анализ'!$B$7)*(1+N('Сценарный анализ'!$B$8))^(Расчёты!G176-3)))))</f>
        <v>0</v>
      </c>
      <c r="F176">
        <f>IF(OR(Расчёты!F176=0,N('Исходные данные'!$B$5)=0,E176=0),0,N('Исходные данные'!$B$5)*E176*IF(AND(B176&lt;='Исходные данные'!$B$30,Расчёты!C176&gt;='Исходные данные'!$B$30),(Расчёты!C176-'Исходные данные'!$B$30+1)/DAY(Расчёты!C176),1))</f>
        <v>0</v>
      </c>
      <c r="G176">
        <f>IF(AND(Расчёты!F176&gt;0,Расчёты!F176&lt;=N('Исходные данные'!$B$37)),-F176,0)</f>
        <v>0</v>
      </c>
      <c r="H176">
        <f>IF(OR(Расчёты!F176=0,Расчёты!F176&lt;=N('Исходные данные'!$B$37)),0,-(F176+G176)*N('Сценарный анализ'!$B$9))</f>
        <v>0</v>
      </c>
      <c r="I176">
        <f t="shared" si="99"/>
        <v>0</v>
      </c>
      <c r="J176">
        <f>IF('Исходные данные'!$B$51="Да",I176*N('Исходные данные'!$B$52),0)</f>
        <v>0</v>
      </c>
      <c r="K176">
        <f t="shared" si="100"/>
        <v>0</v>
      </c>
      <c r="L176">
        <f>I176+(Расчёты!Y176-Расчёты!L176)</f>
        <v>0</v>
      </c>
      <c r="M176">
        <f t="shared" si="111"/>
        <v>0</v>
      </c>
      <c r="N176">
        <f>IF('Исходные данные'!$B$51="Да",-MAX(0,J176+Расчёты!R176+Расчёты!V176-Расчёты!P176-Расчёты!T176-M176),0)</f>
        <v>0</v>
      </c>
      <c r="O176">
        <f>IF('Исходные данные'!$B$51="Да",MAX(0,M176+Расчёты!P176+Расчёты!T176-J176-Расчёты!R176-Расчёты!V176),0)</f>
        <v>0</v>
      </c>
      <c r="P176">
        <f>IF('Исходные данные'!$B$53="Выручка",MAX(0,I176+(Расчёты!Q176-Расчёты!R176)+(Расчёты!U176-Расчёты!V176)),IF('Исходные данные'!$B$53="Прибыль до налога",MAX(0,I176+(Расчёты!Q176-Расчёты!R176)+(Расчёты!U176-Расчёты!V176)+N('Исходные данные'!$B$54)*((Расчёты!O176+Расчёты!P176)+(Расчёты!S176+Расчёты!T176)+Расчёты!W176+Расчёты!X176)+IF('Исходные данные'!$B$55="Да",Расчёты!AG176,0)-N('Исходные данные'!$B$56)/12),IF('Исходные данные'!$B$53="Пользовательская база",MAX(0,N('Исходные данные'!$B$57)/12),0)))</f>
        <v>0</v>
      </c>
      <c r="Q176">
        <f>IF(D176=1,-P176*N('Исходные данные'!$B$50),0)</f>
        <v>0</v>
      </c>
      <c r="R176">
        <f t="shared" si="101"/>
        <v>0</v>
      </c>
      <c r="S176">
        <f>IF(OR(D176&lt;&gt;1,B176="",'Исходные данные'!$B$91="",N('Исходные данные'!$B$80)&lt;=0,'Исходные данные'!$B$88=""),0,IF(AND(YEAR(B176)=YEAR('Исходные данные'!$B$91),MONTH(B176)=MONTH('Исходные данные'!$B$91)),MAX(0,IF('Исходные данные'!$B$88="Последние 12 месяцев",SUMIFS($L$2:$L$194,$B$2:$B$194,"&gt;="&amp;EDATE(B176,-11),$B$2:$B$194,"&lt;="&amp;B176),IF('Исходные данные'!$B$88="Пользовательский NOI",N('Исходные данные'!$B$89),R176))/N('Исходные данные'!$B$80)*(1+N('Исходные данные'!$B$81))),0))</f>
        <v>0</v>
      </c>
      <c r="T176">
        <f>-S176*N('Исходные данные'!$B$73)</f>
        <v>0</v>
      </c>
      <c r="U176">
        <f>IF(S176=0,0,-N('Исходные данные'!$B$87)-IF('Исходные данные'!$B$82="Да",IF('Исходные данные'!$B$84="С выручки",S176,IF('Исходные данные'!$B$84="С прибыли",MAX(0,S176+T176-IF('Исходные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76">
        <f t="shared" si="102"/>
        <v>0</v>
      </c>
      <c r="W176">
        <f>IF(D176=1,Расчёты!AZ176+K176+N176+Q176+V176,0)</f>
        <v>0</v>
      </c>
      <c r="X176" t="str">
        <f t="shared" si="112"/>
        <v/>
      </c>
      <c r="Y176">
        <f>IF(OR(D176=0,'Исходные данные'!$B$9="",'Исходные данные'!$B$90=""),0,W176/(1+'Исходные данные'!$B$90)^((C176-'Исходные данные'!$B$9)/365))</f>
        <v>0</v>
      </c>
      <c r="Z176">
        <f>IF(D176=1,K176+Расчёты!O176+Расчёты!Q176+Расчёты!S176+Расчёты!U176+Расчёты!W176+Расчёты!X176+N176+Q176,0)</f>
        <v>0</v>
      </c>
      <c r="AA176">
        <f>IF(AND(D176=1,X176&gt;=0,X175&lt;0,MIN($X$2:X176)&lt;0),1,0)</f>
        <v>0</v>
      </c>
      <c r="AB176">
        <f>IF(Расчёты!F176=0,0,IF(Расчёты!G176=1,N('Сценарный анализ'!$C$5),IF(Расчёты!G176=2,N('Сценарный анализ'!$C$6),IF(Расчёты!G176=3,N('Сценарный анализ'!$C$7),N('Сценарный анализ'!$C$7)*(1+N('Сценарный анализ'!$C$8))^(Расчёты!G176-3)))))</f>
        <v>0</v>
      </c>
      <c r="AC176">
        <f>IF(OR(Расчёты!F176=0,N('Исходные данные'!$B$5)=0,AB176=0),0,N('Исходные данные'!$B$5)*AB176*IF(AND(B176&lt;='Исходные данные'!$B$30,Расчёты!C176&gt;='Исходные данные'!$B$30),(Расчёты!C176-'Исходные данные'!$B$30+1)/DAY(Расчёты!C176),1))</f>
        <v>0</v>
      </c>
      <c r="AD176">
        <f>IF(AND(Расчёты!F176&gt;0,Расчёты!F176&lt;=N('Исходные данные'!$B$37)),-AC176,0)</f>
        <v>0</v>
      </c>
      <c r="AE176">
        <f>IF(OR(Расчёты!F176=0,Расчёты!F176&lt;=N('Исходные данные'!$B$37)),0,-(AC176+AD176)*N('Сценарный анализ'!$C$9))</f>
        <v>0</v>
      </c>
      <c r="AF176">
        <f t="shared" si="103"/>
        <v>0</v>
      </c>
      <c r="AG176">
        <f>IF('Исходные данные'!$B$51="Да",AF176*N('Исходные данные'!$B$52),0)</f>
        <v>0</v>
      </c>
      <c r="AH176">
        <f t="shared" si="104"/>
        <v>0</v>
      </c>
      <c r="AI176">
        <f>AF176+(Расчёты!Y176-Расчёты!L176)</f>
        <v>0</v>
      </c>
      <c r="AJ176">
        <f t="shared" si="113"/>
        <v>0</v>
      </c>
      <c r="AK176">
        <f>IF('Исходные данные'!$B$51="Да",-MAX(0,AG176+Расчёты!R176+Расчёты!V176-Расчёты!P176-Расчёты!T176-AJ176),0)</f>
        <v>0</v>
      </c>
      <c r="AL176">
        <f>IF('Исходные данные'!$B$51="Да",MAX(0,AJ176+Расчёты!P176+Расчёты!T176-AG176-Расчёты!R176-Расчёты!V176),0)</f>
        <v>0</v>
      </c>
      <c r="AM176">
        <f>IF('Исходные данные'!$B$53="Выручка",MAX(0,AF176+(Расчёты!Q176-Расчёты!R176)+(Расчёты!U176-Расчёты!V176)),IF('Исходные данные'!$B$53="Прибыль до налога",MAX(0,AF176+(Расчёты!Q176-Расчёты!R176)+(Расчёты!U176-Расчёты!V176)+N('Исходные данные'!$B$54)*((Расчёты!O176+Расчёты!P176)+(Расчёты!S176+Расчёты!T176)+Расчёты!W176+Расчёты!X176)+IF('Исходные данные'!$B$55="Да",Расчёты!AG176,0)-N('Исходные данные'!$B$56)/12),IF('Исходные данные'!$B$53="Пользовательская база",MAX(0,N('Исходные данные'!$B$57)/12),0)))</f>
        <v>0</v>
      </c>
      <c r="AN176">
        <f>IF(D176=1,-AM176*N('Исходные данные'!$B$50),0)</f>
        <v>0</v>
      </c>
      <c r="AO176">
        <f t="shared" si="105"/>
        <v>0</v>
      </c>
      <c r="AP176">
        <f>IF(OR(D176&lt;&gt;1,B176="",'Исходные данные'!$B$91="",N('Исходные данные'!$B$80)&lt;=0,'Исходные данные'!$B$88=""),0,IF(AND(YEAR(B176)=YEAR('Исходные данные'!$B$91),MONTH(B176)=MONTH('Исходные данные'!$B$91)),MAX(0,IF('Исходные данные'!$B$88="Последние 12 месяцев",SUMIFS($AI$2:$AI$194,$B$2:$B$194,"&gt;="&amp;EDATE(B176,-11),$B$2:$B$194,"&lt;="&amp;B176),IF('Исходные данные'!$B$88="Пользовательский NOI",N('Исходные данные'!$B$89),AO176))/N('Исходные данные'!$B$80)*(1+N('Исходные данные'!$B$81))),0))</f>
        <v>0</v>
      </c>
      <c r="AQ176">
        <f>-AP176*N('Исходные данные'!$B$73)</f>
        <v>0</v>
      </c>
      <c r="AR176">
        <f>IF(AP176=0,0,-N('Исходные данные'!$B$87)-IF('Исходные данные'!$B$82="Да",IF('Исходные данные'!$B$84="С выручки",AP176,IF('Исходные данные'!$B$84="С прибыли",MAX(0,AP176+AQ176-IF('Исходные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76">
        <f t="shared" si="106"/>
        <v>0</v>
      </c>
      <c r="AT176">
        <f>IF(D176=1,Расчёты!AZ176+AH176+AK176+AN176+AS176,0)</f>
        <v>0</v>
      </c>
      <c r="AU176" t="str">
        <f t="shared" si="114"/>
        <v/>
      </c>
      <c r="AV176">
        <f>IF(OR(D176=0,'Исходные данные'!$B$9="",'Исходные данные'!$B$90=""),0,AT176/(1+'Исходные данные'!$B$90)^((C176-'Исходные данные'!$B$9)/365))</f>
        <v>0</v>
      </c>
      <c r="AW176">
        <f>IF(D176=1,AH176+Расчёты!O176+Расчёты!Q176+Расчёты!S176+Расчёты!U176+Расчёты!W176+Расчёты!X176+AK176+AN176,0)</f>
        <v>0</v>
      </c>
      <c r="AX176">
        <f>IF(AND(D176=1,AU176&gt;=0,AU175&lt;0,MIN($AU$2:AU176)&lt;0),1,0)</f>
        <v>0</v>
      </c>
      <c r="AY176">
        <f>IF(Расчёты!F176=0,0,IF(Расчёты!G176=1,N('Сценарный анализ'!$D$5),IF(Расчёты!G176=2,N('Сценарный анализ'!$D$6),IF(Расчёты!G176=3,N('Сценарный анализ'!$D$7),N('Сценарный анализ'!$D$7)*(1+N('Сценарный анализ'!$D$8))^(Расчёты!G176-3)))))</f>
        <v>0</v>
      </c>
      <c r="AZ176">
        <f>IF(OR(Расчёты!F176=0,N('Исходные данные'!$B$5)=0,AY176=0),0,N('Исходные данные'!$B$5)*AY176*IF(AND(B176&lt;='Исходные данные'!$B$30,Расчёты!C176&gt;='Исходные данные'!$B$30),(Расчёты!C176-'Исходные данные'!$B$30+1)/DAY(Расчёты!C176),1))</f>
        <v>0</v>
      </c>
      <c r="BA176">
        <f>IF(AND(Расчёты!F176&gt;0,Расчёты!F176&lt;=N('Исходные данные'!$B$37)),-AZ176,0)</f>
        <v>0</v>
      </c>
      <c r="BB176">
        <f>IF(OR(Расчёты!F176=0,Расчёты!F176&lt;=N('Исходные данные'!$B$37)),0,-(AZ176+BA176)*N('Сценарный анализ'!$D$9))</f>
        <v>0</v>
      </c>
      <c r="BC176">
        <f t="shared" si="107"/>
        <v>0</v>
      </c>
      <c r="BD176">
        <f>IF('Исходные данные'!$B$51="Да",BC176*N('Исходные данные'!$B$52),0)</f>
        <v>0</v>
      </c>
      <c r="BE176">
        <f t="shared" si="108"/>
        <v>0</v>
      </c>
      <c r="BF176">
        <f>BC176+(Расчёты!Y176-Расчёты!L176)</f>
        <v>0</v>
      </c>
      <c r="BG176">
        <f t="shared" si="115"/>
        <v>0</v>
      </c>
      <c r="BH176">
        <f>IF('Исходные данные'!$B$51="Да",-MAX(0,BD176+Расчёты!R176+Расчёты!V176-Расчёты!P176-Расчёты!T176-BG176),0)</f>
        <v>0</v>
      </c>
      <c r="BI176">
        <f>IF('Исходные данные'!$B$51="Да",MAX(0,BG176+Расчёты!P176+Расчёты!T176-BD176-Расчёты!R176-Расчёты!V176),0)</f>
        <v>0</v>
      </c>
      <c r="BJ176">
        <f>IF('Исходные данные'!$B$53="Выручка",MAX(0,BC176+(Расчёты!Q176-Расчёты!R176)+(Расчёты!U176-Расчёты!V176)),IF('Исходные данные'!$B$53="Прибыль до налога",MAX(0,BC176+(Расчёты!Q176-Расчёты!R176)+(Расчёты!U176-Расчёты!V176)+N('Исходные данные'!$B$54)*((Расчёты!O176+Расчёты!P176)+(Расчёты!S176+Расчёты!T176)+Расчёты!W176+Расчёты!X176)+IF('Исходные данные'!$B$55="Да",Расчёты!AG176,0)-N('Исходные данные'!$B$56)/12),IF('Исходные данные'!$B$53="Пользовательская база",MAX(0,N('Исходные данные'!$B$57)/12),0)))</f>
        <v>0</v>
      </c>
      <c r="BK176">
        <f>IF(D176=1,-BJ176*N('Исходные данные'!$B$50),0)</f>
        <v>0</v>
      </c>
      <c r="BL176">
        <f t="shared" si="109"/>
        <v>0</v>
      </c>
      <c r="BM176">
        <f>IF(OR(D176&lt;&gt;1,B176="",'Исходные данные'!$B$91="",N('Исходные данные'!$B$80)&lt;=0,'Исходные данные'!$B$88=""),0,IF(AND(YEAR(B176)=YEAR('Исходные данные'!$B$91),MONTH(B176)=MONTH('Исходные данные'!$B$91)),MAX(0,IF('Исходные данные'!$B$88="Последние 12 месяцев",SUMIFS($BF$2:$BF$194,$B$2:$B$194,"&gt;="&amp;EDATE(B176,-11),$B$2:$B$194,"&lt;="&amp;B176),IF('Исходные данные'!$B$88="Пользовательский NOI",N('Исходные данные'!$B$89),BL176))/N('Исходные данные'!$B$80)*(1+N('Исходные данные'!$B$81))),0))</f>
        <v>0</v>
      </c>
      <c r="BN176">
        <f>-BM176*N('Исходные данные'!$B$73)</f>
        <v>0</v>
      </c>
      <c r="BO176">
        <f>IF(BM176=0,0,-N('Исходные данные'!$B$87)-IF('Исходные данные'!$B$82="Да",IF('Исходные данные'!$B$84="С выручки",BM176,IF('Исходные данные'!$B$84="С прибыли",MAX(0,BM176+BN176-IF('Исходные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76">
        <f t="shared" si="110"/>
        <v>0</v>
      </c>
      <c r="BQ176">
        <f>IF(D176=1,Расчёты!AZ176+BE176+BH176+BK176+BP176,0)</f>
        <v>0</v>
      </c>
      <c r="BR176" t="str">
        <f t="shared" si="116"/>
        <v/>
      </c>
      <c r="BS176">
        <f>IF(OR(D176=0,'Исходные данные'!$B$9="",'Исходные данные'!$B$90=""),0,BQ176/(1+'Исходные данные'!$B$90)^((C176-'Исходные данные'!$B$9)/365))</f>
        <v>0</v>
      </c>
      <c r="BT176">
        <f>IF(D176=1,BE176+Расчёты!O176+Расчёты!Q176+Расчёты!S176+Расчёты!U176+Расчёты!W176+Расчёты!X176+BH176+BK176,0)</f>
        <v>0</v>
      </c>
      <c r="BU176">
        <f>IF(AND(D176=1,BR176&gt;=0,BR175&lt;0,MIN($BR$2:BR176)&lt;0),1,0)</f>
        <v>0</v>
      </c>
      <c r="BV176">
        <f>Расчёты!AZ176+K176+N176-P176*N('Исходные данные'!$B$50)</f>
        <v>0</v>
      </c>
      <c r="BW176">
        <f t="shared" si="96"/>
        <v>0</v>
      </c>
      <c r="BX176">
        <f>IF(AND(BW176&gt;=0,BW175&lt;0,MIN($BW$2:BW176)&lt;0),1,0)</f>
        <v>0</v>
      </c>
      <c r="BY176">
        <f>Расчёты!AZ176+AH176+AK176-AM176*N('Исходные данные'!$B$50)</f>
        <v>0</v>
      </c>
      <c r="BZ176">
        <f t="shared" si="97"/>
        <v>0</v>
      </c>
      <c r="CA176">
        <f>IF(AND(BZ176&gt;=0,BZ175&lt;0,MIN($BZ$2:BZ176)&lt;0),1,0)</f>
        <v>0</v>
      </c>
      <c r="CB176">
        <f>Расчёты!AZ176+BE176+BH176-BJ176*N('Исходные данные'!$B$50)</f>
        <v>0</v>
      </c>
      <c r="CC176">
        <f t="shared" si="98"/>
        <v>0</v>
      </c>
      <c r="CD176">
        <f>IF(AND(CC176&gt;=0,CC175&lt;0,MIN($CC$2:CC176)&lt;0),1,0)</f>
        <v>0</v>
      </c>
    </row>
    <row r="177" spans="1:82" x14ac:dyDescent="0.2">
      <c r="A177">
        <f>Расчёты!A177</f>
        <v>176</v>
      </c>
      <c r="B177" t="str">
        <f>Расчёты!B177</f>
        <v/>
      </c>
      <c r="C177" t="str">
        <f>Расчёты!D177</f>
        <v/>
      </c>
      <c r="D177">
        <f>Расчёты!E177</f>
        <v>0</v>
      </c>
      <c r="E177">
        <f>IF(Расчёты!F177=0,0,IF(Расчёты!G177=1,N('Сценарный анализ'!$B$5),IF(Расчёты!G177=2,N('Сценарный анализ'!$B$6),IF(Расчёты!G177=3,N('Сценарный анализ'!$B$7),N('Сценарный анализ'!$B$7)*(1+N('Сценарный анализ'!$B$8))^(Расчёты!G177-3)))))</f>
        <v>0</v>
      </c>
      <c r="F177">
        <f>IF(OR(Расчёты!F177=0,N('Исходные данные'!$B$5)=0,E177=0),0,N('Исходные данные'!$B$5)*E177*IF(AND(B177&lt;='Исходные данные'!$B$30,Расчёты!C177&gt;='Исходные данные'!$B$30),(Расчёты!C177-'Исходные данные'!$B$30+1)/DAY(Расчёты!C177),1))</f>
        <v>0</v>
      </c>
      <c r="G177">
        <f>IF(AND(Расчёты!F177&gt;0,Расчёты!F177&lt;=N('Исходные данные'!$B$37)),-F177,0)</f>
        <v>0</v>
      </c>
      <c r="H177">
        <f>IF(OR(Расчёты!F177=0,Расчёты!F177&lt;=N('Исходные данные'!$B$37)),0,-(F177+G177)*N('Сценарный анализ'!$B$9))</f>
        <v>0</v>
      </c>
      <c r="I177">
        <f t="shared" si="99"/>
        <v>0</v>
      </c>
      <c r="J177">
        <f>IF('Исходные данные'!$B$51="Да",I177*N('Исходные данные'!$B$52),0)</f>
        <v>0</v>
      </c>
      <c r="K177">
        <f t="shared" si="100"/>
        <v>0</v>
      </c>
      <c r="L177">
        <f>I177+(Расчёты!Y177-Расчёты!L177)</f>
        <v>0</v>
      </c>
      <c r="M177">
        <f t="shared" si="111"/>
        <v>0</v>
      </c>
      <c r="N177">
        <f>IF('Исходные данные'!$B$51="Да",-MAX(0,J177+Расчёты!R177+Расчёты!V177-Расчёты!P177-Расчёты!T177-M177),0)</f>
        <v>0</v>
      </c>
      <c r="O177">
        <f>IF('Исходные данные'!$B$51="Да",MAX(0,M177+Расчёты!P177+Расчёты!T177-J177-Расчёты!R177-Расчёты!V177),0)</f>
        <v>0</v>
      </c>
      <c r="P177">
        <f>IF('Исходные данные'!$B$53="Выручка",MAX(0,I177+(Расчёты!Q177-Расчёты!R177)+(Расчёты!U177-Расчёты!V177)),IF('Исходные данные'!$B$53="Прибыль до налога",MAX(0,I177+(Расчёты!Q177-Расчёты!R177)+(Расчёты!U177-Расчёты!V177)+N('Исходные данные'!$B$54)*((Расчёты!O177+Расчёты!P177)+(Расчёты!S177+Расчёты!T177)+Расчёты!W177+Расчёты!X177)+IF('Исходные данные'!$B$55="Да",Расчёты!AG177,0)-N('Исходные данные'!$B$56)/12),IF('Исходные данные'!$B$53="Пользовательская база",MAX(0,N('Исходные данные'!$B$57)/12),0)))</f>
        <v>0</v>
      </c>
      <c r="Q177">
        <f>IF(D177=1,-P177*N('Исходные данные'!$B$50),0)</f>
        <v>0</v>
      </c>
      <c r="R177">
        <f t="shared" si="101"/>
        <v>0</v>
      </c>
      <c r="S177">
        <f>IF(OR(D177&lt;&gt;1,B177="",'Исходные данные'!$B$91="",N('Исходные данные'!$B$80)&lt;=0,'Исходные данные'!$B$88=""),0,IF(AND(YEAR(B177)=YEAR('Исходные данные'!$B$91),MONTH(B177)=MONTH('Исходные данные'!$B$91)),MAX(0,IF('Исходные данные'!$B$88="Последние 12 месяцев",SUMIFS($L$2:$L$194,$B$2:$B$194,"&gt;="&amp;EDATE(B177,-11),$B$2:$B$194,"&lt;="&amp;B177),IF('Исходные данные'!$B$88="Пользовательский NOI",N('Исходные данные'!$B$89),R177))/N('Исходные данные'!$B$80)*(1+N('Исходные данные'!$B$81))),0))</f>
        <v>0</v>
      </c>
      <c r="T177">
        <f>-S177*N('Исходные данные'!$B$73)</f>
        <v>0</v>
      </c>
      <c r="U177">
        <f>IF(S177=0,0,-N('Исходные данные'!$B$87)-IF('Исходные данные'!$B$82="Да",IF('Исходные данные'!$B$84="С выручки",S177,IF('Исходные данные'!$B$84="С прибыли",MAX(0,S177+T177-IF('Исходные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77">
        <f t="shared" si="102"/>
        <v>0</v>
      </c>
      <c r="W177">
        <f>IF(D177=1,Расчёты!AZ177+K177+N177+Q177+V177,0)</f>
        <v>0</v>
      </c>
      <c r="X177" t="str">
        <f t="shared" si="112"/>
        <v/>
      </c>
      <c r="Y177">
        <f>IF(OR(D177=0,'Исходные данные'!$B$9="",'Исходные данные'!$B$90=""),0,W177/(1+'Исходные данные'!$B$90)^((C177-'Исходные данные'!$B$9)/365))</f>
        <v>0</v>
      </c>
      <c r="Z177">
        <f>IF(D177=1,K177+Расчёты!O177+Расчёты!Q177+Расчёты!S177+Расчёты!U177+Расчёты!W177+Расчёты!X177+N177+Q177,0)</f>
        <v>0</v>
      </c>
      <c r="AA177">
        <f>IF(AND(D177=1,X177&gt;=0,X176&lt;0,MIN($X$2:X177)&lt;0),1,0)</f>
        <v>0</v>
      </c>
      <c r="AB177">
        <f>IF(Расчёты!F177=0,0,IF(Расчёты!G177=1,N('Сценарный анализ'!$C$5),IF(Расчёты!G177=2,N('Сценарный анализ'!$C$6),IF(Расчёты!G177=3,N('Сценарный анализ'!$C$7),N('Сценарный анализ'!$C$7)*(1+N('Сценарный анализ'!$C$8))^(Расчёты!G177-3)))))</f>
        <v>0</v>
      </c>
      <c r="AC177">
        <f>IF(OR(Расчёты!F177=0,N('Исходные данные'!$B$5)=0,AB177=0),0,N('Исходные данные'!$B$5)*AB177*IF(AND(B177&lt;='Исходные данные'!$B$30,Расчёты!C177&gt;='Исходные данные'!$B$30),(Расчёты!C177-'Исходные данные'!$B$30+1)/DAY(Расчёты!C177),1))</f>
        <v>0</v>
      </c>
      <c r="AD177">
        <f>IF(AND(Расчёты!F177&gt;0,Расчёты!F177&lt;=N('Исходные данные'!$B$37)),-AC177,0)</f>
        <v>0</v>
      </c>
      <c r="AE177">
        <f>IF(OR(Расчёты!F177=0,Расчёты!F177&lt;=N('Исходные данные'!$B$37)),0,-(AC177+AD177)*N('Сценарный анализ'!$C$9))</f>
        <v>0</v>
      </c>
      <c r="AF177">
        <f t="shared" si="103"/>
        <v>0</v>
      </c>
      <c r="AG177">
        <f>IF('Исходные данные'!$B$51="Да",AF177*N('Исходные данные'!$B$52),0)</f>
        <v>0</v>
      </c>
      <c r="AH177">
        <f t="shared" si="104"/>
        <v>0</v>
      </c>
      <c r="AI177">
        <f>AF177+(Расчёты!Y177-Расчёты!L177)</f>
        <v>0</v>
      </c>
      <c r="AJ177">
        <f t="shared" si="113"/>
        <v>0</v>
      </c>
      <c r="AK177">
        <f>IF('Исходные данные'!$B$51="Да",-MAX(0,AG177+Расчёты!R177+Расчёты!V177-Расчёты!P177-Расчёты!T177-AJ177),0)</f>
        <v>0</v>
      </c>
      <c r="AL177">
        <f>IF('Исходные данные'!$B$51="Да",MAX(0,AJ177+Расчёты!P177+Расчёты!T177-AG177-Расчёты!R177-Расчёты!V177),0)</f>
        <v>0</v>
      </c>
      <c r="AM177">
        <f>IF('Исходные данные'!$B$53="Выручка",MAX(0,AF177+(Расчёты!Q177-Расчёты!R177)+(Расчёты!U177-Расчёты!V177)),IF('Исходные данные'!$B$53="Прибыль до налога",MAX(0,AF177+(Расчёты!Q177-Расчёты!R177)+(Расчёты!U177-Расчёты!V177)+N('Исходные данные'!$B$54)*((Расчёты!O177+Расчёты!P177)+(Расчёты!S177+Расчёты!T177)+Расчёты!W177+Расчёты!X177)+IF('Исходные данные'!$B$55="Да",Расчёты!AG177,0)-N('Исходные данные'!$B$56)/12),IF('Исходные данные'!$B$53="Пользовательская база",MAX(0,N('Исходные данные'!$B$57)/12),0)))</f>
        <v>0</v>
      </c>
      <c r="AN177">
        <f>IF(D177=1,-AM177*N('Исходные данные'!$B$50),0)</f>
        <v>0</v>
      </c>
      <c r="AO177">
        <f t="shared" si="105"/>
        <v>0</v>
      </c>
      <c r="AP177">
        <f>IF(OR(D177&lt;&gt;1,B177="",'Исходные данные'!$B$91="",N('Исходные данные'!$B$80)&lt;=0,'Исходные данные'!$B$88=""),0,IF(AND(YEAR(B177)=YEAR('Исходные данные'!$B$91),MONTH(B177)=MONTH('Исходные данные'!$B$91)),MAX(0,IF('Исходные данные'!$B$88="Последние 12 месяцев",SUMIFS($AI$2:$AI$194,$B$2:$B$194,"&gt;="&amp;EDATE(B177,-11),$B$2:$B$194,"&lt;="&amp;B177),IF('Исходные данные'!$B$88="Пользовательский NOI",N('Исходные данные'!$B$89),AO177))/N('Исходные данные'!$B$80)*(1+N('Исходные данные'!$B$81))),0))</f>
        <v>0</v>
      </c>
      <c r="AQ177">
        <f>-AP177*N('Исходные данные'!$B$73)</f>
        <v>0</v>
      </c>
      <c r="AR177">
        <f>IF(AP177=0,0,-N('Исходные данные'!$B$87)-IF('Исходные данные'!$B$82="Да",IF('Исходные данные'!$B$84="С выручки",AP177,IF('Исходные данные'!$B$84="С прибыли",MAX(0,AP177+AQ177-IF('Исходные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77">
        <f t="shared" si="106"/>
        <v>0</v>
      </c>
      <c r="AT177">
        <f>IF(D177=1,Расчёты!AZ177+AH177+AK177+AN177+AS177,0)</f>
        <v>0</v>
      </c>
      <c r="AU177" t="str">
        <f t="shared" si="114"/>
        <v/>
      </c>
      <c r="AV177">
        <f>IF(OR(D177=0,'Исходные данные'!$B$9="",'Исходные данные'!$B$90=""),0,AT177/(1+'Исходные данные'!$B$90)^((C177-'Исходные данные'!$B$9)/365))</f>
        <v>0</v>
      </c>
      <c r="AW177">
        <f>IF(D177=1,AH177+Расчёты!O177+Расчёты!Q177+Расчёты!S177+Расчёты!U177+Расчёты!W177+Расчёты!X177+AK177+AN177,0)</f>
        <v>0</v>
      </c>
      <c r="AX177">
        <f>IF(AND(D177=1,AU177&gt;=0,AU176&lt;0,MIN($AU$2:AU177)&lt;0),1,0)</f>
        <v>0</v>
      </c>
      <c r="AY177">
        <f>IF(Расчёты!F177=0,0,IF(Расчёты!G177=1,N('Сценарный анализ'!$D$5),IF(Расчёты!G177=2,N('Сценарный анализ'!$D$6),IF(Расчёты!G177=3,N('Сценарный анализ'!$D$7),N('Сценарный анализ'!$D$7)*(1+N('Сценарный анализ'!$D$8))^(Расчёты!G177-3)))))</f>
        <v>0</v>
      </c>
      <c r="AZ177">
        <f>IF(OR(Расчёты!F177=0,N('Исходные данные'!$B$5)=0,AY177=0),0,N('Исходные данные'!$B$5)*AY177*IF(AND(B177&lt;='Исходные данные'!$B$30,Расчёты!C177&gt;='Исходные данные'!$B$30),(Расчёты!C177-'Исходные данные'!$B$30+1)/DAY(Расчёты!C177),1))</f>
        <v>0</v>
      </c>
      <c r="BA177">
        <f>IF(AND(Расчёты!F177&gt;0,Расчёты!F177&lt;=N('Исходные данные'!$B$37)),-AZ177,0)</f>
        <v>0</v>
      </c>
      <c r="BB177">
        <f>IF(OR(Расчёты!F177=0,Расчёты!F177&lt;=N('Исходные данные'!$B$37)),0,-(AZ177+BA177)*N('Сценарный анализ'!$D$9))</f>
        <v>0</v>
      </c>
      <c r="BC177">
        <f t="shared" si="107"/>
        <v>0</v>
      </c>
      <c r="BD177">
        <f>IF('Исходные данные'!$B$51="Да",BC177*N('Исходные данные'!$B$52),0)</f>
        <v>0</v>
      </c>
      <c r="BE177">
        <f t="shared" si="108"/>
        <v>0</v>
      </c>
      <c r="BF177">
        <f>BC177+(Расчёты!Y177-Расчёты!L177)</f>
        <v>0</v>
      </c>
      <c r="BG177">
        <f t="shared" si="115"/>
        <v>0</v>
      </c>
      <c r="BH177">
        <f>IF('Исходные данные'!$B$51="Да",-MAX(0,BD177+Расчёты!R177+Расчёты!V177-Расчёты!P177-Расчёты!T177-BG177),0)</f>
        <v>0</v>
      </c>
      <c r="BI177">
        <f>IF('Исходные данные'!$B$51="Да",MAX(0,BG177+Расчёты!P177+Расчёты!T177-BD177-Расчёты!R177-Расчёты!V177),0)</f>
        <v>0</v>
      </c>
      <c r="BJ177">
        <f>IF('Исходные данные'!$B$53="Выручка",MAX(0,BC177+(Расчёты!Q177-Расчёты!R177)+(Расчёты!U177-Расчёты!V177)),IF('Исходные данные'!$B$53="Прибыль до налога",MAX(0,BC177+(Расчёты!Q177-Расчёты!R177)+(Расчёты!U177-Расчёты!V177)+N('Исходные данные'!$B$54)*((Расчёты!O177+Расчёты!P177)+(Расчёты!S177+Расчёты!T177)+Расчёты!W177+Расчёты!X177)+IF('Исходные данные'!$B$55="Да",Расчёты!AG177,0)-N('Исходные данные'!$B$56)/12),IF('Исходные данные'!$B$53="Пользовательская база",MAX(0,N('Исходные данные'!$B$57)/12),0)))</f>
        <v>0</v>
      </c>
      <c r="BK177">
        <f>IF(D177=1,-BJ177*N('Исходные данные'!$B$50),0)</f>
        <v>0</v>
      </c>
      <c r="BL177">
        <f t="shared" si="109"/>
        <v>0</v>
      </c>
      <c r="BM177">
        <f>IF(OR(D177&lt;&gt;1,B177="",'Исходные данные'!$B$91="",N('Исходные данные'!$B$80)&lt;=0,'Исходные данные'!$B$88=""),0,IF(AND(YEAR(B177)=YEAR('Исходные данные'!$B$91),MONTH(B177)=MONTH('Исходные данные'!$B$91)),MAX(0,IF('Исходные данные'!$B$88="Последние 12 месяцев",SUMIFS($BF$2:$BF$194,$B$2:$B$194,"&gt;="&amp;EDATE(B177,-11),$B$2:$B$194,"&lt;="&amp;B177),IF('Исходные данные'!$B$88="Пользовательский NOI",N('Исходные данные'!$B$89),BL177))/N('Исходные данные'!$B$80)*(1+N('Исходные данные'!$B$81))),0))</f>
        <v>0</v>
      </c>
      <c r="BN177">
        <f>-BM177*N('Исходные данные'!$B$73)</f>
        <v>0</v>
      </c>
      <c r="BO177">
        <f>IF(BM177=0,0,-N('Исходные данные'!$B$87)-IF('Исходные данные'!$B$82="Да",IF('Исходные данные'!$B$84="С выручки",BM177,IF('Исходные данные'!$B$84="С прибыли",MAX(0,BM177+BN177-IF('Исходные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77">
        <f t="shared" si="110"/>
        <v>0</v>
      </c>
      <c r="BQ177">
        <f>IF(D177=1,Расчёты!AZ177+BE177+BH177+BK177+BP177,0)</f>
        <v>0</v>
      </c>
      <c r="BR177" t="str">
        <f t="shared" si="116"/>
        <v/>
      </c>
      <c r="BS177">
        <f>IF(OR(D177=0,'Исходные данные'!$B$9="",'Исходные данные'!$B$90=""),0,BQ177/(1+'Исходные данные'!$B$90)^((C177-'Исходные данные'!$B$9)/365))</f>
        <v>0</v>
      </c>
      <c r="BT177">
        <f>IF(D177=1,BE177+Расчёты!O177+Расчёты!Q177+Расчёты!S177+Расчёты!U177+Расчёты!W177+Расчёты!X177+BH177+BK177,0)</f>
        <v>0</v>
      </c>
      <c r="BU177">
        <f>IF(AND(D177=1,BR177&gt;=0,BR176&lt;0,MIN($BR$2:BR177)&lt;0),1,0)</f>
        <v>0</v>
      </c>
      <c r="BV177">
        <f>Расчёты!AZ177+K177+N177-P177*N('Исходные данные'!$B$50)</f>
        <v>0</v>
      </c>
      <c r="BW177">
        <f t="shared" si="96"/>
        <v>0</v>
      </c>
      <c r="BX177">
        <f>IF(AND(BW177&gt;=0,BW176&lt;0,MIN($BW$2:BW177)&lt;0),1,0)</f>
        <v>0</v>
      </c>
      <c r="BY177">
        <f>Расчёты!AZ177+AH177+AK177-AM177*N('Исходные данные'!$B$50)</f>
        <v>0</v>
      </c>
      <c r="BZ177">
        <f t="shared" si="97"/>
        <v>0</v>
      </c>
      <c r="CA177">
        <f>IF(AND(BZ177&gt;=0,BZ176&lt;0,MIN($BZ$2:BZ177)&lt;0),1,0)</f>
        <v>0</v>
      </c>
      <c r="CB177">
        <f>Расчёты!AZ177+BE177+BH177-BJ177*N('Исходные данные'!$B$50)</f>
        <v>0</v>
      </c>
      <c r="CC177">
        <f t="shared" si="98"/>
        <v>0</v>
      </c>
      <c r="CD177">
        <f>IF(AND(CC177&gt;=0,CC176&lt;0,MIN($CC$2:CC177)&lt;0),1,0)</f>
        <v>0</v>
      </c>
    </row>
    <row r="178" spans="1:82" x14ac:dyDescent="0.2">
      <c r="A178">
        <f>Расчёты!A178</f>
        <v>177</v>
      </c>
      <c r="B178" t="str">
        <f>Расчёты!B178</f>
        <v/>
      </c>
      <c r="C178" t="str">
        <f>Расчёты!D178</f>
        <v/>
      </c>
      <c r="D178">
        <f>Расчёты!E178</f>
        <v>0</v>
      </c>
      <c r="E178">
        <f>IF(Расчёты!F178=0,0,IF(Расчёты!G178=1,N('Сценарный анализ'!$B$5),IF(Расчёты!G178=2,N('Сценарный анализ'!$B$6),IF(Расчёты!G178=3,N('Сценарный анализ'!$B$7),N('Сценарный анализ'!$B$7)*(1+N('Сценарный анализ'!$B$8))^(Расчёты!G178-3)))))</f>
        <v>0</v>
      </c>
      <c r="F178">
        <f>IF(OR(Расчёты!F178=0,N('Исходные данные'!$B$5)=0,E178=0),0,N('Исходные данные'!$B$5)*E178*IF(AND(B178&lt;='Исходные данные'!$B$30,Расчёты!C178&gt;='Исходные данные'!$B$30),(Расчёты!C178-'Исходные данные'!$B$30+1)/DAY(Расчёты!C178),1))</f>
        <v>0</v>
      </c>
      <c r="G178">
        <f>IF(AND(Расчёты!F178&gt;0,Расчёты!F178&lt;=N('Исходные данные'!$B$37)),-F178,0)</f>
        <v>0</v>
      </c>
      <c r="H178">
        <f>IF(OR(Расчёты!F178=0,Расчёты!F178&lt;=N('Исходные данные'!$B$37)),0,-(F178+G178)*N('Сценарный анализ'!$B$9))</f>
        <v>0</v>
      </c>
      <c r="I178">
        <f t="shared" si="99"/>
        <v>0</v>
      </c>
      <c r="J178">
        <f>IF('Исходные данные'!$B$51="Да",I178*N('Исходные данные'!$B$52),0)</f>
        <v>0</v>
      </c>
      <c r="K178">
        <f t="shared" si="100"/>
        <v>0</v>
      </c>
      <c r="L178">
        <f>I178+(Расчёты!Y178-Расчёты!L178)</f>
        <v>0</v>
      </c>
      <c r="M178">
        <f t="shared" si="111"/>
        <v>0</v>
      </c>
      <c r="N178">
        <f>IF('Исходные данные'!$B$51="Да",-MAX(0,J178+Расчёты!R178+Расчёты!V178-Расчёты!P178-Расчёты!T178-M178),0)</f>
        <v>0</v>
      </c>
      <c r="O178">
        <f>IF('Исходные данные'!$B$51="Да",MAX(0,M178+Расчёты!P178+Расчёты!T178-J178-Расчёты!R178-Расчёты!V178),0)</f>
        <v>0</v>
      </c>
      <c r="P178">
        <f>IF('Исходные данные'!$B$53="Выручка",MAX(0,I178+(Расчёты!Q178-Расчёты!R178)+(Расчёты!U178-Расчёты!V178)),IF('Исходные данные'!$B$53="Прибыль до налога",MAX(0,I178+(Расчёты!Q178-Расчёты!R178)+(Расчёты!U178-Расчёты!V178)+N('Исходные данные'!$B$54)*((Расчёты!O178+Расчёты!P178)+(Расчёты!S178+Расчёты!T178)+Расчёты!W178+Расчёты!X178)+IF('Исходные данные'!$B$55="Да",Расчёты!AG178,0)-N('Исходные данные'!$B$56)/12),IF('Исходные данные'!$B$53="Пользовательская база",MAX(0,N('Исходные данные'!$B$57)/12),0)))</f>
        <v>0</v>
      </c>
      <c r="Q178">
        <f>IF(D178=1,-P178*N('Исходные данные'!$B$50),0)</f>
        <v>0</v>
      </c>
      <c r="R178">
        <f t="shared" si="101"/>
        <v>0</v>
      </c>
      <c r="S178">
        <f>IF(OR(D178&lt;&gt;1,B178="",'Исходные данные'!$B$91="",N('Исходные данные'!$B$80)&lt;=0,'Исходные данные'!$B$88=""),0,IF(AND(YEAR(B178)=YEAR('Исходные данные'!$B$91),MONTH(B178)=MONTH('Исходные данные'!$B$91)),MAX(0,IF('Исходные данные'!$B$88="Последние 12 месяцев",SUMIFS($L$2:$L$194,$B$2:$B$194,"&gt;="&amp;EDATE(B178,-11),$B$2:$B$194,"&lt;="&amp;B178),IF('Исходные данные'!$B$88="Пользовательский NOI",N('Исходные данные'!$B$89),R178))/N('Исходные данные'!$B$80)*(1+N('Исходные данные'!$B$81))),0))</f>
        <v>0</v>
      </c>
      <c r="T178">
        <f>-S178*N('Исходные данные'!$B$73)</f>
        <v>0</v>
      </c>
      <c r="U178">
        <f>IF(S178=0,0,-N('Исходные данные'!$B$87)-IF('Исходные данные'!$B$82="Да",IF('Исходные данные'!$B$84="С выручки",S178,IF('Исходные данные'!$B$84="С прибыли",MAX(0,S178+T178-IF('Исходные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78">
        <f t="shared" si="102"/>
        <v>0</v>
      </c>
      <c r="W178">
        <f>IF(D178=1,Расчёты!AZ178+K178+N178+Q178+V178,0)</f>
        <v>0</v>
      </c>
      <c r="X178" t="str">
        <f t="shared" si="112"/>
        <v/>
      </c>
      <c r="Y178">
        <f>IF(OR(D178=0,'Исходные данные'!$B$9="",'Исходные данные'!$B$90=""),0,W178/(1+'Исходные данные'!$B$90)^((C178-'Исходные данные'!$B$9)/365))</f>
        <v>0</v>
      </c>
      <c r="Z178">
        <f>IF(D178=1,K178+Расчёты!O178+Расчёты!Q178+Расчёты!S178+Расчёты!U178+Расчёты!W178+Расчёты!X178+N178+Q178,0)</f>
        <v>0</v>
      </c>
      <c r="AA178">
        <f>IF(AND(D178=1,X178&gt;=0,X177&lt;0,MIN($X$2:X178)&lt;0),1,0)</f>
        <v>0</v>
      </c>
      <c r="AB178">
        <f>IF(Расчёты!F178=0,0,IF(Расчёты!G178=1,N('Сценарный анализ'!$C$5),IF(Расчёты!G178=2,N('Сценарный анализ'!$C$6),IF(Расчёты!G178=3,N('Сценарный анализ'!$C$7),N('Сценарный анализ'!$C$7)*(1+N('Сценарный анализ'!$C$8))^(Расчёты!G178-3)))))</f>
        <v>0</v>
      </c>
      <c r="AC178">
        <f>IF(OR(Расчёты!F178=0,N('Исходные данные'!$B$5)=0,AB178=0),0,N('Исходные данные'!$B$5)*AB178*IF(AND(B178&lt;='Исходные данные'!$B$30,Расчёты!C178&gt;='Исходные данные'!$B$30),(Расчёты!C178-'Исходные данные'!$B$30+1)/DAY(Расчёты!C178),1))</f>
        <v>0</v>
      </c>
      <c r="AD178">
        <f>IF(AND(Расчёты!F178&gt;0,Расчёты!F178&lt;=N('Исходные данные'!$B$37)),-AC178,0)</f>
        <v>0</v>
      </c>
      <c r="AE178">
        <f>IF(OR(Расчёты!F178=0,Расчёты!F178&lt;=N('Исходные данные'!$B$37)),0,-(AC178+AD178)*N('Сценарный анализ'!$C$9))</f>
        <v>0</v>
      </c>
      <c r="AF178">
        <f t="shared" si="103"/>
        <v>0</v>
      </c>
      <c r="AG178">
        <f>IF('Исходные данные'!$B$51="Да",AF178*N('Исходные данные'!$B$52),0)</f>
        <v>0</v>
      </c>
      <c r="AH178">
        <f t="shared" si="104"/>
        <v>0</v>
      </c>
      <c r="AI178">
        <f>AF178+(Расчёты!Y178-Расчёты!L178)</f>
        <v>0</v>
      </c>
      <c r="AJ178">
        <f t="shared" si="113"/>
        <v>0</v>
      </c>
      <c r="AK178">
        <f>IF('Исходные данные'!$B$51="Да",-MAX(0,AG178+Расчёты!R178+Расчёты!V178-Расчёты!P178-Расчёты!T178-AJ178),0)</f>
        <v>0</v>
      </c>
      <c r="AL178">
        <f>IF('Исходные данные'!$B$51="Да",MAX(0,AJ178+Расчёты!P178+Расчёты!T178-AG178-Расчёты!R178-Расчёты!V178),0)</f>
        <v>0</v>
      </c>
      <c r="AM178">
        <f>IF('Исходные данные'!$B$53="Выручка",MAX(0,AF178+(Расчёты!Q178-Расчёты!R178)+(Расчёты!U178-Расчёты!V178)),IF('Исходные данные'!$B$53="Прибыль до налога",MAX(0,AF178+(Расчёты!Q178-Расчёты!R178)+(Расчёты!U178-Расчёты!V178)+N('Исходные данные'!$B$54)*((Расчёты!O178+Расчёты!P178)+(Расчёты!S178+Расчёты!T178)+Расчёты!W178+Расчёты!X178)+IF('Исходные данные'!$B$55="Да",Расчёты!AG178,0)-N('Исходные данные'!$B$56)/12),IF('Исходные данные'!$B$53="Пользовательская база",MAX(0,N('Исходные данные'!$B$57)/12),0)))</f>
        <v>0</v>
      </c>
      <c r="AN178">
        <f>IF(D178=1,-AM178*N('Исходные данные'!$B$50),0)</f>
        <v>0</v>
      </c>
      <c r="AO178">
        <f t="shared" si="105"/>
        <v>0</v>
      </c>
      <c r="AP178">
        <f>IF(OR(D178&lt;&gt;1,B178="",'Исходные данные'!$B$91="",N('Исходные данные'!$B$80)&lt;=0,'Исходные данные'!$B$88=""),0,IF(AND(YEAR(B178)=YEAR('Исходные данные'!$B$91),MONTH(B178)=MONTH('Исходные данные'!$B$91)),MAX(0,IF('Исходные данные'!$B$88="Последние 12 месяцев",SUMIFS($AI$2:$AI$194,$B$2:$B$194,"&gt;="&amp;EDATE(B178,-11),$B$2:$B$194,"&lt;="&amp;B178),IF('Исходные данные'!$B$88="Пользовательский NOI",N('Исходные данные'!$B$89),AO178))/N('Исходные данные'!$B$80)*(1+N('Исходные данные'!$B$81))),0))</f>
        <v>0</v>
      </c>
      <c r="AQ178">
        <f>-AP178*N('Исходные данные'!$B$73)</f>
        <v>0</v>
      </c>
      <c r="AR178">
        <f>IF(AP178=0,0,-N('Исходные данные'!$B$87)-IF('Исходные данные'!$B$82="Да",IF('Исходные данные'!$B$84="С выручки",AP178,IF('Исходные данные'!$B$84="С прибыли",MAX(0,AP178+AQ178-IF('Исходные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78">
        <f t="shared" si="106"/>
        <v>0</v>
      </c>
      <c r="AT178">
        <f>IF(D178=1,Расчёты!AZ178+AH178+AK178+AN178+AS178,0)</f>
        <v>0</v>
      </c>
      <c r="AU178" t="str">
        <f t="shared" si="114"/>
        <v/>
      </c>
      <c r="AV178">
        <f>IF(OR(D178=0,'Исходные данные'!$B$9="",'Исходные данные'!$B$90=""),0,AT178/(1+'Исходные данные'!$B$90)^((C178-'Исходные данные'!$B$9)/365))</f>
        <v>0</v>
      </c>
      <c r="AW178">
        <f>IF(D178=1,AH178+Расчёты!O178+Расчёты!Q178+Расчёты!S178+Расчёты!U178+Расчёты!W178+Расчёты!X178+AK178+AN178,0)</f>
        <v>0</v>
      </c>
      <c r="AX178">
        <f>IF(AND(D178=1,AU178&gt;=0,AU177&lt;0,MIN($AU$2:AU178)&lt;0),1,0)</f>
        <v>0</v>
      </c>
      <c r="AY178">
        <f>IF(Расчёты!F178=0,0,IF(Расчёты!G178=1,N('Сценарный анализ'!$D$5),IF(Расчёты!G178=2,N('Сценарный анализ'!$D$6),IF(Расчёты!G178=3,N('Сценарный анализ'!$D$7),N('Сценарный анализ'!$D$7)*(1+N('Сценарный анализ'!$D$8))^(Расчёты!G178-3)))))</f>
        <v>0</v>
      </c>
      <c r="AZ178">
        <f>IF(OR(Расчёты!F178=0,N('Исходные данные'!$B$5)=0,AY178=0),0,N('Исходные данные'!$B$5)*AY178*IF(AND(B178&lt;='Исходные данные'!$B$30,Расчёты!C178&gt;='Исходные данные'!$B$30),(Расчёты!C178-'Исходные данные'!$B$30+1)/DAY(Расчёты!C178),1))</f>
        <v>0</v>
      </c>
      <c r="BA178">
        <f>IF(AND(Расчёты!F178&gt;0,Расчёты!F178&lt;=N('Исходные данные'!$B$37)),-AZ178,0)</f>
        <v>0</v>
      </c>
      <c r="BB178">
        <f>IF(OR(Расчёты!F178=0,Расчёты!F178&lt;=N('Исходные данные'!$B$37)),0,-(AZ178+BA178)*N('Сценарный анализ'!$D$9))</f>
        <v>0</v>
      </c>
      <c r="BC178">
        <f t="shared" si="107"/>
        <v>0</v>
      </c>
      <c r="BD178">
        <f>IF('Исходные данные'!$B$51="Да",BC178*N('Исходные данные'!$B$52),0)</f>
        <v>0</v>
      </c>
      <c r="BE178">
        <f t="shared" si="108"/>
        <v>0</v>
      </c>
      <c r="BF178">
        <f>BC178+(Расчёты!Y178-Расчёты!L178)</f>
        <v>0</v>
      </c>
      <c r="BG178">
        <f t="shared" si="115"/>
        <v>0</v>
      </c>
      <c r="BH178">
        <f>IF('Исходные данные'!$B$51="Да",-MAX(0,BD178+Расчёты!R178+Расчёты!V178-Расчёты!P178-Расчёты!T178-BG178),0)</f>
        <v>0</v>
      </c>
      <c r="BI178">
        <f>IF('Исходные данные'!$B$51="Да",MAX(0,BG178+Расчёты!P178+Расчёты!T178-BD178-Расчёты!R178-Расчёты!V178),0)</f>
        <v>0</v>
      </c>
      <c r="BJ178">
        <f>IF('Исходные данные'!$B$53="Выручка",MAX(0,BC178+(Расчёты!Q178-Расчёты!R178)+(Расчёты!U178-Расчёты!V178)),IF('Исходные данные'!$B$53="Прибыль до налога",MAX(0,BC178+(Расчёты!Q178-Расчёты!R178)+(Расчёты!U178-Расчёты!V178)+N('Исходные данные'!$B$54)*((Расчёты!O178+Расчёты!P178)+(Расчёты!S178+Расчёты!T178)+Расчёты!W178+Расчёты!X178)+IF('Исходные данные'!$B$55="Да",Расчёты!AG178,0)-N('Исходные данные'!$B$56)/12),IF('Исходные данные'!$B$53="Пользовательская база",MAX(0,N('Исходные данные'!$B$57)/12),0)))</f>
        <v>0</v>
      </c>
      <c r="BK178">
        <f>IF(D178=1,-BJ178*N('Исходные данные'!$B$50),0)</f>
        <v>0</v>
      </c>
      <c r="BL178">
        <f t="shared" si="109"/>
        <v>0</v>
      </c>
      <c r="BM178">
        <f>IF(OR(D178&lt;&gt;1,B178="",'Исходные данные'!$B$91="",N('Исходные данные'!$B$80)&lt;=0,'Исходные данные'!$B$88=""),0,IF(AND(YEAR(B178)=YEAR('Исходные данные'!$B$91),MONTH(B178)=MONTH('Исходные данные'!$B$91)),MAX(0,IF('Исходные данные'!$B$88="Последние 12 месяцев",SUMIFS($BF$2:$BF$194,$B$2:$B$194,"&gt;="&amp;EDATE(B178,-11),$B$2:$B$194,"&lt;="&amp;B178),IF('Исходные данные'!$B$88="Пользовательский NOI",N('Исходные данные'!$B$89),BL178))/N('Исходные данные'!$B$80)*(1+N('Исходные данные'!$B$81))),0))</f>
        <v>0</v>
      </c>
      <c r="BN178">
        <f>-BM178*N('Исходные данные'!$B$73)</f>
        <v>0</v>
      </c>
      <c r="BO178">
        <f>IF(BM178=0,0,-N('Исходные данные'!$B$87)-IF('Исходные данные'!$B$82="Да",IF('Исходные данные'!$B$84="С выручки",BM178,IF('Исходные данные'!$B$84="С прибыли",MAX(0,BM178+BN178-IF('Исходные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78">
        <f t="shared" si="110"/>
        <v>0</v>
      </c>
      <c r="BQ178">
        <f>IF(D178=1,Расчёты!AZ178+BE178+BH178+BK178+BP178,0)</f>
        <v>0</v>
      </c>
      <c r="BR178" t="str">
        <f t="shared" si="116"/>
        <v/>
      </c>
      <c r="BS178">
        <f>IF(OR(D178=0,'Исходные данные'!$B$9="",'Исходные данные'!$B$90=""),0,BQ178/(1+'Исходные данные'!$B$90)^((C178-'Исходные данные'!$B$9)/365))</f>
        <v>0</v>
      </c>
      <c r="BT178">
        <f>IF(D178=1,BE178+Расчёты!O178+Расчёты!Q178+Расчёты!S178+Расчёты!U178+Расчёты!W178+Расчёты!X178+BH178+BK178,0)</f>
        <v>0</v>
      </c>
      <c r="BU178">
        <f>IF(AND(D178=1,BR178&gt;=0,BR177&lt;0,MIN($BR$2:BR178)&lt;0),1,0)</f>
        <v>0</v>
      </c>
      <c r="BV178">
        <f>Расчёты!AZ178+K178+N178-P178*N('Исходные данные'!$B$50)</f>
        <v>0</v>
      </c>
      <c r="BW178">
        <f t="shared" si="96"/>
        <v>0</v>
      </c>
      <c r="BX178">
        <f>IF(AND(BW178&gt;=0,BW177&lt;0,MIN($BW$2:BW178)&lt;0),1,0)</f>
        <v>0</v>
      </c>
      <c r="BY178">
        <f>Расчёты!AZ178+AH178+AK178-AM178*N('Исходные данные'!$B$50)</f>
        <v>0</v>
      </c>
      <c r="BZ178">
        <f t="shared" si="97"/>
        <v>0</v>
      </c>
      <c r="CA178">
        <f>IF(AND(BZ178&gt;=0,BZ177&lt;0,MIN($BZ$2:BZ178)&lt;0),1,0)</f>
        <v>0</v>
      </c>
      <c r="CB178">
        <f>Расчёты!AZ178+BE178+BH178-BJ178*N('Исходные данные'!$B$50)</f>
        <v>0</v>
      </c>
      <c r="CC178">
        <f t="shared" si="98"/>
        <v>0</v>
      </c>
      <c r="CD178">
        <f>IF(AND(CC178&gt;=0,CC177&lt;0,MIN($CC$2:CC178)&lt;0),1,0)</f>
        <v>0</v>
      </c>
    </row>
    <row r="179" spans="1:82" x14ac:dyDescent="0.2">
      <c r="A179">
        <f>Расчёты!A179</f>
        <v>178</v>
      </c>
      <c r="B179" t="str">
        <f>Расчёты!B179</f>
        <v/>
      </c>
      <c r="C179" t="str">
        <f>Расчёты!D179</f>
        <v/>
      </c>
      <c r="D179">
        <f>Расчёты!E179</f>
        <v>0</v>
      </c>
      <c r="E179">
        <f>IF(Расчёты!F179=0,0,IF(Расчёты!G179=1,N('Сценарный анализ'!$B$5),IF(Расчёты!G179=2,N('Сценарный анализ'!$B$6),IF(Расчёты!G179=3,N('Сценарный анализ'!$B$7),N('Сценарный анализ'!$B$7)*(1+N('Сценарный анализ'!$B$8))^(Расчёты!G179-3)))))</f>
        <v>0</v>
      </c>
      <c r="F179">
        <f>IF(OR(Расчёты!F179=0,N('Исходные данные'!$B$5)=0,E179=0),0,N('Исходные данные'!$B$5)*E179*IF(AND(B179&lt;='Исходные данные'!$B$30,Расчёты!C179&gt;='Исходные данные'!$B$30),(Расчёты!C179-'Исходные данные'!$B$30+1)/DAY(Расчёты!C179),1))</f>
        <v>0</v>
      </c>
      <c r="G179">
        <f>IF(AND(Расчёты!F179&gt;0,Расчёты!F179&lt;=N('Исходные данные'!$B$37)),-F179,0)</f>
        <v>0</v>
      </c>
      <c r="H179">
        <f>IF(OR(Расчёты!F179=0,Расчёты!F179&lt;=N('Исходные данные'!$B$37)),0,-(F179+G179)*N('Сценарный анализ'!$B$9))</f>
        <v>0</v>
      </c>
      <c r="I179">
        <f t="shared" si="99"/>
        <v>0</v>
      </c>
      <c r="J179">
        <f>IF('Исходные данные'!$B$51="Да",I179*N('Исходные данные'!$B$52),0)</f>
        <v>0</v>
      </c>
      <c r="K179">
        <f t="shared" si="100"/>
        <v>0</v>
      </c>
      <c r="L179">
        <f>I179+(Расчёты!Y179-Расчёты!L179)</f>
        <v>0</v>
      </c>
      <c r="M179">
        <f t="shared" si="111"/>
        <v>0</v>
      </c>
      <c r="N179">
        <f>IF('Исходные данные'!$B$51="Да",-MAX(0,J179+Расчёты!R179+Расчёты!V179-Расчёты!P179-Расчёты!T179-M179),0)</f>
        <v>0</v>
      </c>
      <c r="O179">
        <f>IF('Исходные данные'!$B$51="Да",MAX(0,M179+Расчёты!P179+Расчёты!T179-J179-Расчёты!R179-Расчёты!V179),0)</f>
        <v>0</v>
      </c>
      <c r="P179">
        <f>IF('Исходные данные'!$B$53="Выручка",MAX(0,I179+(Расчёты!Q179-Расчёты!R179)+(Расчёты!U179-Расчёты!V179)),IF('Исходные данные'!$B$53="Прибыль до налога",MAX(0,I179+(Расчёты!Q179-Расчёты!R179)+(Расчёты!U179-Расчёты!V179)+N('Исходные данные'!$B$54)*((Расчёты!O179+Расчёты!P179)+(Расчёты!S179+Расчёты!T179)+Расчёты!W179+Расчёты!X179)+IF('Исходные данные'!$B$55="Да",Расчёты!AG179,0)-N('Исходные данные'!$B$56)/12),IF('Исходные данные'!$B$53="Пользовательская база",MAX(0,N('Исходные данные'!$B$57)/12),0)))</f>
        <v>0</v>
      </c>
      <c r="Q179">
        <f>IF(D179=1,-P179*N('Исходные данные'!$B$50),0)</f>
        <v>0</v>
      </c>
      <c r="R179">
        <f t="shared" si="101"/>
        <v>0</v>
      </c>
      <c r="S179">
        <f>IF(OR(D179&lt;&gt;1,B179="",'Исходные данные'!$B$91="",N('Исходные данные'!$B$80)&lt;=0,'Исходные данные'!$B$88=""),0,IF(AND(YEAR(B179)=YEAR('Исходные данные'!$B$91),MONTH(B179)=MONTH('Исходные данные'!$B$91)),MAX(0,IF('Исходные данные'!$B$88="Последние 12 месяцев",SUMIFS($L$2:$L$194,$B$2:$B$194,"&gt;="&amp;EDATE(B179,-11),$B$2:$B$194,"&lt;="&amp;B179),IF('Исходные данные'!$B$88="Пользовательский NOI",N('Исходные данные'!$B$89),R179))/N('Исходные данные'!$B$80)*(1+N('Исходные данные'!$B$81))),0))</f>
        <v>0</v>
      </c>
      <c r="T179">
        <f>-S179*N('Исходные данные'!$B$73)</f>
        <v>0</v>
      </c>
      <c r="U179">
        <f>IF(S179=0,0,-N('Исходные данные'!$B$87)-IF('Исходные данные'!$B$82="Да",IF('Исходные данные'!$B$84="С выручки",S179,IF('Исходные данные'!$B$84="С прибыли",MAX(0,S179+T179-IF('Исходные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79">
        <f t="shared" si="102"/>
        <v>0</v>
      </c>
      <c r="W179">
        <f>IF(D179=1,Расчёты!AZ179+K179+N179+Q179+V179,0)</f>
        <v>0</v>
      </c>
      <c r="X179" t="str">
        <f t="shared" si="112"/>
        <v/>
      </c>
      <c r="Y179">
        <f>IF(OR(D179=0,'Исходные данные'!$B$9="",'Исходные данные'!$B$90=""),0,W179/(1+'Исходные данные'!$B$90)^((C179-'Исходные данные'!$B$9)/365))</f>
        <v>0</v>
      </c>
      <c r="Z179">
        <f>IF(D179=1,K179+Расчёты!O179+Расчёты!Q179+Расчёты!S179+Расчёты!U179+Расчёты!W179+Расчёты!X179+N179+Q179,0)</f>
        <v>0</v>
      </c>
      <c r="AA179">
        <f>IF(AND(D179=1,X179&gt;=0,X178&lt;0,MIN($X$2:X179)&lt;0),1,0)</f>
        <v>0</v>
      </c>
      <c r="AB179">
        <f>IF(Расчёты!F179=0,0,IF(Расчёты!G179=1,N('Сценарный анализ'!$C$5),IF(Расчёты!G179=2,N('Сценарный анализ'!$C$6),IF(Расчёты!G179=3,N('Сценарный анализ'!$C$7),N('Сценарный анализ'!$C$7)*(1+N('Сценарный анализ'!$C$8))^(Расчёты!G179-3)))))</f>
        <v>0</v>
      </c>
      <c r="AC179">
        <f>IF(OR(Расчёты!F179=0,N('Исходные данные'!$B$5)=0,AB179=0),0,N('Исходные данные'!$B$5)*AB179*IF(AND(B179&lt;='Исходные данные'!$B$30,Расчёты!C179&gt;='Исходные данные'!$B$30),(Расчёты!C179-'Исходные данные'!$B$30+1)/DAY(Расчёты!C179),1))</f>
        <v>0</v>
      </c>
      <c r="AD179">
        <f>IF(AND(Расчёты!F179&gt;0,Расчёты!F179&lt;=N('Исходные данные'!$B$37)),-AC179,0)</f>
        <v>0</v>
      </c>
      <c r="AE179">
        <f>IF(OR(Расчёты!F179=0,Расчёты!F179&lt;=N('Исходные данные'!$B$37)),0,-(AC179+AD179)*N('Сценарный анализ'!$C$9))</f>
        <v>0</v>
      </c>
      <c r="AF179">
        <f t="shared" si="103"/>
        <v>0</v>
      </c>
      <c r="AG179">
        <f>IF('Исходные данные'!$B$51="Да",AF179*N('Исходные данные'!$B$52),0)</f>
        <v>0</v>
      </c>
      <c r="AH179">
        <f t="shared" si="104"/>
        <v>0</v>
      </c>
      <c r="AI179">
        <f>AF179+(Расчёты!Y179-Расчёты!L179)</f>
        <v>0</v>
      </c>
      <c r="AJ179">
        <f t="shared" si="113"/>
        <v>0</v>
      </c>
      <c r="AK179">
        <f>IF('Исходные данные'!$B$51="Да",-MAX(0,AG179+Расчёты!R179+Расчёты!V179-Расчёты!P179-Расчёты!T179-AJ179),0)</f>
        <v>0</v>
      </c>
      <c r="AL179">
        <f>IF('Исходные данные'!$B$51="Да",MAX(0,AJ179+Расчёты!P179+Расчёты!T179-AG179-Расчёты!R179-Расчёты!V179),0)</f>
        <v>0</v>
      </c>
      <c r="AM179">
        <f>IF('Исходные данные'!$B$53="Выручка",MAX(0,AF179+(Расчёты!Q179-Расчёты!R179)+(Расчёты!U179-Расчёты!V179)),IF('Исходные данные'!$B$53="Прибыль до налога",MAX(0,AF179+(Расчёты!Q179-Расчёты!R179)+(Расчёты!U179-Расчёты!V179)+N('Исходные данные'!$B$54)*((Расчёты!O179+Расчёты!P179)+(Расчёты!S179+Расчёты!T179)+Расчёты!W179+Расчёты!X179)+IF('Исходные данные'!$B$55="Да",Расчёты!AG179,0)-N('Исходные данные'!$B$56)/12),IF('Исходные данные'!$B$53="Пользовательская база",MAX(0,N('Исходные данные'!$B$57)/12),0)))</f>
        <v>0</v>
      </c>
      <c r="AN179">
        <f>IF(D179=1,-AM179*N('Исходные данные'!$B$50),0)</f>
        <v>0</v>
      </c>
      <c r="AO179">
        <f t="shared" si="105"/>
        <v>0</v>
      </c>
      <c r="AP179">
        <f>IF(OR(D179&lt;&gt;1,B179="",'Исходные данные'!$B$91="",N('Исходные данные'!$B$80)&lt;=0,'Исходные данные'!$B$88=""),0,IF(AND(YEAR(B179)=YEAR('Исходные данные'!$B$91),MONTH(B179)=MONTH('Исходные данные'!$B$91)),MAX(0,IF('Исходные данные'!$B$88="Последние 12 месяцев",SUMIFS($AI$2:$AI$194,$B$2:$B$194,"&gt;="&amp;EDATE(B179,-11),$B$2:$B$194,"&lt;="&amp;B179),IF('Исходные данные'!$B$88="Пользовательский NOI",N('Исходные данные'!$B$89),AO179))/N('Исходные данные'!$B$80)*(1+N('Исходные данные'!$B$81))),0))</f>
        <v>0</v>
      </c>
      <c r="AQ179">
        <f>-AP179*N('Исходные данные'!$B$73)</f>
        <v>0</v>
      </c>
      <c r="AR179">
        <f>IF(AP179=0,0,-N('Исходные данные'!$B$87)-IF('Исходные данные'!$B$82="Да",IF('Исходные данные'!$B$84="С выручки",AP179,IF('Исходные данные'!$B$84="С прибыли",MAX(0,AP179+AQ179-IF('Исходные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79">
        <f t="shared" si="106"/>
        <v>0</v>
      </c>
      <c r="AT179">
        <f>IF(D179=1,Расчёты!AZ179+AH179+AK179+AN179+AS179,0)</f>
        <v>0</v>
      </c>
      <c r="AU179" t="str">
        <f t="shared" si="114"/>
        <v/>
      </c>
      <c r="AV179">
        <f>IF(OR(D179=0,'Исходные данные'!$B$9="",'Исходные данные'!$B$90=""),0,AT179/(1+'Исходные данные'!$B$90)^((C179-'Исходные данные'!$B$9)/365))</f>
        <v>0</v>
      </c>
      <c r="AW179">
        <f>IF(D179=1,AH179+Расчёты!O179+Расчёты!Q179+Расчёты!S179+Расчёты!U179+Расчёты!W179+Расчёты!X179+AK179+AN179,0)</f>
        <v>0</v>
      </c>
      <c r="AX179">
        <f>IF(AND(D179=1,AU179&gt;=0,AU178&lt;0,MIN($AU$2:AU179)&lt;0),1,0)</f>
        <v>0</v>
      </c>
      <c r="AY179">
        <f>IF(Расчёты!F179=0,0,IF(Расчёты!G179=1,N('Сценарный анализ'!$D$5),IF(Расчёты!G179=2,N('Сценарный анализ'!$D$6),IF(Расчёты!G179=3,N('Сценарный анализ'!$D$7),N('Сценарный анализ'!$D$7)*(1+N('Сценарный анализ'!$D$8))^(Расчёты!G179-3)))))</f>
        <v>0</v>
      </c>
      <c r="AZ179">
        <f>IF(OR(Расчёты!F179=0,N('Исходные данные'!$B$5)=0,AY179=0),0,N('Исходные данные'!$B$5)*AY179*IF(AND(B179&lt;='Исходные данные'!$B$30,Расчёты!C179&gt;='Исходные данные'!$B$30),(Расчёты!C179-'Исходные данные'!$B$30+1)/DAY(Расчёты!C179),1))</f>
        <v>0</v>
      </c>
      <c r="BA179">
        <f>IF(AND(Расчёты!F179&gt;0,Расчёты!F179&lt;=N('Исходные данные'!$B$37)),-AZ179,0)</f>
        <v>0</v>
      </c>
      <c r="BB179">
        <f>IF(OR(Расчёты!F179=0,Расчёты!F179&lt;=N('Исходные данные'!$B$37)),0,-(AZ179+BA179)*N('Сценарный анализ'!$D$9))</f>
        <v>0</v>
      </c>
      <c r="BC179">
        <f t="shared" si="107"/>
        <v>0</v>
      </c>
      <c r="BD179">
        <f>IF('Исходные данные'!$B$51="Да",BC179*N('Исходные данные'!$B$52),0)</f>
        <v>0</v>
      </c>
      <c r="BE179">
        <f t="shared" si="108"/>
        <v>0</v>
      </c>
      <c r="BF179">
        <f>BC179+(Расчёты!Y179-Расчёты!L179)</f>
        <v>0</v>
      </c>
      <c r="BG179">
        <f t="shared" si="115"/>
        <v>0</v>
      </c>
      <c r="BH179">
        <f>IF('Исходные данные'!$B$51="Да",-MAX(0,BD179+Расчёты!R179+Расчёты!V179-Расчёты!P179-Расчёты!T179-BG179),0)</f>
        <v>0</v>
      </c>
      <c r="BI179">
        <f>IF('Исходные данные'!$B$51="Да",MAX(0,BG179+Расчёты!P179+Расчёты!T179-BD179-Расчёты!R179-Расчёты!V179),0)</f>
        <v>0</v>
      </c>
      <c r="BJ179">
        <f>IF('Исходные данные'!$B$53="Выручка",MAX(0,BC179+(Расчёты!Q179-Расчёты!R179)+(Расчёты!U179-Расчёты!V179)),IF('Исходные данные'!$B$53="Прибыль до налога",MAX(0,BC179+(Расчёты!Q179-Расчёты!R179)+(Расчёты!U179-Расчёты!V179)+N('Исходные данные'!$B$54)*((Расчёты!O179+Расчёты!P179)+(Расчёты!S179+Расчёты!T179)+Расчёты!W179+Расчёты!X179)+IF('Исходные данные'!$B$55="Да",Расчёты!AG179,0)-N('Исходные данные'!$B$56)/12),IF('Исходные данные'!$B$53="Пользовательская база",MAX(0,N('Исходные данные'!$B$57)/12),0)))</f>
        <v>0</v>
      </c>
      <c r="BK179">
        <f>IF(D179=1,-BJ179*N('Исходные данные'!$B$50),0)</f>
        <v>0</v>
      </c>
      <c r="BL179">
        <f t="shared" si="109"/>
        <v>0</v>
      </c>
      <c r="BM179">
        <f>IF(OR(D179&lt;&gt;1,B179="",'Исходные данные'!$B$91="",N('Исходные данные'!$B$80)&lt;=0,'Исходные данные'!$B$88=""),0,IF(AND(YEAR(B179)=YEAR('Исходные данные'!$B$91),MONTH(B179)=MONTH('Исходные данные'!$B$91)),MAX(0,IF('Исходные данные'!$B$88="Последние 12 месяцев",SUMIFS($BF$2:$BF$194,$B$2:$B$194,"&gt;="&amp;EDATE(B179,-11),$B$2:$B$194,"&lt;="&amp;B179),IF('Исходные данные'!$B$88="Пользовательский NOI",N('Исходные данные'!$B$89),BL179))/N('Исходные данные'!$B$80)*(1+N('Исходные данные'!$B$81))),0))</f>
        <v>0</v>
      </c>
      <c r="BN179">
        <f>-BM179*N('Исходные данные'!$B$73)</f>
        <v>0</v>
      </c>
      <c r="BO179">
        <f>IF(BM179=0,0,-N('Исходные данные'!$B$87)-IF('Исходные данные'!$B$82="Да",IF('Исходные данные'!$B$84="С выручки",BM179,IF('Исходные данные'!$B$84="С прибыли",MAX(0,BM179+BN179-IF('Исходные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79">
        <f t="shared" si="110"/>
        <v>0</v>
      </c>
      <c r="BQ179">
        <f>IF(D179=1,Расчёты!AZ179+BE179+BH179+BK179+BP179,0)</f>
        <v>0</v>
      </c>
      <c r="BR179" t="str">
        <f t="shared" si="116"/>
        <v/>
      </c>
      <c r="BS179">
        <f>IF(OR(D179=0,'Исходные данные'!$B$9="",'Исходные данные'!$B$90=""),0,BQ179/(1+'Исходные данные'!$B$90)^((C179-'Исходные данные'!$B$9)/365))</f>
        <v>0</v>
      </c>
      <c r="BT179">
        <f>IF(D179=1,BE179+Расчёты!O179+Расчёты!Q179+Расчёты!S179+Расчёты!U179+Расчёты!W179+Расчёты!X179+BH179+BK179,0)</f>
        <v>0</v>
      </c>
      <c r="BU179">
        <f>IF(AND(D179=1,BR179&gt;=0,BR178&lt;0,MIN($BR$2:BR179)&lt;0),1,0)</f>
        <v>0</v>
      </c>
      <c r="BV179">
        <f>Расчёты!AZ179+K179+N179-P179*N('Исходные данные'!$B$50)</f>
        <v>0</v>
      </c>
      <c r="BW179">
        <f t="shared" si="96"/>
        <v>0</v>
      </c>
      <c r="BX179">
        <f>IF(AND(BW179&gt;=0,BW178&lt;0,MIN($BW$2:BW179)&lt;0),1,0)</f>
        <v>0</v>
      </c>
      <c r="BY179">
        <f>Расчёты!AZ179+AH179+AK179-AM179*N('Исходные данные'!$B$50)</f>
        <v>0</v>
      </c>
      <c r="BZ179">
        <f t="shared" si="97"/>
        <v>0</v>
      </c>
      <c r="CA179">
        <f>IF(AND(BZ179&gt;=0,BZ178&lt;0,MIN($BZ$2:BZ179)&lt;0),1,0)</f>
        <v>0</v>
      </c>
      <c r="CB179">
        <f>Расчёты!AZ179+BE179+BH179-BJ179*N('Исходные данные'!$B$50)</f>
        <v>0</v>
      </c>
      <c r="CC179">
        <f t="shared" si="98"/>
        <v>0</v>
      </c>
      <c r="CD179">
        <f>IF(AND(CC179&gt;=0,CC178&lt;0,MIN($CC$2:CC179)&lt;0),1,0)</f>
        <v>0</v>
      </c>
    </row>
    <row r="180" spans="1:82" x14ac:dyDescent="0.2">
      <c r="A180">
        <f>Расчёты!A180</f>
        <v>179</v>
      </c>
      <c r="B180" t="str">
        <f>Расчёты!B180</f>
        <v/>
      </c>
      <c r="C180" t="str">
        <f>Расчёты!D180</f>
        <v/>
      </c>
      <c r="D180">
        <f>Расчёты!E180</f>
        <v>0</v>
      </c>
      <c r="E180">
        <f>IF(Расчёты!F180=0,0,IF(Расчёты!G180=1,N('Сценарный анализ'!$B$5),IF(Расчёты!G180=2,N('Сценарный анализ'!$B$6),IF(Расчёты!G180=3,N('Сценарный анализ'!$B$7),N('Сценарный анализ'!$B$7)*(1+N('Сценарный анализ'!$B$8))^(Расчёты!G180-3)))))</f>
        <v>0</v>
      </c>
      <c r="F180">
        <f>IF(OR(Расчёты!F180=0,N('Исходные данные'!$B$5)=0,E180=0),0,N('Исходные данные'!$B$5)*E180*IF(AND(B180&lt;='Исходные данные'!$B$30,Расчёты!C180&gt;='Исходные данные'!$B$30),(Расчёты!C180-'Исходные данные'!$B$30+1)/DAY(Расчёты!C180),1))</f>
        <v>0</v>
      </c>
      <c r="G180">
        <f>IF(AND(Расчёты!F180&gt;0,Расчёты!F180&lt;=N('Исходные данные'!$B$37)),-F180,0)</f>
        <v>0</v>
      </c>
      <c r="H180">
        <f>IF(OR(Расчёты!F180=0,Расчёты!F180&lt;=N('Исходные данные'!$B$37)),0,-(F180+G180)*N('Сценарный анализ'!$B$9))</f>
        <v>0</v>
      </c>
      <c r="I180">
        <f t="shared" si="99"/>
        <v>0</v>
      </c>
      <c r="J180">
        <f>IF('Исходные данные'!$B$51="Да",I180*N('Исходные данные'!$B$52),0)</f>
        <v>0</v>
      </c>
      <c r="K180">
        <f t="shared" si="100"/>
        <v>0</v>
      </c>
      <c r="L180">
        <f>I180+(Расчёты!Y180-Расчёты!L180)</f>
        <v>0</v>
      </c>
      <c r="M180">
        <f t="shared" si="111"/>
        <v>0</v>
      </c>
      <c r="N180">
        <f>IF('Исходные данные'!$B$51="Да",-MAX(0,J180+Расчёты!R180+Расчёты!V180-Расчёты!P180-Расчёты!T180-M180),0)</f>
        <v>0</v>
      </c>
      <c r="O180">
        <f>IF('Исходные данные'!$B$51="Да",MAX(0,M180+Расчёты!P180+Расчёты!T180-J180-Расчёты!R180-Расчёты!V180),0)</f>
        <v>0</v>
      </c>
      <c r="P180">
        <f>IF('Исходные данные'!$B$53="Выручка",MAX(0,I180+(Расчёты!Q180-Расчёты!R180)+(Расчёты!U180-Расчёты!V180)),IF('Исходные данные'!$B$53="Прибыль до налога",MAX(0,I180+(Расчёты!Q180-Расчёты!R180)+(Расчёты!U180-Расчёты!V180)+N('Исходные данные'!$B$54)*((Расчёты!O180+Расчёты!P180)+(Расчёты!S180+Расчёты!T180)+Расчёты!W180+Расчёты!X180)+IF('Исходные данные'!$B$55="Да",Расчёты!AG180,0)-N('Исходные данные'!$B$56)/12),IF('Исходные данные'!$B$53="Пользовательская база",MAX(0,N('Исходные данные'!$B$57)/12),0)))</f>
        <v>0</v>
      </c>
      <c r="Q180">
        <f>IF(D180=1,-P180*N('Исходные данные'!$B$50),0)</f>
        <v>0</v>
      </c>
      <c r="R180">
        <f t="shared" si="101"/>
        <v>0</v>
      </c>
      <c r="S180">
        <f>IF(OR(D180&lt;&gt;1,B180="",'Исходные данные'!$B$91="",N('Исходные данные'!$B$80)&lt;=0,'Исходные данные'!$B$88=""),0,IF(AND(YEAR(B180)=YEAR('Исходные данные'!$B$91),MONTH(B180)=MONTH('Исходные данные'!$B$91)),MAX(0,IF('Исходные данные'!$B$88="Последние 12 месяцев",SUMIFS($L$2:$L$194,$B$2:$B$194,"&gt;="&amp;EDATE(B180,-11),$B$2:$B$194,"&lt;="&amp;B180),IF('Исходные данные'!$B$88="Пользовательский NOI",N('Исходные данные'!$B$89),R180))/N('Исходные данные'!$B$80)*(1+N('Исходные данные'!$B$81))),0))</f>
        <v>0</v>
      </c>
      <c r="T180">
        <f>-S180*N('Исходные данные'!$B$73)</f>
        <v>0</v>
      </c>
      <c r="U180">
        <f>IF(S180=0,0,-N('Исходные данные'!$B$87)-IF('Исходные данные'!$B$82="Да",IF('Исходные данные'!$B$84="С выручки",S180,IF('Исходные данные'!$B$84="С прибыли",MAX(0,S180+T180-IF('Исходные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80">
        <f t="shared" si="102"/>
        <v>0</v>
      </c>
      <c r="W180">
        <f>IF(D180=1,Расчёты!AZ180+K180+N180+Q180+V180,0)</f>
        <v>0</v>
      </c>
      <c r="X180" t="str">
        <f t="shared" si="112"/>
        <v/>
      </c>
      <c r="Y180">
        <f>IF(OR(D180=0,'Исходные данные'!$B$9="",'Исходные данные'!$B$90=""),0,W180/(1+'Исходные данные'!$B$90)^((C180-'Исходные данные'!$B$9)/365))</f>
        <v>0</v>
      </c>
      <c r="Z180">
        <f>IF(D180=1,K180+Расчёты!O180+Расчёты!Q180+Расчёты!S180+Расчёты!U180+Расчёты!W180+Расчёты!X180+N180+Q180,0)</f>
        <v>0</v>
      </c>
      <c r="AA180">
        <f>IF(AND(D180=1,X180&gt;=0,X179&lt;0,MIN($X$2:X180)&lt;0),1,0)</f>
        <v>0</v>
      </c>
      <c r="AB180">
        <f>IF(Расчёты!F180=0,0,IF(Расчёты!G180=1,N('Сценарный анализ'!$C$5),IF(Расчёты!G180=2,N('Сценарный анализ'!$C$6),IF(Расчёты!G180=3,N('Сценарный анализ'!$C$7),N('Сценарный анализ'!$C$7)*(1+N('Сценарный анализ'!$C$8))^(Расчёты!G180-3)))))</f>
        <v>0</v>
      </c>
      <c r="AC180">
        <f>IF(OR(Расчёты!F180=0,N('Исходные данные'!$B$5)=0,AB180=0),0,N('Исходные данные'!$B$5)*AB180*IF(AND(B180&lt;='Исходные данные'!$B$30,Расчёты!C180&gt;='Исходные данные'!$B$30),(Расчёты!C180-'Исходные данные'!$B$30+1)/DAY(Расчёты!C180),1))</f>
        <v>0</v>
      </c>
      <c r="AD180">
        <f>IF(AND(Расчёты!F180&gt;0,Расчёты!F180&lt;=N('Исходные данные'!$B$37)),-AC180,0)</f>
        <v>0</v>
      </c>
      <c r="AE180">
        <f>IF(OR(Расчёты!F180=0,Расчёты!F180&lt;=N('Исходные данные'!$B$37)),0,-(AC180+AD180)*N('Сценарный анализ'!$C$9))</f>
        <v>0</v>
      </c>
      <c r="AF180">
        <f t="shared" si="103"/>
        <v>0</v>
      </c>
      <c r="AG180">
        <f>IF('Исходные данные'!$B$51="Да",AF180*N('Исходные данные'!$B$52),0)</f>
        <v>0</v>
      </c>
      <c r="AH180">
        <f t="shared" si="104"/>
        <v>0</v>
      </c>
      <c r="AI180">
        <f>AF180+(Расчёты!Y180-Расчёты!L180)</f>
        <v>0</v>
      </c>
      <c r="AJ180">
        <f t="shared" si="113"/>
        <v>0</v>
      </c>
      <c r="AK180">
        <f>IF('Исходные данные'!$B$51="Да",-MAX(0,AG180+Расчёты!R180+Расчёты!V180-Расчёты!P180-Расчёты!T180-AJ180),0)</f>
        <v>0</v>
      </c>
      <c r="AL180">
        <f>IF('Исходные данные'!$B$51="Да",MAX(0,AJ180+Расчёты!P180+Расчёты!T180-AG180-Расчёты!R180-Расчёты!V180),0)</f>
        <v>0</v>
      </c>
      <c r="AM180">
        <f>IF('Исходные данные'!$B$53="Выручка",MAX(0,AF180+(Расчёты!Q180-Расчёты!R180)+(Расчёты!U180-Расчёты!V180)),IF('Исходные данные'!$B$53="Прибыль до налога",MAX(0,AF180+(Расчёты!Q180-Расчёты!R180)+(Расчёты!U180-Расчёты!V180)+N('Исходные данные'!$B$54)*((Расчёты!O180+Расчёты!P180)+(Расчёты!S180+Расчёты!T180)+Расчёты!W180+Расчёты!X180)+IF('Исходные данные'!$B$55="Да",Расчёты!AG180,0)-N('Исходные данные'!$B$56)/12),IF('Исходные данные'!$B$53="Пользовательская база",MAX(0,N('Исходные данные'!$B$57)/12),0)))</f>
        <v>0</v>
      </c>
      <c r="AN180">
        <f>IF(D180=1,-AM180*N('Исходные данные'!$B$50),0)</f>
        <v>0</v>
      </c>
      <c r="AO180">
        <f t="shared" si="105"/>
        <v>0</v>
      </c>
      <c r="AP180">
        <f>IF(OR(D180&lt;&gt;1,B180="",'Исходные данные'!$B$91="",N('Исходные данные'!$B$80)&lt;=0,'Исходные данные'!$B$88=""),0,IF(AND(YEAR(B180)=YEAR('Исходные данные'!$B$91),MONTH(B180)=MONTH('Исходные данные'!$B$91)),MAX(0,IF('Исходные данные'!$B$88="Последние 12 месяцев",SUMIFS($AI$2:$AI$194,$B$2:$B$194,"&gt;="&amp;EDATE(B180,-11),$B$2:$B$194,"&lt;="&amp;B180),IF('Исходные данные'!$B$88="Пользовательский NOI",N('Исходные данные'!$B$89),AO180))/N('Исходные данные'!$B$80)*(1+N('Исходные данные'!$B$81))),0))</f>
        <v>0</v>
      </c>
      <c r="AQ180">
        <f>-AP180*N('Исходные данные'!$B$73)</f>
        <v>0</v>
      </c>
      <c r="AR180">
        <f>IF(AP180=0,0,-N('Исходные данные'!$B$87)-IF('Исходные данные'!$B$82="Да",IF('Исходные данные'!$B$84="С выручки",AP180,IF('Исходные данные'!$B$84="С прибыли",MAX(0,AP180+AQ180-IF('Исходные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80">
        <f t="shared" si="106"/>
        <v>0</v>
      </c>
      <c r="AT180">
        <f>IF(D180=1,Расчёты!AZ180+AH180+AK180+AN180+AS180,0)</f>
        <v>0</v>
      </c>
      <c r="AU180" t="str">
        <f t="shared" si="114"/>
        <v/>
      </c>
      <c r="AV180">
        <f>IF(OR(D180=0,'Исходные данные'!$B$9="",'Исходные данные'!$B$90=""),0,AT180/(1+'Исходные данные'!$B$90)^((C180-'Исходные данные'!$B$9)/365))</f>
        <v>0</v>
      </c>
      <c r="AW180">
        <f>IF(D180=1,AH180+Расчёты!O180+Расчёты!Q180+Расчёты!S180+Расчёты!U180+Расчёты!W180+Расчёты!X180+AK180+AN180,0)</f>
        <v>0</v>
      </c>
      <c r="AX180">
        <f>IF(AND(D180=1,AU180&gt;=0,AU179&lt;0,MIN($AU$2:AU180)&lt;0),1,0)</f>
        <v>0</v>
      </c>
      <c r="AY180">
        <f>IF(Расчёты!F180=0,0,IF(Расчёты!G180=1,N('Сценарный анализ'!$D$5),IF(Расчёты!G180=2,N('Сценарный анализ'!$D$6),IF(Расчёты!G180=3,N('Сценарный анализ'!$D$7),N('Сценарный анализ'!$D$7)*(1+N('Сценарный анализ'!$D$8))^(Расчёты!G180-3)))))</f>
        <v>0</v>
      </c>
      <c r="AZ180">
        <f>IF(OR(Расчёты!F180=0,N('Исходные данные'!$B$5)=0,AY180=0),0,N('Исходные данные'!$B$5)*AY180*IF(AND(B180&lt;='Исходные данные'!$B$30,Расчёты!C180&gt;='Исходные данные'!$B$30),(Расчёты!C180-'Исходные данные'!$B$30+1)/DAY(Расчёты!C180),1))</f>
        <v>0</v>
      </c>
      <c r="BA180">
        <f>IF(AND(Расчёты!F180&gt;0,Расчёты!F180&lt;=N('Исходные данные'!$B$37)),-AZ180,0)</f>
        <v>0</v>
      </c>
      <c r="BB180">
        <f>IF(OR(Расчёты!F180=0,Расчёты!F180&lt;=N('Исходные данные'!$B$37)),0,-(AZ180+BA180)*N('Сценарный анализ'!$D$9))</f>
        <v>0</v>
      </c>
      <c r="BC180">
        <f t="shared" si="107"/>
        <v>0</v>
      </c>
      <c r="BD180">
        <f>IF('Исходные данные'!$B$51="Да",BC180*N('Исходные данные'!$B$52),0)</f>
        <v>0</v>
      </c>
      <c r="BE180">
        <f t="shared" si="108"/>
        <v>0</v>
      </c>
      <c r="BF180">
        <f>BC180+(Расчёты!Y180-Расчёты!L180)</f>
        <v>0</v>
      </c>
      <c r="BG180">
        <f t="shared" si="115"/>
        <v>0</v>
      </c>
      <c r="BH180">
        <f>IF('Исходные данные'!$B$51="Да",-MAX(0,BD180+Расчёты!R180+Расчёты!V180-Расчёты!P180-Расчёты!T180-BG180),0)</f>
        <v>0</v>
      </c>
      <c r="BI180">
        <f>IF('Исходные данные'!$B$51="Да",MAX(0,BG180+Расчёты!P180+Расчёты!T180-BD180-Расчёты!R180-Расчёты!V180),0)</f>
        <v>0</v>
      </c>
      <c r="BJ180">
        <f>IF('Исходные данные'!$B$53="Выручка",MAX(0,BC180+(Расчёты!Q180-Расчёты!R180)+(Расчёты!U180-Расчёты!V180)),IF('Исходные данные'!$B$53="Прибыль до налога",MAX(0,BC180+(Расчёты!Q180-Расчёты!R180)+(Расчёты!U180-Расчёты!V180)+N('Исходные данные'!$B$54)*((Расчёты!O180+Расчёты!P180)+(Расчёты!S180+Расчёты!T180)+Расчёты!W180+Расчёты!X180)+IF('Исходные данные'!$B$55="Да",Расчёты!AG180,0)-N('Исходные данные'!$B$56)/12),IF('Исходные данные'!$B$53="Пользовательская база",MAX(0,N('Исходные данные'!$B$57)/12),0)))</f>
        <v>0</v>
      </c>
      <c r="BK180">
        <f>IF(D180=1,-BJ180*N('Исходные данные'!$B$50),0)</f>
        <v>0</v>
      </c>
      <c r="BL180">
        <f t="shared" si="109"/>
        <v>0</v>
      </c>
      <c r="BM180">
        <f>IF(OR(D180&lt;&gt;1,B180="",'Исходные данные'!$B$91="",N('Исходные данные'!$B$80)&lt;=0,'Исходные данные'!$B$88=""),0,IF(AND(YEAR(B180)=YEAR('Исходные данные'!$B$91),MONTH(B180)=MONTH('Исходные данные'!$B$91)),MAX(0,IF('Исходные данные'!$B$88="Последние 12 месяцев",SUMIFS($BF$2:$BF$194,$B$2:$B$194,"&gt;="&amp;EDATE(B180,-11),$B$2:$B$194,"&lt;="&amp;B180),IF('Исходные данные'!$B$88="Пользовательский NOI",N('Исходные данные'!$B$89),BL180))/N('Исходные данные'!$B$80)*(1+N('Исходные данные'!$B$81))),0))</f>
        <v>0</v>
      </c>
      <c r="BN180">
        <f>-BM180*N('Исходные данные'!$B$73)</f>
        <v>0</v>
      </c>
      <c r="BO180">
        <f>IF(BM180=0,0,-N('Исходные данные'!$B$87)-IF('Исходные данные'!$B$82="Да",IF('Исходные данные'!$B$84="С выручки",BM180,IF('Исходные данные'!$B$84="С прибыли",MAX(0,BM180+BN180-IF('Исходные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80">
        <f t="shared" si="110"/>
        <v>0</v>
      </c>
      <c r="BQ180">
        <f>IF(D180=1,Расчёты!AZ180+BE180+BH180+BK180+BP180,0)</f>
        <v>0</v>
      </c>
      <c r="BR180" t="str">
        <f t="shared" si="116"/>
        <v/>
      </c>
      <c r="BS180">
        <f>IF(OR(D180=0,'Исходные данные'!$B$9="",'Исходные данные'!$B$90=""),0,BQ180/(1+'Исходные данные'!$B$90)^((C180-'Исходные данные'!$B$9)/365))</f>
        <v>0</v>
      </c>
      <c r="BT180">
        <f>IF(D180=1,BE180+Расчёты!O180+Расчёты!Q180+Расчёты!S180+Расчёты!U180+Расчёты!W180+Расчёты!X180+BH180+BK180,0)</f>
        <v>0</v>
      </c>
      <c r="BU180">
        <f>IF(AND(D180=1,BR180&gt;=0,BR179&lt;0,MIN($BR$2:BR180)&lt;0),1,0)</f>
        <v>0</v>
      </c>
      <c r="BV180">
        <f>Расчёты!AZ180+K180+N180-P180*N('Исходные данные'!$B$50)</f>
        <v>0</v>
      </c>
      <c r="BW180">
        <f t="shared" si="96"/>
        <v>0</v>
      </c>
      <c r="BX180">
        <f>IF(AND(BW180&gt;=0,BW179&lt;0,MIN($BW$2:BW180)&lt;0),1,0)</f>
        <v>0</v>
      </c>
      <c r="BY180">
        <f>Расчёты!AZ180+AH180+AK180-AM180*N('Исходные данные'!$B$50)</f>
        <v>0</v>
      </c>
      <c r="BZ180">
        <f t="shared" si="97"/>
        <v>0</v>
      </c>
      <c r="CA180">
        <f>IF(AND(BZ180&gt;=0,BZ179&lt;0,MIN($BZ$2:BZ180)&lt;0),1,0)</f>
        <v>0</v>
      </c>
      <c r="CB180">
        <f>Расчёты!AZ180+BE180+BH180-BJ180*N('Исходные данные'!$B$50)</f>
        <v>0</v>
      </c>
      <c r="CC180">
        <f t="shared" si="98"/>
        <v>0</v>
      </c>
      <c r="CD180">
        <f>IF(AND(CC180&gt;=0,CC179&lt;0,MIN($CC$2:CC180)&lt;0),1,0)</f>
        <v>0</v>
      </c>
    </row>
    <row r="181" spans="1:82" x14ac:dyDescent="0.2">
      <c r="A181">
        <f>Расчёты!A181</f>
        <v>180</v>
      </c>
      <c r="B181" t="str">
        <f>Расчёты!B181</f>
        <v/>
      </c>
      <c r="C181" t="str">
        <f>Расчёты!D181</f>
        <v/>
      </c>
      <c r="D181">
        <f>Расчёты!E181</f>
        <v>0</v>
      </c>
      <c r="E181">
        <f>IF(Расчёты!F181=0,0,IF(Расчёты!G181=1,N('Сценарный анализ'!$B$5),IF(Расчёты!G181=2,N('Сценарный анализ'!$B$6),IF(Расчёты!G181=3,N('Сценарный анализ'!$B$7),N('Сценарный анализ'!$B$7)*(1+N('Сценарный анализ'!$B$8))^(Расчёты!G181-3)))))</f>
        <v>0</v>
      </c>
      <c r="F181">
        <f>IF(OR(Расчёты!F181=0,N('Исходные данные'!$B$5)=0,E181=0),0,N('Исходные данные'!$B$5)*E181*IF(AND(B181&lt;='Исходные данные'!$B$30,Расчёты!C181&gt;='Исходные данные'!$B$30),(Расчёты!C181-'Исходные данные'!$B$30+1)/DAY(Расчёты!C181),1))</f>
        <v>0</v>
      </c>
      <c r="G181">
        <f>IF(AND(Расчёты!F181&gt;0,Расчёты!F181&lt;=N('Исходные данные'!$B$37)),-F181,0)</f>
        <v>0</v>
      </c>
      <c r="H181">
        <f>IF(OR(Расчёты!F181=0,Расчёты!F181&lt;=N('Исходные данные'!$B$37)),0,-(F181+G181)*N('Сценарный анализ'!$B$9))</f>
        <v>0</v>
      </c>
      <c r="I181">
        <f t="shared" si="99"/>
        <v>0</v>
      </c>
      <c r="J181">
        <f>IF('Исходные данные'!$B$51="Да",I181*N('Исходные данные'!$B$52),0)</f>
        <v>0</v>
      </c>
      <c r="K181">
        <f t="shared" si="100"/>
        <v>0</v>
      </c>
      <c r="L181">
        <f>I181+(Расчёты!Y181-Расчёты!L181)</f>
        <v>0</v>
      </c>
      <c r="M181">
        <f t="shared" si="111"/>
        <v>0</v>
      </c>
      <c r="N181">
        <f>IF('Исходные данные'!$B$51="Да",-MAX(0,J181+Расчёты!R181+Расчёты!V181-Расчёты!P181-Расчёты!T181-M181),0)</f>
        <v>0</v>
      </c>
      <c r="O181">
        <f>IF('Исходные данные'!$B$51="Да",MAX(0,M181+Расчёты!P181+Расчёты!T181-J181-Расчёты!R181-Расчёты!V181),0)</f>
        <v>0</v>
      </c>
      <c r="P181">
        <f>IF('Исходные данные'!$B$53="Выручка",MAX(0,I181+(Расчёты!Q181-Расчёты!R181)+(Расчёты!U181-Расчёты!V181)),IF('Исходные данные'!$B$53="Прибыль до налога",MAX(0,I181+(Расчёты!Q181-Расчёты!R181)+(Расчёты!U181-Расчёты!V181)+N('Исходные данные'!$B$54)*((Расчёты!O181+Расчёты!P181)+(Расчёты!S181+Расчёты!T181)+Расчёты!W181+Расчёты!X181)+IF('Исходные данные'!$B$55="Да",Расчёты!AG181,0)-N('Исходные данные'!$B$56)/12),IF('Исходные данные'!$B$53="Пользовательская база",MAX(0,N('Исходные данные'!$B$57)/12),0)))</f>
        <v>0</v>
      </c>
      <c r="Q181">
        <f>IF(D181=1,-P181*N('Исходные данные'!$B$50),0)</f>
        <v>0</v>
      </c>
      <c r="R181">
        <f t="shared" si="101"/>
        <v>0</v>
      </c>
      <c r="S181">
        <f>IF(OR(D181&lt;&gt;1,B181="",'Исходные данные'!$B$91="",N('Исходные данные'!$B$80)&lt;=0,'Исходные данные'!$B$88=""),0,IF(AND(YEAR(B181)=YEAR('Исходные данные'!$B$91),MONTH(B181)=MONTH('Исходные данные'!$B$91)),MAX(0,IF('Исходные данные'!$B$88="Последние 12 месяцев",SUMIFS($L$2:$L$194,$B$2:$B$194,"&gt;="&amp;EDATE(B181,-11),$B$2:$B$194,"&lt;="&amp;B181),IF('Исходные данные'!$B$88="Пользовательский NOI",N('Исходные данные'!$B$89),R181))/N('Исходные данные'!$B$80)*(1+N('Исходные данные'!$B$81))),0))</f>
        <v>0</v>
      </c>
      <c r="T181">
        <f>-S181*N('Исходные данные'!$B$73)</f>
        <v>0</v>
      </c>
      <c r="U181">
        <f>IF(S181=0,0,-N('Исходные данные'!$B$87)-IF('Исходные данные'!$B$82="Да",IF('Исходные данные'!$B$84="С выручки",S181,IF('Исходные данные'!$B$84="С прибыли",MAX(0,S181+T181-IF('Исходные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81">
        <f t="shared" si="102"/>
        <v>0</v>
      </c>
      <c r="W181">
        <f>IF(D181=1,Расчёты!AZ181+K181+N181+Q181+V181,0)</f>
        <v>0</v>
      </c>
      <c r="X181" t="str">
        <f t="shared" si="112"/>
        <v/>
      </c>
      <c r="Y181">
        <f>IF(OR(D181=0,'Исходные данные'!$B$9="",'Исходные данные'!$B$90=""),0,W181/(1+'Исходные данные'!$B$90)^((C181-'Исходные данные'!$B$9)/365))</f>
        <v>0</v>
      </c>
      <c r="Z181">
        <f>IF(D181=1,K181+Расчёты!O181+Расчёты!Q181+Расчёты!S181+Расчёты!U181+Расчёты!W181+Расчёты!X181+N181+Q181,0)</f>
        <v>0</v>
      </c>
      <c r="AA181">
        <f>IF(AND(D181=1,X181&gt;=0,X180&lt;0,MIN($X$2:X181)&lt;0),1,0)</f>
        <v>0</v>
      </c>
      <c r="AB181">
        <f>IF(Расчёты!F181=0,0,IF(Расчёты!G181=1,N('Сценарный анализ'!$C$5),IF(Расчёты!G181=2,N('Сценарный анализ'!$C$6),IF(Расчёты!G181=3,N('Сценарный анализ'!$C$7),N('Сценарный анализ'!$C$7)*(1+N('Сценарный анализ'!$C$8))^(Расчёты!G181-3)))))</f>
        <v>0</v>
      </c>
      <c r="AC181">
        <f>IF(OR(Расчёты!F181=0,N('Исходные данные'!$B$5)=0,AB181=0),0,N('Исходные данные'!$B$5)*AB181*IF(AND(B181&lt;='Исходные данные'!$B$30,Расчёты!C181&gt;='Исходные данные'!$B$30),(Расчёты!C181-'Исходные данные'!$B$30+1)/DAY(Расчёты!C181),1))</f>
        <v>0</v>
      </c>
      <c r="AD181">
        <f>IF(AND(Расчёты!F181&gt;0,Расчёты!F181&lt;=N('Исходные данные'!$B$37)),-AC181,0)</f>
        <v>0</v>
      </c>
      <c r="AE181">
        <f>IF(OR(Расчёты!F181=0,Расчёты!F181&lt;=N('Исходные данные'!$B$37)),0,-(AC181+AD181)*N('Сценарный анализ'!$C$9))</f>
        <v>0</v>
      </c>
      <c r="AF181">
        <f t="shared" si="103"/>
        <v>0</v>
      </c>
      <c r="AG181">
        <f>IF('Исходные данные'!$B$51="Да",AF181*N('Исходные данные'!$B$52),0)</f>
        <v>0</v>
      </c>
      <c r="AH181">
        <f t="shared" si="104"/>
        <v>0</v>
      </c>
      <c r="AI181">
        <f>AF181+(Расчёты!Y181-Расчёты!L181)</f>
        <v>0</v>
      </c>
      <c r="AJ181">
        <f t="shared" si="113"/>
        <v>0</v>
      </c>
      <c r="AK181">
        <f>IF('Исходные данные'!$B$51="Да",-MAX(0,AG181+Расчёты!R181+Расчёты!V181-Расчёты!P181-Расчёты!T181-AJ181),0)</f>
        <v>0</v>
      </c>
      <c r="AL181">
        <f>IF('Исходные данные'!$B$51="Да",MAX(0,AJ181+Расчёты!P181+Расчёты!T181-AG181-Расчёты!R181-Расчёты!V181),0)</f>
        <v>0</v>
      </c>
      <c r="AM181">
        <f>IF('Исходные данные'!$B$53="Выручка",MAX(0,AF181+(Расчёты!Q181-Расчёты!R181)+(Расчёты!U181-Расчёты!V181)),IF('Исходные данные'!$B$53="Прибыль до налога",MAX(0,AF181+(Расчёты!Q181-Расчёты!R181)+(Расчёты!U181-Расчёты!V181)+N('Исходные данные'!$B$54)*((Расчёты!O181+Расчёты!P181)+(Расчёты!S181+Расчёты!T181)+Расчёты!W181+Расчёты!X181)+IF('Исходные данные'!$B$55="Да",Расчёты!AG181,0)-N('Исходные данные'!$B$56)/12),IF('Исходные данные'!$B$53="Пользовательская база",MAX(0,N('Исходные данные'!$B$57)/12),0)))</f>
        <v>0</v>
      </c>
      <c r="AN181">
        <f>IF(D181=1,-AM181*N('Исходные данные'!$B$50),0)</f>
        <v>0</v>
      </c>
      <c r="AO181">
        <f t="shared" si="105"/>
        <v>0</v>
      </c>
      <c r="AP181">
        <f>IF(OR(D181&lt;&gt;1,B181="",'Исходные данные'!$B$91="",N('Исходные данные'!$B$80)&lt;=0,'Исходные данные'!$B$88=""),0,IF(AND(YEAR(B181)=YEAR('Исходные данные'!$B$91),MONTH(B181)=MONTH('Исходные данные'!$B$91)),MAX(0,IF('Исходные данные'!$B$88="Последние 12 месяцев",SUMIFS($AI$2:$AI$194,$B$2:$B$194,"&gt;="&amp;EDATE(B181,-11),$B$2:$B$194,"&lt;="&amp;B181),IF('Исходные данные'!$B$88="Пользовательский NOI",N('Исходные данные'!$B$89),AO181))/N('Исходные данные'!$B$80)*(1+N('Исходные данные'!$B$81))),0))</f>
        <v>0</v>
      </c>
      <c r="AQ181">
        <f>-AP181*N('Исходные данные'!$B$73)</f>
        <v>0</v>
      </c>
      <c r="AR181">
        <f>IF(AP181=0,0,-N('Исходные данные'!$B$87)-IF('Исходные данные'!$B$82="Да",IF('Исходные данные'!$B$84="С выручки",AP181,IF('Исходные данные'!$B$84="С прибыли",MAX(0,AP181+AQ181-IF('Исходные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81">
        <f t="shared" si="106"/>
        <v>0</v>
      </c>
      <c r="AT181">
        <f>IF(D181=1,Расчёты!AZ181+AH181+AK181+AN181+AS181,0)</f>
        <v>0</v>
      </c>
      <c r="AU181" t="str">
        <f t="shared" si="114"/>
        <v/>
      </c>
      <c r="AV181">
        <f>IF(OR(D181=0,'Исходные данные'!$B$9="",'Исходные данные'!$B$90=""),0,AT181/(1+'Исходные данные'!$B$90)^((C181-'Исходные данные'!$B$9)/365))</f>
        <v>0</v>
      </c>
      <c r="AW181">
        <f>IF(D181=1,AH181+Расчёты!O181+Расчёты!Q181+Расчёты!S181+Расчёты!U181+Расчёты!W181+Расчёты!X181+AK181+AN181,0)</f>
        <v>0</v>
      </c>
      <c r="AX181">
        <f>IF(AND(D181=1,AU181&gt;=0,AU180&lt;0,MIN($AU$2:AU181)&lt;0),1,0)</f>
        <v>0</v>
      </c>
      <c r="AY181">
        <f>IF(Расчёты!F181=0,0,IF(Расчёты!G181=1,N('Сценарный анализ'!$D$5),IF(Расчёты!G181=2,N('Сценарный анализ'!$D$6),IF(Расчёты!G181=3,N('Сценарный анализ'!$D$7),N('Сценарный анализ'!$D$7)*(1+N('Сценарный анализ'!$D$8))^(Расчёты!G181-3)))))</f>
        <v>0</v>
      </c>
      <c r="AZ181">
        <f>IF(OR(Расчёты!F181=0,N('Исходные данные'!$B$5)=0,AY181=0),0,N('Исходные данные'!$B$5)*AY181*IF(AND(B181&lt;='Исходные данные'!$B$30,Расчёты!C181&gt;='Исходные данные'!$B$30),(Расчёты!C181-'Исходные данные'!$B$30+1)/DAY(Расчёты!C181),1))</f>
        <v>0</v>
      </c>
      <c r="BA181">
        <f>IF(AND(Расчёты!F181&gt;0,Расчёты!F181&lt;=N('Исходные данные'!$B$37)),-AZ181,0)</f>
        <v>0</v>
      </c>
      <c r="BB181">
        <f>IF(OR(Расчёты!F181=0,Расчёты!F181&lt;=N('Исходные данные'!$B$37)),0,-(AZ181+BA181)*N('Сценарный анализ'!$D$9))</f>
        <v>0</v>
      </c>
      <c r="BC181">
        <f t="shared" si="107"/>
        <v>0</v>
      </c>
      <c r="BD181">
        <f>IF('Исходные данные'!$B$51="Да",BC181*N('Исходные данные'!$B$52),0)</f>
        <v>0</v>
      </c>
      <c r="BE181">
        <f t="shared" si="108"/>
        <v>0</v>
      </c>
      <c r="BF181">
        <f>BC181+(Расчёты!Y181-Расчёты!L181)</f>
        <v>0</v>
      </c>
      <c r="BG181">
        <f t="shared" si="115"/>
        <v>0</v>
      </c>
      <c r="BH181">
        <f>IF('Исходные данные'!$B$51="Да",-MAX(0,BD181+Расчёты!R181+Расчёты!V181-Расчёты!P181-Расчёты!T181-BG181),0)</f>
        <v>0</v>
      </c>
      <c r="BI181">
        <f>IF('Исходные данные'!$B$51="Да",MAX(0,BG181+Расчёты!P181+Расчёты!T181-BD181-Расчёты!R181-Расчёты!V181),0)</f>
        <v>0</v>
      </c>
      <c r="BJ181">
        <f>IF('Исходные данные'!$B$53="Выручка",MAX(0,BC181+(Расчёты!Q181-Расчёты!R181)+(Расчёты!U181-Расчёты!V181)),IF('Исходные данные'!$B$53="Прибыль до налога",MAX(0,BC181+(Расчёты!Q181-Расчёты!R181)+(Расчёты!U181-Расчёты!V181)+N('Исходные данные'!$B$54)*((Расчёты!O181+Расчёты!P181)+(Расчёты!S181+Расчёты!T181)+Расчёты!W181+Расчёты!X181)+IF('Исходные данные'!$B$55="Да",Расчёты!AG181,0)-N('Исходные данные'!$B$56)/12),IF('Исходные данные'!$B$53="Пользовательская база",MAX(0,N('Исходные данные'!$B$57)/12),0)))</f>
        <v>0</v>
      </c>
      <c r="BK181">
        <f>IF(D181=1,-BJ181*N('Исходные данные'!$B$50),0)</f>
        <v>0</v>
      </c>
      <c r="BL181">
        <f t="shared" si="109"/>
        <v>0</v>
      </c>
      <c r="BM181">
        <f>IF(OR(D181&lt;&gt;1,B181="",'Исходные данные'!$B$91="",N('Исходные данные'!$B$80)&lt;=0,'Исходные данные'!$B$88=""),0,IF(AND(YEAR(B181)=YEAR('Исходные данные'!$B$91),MONTH(B181)=MONTH('Исходные данные'!$B$91)),MAX(0,IF('Исходные данные'!$B$88="Последние 12 месяцев",SUMIFS($BF$2:$BF$194,$B$2:$B$194,"&gt;="&amp;EDATE(B181,-11),$B$2:$B$194,"&lt;="&amp;B181),IF('Исходные данные'!$B$88="Пользовательский NOI",N('Исходные данные'!$B$89),BL181))/N('Исходные данные'!$B$80)*(1+N('Исходные данные'!$B$81))),0))</f>
        <v>0</v>
      </c>
      <c r="BN181">
        <f>-BM181*N('Исходные данные'!$B$73)</f>
        <v>0</v>
      </c>
      <c r="BO181">
        <f>IF(BM181=0,0,-N('Исходные данные'!$B$87)-IF('Исходные данные'!$B$82="Да",IF('Исходные данные'!$B$84="С выручки",BM181,IF('Исходные данные'!$B$84="С прибыли",MAX(0,BM181+BN181-IF('Исходные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81">
        <f t="shared" si="110"/>
        <v>0</v>
      </c>
      <c r="BQ181">
        <f>IF(D181=1,Расчёты!AZ181+BE181+BH181+BK181+BP181,0)</f>
        <v>0</v>
      </c>
      <c r="BR181" t="str">
        <f t="shared" si="116"/>
        <v/>
      </c>
      <c r="BS181">
        <f>IF(OR(D181=0,'Исходные данные'!$B$9="",'Исходные данные'!$B$90=""),0,BQ181/(1+'Исходные данные'!$B$90)^((C181-'Исходные данные'!$B$9)/365))</f>
        <v>0</v>
      </c>
      <c r="BT181">
        <f>IF(D181=1,BE181+Расчёты!O181+Расчёты!Q181+Расчёты!S181+Расчёты!U181+Расчёты!W181+Расчёты!X181+BH181+BK181,0)</f>
        <v>0</v>
      </c>
      <c r="BU181">
        <f>IF(AND(D181=1,BR181&gt;=0,BR180&lt;0,MIN($BR$2:BR181)&lt;0),1,0)</f>
        <v>0</v>
      </c>
      <c r="BV181">
        <f>Расчёты!AZ181+K181+N181-P181*N('Исходные данные'!$B$50)</f>
        <v>0</v>
      </c>
      <c r="BW181">
        <f t="shared" si="96"/>
        <v>0</v>
      </c>
      <c r="BX181">
        <f>IF(AND(BW181&gt;=0,BW180&lt;0,MIN($BW$2:BW181)&lt;0),1,0)</f>
        <v>0</v>
      </c>
      <c r="BY181">
        <f>Расчёты!AZ181+AH181+AK181-AM181*N('Исходные данные'!$B$50)</f>
        <v>0</v>
      </c>
      <c r="BZ181">
        <f t="shared" si="97"/>
        <v>0</v>
      </c>
      <c r="CA181">
        <f>IF(AND(BZ181&gt;=0,BZ180&lt;0,MIN($BZ$2:BZ181)&lt;0),1,0)</f>
        <v>0</v>
      </c>
      <c r="CB181">
        <f>Расчёты!AZ181+BE181+BH181-BJ181*N('Исходные данные'!$B$50)</f>
        <v>0</v>
      </c>
      <c r="CC181">
        <f t="shared" si="98"/>
        <v>0</v>
      </c>
      <c r="CD181">
        <f>IF(AND(CC181&gt;=0,CC180&lt;0,MIN($CC$2:CC181)&lt;0),1,0)</f>
        <v>0</v>
      </c>
    </row>
    <row r="182" spans="1:82" x14ac:dyDescent="0.2">
      <c r="A182">
        <f>Расчёты!A182</f>
        <v>181</v>
      </c>
      <c r="B182" t="str">
        <f>Расчёты!B182</f>
        <v/>
      </c>
      <c r="C182" t="str">
        <f>Расчёты!D182</f>
        <v/>
      </c>
      <c r="D182">
        <f>Расчёты!E182</f>
        <v>0</v>
      </c>
      <c r="E182">
        <f>IF(Расчёты!F182=0,0,IF(Расчёты!G182=1,N('Сценарный анализ'!$B$5),IF(Расчёты!G182=2,N('Сценарный анализ'!$B$6),IF(Расчёты!G182=3,N('Сценарный анализ'!$B$7),N('Сценарный анализ'!$B$7)*(1+N('Сценарный анализ'!$B$8))^(Расчёты!G182-3)))))</f>
        <v>0</v>
      </c>
      <c r="F182">
        <f>IF(OR(Расчёты!F182=0,N('Исходные данные'!$B$5)=0,E182=0),0,N('Исходные данные'!$B$5)*E182*IF(AND(B182&lt;='Исходные данные'!$B$30,Расчёты!C182&gt;='Исходные данные'!$B$30),(Расчёты!C182-'Исходные данные'!$B$30+1)/DAY(Расчёты!C182),1))</f>
        <v>0</v>
      </c>
      <c r="G182">
        <f>IF(AND(Расчёты!F182&gt;0,Расчёты!F182&lt;=N('Исходные данные'!$B$37)),-F182,0)</f>
        <v>0</v>
      </c>
      <c r="H182">
        <f>IF(OR(Расчёты!F182=0,Расчёты!F182&lt;=N('Исходные данные'!$B$37)),0,-(F182+G182)*N('Сценарный анализ'!$B$9))</f>
        <v>0</v>
      </c>
      <c r="I182">
        <f t="shared" si="99"/>
        <v>0</v>
      </c>
      <c r="J182">
        <f>IF('Исходные данные'!$B$51="Да",I182*N('Исходные данные'!$B$52),0)</f>
        <v>0</v>
      </c>
      <c r="K182">
        <f t="shared" si="100"/>
        <v>0</v>
      </c>
      <c r="L182">
        <f>I182+(Расчёты!Y182-Расчёты!L182)</f>
        <v>0</v>
      </c>
      <c r="M182">
        <f t="shared" si="111"/>
        <v>0</v>
      </c>
      <c r="N182">
        <f>IF('Исходные данные'!$B$51="Да",-MAX(0,J182+Расчёты!R182+Расчёты!V182-Расчёты!P182-Расчёты!T182-M182),0)</f>
        <v>0</v>
      </c>
      <c r="O182">
        <f>IF('Исходные данные'!$B$51="Да",MAX(0,M182+Расчёты!P182+Расчёты!T182-J182-Расчёты!R182-Расчёты!V182),0)</f>
        <v>0</v>
      </c>
      <c r="P182">
        <f>IF('Исходные данные'!$B$53="Выручка",MAX(0,I182+(Расчёты!Q182-Расчёты!R182)+(Расчёты!U182-Расчёты!V182)),IF('Исходные данные'!$B$53="Прибыль до налога",MAX(0,I182+(Расчёты!Q182-Расчёты!R182)+(Расчёты!U182-Расчёты!V182)+N('Исходные данные'!$B$54)*((Расчёты!O182+Расчёты!P182)+(Расчёты!S182+Расчёты!T182)+Расчёты!W182+Расчёты!X182)+IF('Исходные данные'!$B$55="Да",Расчёты!AG182,0)-N('Исходные данные'!$B$56)/12),IF('Исходные данные'!$B$53="Пользовательская база",MAX(0,N('Исходные данные'!$B$57)/12),0)))</f>
        <v>0</v>
      </c>
      <c r="Q182">
        <f>IF(D182=1,-P182*N('Исходные данные'!$B$50),0)</f>
        <v>0</v>
      </c>
      <c r="R182">
        <f t="shared" si="101"/>
        <v>0</v>
      </c>
      <c r="S182">
        <f>IF(OR(D182&lt;&gt;1,B182="",'Исходные данные'!$B$91="",N('Исходные данные'!$B$80)&lt;=0,'Исходные данные'!$B$88=""),0,IF(AND(YEAR(B182)=YEAR('Исходные данные'!$B$91),MONTH(B182)=MONTH('Исходные данные'!$B$91)),MAX(0,IF('Исходные данные'!$B$88="Последние 12 месяцев",SUMIFS($L$2:$L$194,$B$2:$B$194,"&gt;="&amp;EDATE(B182,-11),$B$2:$B$194,"&lt;="&amp;B182),IF('Исходные данные'!$B$88="Пользовательский NOI",N('Исходные данные'!$B$89),R182))/N('Исходные данные'!$B$80)*(1+N('Исходные данные'!$B$81))),0))</f>
        <v>0</v>
      </c>
      <c r="T182">
        <f>-S182*N('Исходные данные'!$B$73)</f>
        <v>0</v>
      </c>
      <c r="U182">
        <f>IF(S182=0,0,-N('Исходные данные'!$B$87)-IF('Исходные данные'!$B$82="Да",IF('Исходные данные'!$B$84="С выручки",S182,IF('Исходные данные'!$B$84="С прибыли",MAX(0,S182+T182-IF('Исходные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82">
        <f t="shared" si="102"/>
        <v>0</v>
      </c>
      <c r="W182">
        <f>IF(D182=1,Расчёты!AZ182+K182+N182+Q182+V182,0)</f>
        <v>0</v>
      </c>
      <c r="X182" t="str">
        <f t="shared" si="112"/>
        <v/>
      </c>
      <c r="Y182">
        <f>IF(OR(D182=0,'Исходные данные'!$B$9="",'Исходные данные'!$B$90=""),0,W182/(1+'Исходные данные'!$B$90)^((C182-'Исходные данные'!$B$9)/365))</f>
        <v>0</v>
      </c>
      <c r="Z182">
        <f>IF(D182=1,K182+Расчёты!O182+Расчёты!Q182+Расчёты!S182+Расчёты!U182+Расчёты!W182+Расчёты!X182+N182+Q182,0)</f>
        <v>0</v>
      </c>
      <c r="AA182">
        <f>IF(AND(D182=1,X182&gt;=0,X181&lt;0,MIN($X$2:X182)&lt;0),1,0)</f>
        <v>0</v>
      </c>
      <c r="AB182">
        <f>IF(Расчёты!F182=0,0,IF(Расчёты!G182=1,N('Сценарный анализ'!$C$5),IF(Расчёты!G182=2,N('Сценарный анализ'!$C$6),IF(Расчёты!G182=3,N('Сценарный анализ'!$C$7),N('Сценарный анализ'!$C$7)*(1+N('Сценарный анализ'!$C$8))^(Расчёты!G182-3)))))</f>
        <v>0</v>
      </c>
      <c r="AC182">
        <f>IF(OR(Расчёты!F182=0,N('Исходные данные'!$B$5)=0,AB182=0),0,N('Исходные данные'!$B$5)*AB182*IF(AND(B182&lt;='Исходные данные'!$B$30,Расчёты!C182&gt;='Исходные данные'!$B$30),(Расчёты!C182-'Исходные данные'!$B$30+1)/DAY(Расчёты!C182),1))</f>
        <v>0</v>
      </c>
      <c r="AD182">
        <f>IF(AND(Расчёты!F182&gt;0,Расчёты!F182&lt;=N('Исходные данные'!$B$37)),-AC182,0)</f>
        <v>0</v>
      </c>
      <c r="AE182">
        <f>IF(OR(Расчёты!F182=0,Расчёты!F182&lt;=N('Исходные данные'!$B$37)),0,-(AC182+AD182)*N('Сценарный анализ'!$C$9))</f>
        <v>0</v>
      </c>
      <c r="AF182">
        <f t="shared" si="103"/>
        <v>0</v>
      </c>
      <c r="AG182">
        <f>IF('Исходные данные'!$B$51="Да",AF182*N('Исходные данные'!$B$52),0)</f>
        <v>0</v>
      </c>
      <c r="AH182">
        <f t="shared" si="104"/>
        <v>0</v>
      </c>
      <c r="AI182">
        <f>AF182+(Расчёты!Y182-Расчёты!L182)</f>
        <v>0</v>
      </c>
      <c r="AJ182">
        <f t="shared" si="113"/>
        <v>0</v>
      </c>
      <c r="AK182">
        <f>IF('Исходные данные'!$B$51="Да",-MAX(0,AG182+Расчёты!R182+Расчёты!V182-Расчёты!P182-Расчёты!T182-AJ182),0)</f>
        <v>0</v>
      </c>
      <c r="AL182">
        <f>IF('Исходные данные'!$B$51="Да",MAX(0,AJ182+Расчёты!P182+Расчёты!T182-AG182-Расчёты!R182-Расчёты!V182),0)</f>
        <v>0</v>
      </c>
      <c r="AM182">
        <f>IF('Исходные данные'!$B$53="Выручка",MAX(0,AF182+(Расчёты!Q182-Расчёты!R182)+(Расчёты!U182-Расчёты!V182)),IF('Исходные данные'!$B$53="Прибыль до налога",MAX(0,AF182+(Расчёты!Q182-Расчёты!R182)+(Расчёты!U182-Расчёты!V182)+N('Исходные данные'!$B$54)*((Расчёты!O182+Расчёты!P182)+(Расчёты!S182+Расчёты!T182)+Расчёты!W182+Расчёты!X182)+IF('Исходные данные'!$B$55="Да",Расчёты!AG182,0)-N('Исходные данные'!$B$56)/12),IF('Исходные данные'!$B$53="Пользовательская база",MAX(0,N('Исходные данные'!$B$57)/12),0)))</f>
        <v>0</v>
      </c>
      <c r="AN182">
        <f>IF(D182=1,-AM182*N('Исходные данные'!$B$50),0)</f>
        <v>0</v>
      </c>
      <c r="AO182">
        <f t="shared" si="105"/>
        <v>0</v>
      </c>
      <c r="AP182">
        <f>IF(OR(D182&lt;&gt;1,B182="",'Исходные данные'!$B$91="",N('Исходные данные'!$B$80)&lt;=0,'Исходные данные'!$B$88=""),0,IF(AND(YEAR(B182)=YEAR('Исходные данные'!$B$91),MONTH(B182)=MONTH('Исходные данные'!$B$91)),MAX(0,IF('Исходные данные'!$B$88="Последние 12 месяцев",SUMIFS($AI$2:$AI$194,$B$2:$B$194,"&gt;="&amp;EDATE(B182,-11),$B$2:$B$194,"&lt;="&amp;B182),IF('Исходные данные'!$B$88="Пользовательский NOI",N('Исходные данные'!$B$89),AO182))/N('Исходные данные'!$B$80)*(1+N('Исходные данные'!$B$81))),0))</f>
        <v>0</v>
      </c>
      <c r="AQ182">
        <f>-AP182*N('Исходные данные'!$B$73)</f>
        <v>0</v>
      </c>
      <c r="AR182">
        <f>IF(AP182=0,0,-N('Исходные данные'!$B$87)-IF('Исходные данные'!$B$82="Да",IF('Исходные данные'!$B$84="С выручки",AP182,IF('Исходные данные'!$B$84="С прибыли",MAX(0,AP182+AQ182-IF('Исходные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82">
        <f t="shared" si="106"/>
        <v>0</v>
      </c>
      <c r="AT182">
        <f>IF(D182=1,Расчёты!AZ182+AH182+AK182+AN182+AS182,0)</f>
        <v>0</v>
      </c>
      <c r="AU182" t="str">
        <f t="shared" si="114"/>
        <v/>
      </c>
      <c r="AV182">
        <f>IF(OR(D182=0,'Исходные данные'!$B$9="",'Исходные данные'!$B$90=""),0,AT182/(1+'Исходные данные'!$B$90)^((C182-'Исходные данные'!$B$9)/365))</f>
        <v>0</v>
      </c>
      <c r="AW182">
        <f>IF(D182=1,AH182+Расчёты!O182+Расчёты!Q182+Расчёты!S182+Расчёты!U182+Расчёты!W182+Расчёты!X182+AK182+AN182,0)</f>
        <v>0</v>
      </c>
      <c r="AX182">
        <f>IF(AND(D182=1,AU182&gt;=0,AU181&lt;0,MIN($AU$2:AU182)&lt;0),1,0)</f>
        <v>0</v>
      </c>
      <c r="AY182">
        <f>IF(Расчёты!F182=0,0,IF(Расчёты!G182=1,N('Сценарный анализ'!$D$5),IF(Расчёты!G182=2,N('Сценарный анализ'!$D$6),IF(Расчёты!G182=3,N('Сценарный анализ'!$D$7),N('Сценарный анализ'!$D$7)*(1+N('Сценарный анализ'!$D$8))^(Расчёты!G182-3)))))</f>
        <v>0</v>
      </c>
      <c r="AZ182">
        <f>IF(OR(Расчёты!F182=0,N('Исходные данные'!$B$5)=0,AY182=0),0,N('Исходные данные'!$B$5)*AY182*IF(AND(B182&lt;='Исходные данные'!$B$30,Расчёты!C182&gt;='Исходные данные'!$B$30),(Расчёты!C182-'Исходные данные'!$B$30+1)/DAY(Расчёты!C182),1))</f>
        <v>0</v>
      </c>
      <c r="BA182">
        <f>IF(AND(Расчёты!F182&gt;0,Расчёты!F182&lt;=N('Исходные данные'!$B$37)),-AZ182,0)</f>
        <v>0</v>
      </c>
      <c r="BB182">
        <f>IF(OR(Расчёты!F182=0,Расчёты!F182&lt;=N('Исходные данные'!$B$37)),0,-(AZ182+BA182)*N('Сценарный анализ'!$D$9))</f>
        <v>0</v>
      </c>
      <c r="BC182">
        <f t="shared" si="107"/>
        <v>0</v>
      </c>
      <c r="BD182">
        <f>IF('Исходные данные'!$B$51="Да",BC182*N('Исходные данные'!$B$52),0)</f>
        <v>0</v>
      </c>
      <c r="BE182">
        <f t="shared" si="108"/>
        <v>0</v>
      </c>
      <c r="BF182">
        <f>BC182+(Расчёты!Y182-Расчёты!L182)</f>
        <v>0</v>
      </c>
      <c r="BG182">
        <f t="shared" si="115"/>
        <v>0</v>
      </c>
      <c r="BH182">
        <f>IF('Исходные данные'!$B$51="Да",-MAX(0,BD182+Расчёты!R182+Расчёты!V182-Расчёты!P182-Расчёты!T182-BG182),0)</f>
        <v>0</v>
      </c>
      <c r="BI182">
        <f>IF('Исходные данные'!$B$51="Да",MAX(0,BG182+Расчёты!P182+Расчёты!T182-BD182-Расчёты!R182-Расчёты!V182),0)</f>
        <v>0</v>
      </c>
      <c r="BJ182">
        <f>IF('Исходные данные'!$B$53="Выручка",MAX(0,BC182+(Расчёты!Q182-Расчёты!R182)+(Расчёты!U182-Расчёты!V182)),IF('Исходные данные'!$B$53="Прибыль до налога",MAX(0,BC182+(Расчёты!Q182-Расчёты!R182)+(Расчёты!U182-Расчёты!V182)+N('Исходные данные'!$B$54)*((Расчёты!O182+Расчёты!P182)+(Расчёты!S182+Расчёты!T182)+Расчёты!W182+Расчёты!X182)+IF('Исходные данные'!$B$55="Да",Расчёты!AG182,0)-N('Исходные данные'!$B$56)/12),IF('Исходные данные'!$B$53="Пользовательская база",MAX(0,N('Исходные данные'!$B$57)/12),0)))</f>
        <v>0</v>
      </c>
      <c r="BK182">
        <f>IF(D182=1,-BJ182*N('Исходные данные'!$B$50),0)</f>
        <v>0</v>
      </c>
      <c r="BL182">
        <f t="shared" si="109"/>
        <v>0</v>
      </c>
      <c r="BM182">
        <f>IF(OR(D182&lt;&gt;1,B182="",'Исходные данные'!$B$91="",N('Исходные данные'!$B$80)&lt;=0,'Исходные данные'!$B$88=""),0,IF(AND(YEAR(B182)=YEAR('Исходные данные'!$B$91),MONTH(B182)=MONTH('Исходные данные'!$B$91)),MAX(0,IF('Исходные данные'!$B$88="Последние 12 месяцев",SUMIFS($BF$2:$BF$194,$B$2:$B$194,"&gt;="&amp;EDATE(B182,-11),$B$2:$B$194,"&lt;="&amp;B182),IF('Исходные данные'!$B$88="Пользовательский NOI",N('Исходные данные'!$B$89),BL182))/N('Исходные данные'!$B$80)*(1+N('Исходные данные'!$B$81))),0))</f>
        <v>0</v>
      </c>
      <c r="BN182">
        <f>-BM182*N('Исходные данные'!$B$73)</f>
        <v>0</v>
      </c>
      <c r="BO182">
        <f>IF(BM182=0,0,-N('Исходные данные'!$B$87)-IF('Исходные данные'!$B$82="Да",IF('Исходные данные'!$B$84="С выручки",BM182,IF('Исходные данные'!$B$84="С прибыли",MAX(0,BM182+BN182-IF('Исходные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82">
        <f t="shared" si="110"/>
        <v>0</v>
      </c>
      <c r="BQ182">
        <f>IF(D182=1,Расчёты!AZ182+BE182+BH182+BK182+BP182,0)</f>
        <v>0</v>
      </c>
      <c r="BR182" t="str">
        <f t="shared" si="116"/>
        <v/>
      </c>
      <c r="BS182">
        <f>IF(OR(D182=0,'Исходные данные'!$B$9="",'Исходные данные'!$B$90=""),0,BQ182/(1+'Исходные данные'!$B$90)^((C182-'Исходные данные'!$B$9)/365))</f>
        <v>0</v>
      </c>
      <c r="BT182">
        <f>IF(D182=1,BE182+Расчёты!O182+Расчёты!Q182+Расчёты!S182+Расчёты!U182+Расчёты!W182+Расчёты!X182+BH182+BK182,0)</f>
        <v>0</v>
      </c>
      <c r="BU182">
        <f>IF(AND(D182=1,BR182&gt;=0,BR181&lt;0,MIN($BR$2:BR182)&lt;0),1,0)</f>
        <v>0</v>
      </c>
      <c r="BV182">
        <f>Расчёты!AZ182+K182+N182-P182*N('Исходные данные'!$B$50)</f>
        <v>0</v>
      </c>
      <c r="BW182">
        <f t="shared" si="96"/>
        <v>0</v>
      </c>
      <c r="BX182">
        <f>IF(AND(BW182&gt;=0,BW181&lt;0,MIN($BW$2:BW182)&lt;0),1,0)</f>
        <v>0</v>
      </c>
      <c r="BY182">
        <f>Расчёты!AZ182+AH182+AK182-AM182*N('Исходные данные'!$B$50)</f>
        <v>0</v>
      </c>
      <c r="BZ182">
        <f t="shared" si="97"/>
        <v>0</v>
      </c>
      <c r="CA182">
        <f>IF(AND(BZ182&gt;=0,BZ181&lt;0,MIN($BZ$2:BZ182)&lt;0),1,0)</f>
        <v>0</v>
      </c>
      <c r="CB182">
        <f>Расчёты!AZ182+BE182+BH182-BJ182*N('Исходные данные'!$B$50)</f>
        <v>0</v>
      </c>
      <c r="CC182">
        <f t="shared" si="98"/>
        <v>0</v>
      </c>
      <c r="CD182">
        <f>IF(AND(CC182&gt;=0,CC181&lt;0,MIN($CC$2:CC182)&lt;0),1,0)</f>
        <v>0</v>
      </c>
    </row>
    <row r="183" spans="1:82" x14ac:dyDescent="0.2">
      <c r="A183">
        <f>Расчёты!A183</f>
        <v>182</v>
      </c>
      <c r="B183" t="str">
        <f>Расчёты!B183</f>
        <v/>
      </c>
      <c r="C183" t="str">
        <f>Расчёты!D183</f>
        <v/>
      </c>
      <c r="D183">
        <f>Расчёты!E183</f>
        <v>0</v>
      </c>
      <c r="E183">
        <f>IF(Расчёты!F183=0,0,IF(Расчёты!G183=1,N('Сценарный анализ'!$B$5),IF(Расчёты!G183=2,N('Сценарный анализ'!$B$6),IF(Расчёты!G183=3,N('Сценарный анализ'!$B$7),N('Сценарный анализ'!$B$7)*(1+N('Сценарный анализ'!$B$8))^(Расчёты!G183-3)))))</f>
        <v>0</v>
      </c>
      <c r="F183">
        <f>IF(OR(Расчёты!F183=0,N('Исходные данные'!$B$5)=0,E183=0),0,N('Исходные данные'!$B$5)*E183*IF(AND(B183&lt;='Исходные данные'!$B$30,Расчёты!C183&gt;='Исходные данные'!$B$30),(Расчёты!C183-'Исходные данные'!$B$30+1)/DAY(Расчёты!C183),1))</f>
        <v>0</v>
      </c>
      <c r="G183">
        <f>IF(AND(Расчёты!F183&gt;0,Расчёты!F183&lt;=N('Исходные данные'!$B$37)),-F183,0)</f>
        <v>0</v>
      </c>
      <c r="H183">
        <f>IF(OR(Расчёты!F183=0,Расчёты!F183&lt;=N('Исходные данные'!$B$37)),0,-(F183+G183)*N('Сценарный анализ'!$B$9))</f>
        <v>0</v>
      </c>
      <c r="I183">
        <f t="shared" si="99"/>
        <v>0</v>
      </c>
      <c r="J183">
        <f>IF('Исходные данные'!$B$51="Да",I183*N('Исходные данные'!$B$52),0)</f>
        <v>0</v>
      </c>
      <c r="K183">
        <f t="shared" si="100"/>
        <v>0</v>
      </c>
      <c r="L183">
        <f>I183+(Расчёты!Y183-Расчёты!L183)</f>
        <v>0</v>
      </c>
      <c r="M183">
        <f t="shared" si="111"/>
        <v>0</v>
      </c>
      <c r="N183">
        <f>IF('Исходные данные'!$B$51="Да",-MAX(0,J183+Расчёты!R183+Расчёты!V183-Расчёты!P183-Расчёты!T183-M183),0)</f>
        <v>0</v>
      </c>
      <c r="O183">
        <f>IF('Исходные данные'!$B$51="Да",MAX(0,M183+Расчёты!P183+Расчёты!T183-J183-Расчёты!R183-Расчёты!V183),0)</f>
        <v>0</v>
      </c>
      <c r="P183">
        <f>IF('Исходные данные'!$B$53="Выручка",MAX(0,I183+(Расчёты!Q183-Расчёты!R183)+(Расчёты!U183-Расчёты!V183)),IF('Исходные данные'!$B$53="Прибыль до налога",MAX(0,I183+(Расчёты!Q183-Расчёты!R183)+(Расчёты!U183-Расчёты!V183)+N('Исходные данные'!$B$54)*((Расчёты!O183+Расчёты!P183)+(Расчёты!S183+Расчёты!T183)+Расчёты!W183+Расчёты!X183)+IF('Исходные данные'!$B$55="Да",Расчёты!AG183,0)-N('Исходные данные'!$B$56)/12),IF('Исходные данные'!$B$53="Пользовательская база",MAX(0,N('Исходные данные'!$B$57)/12),0)))</f>
        <v>0</v>
      </c>
      <c r="Q183">
        <f>IF(D183=1,-P183*N('Исходные данные'!$B$50),0)</f>
        <v>0</v>
      </c>
      <c r="R183">
        <f t="shared" si="101"/>
        <v>0</v>
      </c>
      <c r="S183">
        <f>IF(OR(D183&lt;&gt;1,B183="",'Исходные данные'!$B$91="",N('Исходные данные'!$B$80)&lt;=0,'Исходные данные'!$B$88=""),0,IF(AND(YEAR(B183)=YEAR('Исходные данные'!$B$91),MONTH(B183)=MONTH('Исходные данные'!$B$91)),MAX(0,IF('Исходные данные'!$B$88="Последние 12 месяцев",SUMIFS($L$2:$L$194,$B$2:$B$194,"&gt;="&amp;EDATE(B183,-11),$B$2:$B$194,"&lt;="&amp;B183),IF('Исходные данные'!$B$88="Пользовательский NOI",N('Исходные данные'!$B$89),R183))/N('Исходные данные'!$B$80)*(1+N('Исходные данные'!$B$81))),0))</f>
        <v>0</v>
      </c>
      <c r="T183">
        <f>-S183*N('Исходные данные'!$B$73)</f>
        <v>0</v>
      </c>
      <c r="U183">
        <f>IF(S183=0,0,-N('Исходные данные'!$B$87)-IF('Исходные данные'!$B$82="Да",IF('Исходные данные'!$B$84="С выручки",S183,IF('Исходные данные'!$B$84="С прибыли",MAX(0,S183+T183-IF('Исходные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83">
        <f t="shared" si="102"/>
        <v>0</v>
      </c>
      <c r="W183">
        <f>IF(D183=1,Расчёты!AZ183+K183+N183+Q183+V183,0)</f>
        <v>0</v>
      </c>
      <c r="X183" t="str">
        <f t="shared" si="112"/>
        <v/>
      </c>
      <c r="Y183">
        <f>IF(OR(D183=0,'Исходные данные'!$B$9="",'Исходные данные'!$B$90=""),0,W183/(1+'Исходные данные'!$B$90)^((C183-'Исходные данные'!$B$9)/365))</f>
        <v>0</v>
      </c>
      <c r="Z183">
        <f>IF(D183=1,K183+Расчёты!O183+Расчёты!Q183+Расчёты!S183+Расчёты!U183+Расчёты!W183+Расчёты!X183+N183+Q183,0)</f>
        <v>0</v>
      </c>
      <c r="AA183">
        <f>IF(AND(D183=1,X183&gt;=0,X182&lt;0,MIN($X$2:X183)&lt;0),1,0)</f>
        <v>0</v>
      </c>
      <c r="AB183">
        <f>IF(Расчёты!F183=0,0,IF(Расчёты!G183=1,N('Сценарный анализ'!$C$5),IF(Расчёты!G183=2,N('Сценарный анализ'!$C$6),IF(Расчёты!G183=3,N('Сценарный анализ'!$C$7),N('Сценарный анализ'!$C$7)*(1+N('Сценарный анализ'!$C$8))^(Расчёты!G183-3)))))</f>
        <v>0</v>
      </c>
      <c r="AC183">
        <f>IF(OR(Расчёты!F183=0,N('Исходные данные'!$B$5)=0,AB183=0),0,N('Исходные данные'!$B$5)*AB183*IF(AND(B183&lt;='Исходные данные'!$B$30,Расчёты!C183&gt;='Исходные данные'!$B$30),(Расчёты!C183-'Исходные данные'!$B$30+1)/DAY(Расчёты!C183),1))</f>
        <v>0</v>
      </c>
      <c r="AD183">
        <f>IF(AND(Расчёты!F183&gt;0,Расчёты!F183&lt;=N('Исходные данные'!$B$37)),-AC183,0)</f>
        <v>0</v>
      </c>
      <c r="AE183">
        <f>IF(OR(Расчёты!F183=0,Расчёты!F183&lt;=N('Исходные данные'!$B$37)),0,-(AC183+AD183)*N('Сценарный анализ'!$C$9))</f>
        <v>0</v>
      </c>
      <c r="AF183">
        <f t="shared" si="103"/>
        <v>0</v>
      </c>
      <c r="AG183">
        <f>IF('Исходные данные'!$B$51="Да",AF183*N('Исходные данные'!$B$52),0)</f>
        <v>0</v>
      </c>
      <c r="AH183">
        <f t="shared" si="104"/>
        <v>0</v>
      </c>
      <c r="AI183">
        <f>AF183+(Расчёты!Y183-Расчёты!L183)</f>
        <v>0</v>
      </c>
      <c r="AJ183">
        <f t="shared" si="113"/>
        <v>0</v>
      </c>
      <c r="AK183">
        <f>IF('Исходные данные'!$B$51="Да",-MAX(0,AG183+Расчёты!R183+Расчёты!V183-Расчёты!P183-Расчёты!T183-AJ183),0)</f>
        <v>0</v>
      </c>
      <c r="AL183">
        <f>IF('Исходные данные'!$B$51="Да",MAX(0,AJ183+Расчёты!P183+Расчёты!T183-AG183-Расчёты!R183-Расчёты!V183),0)</f>
        <v>0</v>
      </c>
      <c r="AM183">
        <f>IF('Исходные данные'!$B$53="Выручка",MAX(0,AF183+(Расчёты!Q183-Расчёты!R183)+(Расчёты!U183-Расчёты!V183)),IF('Исходные данные'!$B$53="Прибыль до налога",MAX(0,AF183+(Расчёты!Q183-Расчёты!R183)+(Расчёты!U183-Расчёты!V183)+N('Исходные данные'!$B$54)*((Расчёты!O183+Расчёты!P183)+(Расчёты!S183+Расчёты!T183)+Расчёты!W183+Расчёты!X183)+IF('Исходные данные'!$B$55="Да",Расчёты!AG183,0)-N('Исходные данные'!$B$56)/12),IF('Исходные данные'!$B$53="Пользовательская база",MAX(0,N('Исходные данные'!$B$57)/12),0)))</f>
        <v>0</v>
      </c>
      <c r="AN183">
        <f>IF(D183=1,-AM183*N('Исходные данные'!$B$50),0)</f>
        <v>0</v>
      </c>
      <c r="AO183">
        <f t="shared" si="105"/>
        <v>0</v>
      </c>
      <c r="AP183">
        <f>IF(OR(D183&lt;&gt;1,B183="",'Исходные данные'!$B$91="",N('Исходные данные'!$B$80)&lt;=0,'Исходные данные'!$B$88=""),0,IF(AND(YEAR(B183)=YEAR('Исходные данные'!$B$91),MONTH(B183)=MONTH('Исходные данные'!$B$91)),MAX(0,IF('Исходные данные'!$B$88="Последние 12 месяцев",SUMIFS($AI$2:$AI$194,$B$2:$B$194,"&gt;="&amp;EDATE(B183,-11),$B$2:$B$194,"&lt;="&amp;B183),IF('Исходные данные'!$B$88="Пользовательский NOI",N('Исходные данные'!$B$89),AO183))/N('Исходные данные'!$B$80)*(1+N('Исходные данные'!$B$81))),0))</f>
        <v>0</v>
      </c>
      <c r="AQ183">
        <f>-AP183*N('Исходные данные'!$B$73)</f>
        <v>0</v>
      </c>
      <c r="AR183">
        <f>IF(AP183=0,0,-N('Исходные данные'!$B$87)-IF('Исходные данные'!$B$82="Да",IF('Исходные данные'!$B$84="С выручки",AP183,IF('Исходные данные'!$B$84="С прибыли",MAX(0,AP183+AQ183-IF('Исходные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83">
        <f t="shared" si="106"/>
        <v>0</v>
      </c>
      <c r="AT183">
        <f>IF(D183=1,Расчёты!AZ183+AH183+AK183+AN183+AS183,0)</f>
        <v>0</v>
      </c>
      <c r="AU183" t="str">
        <f t="shared" si="114"/>
        <v/>
      </c>
      <c r="AV183">
        <f>IF(OR(D183=0,'Исходные данные'!$B$9="",'Исходные данные'!$B$90=""),0,AT183/(1+'Исходные данные'!$B$90)^((C183-'Исходные данные'!$B$9)/365))</f>
        <v>0</v>
      </c>
      <c r="AW183">
        <f>IF(D183=1,AH183+Расчёты!O183+Расчёты!Q183+Расчёты!S183+Расчёты!U183+Расчёты!W183+Расчёты!X183+AK183+AN183,0)</f>
        <v>0</v>
      </c>
      <c r="AX183">
        <f>IF(AND(D183=1,AU183&gt;=0,AU182&lt;0,MIN($AU$2:AU183)&lt;0),1,0)</f>
        <v>0</v>
      </c>
      <c r="AY183">
        <f>IF(Расчёты!F183=0,0,IF(Расчёты!G183=1,N('Сценарный анализ'!$D$5),IF(Расчёты!G183=2,N('Сценарный анализ'!$D$6),IF(Расчёты!G183=3,N('Сценарный анализ'!$D$7),N('Сценарный анализ'!$D$7)*(1+N('Сценарный анализ'!$D$8))^(Расчёты!G183-3)))))</f>
        <v>0</v>
      </c>
      <c r="AZ183">
        <f>IF(OR(Расчёты!F183=0,N('Исходные данные'!$B$5)=0,AY183=0),0,N('Исходные данные'!$B$5)*AY183*IF(AND(B183&lt;='Исходные данные'!$B$30,Расчёты!C183&gt;='Исходные данные'!$B$30),(Расчёты!C183-'Исходные данные'!$B$30+1)/DAY(Расчёты!C183),1))</f>
        <v>0</v>
      </c>
      <c r="BA183">
        <f>IF(AND(Расчёты!F183&gt;0,Расчёты!F183&lt;=N('Исходные данные'!$B$37)),-AZ183,0)</f>
        <v>0</v>
      </c>
      <c r="BB183">
        <f>IF(OR(Расчёты!F183=0,Расчёты!F183&lt;=N('Исходные данные'!$B$37)),0,-(AZ183+BA183)*N('Сценарный анализ'!$D$9))</f>
        <v>0</v>
      </c>
      <c r="BC183">
        <f t="shared" si="107"/>
        <v>0</v>
      </c>
      <c r="BD183">
        <f>IF('Исходные данные'!$B$51="Да",BC183*N('Исходные данные'!$B$52),0)</f>
        <v>0</v>
      </c>
      <c r="BE183">
        <f t="shared" si="108"/>
        <v>0</v>
      </c>
      <c r="BF183">
        <f>BC183+(Расчёты!Y183-Расчёты!L183)</f>
        <v>0</v>
      </c>
      <c r="BG183">
        <f t="shared" si="115"/>
        <v>0</v>
      </c>
      <c r="BH183">
        <f>IF('Исходные данные'!$B$51="Да",-MAX(0,BD183+Расчёты!R183+Расчёты!V183-Расчёты!P183-Расчёты!T183-BG183),0)</f>
        <v>0</v>
      </c>
      <c r="BI183">
        <f>IF('Исходные данные'!$B$51="Да",MAX(0,BG183+Расчёты!P183+Расчёты!T183-BD183-Расчёты!R183-Расчёты!V183),0)</f>
        <v>0</v>
      </c>
      <c r="BJ183">
        <f>IF('Исходные данные'!$B$53="Выручка",MAX(0,BC183+(Расчёты!Q183-Расчёты!R183)+(Расчёты!U183-Расчёты!V183)),IF('Исходные данные'!$B$53="Прибыль до налога",MAX(0,BC183+(Расчёты!Q183-Расчёты!R183)+(Расчёты!U183-Расчёты!V183)+N('Исходные данные'!$B$54)*((Расчёты!O183+Расчёты!P183)+(Расчёты!S183+Расчёты!T183)+Расчёты!W183+Расчёты!X183)+IF('Исходные данные'!$B$55="Да",Расчёты!AG183,0)-N('Исходные данные'!$B$56)/12),IF('Исходные данные'!$B$53="Пользовательская база",MAX(0,N('Исходные данные'!$B$57)/12),0)))</f>
        <v>0</v>
      </c>
      <c r="BK183">
        <f>IF(D183=1,-BJ183*N('Исходные данные'!$B$50),0)</f>
        <v>0</v>
      </c>
      <c r="BL183">
        <f t="shared" si="109"/>
        <v>0</v>
      </c>
      <c r="BM183">
        <f>IF(OR(D183&lt;&gt;1,B183="",'Исходные данные'!$B$91="",N('Исходные данные'!$B$80)&lt;=0,'Исходные данные'!$B$88=""),0,IF(AND(YEAR(B183)=YEAR('Исходные данные'!$B$91),MONTH(B183)=MONTH('Исходные данные'!$B$91)),MAX(0,IF('Исходные данные'!$B$88="Последние 12 месяцев",SUMIFS($BF$2:$BF$194,$B$2:$B$194,"&gt;="&amp;EDATE(B183,-11),$B$2:$B$194,"&lt;="&amp;B183),IF('Исходные данные'!$B$88="Пользовательский NOI",N('Исходные данные'!$B$89),BL183))/N('Исходные данные'!$B$80)*(1+N('Исходные данные'!$B$81))),0))</f>
        <v>0</v>
      </c>
      <c r="BN183">
        <f>-BM183*N('Исходные данные'!$B$73)</f>
        <v>0</v>
      </c>
      <c r="BO183">
        <f>IF(BM183=0,0,-N('Исходные данные'!$B$87)-IF('Исходные данные'!$B$82="Да",IF('Исходные данные'!$B$84="С выручки",BM183,IF('Исходные данные'!$B$84="С прибыли",MAX(0,BM183+BN183-IF('Исходные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83">
        <f t="shared" si="110"/>
        <v>0</v>
      </c>
      <c r="BQ183">
        <f>IF(D183=1,Расчёты!AZ183+BE183+BH183+BK183+BP183,0)</f>
        <v>0</v>
      </c>
      <c r="BR183" t="str">
        <f t="shared" si="116"/>
        <v/>
      </c>
      <c r="BS183">
        <f>IF(OR(D183=0,'Исходные данные'!$B$9="",'Исходные данные'!$B$90=""),0,BQ183/(1+'Исходные данные'!$B$90)^((C183-'Исходные данные'!$B$9)/365))</f>
        <v>0</v>
      </c>
      <c r="BT183">
        <f>IF(D183=1,BE183+Расчёты!O183+Расчёты!Q183+Расчёты!S183+Расчёты!U183+Расчёты!W183+Расчёты!X183+BH183+BK183,0)</f>
        <v>0</v>
      </c>
      <c r="BU183">
        <f>IF(AND(D183=1,BR183&gt;=0,BR182&lt;0,MIN($BR$2:BR183)&lt;0),1,0)</f>
        <v>0</v>
      </c>
      <c r="BV183">
        <f>Расчёты!AZ183+K183+N183-P183*N('Исходные данные'!$B$50)</f>
        <v>0</v>
      </c>
      <c r="BW183">
        <f t="shared" si="96"/>
        <v>0</v>
      </c>
      <c r="BX183">
        <f>IF(AND(BW183&gt;=0,BW182&lt;0,MIN($BW$2:BW183)&lt;0),1,0)</f>
        <v>0</v>
      </c>
      <c r="BY183">
        <f>Расчёты!AZ183+AH183+AK183-AM183*N('Исходные данные'!$B$50)</f>
        <v>0</v>
      </c>
      <c r="BZ183">
        <f t="shared" si="97"/>
        <v>0</v>
      </c>
      <c r="CA183">
        <f>IF(AND(BZ183&gt;=0,BZ182&lt;0,MIN($BZ$2:BZ183)&lt;0),1,0)</f>
        <v>0</v>
      </c>
      <c r="CB183">
        <f>Расчёты!AZ183+BE183+BH183-BJ183*N('Исходные данные'!$B$50)</f>
        <v>0</v>
      </c>
      <c r="CC183">
        <f t="shared" si="98"/>
        <v>0</v>
      </c>
      <c r="CD183">
        <f>IF(AND(CC183&gt;=0,CC182&lt;0,MIN($CC$2:CC183)&lt;0),1,0)</f>
        <v>0</v>
      </c>
    </row>
    <row r="184" spans="1:82" x14ac:dyDescent="0.2">
      <c r="A184">
        <f>Расчёты!A184</f>
        <v>183</v>
      </c>
      <c r="B184" t="str">
        <f>Расчёты!B184</f>
        <v/>
      </c>
      <c r="C184" t="str">
        <f>Расчёты!D184</f>
        <v/>
      </c>
      <c r="D184">
        <f>Расчёты!E184</f>
        <v>0</v>
      </c>
      <c r="E184">
        <f>IF(Расчёты!F184=0,0,IF(Расчёты!G184=1,N('Сценарный анализ'!$B$5),IF(Расчёты!G184=2,N('Сценарный анализ'!$B$6),IF(Расчёты!G184=3,N('Сценарный анализ'!$B$7),N('Сценарный анализ'!$B$7)*(1+N('Сценарный анализ'!$B$8))^(Расчёты!G184-3)))))</f>
        <v>0</v>
      </c>
      <c r="F184">
        <f>IF(OR(Расчёты!F184=0,N('Исходные данные'!$B$5)=0,E184=0),0,N('Исходные данные'!$B$5)*E184*IF(AND(B184&lt;='Исходные данные'!$B$30,Расчёты!C184&gt;='Исходные данные'!$B$30),(Расчёты!C184-'Исходные данные'!$B$30+1)/DAY(Расчёты!C184),1))</f>
        <v>0</v>
      </c>
      <c r="G184">
        <f>IF(AND(Расчёты!F184&gt;0,Расчёты!F184&lt;=N('Исходные данные'!$B$37)),-F184,0)</f>
        <v>0</v>
      </c>
      <c r="H184">
        <f>IF(OR(Расчёты!F184=0,Расчёты!F184&lt;=N('Исходные данные'!$B$37)),0,-(F184+G184)*N('Сценарный анализ'!$B$9))</f>
        <v>0</v>
      </c>
      <c r="I184">
        <f t="shared" si="99"/>
        <v>0</v>
      </c>
      <c r="J184">
        <f>IF('Исходные данные'!$B$51="Да",I184*N('Исходные данные'!$B$52),0)</f>
        <v>0</v>
      </c>
      <c r="K184">
        <f t="shared" si="100"/>
        <v>0</v>
      </c>
      <c r="L184">
        <f>I184+(Расчёты!Y184-Расчёты!L184)</f>
        <v>0</v>
      </c>
      <c r="M184">
        <f t="shared" si="111"/>
        <v>0</v>
      </c>
      <c r="N184">
        <f>IF('Исходные данные'!$B$51="Да",-MAX(0,J184+Расчёты!R184+Расчёты!V184-Расчёты!P184-Расчёты!T184-M184),0)</f>
        <v>0</v>
      </c>
      <c r="O184">
        <f>IF('Исходные данные'!$B$51="Да",MAX(0,M184+Расчёты!P184+Расчёты!T184-J184-Расчёты!R184-Расчёты!V184),0)</f>
        <v>0</v>
      </c>
      <c r="P184">
        <f>IF('Исходные данные'!$B$53="Выручка",MAX(0,I184+(Расчёты!Q184-Расчёты!R184)+(Расчёты!U184-Расчёты!V184)),IF('Исходные данные'!$B$53="Прибыль до налога",MAX(0,I184+(Расчёты!Q184-Расчёты!R184)+(Расчёты!U184-Расчёты!V184)+N('Исходные данные'!$B$54)*((Расчёты!O184+Расчёты!P184)+(Расчёты!S184+Расчёты!T184)+Расчёты!W184+Расчёты!X184)+IF('Исходные данные'!$B$55="Да",Расчёты!AG184,0)-N('Исходные данные'!$B$56)/12),IF('Исходные данные'!$B$53="Пользовательская база",MAX(0,N('Исходные данные'!$B$57)/12),0)))</f>
        <v>0</v>
      </c>
      <c r="Q184">
        <f>IF(D184=1,-P184*N('Исходные данные'!$B$50),0)</f>
        <v>0</v>
      </c>
      <c r="R184">
        <f t="shared" si="101"/>
        <v>0</v>
      </c>
      <c r="S184">
        <f>IF(OR(D184&lt;&gt;1,B184="",'Исходные данные'!$B$91="",N('Исходные данные'!$B$80)&lt;=0,'Исходные данные'!$B$88=""),0,IF(AND(YEAR(B184)=YEAR('Исходные данные'!$B$91),MONTH(B184)=MONTH('Исходные данные'!$B$91)),MAX(0,IF('Исходные данные'!$B$88="Последние 12 месяцев",SUMIFS($L$2:$L$194,$B$2:$B$194,"&gt;="&amp;EDATE(B184,-11),$B$2:$B$194,"&lt;="&amp;B184),IF('Исходные данные'!$B$88="Пользовательский NOI",N('Исходные данные'!$B$89),R184))/N('Исходные данные'!$B$80)*(1+N('Исходные данные'!$B$81))),0))</f>
        <v>0</v>
      </c>
      <c r="T184">
        <f>-S184*N('Исходные данные'!$B$73)</f>
        <v>0</v>
      </c>
      <c r="U184">
        <f>IF(S184=0,0,-N('Исходные данные'!$B$87)-IF('Исходные данные'!$B$82="Да",IF('Исходные данные'!$B$84="С выручки",S184,IF('Исходные данные'!$B$84="С прибыли",MAX(0,S184+T184-IF('Исходные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84">
        <f t="shared" si="102"/>
        <v>0</v>
      </c>
      <c r="W184">
        <f>IF(D184=1,Расчёты!AZ184+K184+N184+Q184+V184,0)</f>
        <v>0</v>
      </c>
      <c r="X184" t="str">
        <f t="shared" si="112"/>
        <v/>
      </c>
      <c r="Y184">
        <f>IF(OR(D184=0,'Исходные данные'!$B$9="",'Исходные данные'!$B$90=""),0,W184/(1+'Исходные данные'!$B$90)^((C184-'Исходные данные'!$B$9)/365))</f>
        <v>0</v>
      </c>
      <c r="Z184">
        <f>IF(D184=1,K184+Расчёты!O184+Расчёты!Q184+Расчёты!S184+Расчёты!U184+Расчёты!W184+Расчёты!X184+N184+Q184,0)</f>
        <v>0</v>
      </c>
      <c r="AA184">
        <f>IF(AND(D184=1,X184&gt;=0,X183&lt;0,MIN($X$2:X184)&lt;0),1,0)</f>
        <v>0</v>
      </c>
      <c r="AB184">
        <f>IF(Расчёты!F184=0,0,IF(Расчёты!G184=1,N('Сценарный анализ'!$C$5),IF(Расчёты!G184=2,N('Сценарный анализ'!$C$6),IF(Расчёты!G184=3,N('Сценарный анализ'!$C$7),N('Сценарный анализ'!$C$7)*(1+N('Сценарный анализ'!$C$8))^(Расчёты!G184-3)))))</f>
        <v>0</v>
      </c>
      <c r="AC184">
        <f>IF(OR(Расчёты!F184=0,N('Исходные данные'!$B$5)=0,AB184=0),0,N('Исходные данные'!$B$5)*AB184*IF(AND(B184&lt;='Исходные данные'!$B$30,Расчёты!C184&gt;='Исходные данные'!$B$30),(Расчёты!C184-'Исходные данные'!$B$30+1)/DAY(Расчёты!C184),1))</f>
        <v>0</v>
      </c>
      <c r="AD184">
        <f>IF(AND(Расчёты!F184&gt;0,Расчёты!F184&lt;=N('Исходные данные'!$B$37)),-AC184,0)</f>
        <v>0</v>
      </c>
      <c r="AE184">
        <f>IF(OR(Расчёты!F184=0,Расчёты!F184&lt;=N('Исходные данные'!$B$37)),0,-(AC184+AD184)*N('Сценарный анализ'!$C$9))</f>
        <v>0</v>
      </c>
      <c r="AF184">
        <f t="shared" si="103"/>
        <v>0</v>
      </c>
      <c r="AG184">
        <f>IF('Исходные данные'!$B$51="Да",AF184*N('Исходные данные'!$B$52),0)</f>
        <v>0</v>
      </c>
      <c r="AH184">
        <f t="shared" si="104"/>
        <v>0</v>
      </c>
      <c r="AI184">
        <f>AF184+(Расчёты!Y184-Расчёты!L184)</f>
        <v>0</v>
      </c>
      <c r="AJ184">
        <f t="shared" si="113"/>
        <v>0</v>
      </c>
      <c r="AK184">
        <f>IF('Исходные данные'!$B$51="Да",-MAX(0,AG184+Расчёты!R184+Расчёты!V184-Расчёты!P184-Расчёты!T184-AJ184),0)</f>
        <v>0</v>
      </c>
      <c r="AL184">
        <f>IF('Исходные данные'!$B$51="Да",MAX(0,AJ184+Расчёты!P184+Расчёты!T184-AG184-Расчёты!R184-Расчёты!V184),0)</f>
        <v>0</v>
      </c>
      <c r="AM184">
        <f>IF('Исходные данные'!$B$53="Выручка",MAX(0,AF184+(Расчёты!Q184-Расчёты!R184)+(Расчёты!U184-Расчёты!V184)),IF('Исходные данные'!$B$53="Прибыль до налога",MAX(0,AF184+(Расчёты!Q184-Расчёты!R184)+(Расчёты!U184-Расчёты!V184)+N('Исходные данные'!$B$54)*((Расчёты!O184+Расчёты!P184)+(Расчёты!S184+Расчёты!T184)+Расчёты!W184+Расчёты!X184)+IF('Исходные данные'!$B$55="Да",Расчёты!AG184,0)-N('Исходные данные'!$B$56)/12),IF('Исходные данные'!$B$53="Пользовательская база",MAX(0,N('Исходные данные'!$B$57)/12),0)))</f>
        <v>0</v>
      </c>
      <c r="AN184">
        <f>IF(D184=1,-AM184*N('Исходные данные'!$B$50),0)</f>
        <v>0</v>
      </c>
      <c r="AO184">
        <f t="shared" si="105"/>
        <v>0</v>
      </c>
      <c r="AP184">
        <f>IF(OR(D184&lt;&gt;1,B184="",'Исходные данные'!$B$91="",N('Исходные данные'!$B$80)&lt;=0,'Исходные данные'!$B$88=""),0,IF(AND(YEAR(B184)=YEAR('Исходные данные'!$B$91),MONTH(B184)=MONTH('Исходные данные'!$B$91)),MAX(0,IF('Исходные данные'!$B$88="Последние 12 месяцев",SUMIFS($AI$2:$AI$194,$B$2:$B$194,"&gt;="&amp;EDATE(B184,-11),$B$2:$B$194,"&lt;="&amp;B184),IF('Исходные данные'!$B$88="Пользовательский NOI",N('Исходные данные'!$B$89),AO184))/N('Исходные данные'!$B$80)*(1+N('Исходные данные'!$B$81))),0))</f>
        <v>0</v>
      </c>
      <c r="AQ184">
        <f>-AP184*N('Исходные данные'!$B$73)</f>
        <v>0</v>
      </c>
      <c r="AR184">
        <f>IF(AP184=0,0,-N('Исходные данные'!$B$87)-IF('Исходные данные'!$B$82="Да",IF('Исходные данные'!$B$84="С выручки",AP184,IF('Исходные данные'!$B$84="С прибыли",MAX(0,AP184+AQ184-IF('Исходные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84">
        <f t="shared" si="106"/>
        <v>0</v>
      </c>
      <c r="AT184">
        <f>IF(D184=1,Расчёты!AZ184+AH184+AK184+AN184+AS184,0)</f>
        <v>0</v>
      </c>
      <c r="AU184" t="str">
        <f t="shared" si="114"/>
        <v/>
      </c>
      <c r="AV184">
        <f>IF(OR(D184=0,'Исходные данные'!$B$9="",'Исходные данные'!$B$90=""),0,AT184/(1+'Исходные данные'!$B$90)^((C184-'Исходные данные'!$B$9)/365))</f>
        <v>0</v>
      </c>
      <c r="AW184">
        <f>IF(D184=1,AH184+Расчёты!O184+Расчёты!Q184+Расчёты!S184+Расчёты!U184+Расчёты!W184+Расчёты!X184+AK184+AN184,0)</f>
        <v>0</v>
      </c>
      <c r="AX184">
        <f>IF(AND(D184=1,AU184&gt;=0,AU183&lt;0,MIN($AU$2:AU184)&lt;0),1,0)</f>
        <v>0</v>
      </c>
      <c r="AY184">
        <f>IF(Расчёты!F184=0,0,IF(Расчёты!G184=1,N('Сценарный анализ'!$D$5),IF(Расчёты!G184=2,N('Сценарный анализ'!$D$6),IF(Расчёты!G184=3,N('Сценарный анализ'!$D$7),N('Сценарный анализ'!$D$7)*(1+N('Сценарный анализ'!$D$8))^(Расчёты!G184-3)))))</f>
        <v>0</v>
      </c>
      <c r="AZ184">
        <f>IF(OR(Расчёты!F184=0,N('Исходные данные'!$B$5)=0,AY184=0),0,N('Исходные данные'!$B$5)*AY184*IF(AND(B184&lt;='Исходные данные'!$B$30,Расчёты!C184&gt;='Исходные данные'!$B$30),(Расчёты!C184-'Исходные данные'!$B$30+1)/DAY(Расчёты!C184),1))</f>
        <v>0</v>
      </c>
      <c r="BA184">
        <f>IF(AND(Расчёты!F184&gt;0,Расчёты!F184&lt;=N('Исходные данные'!$B$37)),-AZ184,0)</f>
        <v>0</v>
      </c>
      <c r="BB184">
        <f>IF(OR(Расчёты!F184=0,Расчёты!F184&lt;=N('Исходные данные'!$B$37)),0,-(AZ184+BA184)*N('Сценарный анализ'!$D$9))</f>
        <v>0</v>
      </c>
      <c r="BC184">
        <f t="shared" si="107"/>
        <v>0</v>
      </c>
      <c r="BD184">
        <f>IF('Исходные данные'!$B$51="Да",BC184*N('Исходные данные'!$B$52),0)</f>
        <v>0</v>
      </c>
      <c r="BE184">
        <f t="shared" si="108"/>
        <v>0</v>
      </c>
      <c r="BF184">
        <f>BC184+(Расчёты!Y184-Расчёты!L184)</f>
        <v>0</v>
      </c>
      <c r="BG184">
        <f t="shared" si="115"/>
        <v>0</v>
      </c>
      <c r="BH184">
        <f>IF('Исходные данные'!$B$51="Да",-MAX(0,BD184+Расчёты!R184+Расчёты!V184-Расчёты!P184-Расчёты!T184-BG184),0)</f>
        <v>0</v>
      </c>
      <c r="BI184">
        <f>IF('Исходные данные'!$B$51="Да",MAX(0,BG184+Расчёты!P184+Расчёты!T184-BD184-Расчёты!R184-Расчёты!V184),0)</f>
        <v>0</v>
      </c>
      <c r="BJ184">
        <f>IF('Исходные данные'!$B$53="Выручка",MAX(0,BC184+(Расчёты!Q184-Расчёты!R184)+(Расчёты!U184-Расчёты!V184)),IF('Исходные данные'!$B$53="Прибыль до налога",MAX(0,BC184+(Расчёты!Q184-Расчёты!R184)+(Расчёты!U184-Расчёты!V184)+N('Исходные данные'!$B$54)*((Расчёты!O184+Расчёты!P184)+(Расчёты!S184+Расчёты!T184)+Расчёты!W184+Расчёты!X184)+IF('Исходные данные'!$B$55="Да",Расчёты!AG184,0)-N('Исходные данные'!$B$56)/12),IF('Исходные данные'!$B$53="Пользовательская база",MAX(0,N('Исходные данные'!$B$57)/12),0)))</f>
        <v>0</v>
      </c>
      <c r="BK184">
        <f>IF(D184=1,-BJ184*N('Исходные данные'!$B$50),0)</f>
        <v>0</v>
      </c>
      <c r="BL184">
        <f t="shared" si="109"/>
        <v>0</v>
      </c>
      <c r="BM184">
        <f>IF(OR(D184&lt;&gt;1,B184="",'Исходные данные'!$B$91="",N('Исходные данные'!$B$80)&lt;=0,'Исходные данные'!$B$88=""),0,IF(AND(YEAR(B184)=YEAR('Исходные данные'!$B$91),MONTH(B184)=MONTH('Исходные данные'!$B$91)),MAX(0,IF('Исходные данные'!$B$88="Последние 12 месяцев",SUMIFS($BF$2:$BF$194,$B$2:$B$194,"&gt;="&amp;EDATE(B184,-11),$B$2:$B$194,"&lt;="&amp;B184),IF('Исходные данные'!$B$88="Пользовательский NOI",N('Исходные данные'!$B$89),BL184))/N('Исходные данные'!$B$80)*(1+N('Исходные данные'!$B$81))),0))</f>
        <v>0</v>
      </c>
      <c r="BN184">
        <f>-BM184*N('Исходные данные'!$B$73)</f>
        <v>0</v>
      </c>
      <c r="BO184">
        <f>IF(BM184=0,0,-N('Исходные данные'!$B$87)-IF('Исходные данные'!$B$82="Да",IF('Исходные данные'!$B$84="С выручки",BM184,IF('Исходные данные'!$B$84="С прибыли",MAX(0,BM184+BN184-IF('Исходные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84">
        <f t="shared" si="110"/>
        <v>0</v>
      </c>
      <c r="BQ184">
        <f>IF(D184=1,Расчёты!AZ184+BE184+BH184+BK184+BP184,0)</f>
        <v>0</v>
      </c>
      <c r="BR184" t="str">
        <f t="shared" si="116"/>
        <v/>
      </c>
      <c r="BS184">
        <f>IF(OR(D184=0,'Исходные данные'!$B$9="",'Исходные данные'!$B$90=""),0,BQ184/(1+'Исходные данные'!$B$90)^((C184-'Исходные данные'!$B$9)/365))</f>
        <v>0</v>
      </c>
      <c r="BT184">
        <f>IF(D184=1,BE184+Расчёты!O184+Расчёты!Q184+Расчёты!S184+Расчёты!U184+Расчёты!W184+Расчёты!X184+BH184+BK184,0)</f>
        <v>0</v>
      </c>
      <c r="BU184">
        <f>IF(AND(D184=1,BR184&gt;=0,BR183&lt;0,MIN($BR$2:BR184)&lt;0),1,0)</f>
        <v>0</v>
      </c>
      <c r="BV184">
        <f>Расчёты!AZ184+K184+N184-P184*N('Исходные данные'!$B$50)</f>
        <v>0</v>
      </c>
      <c r="BW184">
        <f t="shared" si="96"/>
        <v>0</v>
      </c>
      <c r="BX184">
        <f>IF(AND(BW184&gt;=0,BW183&lt;0,MIN($BW$2:BW184)&lt;0),1,0)</f>
        <v>0</v>
      </c>
      <c r="BY184">
        <f>Расчёты!AZ184+AH184+AK184-AM184*N('Исходные данные'!$B$50)</f>
        <v>0</v>
      </c>
      <c r="BZ184">
        <f t="shared" si="97"/>
        <v>0</v>
      </c>
      <c r="CA184">
        <f>IF(AND(BZ184&gt;=0,BZ183&lt;0,MIN($BZ$2:BZ184)&lt;0),1,0)</f>
        <v>0</v>
      </c>
      <c r="CB184">
        <f>Расчёты!AZ184+BE184+BH184-BJ184*N('Исходные данные'!$B$50)</f>
        <v>0</v>
      </c>
      <c r="CC184">
        <f t="shared" si="98"/>
        <v>0</v>
      </c>
      <c r="CD184">
        <f>IF(AND(CC184&gt;=0,CC183&lt;0,MIN($CC$2:CC184)&lt;0),1,0)</f>
        <v>0</v>
      </c>
    </row>
    <row r="185" spans="1:82" x14ac:dyDescent="0.2">
      <c r="A185">
        <f>Расчёты!A185</f>
        <v>184</v>
      </c>
      <c r="B185" t="str">
        <f>Расчёты!B185</f>
        <v/>
      </c>
      <c r="C185" t="str">
        <f>Расчёты!D185</f>
        <v/>
      </c>
      <c r="D185">
        <f>Расчёты!E185</f>
        <v>0</v>
      </c>
      <c r="E185">
        <f>IF(Расчёты!F185=0,0,IF(Расчёты!G185=1,N('Сценарный анализ'!$B$5),IF(Расчёты!G185=2,N('Сценарный анализ'!$B$6),IF(Расчёты!G185=3,N('Сценарный анализ'!$B$7),N('Сценарный анализ'!$B$7)*(1+N('Сценарный анализ'!$B$8))^(Расчёты!G185-3)))))</f>
        <v>0</v>
      </c>
      <c r="F185">
        <f>IF(OR(Расчёты!F185=0,N('Исходные данные'!$B$5)=0,E185=0),0,N('Исходные данные'!$B$5)*E185*IF(AND(B185&lt;='Исходные данные'!$B$30,Расчёты!C185&gt;='Исходные данные'!$B$30),(Расчёты!C185-'Исходные данные'!$B$30+1)/DAY(Расчёты!C185),1))</f>
        <v>0</v>
      </c>
      <c r="G185">
        <f>IF(AND(Расчёты!F185&gt;0,Расчёты!F185&lt;=N('Исходные данные'!$B$37)),-F185,0)</f>
        <v>0</v>
      </c>
      <c r="H185">
        <f>IF(OR(Расчёты!F185=0,Расчёты!F185&lt;=N('Исходные данные'!$B$37)),0,-(F185+G185)*N('Сценарный анализ'!$B$9))</f>
        <v>0</v>
      </c>
      <c r="I185">
        <f t="shared" si="99"/>
        <v>0</v>
      </c>
      <c r="J185">
        <f>IF('Исходные данные'!$B$51="Да",I185*N('Исходные данные'!$B$52),0)</f>
        <v>0</v>
      </c>
      <c r="K185">
        <f t="shared" si="100"/>
        <v>0</v>
      </c>
      <c r="L185">
        <f>I185+(Расчёты!Y185-Расчёты!L185)</f>
        <v>0</v>
      </c>
      <c r="M185">
        <f t="shared" si="111"/>
        <v>0</v>
      </c>
      <c r="N185">
        <f>IF('Исходные данные'!$B$51="Да",-MAX(0,J185+Расчёты!R185+Расчёты!V185-Расчёты!P185-Расчёты!T185-M185),0)</f>
        <v>0</v>
      </c>
      <c r="O185">
        <f>IF('Исходные данные'!$B$51="Да",MAX(0,M185+Расчёты!P185+Расчёты!T185-J185-Расчёты!R185-Расчёты!V185),0)</f>
        <v>0</v>
      </c>
      <c r="P185">
        <f>IF('Исходные данные'!$B$53="Выручка",MAX(0,I185+(Расчёты!Q185-Расчёты!R185)+(Расчёты!U185-Расчёты!V185)),IF('Исходные данные'!$B$53="Прибыль до налога",MAX(0,I185+(Расчёты!Q185-Расчёты!R185)+(Расчёты!U185-Расчёты!V185)+N('Исходные данные'!$B$54)*((Расчёты!O185+Расчёты!P185)+(Расчёты!S185+Расчёты!T185)+Расчёты!W185+Расчёты!X185)+IF('Исходные данные'!$B$55="Да",Расчёты!AG185,0)-N('Исходные данные'!$B$56)/12),IF('Исходные данные'!$B$53="Пользовательская база",MAX(0,N('Исходные данные'!$B$57)/12),0)))</f>
        <v>0</v>
      </c>
      <c r="Q185">
        <f>IF(D185=1,-P185*N('Исходные данные'!$B$50),0)</f>
        <v>0</v>
      </c>
      <c r="R185">
        <f t="shared" si="101"/>
        <v>0</v>
      </c>
      <c r="S185">
        <f>IF(OR(D185&lt;&gt;1,B185="",'Исходные данные'!$B$91="",N('Исходные данные'!$B$80)&lt;=0,'Исходные данные'!$B$88=""),0,IF(AND(YEAR(B185)=YEAR('Исходные данные'!$B$91),MONTH(B185)=MONTH('Исходные данные'!$B$91)),MAX(0,IF('Исходные данные'!$B$88="Последние 12 месяцев",SUMIFS($L$2:$L$194,$B$2:$B$194,"&gt;="&amp;EDATE(B185,-11),$B$2:$B$194,"&lt;="&amp;B185),IF('Исходные данные'!$B$88="Пользовательский NOI",N('Исходные данные'!$B$89),R185))/N('Исходные данные'!$B$80)*(1+N('Исходные данные'!$B$81))),0))</f>
        <v>0</v>
      </c>
      <c r="T185">
        <f>-S185*N('Исходные данные'!$B$73)</f>
        <v>0</v>
      </c>
      <c r="U185">
        <f>IF(S185=0,0,-N('Исходные данные'!$B$87)-IF('Исходные данные'!$B$82="Да",IF('Исходные данные'!$B$84="С выручки",S185,IF('Исходные данные'!$B$84="С прибыли",MAX(0,S185+T185-IF('Исходные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85">
        <f t="shared" si="102"/>
        <v>0</v>
      </c>
      <c r="W185">
        <f>IF(D185=1,Расчёты!AZ185+K185+N185+Q185+V185,0)</f>
        <v>0</v>
      </c>
      <c r="X185" t="str">
        <f t="shared" si="112"/>
        <v/>
      </c>
      <c r="Y185">
        <f>IF(OR(D185=0,'Исходные данные'!$B$9="",'Исходные данные'!$B$90=""),0,W185/(1+'Исходные данные'!$B$90)^((C185-'Исходные данные'!$B$9)/365))</f>
        <v>0</v>
      </c>
      <c r="Z185">
        <f>IF(D185=1,K185+Расчёты!O185+Расчёты!Q185+Расчёты!S185+Расчёты!U185+Расчёты!W185+Расчёты!X185+N185+Q185,0)</f>
        <v>0</v>
      </c>
      <c r="AA185">
        <f>IF(AND(D185=1,X185&gt;=0,X184&lt;0,MIN($X$2:X185)&lt;0),1,0)</f>
        <v>0</v>
      </c>
      <c r="AB185">
        <f>IF(Расчёты!F185=0,0,IF(Расчёты!G185=1,N('Сценарный анализ'!$C$5),IF(Расчёты!G185=2,N('Сценарный анализ'!$C$6),IF(Расчёты!G185=3,N('Сценарный анализ'!$C$7),N('Сценарный анализ'!$C$7)*(1+N('Сценарный анализ'!$C$8))^(Расчёты!G185-3)))))</f>
        <v>0</v>
      </c>
      <c r="AC185">
        <f>IF(OR(Расчёты!F185=0,N('Исходные данные'!$B$5)=0,AB185=0),0,N('Исходные данные'!$B$5)*AB185*IF(AND(B185&lt;='Исходные данные'!$B$30,Расчёты!C185&gt;='Исходные данные'!$B$30),(Расчёты!C185-'Исходные данные'!$B$30+1)/DAY(Расчёты!C185),1))</f>
        <v>0</v>
      </c>
      <c r="AD185">
        <f>IF(AND(Расчёты!F185&gt;0,Расчёты!F185&lt;=N('Исходные данные'!$B$37)),-AC185,0)</f>
        <v>0</v>
      </c>
      <c r="AE185">
        <f>IF(OR(Расчёты!F185=0,Расчёты!F185&lt;=N('Исходные данные'!$B$37)),0,-(AC185+AD185)*N('Сценарный анализ'!$C$9))</f>
        <v>0</v>
      </c>
      <c r="AF185">
        <f t="shared" si="103"/>
        <v>0</v>
      </c>
      <c r="AG185">
        <f>IF('Исходные данные'!$B$51="Да",AF185*N('Исходные данные'!$B$52),0)</f>
        <v>0</v>
      </c>
      <c r="AH185">
        <f t="shared" si="104"/>
        <v>0</v>
      </c>
      <c r="AI185">
        <f>AF185+(Расчёты!Y185-Расчёты!L185)</f>
        <v>0</v>
      </c>
      <c r="AJ185">
        <f t="shared" si="113"/>
        <v>0</v>
      </c>
      <c r="AK185">
        <f>IF('Исходные данные'!$B$51="Да",-MAX(0,AG185+Расчёты!R185+Расчёты!V185-Расчёты!P185-Расчёты!T185-AJ185),0)</f>
        <v>0</v>
      </c>
      <c r="AL185">
        <f>IF('Исходные данные'!$B$51="Да",MAX(0,AJ185+Расчёты!P185+Расчёты!T185-AG185-Расчёты!R185-Расчёты!V185),0)</f>
        <v>0</v>
      </c>
      <c r="AM185">
        <f>IF('Исходные данные'!$B$53="Выручка",MAX(0,AF185+(Расчёты!Q185-Расчёты!R185)+(Расчёты!U185-Расчёты!V185)),IF('Исходные данные'!$B$53="Прибыль до налога",MAX(0,AF185+(Расчёты!Q185-Расчёты!R185)+(Расчёты!U185-Расчёты!V185)+N('Исходные данные'!$B$54)*((Расчёты!O185+Расчёты!P185)+(Расчёты!S185+Расчёты!T185)+Расчёты!W185+Расчёты!X185)+IF('Исходные данные'!$B$55="Да",Расчёты!AG185,0)-N('Исходные данные'!$B$56)/12),IF('Исходные данные'!$B$53="Пользовательская база",MAX(0,N('Исходные данные'!$B$57)/12),0)))</f>
        <v>0</v>
      </c>
      <c r="AN185">
        <f>IF(D185=1,-AM185*N('Исходные данные'!$B$50),0)</f>
        <v>0</v>
      </c>
      <c r="AO185">
        <f t="shared" si="105"/>
        <v>0</v>
      </c>
      <c r="AP185">
        <f>IF(OR(D185&lt;&gt;1,B185="",'Исходные данные'!$B$91="",N('Исходные данные'!$B$80)&lt;=0,'Исходные данные'!$B$88=""),0,IF(AND(YEAR(B185)=YEAR('Исходные данные'!$B$91),MONTH(B185)=MONTH('Исходные данные'!$B$91)),MAX(0,IF('Исходные данные'!$B$88="Последние 12 месяцев",SUMIFS($AI$2:$AI$194,$B$2:$B$194,"&gt;="&amp;EDATE(B185,-11),$B$2:$B$194,"&lt;="&amp;B185),IF('Исходные данные'!$B$88="Пользовательский NOI",N('Исходные данные'!$B$89),AO185))/N('Исходные данные'!$B$80)*(1+N('Исходные данные'!$B$81))),0))</f>
        <v>0</v>
      </c>
      <c r="AQ185">
        <f>-AP185*N('Исходные данные'!$B$73)</f>
        <v>0</v>
      </c>
      <c r="AR185">
        <f>IF(AP185=0,0,-N('Исходные данные'!$B$87)-IF('Исходные данные'!$B$82="Да",IF('Исходные данные'!$B$84="С выручки",AP185,IF('Исходные данные'!$B$84="С прибыли",MAX(0,AP185+AQ185-IF('Исходные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85">
        <f t="shared" si="106"/>
        <v>0</v>
      </c>
      <c r="AT185">
        <f>IF(D185=1,Расчёты!AZ185+AH185+AK185+AN185+AS185,0)</f>
        <v>0</v>
      </c>
      <c r="AU185" t="str">
        <f t="shared" si="114"/>
        <v/>
      </c>
      <c r="AV185">
        <f>IF(OR(D185=0,'Исходные данные'!$B$9="",'Исходные данные'!$B$90=""),0,AT185/(1+'Исходные данные'!$B$90)^((C185-'Исходные данные'!$B$9)/365))</f>
        <v>0</v>
      </c>
      <c r="AW185">
        <f>IF(D185=1,AH185+Расчёты!O185+Расчёты!Q185+Расчёты!S185+Расчёты!U185+Расчёты!W185+Расчёты!X185+AK185+AN185,0)</f>
        <v>0</v>
      </c>
      <c r="AX185">
        <f>IF(AND(D185=1,AU185&gt;=0,AU184&lt;0,MIN($AU$2:AU185)&lt;0),1,0)</f>
        <v>0</v>
      </c>
      <c r="AY185">
        <f>IF(Расчёты!F185=0,0,IF(Расчёты!G185=1,N('Сценарный анализ'!$D$5),IF(Расчёты!G185=2,N('Сценарный анализ'!$D$6),IF(Расчёты!G185=3,N('Сценарный анализ'!$D$7),N('Сценарный анализ'!$D$7)*(1+N('Сценарный анализ'!$D$8))^(Расчёты!G185-3)))))</f>
        <v>0</v>
      </c>
      <c r="AZ185">
        <f>IF(OR(Расчёты!F185=0,N('Исходные данные'!$B$5)=0,AY185=0),0,N('Исходные данные'!$B$5)*AY185*IF(AND(B185&lt;='Исходные данные'!$B$30,Расчёты!C185&gt;='Исходные данные'!$B$30),(Расчёты!C185-'Исходные данные'!$B$30+1)/DAY(Расчёты!C185),1))</f>
        <v>0</v>
      </c>
      <c r="BA185">
        <f>IF(AND(Расчёты!F185&gt;0,Расчёты!F185&lt;=N('Исходные данные'!$B$37)),-AZ185,0)</f>
        <v>0</v>
      </c>
      <c r="BB185">
        <f>IF(OR(Расчёты!F185=0,Расчёты!F185&lt;=N('Исходные данные'!$B$37)),0,-(AZ185+BA185)*N('Сценарный анализ'!$D$9))</f>
        <v>0</v>
      </c>
      <c r="BC185">
        <f t="shared" si="107"/>
        <v>0</v>
      </c>
      <c r="BD185">
        <f>IF('Исходные данные'!$B$51="Да",BC185*N('Исходные данные'!$B$52),0)</f>
        <v>0</v>
      </c>
      <c r="BE185">
        <f t="shared" si="108"/>
        <v>0</v>
      </c>
      <c r="BF185">
        <f>BC185+(Расчёты!Y185-Расчёты!L185)</f>
        <v>0</v>
      </c>
      <c r="BG185">
        <f t="shared" si="115"/>
        <v>0</v>
      </c>
      <c r="BH185">
        <f>IF('Исходные данные'!$B$51="Да",-MAX(0,BD185+Расчёты!R185+Расчёты!V185-Расчёты!P185-Расчёты!T185-BG185),0)</f>
        <v>0</v>
      </c>
      <c r="BI185">
        <f>IF('Исходные данные'!$B$51="Да",MAX(0,BG185+Расчёты!P185+Расчёты!T185-BD185-Расчёты!R185-Расчёты!V185),0)</f>
        <v>0</v>
      </c>
      <c r="BJ185">
        <f>IF('Исходные данные'!$B$53="Выручка",MAX(0,BC185+(Расчёты!Q185-Расчёты!R185)+(Расчёты!U185-Расчёты!V185)),IF('Исходные данные'!$B$53="Прибыль до налога",MAX(0,BC185+(Расчёты!Q185-Расчёты!R185)+(Расчёты!U185-Расчёты!V185)+N('Исходные данные'!$B$54)*((Расчёты!O185+Расчёты!P185)+(Расчёты!S185+Расчёты!T185)+Расчёты!W185+Расчёты!X185)+IF('Исходные данные'!$B$55="Да",Расчёты!AG185,0)-N('Исходные данные'!$B$56)/12),IF('Исходные данные'!$B$53="Пользовательская база",MAX(0,N('Исходные данные'!$B$57)/12),0)))</f>
        <v>0</v>
      </c>
      <c r="BK185">
        <f>IF(D185=1,-BJ185*N('Исходные данные'!$B$50),0)</f>
        <v>0</v>
      </c>
      <c r="BL185">
        <f t="shared" si="109"/>
        <v>0</v>
      </c>
      <c r="BM185">
        <f>IF(OR(D185&lt;&gt;1,B185="",'Исходные данные'!$B$91="",N('Исходные данные'!$B$80)&lt;=0,'Исходные данные'!$B$88=""),0,IF(AND(YEAR(B185)=YEAR('Исходные данные'!$B$91),MONTH(B185)=MONTH('Исходные данные'!$B$91)),MAX(0,IF('Исходные данные'!$B$88="Последние 12 месяцев",SUMIFS($BF$2:$BF$194,$B$2:$B$194,"&gt;="&amp;EDATE(B185,-11),$B$2:$B$194,"&lt;="&amp;B185),IF('Исходные данные'!$B$88="Пользовательский NOI",N('Исходные данные'!$B$89),BL185))/N('Исходные данные'!$B$80)*(1+N('Исходные данные'!$B$81))),0))</f>
        <v>0</v>
      </c>
      <c r="BN185">
        <f>-BM185*N('Исходные данные'!$B$73)</f>
        <v>0</v>
      </c>
      <c r="BO185">
        <f>IF(BM185=0,0,-N('Исходные данные'!$B$87)-IF('Исходные данные'!$B$82="Да",IF('Исходные данные'!$B$84="С выручки",BM185,IF('Исходные данные'!$B$84="С прибыли",MAX(0,BM185+BN185-IF('Исходные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85">
        <f t="shared" si="110"/>
        <v>0</v>
      </c>
      <c r="BQ185">
        <f>IF(D185=1,Расчёты!AZ185+BE185+BH185+BK185+BP185,0)</f>
        <v>0</v>
      </c>
      <c r="BR185" t="str">
        <f t="shared" si="116"/>
        <v/>
      </c>
      <c r="BS185">
        <f>IF(OR(D185=0,'Исходные данные'!$B$9="",'Исходные данные'!$B$90=""),0,BQ185/(1+'Исходные данные'!$B$90)^((C185-'Исходные данные'!$B$9)/365))</f>
        <v>0</v>
      </c>
      <c r="BT185">
        <f>IF(D185=1,BE185+Расчёты!O185+Расчёты!Q185+Расчёты!S185+Расчёты!U185+Расчёты!W185+Расчёты!X185+BH185+BK185,0)</f>
        <v>0</v>
      </c>
      <c r="BU185">
        <f>IF(AND(D185=1,BR185&gt;=0,BR184&lt;0,MIN($BR$2:BR185)&lt;0),1,0)</f>
        <v>0</v>
      </c>
      <c r="BV185">
        <f>Расчёты!AZ185+K185+N185-P185*N('Исходные данные'!$B$50)</f>
        <v>0</v>
      </c>
      <c r="BW185">
        <f t="shared" si="96"/>
        <v>0</v>
      </c>
      <c r="BX185">
        <f>IF(AND(BW185&gt;=0,BW184&lt;0,MIN($BW$2:BW185)&lt;0),1,0)</f>
        <v>0</v>
      </c>
      <c r="BY185">
        <f>Расчёты!AZ185+AH185+AK185-AM185*N('Исходные данные'!$B$50)</f>
        <v>0</v>
      </c>
      <c r="BZ185">
        <f t="shared" si="97"/>
        <v>0</v>
      </c>
      <c r="CA185">
        <f>IF(AND(BZ185&gt;=0,BZ184&lt;0,MIN($BZ$2:BZ185)&lt;0),1,0)</f>
        <v>0</v>
      </c>
      <c r="CB185">
        <f>Расчёты!AZ185+BE185+BH185-BJ185*N('Исходные данные'!$B$50)</f>
        <v>0</v>
      </c>
      <c r="CC185">
        <f t="shared" si="98"/>
        <v>0</v>
      </c>
      <c r="CD185">
        <f>IF(AND(CC185&gt;=0,CC184&lt;0,MIN($CC$2:CC185)&lt;0),1,0)</f>
        <v>0</v>
      </c>
    </row>
    <row r="186" spans="1:82" x14ac:dyDescent="0.2">
      <c r="A186">
        <f>Расчёты!A186</f>
        <v>185</v>
      </c>
      <c r="B186" t="str">
        <f>Расчёты!B186</f>
        <v/>
      </c>
      <c r="C186" t="str">
        <f>Расчёты!D186</f>
        <v/>
      </c>
      <c r="D186">
        <f>Расчёты!E186</f>
        <v>0</v>
      </c>
      <c r="E186">
        <f>IF(Расчёты!F186=0,0,IF(Расчёты!G186=1,N('Сценарный анализ'!$B$5),IF(Расчёты!G186=2,N('Сценарный анализ'!$B$6),IF(Расчёты!G186=3,N('Сценарный анализ'!$B$7),N('Сценарный анализ'!$B$7)*(1+N('Сценарный анализ'!$B$8))^(Расчёты!G186-3)))))</f>
        <v>0</v>
      </c>
      <c r="F186">
        <f>IF(OR(Расчёты!F186=0,N('Исходные данные'!$B$5)=0,E186=0),0,N('Исходные данные'!$B$5)*E186*IF(AND(B186&lt;='Исходные данные'!$B$30,Расчёты!C186&gt;='Исходные данные'!$B$30),(Расчёты!C186-'Исходные данные'!$B$30+1)/DAY(Расчёты!C186),1))</f>
        <v>0</v>
      </c>
      <c r="G186">
        <f>IF(AND(Расчёты!F186&gt;0,Расчёты!F186&lt;=N('Исходные данные'!$B$37)),-F186,0)</f>
        <v>0</v>
      </c>
      <c r="H186">
        <f>IF(OR(Расчёты!F186=0,Расчёты!F186&lt;=N('Исходные данные'!$B$37)),0,-(F186+G186)*N('Сценарный анализ'!$B$9))</f>
        <v>0</v>
      </c>
      <c r="I186">
        <f t="shared" si="99"/>
        <v>0</v>
      </c>
      <c r="J186">
        <f>IF('Исходные данные'!$B$51="Да",I186*N('Исходные данные'!$B$52),0)</f>
        <v>0</v>
      </c>
      <c r="K186">
        <f t="shared" si="100"/>
        <v>0</v>
      </c>
      <c r="L186">
        <f>I186+(Расчёты!Y186-Расчёты!L186)</f>
        <v>0</v>
      </c>
      <c r="M186">
        <f t="shared" si="111"/>
        <v>0</v>
      </c>
      <c r="N186">
        <f>IF('Исходные данные'!$B$51="Да",-MAX(0,J186+Расчёты!R186+Расчёты!V186-Расчёты!P186-Расчёты!T186-M186),0)</f>
        <v>0</v>
      </c>
      <c r="O186">
        <f>IF('Исходные данные'!$B$51="Да",MAX(0,M186+Расчёты!P186+Расчёты!T186-J186-Расчёты!R186-Расчёты!V186),0)</f>
        <v>0</v>
      </c>
      <c r="P186">
        <f>IF('Исходные данные'!$B$53="Выручка",MAX(0,I186+(Расчёты!Q186-Расчёты!R186)+(Расчёты!U186-Расчёты!V186)),IF('Исходные данные'!$B$53="Прибыль до налога",MAX(0,I186+(Расчёты!Q186-Расчёты!R186)+(Расчёты!U186-Расчёты!V186)+N('Исходные данные'!$B$54)*((Расчёты!O186+Расчёты!P186)+(Расчёты!S186+Расчёты!T186)+Расчёты!W186+Расчёты!X186)+IF('Исходные данные'!$B$55="Да",Расчёты!AG186,0)-N('Исходные данные'!$B$56)/12),IF('Исходные данные'!$B$53="Пользовательская база",MAX(0,N('Исходные данные'!$B$57)/12),0)))</f>
        <v>0</v>
      </c>
      <c r="Q186">
        <f>IF(D186=1,-P186*N('Исходные данные'!$B$50),0)</f>
        <v>0</v>
      </c>
      <c r="R186">
        <f t="shared" si="101"/>
        <v>0</v>
      </c>
      <c r="S186">
        <f>IF(OR(D186&lt;&gt;1,B186="",'Исходные данные'!$B$91="",N('Исходные данные'!$B$80)&lt;=0,'Исходные данные'!$B$88=""),0,IF(AND(YEAR(B186)=YEAR('Исходные данные'!$B$91),MONTH(B186)=MONTH('Исходные данные'!$B$91)),MAX(0,IF('Исходные данные'!$B$88="Последние 12 месяцев",SUMIFS($L$2:$L$194,$B$2:$B$194,"&gt;="&amp;EDATE(B186,-11),$B$2:$B$194,"&lt;="&amp;B186),IF('Исходные данные'!$B$88="Пользовательский NOI",N('Исходные данные'!$B$89),R186))/N('Исходные данные'!$B$80)*(1+N('Исходные данные'!$B$81))),0))</f>
        <v>0</v>
      </c>
      <c r="T186">
        <f>-S186*N('Исходные данные'!$B$73)</f>
        <v>0</v>
      </c>
      <c r="U186">
        <f>IF(S186=0,0,-N('Исходные данные'!$B$87)-IF('Исходные данные'!$B$82="Да",IF('Исходные данные'!$B$84="С выручки",S186,IF('Исходные данные'!$B$84="С прибыли",MAX(0,S186+T186-IF('Исходные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86">
        <f t="shared" si="102"/>
        <v>0</v>
      </c>
      <c r="W186">
        <f>IF(D186=1,Расчёты!AZ186+K186+N186+Q186+V186,0)</f>
        <v>0</v>
      </c>
      <c r="X186" t="str">
        <f t="shared" si="112"/>
        <v/>
      </c>
      <c r="Y186">
        <f>IF(OR(D186=0,'Исходные данные'!$B$9="",'Исходные данные'!$B$90=""),0,W186/(1+'Исходные данные'!$B$90)^((C186-'Исходные данные'!$B$9)/365))</f>
        <v>0</v>
      </c>
      <c r="Z186">
        <f>IF(D186=1,K186+Расчёты!O186+Расчёты!Q186+Расчёты!S186+Расчёты!U186+Расчёты!W186+Расчёты!X186+N186+Q186,0)</f>
        <v>0</v>
      </c>
      <c r="AA186">
        <f>IF(AND(D186=1,X186&gt;=0,X185&lt;0,MIN($X$2:X186)&lt;0),1,0)</f>
        <v>0</v>
      </c>
      <c r="AB186">
        <f>IF(Расчёты!F186=0,0,IF(Расчёты!G186=1,N('Сценарный анализ'!$C$5),IF(Расчёты!G186=2,N('Сценарный анализ'!$C$6),IF(Расчёты!G186=3,N('Сценарный анализ'!$C$7),N('Сценарный анализ'!$C$7)*(1+N('Сценарный анализ'!$C$8))^(Расчёты!G186-3)))))</f>
        <v>0</v>
      </c>
      <c r="AC186">
        <f>IF(OR(Расчёты!F186=0,N('Исходные данные'!$B$5)=0,AB186=0),0,N('Исходные данные'!$B$5)*AB186*IF(AND(B186&lt;='Исходные данные'!$B$30,Расчёты!C186&gt;='Исходные данные'!$B$30),(Расчёты!C186-'Исходные данные'!$B$30+1)/DAY(Расчёты!C186),1))</f>
        <v>0</v>
      </c>
      <c r="AD186">
        <f>IF(AND(Расчёты!F186&gt;0,Расчёты!F186&lt;=N('Исходные данные'!$B$37)),-AC186,0)</f>
        <v>0</v>
      </c>
      <c r="AE186">
        <f>IF(OR(Расчёты!F186=0,Расчёты!F186&lt;=N('Исходные данные'!$B$37)),0,-(AC186+AD186)*N('Сценарный анализ'!$C$9))</f>
        <v>0</v>
      </c>
      <c r="AF186">
        <f t="shared" si="103"/>
        <v>0</v>
      </c>
      <c r="AG186">
        <f>IF('Исходные данные'!$B$51="Да",AF186*N('Исходные данные'!$B$52),0)</f>
        <v>0</v>
      </c>
      <c r="AH186">
        <f t="shared" si="104"/>
        <v>0</v>
      </c>
      <c r="AI186">
        <f>AF186+(Расчёты!Y186-Расчёты!L186)</f>
        <v>0</v>
      </c>
      <c r="AJ186">
        <f t="shared" si="113"/>
        <v>0</v>
      </c>
      <c r="AK186">
        <f>IF('Исходные данные'!$B$51="Да",-MAX(0,AG186+Расчёты!R186+Расчёты!V186-Расчёты!P186-Расчёты!T186-AJ186),0)</f>
        <v>0</v>
      </c>
      <c r="AL186">
        <f>IF('Исходные данные'!$B$51="Да",MAX(0,AJ186+Расчёты!P186+Расчёты!T186-AG186-Расчёты!R186-Расчёты!V186),0)</f>
        <v>0</v>
      </c>
      <c r="AM186">
        <f>IF('Исходные данные'!$B$53="Выручка",MAX(0,AF186+(Расчёты!Q186-Расчёты!R186)+(Расчёты!U186-Расчёты!V186)),IF('Исходные данные'!$B$53="Прибыль до налога",MAX(0,AF186+(Расчёты!Q186-Расчёты!R186)+(Расчёты!U186-Расчёты!V186)+N('Исходные данные'!$B$54)*((Расчёты!O186+Расчёты!P186)+(Расчёты!S186+Расчёты!T186)+Расчёты!W186+Расчёты!X186)+IF('Исходные данные'!$B$55="Да",Расчёты!AG186,0)-N('Исходные данные'!$B$56)/12),IF('Исходные данные'!$B$53="Пользовательская база",MAX(0,N('Исходные данные'!$B$57)/12),0)))</f>
        <v>0</v>
      </c>
      <c r="AN186">
        <f>IF(D186=1,-AM186*N('Исходные данные'!$B$50),0)</f>
        <v>0</v>
      </c>
      <c r="AO186">
        <f t="shared" si="105"/>
        <v>0</v>
      </c>
      <c r="AP186">
        <f>IF(OR(D186&lt;&gt;1,B186="",'Исходные данные'!$B$91="",N('Исходные данные'!$B$80)&lt;=0,'Исходные данные'!$B$88=""),0,IF(AND(YEAR(B186)=YEAR('Исходные данные'!$B$91),MONTH(B186)=MONTH('Исходные данные'!$B$91)),MAX(0,IF('Исходные данные'!$B$88="Последние 12 месяцев",SUMIFS($AI$2:$AI$194,$B$2:$B$194,"&gt;="&amp;EDATE(B186,-11),$B$2:$B$194,"&lt;="&amp;B186),IF('Исходные данные'!$B$88="Пользовательский NOI",N('Исходные данные'!$B$89),AO186))/N('Исходные данные'!$B$80)*(1+N('Исходные данные'!$B$81))),0))</f>
        <v>0</v>
      </c>
      <c r="AQ186">
        <f>-AP186*N('Исходные данные'!$B$73)</f>
        <v>0</v>
      </c>
      <c r="AR186">
        <f>IF(AP186=0,0,-N('Исходные данные'!$B$87)-IF('Исходные данные'!$B$82="Да",IF('Исходные данные'!$B$84="С выручки",AP186,IF('Исходные данные'!$B$84="С прибыли",MAX(0,AP186+AQ186-IF('Исходные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86">
        <f t="shared" si="106"/>
        <v>0</v>
      </c>
      <c r="AT186">
        <f>IF(D186=1,Расчёты!AZ186+AH186+AK186+AN186+AS186,0)</f>
        <v>0</v>
      </c>
      <c r="AU186" t="str">
        <f t="shared" si="114"/>
        <v/>
      </c>
      <c r="AV186">
        <f>IF(OR(D186=0,'Исходные данные'!$B$9="",'Исходные данные'!$B$90=""),0,AT186/(1+'Исходные данные'!$B$90)^((C186-'Исходные данные'!$B$9)/365))</f>
        <v>0</v>
      </c>
      <c r="AW186">
        <f>IF(D186=1,AH186+Расчёты!O186+Расчёты!Q186+Расчёты!S186+Расчёты!U186+Расчёты!W186+Расчёты!X186+AK186+AN186,0)</f>
        <v>0</v>
      </c>
      <c r="AX186">
        <f>IF(AND(D186=1,AU186&gt;=0,AU185&lt;0,MIN($AU$2:AU186)&lt;0),1,0)</f>
        <v>0</v>
      </c>
      <c r="AY186">
        <f>IF(Расчёты!F186=0,0,IF(Расчёты!G186=1,N('Сценарный анализ'!$D$5),IF(Расчёты!G186=2,N('Сценарный анализ'!$D$6),IF(Расчёты!G186=3,N('Сценарный анализ'!$D$7),N('Сценарный анализ'!$D$7)*(1+N('Сценарный анализ'!$D$8))^(Расчёты!G186-3)))))</f>
        <v>0</v>
      </c>
      <c r="AZ186">
        <f>IF(OR(Расчёты!F186=0,N('Исходные данные'!$B$5)=0,AY186=0),0,N('Исходные данные'!$B$5)*AY186*IF(AND(B186&lt;='Исходные данные'!$B$30,Расчёты!C186&gt;='Исходные данные'!$B$30),(Расчёты!C186-'Исходные данные'!$B$30+1)/DAY(Расчёты!C186),1))</f>
        <v>0</v>
      </c>
      <c r="BA186">
        <f>IF(AND(Расчёты!F186&gt;0,Расчёты!F186&lt;=N('Исходные данные'!$B$37)),-AZ186,0)</f>
        <v>0</v>
      </c>
      <c r="BB186">
        <f>IF(OR(Расчёты!F186=0,Расчёты!F186&lt;=N('Исходные данные'!$B$37)),0,-(AZ186+BA186)*N('Сценарный анализ'!$D$9))</f>
        <v>0</v>
      </c>
      <c r="BC186">
        <f t="shared" si="107"/>
        <v>0</v>
      </c>
      <c r="BD186">
        <f>IF('Исходные данные'!$B$51="Да",BC186*N('Исходные данные'!$B$52),0)</f>
        <v>0</v>
      </c>
      <c r="BE186">
        <f t="shared" si="108"/>
        <v>0</v>
      </c>
      <c r="BF186">
        <f>BC186+(Расчёты!Y186-Расчёты!L186)</f>
        <v>0</v>
      </c>
      <c r="BG186">
        <f t="shared" si="115"/>
        <v>0</v>
      </c>
      <c r="BH186">
        <f>IF('Исходные данные'!$B$51="Да",-MAX(0,BD186+Расчёты!R186+Расчёты!V186-Расчёты!P186-Расчёты!T186-BG186),0)</f>
        <v>0</v>
      </c>
      <c r="BI186">
        <f>IF('Исходные данные'!$B$51="Да",MAX(0,BG186+Расчёты!P186+Расчёты!T186-BD186-Расчёты!R186-Расчёты!V186),0)</f>
        <v>0</v>
      </c>
      <c r="BJ186">
        <f>IF('Исходные данные'!$B$53="Выручка",MAX(0,BC186+(Расчёты!Q186-Расчёты!R186)+(Расчёты!U186-Расчёты!V186)),IF('Исходные данные'!$B$53="Прибыль до налога",MAX(0,BC186+(Расчёты!Q186-Расчёты!R186)+(Расчёты!U186-Расчёты!V186)+N('Исходные данные'!$B$54)*((Расчёты!O186+Расчёты!P186)+(Расчёты!S186+Расчёты!T186)+Расчёты!W186+Расчёты!X186)+IF('Исходные данные'!$B$55="Да",Расчёты!AG186,0)-N('Исходные данные'!$B$56)/12),IF('Исходные данные'!$B$53="Пользовательская база",MAX(0,N('Исходные данные'!$B$57)/12),0)))</f>
        <v>0</v>
      </c>
      <c r="BK186">
        <f>IF(D186=1,-BJ186*N('Исходные данные'!$B$50),0)</f>
        <v>0</v>
      </c>
      <c r="BL186">
        <f t="shared" si="109"/>
        <v>0</v>
      </c>
      <c r="BM186">
        <f>IF(OR(D186&lt;&gt;1,B186="",'Исходные данные'!$B$91="",N('Исходные данные'!$B$80)&lt;=0,'Исходные данные'!$B$88=""),0,IF(AND(YEAR(B186)=YEAR('Исходные данные'!$B$91),MONTH(B186)=MONTH('Исходные данные'!$B$91)),MAX(0,IF('Исходные данные'!$B$88="Последние 12 месяцев",SUMIFS($BF$2:$BF$194,$B$2:$B$194,"&gt;="&amp;EDATE(B186,-11),$B$2:$B$194,"&lt;="&amp;B186),IF('Исходные данные'!$B$88="Пользовательский NOI",N('Исходные данные'!$B$89),BL186))/N('Исходные данные'!$B$80)*(1+N('Исходные данные'!$B$81))),0))</f>
        <v>0</v>
      </c>
      <c r="BN186">
        <f>-BM186*N('Исходные данные'!$B$73)</f>
        <v>0</v>
      </c>
      <c r="BO186">
        <f>IF(BM186=0,0,-N('Исходные данные'!$B$87)-IF('Исходные данные'!$B$82="Да",IF('Исходные данные'!$B$84="С выручки",BM186,IF('Исходные данные'!$B$84="С прибыли",MAX(0,BM186+BN186-IF('Исходные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86">
        <f t="shared" si="110"/>
        <v>0</v>
      </c>
      <c r="BQ186">
        <f>IF(D186=1,Расчёты!AZ186+BE186+BH186+BK186+BP186,0)</f>
        <v>0</v>
      </c>
      <c r="BR186" t="str">
        <f t="shared" si="116"/>
        <v/>
      </c>
      <c r="BS186">
        <f>IF(OR(D186=0,'Исходные данные'!$B$9="",'Исходные данные'!$B$90=""),0,BQ186/(1+'Исходные данные'!$B$90)^((C186-'Исходные данные'!$B$9)/365))</f>
        <v>0</v>
      </c>
      <c r="BT186">
        <f>IF(D186=1,BE186+Расчёты!O186+Расчёты!Q186+Расчёты!S186+Расчёты!U186+Расчёты!W186+Расчёты!X186+BH186+BK186,0)</f>
        <v>0</v>
      </c>
      <c r="BU186">
        <f>IF(AND(D186=1,BR186&gt;=0,BR185&lt;0,MIN($BR$2:BR186)&lt;0),1,0)</f>
        <v>0</v>
      </c>
      <c r="BV186">
        <f>Расчёты!AZ186+K186+N186-P186*N('Исходные данные'!$B$50)</f>
        <v>0</v>
      </c>
      <c r="BW186">
        <f t="shared" si="96"/>
        <v>0</v>
      </c>
      <c r="BX186">
        <f>IF(AND(BW186&gt;=0,BW185&lt;0,MIN($BW$2:BW186)&lt;0),1,0)</f>
        <v>0</v>
      </c>
      <c r="BY186">
        <f>Расчёты!AZ186+AH186+AK186-AM186*N('Исходные данные'!$B$50)</f>
        <v>0</v>
      </c>
      <c r="BZ186">
        <f t="shared" si="97"/>
        <v>0</v>
      </c>
      <c r="CA186">
        <f>IF(AND(BZ186&gt;=0,BZ185&lt;0,MIN($BZ$2:BZ186)&lt;0),1,0)</f>
        <v>0</v>
      </c>
      <c r="CB186">
        <f>Расчёты!AZ186+BE186+BH186-BJ186*N('Исходные данные'!$B$50)</f>
        <v>0</v>
      </c>
      <c r="CC186">
        <f t="shared" si="98"/>
        <v>0</v>
      </c>
      <c r="CD186">
        <f>IF(AND(CC186&gt;=0,CC185&lt;0,MIN($CC$2:CC186)&lt;0),1,0)</f>
        <v>0</v>
      </c>
    </row>
    <row r="187" spans="1:82" x14ac:dyDescent="0.2">
      <c r="A187">
        <f>Расчёты!A187</f>
        <v>186</v>
      </c>
      <c r="B187" t="str">
        <f>Расчёты!B187</f>
        <v/>
      </c>
      <c r="C187" t="str">
        <f>Расчёты!D187</f>
        <v/>
      </c>
      <c r="D187">
        <f>Расчёты!E187</f>
        <v>0</v>
      </c>
      <c r="E187">
        <f>IF(Расчёты!F187=0,0,IF(Расчёты!G187=1,N('Сценарный анализ'!$B$5),IF(Расчёты!G187=2,N('Сценарный анализ'!$B$6),IF(Расчёты!G187=3,N('Сценарный анализ'!$B$7),N('Сценарный анализ'!$B$7)*(1+N('Сценарный анализ'!$B$8))^(Расчёты!G187-3)))))</f>
        <v>0</v>
      </c>
      <c r="F187">
        <f>IF(OR(Расчёты!F187=0,N('Исходные данные'!$B$5)=0,E187=0),0,N('Исходные данные'!$B$5)*E187*IF(AND(B187&lt;='Исходные данные'!$B$30,Расчёты!C187&gt;='Исходные данные'!$B$30),(Расчёты!C187-'Исходные данные'!$B$30+1)/DAY(Расчёты!C187),1))</f>
        <v>0</v>
      </c>
      <c r="G187">
        <f>IF(AND(Расчёты!F187&gt;0,Расчёты!F187&lt;=N('Исходные данные'!$B$37)),-F187,0)</f>
        <v>0</v>
      </c>
      <c r="H187">
        <f>IF(OR(Расчёты!F187=0,Расчёты!F187&lt;=N('Исходные данные'!$B$37)),0,-(F187+G187)*N('Сценарный анализ'!$B$9))</f>
        <v>0</v>
      </c>
      <c r="I187">
        <f t="shared" si="99"/>
        <v>0</v>
      </c>
      <c r="J187">
        <f>IF('Исходные данные'!$B$51="Да",I187*N('Исходные данные'!$B$52),0)</f>
        <v>0</v>
      </c>
      <c r="K187">
        <f t="shared" si="100"/>
        <v>0</v>
      </c>
      <c r="L187">
        <f>I187+(Расчёты!Y187-Расчёты!L187)</f>
        <v>0</v>
      </c>
      <c r="M187">
        <f t="shared" si="111"/>
        <v>0</v>
      </c>
      <c r="N187">
        <f>IF('Исходные данные'!$B$51="Да",-MAX(0,J187+Расчёты!R187+Расчёты!V187-Расчёты!P187-Расчёты!T187-M187),0)</f>
        <v>0</v>
      </c>
      <c r="O187">
        <f>IF('Исходные данные'!$B$51="Да",MAX(0,M187+Расчёты!P187+Расчёты!T187-J187-Расчёты!R187-Расчёты!V187),0)</f>
        <v>0</v>
      </c>
      <c r="P187">
        <f>IF('Исходные данные'!$B$53="Выручка",MAX(0,I187+(Расчёты!Q187-Расчёты!R187)+(Расчёты!U187-Расчёты!V187)),IF('Исходные данные'!$B$53="Прибыль до налога",MAX(0,I187+(Расчёты!Q187-Расчёты!R187)+(Расчёты!U187-Расчёты!V187)+N('Исходные данные'!$B$54)*((Расчёты!O187+Расчёты!P187)+(Расчёты!S187+Расчёты!T187)+Расчёты!W187+Расчёты!X187)+IF('Исходные данные'!$B$55="Да",Расчёты!AG187,0)-N('Исходные данные'!$B$56)/12),IF('Исходные данные'!$B$53="Пользовательская база",MAX(0,N('Исходные данные'!$B$57)/12),0)))</f>
        <v>0</v>
      </c>
      <c r="Q187">
        <f>IF(D187=1,-P187*N('Исходные данные'!$B$50),0)</f>
        <v>0</v>
      </c>
      <c r="R187">
        <f t="shared" si="101"/>
        <v>0</v>
      </c>
      <c r="S187">
        <f>IF(OR(D187&lt;&gt;1,B187="",'Исходные данные'!$B$91="",N('Исходные данные'!$B$80)&lt;=0,'Исходные данные'!$B$88=""),0,IF(AND(YEAR(B187)=YEAR('Исходные данные'!$B$91),MONTH(B187)=MONTH('Исходные данные'!$B$91)),MAX(0,IF('Исходные данные'!$B$88="Последние 12 месяцев",SUMIFS($L$2:$L$194,$B$2:$B$194,"&gt;="&amp;EDATE(B187,-11),$B$2:$B$194,"&lt;="&amp;B187),IF('Исходные данные'!$B$88="Пользовательский NOI",N('Исходные данные'!$B$89),R187))/N('Исходные данные'!$B$80)*(1+N('Исходные данные'!$B$81))),0))</f>
        <v>0</v>
      </c>
      <c r="T187">
        <f>-S187*N('Исходные данные'!$B$73)</f>
        <v>0</v>
      </c>
      <c r="U187">
        <f>IF(S187=0,0,-N('Исходные данные'!$B$87)-IF('Исходные данные'!$B$82="Да",IF('Исходные данные'!$B$84="С выручки",S187,IF('Исходные данные'!$B$84="С прибыли",MAX(0,S187+T187-IF('Исходные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87">
        <f t="shared" si="102"/>
        <v>0</v>
      </c>
      <c r="W187">
        <f>IF(D187=1,Расчёты!AZ187+K187+N187+Q187+V187,0)</f>
        <v>0</v>
      </c>
      <c r="X187" t="str">
        <f t="shared" si="112"/>
        <v/>
      </c>
      <c r="Y187">
        <f>IF(OR(D187=0,'Исходные данные'!$B$9="",'Исходные данные'!$B$90=""),0,W187/(1+'Исходные данные'!$B$90)^((C187-'Исходные данные'!$B$9)/365))</f>
        <v>0</v>
      </c>
      <c r="Z187">
        <f>IF(D187=1,K187+Расчёты!O187+Расчёты!Q187+Расчёты!S187+Расчёты!U187+Расчёты!W187+Расчёты!X187+N187+Q187,0)</f>
        <v>0</v>
      </c>
      <c r="AA187">
        <f>IF(AND(D187=1,X187&gt;=0,X186&lt;0,MIN($X$2:X187)&lt;0),1,0)</f>
        <v>0</v>
      </c>
      <c r="AB187">
        <f>IF(Расчёты!F187=0,0,IF(Расчёты!G187=1,N('Сценарный анализ'!$C$5),IF(Расчёты!G187=2,N('Сценарный анализ'!$C$6),IF(Расчёты!G187=3,N('Сценарный анализ'!$C$7),N('Сценарный анализ'!$C$7)*(1+N('Сценарный анализ'!$C$8))^(Расчёты!G187-3)))))</f>
        <v>0</v>
      </c>
      <c r="AC187">
        <f>IF(OR(Расчёты!F187=0,N('Исходные данные'!$B$5)=0,AB187=0),0,N('Исходные данные'!$B$5)*AB187*IF(AND(B187&lt;='Исходные данные'!$B$30,Расчёты!C187&gt;='Исходные данные'!$B$30),(Расчёты!C187-'Исходные данные'!$B$30+1)/DAY(Расчёты!C187),1))</f>
        <v>0</v>
      </c>
      <c r="AD187">
        <f>IF(AND(Расчёты!F187&gt;0,Расчёты!F187&lt;=N('Исходные данные'!$B$37)),-AC187,0)</f>
        <v>0</v>
      </c>
      <c r="AE187">
        <f>IF(OR(Расчёты!F187=0,Расчёты!F187&lt;=N('Исходные данные'!$B$37)),0,-(AC187+AD187)*N('Сценарный анализ'!$C$9))</f>
        <v>0</v>
      </c>
      <c r="AF187">
        <f t="shared" si="103"/>
        <v>0</v>
      </c>
      <c r="AG187">
        <f>IF('Исходные данные'!$B$51="Да",AF187*N('Исходные данные'!$B$52),0)</f>
        <v>0</v>
      </c>
      <c r="AH187">
        <f t="shared" si="104"/>
        <v>0</v>
      </c>
      <c r="AI187">
        <f>AF187+(Расчёты!Y187-Расчёты!L187)</f>
        <v>0</v>
      </c>
      <c r="AJ187">
        <f t="shared" si="113"/>
        <v>0</v>
      </c>
      <c r="AK187">
        <f>IF('Исходные данные'!$B$51="Да",-MAX(0,AG187+Расчёты!R187+Расчёты!V187-Расчёты!P187-Расчёты!T187-AJ187),0)</f>
        <v>0</v>
      </c>
      <c r="AL187">
        <f>IF('Исходные данные'!$B$51="Да",MAX(0,AJ187+Расчёты!P187+Расчёты!T187-AG187-Расчёты!R187-Расчёты!V187),0)</f>
        <v>0</v>
      </c>
      <c r="AM187">
        <f>IF('Исходные данные'!$B$53="Выручка",MAX(0,AF187+(Расчёты!Q187-Расчёты!R187)+(Расчёты!U187-Расчёты!V187)),IF('Исходные данные'!$B$53="Прибыль до налога",MAX(0,AF187+(Расчёты!Q187-Расчёты!R187)+(Расчёты!U187-Расчёты!V187)+N('Исходные данные'!$B$54)*((Расчёты!O187+Расчёты!P187)+(Расчёты!S187+Расчёты!T187)+Расчёты!W187+Расчёты!X187)+IF('Исходные данные'!$B$55="Да",Расчёты!AG187,0)-N('Исходные данные'!$B$56)/12),IF('Исходные данные'!$B$53="Пользовательская база",MAX(0,N('Исходные данные'!$B$57)/12),0)))</f>
        <v>0</v>
      </c>
      <c r="AN187">
        <f>IF(D187=1,-AM187*N('Исходные данные'!$B$50),0)</f>
        <v>0</v>
      </c>
      <c r="AO187">
        <f t="shared" si="105"/>
        <v>0</v>
      </c>
      <c r="AP187">
        <f>IF(OR(D187&lt;&gt;1,B187="",'Исходные данные'!$B$91="",N('Исходные данные'!$B$80)&lt;=0,'Исходные данные'!$B$88=""),0,IF(AND(YEAR(B187)=YEAR('Исходные данные'!$B$91),MONTH(B187)=MONTH('Исходные данные'!$B$91)),MAX(0,IF('Исходные данные'!$B$88="Последние 12 месяцев",SUMIFS($AI$2:$AI$194,$B$2:$B$194,"&gt;="&amp;EDATE(B187,-11),$B$2:$B$194,"&lt;="&amp;B187),IF('Исходные данные'!$B$88="Пользовательский NOI",N('Исходные данные'!$B$89),AO187))/N('Исходные данные'!$B$80)*(1+N('Исходные данные'!$B$81))),0))</f>
        <v>0</v>
      </c>
      <c r="AQ187">
        <f>-AP187*N('Исходные данные'!$B$73)</f>
        <v>0</v>
      </c>
      <c r="AR187">
        <f>IF(AP187=0,0,-N('Исходные данные'!$B$87)-IF('Исходные данные'!$B$82="Да",IF('Исходные данные'!$B$84="С выручки",AP187,IF('Исходные данные'!$B$84="С прибыли",MAX(0,AP187+AQ187-IF('Исходные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87">
        <f t="shared" si="106"/>
        <v>0</v>
      </c>
      <c r="AT187">
        <f>IF(D187=1,Расчёты!AZ187+AH187+AK187+AN187+AS187,0)</f>
        <v>0</v>
      </c>
      <c r="AU187" t="str">
        <f t="shared" si="114"/>
        <v/>
      </c>
      <c r="AV187">
        <f>IF(OR(D187=0,'Исходные данные'!$B$9="",'Исходные данные'!$B$90=""),0,AT187/(1+'Исходные данные'!$B$90)^((C187-'Исходные данные'!$B$9)/365))</f>
        <v>0</v>
      </c>
      <c r="AW187">
        <f>IF(D187=1,AH187+Расчёты!O187+Расчёты!Q187+Расчёты!S187+Расчёты!U187+Расчёты!W187+Расчёты!X187+AK187+AN187,0)</f>
        <v>0</v>
      </c>
      <c r="AX187">
        <f>IF(AND(D187=1,AU187&gt;=0,AU186&lt;0,MIN($AU$2:AU187)&lt;0),1,0)</f>
        <v>0</v>
      </c>
      <c r="AY187">
        <f>IF(Расчёты!F187=0,0,IF(Расчёты!G187=1,N('Сценарный анализ'!$D$5),IF(Расчёты!G187=2,N('Сценарный анализ'!$D$6),IF(Расчёты!G187=3,N('Сценарный анализ'!$D$7),N('Сценарный анализ'!$D$7)*(1+N('Сценарный анализ'!$D$8))^(Расчёты!G187-3)))))</f>
        <v>0</v>
      </c>
      <c r="AZ187">
        <f>IF(OR(Расчёты!F187=0,N('Исходные данные'!$B$5)=0,AY187=0),0,N('Исходные данные'!$B$5)*AY187*IF(AND(B187&lt;='Исходные данные'!$B$30,Расчёты!C187&gt;='Исходные данные'!$B$30),(Расчёты!C187-'Исходные данные'!$B$30+1)/DAY(Расчёты!C187),1))</f>
        <v>0</v>
      </c>
      <c r="BA187">
        <f>IF(AND(Расчёты!F187&gt;0,Расчёты!F187&lt;=N('Исходные данные'!$B$37)),-AZ187,0)</f>
        <v>0</v>
      </c>
      <c r="BB187">
        <f>IF(OR(Расчёты!F187=0,Расчёты!F187&lt;=N('Исходные данные'!$B$37)),0,-(AZ187+BA187)*N('Сценарный анализ'!$D$9))</f>
        <v>0</v>
      </c>
      <c r="BC187">
        <f t="shared" si="107"/>
        <v>0</v>
      </c>
      <c r="BD187">
        <f>IF('Исходные данные'!$B$51="Да",BC187*N('Исходные данные'!$B$52),0)</f>
        <v>0</v>
      </c>
      <c r="BE187">
        <f t="shared" si="108"/>
        <v>0</v>
      </c>
      <c r="BF187">
        <f>BC187+(Расчёты!Y187-Расчёты!L187)</f>
        <v>0</v>
      </c>
      <c r="BG187">
        <f t="shared" si="115"/>
        <v>0</v>
      </c>
      <c r="BH187">
        <f>IF('Исходные данные'!$B$51="Да",-MAX(0,BD187+Расчёты!R187+Расчёты!V187-Расчёты!P187-Расчёты!T187-BG187),0)</f>
        <v>0</v>
      </c>
      <c r="BI187">
        <f>IF('Исходные данные'!$B$51="Да",MAX(0,BG187+Расчёты!P187+Расчёты!T187-BD187-Расчёты!R187-Расчёты!V187),0)</f>
        <v>0</v>
      </c>
      <c r="BJ187">
        <f>IF('Исходные данные'!$B$53="Выручка",MAX(0,BC187+(Расчёты!Q187-Расчёты!R187)+(Расчёты!U187-Расчёты!V187)),IF('Исходные данные'!$B$53="Прибыль до налога",MAX(0,BC187+(Расчёты!Q187-Расчёты!R187)+(Расчёты!U187-Расчёты!V187)+N('Исходные данные'!$B$54)*((Расчёты!O187+Расчёты!P187)+(Расчёты!S187+Расчёты!T187)+Расчёты!W187+Расчёты!X187)+IF('Исходные данные'!$B$55="Да",Расчёты!AG187,0)-N('Исходные данные'!$B$56)/12),IF('Исходные данные'!$B$53="Пользовательская база",MAX(0,N('Исходные данные'!$B$57)/12),0)))</f>
        <v>0</v>
      </c>
      <c r="BK187">
        <f>IF(D187=1,-BJ187*N('Исходные данные'!$B$50),0)</f>
        <v>0</v>
      </c>
      <c r="BL187">
        <f t="shared" si="109"/>
        <v>0</v>
      </c>
      <c r="BM187">
        <f>IF(OR(D187&lt;&gt;1,B187="",'Исходные данные'!$B$91="",N('Исходные данные'!$B$80)&lt;=0,'Исходные данные'!$B$88=""),0,IF(AND(YEAR(B187)=YEAR('Исходные данные'!$B$91),MONTH(B187)=MONTH('Исходные данные'!$B$91)),MAX(0,IF('Исходные данные'!$B$88="Последние 12 месяцев",SUMIFS($BF$2:$BF$194,$B$2:$B$194,"&gt;="&amp;EDATE(B187,-11),$B$2:$B$194,"&lt;="&amp;B187),IF('Исходные данные'!$B$88="Пользовательский NOI",N('Исходные данные'!$B$89),BL187))/N('Исходные данные'!$B$80)*(1+N('Исходные данные'!$B$81))),0))</f>
        <v>0</v>
      </c>
      <c r="BN187">
        <f>-BM187*N('Исходные данные'!$B$73)</f>
        <v>0</v>
      </c>
      <c r="BO187">
        <f>IF(BM187=0,0,-N('Исходные данные'!$B$87)-IF('Исходные данные'!$B$82="Да",IF('Исходные данные'!$B$84="С выручки",BM187,IF('Исходные данные'!$B$84="С прибыли",MAX(0,BM187+BN187-IF('Исходные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87">
        <f t="shared" si="110"/>
        <v>0</v>
      </c>
      <c r="BQ187">
        <f>IF(D187=1,Расчёты!AZ187+BE187+BH187+BK187+BP187,0)</f>
        <v>0</v>
      </c>
      <c r="BR187" t="str">
        <f t="shared" si="116"/>
        <v/>
      </c>
      <c r="BS187">
        <f>IF(OR(D187=0,'Исходные данные'!$B$9="",'Исходные данные'!$B$90=""),0,BQ187/(1+'Исходные данные'!$B$90)^((C187-'Исходные данные'!$B$9)/365))</f>
        <v>0</v>
      </c>
      <c r="BT187">
        <f>IF(D187=1,BE187+Расчёты!O187+Расчёты!Q187+Расчёты!S187+Расчёты!U187+Расчёты!W187+Расчёты!X187+BH187+BK187,0)</f>
        <v>0</v>
      </c>
      <c r="BU187">
        <f>IF(AND(D187=1,BR187&gt;=0,BR186&lt;0,MIN($BR$2:BR187)&lt;0),1,0)</f>
        <v>0</v>
      </c>
      <c r="BV187">
        <f>Расчёты!AZ187+K187+N187-P187*N('Исходные данные'!$B$50)</f>
        <v>0</v>
      </c>
      <c r="BW187">
        <f t="shared" si="96"/>
        <v>0</v>
      </c>
      <c r="BX187">
        <f>IF(AND(BW187&gt;=0,BW186&lt;0,MIN($BW$2:BW187)&lt;0),1,0)</f>
        <v>0</v>
      </c>
      <c r="BY187">
        <f>Расчёты!AZ187+AH187+AK187-AM187*N('Исходные данные'!$B$50)</f>
        <v>0</v>
      </c>
      <c r="BZ187">
        <f t="shared" si="97"/>
        <v>0</v>
      </c>
      <c r="CA187">
        <f>IF(AND(BZ187&gt;=0,BZ186&lt;0,MIN($BZ$2:BZ187)&lt;0),1,0)</f>
        <v>0</v>
      </c>
      <c r="CB187">
        <f>Расчёты!AZ187+BE187+BH187-BJ187*N('Исходные данные'!$B$50)</f>
        <v>0</v>
      </c>
      <c r="CC187">
        <f t="shared" si="98"/>
        <v>0</v>
      </c>
      <c r="CD187">
        <f>IF(AND(CC187&gt;=0,CC186&lt;0,MIN($CC$2:CC187)&lt;0),1,0)</f>
        <v>0</v>
      </c>
    </row>
    <row r="188" spans="1:82" x14ac:dyDescent="0.2">
      <c r="A188">
        <f>Расчёты!A188</f>
        <v>187</v>
      </c>
      <c r="B188" t="str">
        <f>Расчёты!B188</f>
        <v/>
      </c>
      <c r="C188" t="str">
        <f>Расчёты!D188</f>
        <v/>
      </c>
      <c r="D188">
        <f>Расчёты!E188</f>
        <v>0</v>
      </c>
      <c r="E188">
        <f>IF(Расчёты!F188=0,0,IF(Расчёты!G188=1,N('Сценарный анализ'!$B$5),IF(Расчёты!G188=2,N('Сценарный анализ'!$B$6),IF(Расчёты!G188=3,N('Сценарный анализ'!$B$7),N('Сценарный анализ'!$B$7)*(1+N('Сценарный анализ'!$B$8))^(Расчёты!G188-3)))))</f>
        <v>0</v>
      </c>
      <c r="F188">
        <f>IF(OR(Расчёты!F188=0,N('Исходные данные'!$B$5)=0,E188=0),0,N('Исходные данные'!$B$5)*E188*IF(AND(B188&lt;='Исходные данные'!$B$30,Расчёты!C188&gt;='Исходные данные'!$B$30),(Расчёты!C188-'Исходные данные'!$B$30+1)/DAY(Расчёты!C188),1))</f>
        <v>0</v>
      </c>
      <c r="G188">
        <f>IF(AND(Расчёты!F188&gt;0,Расчёты!F188&lt;=N('Исходные данные'!$B$37)),-F188,0)</f>
        <v>0</v>
      </c>
      <c r="H188">
        <f>IF(OR(Расчёты!F188=0,Расчёты!F188&lt;=N('Исходные данные'!$B$37)),0,-(F188+G188)*N('Сценарный анализ'!$B$9))</f>
        <v>0</v>
      </c>
      <c r="I188">
        <f t="shared" si="99"/>
        <v>0</v>
      </c>
      <c r="J188">
        <f>IF('Исходные данные'!$B$51="Да",I188*N('Исходные данные'!$B$52),0)</f>
        <v>0</v>
      </c>
      <c r="K188">
        <f t="shared" si="100"/>
        <v>0</v>
      </c>
      <c r="L188">
        <f>I188+(Расчёты!Y188-Расчёты!L188)</f>
        <v>0</v>
      </c>
      <c r="M188">
        <f t="shared" si="111"/>
        <v>0</v>
      </c>
      <c r="N188">
        <f>IF('Исходные данные'!$B$51="Да",-MAX(0,J188+Расчёты!R188+Расчёты!V188-Расчёты!P188-Расчёты!T188-M188),0)</f>
        <v>0</v>
      </c>
      <c r="O188">
        <f>IF('Исходные данные'!$B$51="Да",MAX(0,M188+Расчёты!P188+Расчёты!T188-J188-Расчёты!R188-Расчёты!V188),0)</f>
        <v>0</v>
      </c>
      <c r="P188">
        <f>IF('Исходные данные'!$B$53="Выручка",MAX(0,I188+(Расчёты!Q188-Расчёты!R188)+(Расчёты!U188-Расчёты!V188)),IF('Исходные данные'!$B$53="Прибыль до налога",MAX(0,I188+(Расчёты!Q188-Расчёты!R188)+(Расчёты!U188-Расчёты!V188)+N('Исходные данные'!$B$54)*((Расчёты!O188+Расчёты!P188)+(Расчёты!S188+Расчёты!T188)+Расчёты!W188+Расчёты!X188)+IF('Исходные данные'!$B$55="Да",Расчёты!AG188,0)-N('Исходные данные'!$B$56)/12),IF('Исходные данные'!$B$53="Пользовательская база",MAX(0,N('Исходные данные'!$B$57)/12),0)))</f>
        <v>0</v>
      </c>
      <c r="Q188">
        <f>IF(D188=1,-P188*N('Исходные данные'!$B$50),0)</f>
        <v>0</v>
      </c>
      <c r="R188">
        <f t="shared" si="101"/>
        <v>0</v>
      </c>
      <c r="S188">
        <f>IF(OR(D188&lt;&gt;1,B188="",'Исходные данные'!$B$91="",N('Исходные данные'!$B$80)&lt;=0,'Исходные данные'!$B$88=""),0,IF(AND(YEAR(B188)=YEAR('Исходные данные'!$B$91),MONTH(B188)=MONTH('Исходные данные'!$B$91)),MAX(0,IF('Исходные данные'!$B$88="Последние 12 месяцев",SUMIFS($L$2:$L$194,$B$2:$B$194,"&gt;="&amp;EDATE(B188,-11),$B$2:$B$194,"&lt;="&amp;B188),IF('Исходные данные'!$B$88="Пользовательский NOI",N('Исходные данные'!$B$89),R188))/N('Исходные данные'!$B$80)*(1+N('Исходные данные'!$B$81))),0))</f>
        <v>0</v>
      </c>
      <c r="T188">
        <f>-S188*N('Исходные данные'!$B$73)</f>
        <v>0</v>
      </c>
      <c r="U188">
        <f>IF(S188=0,0,-N('Исходные данные'!$B$87)-IF('Исходные данные'!$B$82="Да",IF('Исходные данные'!$B$84="С выручки",S188,IF('Исходные данные'!$B$84="С прибыли",MAX(0,S188+T188-IF('Исходные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88">
        <f t="shared" si="102"/>
        <v>0</v>
      </c>
      <c r="W188">
        <f>IF(D188=1,Расчёты!AZ188+K188+N188+Q188+V188,0)</f>
        <v>0</v>
      </c>
      <c r="X188" t="str">
        <f t="shared" si="112"/>
        <v/>
      </c>
      <c r="Y188">
        <f>IF(OR(D188=0,'Исходные данные'!$B$9="",'Исходные данные'!$B$90=""),0,W188/(1+'Исходные данные'!$B$90)^((C188-'Исходные данные'!$B$9)/365))</f>
        <v>0</v>
      </c>
      <c r="Z188">
        <f>IF(D188=1,K188+Расчёты!O188+Расчёты!Q188+Расчёты!S188+Расчёты!U188+Расчёты!W188+Расчёты!X188+N188+Q188,0)</f>
        <v>0</v>
      </c>
      <c r="AA188">
        <f>IF(AND(D188=1,X188&gt;=0,X187&lt;0,MIN($X$2:X188)&lt;0),1,0)</f>
        <v>0</v>
      </c>
      <c r="AB188">
        <f>IF(Расчёты!F188=0,0,IF(Расчёты!G188=1,N('Сценарный анализ'!$C$5),IF(Расчёты!G188=2,N('Сценарный анализ'!$C$6),IF(Расчёты!G188=3,N('Сценарный анализ'!$C$7),N('Сценарный анализ'!$C$7)*(1+N('Сценарный анализ'!$C$8))^(Расчёты!G188-3)))))</f>
        <v>0</v>
      </c>
      <c r="AC188">
        <f>IF(OR(Расчёты!F188=0,N('Исходные данные'!$B$5)=0,AB188=0),0,N('Исходные данные'!$B$5)*AB188*IF(AND(B188&lt;='Исходные данные'!$B$30,Расчёты!C188&gt;='Исходные данные'!$B$30),(Расчёты!C188-'Исходные данные'!$B$30+1)/DAY(Расчёты!C188),1))</f>
        <v>0</v>
      </c>
      <c r="AD188">
        <f>IF(AND(Расчёты!F188&gt;0,Расчёты!F188&lt;=N('Исходные данные'!$B$37)),-AC188,0)</f>
        <v>0</v>
      </c>
      <c r="AE188">
        <f>IF(OR(Расчёты!F188=0,Расчёты!F188&lt;=N('Исходные данные'!$B$37)),0,-(AC188+AD188)*N('Сценарный анализ'!$C$9))</f>
        <v>0</v>
      </c>
      <c r="AF188">
        <f t="shared" si="103"/>
        <v>0</v>
      </c>
      <c r="AG188">
        <f>IF('Исходные данные'!$B$51="Да",AF188*N('Исходные данные'!$B$52),0)</f>
        <v>0</v>
      </c>
      <c r="AH188">
        <f t="shared" si="104"/>
        <v>0</v>
      </c>
      <c r="AI188">
        <f>AF188+(Расчёты!Y188-Расчёты!L188)</f>
        <v>0</v>
      </c>
      <c r="AJ188">
        <f t="shared" si="113"/>
        <v>0</v>
      </c>
      <c r="AK188">
        <f>IF('Исходные данные'!$B$51="Да",-MAX(0,AG188+Расчёты!R188+Расчёты!V188-Расчёты!P188-Расчёты!T188-AJ188),0)</f>
        <v>0</v>
      </c>
      <c r="AL188">
        <f>IF('Исходные данные'!$B$51="Да",MAX(0,AJ188+Расчёты!P188+Расчёты!T188-AG188-Расчёты!R188-Расчёты!V188),0)</f>
        <v>0</v>
      </c>
      <c r="AM188">
        <f>IF('Исходные данные'!$B$53="Выручка",MAX(0,AF188+(Расчёты!Q188-Расчёты!R188)+(Расчёты!U188-Расчёты!V188)),IF('Исходные данные'!$B$53="Прибыль до налога",MAX(0,AF188+(Расчёты!Q188-Расчёты!R188)+(Расчёты!U188-Расчёты!V188)+N('Исходные данные'!$B$54)*((Расчёты!O188+Расчёты!P188)+(Расчёты!S188+Расчёты!T188)+Расчёты!W188+Расчёты!X188)+IF('Исходные данные'!$B$55="Да",Расчёты!AG188,0)-N('Исходные данные'!$B$56)/12),IF('Исходные данные'!$B$53="Пользовательская база",MAX(0,N('Исходные данные'!$B$57)/12),0)))</f>
        <v>0</v>
      </c>
      <c r="AN188">
        <f>IF(D188=1,-AM188*N('Исходные данные'!$B$50),0)</f>
        <v>0</v>
      </c>
      <c r="AO188">
        <f t="shared" si="105"/>
        <v>0</v>
      </c>
      <c r="AP188">
        <f>IF(OR(D188&lt;&gt;1,B188="",'Исходные данные'!$B$91="",N('Исходные данные'!$B$80)&lt;=0,'Исходные данные'!$B$88=""),0,IF(AND(YEAR(B188)=YEAR('Исходные данные'!$B$91),MONTH(B188)=MONTH('Исходные данные'!$B$91)),MAX(0,IF('Исходные данные'!$B$88="Последние 12 месяцев",SUMIFS($AI$2:$AI$194,$B$2:$B$194,"&gt;="&amp;EDATE(B188,-11),$B$2:$B$194,"&lt;="&amp;B188),IF('Исходные данные'!$B$88="Пользовательский NOI",N('Исходные данные'!$B$89),AO188))/N('Исходные данные'!$B$80)*(1+N('Исходные данные'!$B$81))),0))</f>
        <v>0</v>
      </c>
      <c r="AQ188">
        <f>-AP188*N('Исходные данные'!$B$73)</f>
        <v>0</v>
      </c>
      <c r="AR188">
        <f>IF(AP188=0,0,-N('Исходные данные'!$B$87)-IF('Исходные данные'!$B$82="Да",IF('Исходные данные'!$B$84="С выручки",AP188,IF('Исходные данные'!$B$84="С прибыли",MAX(0,AP188+AQ188-IF('Исходные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88">
        <f t="shared" si="106"/>
        <v>0</v>
      </c>
      <c r="AT188">
        <f>IF(D188=1,Расчёты!AZ188+AH188+AK188+AN188+AS188,0)</f>
        <v>0</v>
      </c>
      <c r="AU188" t="str">
        <f t="shared" si="114"/>
        <v/>
      </c>
      <c r="AV188">
        <f>IF(OR(D188=0,'Исходные данные'!$B$9="",'Исходные данные'!$B$90=""),0,AT188/(1+'Исходные данные'!$B$90)^((C188-'Исходные данные'!$B$9)/365))</f>
        <v>0</v>
      </c>
      <c r="AW188">
        <f>IF(D188=1,AH188+Расчёты!O188+Расчёты!Q188+Расчёты!S188+Расчёты!U188+Расчёты!W188+Расчёты!X188+AK188+AN188,0)</f>
        <v>0</v>
      </c>
      <c r="AX188">
        <f>IF(AND(D188=1,AU188&gt;=0,AU187&lt;0,MIN($AU$2:AU188)&lt;0),1,0)</f>
        <v>0</v>
      </c>
      <c r="AY188">
        <f>IF(Расчёты!F188=0,0,IF(Расчёты!G188=1,N('Сценарный анализ'!$D$5),IF(Расчёты!G188=2,N('Сценарный анализ'!$D$6),IF(Расчёты!G188=3,N('Сценарный анализ'!$D$7),N('Сценарный анализ'!$D$7)*(1+N('Сценарный анализ'!$D$8))^(Расчёты!G188-3)))))</f>
        <v>0</v>
      </c>
      <c r="AZ188">
        <f>IF(OR(Расчёты!F188=0,N('Исходные данные'!$B$5)=0,AY188=0),0,N('Исходные данные'!$B$5)*AY188*IF(AND(B188&lt;='Исходные данные'!$B$30,Расчёты!C188&gt;='Исходные данные'!$B$30),(Расчёты!C188-'Исходные данные'!$B$30+1)/DAY(Расчёты!C188),1))</f>
        <v>0</v>
      </c>
      <c r="BA188">
        <f>IF(AND(Расчёты!F188&gt;0,Расчёты!F188&lt;=N('Исходные данные'!$B$37)),-AZ188,0)</f>
        <v>0</v>
      </c>
      <c r="BB188">
        <f>IF(OR(Расчёты!F188=0,Расчёты!F188&lt;=N('Исходные данные'!$B$37)),0,-(AZ188+BA188)*N('Сценарный анализ'!$D$9))</f>
        <v>0</v>
      </c>
      <c r="BC188">
        <f t="shared" si="107"/>
        <v>0</v>
      </c>
      <c r="BD188">
        <f>IF('Исходные данные'!$B$51="Да",BC188*N('Исходные данные'!$B$52),0)</f>
        <v>0</v>
      </c>
      <c r="BE188">
        <f t="shared" si="108"/>
        <v>0</v>
      </c>
      <c r="BF188">
        <f>BC188+(Расчёты!Y188-Расчёты!L188)</f>
        <v>0</v>
      </c>
      <c r="BG188">
        <f t="shared" si="115"/>
        <v>0</v>
      </c>
      <c r="BH188">
        <f>IF('Исходные данные'!$B$51="Да",-MAX(0,BD188+Расчёты!R188+Расчёты!V188-Расчёты!P188-Расчёты!T188-BG188),0)</f>
        <v>0</v>
      </c>
      <c r="BI188">
        <f>IF('Исходные данные'!$B$51="Да",MAX(0,BG188+Расчёты!P188+Расчёты!T188-BD188-Расчёты!R188-Расчёты!V188),0)</f>
        <v>0</v>
      </c>
      <c r="BJ188">
        <f>IF('Исходные данные'!$B$53="Выручка",MAX(0,BC188+(Расчёты!Q188-Расчёты!R188)+(Расчёты!U188-Расчёты!V188)),IF('Исходные данные'!$B$53="Прибыль до налога",MAX(0,BC188+(Расчёты!Q188-Расчёты!R188)+(Расчёты!U188-Расчёты!V188)+N('Исходные данные'!$B$54)*((Расчёты!O188+Расчёты!P188)+(Расчёты!S188+Расчёты!T188)+Расчёты!W188+Расчёты!X188)+IF('Исходные данные'!$B$55="Да",Расчёты!AG188,0)-N('Исходные данные'!$B$56)/12),IF('Исходные данные'!$B$53="Пользовательская база",MAX(0,N('Исходные данные'!$B$57)/12),0)))</f>
        <v>0</v>
      </c>
      <c r="BK188">
        <f>IF(D188=1,-BJ188*N('Исходные данные'!$B$50),0)</f>
        <v>0</v>
      </c>
      <c r="BL188">
        <f t="shared" si="109"/>
        <v>0</v>
      </c>
      <c r="BM188">
        <f>IF(OR(D188&lt;&gt;1,B188="",'Исходные данные'!$B$91="",N('Исходные данные'!$B$80)&lt;=0,'Исходные данные'!$B$88=""),0,IF(AND(YEAR(B188)=YEAR('Исходные данные'!$B$91),MONTH(B188)=MONTH('Исходные данные'!$B$91)),MAX(0,IF('Исходные данные'!$B$88="Последние 12 месяцев",SUMIFS($BF$2:$BF$194,$B$2:$B$194,"&gt;="&amp;EDATE(B188,-11),$B$2:$B$194,"&lt;="&amp;B188),IF('Исходные данные'!$B$88="Пользовательский NOI",N('Исходные данные'!$B$89),BL188))/N('Исходные данные'!$B$80)*(1+N('Исходные данные'!$B$81))),0))</f>
        <v>0</v>
      </c>
      <c r="BN188">
        <f>-BM188*N('Исходные данные'!$B$73)</f>
        <v>0</v>
      </c>
      <c r="BO188">
        <f>IF(BM188=0,0,-N('Исходные данные'!$B$87)-IF('Исходные данные'!$B$82="Да",IF('Исходные данные'!$B$84="С выручки",BM188,IF('Исходные данные'!$B$84="С прибыли",MAX(0,BM188+BN188-IF('Исходные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88">
        <f t="shared" si="110"/>
        <v>0</v>
      </c>
      <c r="BQ188">
        <f>IF(D188=1,Расчёты!AZ188+BE188+BH188+BK188+BP188,0)</f>
        <v>0</v>
      </c>
      <c r="BR188" t="str">
        <f t="shared" si="116"/>
        <v/>
      </c>
      <c r="BS188">
        <f>IF(OR(D188=0,'Исходные данные'!$B$9="",'Исходные данные'!$B$90=""),0,BQ188/(1+'Исходные данные'!$B$90)^((C188-'Исходные данные'!$B$9)/365))</f>
        <v>0</v>
      </c>
      <c r="BT188">
        <f>IF(D188=1,BE188+Расчёты!O188+Расчёты!Q188+Расчёты!S188+Расчёты!U188+Расчёты!W188+Расчёты!X188+BH188+BK188,0)</f>
        <v>0</v>
      </c>
      <c r="BU188">
        <f>IF(AND(D188=1,BR188&gt;=0,BR187&lt;0,MIN($BR$2:BR188)&lt;0),1,0)</f>
        <v>0</v>
      </c>
      <c r="BV188">
        <f>Расчёты!AZ188+K188+N188-P188*N('Исходные данные'!$B$50)</f>
        <v>0</v>
      </c>
      <c r="BW188">
        <f t="shared" si="96"/>
        <v>0</v>
      </c>
      <c r="BX188">
        <f>IF(AND(BW188&gt;=0,BW187&lt;0,MIN($BW$2:BW188)&lt;0),1,0)</f>
        <v>0</v>
      </c>
      <c r="BY188">
        <f>Расчёты!AZ188+AH188+AK188-AM188*N('Исходные данные'!$B$50)</f>
        <v>0</v>
      </c>
      <c r="BZ188">
        <f t="shared" si="97"/>
        <v>0</v>
      </c>
      <c r="CA188">
        <f>IF(AND(BZ188&gt;=0,BZ187&lt;0,MIN($BZ$2:BZ188)&lt;0),1,0)</f>
        <v>0</v>
      </c>
      <c r="CB188">
        <f>Расчёты!AZ188+BE188+BH188-BJ188*N('Исходные данные'!$B$50)</f>
        <v>0</v>
      </c>
      <c r="CC188">
        <f t="shared" si="98"/>
        <v>0</v>
      </c>
      <c r="CD188">
        <f>IF(AND(CC188&gt;=0,CC187&lt;0,MIN($CC$2:CC188)&lt;0),1,0)</f>
        <v>0</v>
      </c>
    </row>
    <row r="189" spans="1:82" x14ac:dyDescent="0.2">
      <c r="A189">
        <f>Расчёты!A189</f>
        <v>188</v>
      </c>
      <c r="B189" t="str">
        <f>Расчёты!B189</f>
        <v/>
      </c>
      <c r="C189" t="str">
        <f>Расчёты!D189</f>
        <v/>
      </c>
      <c r="D189">
        <f>Расчёты!E189</f>
        <v>0</v>
      </c>
      <c r="E189">
        <f>IF(Расчёты!F189=0,0,IF(Расчёты!G189=1,N('Сценарный анализ'!$B$5),IF(Расчёты!G189=2,N('Сценарный анализ'!$B$6),IF(Расчёты!G189=3,N('Сценарный анализ'!$B$7),N('Сценарный анализ'!$B$7)*(1+N('Сценарный анализ'!$B$8))^(Расчёты!G189-3)))))</f>
        <v>0</v>
      </c>
      <c r="F189">
        <f>IF(OR(Расчёты!F189=0,N('Исходные данные'!$B$5)=0,E189=0),0,N('Исходные данные'!$B$5)*E189*IF(AND(B189&lt;='Исходные данные'!$B$30,Расчёты!C189&gt;='Исходные данные'!$B$30),(Расчёты!C189-'Исходные данные'!$B$30+1)/DAY(Расчёты!C189),1))</f>
        <v>0</v>
      </c>
      <c r="G189">
        <f>IF(AND(Расчёты!F189&gt;0,Расчёты!F189&lt;=N('Исходные данные'!$B$37)),-F189,0)</f>
        <v>0</v>
      </c>
      <c r="H189">
        <f>IF(OR(Расчёты!F189=0,Расчёты!F189&lt;=N('Исходные данные'!$B$37)),0,-(F189+G189)*N('Сценарный анализ'!$B$9))</f>
        <v>0</v>
      </c>
      <c r="I189">
        <f t="shared" si="99"/>
        <v>0</v>
      </c>
      <c r="J189">
        <f>IF('Исходные данные'!$B$51="Да",I189*N('Исходные данные'!$B$52),0)</f>
        <v>0</v>
      </c>
      <c r="K189">
        <f t="shared" si="100"/>
        <v>0</v>
      </c>
      <c r="L189">
        <f>I189+(Расчёты!Y189-Расчёты!L189)</f>
        <v>0</v>
      </c>
      <c r="M189">
        <f t="shared" si="111"/>
        <v>0</v>
      </c>
      <c r="N189">
        <f>IF('Исходные данные'!$B$51="Да",-MAX(0,J189+Расчёты!R189+Расчёты!V189-Расчёты!P189-Расчёты!T189-M189),0)</f>
        <v>0</v>
      </c>
      <c r="O189">
        <f>IF('Исходные данные'!$B$51="Да",MAX(0,M189+Расчёты!P189+Расчёты!T189-J189-Расчёты!R189-Расчёты!V189),0)</f>
        <v>0</v>
      </c>
      <c r="P189">
        <f>IF('Исходные данные'!$B$53="Выручка",MAX(0,I189+(Расчёты!Q189-Расчёты!R189)+(Расчёты!U189-Расчёты!V189)),IF('Исходные данные'!$B$53="Прибыль до налога",MAX(0,I189+(Расчёты!Q189-Расчёты!R189)+(Расчёты!U189-Расчёты!V189)+N('Исходные данные'!$B$54)*((Расчёты!O189+Расчёты!P189)+(Расчёты!S189+Расчёты!T189)+Расчёты!W189+Расчёты!X189)+IF('Исходные данные'!$B$55="Да",Расчёты!AG189,0)-N('Исходные данные'!$B$56)/12),IF('Исходные данные'!$B$53="Пользовательская база",MAX(0,N('Исходные данные'!$B$57)/12),0)))</f>
        <v>0</v>
      </c>
      <c r="Q189">
        <f>IF(D189=1,-P189*N('Исходные данные'!$B$50),0)</f>
        <v>0</v>
      </c>
      <c r="R189">
        <f t="shared" si="101"/>
        <v>0</v>
      </c>
      <c r="S189">
        <f>IF(OR(D189&lt;&gt;1,B189="",'Исходные данные'!$B$91="",N('Исходные данные'!$B$80)&lt;=0,'Исходные данные'!$B$88=""),0,IF(AND(YEAR(B189)=YEAR('Исходные данные'!$B$91),MONTH(B189)=MONTH('Исходные данные'!$B$91)),MAX(0,IF('Исходные данные'!$B$88="Последние 12 месяцев",SUMIFS($L$2:$L$194,$B$2:$B$194,"&gt;="&amp;EDATE(B189,-11),$B$2:$B$194,"&lt;="&amp;B189),IF('Исходные данные'!$B$88="Пользовательский NOI",N('Исходные данные'!$B$89),R189))/N('Исходные данные'!$B$80)*(1+N('Исходные данные'!$B$81))),0))</f>
        <v>0</v>
      </c>
      <c r="T189">
        <f>-S189*N('Исходные данные'!$B$73)</f>
        <v>0</v>
      </c>
      <c r="U189">
        <f>IF(S189=0,0,-N('Исходные данные'!$B$87)-IF('Исходные данные'!$B$82="Да",IF('Исходные данные'!$B$84="С выручки",S189,IF('Исходные данные'!$B$84="С прибыли",MAX(0,S189+T189-IF('Исходные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89">
        <f t="shared" si="102"/>
        <v>0</v>
      </c>
      <c r="W189">
        <f>IF(D189=1,Расчёты!AZ189+K189+N189+Q189+V189,0)</f>
        <v>0</v>
      </c>
      <c r="X189" t="str">
        <f t="shared" si="112"/>
        <v/>
      </c>
      <c r="Y189">
        <f>IF(OR(D189=0,'Исходные данные'!$B$9="",'Исходные данные'!$B$90=""),0,W189/(1+'Исходные данные'!$B$90)^((C189-'Исходные данные'!$B$9)/365))</f>
        <v>0</v>
      </c>
      <c r="Z189">
        <f>IF(D189=1,K189+Расчёты!O189+Расчёты!Q189+Расчёты!S189+Расчёты!U189+Расчёты!W189+Расчёты!X189+N189+Q189,0)</f>
        <v>0</v>
      </c>
      <c r="AA189">
        <f>IF(AND(D189=1,X189&gt;=0,X188&lt;0,MIN($X$2:X189)&lt;0),1,0)</f>
        <v>0</v>
      </c>
      <c r="AB189">
        <f>IF(Расчёты!F189=0,0,IF(Расчёты!G189=1,N('Сценарный анализ'!$C$5),IF(Расчёты!G189=2,N('Сценарный анализ'!$C$6),IF(Расчёты!G189=3,N('Сценарный анализ'!$C$7),N('Сценарный анализ'!$C$7)*(1+N('Сценарный анализ'!$C$8))^(Расчёты!G189-3)))))</f>
        <v>0</v>
      </c>
      <c r="AC189">
        <f>IF(OR(Расчёты!F189=0,N('Исходные данные'!$B$5)=0,AB189=0),0,N('Исходные данные'!$B$5)*AB189*IF(AND(B189&lt;='Исходные данные'!$B$30,Расчёты!C189&gt;='Исходные данные'!$B$30),(Расчёты!C189-'Исходные данные'!$B$30+1)/DAY(Расчёты!C189),1))</f>
        <v>0</v>
      </c>
      <c r="AD189">
        <f>IF(AND(Расчёты!F189&gt;0,Расчёты!F189&lt;=N('Исходные данные'!$B$37)),-AC189,0)</f>
        <v>0</v>
      </c>
      <c r="AE189">
        <f>IF(OR(Расчёты!F189=0,Расчёты!F189&lt;=N('Исходные данные'!$B$37)),0,-(AC189+AD189)*N('Сценарный анализ'!$C$9))</f>
        <v>0</v>
      </c>
      <c r="AF189">
        <f t="shared" si="103"/>
        <v>0</v>
      </c>
      <c r="AG189">
        <f>IF('Исходные данные'!$B$51="Да",AF189*N('Исходные данные'!$B$52),0)</f>
        <v>0</v>
      </c>
      <c r="AH189">
        <f t="shared" si="104"/>
        <v>0</v>
      </c>
      <c r="AI189">
        <f>AF189+(Расчёты!Y189-Расчёты!L189)</f>
        <v>0</v>
      </c>
      <c r="AJ189">
        <f t="shared" si="113"/>
        <v>0</v>
      </c>
      <c r="AK189">
        <f>IF('Исходные данные'!$B$51="Да",-MAX(0,AG189+Расчёты!R189+Расчёты!V189-Расчёты!P189-Расчёты!T189-AJ189),0)</f>
        <v>0</v>
      </c>
      <c r="AL189">
        <f>IF('Исходные данные'!$B$51="Да",MAX(0,AJ189+Расчёты!P189+Расчёты!T189-AG189-Расчёты!R189-Расчёты!V189),0)</f>
        <v>0</v>
      </c>
      <c r="AM189">
        <f>IF('Исходные данные'!$B$53="Выручка",MAX(0,AF189+(Расчёты!Q189-Расчёты!R189)+(Расчёты!U189-Расчёты!V189)),IF('Исходные данные'!$B$53="Прибыль до налога",MAX(0,AF189+(Расчёты!Q189-Расчёты!R189)+(Расчёты!U189-Расчёты!V189)+N('Исходные данные'!$B$54)*((Расчёты!O189+Расчёты!P189)+(Расчёты!S189+Расчёты!T189)+Расчёты!W189+Расчёты!X189)+IF('Исходные данные'!$B$55="Да",Расчёты!AG189,0)-N('Исходные данные'!$B$56)/12),IF('Исходные данные'!$B$53="Пользовательская база",MAX(0,N('Исходные данные'!$B$57)/12),0)))</f>
        <v>0</v>
      </c>
      <c r="AN189">
        <f>IF(D189=1,-AM189*N('Исходные данные'!$B$50),0)</f>
        <v>0</v>
      </c>
      <c r="AO189">
        <f t="shared" si="105"/>
        <v>0</v>
      </c>
      <c r="AP189">
        <f>IF(OR(D189&lt;&gt;1,B189="",'Исходные данные'!$B$91="",N('Исходные данные'!$B$80)&lt;=0,'Исходные данные'!$B$88=""),0,IF(AND(YEAR(B189)=YEAR('Исходные данные'!$B$91),MONTH(B189)=MONTH('Исходные данные'!$B$91)),MAX(0,IF('Исходные данные'!$B$88="Последние 12 месяцев",SUMIFS($AI$2:$AI$194,$B$2:$B$194,"&gt;="&amp;EDATE(B189,-11),$B$2:$B$194,"&lt;="&amp;B189),IF('Исходные данные'!$B$88="Пользовательский NOI",N('Исходные данные'!$B$89),AO189))/N('Исходные данные'!$B$80)*(1+N('Исходные данные'!$B$81))),0))</f>
        <v>0</v>
      </c>
      <c r="AQ189">
        <f>-AP189*N('Исходные данные'!$B$73)</f>
        <v>0</v>
      </c>
      <c r="AR189">
        <f>IF(AP189=0,0,-N('Исходные данные'!$B$87)-IF('Исходные данные'!$B$82="Да",IF('Исходные данные'!$B$84="С выручки",AP189,IF('Исходные данные'!$B$84="С прибыли",MAX(0,AP189+AQ189-IF('Исходные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89">
        <f t="shared" si="106"/>
        <v>0</v>
      </c>
      <c r="AT189">
        <f>IF(D189=1,Расчёты!AZ189+AH189+AK189+AN189+AS189,0)</f>
        <v>0</v>
      </c>
      <c r="AU189" t="str">
        <f t="shared" si="114"/>
        <v/>
      </c>
      <c r="AV189">
        <f>IF(OR(D189=0,'Исходные данные'!$B$9="",'Исходные данные'!$B$90=""),0,AT189/(1+'Исходные данные'!$B$90)^((C189-'Исходные данные'!$B$9)/365))</f>
        <v>0</v>
      </c>
      <c r="AW189">
        <f>IF(D189=1,AH189+Расчёты!O189+Расчёты!Q189+Расчёты!S189+Расчёты!U189+Расчёты!W189+Расчёты!X189+AK189+AN189,0)</f>
        <v>0</v>
      </c>
      <c r="AX189">
        <f>IF(AND(D189=1,AU189&gt;=0,AU188&lt;0,MIN($AU$2:AU189)&lt;0),1,0)</f>
        <v>0</v>
      </c>
      <c r="AY189">
        <f>IF(Расчёты!F189=0,0,IF(Расчёты!G189=1,N('Сценарный анализ'!$D$5),IF(Расчёты!G189=2,N('Сценарный анализ'!$D$6),IF(Расчёты!G189=3,N('Сценарный анализ'!$D$7),N('Сценарный анализ'!$D$7)*(1+N('Сценарный анализ'!$D$8))^(Расчёты!G189-3)))))</f>
        <v>0</v>
      </c>
      <c r="AZ189">
        <f>IF(OR(Расчёты!F189=0,N('Исходные данные'!$B$5)=0,AY189=0),0,N('Исходные данные'!$B$5)*AY189*IF(AND(B189&lt;='Исходные данные'!$B$30,Расчёты!C189&gt;='Исходные данные'!$B$30),(Расчёты!C189-'Исходные данные'!$B$30+1)/DAY(Расчёты!C189),1))</f>
        <v>0</v>
      </c>
      <c r="BA189">
        <f>IF(AND(Расчёты!F189&gt;0,Расчёты!F189&lt;=N('Исходные данные'!$B$37)),-AZ189,0)</f>
        <v>0</v>
      </c>
      <c r="BB189">
        <f>IF(OR(Расчёты!F189=0,Расчёты!F189&lt;=N('Исходные данные'!$B$37)),0,-(AZ189+BA189)*N('Сценарный анализ'!$D$9))</f>
        <v>0</v>
      </c>
      <c r="BC189">
        <f t="shared" si="107"/>
        <v>0</v>
      </c>
      <c r="BD189">
        <f>IF('Исходные данные'!$B$51="Да",BC189*N('Исходные данные'!$B$52),0)</f>
        <v>0</v>
      </c>
      <c r="BE189">
        <f t="shared" si="108"/>
        <v>0</v>
      </c>
      <c r="BF189">
        <f>BC189+(Расчёты!Y189-Расчёты!L189)</f>
        <v>0</v>
      </c>
      <c r="BG189">
        <f t="shared" si="115"/>
        <v>0</v>
      </c>
      <c r="BH189">
        <f>IF('Исходные данные'!$B$51="Да",-MAX(0,BD189+Расчёты!R189+Расчёты!V189-Расчёты!P189-Расчёты!T189-BG189),0)</f>
        <v>0</v>
      </c>
      <c r="BI189">
        <f>IF('Исходные данные'!$B$51="Да",MAX(0,BG189+Расчёты!P189+Расчёты!T189-BD189-Расчёты!R189-Расчёты!V189),0)</f>
        <v>0</v>
      </c>
      <c r="BJ189">
        <f>IF('Исходные данные'!$B$53="Выручка",MAX(0,BC189+(Расчёты!Q189-Расчёты!R189)+(Расчёты!U189-Расчёты!V189)),IF('Исходные данные'!$B$53="Прибыль до налога",MAX(0,BC189+(Расчёты!Q189-Расчёты!R189)+(Расчёты!U189-Расчёты!V189)+N('Исходные данные'!$B$54)*((Расчёты!O189+Расчёты!P189)+(Расчёты!S189+Расчёты!T189)+Расчёты!W189+Расчёты!X189)+IF('Исходные данные'!$B$55="Да",Расчёты!AG189,0)-N('Исходные данные'!$B$56)/12),IF('Исходные данные'!$B$53="Пользовательская база",MAX(0,N('Исходные данные'!$B$57)/12),0)))</f>
        <v>0</v>
      </c>
      <c r="BK189">
        <f>IF(D189=1,-BJ189*N('Исходные данные'!$B$50),0)</f>
        <v>0</v>
      </c>
      <c r="BL189">
        <f t="shared" si="109"/>
        <v>0</v>
      </c>
      <c r="BM189">
        <f>IF(OR(D189&lt;&gt;1,B189="",'Исходные данные'!$B$91="",N('Исходные данные'!$B$80)&lt;=0,'Исходные данные'!$B$88=""),0,IF(AND(YEAR(B189)=YEAR('Исходные данные'!$B$91),MONTH(B189)=MONTH('Исходные данные'!$B$91)),MAX(0,IF('Исходные данные'!$B$88="Последние 12 месяцев",SUMIFS($BF$2:$BF$194,$B$2:$B$194,"&gt;="&amp;EDATE(B189,-11),$B$2:$B$194,"&lt;="&amp;B189),IF('Исходные данные'!$B$88="Пользовательский NOI",N('Исходные данные'!$B$89),BL189))/N('Исходные данные'!$B$80)*(1+N('Исходные данные'!$B$81))),0))</f>
        <v>0</v>
      </c>
      <c r="BN189">
        <f>-BM189*N('Исходные данные'!$B$73)</f>
        <v>0</v>
      </c>
      <c r="BO189">
        <f>IF(BM189=0,0,-N('Исходные данные'!$B$87)-IF('Исходные данные'!$B$82="Да",IF('Исходные данные'!$B$84="С выручки",BM189,IF('Исходные данные'!$B$84="С прибыли",MAX(0,BM189+BN189-IF('Исходные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89">
        <f t="shared" si="110"/>
        <v>0</v>
      </c>
      <c r="BQ189">
        <f>IF(D189=1,Расчёты!AZ189+BE189+BH189+BK189+BP189,0)</f>
        <v>0</v>
      </c>
      <c r="BR189" t="str">
        <f t="shared" si="116"/>
        <v/>
      </c>
      <c r="BS189">
        <f>IF(OR(D189=0,'Исходные данные'!$B$9="",'Исходные данные'!$B$90=""),0,BQ189/(1+'Исходные данные'!$B$90)^((C189-'Исходные данные'!$B$9)/365))</f>
        <v>0</v>
      </c>
      <c r="BT189">
        <f>IF(D189=1,BE189+Расчёты!O189+Расчёты!Q189+Расчёты!S189+Расчёты!U189+Расчёты!W189+Расчёты!X189+BH189+BK189,0)</f>
        <v>0</v>
      </c>
      <c r="BU189">
        <f>IF(AND(D189=1,BR189&gt;=0,BR188&lt;0,MIN($BR$2:BR189)&lt;0),1,0)</f>
        <v>0</v>
      </c>
      <c r="BV189">
        <f>Расчёты!AZ189+K189+N189-P189*N('Исходные данные'!$B$50)</f>
        <v>0</v>
      </c>
      <c r="BW189">
        <f t="shared" si="96"/>
        <v>0</v>
      </c>
      <c r="BX189">
        <f>IF(AND(BW189&gt;=0,BW188&lt;0,MIN($BW$2:BW189)&lt;0),1,0)</f>
        <v>0</v>
      </c>
      <c r="BY189">
        <f>Расчёты!AZ189+AH189+AK189-AM189*N('Исходные данные'!$B$50)</f>
        <v>0</v>
      </c>
      <c r="BZ189">
        <f t="shared" si="97"/>
        <v>0</v>
      </c>
      <c r="CA189">
        <f>IF(AND(BZ189&gt;=0,BZ188&lt;0,MIN($BZ$2:BZ189)&lt;0),1,0)</f>
        <v>0</v>
      </c>
      <c r="CB189">
        <f>Расчёты!AZ189+BE189+BH189-BJ189*N('Исходные данные'!$B$50)</f>
        <v>0</v>
      </c>
      <c r="CC189">
        <f t="shared" si="98"/>
        <v>0</v>
      </c>
      <c r="CD189">
        <f>IF(AND(CC189&gt;=0,CC188&lt;0,MIN($CC$2:CC189)&lt;0),1,0)</f>
        <v>0</v>
      </c>
    </row>
    <row r="190" spans="1:82" x14ac:dyDescent="0.2">
      <c r="A190">
        <f>Расчёты!A190</f>
        <v>189</v>
      </c>
      <c r="B190" t="str">
        <f>Расчёты!B190</f>
        <v/>
      </c>
      <c r="C190" t="str">
        <f>Расчёты!D190</f>
        <v/>
      </c>
      <c r="D190">
        <f>Расчёты!E190</f>
        <v>0</v>
      </c>
      <c r="E190">
        <f>IF(Расчёты!F190=0,0,IF(Расчёты!G190=1,N('Сценарный анализ'!$B$5),IF(Расчёты!G190=2,N('Сценарный анализ'!$B$6),IF(Расчёты!G190=3,N('Сценарный анализ'!$B$7),N('Сценарный анализ'!$B$7)*(1+N('Сценарный анализ'!$B$8))^(Расчёты!G190-3)))))</f>
        <v>0</v>
      </c>
      <c r="F190">
        <f>IF(OR(Расчёты!F190=0,N('Исходные данные'!$B$5)=0,E190=0),0,N('Исходные данные'!$B$5)*E190*IF(AND(B190&lt;='Исходные данные'!$B$30,Расчёты!C190&gt;='Исходные данные'!$B$30),(Расчёты!C190-'Исходные данные'!$B$30+1)/DAY(Расчёты!C190),1))</f>
        <v>0</v>
      </c>
      <c r="G190">
        <f>IF(AND(Расчёты!F190&gt;0,Расчёты!F190&lt;=N('Исходные данные'!$B$37)),-F190,0)</f>
        <v>0</v>
      </c>
      <c r="H190">
        <f>IF(OR(Расчёты!F190=0,Расчёты!F190&lt;=N('Исходные данные'!$B$37)),0,-(F190+G190)*N('Сценарный анализ'!$B$9))</f>
        <v>0</v>
      </c>
      <c r="I190">
        <f t="shared" si="99"/>
        <v>0</v>
      </c>
      <c r="J190">
        <f>IF('Исходные данные'!$B$51="Да",I190*N('Исходные данные'!$B$52),0)</f>
        <v>0</v>
      </c>
      <c r="K190">
        <f t="shared" si="100"/>
        <v>0</v>
      </c>
      <c r="L190">
        <f>I190+(Расчёты!Y190-Расчёты!L190)</f>
        <v>0</v>
      </c>
      <c r="M190">
        <f t="shared" si="111"/>
        <v>0</v>
      </c>
      <c r="N190">
        <f>IF('Исходные данные'!$B$51="Да",-MAX(0,J190+Расчёты!R190+Расчёты!V190-Расчёты!P190-Расчёты!T190-M190),0)</f>
        <v>0</v>
      </c>
      <c r="O190">
        <f>IF('Исходные данные'!$B$51="Да",MAX(0,M190+Расчёты!P190+Расчёты!T190-J190-Расчёты!R190-Расчёты!V190),0)</f>
        <v>0</v>
      </c>
      <c r="P190">
        <f>IF('Исходные данные'!$B$53="Выручка",MAX(0,I190+(Расчёты!Q190-Расчёты!R190)+(Расчёты!U190-Расчёты!V190)),IF('Исходные данные'!$B$53="Прибыль до налога",MAX(0,I190+(Расчёты!Q190-Расчёты!R190)+(Расчёты!U190-Расчёты!V190)+N('Исходные данные'!$B$54)*((Расчёты!O190+Расчёты!P190)+(Расчёты!S190+Расчёты!T190)+Расчёты!W190+Расчёты!X190)+IF('Исходные данные'!$B$55="Да",Расчёты!AG190,0)-N('Исходные данные'!$B$56)/12),IF('Исходные данные'!$B$53="Пользовательская база",MAX(0,N('Исходные данные'!$B$57)/12),0)))</f>
        <v>0</v>
      </c>
      <c r="Q190">
        <f>IF(D190=1,-P190*N('Исходные данные'!$B$50),0)</f>
        <v>0</v>
      </c>
      <c r="R190">
        <f t="shared" si="101"/>
        <v>0</v>
      </c>
      <c r="S190">
        <f>IF(OR(D190&lt;&gt;1,B190="",'Исходные данные'!$B$91="",N('Исходные данные'!$B$80)&lt;=0,'Исходные данные'!$B$88=""),0,IF(AND(YEAR(B190)=YEAR('Исходные данные'!$B$91),MONTH(B190)=MONTH('Исходные данные'!$B$91)),MAX(0,IF('Исходные данные'!$B$88="Последние 12 месяцев",SUMIFS($L$2:$L$194,$B$2:$B$194,"&gt;="&amp;EDATE(B190,-11),$B$2:$B$194,"&lt;="&amp;B190),IF('Исходные данные'!$B$88="Пользовательский NOI",N('Исходные данные'!$B$89),R190))/N('Исходные данные'!$B$80)*(1+N('Исходные данные'!$B$81))),0))</f>
        <v>0</v>
      </c>
      <c r="T190">
        <f>-S190*N('Исходные данные'!$B$73)</f>
        <v>0</v>
      </c>
      <c r="U190">
        <f>IF(S190=0,0,-N('Исходные данные'!$B$87)-IF('Исходные данные'!$B$82="Да",IF('Исходные данные'!$B$84="С выручки",S190,IF('Исходные данные'!$B$84="С прибыли",MAX(0,S190+T190-IF('Исходные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90">
        <f t="shared" si="102"/>
        <v>0</v>
      </c>
      <c r="W190">
        <f>IF(D190=1,Расчёты!AZ190+K190+N190+Q190+V190,0)</f>
        <v>0</v>
      </c>
      <c r="X190" t="str">
        <f t="shared" si="112"/>
        <v/>
      </c>
      <c r="Y190">
        <f>IF(OR(D190=0,'Исходные данные'!$B$9="",'Исходные данные'!$B$90=""),0,W190/(1+'Исходные данные'!$B$90)^((C190-'Исходные данные'!$B$9)/365))</f>
        <v>0</v>
      </c>
      <c r="Z190">
        <f>IF(D190=1,K190+Расчёты!O190+Расчёты!Q190+Расчёты!S190+Расчёты!U190+Расчёты!W190+Расчёты!X190+N190+Q190,0)</f>
        <v>0</v>
      </c>
      <c r="AA190">
        <f>IF(AND(D190=1,X190&gt;=0,X189&lt;0,MIN($X$2:X190)&lt;0),1,0)</f>
        <v>0</v>
      </c>
      <c r="AB190">
        <f>IF(Расчёты!F190=0,0,IF(Расчёты!G190=1,N('Сценарный анализ'!$C$5),IF(Расчёты!G190=2,N('Сценарный анализ'!$C$6),IF(Расчёты!G190=3,N('Сценарный анализ'!$C$7),N('Сценарный анализ'!$C$7)*(1+N('Сценарный анализ'!$C$8))^(Расчёты!G190-3)))))</f>
        <v>0</v>
      </c>
      <c r="AC190">
        <f>IF(OR(Расчёты!F190=0,N('Исходные данные'!$B$5)=0,AB190=0),0,N('Исходные данные'!$B$5)*AB190*IF(AND(B190&lt;='Исходные данные'!$B$30,Расчёты!C190&gt;='Исходные данные'!$B$30),(Расчёты!C190-'Исходные данные'!$B$30+1)/DAY(Расчёты!C190),1))</f>
        <v>0</v>
      </c>
      <c r="AD190">
        <f>IF(AND(Расчёты!F190&gt;0,Расчёты!F190&lt;=N('Исходные данные'!$B$37)),-AC190,0)</f>
        <v>0</v>
      </c>
      <c r="AE190">
        <f>IF(OR(Расчёты!F190=0,Расчёты!F190&lt;=N('Исходные данные'!$B$37)),0,-(AC190+AD190)*N('Сценарный анализ'!$C$9))</f>
        <v>0</v>
      </c>
      <c r="AF190">
        <f t="shared" si="103"/>
        <v>0</v>
      </c>
      <c r="AG190">
        <f>IF('Исходные данные'!$B$51="Да",AF190*N('Исходные данные'!$B$52),0)</f>
        <v>0</v>
      </c>
      <c r="AH190">
        <f t="shared" si="104"/>
        <v>0</v>
      </c>
      <c r="AI190">
        <f>AF190+(Расчёты!Y190-Расчёты!L190)</f>
        <v>0</v>
      </c>
      <c r="AJ190">
        <f t="shared" si="113"/>
        <v>0</v>
      </c>
      <c r="AK190">
        <f>IF('Исходные данные'!$B$51="Да",-MAX(0,AG190+Расчёты!R190+Расчёты!V190-Расчёты!P190-Расчёты!T190-AJ190),0)</f>
        <v>0</v>
      </c>
      <c r="AL190">
        <f>IF('Исходные данные'!$B$51="Да",MAX(0,AJ190+Расчёты!P190+Расчёты!T190-AG190-Расчёты!R190-Расчёты!V190),0)</f>
        <v>0</v>
      </c>
      <c r="AM190">
        <f>IF('Исходные данные'!$B$53="Выручка",MAX(0,AF190+(Расчёты!Q190-Расчёты!R190)+(Расчёты!U190-Расчёты!V190)),IF('Исходные данные'!$B$53="Прибыль до налога",MAX(0,AF190+(Расчёты!Q190-Расчёты!R190)+(Расчёты!U190-Расчёты!V190)+N('Исходные данные'!$B$54)*((Расчёты!O190+Расчёты!P190)+(Расчёты!S190+Расчёты!T190)+Расчёты!W190+Расчёты!X190)+IF('Исходные данные'!$B$55="Да",Расчёты!AG190,0)-N('Исходные данные'!$B$56)/12),IF('Исходные данные'!$B$53="Пользовательская база",MAX(0,N('Исходные данные'!$B$57)/12),0)))</f>
        <v>0</v>
      </c>
      <c r="AN190">
        <f>IF(D190=1,-AM190*N('Исходные данные'!$B$50),0)</f>
        <v>0</v>
      </c>
      <c r="AO190">
        <f t="shared" si="105"/>
        <v>0</v>
      </c>
      <c r="AP190">
        <f>IF(OR(D190&lt;&gt;1,B190="",'Исходные данные'!$B$91="",N('Исходные данные'!$B$80)&lt;=0,'Исходные данные'!$B$88=""),0,IF(AND(YEAR(B190)=YEAR('Исходные данные'!$B$91),MONTH(B190)=MONTH('Исходные данные'!$B$91)),MAX(0,IF('Исходные данные'!$B$88="Последние 12 месяцев",SUMIFS($AI$2:$AI$194,$B$2:$B$194,"&gt;="&amp;EDATE(B190,-11),$B$2:$B$194,"&lt;="&amp;B190),IF('Исходные данные'!$B$88="Пользовательский NOI",N('Исходные данные'!$B$89),AO190))/N('Исходные данные'!$B$80)*(1+N('Исходные данные'!$B$81))),0))</f>
        <v>0</v>
      </c>
      <c r="AQ190">
        <f>-AP190*N('Исходные данные'!$B$73)</f>
        <v>0</v>
      </c>
      <c r="AR190">
        <f>IF(AP190=0,0,-N('Исходные данные'!$B$87)-IF('Исходные данные'!$B$82="Да",IF('Исходные данные'!$B$84="С выручки",AP190,IF('Исходные данные'!$B$84="С прибыли",MAX(0,AP190+AQ190-IF('Исходные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90">
        <f t="shared" si="106"/>
        <v>0</v>
      </c>
      <c r="AT190">
        <f>IF(D190=1,Расчёты!AZ190+AH190+AK190+AN190+AS190,0)</f>
        <v>0</v>
      </c>
      <c r="AU190" t="str">
        <f t="shared" si="114"/>
        <v/>
      </c>
      <c r="AV190">
        <f>IF(OR(D190=0,'Исходные данные'!$B$9="",'Исходные данные'!$B$90=""),0,AT190/(1+'Исходные данные'!$B$90)^((C190-'Исходные данные'!$B$9)/365))</f>
        <v>0</v>
      </c>
      <c r="AW190">
        <f>IF(D190=1,AH190+Расчёты!O190+Расчёты!Q190+Расчёты!S190+Расчёты!U190+Расчёты!W190+Расчёты!X190+AK190+AN190,0)</f>
        <v>0</v>
      </c>
      <c r="AX190">
        <f>IF(AND(D190=1,AU190&gt;=0,AU189&lt;0,MIN($AU$2:AU190)&lt;0),1,0)</f>
        <v>0</v>
      </c>
      <c r="AY190">
        <f>IF(Расчёты!F190=0,0,IF(Расчёты!G190=1,N('Сценарный анализ'!$D$5),IF(Расчёты!G190=2,N('Сценарный анализ'!$D$6),IF(Расчёты!G190=3,N('Сценарный анализ'!$D$7),N('Сценарный анализ'!$D$7)*(1+N('Сценарный анализ'!$D$8))^(Расчёты!G190-3)))))</f>
        <v>0</v>
      </c>
      <c r="AZ190">
        <f>IF(OR(Расчёты!F190=0,N('Исходные данные'!$B$5)=0,AY190=0),0,N('Исходные данные'!$B$5)*AY190*IF(AND(B190&lt;='Исходные данные'!$B$30,Расчёты!C190&gt;='Исходные данные'!$B$30),(Расчёты!C190-'Исходные данные'!$B$30+1)/DAY(Расчёты!C190),1))</f>
        <v>0</v>
      </c>
      <c r="BA190">
        <f>IF(AND(Расчёты!F190&gt;0,Расчёты!F190&lt;=N('Исходные данные'!$B$37)),-AZ190,0)</f>
        <v>0</v>
      </c>
      <c r="BB190">
        <f>IF(OR(Расчёты!F190=0,Расчёты!F190&lt;=N('Исходные данные'!$B$37)),0,-(AZ190+BA190)*N('Сценарный анализ'!$D$9))</f>
        <v>0</v>
      </c>
      <c r="BC190">
        <f t="shared" si="107"/>
        <v>0</v>
      </c>
      <c r="BD190">
        <f>IF('Исходные данные'!$B$51="Да",BC190*N('Исходные данные'!$B$52),0)</f>
        <v>0</v>
      </c>
      <c r="BE190">
        <f t="shared" si="108"/>
        <v>0</v>
      </c>
      <c r="BF190">
        <f>BC190+(Расчёты!Y190-Расчёты!L190)</f>
        <v>0</v>
      </c>
      <c r="BG190">
        <f t="shared" si="115"/>
        <v>0</v>
      </c>
      <c r="BH190">
        <f>IF('Исходные данные'!$B$51="Да",-MAX(0,BD190+Расчёты!R190+Расчёты!V190-Расчёты!P190-Расчёты!T190-BG190),0)</f>
        <v>0</v>
      </c>
      <c r="BI190">
        <f>IF('Исходные данные'!$B$51="Да",MAX(0,BG190+Расчёты!P190+Расчёты!T190-BD190-Расчёты!R190-Расчёты!V190),0)</f>
        <v>0</v>
      </c>
      <c r="BJ190">
        <f>IF('Исходные данные'!$B$53="Выручка",MAX(0,BC190+(Расчёты!Q190-Расчёты!R190)+(Расчёты!U190-Расчёты!V190)),IF('Исходные данные'!$B$53="Прибыль до налога",MAX(0,BC190+(Расчёты!Q190-Расчёты!R190)+(Расчёты!U190-Расчёты!V190)+N('Исходные данные'!$B$54)*((Расчёты!O190+Расчёты!P190)+(Расчёты!S190+Расчёты!T190)+Расчёты!W190+Расчёты!X190)+IF('Исходные данные'!$B$55="Да",Расчёты!AG190,0)-N('Исходные данные'!$B$56)/12),IF('Исходные данные'!$B$53="Пользовательская база",MAX(0,N('Исходные данные'!$B$57)/12),0)))</f>
        <v>0</v>
      </c>
      <c r="BK190">
        <f>IF(D190=1,-BJ190*N('Исходные данные'!$B$50),0)</f>
        <v>0</v>
      </c>
      <c r="BL190">
        <f t="shared" si="109"/>
        <v>0</v>
      </c>
      <c r="BM190">
        <f>IF(OR(D190&lt;&gt;1,B190="",'Исходные данные'!$B$91="",N('Исходные данные'!$B$80)&lt;=0,'Исходные данные'!$B$88=""),0,IF(AND(YEAR(B190)=YEAR('Исходные данные'!$B$91),MONTH(B190)=MONTH('Исходные данные'!$B$91)),MAX(0,IF('Исходные данные'!$B$88="Последние 12 месяцев",SUMIFS($BF$2:$BF$194,$B$2:$B$194,"&gt;="&amp;EDATE(B190,-11),$B$2:$B$194,"&lt;="&amp;B190),IF('Исходные данные'!$B$88="Пользовательский NOI",N('Исходные данные'!$B$89),BL190))/N('Исходные данные'!$B$80)*(1+N('Исходные данные'!$B$81))),0))</f>
        <v>0</v>
      </c>
      <c r="BN190">
        <f>-BM190*N('Исходные данные'!$B$73)</f>
        <v>0</v>
      </c>
      <c r="BO190">
        <f>IF(BM190=0,0,-N('Исходные данные'!$B$87)-IF('Исходные данные'!$B$82="Да",IF('Исходные данные'!$B$84="С выручки",BM190,IF('Исходные данные'!$B$84="С прибыли",MAX(0,BM190+BN190-IF('Исходные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90">
        <f t="shared" si="110"/>
        <v>0</v>
      </c>
      <c r="BQ190">
        <f>IF(D190=1,Расчёты!AZ190+BE190+BH190+BK190+BP190,0)</f>
        <v>0</v>
      </c>
      <c r="BR190" t="str">
        <f t="shared" si="116"/>
        <v/>
      </c>
      <c r="BS190">
        <f>IF(OR(D190=0,'Исходные данные'!$B$9="",'Исходные данные'!$B$90=""),0,BQ190/(1+'Исходные данные'!$B$90)^((C190-'Исходные данные'!$B$9)/365))</f>
        <v>0</v>
      </c>
      <c r="BT190">
        <f>IF(D190=1,BE190+Расчёты!O190+Расчёты!Q190+Расчёты!S190+Расчёты!U190+Расчёты!W190+Расчёты!X190+BH190+BK190,0)</f>
        <v>0</v>
      </c>
      <c r="BU190">
        <f>IF(AND(D190=1,BR190&gt;=0,BR189&lt;0,MIN($BR$2:BR190)&lt;0),1,0)</f>
        <v>0</v>
      </c>
      <c r="BV190">
        <f>Расчёты!AZ190+K190+N190-P190*N('Исходные данные'!$B$50)</f>
        <v>0</v>
      </c>
      <c r="BW190">
        <f t="shared" si="96"/>
        <v>0</v>
      </c>
      <c r="BX190">
        <f>IF(AND(BW190&gt;=0,BW189&lt;0,MIN($BW$2:BW190)&lt;0),1,0)</f>
        <v>0</v>
      </c>
      <c r="BY190">
        <f>Расчёты!AZ190+AH190+AK190-AM190*N('Исходные данные'!$B$50)</f>
        <v>0</v>
      </c>
      <c r="BZ190">
        <f t="shared" si="97"/>
        <v>0</v>
      </c>
      <c r="CA190">
        <f>IF(AND(BZ190&gt;=0,BZ189&lt;0,MIN($BZ$2:BZ190)&lt;0),1,0)</f>
        <v>0</v>
      </c>
      <c r="CB190">
        <f>Расчёты!AZ190+BE190+BH190-BJ190*N('Исходные данные'!$B$50)</f>
        <v>0</v>
      </c>
      <c r="CC190">
        <f t="shared" si="98"/>
        <v>0</v>
      </c>
      <c r="CD190">
        <f>IF(AND(CC190&gt;=0,CC189&lt;0,MIN($CC$2:CC190)&lt;0),1,0)</f>
        <v>0</v>
      </c>
    </row>
    <row r="191" spans="1:82" x14ac:dyDescent="0.2">
      <c r="A191">
        <f>Расчёты!A191</f>
        <v>190</v>
      </c>
      <c r="B191" t="str">
        <f>Расчёты!B191</f>
        <v/>
      </c>
      <c r="C191" t="str">
        <f>Расчёты!D191</f>
        <v/>
      </c>
      <c r="D191">
        <f>Расчёты!E191</f>
        <v>0</v>
      </c>
      <c r="E191">
        <f>IF(Расчёты!F191=0,0,IF(Расчёты!G191=1,N('Сценарный анализ'!$B$5),IF(Расчёты!G191=2,N('Сценарный анализ'!$B$6),IF(Расчёты!G191=3,N('Сценарный анализ'!$B$7),N('Сценарный анализ'!$B$7)*(1+N('Сценарный анализ'!$B$8))^(Расчёты!G191-3)))))</f>
        <v>0</v>
      </c>
      <c r="F191">
        <f>IF(OR(Расчёты!F191=0,N('Исходные данные'!$B$5)=0,E191=0),0,N('Исходные данные'!$B$5)*E191*IF(AND(B191&lt;='Исходные данные'!$B$30,Расчёты!C191&gt;='Исходные данные'!$B$30),(Расчёты!C191-'Исходные данные'!$B$30+1)/DAY(Расчёты!C191),1))</f>
        <v>0</v>
      </c>
      <c r="G191">
        <f>IF(AND(Расчёты!F191&gt;0,Расчёты!F191&lt;=N('Исходные данные'!$B$37)),-F191,0)</f>
        <v>0</v>
      </c>
      <c r="H191">
        <f>IF(OR(Расчёты!F191=0,Расчёты!F191&lt;=N('Исходные данные'!$B$37)),0,-(F191+G191)*N('Сценарный анализ'!$B$9))</f>
        <v>0</v>
      </c>
      <c r="I191">
        <f t="shared" si="99"/>
        <v>0</v>
      </c>
      <c r="J191">
        <f>IF('Исходные данные'!$B$51="Да",I191*N('Исходные данные'!$B$52),0)</f>
        <v>0</v>
      </c>
      <c r="K191">
        <f t="shared" si="100"/>
        <v>0</v>
      </c>
      <c r="L191">
        <f>I191+(Расчёты!Y191-Расчёты!L191)</f>
        <v>0</v>
      </c>
      <c r="M191">
        <f t="shared" si="111"/>
        <v>0</v>
      </c>
      <c r="N191">
        <f>IF('Исходные данные'!$B$51="Да",-MAX(0,J191+Расчёты!R191+Расчёты!V191-Расчёты!P191-Расчёты!T191-M191),0)</f>
        <v>0</v>
      </c>
      <c r="O191">
        <f>IF('Исходные данные'!$B$51="Да",MAX(0,M191+Расчёты!P191+Расчёты!T191-J191-Расчёты!R191-Расчёты!V191),0)</f>
        <v>0</v>
      </c>
      <c r="P191">
        <f>IF('Исходные данные'!$B$53="Выручка",MAX(0,I191+(Расчёты!Q191-Расчёты!R191)+(Расчёты!U191-Расчёты!V191)),IF('Исходные данные'!$B$53="Прибыль до налога",MAX(0,I191+(Расчёты!Q191-Расчёты!R191)+(Расчёты!U191-Расчёты!V191)+N('Исходные данные'!$B$54)*((Расчёты!O191+Расчёты!P191)+(Расчёты!S191+Расчёты!T191)+Расчёты!W191+Расчёты!X191)+IF('Исходные данные'!$B$55="Да",Расчёты!AG191,0)-N('Исходные данные'!$B$56)/12),IF('Исходные данные'!$B$53="Пользовательская база",MAX(0,N('Исходные данные'!$B$57)/12),0)))</f>
        <v>0</v>
      </c>
      <c r="Q191">
        <f>IF(D191=1,-P191*N('Исходные данные'!$B$50),0)</f>
        <v>0</v>
      </c>
      <c r="R191">
        <f t="shared" si="101"/>
        <v>0</v>
      </c>
      <c r="S191">
        <f>IF(OR(D191&lt;&gt;1,B191="",'Исходные данные'!$B$91="",N('Исходные данные'!$B$80)&lt;=0,'Исходные данные'!$B$88=""),0,IF(AND(YEAR(B191)=YEAR('Исходные данные'!$B$91),MONTH(B191)=MONTH('Исходные данные'!$B$91)),MAX(0,IF('Исходные данные'!$B$88="Последние 12 месяцев",SUMIFS($L$2:$L$194,$B$2:$B$194,"&gt;="&amp;EDATE(B191,-11),$B$2:$B$194,"&lt;="&amp;B191),IF('Исходные данные'!$B$88="Пользовательский NOI",N('Исходные данные'!$B$89),R191))/N('Исходные данные'!$B$80)*(1+N('Исходные данные'!$B$81))),0))</f>
        <v>0</v>
      </c>
      <c r="T191">
        <f>-S191*N('Исходные данные'!$B$73)</f>
        <v>0</v>
      </c>
      <c r="U191">
        <f>IF(S191=0,0,-N('Исходные данные'!$B$87)-IF('Исходные данные'!$B$82="Да",IF('Исходные данные'!$B$84="С выручки",S191,IF('Исходные данные'!$B$84="С прибыли",MAX(0,S191+T191-IF('Исходные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91">
        <f t="shared" si="102"/>
        <v>0</v>
      </c>
      <c r="W191">
        <f>IF(D191=1,Расчёты!AZ191+K191+N191+Q191+V191,0)</f>
        <v>0</v>
      </c>
      <c r="X191" t="str">
        <f t="shared" si="112"/>
        <v/>
      </c>
      <c r="Y191">
        <f>IF(OR(D191=0,'Исходные данные'!$B$9="",'Исходные данные'!$B$90=""),0,W191/(1+'Исходные данные'!$B$90)^((C191-'Исходные данные'!$B$9)/365))</f>
        <v>0</v>
      </c>
      <c r="Z191">
        <f>IF(D191=1,K191+Расчёты!O191+Расчёты!Q191+Расчёты!S191+Расчёты!U191+Расчёты!W191+Расчёты!X191+N191+Q191,0)</f>
        <v>0</v>
      </c>
      <c r="AA191">
        <f>IF(AND(D191=1,X191&gt;=0,X190&lt;0,MIN($X$2:X191)&lt;0),1,0)</f>
        <v>0</v>
      </c>
      <c r="AB191">
        <f>IF(Расчёты!F191=0,0,IF(Расчёты!G191=1,N('Сценарный анализ'!$C$5),IF(Расчёты!G191=2,N('Сценарный анализ'!$C$6),IF(Расчёты!G191=3,N('Сценарный анализ'!$C$7),N('Сценарный анализ'!$C$7)*(1+N('Сценарный анализ'!$C$8))^(Расчёты!G191-3)))))</f>
        <v>0</v>
      </c>
      <c r="AC191">
        <f>IF(OR(Расчёты!F191=0,N('Исходные данные'!$B$5)=0,AB191=0),0,N('Исходные данные'!$B$5)*AB191*IF(AND(B191&lt;='Исходные данные'!$B$30,Расчёты!C191&gt;='Исходные данные'!$B$30),(Расчёты!C191-'Исходные данные'!$B$30+1)/DAY(Расчёты!C191),1))</f>
        <v>0</v>
      </c>
      <c r="AD191">
        <f>IF(AND(Расчёты!F191&gt;0,Расчёты!F191&lt;=N('Исходные данные'!$B$37)),-AC191,0)</f>
        <v>0</v>
      </c>
      <c r="AE191">
        <f>IF(OR(Расчёты!F191=0,Расчёты!F191&lt;=N('Исходные данные'!$B$37)),0,-(AC191+AD191)*N('Сценарный анализ'!$C$9))</f>
        <v>0</v>
      </c>
      <c r="AF191">
        <f t="shared" si="103"/>
        <v>0</v>
      </c>
      <c r="AG191">
        <f>IF('Исходные данные'!$B$51="Да",AF191*N('Исходные данные'!$B$52),0)</f>
        <v>0</v>
      </c>
      <c r="AH191">
        <f t="shared" si="104"/>
        <v>0</v>
      </c>
      <c r="AI191">
        <f>AF191+(Расчёты!Y191-Расчёты!L191)</f>
        <v>0</v>
      </c>
      <c r="AJ191">
        <f t="shared" si="113"/>
        <v>0</v>
      </c>
      <c r="AK191">
        <f>IF('Исходные данные'!$B$51="Да",-MAX(0,AG191+Расчёты!R191+Расчёты!V191-Расчёты!P191-Расчёты!T191-AJ191),0)</f>
        <v>0</v>
      </c>
      <c r="AL191">
        <f>IF('Исходные данные'!$B$51="Да",MAX(0,AJ191+Расчёты!P191+Расчёты!T191-AG191-Расчёты!R191-Расчёты!V191),0)</f>
        <v>0</v>
      </c>
      <c r="AM191">
        <f>IF('Исходные данные'!$B$53="Выручка",MAX(0,AF191+(Расчёты!Q191-Расчёты!R191)+(Расчёты!U191-Расчёты!V191)),IF('Исходные данные'!$B$53="Прибыль до налога",MAX(0,AF191+(Расчёты!Q191-Расчёты!R191)+(Расчёты!U191-Расчёты!V191)+N('Исходные данные'!$B$54)*((Расчёты!O191+Расчёты!P191)+(Расчёты!S191+Расчёты!T191)+Расчёты!W191+Расчёты!X191)+IF('Исходные данные'!$B$55="Да",Расчёты!AG191,0)-N('Исходные данные'!$B$56)/12),IF('Исходные данные'!$B$53="Пользовательская база",MAX(0,N('Исходные данные'!$B$57)/12),0)))</f>
        <v>0</v>
      </c>
      <c r="AN191">
        <f>IF(D191=1,-AM191*N('Исходные данные'!$B$50),0)</f>
        <v>0</v>
      </c>
      <c r="AO191">
        <f t="shared" si="105"/>
        <v>0</v>
      </c>
      <c r="AP191">
        <f>IF(OR(D191&lt;&gt;1,B191="",'Исходные данные'!$B$91="",N('Исходные данные'!$B$80)&lt;=0,'Исходные данные'!$B$88=""),0,IF(AND(YEAR(B191)=YEAR('Исходные данные'!$B$91),MONTH(B191)=MONTH('Исходные данные'!$B$91)),MAX(0,IF('Исходные данные'!$B$88="Последние 12 месяцев",SUMIFS($AI$2:$AI$194,$B$2:$B$194,"&gt;="&amp;EDATE(B191,-11),$B$2:$B$194,"&lt;="&amp;B191),IF('Исходные данные'!$B$88="Пользовательский NOI",N('Исходные данные'!$B$89),AO191))/N('Исходные данные'!$B$80)*(1+N('Исходные данные'!$B$81))),0))</f>
        <v>0</v>
      </c>
      <c r="AQ191">
        <f>-AP191*N('Исходные данные'!$B$73)</f>
        <v>0</v>
      </c>
      <c r="AR191">
        <f>IF(AP191=0,0,-N('Исходные данные'!$B$87)-IF('Исходные данные'!$B$82="Да",IF('Исходные данные'!$B$84="С выручки",AP191,IF('Исходные данные'!$B$84="С прибыли",MAX(0,AP191+AQ191-IF('Исходные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91">
        <f t="shared" si="106"/>
        <v>0</v>
      </c>
      <c r="AT191">
        <f>IF(D191=1,Расчёты!AZ191+AH191+AK191+AN191+AS191,0)</f>
        <v>0</v>
      </c>
      <c r="AU191" t="str">
        <f t="shared" si="114"/>
        <v/>
      </c>
      <c r="AV191">
        <f>IF(OR(D191=0,'Исходные данные'!$B$9="",'Исходные данные'!$B$90=""),0,AT191/(1+'Исходные данные'!$B$90)^((C191-'Исходные данные'!$B$9)/365))</f>
        <v>0</v>
      </c>
      <c r="AW191">
        <f>IF(D191=1,AH191+Расчёты!O191+Расчёты!Q191+Расчёты!S191+Расчёты!U191+Расчёты!W191+Расчёты!X191+AK191+AN191,0)</f>
        <v>0</v>
      </c>
      <c r="AX191">
        <f>IF(AND(D191=1,AU191&gt;=0,AU190&lt;0,MIN($AU$2:AU191)&lt;0),1,0)</f>
        <v>0</v>
      </c>
      <c r="AY191">
        <f>IF(Расчёты!F191=0,0,IF(Расчёты!G191=1,N('Сценарный анализ'!$D$5),IF(Расчёты!G191=2,N('Сценарный анализ'!$D$6),IF(Расчёты!G191=3,N('Сценарный анализ'!$D$7),N('Сценарный анализ'!$D$7)*(1+N('Сценарный анализ'!$D$8))^(Расчёты!G191-3)))))</f>
        <v>0</v>
      </c>
      <c r="AZ191">
        <f>IF(OR(Расчёты!F191=0,N('Исходные данные'!$B$5)=0,AY191=0),0,N('Исходные данные'!$B$5)*AY191*IF(AND(B191&lt;='Исходные данные'!$B$30,Расчёты!C191&gt;='Исходные данные'!$B$30),(Расчёты!C191-'Исходные данные'!$B$30+1)/DAY(Расчёты!C191),1))</f>
        <v>0</v>
      </c>
      <c r="BA191">
        <f>IF(AND(Расчёты!F191&gt;0,Расчёты!F191&lt;=N('Исходные данные'!$B$37)),-AZ191,0)</f>
        <v>0</v>
      </c>
      <c r="BB191">
        <f>IF(OR(Расчёты!F191=0,Расчёты!F191&lt;=N('Исходные данные'!$B$37)),0,-(AZ191+BA191)*N('Сценарный анализ'!$D$9))</f>
        <v>0</v>
      </c>
      <c r="BC191">
        <f t="shared" si="107"/>
        <v>0</v>
      </c>
      <c r="BD191">
        <f>IF('Исходные данные'!$B$51="Да",BC191*N('Исходные данные'!$B$52),0)</f>
        <v>0</v>
      </c>
      <c r="BE191">
        <f t="shared" si="108"/>
        <v>0</v>
      </c>
      <c r="BF191">
        <f>BC191+(Расчёты!Y191-Расчёты!L191)</f>
        <v>0</v>
      </c>
      <c r="BG191">
        <f t="shared" si="115"/>
        <v>0</v>
      </c>
      <c r="BH191">
        <f>IF('Исходные данные'!$B$51="Да",-MAX(0,BD191+Расчёты!R191+Расчёты!V191-Расчёты!P191-Расчёты!T191-BG191),0)</f>
        <v>0</v>
      </c>
      <c r="BI191">
        <f>IF('Исходные данные'!$B$51="Да",MAX(0,BG191+Расчёты!P191+Расчёты!T191-BD191-Расчёты!R191-Расчёты!V191),0)</f>
        <v>0</v>
      </c>
      <c r="BJ191">
        <f>IF('Исходные данные'!$B$53="Выручка",MAX(0,BC191+(Расчёты!Q191-Расчёты!R191)+(Расчёты!U191-Расчёты!V191)),IF('Исходные данные'!$B$53="Прибыль до налога",MAX(0,BC191+(Расчёты!Q191-Расчёты!R191)+(Расчёты!U191-Расчёты!V191)+N('Исходные данные'!$B$54)*((Расчёты!O191+Расчёты!P191)+(Расчёты!S191+Расчёты!T191)+Расчёты!W191+Расчёты!X191)+IF('Исходные данные'!$B$55="Да",Расчёты!AG191,0)-N('Исходные данные'!$B$56)/12),IF('Исходные данные'!$B$53="Пользовательская база",MAX(0,N('Исходные данные'!$B$57)/12),0)))</f>
        <v>0</v>
      </c>
      <c r="BK191">
        <f>IF(D191=1,-BJ191*N('Исходные данные'!$B$50),0)</f>
        <v>0</v>
      </c>
      <c r="BL191">
        <f t="shared" si="109"/>
        <v>0</v>
      </c>
      <c r="BM191">
        <f>IF(OR(D191&lt;&gt;1,B191="",'Исходные данные'!$B$91="",N('Исходные данные'!$B$80)&lt;=0,'Исходные данные'!$B$88=""),0,IF(AND(YEAR(B191)=YEAR('Исходные данные'!$B$91),MONTH(B191)=MONTH('Исходные данные'!$B$91)),MAX(0,IF('Исходные данные'!$B$88="Последние 12 месяцев",SUMIFS($BF$2:$BF$194,$B$2:$B$194,"&gt;="&amp;EDATE(B191,-11),$B$2:$B$194,"&lt;="&amp;B191),IF('Исходные данные'!$B$88="Пользовательский NOI",N('Исходные данные'!$B$89),BL191))/N('Исходные данные'!$B$80)*(1+N('Исходные данные'!$B$81))),0))</f>
        <v>0</v>
      </c>
      <c r="BN191">
        <f>-BM191*N('Исходные данные'!$B$73)</f>
        <v>0</v>
      </c>
      <c r="BO191">
        <f>IF(BM191=0,0,-N('Исходные данные'!$B$87)-IF('Исходные данные'!$B$82="Да",IF('Исходные данные'!$B$84="С выручки",BM191,IF('Исходные данные'!$B$84="С прибыли",MAX(0,BM191+BN191-IF('Исходные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91">
        <f t="shared" si="110"/>
        <v>0</v>
      </c>
      <c r="BQ191">
        <f>IF(D191=1,Расчёты!AZ191+BE191+BH191+BK191+BP191,0)</f>
        <v>0</v>
      </c>
      <c r="BR191" t="str">
        <f t="shared" si="116"/>
        <v/>
      </c>
      <c r="BS191">
        <f>IF(OR(D191=0,'Исходные данные'!$B$9="",'Исходные данные'!$B$90=""),0,BQ191/(1+'Исходные данные'!$B$90)^((C191-'Исходные данные'!$B$9)/365))</f>
        <v>0</v>
      </c>
      <c r="BT191">
        <f>IF(D191=1,BE191+Расчёты!O191+Расчёты!Q191+Расчёты!S191+Расчёты!U191+Расчёты!W191+Расчёты!X191+BH191+BK191,0)</f>
        <v>0</v>
      </c>
      <c r="BU191">
        <f>IF(AND(D191=1,BR191&gt;=0,BR190&lt;0,MIN($BR$2:BR191)&lt;0),1,0)</f>
        <v>0</v>
      </c>
      <c r="BV191">
        <f>Расчёты!AZ191+K191+N191-P191*N('Исходные данные'!$B$50)</f>
        <v>0</v>
      </c>
      <c r="BW191">
        <f t="shared" si="96"/>
        <v>0</v>
      </c>
      <c r="BX191">
        <f>IF(AND(BW191&gt;=0,BW190&lt;0,MIN($BW$2:BW191)&lt;0),1,0)</f>
        <v>0</v>
      </c>
      <c r="BY191">
        <f>Расчёты!AZ191+AH191+AK191-AM191*N('Исходные данные'!$B$50)</f>
        <v>0</v>
      </c>
      <c r="BZ191">
        <f t="shared" si="97"/>
        <v>0</v>
      </c>
      <c r="CA191">
        <f>IF(AND(BZ191&gt;=0,BZ190&lt;0,MIN($BZ$2:BZ191)&lt;0),1,0)</f>
        <v>0</v>
      </c>
      <c r="CB191">
        <f>Расчёты!AZ191+BE191+BH191-BJ191*N('Исходные данные'!$B$50)</f>
        <v>0</v>
      </c>
      <c r="CC191">
        <f t="shared" si="98"/>
        <v>0</v>
      </c>
      <c r="CD191">
        <f>IF(AND(CC191&gt;=0,CC190&lt;0,MIN($CC$2:CC191)&lt;0),1,0)</f>
        <v>0</v>
      </c>
    </row>
    <row r="192" spans="1:82" x14ac:dyDescent="0.2">
      <c r="A192">
        <f>Расчёты!A192</f>
        <v>191</v>
      </c>
      <c r="B192" t="str">
        <f>Расчёты!B192</f>
        <v/>
      </c>
      <c r="C192" t="str">
        <f>Расчёты!D192</f>
        <v/>
      </c>
      <c r="D192">
        <f>Расчёты!E192</f>
        <v>0</v>
      </c>
      <c r="E192">
        <f>IF(Расчёты!F192=0,0,IF(Расчёты!G192=1,N('Сценарный анализ'!$B$5),IF(Расчёты!G192=2,N('Сценарный анализ'!$B$6),IF(Расчёты!G192=3,N('Сценарный анализ'!$B$7),N('Сценарный анализ'!$B$7)*(1+N('Сценарный анализ'!$B$8))^(Расчёты!G192-3)))))</f>
        <v>0</v>
      </c>
      <c r="F192">
        <f>IF(OR(Расчёты!F192=0,N('Исходные данные'!$B$5)=0,E192=0),0,N('Исходные данные'!$B$5)*E192*IF(AND(B192&lt;='Исходные данные'!$B$30,Расчёты!C192&gt;='Исходные данные'!$B$30),(Расчёты!C192-'Исходные данные'!$B$30+1)/DAY(Расчёты!C192),1))</f>
        <v>0</v>
      </c>
      <c r="G192">
        <f>IF(AND(Расчёты!F192&gt;0,Расчёты!F192&lt;=N('Исходные данные'!$B$37)),-F192,0)</f>
        <v>0</v>
      </c>
      <c r="H192">
        <f>IF(OR(Расчёты!F192=0,Расчёты!F192&lt;=N('Исходные данные'!$B$37)),0,-(F192+G192)*N('Сценарный анализ'!$B$9))</f>
        <v>0</v>
      </c>
      <c r="I192">
        <f t="shared" si="99"/>
        <v>0</v>
      </c>
      <c r="J192">
        <f>IF('Исходные данные'!$B$51="Да",I192*N('Исходные данные'!$B$52),0)</f>
        <v>0</v>
      </c>
      <c r="K192">
        <f t="shared" si="100"/>
        <v>0</v>
      </c>
      <c r="L192">
        <f>I192+(Расчёты!Y192-Расчёты!L192)</f>
        <v>0</v>
      </c>
      <c r="M192">
        <f t="shared" si="111"/>
        <v>0</v>
      </c>
      <c r="N192">
        <f>IF('Исходные данные'!$B$51="Да",-MAX(0,J192+Расчёты!R192+Расчёты!V192-Расчёты!P192-Расчёты!T192-M192),0)</f>
        <v>0</v>
      </c>
      <c r="O192">
        <f>IF('Исходные данные'!$B$51="Да",MAX(0,M192+Расчёты!P192+Расчёты!T192-J192-Расчёты!R192-Расчёты!V192),0)</f>
        <v>0</v>
      </c>
      <c r="P192">
        <f>IF('Исходные данные'!$B$53="Выручка",MAX(0,I192+(Расчёты!Q192-Расчёты!R192)+(Расчёты!U192-Расчёты!V192)),IF('Исходные данные'!$B$53="Прибыль до налога",MAX(0,I192+(Расчёты!Q192-Расчёты!R192)+(Расчёты!U192-Расчёты!V192)+N('Исходные данные'!$B$54)*((Расчёты!O192+Расчёты!P192)+(Расчёты!S192+Расчёты!T192)+Расчёты!W192+Расчёты!X192)+IF('Исходные данные'!$B$55="Да",Расчёты!AG192,0)-N('Исходные данные'!$B$56)/12),IF('Исходные данные'!$B$53="Пользовательская база",MAX(0,N('Исходные данные'!$B$57)/12),0)))</f>
        <v>0</v>
      </c>
      <c r="Q192">
        <f>IF(D192=1,-P192*N('Исходные данные'!$B$50),0)</f>
        <v>0</v>
      </c>
      <c r="R192">
        <f t="shared" si="101"/>
        <v>0</v>
      </c>
      <c r="S192">
        <f>IF(OR(D192&lt;&gt;1,B192="",'Исходные данные'!$B$91="",N('Исходные данные'!$B$80)&lt;=0,'Исходные данные'!$B$88=""),0,IF(AND(YEAR(B192)=YEAR('Исходные данные'!$B$91),MONTH(B192)=MONTH('Исходные данные'!$B$91)),MAX(0,IF('Исходные данные'!$B$88="Последние 12 месяцев",SUMIFS($L$2:$L$194,$B$2:$B$194,"&gt;="&amp;EDATE(B192,-11),$B$2:$B$194,"&lt;="&amp;B192),IF('Исходные данные'!$B$88="Пользовательский NOI",N('Исходные данные'!$B$89),R192))/N('Исходные данные'!$B$80)*(1+N('Исходные данные'!$B$81))),0))</f>
        <v>0</v>
      </c>
      <c r="T192">
        <f>-S192*N('Исходные данные'!$B$73)</f>
        <v>0</v>
      </c>
      <c r="U192">
        <f>IF(S192=0,0,-N('Исходные данные'!$B$87)-IF('Исходные данные'!$B$82="Да",IF('Исходные данные'!$B$84="С выручки",S192,IF('Исходные данные'!$B$84="С прибыли",MAX(0,S192+T192-IF('Исходные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92">
        <f t="shared" si="102"/>
        <v>0</v>
      </c>
      <c r="W192">
        <f>IF(D192=1,Расчёты!AZ192+K192+N192+Q192+V192,0)</f>
        <v>0</v>
      </c>
      <c r="X192" t="str">
        <f t="shared" si="112"/>
        <v/>
      </c>
      <c r="Y192">
        <f>IF(OR(D192=0,'Исходные данные'!$B$9="",'Исходные данные'!$B$90=""),0,W192/(1+'Исходные данные'!$B$90)^((C192-'Исходные данные'!$B$9)/365))</f>
        <v>0</v>
      </c>
      <c r="Z192">
        <f>IF(D192=1,K192+Расчёты!O192+Расчёты!Q192+Расчёты!S192+Расчёты!U192+Расчёты!W192+Расчёты!X192+N192+Q192,0)</f>
        <v>0</v>
      </c>
      <c r="AA192">
        <f>IF(AND(D192=1,X192&gt;=0,X191&lt;0,MIN($X$2:X192)&lt;0),1,0)</f>
        <v>0</v>
      </c>
      <c r="AB192">
        <f>IF(Расчёты!F192=0,0,IF(Расчёты!G192=1,N('Сценарный анализ'!$C$5),IF(Расчёты!G192=2,N('Сценарный анализ'!$C$6),IF(Расчёты!G192=3,N('Сценарный анализ'!$C$7),N('Сценарный анализ'!$C$7)*(1+N('Сценарный анализ'!$C$8))^(Расчёты!G192-3)))))</f>
        <v>0</v>
      </c>
      <c r="AC192">
        <f>IF(OR(Расчёты!F192=0,N('Исходные данные'!$B$5)=0,AB192=0),0,N('Исходные данные'!$B$5)*AB192*IF(AND(B192&lt;='Исходные данные'!$B$30,Расчёты!C192&gt;='Исходные данные'!$B$30),(Расчёты!C192-'Исходные данные'!$B$30+1)/DAY(Расчёты!C192),1))</f>
        <v>0</v>
      </c>
      <c r="AD192">
        <f>IF(AND(Расчёты!F192&gt;0,Расчёты!F192&lt;=N('Исходные данные'!$B$37)),-AC192,0)</f>
        <v>0</v>
      </c>
      <c r="AE192">
        <f>IF(OR(Расчёты!F192=0,Расчёты!F192&lt;=N('Исходные данные'!$B$37)),0,-(AC192+AD192)*N('Сценарный анализ'!$C$9))</f>
        <v>0</v>
      </c>
      <c r="AF192">
        <f t="shared" si="103"/>
        <v>0</v>
      </c>
      <c r="AG192">
        <f>IF('Исходные данные'!$B$51="Да",AF192*N('Исходные данные'!$B$52),0)</f>
        <v>0</v>
      </c>
      <c r="AH192">
        <f t="shared" si="104"/>
        <v>0</v>
      </c>
      <c r="AI192">
        <f>AF192+(Расчёты!Y192-Расчёты!L192)</f>
        <v>0</v>
      </c>
      <c r="AJ192">
        <f t="shared" si="113"/>
        <v>0</v>
      </c>
      <c r="AK192">
        <f>IF('Исходные данные'!$B$51="Да",-MAX(0,AG192+Расчёты!R192+Расчёты!V192-Расчёты!P192-Расчёты!T192-AJ192),0)</f>
        <v>0</v>
      </c>
      <c r="AL192">
        <f>IF('Исходные данные'!$B$51="Да",MAX(0,AJ192+Расчёты!P192+Расчёты!T192-AG192-Расчёты!R192-Расчёты!V192),0)</f>
        <v>0</v>
      </c>
      <c r="AM192">
        <f>IF('Исходные данные'!$B$53="Выручка",MAX(0,AF192+(Расчёты!Q192-Расчёты!R192)+(Расчёты!U192-Расчёты!V192)),IF('Исходные данные'!$B$53="Прибыль до налога",MAX(0,AF192+(Расчёты!Q192-Расчёты!R192)+(Расчёты!U192-Расчёты!V192)+N('Исходные данные'!$B$54)*((Расчёты!O192+Расчёты!P192)+(Расчёты!S192+Расчёты!T192)+Расчёты!W192+Расчёты!X192)+IF('Исходные данные'!$B$55="Да",Расчёты!AG192,0)-N('Исходные данные'!$B$56)/12),IF('Исходные данные'!$B$53="Пользовательская база",MAX(0,N('Исходные данные'!$B$57)/12),0)))</f>
        <v>0</v>
      </c>
      <c r="AN192">
        <f>IF(D192=1,-AM192*N('Исходные данные'!$B$50),0)</f>
        <v>0</v>
      </c>
      <c r="AO192">
        <f t="shared" si="105"/>
        <v>0</v>
      </c>
      <c r="AP192">
        <f>IF(OR(D192&lt;&gt;1,B192="",'Исходные данные'!$B$91="",N('Исходные данные'!$B$80)&lt;=0,'Исходные данные'!$B$88=""),0,IF(AND(YEAR(B192)=YEAR('Исходные данные'!$B$91),MONTH(B192)=MONTH('Исходные данные'!$B$91)),MAX(0,IF('Исходные данные'!$B$88="Последние 12 месяцев",SUMIFS($AI$2:$AI$194,$B$2:$B$194,"&gt;="&amp;EDATE(B192,-11),$B$2:$B$194,"&lt;="&amp;B192),IF('Исходные данные'!$B$88="Пользовательский NOI",N('Исходные данные'!$B$89),AO192))/N('Исходные данные'!$B$80)*(1+N('Исходные данные'!$B$81))),0))</f>
        <v>0</v>
      </c>
      <c r="AQ192">
        <f>-AP192*N('Исходные данные'!$B$73)</f>
        <v>0</v>
      </c>
      <c r="AR192">
        <f>IF(AP192=0,0,-N('Исходные данные'!$B$87)-IF('Исходные данные'!$B$82="Да",IF('Исходные данные'!$B$84="С выручки",AP192,IF('Исходные данные'!$B$84="С прибыли",MAX(0,AP192+AQ192-IF('Исходные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92">
        <f t="shared" si="106"/>
        <v>0</v>
      </c>
      <c r="AT192">
        <f>IF(D192=1,Расчёты!AZ192+AH192+AK192+AN192+AS192,0)</f>
        <v>0</v>
      </c>
      <c r="AU192" t="str">
        <f t="shared" si="114"/>
        <v/>
      </c>
      <c r="AV192">
        <f>IF(OR(D192=0,'Исходные данные'!$B$9="",'Исходные данные'!$B$90=""),0,AT192/(1+'Исходные данные'!$B$90)^((C192-'Исходные данные'!$B$9)/365))</f>
        <v>0</v>
      </c>
      <c r="AW192">
        <f>IF(D192=1,AH192+Расчёты!O192+Расчёты!Q192+Расчёты!S192+Расчёты!U192+Расчёты!W192+Расчёты!X192+AK192+AN192,0)</f>
        <v>0</v>
      </c>
      <c r="AX192">
        <f>IF(AND(D192=1,AU192&gt;=0,AU191&lt;0,MIN($AU$2:AU192)&lt;0),1,0)</f>
        <v>0</v>
      </c>
      <c r="AY192">
        <f>IF(Расчёты!F192=0,0,IF(Расчёты!G192=1,N('Сценарный анализ'!$D$5),IF(Расчёты!G192=2,N('Сценарный анализ'!$D$6),IF(Расчёты!G192=3,N('Сценарный анализ'!$D$7),N('Сценарный анализ'!$D$7)*(1+N('Сценарный анализ'!$D$8))^(Расчёты!G192-3)))))</f>
        <v>0</v>
      </c>
      <c r="AZ192">
        <f>IF(OR(Расчёты!F192=0,N('Исходные данные'!$B$5)=0,AY192=0),0,N('Исходные данные'!$B$5)*AY192*IF(AND(B192&lt;='Исходные данные'!$B$30,Расчёты!C192&gt;='Исходные данные'!$B$30),(Расчёты!C192-'Исходные данные'!$B$30+1)/DAY(Расчёты!C192),1))</f>
        <v>0</v>
      </c>
      <c r="BA192">
        <f>IF(AND(Расчёты!F192&gt;0,Расчёты!F192&lt;=N('Исходные данные'!$B$37)),-AZ192,0)</f>
        <v>0</v>
      </c>
      <c r="BB192">
        <f>IF(OR(Расчёты!F192=0,Расчёты!F192&lt;=N('Исходные данные'!$B$37)),0,-(AZ192+BA192)*N('Сценарный анализ'!$D$9))</f>
        <v>0</v>
      </c>
      <c r="BC192">
        <f t="shared" si="107"/>
        <v>0</v>
      </c>
      <c r="BD192">
        <f>IF('Исходные данные'!$B$51="Да",BC192*N('Исходные данные'!$B$52),0)</f>
        <v>0</v>
      </c>
      <c r="BE192">
        <f t="shared" si="108"/>
        <v>0</v>
      </c>
      <c r="BF192">
        <f>BC192+(Расчёты!Y192-Расчёты!L192)</f>
        <v>0</v>
      </c>
      <c r="BG192">
        <f t="shared" si="115"/>
        <v>0</v>
      </c>
      <c r="BH192">
        <f>IF('Исходные данные'!$B$51="Да",-MAX(0,BD192+Расчёты!R192+Расчёты!V192-Расчёты!P192-Расчёты!T192-BG192),0)</f>
        <v>0</v>
      </c>
      <c r="BI192">
        <f>IF('Исходные данные'!$B$51="Да",MAX(0,BG192+Расчёты!P192+Расчёты!T192-BD192-Расчёты!R192-Расчёты!V192),0)</f>
        <v>0</v>
      </c>
      <c r="BJ192">
        <f>IF('Исходные данные'!$B$53="Выручка",MAX(0,BC192+(Расчёты!Q192-Расчёты!R192)+(Расчёты!U192-Расчёты!V192)),IF('Исходные данные'!$B$53="Прибыль до налога",MAX(0,BC192+(Расчёты!Q192-Расчёты!R192)+(Расчёты!U192-Расчёты!V192)+N('Исходные данные'!$B$54)*((Расчёты!O192+Расчёты!P192)+(Расчёты!S192+Расчёты!T192)+Расчёты!W192+Расчёты!X192)+IF('Исходные данные'!$B$55="Да",Расчёты!AG192,0)-N('Исходные данные'!$B$56)/12),IF('Исходные данные'!$B$53="Пользовательская база",MAX(0,N('Исходные данные'!$B$57)/12),0)))</f>
        <v>0</v>
      </c>
      <c r="BK192">
        <f>IF(D192=1,-BJ192*N('Исходные данные'!$B$50),0)</f>
        <v>0</v>
      </c>
      <c r="BL192">
        <f t="shared" si="109"/>
        <v>0</v>
      </c>
      <c r="BM192">
        <f>IF(OR(D192&lt;&gt;1,B192="",'Исходные данные'!$B$91="",N('Исходные данные'!$B$80)&lt;=0,'Исходные данные'!$B$88=""),0,IF(AND(YEAR(B192)=YEAR('Исходные данные'!$B$91),MONTH(B192)=MONTH('Исходные данные'!$B$91)),MAX(0,IF('Исходные данные'!$B$88="Последние 12 месяцев",SUMIFS($BF$2:$BF$194,$B$2:$B$194,"&gt;="&amp;EDATE(B192,-11),$B$2:$B$194,"&lt;="&amp;B192),IF('Исходные данные'!$B$88="Пользовательский NOI",N('Исходные данные'!$B$89),BL192))/N('Исходные данные'!$B$80)*(1+N('Исходные данные'!$B$81))),0))</f>
        <v>0</v>
      </c>
      <c r="BN192">
        <f>-BM192*N('Исходные данные'!$B$73)</f>
        <v>0</v>
      </c>
      <c r="BO192">
        <f>IF(BM192=0,0,-N('Исходные данные'!$B$87)-IF('Исходные данные'!$B$82="Да",IF('Исходные данные'!$B$84="С выручки",BM192,IF('Исходные данные'!$B$84="С прибыли",MAX(0,BM192+BN192-IF('Исходные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92">
        <f t="shared" si="110"/>
        <v>0</v>
      </c>
      <c r="BQ192">
        <f>IF(D192=1,Расчёты!AZ192+BE192+BH192+BK192+BP192,0)</f>
        <v>0</v>
      </c>
      <c r="BR192" t="str">
        <f t="shared" si="116"/>
        <v/>
      </c>
      <c r="BS192">
        <f>IF(OR(D192=0,'Исходные данные'!$B$9="",'Исходные данные'!$B$90=""),0,BQ192/(1+'Исходные данные'!$B$90)^((C192-'Исходные данные'!$B$9)/365))</f>
        <v>0</v>
      </c>
      <c r="BT192">
        <f>IF(D192=1,BE192+Расчёты!O192+Расчёты!Q192+Расчёты!S192+Расчёты!U192+Расчёты!W192+Расчёты!X192+BH192+BK192,0)</f>
        <v>0</v>
      </c>
      <c r="BU192">
        <f>IF(AND(D192=1,BR192&gt;=0,BR191&lt;0,MIN($BR$2:BR192)&lt;0),1,0)</f>
        <v>0</v>
      </c>
      <c r="BV192">
        <f>Расчёты!AZ192+K192+N192-P192*N('Исходные данные'!$B$50)</f>
        <v>0</v>
      </c>
      <c r="BW192">
        <f t="shared" si="96"/>
        <v>0</v>
      </c>
      <c r="BX192">
        <f>IF(AND(BW192&gt;=0,BW191&lt;0,MIN($BW$2:BW192)&lt;0),1,0)</f>
        <v>0</v>
      </c>
      <c r="BY192">
        <f>Расчёты!AZ192+AH192+AK192-AM192*N('Исходные данные'!$B$50)</f>
        <v>0</v>
      </c>
      <c r="BZ192">
        <f t="shared" si="97"/>
        <v>0</v>
      </c>
      <c r="CA192">
        <f>IF(AND(BZ192&gt;=0,BZ191&lt;0,MIN($BZ$2:BZ192)&lt;0),1,0)</f>
        <v>0</v>
      </c>
      <c r="CB192">
        <f>Расчёты!AZ192+BE192+BH192-BJ192*N('Исходные данные'!$B$50)</f>
        <v>0</v>
      </c>
      <c r="CC192">
        <f t="shared" si="98"/>
        <v>0</v>
      </c>
      <c r="CD192">
        <f>IF(AND(CC192&gt;=0,CC191&lt;0,MIN($CC$2:CC192)&lt;0),1,0)</f>
        <v>0</v>
      </c>
    </row>
    <row r="193" spans="1:82" x14ac:dyDescent="0.2">
      <c r="A193">
        <f>Расчёты!A193</f>
        <v>192</v>
      </c>
      <c r="B193" t="str">
        <f>Расчёты!B193</f>
        <v/>
      </c>
      <c r="C193" t="str">
        <f>Расчёты!D193</f>
        <v/>
      </c>
      <c r="D193">
        <f>Расчёты!E193</f>
        <v>0</v>
      </c>
      <c r="E193">
        <f>IF(Расчёты!F193=0,0,IF(Расчёты!G193=1,N('Сценарный анализ'!$B$5),IF(Расчёты!G193=2,N('Сценарный анализ'!$B$6),IF(Расчёты!G193=3,N('Сценарный анализ'!$B$7),N('Сценарный анализ'!$B$7)*(1+N('Сценарный анализ'!$B$8))^(Расчёты!G193-3)))))</f>
        <v>0</v>
      </c>
      <c r="F193">
        <f>IF(OR(Расчёты!F193=0,N('Исходные данные'!$B$5)=0,E193=0),0,N('Исходные данные'!$B$5)*E193*IF(AND(B193&lt;='Исходные данные'!$B$30,Расчёты!C193&gt;='Исходные данные'!$B$30),(Расчёты!C193-'Исходные данные'!$B$30+1)/DAY(Расчёты!C193),1))</f>
        <v>0</v>
      </c>
      <c r="G193">
        <f>IF(AND(Расчёты!F193&gt;0,Расчёты!F193&lt;=N('Исходные данные'!$B$37)),-F193,0)</f>
        <v>0</v>
      </c>
      <c r="H193">
        <f>IF(OR(Расчёты!F193=0,Расчёты!F193&lt;=N('Исходные данные'!$B$37)),0,-(F193+G193)*N('Сценарный анализ'!$B$9))</f>
        <v>0</v>
      </c>
      <c r="I193">
        <f t="shared" si="99"/>
        <v>0</v>
      </c>
      <c r="J193">
        <f>IF('Исходные данные'!$B$51="Да",I193*N('Исходные данные'!$B$52),0)</f>
        <v>0</v>
      </c>
      <c r="K193">
        <f t="shared" si="100"/>
        <v>0</v>
      </c>
      <c r="L193">
        <f>I193+(Расчёты!Y193-Расчёты!L193)</f>
        <v>0</v>
      </c>
      <c r="M193">
        <f t="shared" si="111"/>
        <v>0</v>
      </c>
      <c r="N193">
        <f>IF('Исходные данные'!$B$51="Да",-MAX(0,J193+Расчёты!R193+Расчёты!V193-Расчёты!P193-Расчёты!T193-M193),0)</f>
        <v>0</v>
      </c>
      <c r="O193">
        <f>IF('Исходные данные'!$B$51="Да",MAX(0,M193+Расчёты!P193+Расчёты!T193-J193-Расчёты!R193-Расчёты!V193),0)</f>
        <v>0</v>
      </c>
      <c r="P193">
        <f>IF('Исходные данные'!$B$53="Выручка",MAX(0,I193+(Расчёты!Q193-Расчёты!R193)+(Расчёты!U193-Расчёты!V193)),IF('Исходные данные'!$B$53="Прибыль до налога",MAX(0,I193+(Расчёты!Q193-Расчёты!R193)+(Расчёты!U193-Расчёты!V193)+N('Исходные данные'!$B$54)*((Расчёты!O193+Расчёты!P193)+(Расчёты!S193+Расчёты!T193)+Расчёты!W193+Расчёты!X193)+IF('Исходные данные'!$B$55="Да",Расчёты!AG193,0)-N('Исходные данные'!$B$56)/12),IF('Исходные данные'!$B$53="Пользовательская база",MAX(0,N('Исходные данные'!$B$57)/12),0)))</f>
        <v>0</v>
      </c>
      <c r="Q193">
        <f>IF(D193=1,-P193*N('Исходные данные'!$B$50),0)</f>
        <v>0</v>
      </c>
      <c r="R193">
        <f t="shared" si="101"/>
        <v>0</v>
      </c>
      <c r="S193">
        <f>IF(OR(D193&lt;&gt;1,B193="",'Исходные данные'!$B$91="",N('Исходные данные'!$B$80)&lt;=0,'Исходные данные'!$B$88=""),0,IF(AND(YEAR(B193)=YEAR('Исходные данные'!$B$91),MONTH(B193)=MONTH('Исходные данные'!$B$91)),MAX(0,IF('Исходные данные'!$B$88="Последние 12 месяцев",SUMIFS($L$2:$L$194,$B$2:$B$194,"&gt;="&amp;EDATE(B193,-11),$B$2:$B$194,"&lt;="&amp;B193),IF('Исходные данные'!$B$88="Пользовательский NOI",N('Исходные данные'!$B$89),R193))/N('Исходные данные'!$B$80)*(1+N('Исходные данные'!$B$81))),0))</f>
        <v>0</v>
      </c>
      <c r="T193">
        <f>-S193*N('Исходные данные'!$B$73)</f>
        <v>0</v>
      </c>
      <c r="U193">
        <f>IF(S193=0,0,-N('Исходные данные'!$B$87)-IF('Исходные данные'!$B$82="Да",IF('Исходные данные'!$B$84="С выручки",S193,IF('Исходные данные'!$B$84="С прибыли",MAX(0,S193+T193-IF('Исходные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93">
        <f t="shared" si="102"/>
        <v>0</v>
      </c>
      <c r="W193">
        <f>IF(D193=1,Расчёты!AZ193+K193+N193+Q193+V193,0)</f>
        <v>0</v>
      </c>
      <c r="X193" t="str">
        <f t="shared" si="112"/>
        <v/>
      </c>
      <c r="Y193">
        <f>IF(OR(D193=0,'Исходные данные'!$B$9="",'Исходные данные'!$B$90=""),0,W193/(1+'Исходные данные'!$B$90)^((C193-'Исходные данные'!$B$9)/365))</f>
        <v>0</v>
      </c>
      <c r="Z193">
        <f>IF(D193=1,K193+Расчёты!O193+Расчёты!Q193+Расчёты!S193+Расчёты!U193+Расчёты!W193+Расчёты!X193+N193+Q193,0)</f>
        <v>0</v>
      </c>
      <c r="AA193">
        <f>IF(AND(D193=1,X193&gt;=0,X192&lt;0,MIN($X$2:X193)&lt;0),1,0)</f>
        <v>0</v>
      </c>
      <c r="AB193">
        <f>IF(Расчёты!F193=0,0,IF(Расчёты!G193=1,N('Сценарный анализ'!$C$5),IF(Расчёты!G193=2,N('Сценарный анализ'!$C$6),IF(Расчёты!G193=3,N('Сценарный анализ'!$C$7),N('Сценарный анализ'!$C$7)*(1+N('Сценарный анализ'!$C$8))^(Расчёты!G193-3)))))</f>
        <v>0</v>
      </c>
      <c r="AC193">
        <f>IF(OR(Расчёты!F193=0,N('Исходные данные'!$B$5)=0,AB193=0),0,N('Исходные данные'!$B$5)*AB193*IF(AND(B193&lt;='Исходные данные'!$B$30,Расчёты!C193&gt;='Исходные данные'!$B$30),(Расчёты!C193-'Исходные данные'!$B$30+1)/DAY(Расчёты!C193),1))</f>
        <v>0</v>
      </c>
      <c r="AD193">
        <f>IF(AND(Расчёты!F193&gt;0,Расчёты!F193&lt;=N('Исходные данные'!$B$37)),-AC193,0)</f>
        <v>0</v>
      </c>
      <c r="AE193">
        <f>IF(OR(Расчёты!F193=0,Расчёты!F193&lt;=N('Исходные данные'!$B$37)),0,-(AC193+AD193)*N('Сценарный анализ'!$C$9))</f>
        <v>0</v>
      </c>
      <c r="AF193">
        <f t="shared" si="103"/>
        <v>0</v>
      </c>
      <c r="AG193">
        <f>IF('Исходные данные'!$B$51="Да",AF193*N('Исходные данные'!$B$52),0)</f>
        <v>0</v>
      </c>
      <c r="AH193">
        <f t="shared" si="104"/>
        <v>0</v>
      </c>
      <c r="AI193">
        <f>AF193+(Расчёты!Y193-Расчёты!L193)</f>
        <v>0</v>
      </c>
      <c r="AJ193">
        <f t="shared" si="113"/>
        <v>0</v>
      </c>
      <c r="AK193">
        <f>IF('Исходные данные'!$B$51="Да",-MAX(0,AG193+Расчёты!R193+Расчёты!V193-Расчёты!P193-Расчёты!T193-AJ193),0)</f>
        <v>0</v>
      </c>
      <c r="AL193">
        <f>IF('Исходные данные'!$B$51="Да",MAX(0,AJ193+Расчёты!P193+Расчёты!T193-AG193-Расчёты!R193-Расчёты!V193),0)</f>
        <v>0</v>
      </c>
      <c r="AM193">
        <f>IF('Исходные данные'!$B$53="Выручка",MAX(0,AF193+(Расчёты!Q193-Расчёты!R193)+(Расчёты!U193-Расчёты!V193)),IF('Исходные данные'!$B$53="Прибыль до налога",MAX(0,AF193+(Расчёты!Q193-Расчёты!R193)+(Расчёты!U193-Расчёты!V193)+N('Исходные данные'!$B$54)*((Расчёты!O193+Расчёты!P193)+(Расчёты!S193+Расчёты!T193)+Расчёты!W193+Расчёты!X193)+IF('Исходные данные'!$B$55="Да",Расчёты!AG193,0)-N('Исходные данные'!$B$56)/12),IF('Исходные данные'!$B$53="Пользовательская база",MAX(0,N('Исходные данные'!$B$57)/12),0)))</f>
        <v>0</v>
      </c>
      <c r="AN193">
        <f>IF(D193=1,-AM193*N('Исходные данные'!$B$50),0)</f>
        <v>0</v>
      </c>
      <c r="AO193">
        <f t="shared" si="105"/>
        <v>0</v>
      </c>
      <c r="AP193">
        <f>IF(OR(D193&lt;&gt;1,B193="",'Исходные данные'!$B$91="",N('Исходные данные'!$B$80)&lt;=0,'Исходные данные'!$B$88=""),0,IF(AND(YEAR(B193)=YEAR('Исходные данные'!$B$91),MONTH(B193)=MONTH('Исходные данные'!$B$91)),MAX(0,IF('Исходные данные'!$B$88="Последние 12 месяцев",SUMIFS($AI$2:$AI$194,$B$2:$B$194,"&gt;="&amp;EDATE(B193,-11),$B$2:$B$194,"&lt;="&amp;B193),IF('Исходные данные'!$B$88="Пользовательский NOI",N('Исходные данные'!$B$89),AO193))/N('Исходные данные'!$B$80)*(1+N('Исходные данные'!$B$81))),0))</f>
        <v>0</v>
      </c>
      <c r="AQ193">
        <f>-AP193*N('Исходные данные'!$B$73)</f>
        <v>0</v>
      </c>
      <c r="AR193">
        <f>IF(AP193=0,0,-N('Исходные данные'!$B$87)-IF('Исходные данные'!$B$82="Да",IF('Исходные данные'!$B$84="С выручки",AP193,IF('Исходные данные'!$B$84="С прибыли",MAX(0,AP193+AQ193-IF('Исходные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93">
        <f t="shared" si="106"/>
        <v>0</v>
      </c>
      <c r="AT193">
        <f>IF(D193=1,Расчёты!AZ193+AH193+AK193+AN193+AS193,0)</f>
        <v>0</v>
      </c>
      <c r="AU193" t="str">
        <f t="shared" si="114"/>
        <v/>
      </c>
      <c r="AV193">
        <f>IF(OR(D193=0,'Исходные данные'!$B$9="",'Исходные данные'!$B$90=""),0,AT193/(1+'Исходные данные'!$B$90)^((C193-'Исходные данные'!$B$9)/365))</f>
        <v>0</v>
      </c>
      <c r="AW193">
        <f>IF(D193=1,AH193+Расчёты!O193+Расчёты!Q193+Расчёты!S193+Расчёты!U193+Расчёты!W193+Расчёты!X193+AK193+AN193,0)</f>
        <v>0</v>
      </c>
      <c r="AX193">
        <f>IF(AND(D193=1,AU193&gt;=0,AU192&lt;0,MIN($AU$2:AU193)&lt;0),1,0)</f>
        <v>0</v>
      </c>
      <c r="AY193">
        <f>IF(Расчёты!F193=0,0,IF(Расчёты!G193=1,N('Сценарный анализ'!$D$5),IF(Расчёты!G193=2,N('Сценарный анализ'!$D$6),IF(Расчёты!G193=3,N('Сценарный анализ'!$D$7),N('Сценарный анализ'!$D$7)*(1+N('Сценарный анализ'!$D$8))^(Расчёты!G193-3)))))</f>
        <v>0</v>
      </c>
      <c r="AZ193">
        <f>IF(OR(Расчёты!F193=0,N('Исходные данные'!$B$5)=0,AY193=0),0,N('Исходные данные'!$B$5)*AY193*IF(AND(B193&lt;='Исходные данные'!$B$30,Расчёты!C193&gt;='Исходные данные'!$B$30),(Расчёты!C193-'Исходные данные'!$B$30+1)/DAY(Расчёты!C193),1))</f>
        <v>0</v>
      </c>
      <c r="BA193">
        <f>IF(AND(Расчёты!F193&gt;0,Расчёты!F193&lt;=N('Исходные данные'!$B$37)),-AZ193,0)</f>
        <v>0</v>
      </c>
      <c r="BB193">
        <f>IF(OR(Расчёты!F193=0,Расчёты!F193&lt;=N('Исходные данные'!$B$37)),0,-(AZ193+BA193)*N('Сценарный анализ'!$D$9))</f>
        <v>0</v>
      </c>
      <c r="BC193">
        <f t="shared" si="107"/>
        <v>0</v>
      </c>
      <c r="BD193">
        <f>IF('Исходные данные'!$B$51="Да",BC193*N('Исходные данные'!$B$52),0)</f>
        <v>0</v>
      </c>
      <c r="BE193">
        <f t="shared" si="108"/>
        <v>0</v>
      </c>
      <c r="BF193">
        <f>BC193+(Расчёты!Y193-Расчёты!L193)</f>
        <v>0</v>
      </c>
      <c r="BG193">
        <f t="shared" si="115"/>
        <v>0</v>
      </c>
      <c r="BH193">
        <f>IF('Исходные данные'!$B$51="Да",-MAX(0,BD193+Расчёты!R193+Расчёты!V193-Расчёты!P193-Расчёты!T193-BG193),0)</f>
        <v>0</v>
      </c>
      <c r="BI193">
        <f>IF('Исходные данные'!$B$51="Да",MAX(0,BG193+Расчёты!P193+Расчёты!T193-BD193-Расчёты!R193-Расчёты!V193),0)</f>
        <v>0</v>
      </c>
      <c r="BJ193">
        <f>IF('Исходные данные'!$B$53="Выручка",MAX(0,BC193+(Расчёты!Q193-Расчёты!R193)+(Расчёты!U193-Расчёты!V193)),IF('Исходные данные'!$B$53="Прибыль до налога",MAX(0,BC193+(Расчёты!Q193-Расчёты!R193)+(Расчёты!U193-Расчёты!V193)+N('Исходные данные'!$B$54)*((Расчёты!O193+Расчёты!P193)+(Расчёты!S193+Расчёты!T193)+Расчёты!W193+Расчёты!X193)+IF('Исходные данные'!$B$55="Да",Расчёты!AG193,0)-N('Исходные данные'!$B$56)/12),IF('Исходные данные'!$B$53="Пользовательская база",MAX(0,N('Исходные данные'!$B$57)/12),0)))</f>
        <v>0</v>
      </c>
      <c r="BK193">
        <f>IF(D193=1,-BJ193*N('Исходные данные'!$B$50),0)</f>
        <v>0</v>
      </c>
      <c r="BL193">
        <f t="shared" si="109"/>
        <v>0</v>
      </c>
      <c r="BM193">
        <f>IF(OR(D193&lt;&gt;1,B193="",'Исходные данные'!$B$91="",N('Исходные данные'!$B$80)&lt;=0,'Исходные данные'!$B$88=""),0,IF(AND(YEAR(B193)=YEAR('Исходные данные'!$B$91),MONTH(B193)=MONTH('Исходные данные'!$B$91)),MAX(0,IF('Исходные данные'!$B$88="Последние 12 месяцев",SUMIFS($BF$2:$BF$194,$B$2:$B$194,"&gt;="&amp;EDATE(B193,-11),$B$2:$B$194,"&lt;="&amp;B193),IF('Исходные данные'!$B$88="Пользовательский NOI",N('Исходные данные'!$B$89),BL193))/N('Исходные данные'!$B$80)*(1+N('Исходные данные'!$B$81))),0))</f>
        <v>0</v>
      </c>
      <c r="BN193">
        <f>-BM193*N('Исходные данные'!$B$73)</f>
        <v>0</v>
      </c>
      <c r="BO193">
        <f>IF(BM193=0,0,-N('Исходные данные'!$B$87)-IF('Исходные данные'!$B$82="Да",IF('Исходные данные'!$B$84="С выручки",BM193,IF('Исходные данные'!$B$84="С прибыли",MAX(0,BM193+BN193-IF('Исходные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93">
        <f t="shared" si="110"/>
        <v>0</v>
      </c>
      <c r="BQ193">
        <f>IF(D193=1,Расчёты!AZ193+BE193+BH193+BK193+BP193,0)</f>
        <v>0</v>
      </c>
      <c r="BR193" t="str">
        <f t="shared" si="116"/>
        <v/>
      </c>
      <c r="BS193">
        <f>IF(OR(D193=0,'Исходные данные'!$B$9="",'Исходные данные'!$B$90=""),0,BQ193/(1+'Исходные данные'!$B$90)^((C193-'Исходные данные'!$B$9)/365))</f>
        <v>0</v>
      </c>
      <c r="BT193">
        <f>IF(D193=1,BE193+Расчёты!O193+Расчёты!Q193+Расчёты!S193+Расчёты!U193+Расчёты!W193+Расчёты!X193+BH193+BK193,0)</f>
        <v>0</v>
      </c>
      <c r="BU193">
        <f>IF(AND(D193=1,BR193&gt;=0,BR192&lt;0,MIN($BR$2:BR193)&lt;0),1,0)</f>
        <v>0</v>
      </c>
      <c r="BV193">
        <f>Расчёты!AZ193+K193+N193-P193*N('Исходные данные'!$B$50)</f>
        <v>0</v>
      </c>
      <c r="BW193">
        <f t="shared" si="96"/>
        <v>0</v>
      </c>
      <c r="BX193">
        <f>IF(AND(BW193&gt;=0,BW192&lt;0,MIN($BW$2:BW193)&lt;0),1,0)</f>
        <v>0</v>
      </c>
      <c r="BY193">
        <f>Расчёты!AZ193+AH193+AK193-AM193*N('Исходные данные'!$B$50)</f>
        <v>0</v>
      </c>
      <c r="BZ193">
        <f t="shared" si="97"/>
        <v>0</v>
      </c>
      <c r="CA193">
        <f>IF(AND(BZ193&gt;=0,BZ192&lt;0,MIN($BZ$2:BZ193)&lt;0),1,0)</f>
        <v>0</v>
      </c>
      <c r="CB193">
        <f>Расчёты!AZ193+BE193+BH193-BJ193*N('Исходные данные'!$B$50)</f>
        <v>0</v>
      </c>
      <c r="CC193">
        <f t="shared" si="98"/>
        <v>0</v>
      </c>
      <c r="CD193">
        <f>IF(AND(CC193&gt;=0,CC192&lt;0,MIN($CC$2:CC193)&lt;0),1,0)</f>
        <v>0</v>
      </c>
    </row>
    <row r="194" spans="1:82" x14ac:dyDescent="0.2">
      <c r="A194">
        <f>Расчёты!A194</f>
        <v>193</v>
      </c>
      <c r="B194" t="str">
        <f>Расчёты!B194</f>
        <v/>
      </c>
      <c r="C194" t="str">
        <f>Расчёты!D194</f>
        <v/>
      </c>
      <c r="D194">
        <f>Расчёты!E194</f>
        <v>0</v>
      </c>
      <c r="E194">
        <f>IF(Расчёты!F194=0,0,IF(Расчёты!G194=1,N('Сценарный анализ'!$B$5),IF(Расчёты!G194=2,N('Сценарный анализ'!$B$6),IF(Расчёты!G194=3,N('Сценарный анализ'!$B$7),N('Сценарный анализ'!$B$7)*(1+N('Сценарный анализ'!$B$8))^(Расчёты!G194-3)))))</f>
        <v>0</v>
      </c>
      <c r="F194">
        <f>IF(OR(Расчёты!F194=0,N('Исходные данные'!$B$5)=0,E194=0),0,N('Исходные данные'!$B$5)*E194*IF(AND(B194&lt;='Исходные данные'!$B$30,Расчёты!C194&gt;='Исходные данные'!$B$30),(Расчёты!C194-'Исходные данные'!$B$30+1)/DAY(Расчёты!C194),1))</f>
        <v>0</v>
      </c>
      <c r="G194">
        <f>IF(AND(Расчёты!F194&gt;0,Расчёты!F194&lt;=N('Исходные данные'!$B$37)),-F194,0)</f>
        <v>0</v>
      </c>
      <c r="H194">
        <f>IF(OR(Расчёты!F194=0,Расчёты!F194&lt;=N('Исходные данные'!$B$37)),0,-(F194+G194)*N('Сценарный анализ'!$B$9))</f>
        <v>0</v>
      </c>
      <c r="I194">
        <f t="shared" ref="I194:I195" si="117">F194+G194+H194</f>
        <v>0</v>
      </c>
      <c r="J194">
        <f>IF('Исходные данные'!$B$51="Да",I194*N('Исходные данные'!$B$52),0)</f>
        <v>0</v>
      </c>
      <c r="K194">
        <f t="shared" ref="K194:K195" si="118">I194+J194</f>
        <v>0</v>
      </c>
      <c r="L194">
        <f>I194+(Расчёты!Y194-Расчёты!L194)</f>
        <v>0</v>
      </c>
      <c r="M194">
        <f t="shared" si="111"/>
        <v>0</v>
      </c>
      <c r="N194">
        <f>IF('Исходные данные'!$B$51="Да",-MAX(0,J194+Расчёты!R194+Расчёты!V194-Расчёты!P194-Расчёты!T194-M194),0)</f>
        <v>0</v>
      </c>
      <c r="O194">
        <f>IF('Исходные данные'!$B$51="Да",MAX(0,M194+Расчёты!P194+Расчёты!T194-J194-Расчёты!R194-Расчёты!V194),0)</f>
        <v>0</v>
      </c>
      <c r="P194">
        <f>IF('Исходные данные'!$B$53="Выручка",MAX(0,I194+(Расчёты!Q194-Расчёты!R194)+(Расчёты!U194-Расчёты!V194)),IF('Исходные данные'!$B$53="Прибыль до налога",MAX(0,I194+(Расчёты!Q194-Расчёты!R194)+(Расчёты!U194-Расчёты!V194)+N('Исходные данные'!$B$54)*((Расчёты!O194+Расчёты!P194)+(Расчёты!S194+Расчёты!T194)+Расчёты!W194+Расчёты!X194)+IF('Исходные данные'!$B$55="Да",Расчёты!AG194,0)-N('Исходные данные'!$B$56)/12),IF('Исходные данные'!$B$53="Пользовательская база",MAX(0,N('Исходные данные'!$B$57)/12),0)))</f>
        <v>0</v>
      </c>
      <c r="Q194">
        <f>IF(D194=1,-P194*N('Исходные данные'!$B$50),0)</f>
        <v>0</v>
      </c>
      <c r="R194">
        <f t="shared" si="101"/>
        <v>0</v>
      </c>
      <c r="S194">
        <f>IF(OR(D194&lt;&gt;1,B194="",'Исходные данные'!$B$91="",N('Исходные данные'!$B$80)&lt;=0,'Исходные данные'!$B$88=""),0,IF(AND(YEAR(B194)=YEAR('Исходные данные'!$B$91),MONTH(B194)=MONTH('Исходные данные'!$B$91)),MAX(0,IF('Исходные данные'!$B$88="Последние 12 месяцев",SUMIFS($L$2:$L$194,$B$2:$B$194,"&gt;="&amp;EDATE(B194,-11),$B$2:$B$194,"&lt;="&amp;B194),IF('Исходные данные'!$B$88="Пользовательский NOI",N('Исходные данные'!$B$89),R194))/N('Исходные данные'!$B$80)*(1+N('Исходные данные'!$B$81))),0))</f>
        <v>0</v>
      </c>
      <c r="T194">
        <f>-S194*N('Исходные данные'!$B$73)</f>
        <v>0</v>
      </c>
      <c r="U194">
        <f>IF(S194=0,0,-N('Исходные данные'!$B$87)-IF('Исходные данные'!$B$82="Да",IF('Исходные данные'!$B$84="С выручки",S194,IF('Исходные данные'!$B$84="С прибыли",MAX(0,S194+T194-IF('Исходные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94">
        <f t="shared" ref="V194:V195" si="119">S194+T194+U194</f>
        <v>0</v>
      </c>
      <c r="W194">
        <f>IF(D194=1,Расчёты!AZ194+K194+N194+Q194+V194,0)</f>
        <v>0</v>
      </c>
      <c r="X194" t="str">
        <f t="shared" si="112"/>
        <v/>
      </c>
      <c r="Y194">
        <f>IF(OR(D194=0,'Исходные данные'!$B$9="",'Исходные данные'!$B$90=""),0,W194/(1+'Исходные данные'!$B$90)^((C194-'Исходные данные'!$B$9)/365))</f>
        <v>0</v>
      </c>
      <c r="Z194">
        <f>IF(D194=1,K194+Расчёты!O194+Расчёты!Q194+Расчёты!S194+Расчёты!U194+Расчёты!W194+Расчёты!X194+N194+Q194,0)</f>
        <v>0</v>
      </c>
      <c r="AA194">
        <f>IF(AND(D194=1,X194&gt;=0,X193&lt;0,MIN($X$2:X194)&lt;0),1,0)</f>
        <v>0</v>
      </c>
      <c r="AB194">
        <f>IF(Расчёты!F194=0,0,IF(Расчёты!G194=1,N('Сценарный анализ'!$C$5),IF(Расчёты!G194=2,N('Сценарный анализ'!$C$6),IF(Расчёты!G194=3,N('Сценарный анализ'!$C$7),N('Сценарный анализ'!$C$7)*(1+N('Сценарный анализ'!$C$8))^(Расчёты!G194-3)))))</f>
        <v>0</v>
      </c>
      <c r="AC194">
        <f>IF(OR(Расчёты!F194=0,N('Исходные данные'!$B$5)=0,AB194=0),0,N('Исходные данные'!$B$5)*AB194*IF(AND(B194&lt;='Исходные данные'!$B$30,Расчёты!C194&gt;='Исходные данные'!$B$30),(Расчёты!C194-'Исходные данные'!$B$30+1)/DAY(Расчёты!C194),1))</f>
        <v>0</v>
      </c>
      <c r="AD194">
        <f>IF(AND(Расчёты!F194&gt;0,Расчёты!F194&lt;=N('Исходные данные'!$B$37)),-AC194,0)</f>
        <v>0</v>
      </c>
      <c r="AE194">
        <f>IF(OR(Расчёты!F194=0,Расчёты!F194&lt;=N('Исходные данные'!$B$37)),0,-(AC194+AD194)*N('Сценарный анализ'!$C$9))</f>
        <v>0</v>
      </c>
      <c r="AF194">
        <f t="shared" ref="AF194:AF195" si="120">AC194+AD194+AE194</f>
        <v>0</v>
      </c>
      <c r="AG194">
        <f>IF('Исходные данные'!$B$51="Да",AF194*N('Исходные данные'!$B$52),0)</f>
        <v>0</v>
      </c>
      <c r="AH194">
        <f t="shared" ref="AH194:AH195" si="121">AF194+AG194</f>
        <v>0</v>
      </c>
      <c r="AI194">
        <f>AF194+(Расчёты!Y194-Расчёты!L194)</f>
        <v>0</v>
      </c>
      <c r="AJ194">
        <f t="shared" si="113"/>
        <v>0</v>
      </c>
      <c r="AK194">
        <f>IF('Исходные данные'!$B$51="Да",-MAX(0,AG194+Расчёты!R194+Расчёты!V194-Расчёты!P194-Расчёты!T194-AJ194),0)</f>
        <v>0</v>
      </c>
      <c r="AL194">
        <f>IF('Исходные данные'!$B$51="Да",MAX(0,AJ194+Расчёты!P194+Расчёты!T194-AG194-Расчёты!R194-Расчёты!V194),0)</f>
        <v>0</v>
      </c>
      <c r="AM194">
        <f>IF('Исходные данные'!$B$53="Выручка",MAX(0,AF194+(Расчёты!Q194-Расчёты!R194)+(Расчёты!U194-Расчёты!V194)),IF('Исходные данные'!$B$53="Прибыль до налога",MAX(0,AF194+(Расчёты!Q194-Расчёты!R194)+(Расчёты!U194-Расчёты!V194)+N('Исходные данные'!$B$54)*((Расчёты!O194+Расчёты!P194)+(Расчёты!S194+Расчёты!T194)+Расчёты!W194+Расчёты!X194)+IF('Исходные данные'!$B$55="Да",Расчёты!AG194,0)-N('Исходные данные'!$B$56)/12),IF('Исходные данные'!$B$53="Пользовательская база",MAX(0,N('Исходные данные'!$B$57)/12),0)))</f>
        <v>0</v>
      </c>
      <c r="AN194">
        <f>IF(D194=1,-AM194*N('Исходные данные'!$B$50),0)</f>
        <v>0</v>
      </c>
      <c r="AO194">
        <f t="shared" si="105"/>
        <v>0</v>
      </c>
      <c r="AP194">
        <f>IF(OR(D194&lt;&gt;1,B194="",'Исходные данные'!$B$91="",N('Исходные данные'!$B$80)&lt;=0,'Исходные данные'!$B$88=""),0,IF(AND(YEAR(B194)=YEAR('Исходные данные'!$B$91),MONTH(B194)=MONTH('Исходные данные'!$B$91)),MAX(0,IF('Исходные данные'!$B$88="Последние 12 месяцев",SUMIFS($AI$2:$AI$194,$B$2:$B$194,"&gt;="&amp;EDATE(B194,-11),$B$2:$B$194,"&lt;="&amp;B194),IF('Исходные данные'!$B$88="Пользовательский NOI",N('Исходные данные'!$B$89),AO194))/N('Исходные данные'!$B$80)*(1+N('Исходные данные'!$B$81))),0))</f>
        <v>0</v>
      </c>
      <c r="AQ194">
        <f>-AP194*N('Исходные данные'!$B$73)</f>
        <v>0</v>
      </c>
      <c r="AR194">
        <f>IF(AP194=0,0,-N('Исходные данные'!$B$87)-IF('Исходные данные'!$B$82="Да",IF('Исходные данные'!$B$84="С выручки",AP194,IF('Исходные данные'!$B$84="С прибыли",MAX(0,AP194+AQ194-IF('Исходные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94">
        <f t="shared" ref="AS194:AS195" si="122">AP194+AQ194+AR194</f>
        <v>0</v>
      </c>
      <c r="AT194">
        <f>IF(D194=1,Расчёты!AZ194+AH194+AK194+AN194+AS194,0)</f>
        <v>0</v>
      </c>
      <c r="AU194" t="str">
        <f t="shared" si="114"/>
        <v/>
      </c>
      <c r="AV194">
        <f>IF(OR(D194=0,'Исходные данные'!$B$9="",'Исходные данные'!$B$90=""),0,AT194/(1+'Исходные данные'!$B$90)^((C194-'Исходные данные'!$B$9)/365))</f>
        <v>0</v>
      </c>
      <c r="AW194">
        <f>IF(D194=1,AH194+Расчёты!O194+Расчёты!Q194+Расчёты!S194+Расчёты!U194+Расчёты!W194+Расчёты!X194+AK194+AN194,0)</f>
        <v>0</v>
      </c>
      <c r="AX194">
        <f>IF(AND(D194=1,AU194&gt;=0,AU193&lt;0,MIN($AU$2:AU194)&lt;0),1,0)</f>
        <v>0</v>
      </c>
      <c r="AY194">
        <f>IF(Расчёты!F194=0,0,IF(Расчёты!G194=1,N('Сценарный анализ'!$D$5),IF(Расчёты!G194=2,N('Сценарный анализ'!$D$6),IF(Расчёты!G194=3,N('Сценарный анализ'!$D$7),N('Сценарный анализ'!$D$7)*(1+N('Сценарный анализ'!$D$8))^(Расчёты!G194-3)))))</f>
        <v>0</v>
      </c>
      <c r="AZ194">
        <f>IF(OR(Расчёты!F194=0,N('Исходные данные'!$B$5)=0,AY194=0),0,N('Исходные данные'!$B$5)*AY194*IF(AND(B194&lt;='Исходные данные'!$B$30,Расчёты!C194&gt;='Исходные данные'!$B$30),(Расчёты!C194-'Исходные данные'!$B$30+1)/DAY(Расчёты!C194),1))</f>
        <v>0</v>
      </c>
      <c r="BA194">
        <f>IF(AND(Расчёты!F194&gt;0,Расчёты!F194&lt;=N('Исходные данные'!$B$37)),-AZ194,0)</f>
        <v>0</v>
      </c>
      <c r="BB194">
        <f>IF(OR(Расчёты!F194=0,Расчёты!F194&lt;=N('Исходные данные'!$B$37)),0,-(AZ194+BA194)*N('Сценарный анализ'!$D$9))</f>
        <v>0</v>
      </c>
      <c r="BC194">
        <f t="shared" ref="BC194:BC195" si="123">AZ194+BA194+BB194</f>
        <v>0</v>
      </c>
      <c r="BD194">
        <f>IF('Исходные данные'!$B$51="Да",BC194*N('Исходные данные'!$B$52),0)</f>
        <v>0</v>
      </c>
      <c r="BE194">
        <f t="shared" ref="BE194:BE195" si="124">BC194+BD194</f>
        <v>0</v>
      </c>
      <c r="BF194">
        <f>BC194+(Расчёты!Y194-Расчёты!L194)</f>
        <v>0</v>
      </c>
      <c r="BG194">
        <f t="shared" si="115"/>
        <v>0</v>
      </c>
      <c r="BH194">
        <f>IF('Исходные данные'!$B$51="Да",-MAX(0,BD194+Расчёты!R194+Расчёты!V194-Расчёты!P194-Расчёты!T194-BG194),0)</f>
        <v>0</v>
      </c>
      <c r="BI194">
        <f>IF('Исходные данные'!$B$51="Да",MAX(0,BG194+Расчёты!P194+Расчёты!T194-BD194-Расчёты!R194-Расчёты!V194),0)</f>
        <v>0</v>
      </c>
      <c r="BJ194">
        <f>IF('Исходные данные'!$B$53="Выручка",MAX(0,BC194+(Расчёты!Q194-Расчёты!R194)+(Расчёты!U194-Расчёты!V194)),IF('Исходные данные'!$B$53="Прибыль до налога",MAX(0,BC194+(Расчёты!Q194-Расчёты!R194)+(Расчёты!U194-Расчёты!V194)+N('Исходные данные'!$B$54)*((Расчёты!O194+Расчёты!P194)+(Расчёты!S194+Расчёты!T194)+Расчёты!W194+Расчёты!X194)+IF('Исходные данные'!$B$55="Да",Расчёты!AG194,0)-N('Исходные данные'!$B$56)/12),IF('Исходные данные'!$B$53="Пользовательская база",MAX(0,N('Исходные данные'!$B$57)/12),0)))</f>
        <v>0</v>
      </c>
      <c r="BK194">
        <f>IF(D194=1,-BJ194*N('Исходные данные'!$B$50),0)</f>
        <v>0</v>
      </c>
      <c r="BL194">
        <f t="shared" si="109"/>
        <v>0</v>
      </c>
      <c r="BM194">
        <f>IF(OR(D194&lt;&gt;1,B194="",'Исходные данные'!$B$91="",N('Исходные данные'!$B$80)&lt;=0,'Исходные данные'!$B$88=""),0,IF(AND(YEAR(B194)=YEAR('Исходные данные'!$B$91),MONTH(B194)=MONTH('Исходные данные'!$B$91)),MAX(0,IF('Исходные данные'!$B$88="Последние 12 месяцев",SUMIFS($BF$2:$BF$194,$B$2:$B$194,"&gt;="&amp;EDATE(B194,-11),$B$2:$B$194,"&lt;="&amp;B194),IF('Исходные данные'!$B$88="Пользовательский NOI",N('Исходные данные'!$B$89),BL194))/N('Исходные данные'!$B$80)*(1+N('Исходные данные'!$B$81))),0))</f>
        <v>0</v>
      </c>
      <c r="BN194">
        <f>-BM194*N('Исходные данные'!$B$73)</f>
        <v>0</v>
      </c>
      <c r="BO194">
        <f>IF(BM194=0,0,-N('Исходные данные'!$B$87)-IF('Исходные данные'!$B$82="Да",IF('Исходные данные'!$B$84="С выручки",BM194,IF('Исходные данные'!$B$84="С прибыли",MAX(0,BM194+BN194-IF('Исходные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94">
        <f t="shared" ref="BP194:BP195" si="125">BM194+BN194+BO194</f>
        <v>0</v>
      </c>
      <c r="BQ194">
        <f>IF(D194=1,Расчёты!AZ194+BE194+BH194+BK194+BP194,0)</f>
        <v>0</v>
      </c>
      <c r="BR194" t="str">
        <f t="shared" si="116"/>
        <v/>
      </c>
      <c r="BS194">
        <f>IF(OR(D194=0,'Исходные данные'!$B$9="",'Исходные данные'!$B$90=""),0,BQ194/(1+'Исходные данные'!$B$90)^((C194-'Исходные данные'!$B$9)/365))</f>
        <v>0</v>
      </c>
      <c r="BT194">
        <f>IF(D194=1,BE194+Расчёты!O194+Расчёты!Q194+Расчёты!S194+Расчёты!U194+Расчёты!W194+Расчёты!X194+BH194+BK194,0)</f>
        <v>0</v>
      </c>
      <c r="BU194">
        <f>IF(AND(D194=1,BR194&gt;=0,BR193&lt;0,MIN($BR$2:BR194)&lt;0),1,0)</f>
        <v>0</v>
      </c>
      <c r="BV194">
        <f>Расчёты!AZ194+K194+N194-P194*N('Исходные данные'!$B$50)</f>
        <v>0</v>
      </c>
      <c r="BW194">
        <f t="shared" si="96"/>
        <v>0</v>
      </c>
      <c r="BX194">
        <f>IF(AND(BW194&gt;=0,BW193&lt;0,MIN($BW$2:BW194)&lt;0),1,0)</f>
        <v>0</v>
      </c>
      <c r="BY194">
        <f>Расчёты!AZ194+AH194+AK194-AM194*N('Исходные данные'!$B$50)</f>
        <v>0</v>
      </c>
      <c r="BZ194">
        <f t="shared" si="97"/>
        <v>0</v>
      </c>
      <c r="CA194">
        <f>IF(AND(BZ194&gt;=0,BZ193&lt;0,MIN($BZ$2:BZ194)&lt;0),1,0)</f>
        <v>0</v>
      </c>
      <c r="CB194">
        <f>Расчёты!AZ194+BE194+BH194-BJ194*N('Исходные данные'!$B$50)</f>
        <v>0</v>
      </c>
      <c r="CC194">
        <f t="shared" si="98"/>
        <v>0</v>
      </c>
      <c r="CD194">
        <f>IF(AND(CC194&gt;=0,CC193&lt;0,MIN($CC$2:CC194)&lt;0),1,0)</f>
        <v>0</v>
      </c>
    </row>
    <row r="195" spans="1:82" x14ac:dyDescent="0.2">
      <c r="A195">
        <f>Расчёты!A195</f>
        <v>194</v>
      </c>
      <c r="B195" t="str">
        <f>Расчёты!B195</f>
        <v/>
      </c>
      <c r="C195" t="str">
        <f>Расчёты!D195</f>
        <v/>
      </c>
      <c r="D195">
        <f>Расчёты!E195</f>
        <v>0</v>
      </c>
      <c r="E195">
        <f>IF(Расчёты!F195=0,0,IF(Расчёты!G195=1,N('Сценарный анализ'!$B$5),IF(Расчёты!G195=2,N('Сценарный анализ'!$B$6),IF(Расчёты!G195=3,N('Сценарный анализ'!$B$7),N('Сценарный анализ'!$B$7)*(1+N('Сценарный анализ'!$B$8))^(Расчёты!G195-3)))))</f>
        <v>0</v>
      </c>
      <c r="F195">
        <f>IF(OR(Расчёты!F195=0,N('Исходные данные'!$B$5)=0,E195=0),0,N('Исходные данные'!$B$5)*E195*IF(AND(B195&lt;='Исходные данные'!$B$30,Расчёты!C195&gt;='Исходные данные'!$B$30),(Расчёты!C195-'Исходные данные'!$B$30+1)/DAY(Расчёты!C195),1))</f>
        <v>0</v>
      </c>
      <c r="G195">
        <f>IF(AND(Расчёты!F195&gt;0,Расчёты!F195&lt;=N('Исходные данные'!$B$37)),-F195,0)</f>
        <v>0</v>
      </c>
      <c r="H195">
        <f>IF(OR(Расчёты!F195=0,Расчёты!F195&lt;=N('Исходные данные'!$B$37)),0,-(F195+G195)*N('Сценарный анализ'!$B$9))</f>
        <v>0</v>
      </c>
      <c r="I195">
        <f t="shared" si="117"/>
        <v>0</v>
      </c>
      <c r="J195">
        <f>IF('Исходные данные'!$B$51="Да",I195*N('Исходные данные'!$B$52),0)</f>
        <v>0</v>
      </c>
      <c r="K195">
        <f t="shared" si="118"/>
        <v>0</v>
      </c>
      <c r="L195">
        <f>I195+(Расчёты!Y195-Расчёты!L195)</f>
        <v>0</v>
      </c>
      <c r="M195">
        <f t="shared" ref="M195:M258" si="126">O194</f>
        <v>0</v>
      </c>
      <c r="N195">
        <f>IF('Исходные данные'!$B$51="Да",-MAX(0,J195+Расчёты!R195+Расчёты!V195-Расчёты!P195-Расчёты!T195-M195),0)</f>
        <v>0</v>
      </c>
      <c r="O195">
        <f>IF('Исходные данные'!$B$51="Да",MAX(0,M195+Расчёты!P195+Расчёты!T195-J195-Расчёты!R195-Расчёты!V195),0)</f>
        <v>0</v>
      </c>
      <c r="P195">
        <f>IF('Исходные данные'!$B$53="Выручка",MAX(0,I195+(Расчёты!Q195-Расчёты!R195)+(Расчёты!U195-Расчёты!V195)),IF('Исходные данные'!$B$53="Прибыль до налога",MAX(0,I195+(Расчёты!Q195-Расчёты!R195)+(Расчёты!U195-Расчёты!V195)+N('Исходные данные'!$B$54)*((Расчёты!O195+Расчёты!P195)+(Расчёты!S195+Расчёты!T195)+Расчёты!W195+Расчёты!X195)+IF('Исходные данные'!$B$55="Да",Расчёты!AG195,0)-N('Исходные данные'!$B$56)/12),IF('Исходные данные'!$B$53="Пользовательская база",MAX(0,N('Исходные данные'!$B$57)/12),0)))</f>
        <v>0</v>
      </c>
      <c r="Q195">
        <f>IF(D195=1,-P195*N('Исходные данные'!$B$50),0)</f>
        <v>0</v>
      </c>
      <c r="R195">
        <f t="shared" ref="R195:R258" si="127">IF(B195="",0,SUMIFS($L$2:$L$194,$B$2:$B$194,"&gt;"&amp;B195,$B$2:$B$194,"&lt;="&amp;EDATE(B195,12)))</f>
        <v>0</v>
      </c>
      <c r="S195">
        <f>IF(OR(D195&lt;&gt;1,B195="",'Исходные данные'!$B$91="",N('Исходные данные'!$B$80)&lt;=0,'Исходные данные'!$B$88=""),0,IF(AND(YEAR(B195)=YEAR('Исходные данные'!$B$91),MONTH(B195)=MONTH('Исходные данные'!$B$91)),MAX(0,IF('Исходные данные'!$B$88="Последние 12 месяцев",SUMIFS($L$2:$L$194,$B$2:$B$194,"&gt;="&amp;EDATE(B195,-11),$B$2:$B$194,"&lt;="&amp;B195),IF('Исходные данные'!$B$88="Пользовательский NOI",N('Исходные данные'!$B$89),R195))/N('Исходные данные'!$B$80)*(1+N('Исходные данные'!$B$81))),0))</f>
        <v>0</v>
      </c>
      <c r="T195">
        <f>-S195*N('Исходные данные'!$B$73)</f>
        <v>0</v>
      </c>
      <c r="U195">
        <f>IF(S195=0,0,-N('Исходные данные'!$B$87)-IF('Исходные данные'!$B$82="Да",IF('Исходные данные'!$B$84="С выручки",S195,IF('Исходные данные'!$B$84="С прибыли",MAX(0,S195+T195-IF('Исходные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95">
        <f t="shared" si="119"/>
        <v>0</v>
      </c>
      <c r="W195">
        <f>IF(D195=1,Расчёты!AZ195+K195+N195+Q195+V195,0)</f>
        <v>0</v>
      </c>
      <c r="X195" t="str">
        <f t="shared" ref="X195:X258" si="128">IF(D195=1,X194+W195,"")</f>
        <v/>
      </c>
      <c r="Y195">
        <f>IF(OR(D195=0,'Исходные данные'!$B$9="",'Исходные данные'!$B$90=""),0,W195/(1+'Исходные данные'!$B$90)^((C195-'Исходные данные'!$B$9)/365))</f>
        <v>0</v>
      </c>
      <c r="Z195">
        <f>IF(D195=1,K195+Расчёты!O195+Расчёты!Q195+Расчёты!S195+Расчёты!U195+Расчёты!W195+Расчёты!X195+N195+Q195,0)</f>
        <v>0</v>
      </c>
      <c r="AA195">
        <f>IF(AND(D195=1,X195&gt;=0,X194&lt;0,MIN($X$2:X195)&lt;0),1,0)</f>
        <v>0</v>
      </c>
      <c r="AB195">
        <f>IF(Расчёты!F195=0,0,IF(Расчёты!G195=1,N('Сценарный анализ'!$C$5),IF(Расчёты!G195=2,N('Сценарный анализ'!$C$6),IF(Расчёты!G195=3,N('Сценарный анализ'!$C$7),N('Сценарный анализ'!$C$7)*(1+N('Сценарный анализ'!$C$8))^(Расчёты!G195-3)))))</f>
        <v>0</v>
      </c>
      <c r="AC195">
        <f>IF(OR(Расчёты!F195=0,N('Исходные данные'!$B$5)=0,AB195=0),0,N('Исходные данные'!$B$5)*AB195*IF(AND(B195&lt;='Исходные данные'!$B$30,Расчёты!C195&gt;='Исходные данные'!$B$30),(Расчёты!C195-'Исходные данные'!$B$30+1)/DAY(Расчёты!C195),1))</f>
        <v>0</v>
      </c>
      <c r="AD195">
        <f>IF(AND(Расчёты!F195&gt;0,Расчёты!F195&lt;=N('Исходные данные'!$B$37)),-AC195,0)</f>
        <v>0</v>
      </c>
      <c r="AE195">
        <f>IF(OR(Расчёты!F195=0,Расчёты!F195&lt;=N('Исходные данные'!$B$37)),0,-(AC195+AD195)*N('Сценарный анализ'!$C$9))</f>
        <v>0</v>
      </c>
      <c r="AF195">
        <f t="shared" si="120"/>
        <v>0</v>
      </c>
      <c r="AG195">
        <f>IF('Исходные данные'!$B$51="Да",AF195*N('Исходные данные'!$B$52),0)</f>
        <v>0</v>
      </c>
      <c r="AH195">
        <f t="shared" si="121"/>
        <v>0</v>
      </c>
      <c r="AI195">
        <f>AF195+(Расчёты!Y195-Расчёты!L195)</f>
        <v>0</v>
      </c>
      <c r="AJ195">
        <f t="shared" ref="AJ195:AJ258" si="129">AL194</f>
        <v>0</v>
      </c>
      <c r="AK195">
        <f>IF('Исходные данные'!$B$51="Да",-MAX(0,AG195+Расчёты!R195+Расчёты!V195-Расчёты!P195-Расчёты!T195-AJ195),0)</f>
        <v>0</v>
      </c>
      <c r="AL195">
        <f>IF('Исходные данные'!$B$51="Да",MAX(0,AJ195+Расчёты!P195+Расчёты!T195-AG195-Расчёты!R195-Расчёты!V195),0)</f>
        <v>0</v>
      </c>
      <c r="AM195">
        <f>IF('Исходные данные'!$B$53="Выручка",MAX(0,AF195+(Расчёты!Q195-Расчёты!R195)+(Расчёты!U195-Расчёты!V195)),IF('Исходные данные'!$B$53="Прибыль до налога",MAX(0,AF195+(Расчёты!Q195-Расчёты!R195)+(Расчёты!U195-Расчёты!V195)+N('Исходные данные'!$B$54)*((Расчёты!O195+Расчёты!P195)+(Расчёты!S195+Расчёты!T195)+Расчёты!W195+Расчёты!X195)+IF('Исходные данные'!$B$55="Да",Расчёты!AG195,0)-N('Исходные данные'!$B$56)/12),IF('Исходные данные'!$B$53="Пользовательская база",MAX(0,N('Исходные данные'!$B$57)/12),0)))</f>
        <v>0</v>
      </c>
      <c r="AN195">
        <f>IF(D195=1,-AM195*N('Исходные данные'!$B$50),0)</f>
        <v>0</v>
      </c>
      <c r="AO195">
        <f t="shared" ref="AO195:AO258" si="130">IF(B195="",0,SUMIFS($AI$2:$AI$194,$B$2:$B$194,"&gt;"&amp;B195,$B$2:$B$194,"&lt;="&amp;EDATE(B195,12)))</f>
        <v>0</v>
      </c>
      <c r="AP195">
        <f>IF(OR(D195&lt;&gt;1,B195="",'Исходные данные'!$B$91="",N('Исходные данные'!$B$80)&lt;=0,'Исходные данные'!$B$88=""),0,IF(AND(YEAR(B195)=YEAR('Исходные данные'!$B$91),MONTH(B195)=MONTH('Исходные данные'!$B$91)),MAX(0,IF('Исходные данные'!$B$88="Последние 12 месяцев",SUMIFS($AI$2:$AI$194,$B$2:$B$194,"&gt;="&amp;EDATE(B195,-11),$B$2:$B$194,"&lt;="&amp;B195),IF('Исходные данные'!$B$88="Пользовательский NOI",N('Исходные данные'!$B$89),AO195))/N('Исходные данные'!$B$80)*(1+N('Исходные данные'!$B$81))),0))</f>
        <v>0</v>
      </c>
      <c r="AQ195">
        <f>-AP195*N('Исходные данные'!$B$73)</f>
        <v>0</v>
      </c>
      <c r="AR195">
        <f>IF(AP195=0,0,-N('Исходные данные'!$B$87)-IF('Исходные данные'!$B$82="Да",IF('Исходные данные'!$B$84="С выручки",AP195,IF('Исходные данные'!$B$84="С прибыли",MAX(0,AP195+AQ195-IF('Исходные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95">
        <f t="shared" si="122"/>
        <v>0</v>
      </c>
      <c r="AT195">
        <f>IF(D195=1,Расчёты!AZ195+AH195+AK195+AN195+AS195,0)</f>
        <v>0</v>
      </c>
      <c r="AU195" t="str">
        <f t="shared" ref="AU195:AU258" si="131">IF(D195=1,AU194+AT195,"")</f>
        <v/>
      </c>
      <c r="AV195">
        <f>IF(OR(D195=0,'Исходные данные'!$B$9="",'Исходные данные'!$B$90=""),0,AT195/(1+'Исходные данные'!$B$90)^((C195-'Исходные данные'!$B$9)/365))</f>
        <v>0</v>
      </c>
      <c r="AW195">
        <f>IF(D195=1,AH195+Расчёты!O195+Расчёты!Q195+Расчёты!S195+Расчёты!U195+Расчёты!W195+Расчёты!X195+AK195+AN195,0)</f>
        <v>0</v>
      </c>
      <c r="AX195">
        <f>IF(AND(D195=1,AU195&gt;=0,AU194&lt;0,MIN($AU$2:AU195)&lt;0),1,0)</f>
        <v>0</v>
      </c>
      <c r="AY195">
        <f>IF(Расчёты!F195=0,0,IF(Расчёты!G195=1,N('Сценарный анализ'!$D$5),IF(Расчёты!G195=2,N('Сценарный анализ'!$D$6),IF(Расчёты!G195=3,N('Сценарный анализ'!$D$7),N('Сценарный анализ'!$D$7)*(1+N('Сценарный анализ'!$D$8))^(Расчёты!G195-3)))))</f>
        <v>0</v>
      </c>
      <c r="AZ195">
        <f>IF(OR(Расчёты!F195=0,N('Исходные данные'!$B$5)=0,AY195=0),0,N('Исходные данные'!$B$5)*AY195*IF(AND(B195&lt;='Исходные данные'!$B$30,Расчёты!C195&gt;='Исходные данные'!$B$30),(Расчёты!C195-'Исходные данные'!$B$30+1)/DAY(Расчёты!C195),1))</f>
        <v>0</v>
      </c>
      <c r="BA195">
        <f>IF(AND(Расчёты!F195&gt;0,Расчёты!F195&lt;=N('Исходные данные'!$B$37)),-AZ195,0)</f>
        <v>0</v>
      </c>
      <c r="BB195">
        <f>IF(OR(Расчёты!F195=0,Расчёты!F195&lt;=N('Исходные данные'!$B$37)),0,-(AZ195+BA195)*N('Сценарный анализ'!$D$9))</f>
        <v>0</v>
      </c>
      <c r="BC195">
        <f t="shared" si="123"/>
        <v>0</v>
      </c>
      <c r="BD195">
        <f>IF('Исходные данные'!$B$51="Да",BC195*N('Исходные данные'!$B$52),0)</f>
        <v>0</v>
      </c>
      <c r="BE195">
        <f t="shared" si="124"/>
        <v>0</v>
      </c>
      <c r="BF195">
        <f>BC195+(Расчёты!Y195-Расчёты!L195)</f>
        <v>0</v>
      </c>
      <c r="BG195">
        <f t="shared" ref="BG195:BG258" si="132">BI194</f>
        <v>0</v>
      </c>
      <c r="BH195">
        <f>IF('Исходные данные'!$B$51="Да",-MAX(0,BD195+Расчёты!R195+Расчёты!V195-Расчёты!P195-Расчёты!T195-BG195),0)</f>
        <v>0</v>
      </c>
      <c r="BI195">
        <f>IF('Исходные данные'!$B$51="Да",MAX(0,BG195+Расчёты!P195+Расчёты!T195-BD195-Расчёты!R195-Расчёты!V195),0)</f>
        <v>0</v>
      </c>
      <c r="BJ195">
        <f>IF('Исходные данные'!$B$53="Выручка",MAX(0,BC195+(Расчёты!Q195-Расчёты!R195)+(Расчёты!U195-Расчёты!V195)),IF('Исходные данные'!$B$53="Прибыль до налога",MAX(0,BC195+(Расчёты!Q195-Расчёты!R195)+(Расчёты!U195-Расчёты!V195)+N('Исходные данные'!$B$54)*((Расчёты!O195+Расчёты!P195)+(Расчёты!S195+Расчёты!T195)+Расчёты!W195+Расчёты!X195)+IF('Исходные данные'!$B$55="Да",Расчёты!AG195,0)-N('Исходные данные'!$B$56)/12),IF('Исходные данные'!$B$53="Пользовательская база",MAX(0,N('Исходные данные'!$B$57)/12),0)))</f>
        <v>0</v>
      </c>
      <c r="BK195">
        <f>IF(D195=1,-BJ195*N('Исходные данные'!$B$50),0)</f>
        <v>0</v>
      </c>
      <c r="BL195">
        <f t="shared" ref="BL195:BL258" si="133">IF(B195="",0,SUMIFS($BF$2:$BF$194,$B$2:$B$194,"&gt;"&amp;B195,$B$2:$B$194,"&lt;="&amp;EDATE(B195,12)))</f>
        <v>0</v>
      </c>
      <c r="BM195">
        <f>IF(OR(D195&lt;&gt;1,B195="",'Исходные данные'!$B$91="",N('Исходные данные'!$B$80)&lt;=0,'Исходные данные'!$B$88=""),0,IF(AND(YEAR(B195)=YEAR('Исходные данные'!$B$91),MONTH(B195)=MONTH('Исходные данные'!$B$91)),MAX(0,IF('Исходные данные'!$B$88="Последние 12 месяцев",SUMIFS($BF$2:$BF$194,$B$2:$B$194,"&gt;="&amp;EDATE(B195,-11),$B$2:$B$194,"&lt;="&amp;B195),IF('Исходные данные'!$B$88="Пользовательский NOI",N('Исходные данные'!$B$89),BL195))/N('Исходные данные'!$B$80)*(1+N('Исходные данные'!$B$81))),0))</f>
        <v>0</v>
      </c>
      <c r="BN195">
        <f>-BM195*N('Исходные данные'!$B$73)</f>
        <v>0</v>
      </c>
      <c r="BO195">
        <f>IF(BM195=0,0,-N('Исходные данные'!$B$87)-IF('Исходные данные'!$B$82="Да",IF('Исходные данные'!$B$84="С выручки",BM195,IF('Исходные данные'!$B$84="С прибыли",MAX(0,BM195+BN195-IF('Исходные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95">
        <f t="shared" si="125"/>
        <v>0</v>
      </c>
      <c r="BQ195">
        <f>IF(D195=1,Расчёты!AZ195+BE195+BH195+BK195+BP195,0)</f>
        <v>0</v>
      </c>
      <c r="BR195" t="str">
        <f t="shared" ref="BR195:BR258" si="134">IF(D195=1,BR194+BQ195,"")</f>
        <v/>
      </c>
      <c r="BS195">
        <f>IF(OR(D195=0,'Исходные данные'!$B$9="",'Исходные данные'!$B$90=""),0,BQ195/(1+'Исходные данные'!$B$90)^((C195-'Исходные данные'!$B$9)/365))</f>
        <v>0</v>
      </c>
      <c r="BT195">
        <f>IF(D195=1,BE195+Расчёты!O195+Расчёты!Q195+Расчёты!S195+Расчёты!U195+Расчёты!W195+Расчёты!X195+BH195+BK195,0)</f>
        <v>0</v>
      </c>
      <c r="BU195">
        <f>IF(AND(D195=1,BR195&gt;=0,BR194&lt;0,MIN($BR$2:BR195)&lt;0),1,0)</f>
        <v>0</v>
      </c>
      <c r="BV195">
        <f>Расчёты!AZ195+K195+N195-P195*N('Исходные данные'!$B$50)</f>
        <v>0</v>
      </c>
      <c r="BW195">
        <f t="shared" ref="BW195:BW258" si="135">BW194+BV195</f>
        <v>0</v>
      </c>
      <c r="BX195">
        <f>IF(AND(BW195&gt;=0,BW194&lt;0,MIN($BW$2:BW195)&lt;0),1,0)</f>
        <v>0</v>
      </c>
      <c r="BY195">
        <f>Расчёты!AZ195+AH195+AK195-AM195*N('Исходные данные'!$B$50)</f>
        <v>0</v>
      </c>
      <c r="BZ195">
        <f t="shared" ref="BZ195:BZ258" si="136">BZ194+BY195</f>
        <v>0</v>
      </c>
      <c r="CA195">
        <f>IF(AND(BZ195&gt;=0,BZ194&lt;0,MIN($BZ$2:BZ195)&lt;0),1,0)</f>
        <v>0</v>
      </c>
      <c r="CB195">
        <f>Расчёты!AZ195+BE195+BH195-BJ195*N('Исходные данные'!$B$50)</f>
        <v>0</v>
      </c>
      <c r="CC195">
        <f t="shared" ref="CC195:CC258" si="137">CC194+CB195</f>
        <v>0</v>
      </c>
      <c r="CD195">
        <f>IF(AND(CC195&gt;=0,CC194&lt;0,MIN($CC$2:CC195)&lt;0),1,0)</f>
        <v>0</v>
      </c>
    </row>
    <row r="196" spans="1:82" x14ac:dyDescent="0.2">
      <c r="A196">
        <f>Расчёты!A196</f>
        <v>195</v>
      </c>
      <c r="B196" t="str">
        <f>Расчёты!B196</f>
        <v/>
      </c>
      <c r="C196" t="str">
        <f>Расчёты!D196</f>
        <v/>
      </c>
      <c r="D196">
        <f>Расчёты!E196</f>
        <v>0</v>
      </c>
      <c r="E196">
        <f>IF(Расчёты!F196=0,0,IF(Расчёты!G196=1,N('Сценарный анализ'!$B$5),IF(Расчёты!G196=2,N('Сценарный анализ'!$B$6),IF(Расчёты!G196=3,N('Сценарный анализ'!$B$7),N('Сценарный анализ'!$B$7)*(1+N('Сценарный анализ'!$B$8))^(Расчёты!G196-3)))))</f>
        <v>0</v>
      </c>
      <c r="F196">
        <f>IF(OR(Расчёты!F196=0,N('Исходные данные'!$B$5)=0,E196=0),0,N('Исходные данные'!$B$5)*E196*IF(AND(B196&lt;='Исходные данные'!$B$30,Расчёты!C196&gt;='Исходные данные'!$B$30),(Расчёты!C196-'Исходные данные'!$B$30+1)/DAY(Расчёты!C196),1))</f>
        <v>0</v>
      </c>
      <c r="G196">
        <f>IF(AND(Расчёты!F196&gt;0,Расчёты!F196&lt;=N('Исходные данные'!$B$37)),-F196,0)</f>
        <v>0</v>
      </c>
      <c r="H196">
        <f>IF(OR(Расчёты!F196=0,Расчёты!F196&lt;=N('Исходные данные'!$B$37)),0,-(F196+G196)*N('Сценарный анализ'!$B$9))</f>
        <v>0</v>
      </c>
      <c r="I196">
        <f t="shared" ref="I196:I259" si="138">F196+G196+H196</f>
        <v>0</v>
      </c>
      <c r="J196">
        <f>IF('Исходные данные'!$B$51="Да",I196*N('Исходные данные'!$B$52),0)</f>
        <v>0</v>
      </c>
      <c r="K196">
        <f t="shared" ref="K196:K259" si="139">I196+J196</f>
        <v>0</v>
      </c>
      <c r="L196">
        <f>I196+(Расчёты!Y196-Расчёты!L196)</f>
        <v>0</v>
      </c>
      <c r="M196">
        <f t="shared" si="126"/>
        <v>0</v>
      </c>
      <c r="N196">
        <f>IF('Исходные данные'!$B$51="Да",-MAX(0,J196+Расчёты!R196+Расчёты!V196-Расчёты!P196-Расчёты!T196-M196),0)</f>
        <v>0</v>
      </c>
      <c r="O196">
        <f>IF('Исходные данные'!$B$51="Да",MAX(0,M196+Расчёты!P196+Расчёты!T196-J196-Расчёты!R196-Расчёты!V196),0)</f>
        <v>0</v>
      </c>
      <c r="P196">
        <f>IF('Исходные данные'!$B$53="Выручка",MAX(0,I196+(Расчёты!Q196-Расчёты!R196)+(Расчёты!U196-Расчёты!V196)),IF('Исходные данные'!$B$53="Прибыль до налога",MAX(0,I196+(Расчёты!Q196-Расчёты!R196)+(Расчёты!U196-Расчёты!V196)+N('Исходные данные'!$B$54)*((Расчёты!O196+Расчёты!P196)+(Расчёты!S196+Расчёты!T196)+Расчёты!W196+Расчёты!X196)+IF('Исходные данные'!$B$55="Да",Расчёты!AG196,0)-N('Исходные данные'!$B$56)/12),IF('Исходные данные'!$B$53="Пользовательская база",MAX(0,N('Исходные данные'!$B$57)/12),0)))</f>
        <v>0</v>
      </c>
      <c r="Q196">
        <f>IF(D196=1,-P196*N('Исходные данные'!$B$50),0)</f>
        <v>0</v>
      </c>
      <c r="R196">
        <f t="shared" si="127"/>
        <v>0</v>
      </c>
      <c r="S196">
        <f>IF(OR(D196&lt;&gt;1,B196="",'Исходные данные'!$B$91="",N('Исходные данные'!$B$80)&lt;=0,'Исходные данные'!$B$88=""),0,IF(AND(YEAR(B196)=YEAR('Исходные данные'!$B$91),MONTH(B196)=MONTH('Исходные данные'!$B$91)),MAX(0,IF('Исходные данные'!$B$88="Последние 12 месяцев",SUMIFS($L$2:$L$194,$B$2:$B$194,"&gt;="&amp;EDATE(B196,-11),$B$2:$B$194,"&lt;="&amp;B196),IF('Исходные данные'!$B$88="Пользовательский NOI",N('Исходные данные'!$B$89),R196))/N('Исходные данные'!$B$80)*(1+N('Исходные данные'!$B$81))),0))</f>
        <v>0</v>
      </c>
      <c r="T196">
        <f>-S196*N('Исходные данные'!$B$73)</f>
        <v>0</v>
      </c>
      <c r="U196">
        <f>IF(S196=0,0,-N('Исходные данные'!$B$87)-IF('Исходные данные'!$B$82="Да",IF('Исходные данные'!$B$84="С выручки",S196,IF('Исходные данные'!$B$84="С прибыли",MAX(0,S196+T196-IF('Исходные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96">
        <f t="shared" ref="V196:V259" si="140">S196+T196+U196</f>
        <v>0</v>
      </c>
      <c r="W196">
        <f>IF(D196=1,Расчёты!AZ196+K196+N196+Q196+V196,0)</f>
        <v>0</v>
      </c>
      <c r="X196" t="str">
        <f t="shared" si="128"/>
        <v/>
      </c>
      <c r="Y196">
        <f>IF(OR(D196=0,'Исходные данные'!$B$9="",'Исходные данные'!$B$90=""),0,W196/(1+'Исходные данные'!$B$90)^((C196-'Исходные данные'!$B$9)/365))</f>
        <v>0</v>
      </c>
      <c r="Z196">
        <f>IF(D196=1,K196+Расчёты!O196+Расчёты!Q196+Расчёты!S196+Расчёты!U196+Расчёты!W196+Расчёты!X196+N196+Q196,0)</f>
        <v>0</v>
      </c>
      <c r="AA196">
        <f>IF(AND(D196=1,X196&gt;=0,X195&lt;0,MIN($X$2:X196)&lt;0),1,0)</f>
        <v>0</v>
      </c>
      <c r="AB196">
        <f>IF(Расчёты!F196=0,0,IF(Расчёты!G196=1,N('Сценарный анализ'!$C$5),IF(Расчёты!G196=2,N('Сценарный анализ'!$C$6),IF(Расчёты!G196=3,N('Сценарный анализ'!$C$7),N('Сценарный анализ'!$C$7)*(1+N('Сценарный анализ'!$C$8))^(Расчёты!G196-3)))))</f>
        <v>0</v>
      </c>
      <c r="AC196">
        <f>IF(OR(Расчёты!F196=0,N('Исходные данные'!$B$5)=0,AB196=0),0,N('Исходные данные'!$B$5)*AB196*IF(AND(B196&lt;='Исходные данные'!$B$30,Расчёты!C196&gt;='Исходные данные'!$B$30),(Расчёты!C196-'Исходные данные'!$B$30+1)/DAY(Расчёты!C196),1))</f>
        <v>0</v>
      </c>
      <c r="AD196">
        <f>IF(AND(Расчёты!F196&gt;0,Расчёты!F196&lt;=N('Исходные данные'!$B$37)),-AC196,0)</f>
        <v>0</v>
      </c>
      <c r="AE196">
        <f>IF(OR(Расчёты!F196=0,Расчёты!F196&lt;=N('Исходные данные'!$B$37)),0,-(AC196+AD196)*N('Сценарный анализ'!$C$9))</f>
        <v>0</v>
      </c>
      <c r="AF196">
        <f t="shared" ref="AF196:AF259" si="141">AC196+AD196+AE196</f>
        <v>0</v>
      </c>
      <c r="AG196">
        <f>IF('Исходные данные'!$B$51="Да",AF196*N('Исходные данные'!$B$52),0)</f>
        <v>0</v>
      </c>
      <c r="AH196">
        <f t="shared" ref="AH196:AH259" si="142">AF196+AG196</f>
        <v>0</v>
      </c>
      <c r="AI196">
        <f>AF196+(Расчёты!Y196-Расчёты!L196)</f>
        <v>0</v>
      </c>
      <c r="AJ196">
        <f t="shared" si="129"/>
        <v>0</v>
      </c>
      <c r="AK196">
        <f>IF('Исходные данные'!$B$51="Да",-MAX(0,AG196+Расчёты!R196+Расчёты!V196-Расчёты!P196-Расчёты!T196-AJ196),0)</f>
        <v>0</v>
      </c>
      <c r="AL196">
        <f>IF('Исходные данные'!$B$51="Да",MAX(0,AJ196+Расчёты!P196+Расчёты!T196-AG196-Расчёты!R196-Расчёты!V196),0)</f>
        <v>0</v>
      </c>
      <c r="AM196">
        <f>IF('Исходные данные'!$B$53="Выручка",MAX(0,AF196+(Расчёты!Q196-Расчёты!R196)+(Расчёты!U196-Расчёты!V196)),IF('Исходные данные'!$B$53="Прибыль до налога",MAX(0,AF196+(Расчёты!Q196-Расчёты!R196)+(Расчёты!U196-Расчёты!V196)+N('Исходные данные'!$B$54)*((Расчёты!O196+Расчёты!P196)+(Расчёты!S196+Расчёты!T196)+Расчёты!W196+Расчёты!X196)+IF('Исходные данные'!$B$55="Да",Расчёты!AG196,0)-N('Исходные данные'!$B$56)/12),IF('Исходные данные'!$B$53="Пользовательская база",MAX(0,N('Исходные данные'!$B$57)/12),0)))</f>
        <v>0</v>
      </c>
      <c r="AN196">
        <f>IF(D196=1,-AM196*N('Исходные данные'!$B$50),0)</f>
        <v>0</v>
      </c>
      <c r="AO196">
        <f t="shared" si="130"/>
        <v>0</v>
      </c>
      <c r="AP196">
        <f>IF(OR(D196&lt;&gt;1,B196="",'Исходные данные'!$B$91="",N('Исходные данные'!$B$80)&lt;=0,'Исходные данные'!$B$88=""),0,IF(AND(YEAR(B196)=YEAR('Исходные данные'!$B$91),MONTH(B196)=MONTH('Исходные данные'!$B$91)),MAX(0,IF('Исходные данные'!$B$88="Последние 12 месяцев",SUMIFS($AI$2:$AI$194,$B$2:$B$194,"&gt;="&amp;EDATE(B196,-11),$B$2:$B$194,"&lt;="&amp;B196),IF('Исходные данные'!$B$88="Пользовательский NOI",N('Исходные данные'!$B$89),AO196))/N('Исходные данные'!$B$80)*(1+N('Исходные данные'!$B$81))),0))</f>
        <v>0</v>
      </c>
      <c r="AQ196">
        <f>-AP196*N('Исходные данные'!$B$73)</f>
        <v>0</v>
      </c>
      <c r="AR196">
        <f>IF(AP196=0,0,-N('Исходные данные'!$B$87)-IF('Исходные данные'!$B$82="Да",IF('Исходные данные'!$B$84="С выручки",AP196,IF('Исходные данные'!$B$84="С прибыли",MAX(0,AP196+AQ196-IF('Исходные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96">
        <f t="shared" ref="AS196:AS259" si="143">AP196+AQ196+AR196</f>
        <v>0</v>
      </c>
      <c r="AT196">
        <f>IF(D196=1,Расчёты!AZ196+AH196+AK196+AN196+AS196,0)</f>
        <v>0</v>
      </c>
      <c r="AU196" t="str">
        <f t="shared" si="131"/>
        <v/>
      </c>
      <c r="AV196">
        <f>IF(OR(D196=0,'Исходные данные'!$B$9="",'Исходные данные'!$B$90=""),0,AT196/(1+'Исходные данные'!$B$90)^((C196-'Исходные данные'!$B$9)/365))</f>
        <v>0</v>
      </c>
      <c r="AW196">
        <f>IF(D196=1,AH196+Расчёты!O196+Расчёты!Q196+Расчёты!S196+Расчёты!U196+Расчёты!W196+Расчёты!X196+AK196+AN196,0)</f>
        <v>0</v>
      </c>
      <c r="AX196">
        <f>IF(AND(D196=1,AU196&gt;=0,AU195&lt;0,MIN($AU$2:AU196)&lt;0),1,0)</f>
        <v>0</v>
      </c>
      <c r="AY196">
        <f>IF(Расчёты!F196=0,0,IF(Расчёты!G196=1,N('Сценарный анализ'!$D$5),IF(Расчёты!G196=2,N('Сценарный анализ'!$D$6),IF(Расчёты!G196=3,N('Сценарный анализ'!$D$7),N('Сценарный анализ'!$D$7)*(1+N('Сценарный анализ'!$D$8))^(Расчёты!G196-3)))))</f>
        <v>0</v>
      </c>
      <c r="AZ196">
        <f>IF(OR(Расчёты!F196=0,N('Исходные данные'!$B$5)=0,AY196=0),0,N('Исходные данные'!$B$5)*AY196*IF(AND(B196&lt;='Исходные данные'!$B$30,Расчёты!C196&gt;='Исходные данные'!$B$30),(Расчёты!C196-'Исходные данные'!$B$30+1)/DAY(Расчёты!C196),1))</f>
        <v>0</v>
      </c>
      <c r="BA196">
        <f>IF(AND(Расчёты!F196&gt;0,Расчёты!F196&lt;=N('Исходные данные'!$B$37)),-AZ196,0)</f>
        <v>0</v>
      </c>
      <c r="BB196">
        <f>IF(OR(Расчёты!F196=0,Расчёты!F196&lt;=N('Исходные данные'!$B$37)),0,-(AZ196+BA196)*N('Сценарный анализ'!$D$9))</f>
        <v>0</v>
      </c>
      <c r="BC196">
        <f t="shared" ref="BC196:BC259" si="144">AZ196+BA196+BB196</f>
        <v>0</v>
      </c>
      <c r="BD196">
        <f>IF('Исходные данные'!$B$51="Да",BC196*N('Исходные данные'!$B$52),0)</f>
        <v>0</v>
      </c>
      <c r="BE196">
        <f t="shared" ref="BE196:BE259" si="145">BC196+BD196</f>
        <v>0</v>
      </c>
      <c r="BF196">
        <f>BC196+(Расчёты!Y196-Расчёты!L196)</f>
        <v>0</v>
      </c>
      <c r="BG196">
        <f t="shared" si="132"/>
        <v>0</v>
      </c>
      <c r="BH196">
        <f>IF('Исходные данные'!$B$51="Да",-MAX(0,BD196+Расчёты!R196+Расчёты!V196-Расчёты!P196-Расчёты!T196-BG196),0)</f>
        <v>0</v>
      </c>
      <c r="BI196">
        <f>IF('Исходные данные'!$B$51="Да",MAX(0,BG196+Расчёты!P196+Расчёты!T196-BD196-Расчёты!R196-Расчёты!V196),0)</f>
        <v>0</v>
      </c>
      <c r="BJ196">
        <f>IF('Исходные данные'!$B$53="Выручка",MAX(0,BC196+(Расчёты!Q196-Расчёты!R196)+(Расчёты!U196-Расчёты!V196)),IF('Исходные данные'!$B$53="Прибыль до налога",MAX(0,BC196+(Расчёты!Q196-Расчёты!R196)+(Расчёты!U196-Расчёты!V196)+N('Исходные данные'!$B$54)*((Расчёты!O196+Расчёты!P196)+(Расчёты!S196+Расчёты!T196)+Расчёты!W196+Расчёты!X196)+IF('Исходные данные'!$B$55="Да",Расчёты!AG196,0)-N('Исходные данные'!$B$56)/12),IF('Исходные данные'!$B$53="Пользовательская база",MAX(0,N('Исходные данные'!$B$57)/12),0)))</f>
        <v>0</v>
      </c>
      <c r="BK196">
        <f>IF(D196=1,-BJ196*N('Исходные данные'!$B$50),0)</f>
        <v>0</v>
      </c>
      <c r="BL196">
        <f t="shared" si="133"/>
        <v>0</v>
      </c>
      <c r="BM196">
        <f>IF(OR(D196&lt;&gt;1,B196="",'Исходные данные'!$B$91="",N('Исходные данные'!$B$80)&lt;=0,'Исходные данные'!$B$88=""),0,IF(AND(YEAR(B196)=YEAR('Исходные данные'!$B$91),MONTH(B196)=MONTH('Исходные данные'!$B$91)),MAX(0,IF('Исходные данные'!$B$88="Последние 12 месяцев",SUMIFS($BF$2:$BF$194,$B$2:$B$194,"&gt;="&amp;EDATE(B196,-11),$B$2:$B$194,"&lt;="&amp;B196),IF('Исходные данные'!$B$88="Пользовательский NOI",N('Исходные данные'!$B$89),BL196))/N('Исходные данные'!$B$80)*(1+N('Исходные данные'!$B$81))),0))</f>
        <v>0</v>
      </c>
      <c r="BN196">
        <f>-BM196*N('Исходные данные'!$B$73)</f>
        <v>0</v>
      </c>
      <c r="BO196">
        <f>IF(BM196=0,0,-N('Исходные данные'!$B$87)-IF('Исходные данные'!$B$82="Да",IF('Исходные данные'!$B$84="С выручки",BM196,IF('Исходные данные'!$B$84="С прибыли",MAX(0,BM196+BN196-IF('Исходные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96">
        <f t="shared" ref="BP196:BP259" si="146">BM196+BN196+BO196</f>
        <v>0</v>
      </c>
      <c r="BQ196">
        <f>IF(D196=1,Расчёты!AZ196+BE196+BH196+BK196+BP196,0)</f>
        <v>0</v>
      </c>
      <c r="BR196" t="str">
        <f t="shared" si="134"/>
        <v/>
      </c>
      <c r="BS196">
        <f>IF(OR(D196=0,'Исходные данные'!$B$9="",'Исходные данные'!$B$90=""),0,BQ196/(1+'Исходные данные'!$B$90)^((C196-'Исходные данные'!$B$9)/365))</f>
        <v>0</v>
      </c>
      <c r="BT196">
        <f>IF(D196=1,BE196+Расчёты!O196+Расчёты!Q196+Расчёты!S196+Расчёты!U196+Расчёты!W196+Расчёты!X196+BH196+BK196,0)</f>
        <v>0</v>
      </c>
      <c r="BU196">
        <f>IF(AND(D196=1,BR196&gt;=0,BR195&lt;0,MIN($BR$2:BR196)&lt;0),1,0)</f>
        <v>0</v>
      </c>
      <c r="BV196">
        <f>Расчёты!AZ196+K196+N196-P196*N('Исходные данные'!$B$50)</f>
        <v>0</v>
      </c>
      <c r="BW196">
        <f t="shared" si="135"/>
        <v>0</v>
      </c>
      <c r="BX196">
        <f>IF(AND(BW196&gt;=0,BW195&lt;0,MIN($BW$2:BW196)&lt;0),1,0)</f>
        <v>0</v>
      </c>
      <c r="BY196">
        <f>Расчёты!AZ196+AH196+AK196-AM196*N('Исходные данные'!$B$50)</f>
        <v>0</v>
      </c>
      <c r="BZ196">
        <f t="shared" si="136"/>
        <v>0</v>
      </c>
      <c r="CA196">
        <f>IF(AND(BZ196&gt;=0,BZ195&lt;0,MIN($BZ$2:BZ196)&lt;0),1,0)</f>
        <v>0</v>
      </c>
      <c r="CB196">
        <f>Расчёты!AZ196+BE196+BH196-BJ196*N('Исходные данные'!$B$50)</f>
        <v>0</v>
      </c>
      <c r="CC196">
        <f t="shared" si="137"/>
        <v>0</v>
      </c>
      <c r="CD196">
        <f>IF(AND(CC196&gt;=0,CC195&lt;0,MIN($CC$2:CC196)&lt;0),1,0)</f>
        <v>0</v>
      </c>
    </row>
    <row r="197" spans="1:82" x14ac:dyDescent="0.2">
      <c r="A197">
        <f>Расчёты!A197</f>
        <v>196</v>
      </c>
      <c r="B197" t="str">
        <f>Расчёты!B197</f>
        <v/>
      </c>
      <c r="C197" t="str">
        <f>Расчёты!D197</f>
        <v/>
      </c>
      <c r="D197">
        <f>Расчёты!E197</f>
        <v>0</v>
      </c>
      <c r="E197">
        <f>IF(Расчёты!F197=0,0,IF(Расчёты!G197=1,N('Сценарный анализ'!$B$5),IF(Расчёты!G197=2,N('Сценарный анализ'!$B$6),IF(Расчёты!G197=3,N('Сценарный анализ'!$B$7),N('Сценарный анализ'!$B$7)*(1+N('Сценарный анализ'!$B$8))^(Расчёты!G197-3)))))</f>
        <v>0</v>
      </c>
      <c r="F197">
        <f>IF(OR(Расчёты!F197=0,N('Исходные данные'!$B$5)=0,E197=0),0,N('Исходные данные'!$B$5)*E197*IF(AND(B197&lt;='Исходные данные'!$B$30,Расчёты!C197&gt;='Исходные данные'!$B$30),(Расчёты!C197-'Исходные данные'!$B$30+1)/DAY(Расчёты!C197),1))</f>
        <v>0</v>
      </c>
      <c r="G197">
        <f>IF(AND(Расчёты!F197&gt;0,Расчёты!F197&lt;=N('Исходные данные'!$B$37)),-F197,0)</f>
        <v>0</v>
      </c>
      <c r="H197">
        <f>IF(OR(Расчёты!F197=0,Расчёты!F197&lt;=N('Исходные данные'!$B$37)),0,-(F197+G197)*N('Сценарный анализ'!$B$9))</f>
        <v>0</v>
      </c>
      <c r="I197">
        <f t="shared" si="138"/>
        <v>0</v>
      </c>
      <c r="J197">
        <f>IF('Исходные данные'!$B$51="Да",I197*N('Исходные данные'!$B$52),0)</f>
        <v>0</v>
      </c>
      <c r="K197">
        <f t="shared" si="139"/>
        <v>0</v>
      </c>
      <c r="L197">
        <f>I197+(Расчёты!Y197-Расчёты!L197)</f>
        <v>0</v>
      </c>
      <c r="M197">
        <f t="shared" si="126"/>
        <v>0</v>
      </c>
      <c r="N197">
        <f>IF('Исходные данные'!$B$51="Да",-MAX(0,J197+Расчёты!R197+Расчёты!V197-Расчёты!P197-Расчёты!T197-M197),0)</f>
        <v>0</v>
      </c>
      <c r="O197">
        <f>IF('Исходные данные'!$B$51="Да",MAX(0,M197+Расчёты!P197+Расчёты!T197-J197-Расчёты!R197-Расчёты!V197),0)</f>
        <v>0</v>
      </c>
      <c r="P197">
        <f>IF('Исходные данные'!$B$53="Выручка",MAX(0,I197+(Расчёты!Q197-Расчёты!R197)+(Расчёты!U197-Расчёты!V197)),IF('Исходные данные'!$B$53="Прибыль до налога",MAX(0,I197+(Расчёты!Q197-Расчёты!R197)+(Расчёты!U197-Расчёты!V197)+N('Исходные данные'!$B$54)*((Расчёты!O197+Расчёты!P197)+(Расчёты!S197+Расчёты!T197)+Расчёты!W197+Расчёты!X197)+IF('Исходные данные'!$B$55="Да",Расчёты!AG197,0)-N('Исходные данные'!$B$56)/12),IF('Исходные данные'!$B$53="Пользовательская база",MAX(0,N('Исходные данные'!$B$57)/12),0)))</f>
        <v>0</v>
      </c>
      <c r="Q197">
        <f>IF(D197=1,-P197*N('Исходные данные'!$B$50),0)</f>
        <v>0</v>
      </c>
      <c r="R197">
        <f t="shared" si="127"/>
        <v>0</v>
      </c>
      <c r="S197">
        <f>IF(OR(D197&lt;&gt;1,B197="",'Исходные данные'!$B$91="",N('Исходные данные'!$B$80)&lt;=0,'Исходные данные'!$B$88=""),0,IF(AND(YEAR(B197)=YEAR('Исходные данные'!$B$91),MONTH(B197)=MONTH('Исходные данные'!$B$91)),MAX(0,IF('Исходные данные'!$B$88="Последние 12 месяцев",SUMIFS($L$2:$L$194,$B$2:$B$194,"&gt;="&amp;EDATE(B197,-11),$B$2:$B$194,"&lt;="&amp;B197),IF('Исходные данные'!$B$88="Пользовательский NOI",N('Исходные данные'!$B$89),R197))/N('Исходные данные'!$B$80)*(1+N('Исходные данные'!$B$81))),0))</f>
        <v>0</v>
      </c>
      <c r="T197">
        <f>-S197*N('Исходные данные'!$B$73)</f>
        <v>0</v>
      </c>
      <c r="U197">
        <f>IF(S197=0,0,-N('Исходные данные'!$B$87)-IF('Исходные данные'!$B$82="Да",IF('Исходные данные'!$B$84="С выручки",S197,IF('Исходные данные'!$B$84="С прибыли",MAX(0,S197+T197-IF('Исходные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97">
        <f t="shared" si="140"/>
        <v>0</v>
      </c>
      <c r="W197">
        <f>IF(D197=1,Расчёты!AZ197+K197+N197+Q197+V197,0)</f>
        <v>0</v>
      </c>
      <c r="X197" t="str">
        <f t="shared" si="128"/>
        <v/>
      </c>
      <c r="Y197">
        <f>IF(OR(D197=0,'Исходные данные'!$B$9="",'Исходные данные'!$B$90=""),0,W197/(1+'Исходные данные'!$B$90)^((C197-'Исходные данные'!$B$9)/365))</f>
        <v>0</v>
      </c>
      <c r="Z197">
        <f>IF(D197=1,K197+Расчёты!O197+Расчёты!Q197+Расчёты!S197+Расчёты!U197+Расчёты!W197+Расчёты!X197+N197+Q197,0)</f>
        <v>0</v>
      </c>
      <c r="AA197">
        <f>IF(AND(D197=1,X197&gt;=0,X196&lt;0,MIN($X$2:X197)&lt;0),1,0)</f>
        <v>0</v>
      </c>
      <c r="AB197">
        <f>IF(Расчёты!F197=0,0,IF(Расчёты!G197=1,N('Сценарный анализ'!$C$5),IF(Расчёты!G197=2,N('Сценарный анализ'!$C$6),IF(Расчёты!G197=3,N('Сценарный анализ'!$C$7),N('Сценарный анализ'!$C$7)*(1+N('Сценарный анализ'!$C$8))^(Расчёты!G197-3)))))</f>
        <v>0</v>
      </c>
      <c r="AC197">
        <f>IF(OR(Расчёты!F197=0,N('Исходные данные'!$B$5)=0,AB197=0),0,N('Исходные данные'!$B$5)*AB197*IF(AND(B197&lt;='Исходные данные'!$B$30,Расчёты!C197&gt;='Исходные данные'!$B$30),(Расчёты!C197-'Исходные данные'!$B$30+1)/DAY(Расчёты!C197),1))</f>
        <v>0</v>
      </c>
      <c r="AD197">
        <f>IF(AND(Расчёты!F197&gt;0,Расчёты!F197&lt;=N('Исходные данные'!$B$37)),-AC197,0)</f>
        <v>0</v>
      </c>
      <c r="AE197">
        <f>IF(OR(Расчёты!F197=0,Расчёты!F197&lt;=N('Исходные данные'!$B$37)),0,-(AC197+AD197)*N('Сценарный анализ'!$C$9))</f>
        <v>0</v>
      </c>
      <c r="AF197">
        <f t="shared" si="141"/>
        <v>0</v>
      </c>
      <c r="AG197">
        <f>IF('Исходные данные'!$B$51="Да",AF197*N('Исходные данные'!$B$52),0)</f>
        <v>0</v>
      </c>
      <c r="AH197">
        <f t="shared" si="142"/>
        <v>0</v>
      </c>
      <c r="AI197">
        <f>AF197+(Расчёты!Y197-Расчёты!L197)</f>
        <v>0</v>
      </c>
      <c r="AJ197">
        <f t="shared" si="129"/>
        <v>0</v>
      </c>
      <c r="AK197">
        <f>IF('Исходные данные'!$B$51="Да",-MAX(0,AG197+Расчёты!R197+Расчёты!V197-Расчёты!P197-Расчёты!T197-AJ197),0)</f>
        <v>0</v>
      </c>
      <c r="AL197">
        <f>IF('Исходные данные'!$B$51="Да",MAX(0,AJ197+Расчёты!P197+Расчёты!T197-AG197-Расчёты!R197-Расчёты!V197),0)</f>
        <v>0</v>
      </c>
      <c r="AM197">
        <f>IF('Исходные данные'!$B$53="Выручка",MAX(0,AF197+(Расчёты!Q197-Расчёты!R197)+(Расчёты!U197-Расчёты!V197)),IF('Исходные данные'!$B$53="Прибыль до налога",MAX(0,AF197+(Расчёты!Q197-Расчёты!R197)+(Расчёты!U197-Расчёты!V197)+N('Исходные данные'!$B$54)*((Расчёты!O197+Расчёты!P197)+(Расчёты!S197+Расчёты!T197)+Расчёты!W197+Расчёты!X197)+IF('Исходные данные'!$B$55="Да",Расчёты!AG197,0)-N('Исходные данные'!$B$56)/12),IF('Исходные данные'!$B$53="Пользовательская база",MAX(0,N('Исходные данные'!$B$57)/12),0)))</f>
        <v>0</v>
      </c>
      <c r="AN197">
        <f>IF(D197=1,-AM197*N('Исходные данные'!$B$50),0)</f>
        <v>0</v>
      </c>
      <c r="AO197">
        <f t="shared" si="130"/>
        <v>0</v>
      </c>
      <c r="AP197">
        <f>IF(OR(D197&lt;&gt;1,B197="",'Исходные данные'!$B$91="",N('Исходные данные'!$B$80)&lt;=0,'Исходные данные'!$B$88=""),0,IF(AND(YEAR(B197)=YEAR('Исходные данные'!$B$91),MONTH(B197)=MONTH('Исходные данные'!$B$91)),MAX(0,IF('Исходные данные'!$B$88="Последние 12 месяцев",SUMIFS($AI$2:$AI$194,$B$2:$B$194,"&gt;="&amp;EDATE(B197,-11),$B$2:$B$194,"&lt;="&amp;B197),IF('Исходные данные'!$B$88="Пользовательский NOI",N('Исходные данные'!$B$89),AO197))/N('Исходные данные'!$B$80)*(1+N('Исходные данные'!$B$81))),0))</f>
        <v>0</v>
      </c>
      <c r="AQ197">
        <f>-AP197*N('Исходные данные'!$B$73)</f>
        <v>0</v>
      </c>
      <c r="AR197">
        <f>IF(AP197=0,0,-N('Исходные данные'!$B$87)-IF('Исходные данные'!$B$82="Да",IF('Исходные данные'!$B$84="С выручки",AP197,IF('Исходные данные'!$B$84="С прибыли",MAX(0,AP197+AQ197-IF('Исходные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97">
        <f t="shared" si="143"/>
        <v>0</v>
      </c>
      <c r="AT197">
        <f>IF(D197=1,Расчёты!AZ197+AH197+AK197+AN197+AS197,0)</f>
        <v>0</v>
      </c>
      <c r="AU197" t="str">
        <f t="shared" si="131"/>
        <v/>
      </c>
      <c r="AV197">
        <f>IF(OR(D197=0,'Исходные данные'!$B$9="",'Исходные данные'!$B$90=""),0,AT197/(1+'Исходные данные'!$B$90)^((C197-'Исходные данные'!$B$9)/365))</f>
        <v>0</v>
      </c>
      <c r="AW197">
        <f>IF(D197=1,AH197+Расчёты!O197+Расчёты!Q197+Расчёты!S197+Расчёты!U197+Расчёты!W197+Расчёты!X197+AK197+AN197,0)</f>
        <v>0</v>
      </c>
      <c r="AX197">
        <f>IF(AND(D197=1,AU197&gt;=0,AU196&lt;0,MIN($AU$2:AU197)&lt;0),1,0)</f>
        <v>0</v>
      </c>
      <c r="AY197">
        <f>IF(Расчёты!F197=0,0,IF(Расчёты!G197=1,N('Сценарный анализ'!$D$5),IF(Расчёты!G197=2,N('Сценарный анализ'!$D$6),IF(Расчёты!G197=3,N('Сценарный анализ'!$D$7),N('Сценарный анализ'!$D$7)*(1+N('Сценарный анализ'!$D$8))^(Расчёты!G197-3)))))</f>
        <v>0</v>
      </c>
      <c r="AZ197">
        <f>IF(OR(Расчёты!F197=0,N('Исходные данные'!$B$5)=0,AY197=0),0,N('Исходные данные'!$B$5)*AY197*IF(AND(B197&lt;='Исходные данные'!$B$30,Расчёты!C197&gt;='Исходные данные'!$B$30),(Расчёты!C197-'Исходные данные'!$B$30+1)/DAY(Расчёты!C197),1))</f>
        <v>0</v>
      </c>
      <c r="BA197">
        <f>IF(AND(Расчёты!F197&gt;0,Расчёты!F197&lt;=N('Исходные данные'!$B$37)),-AZ197,0)</f>
        <v>0</v>
      </c>
      <c r="BB197">
        <f>IF(OR(Расчёты!F197=0,Расчёты!F197&lt;=N('Исходные данные'!$B$37)),0,-(AZ197+BA197)*N('Сценарный анализ'!$D$9))</f>
        <v>0</v>
      </c>
      <c r="BC197">
        <f t="shared" si="144"/>
        <v>0</v>
      </c>
      <c r="BD197">
        <f>IF('Исходные данные'!$B$51="Да",BC197*N('Исходные данные'!$B$52),0)</f>
        <v>0</v>
      </c>
      <c r="BE197">
        <f t="shared" si="145"/>
        <v>0</v>
      </c>
      <c r="BF197">
        <f>BC197+(Расчёты!Y197-Расчёты!L197)</f>
        <v>0</v>
      </c>
      <c r="BG197">
        <f t="shared" si="132"/>
        <v>0</v>
      </c>
      <c r="BH197">
        <f>IF('Исходные данные'!$B$51="Да",-MAX(0,BD197+Расчёты!R197+Расчёты!V197-Расчёты!P197-Расчёты!T197-BG197),0)</f>
        <v>0</v>
      </c>
      <c r="BI197">
        <f>IF('Исходные данные'!$B$51="Да",MAX(0,BG197+Расчёты!P197+Расчёты!T197-BD197-Расчёты!R197-Расчёты!V197),0)</f>
        <v>0</v>
      </c>
      <c r="BJ197">
        <f>IF('Исходные данные'!$B$53="Выручка",MAX(0,BC197+(Расчёты!Q197-Расчёты!R197)+(Расчёты!U197-Расчёты!V197)),IF('Исходные данные'!$B$53="Прибыль до налога",MAX(0,BC197+(Расчёты!Q197-Расчёты!R197)+(Расчёты!U197-Расчёты!V197)+N('Исходные данные'!$B$54)*((Расчёты!O197+Расчёты!P197)+(Расчёты!S197+Расчёты!T197)+Расчёты!W197+Расчёты!X197)+IF('Исходные данные'!$B$55="Да",Расчёты!AG197,0)-N('Исходные данные'!$B$56)/12),IF('Исходные данные'!$B$53="Пользовательская база",MAX(0,N('Исходные данные'!$B$57)/12),0)))</f>
        <v>0</v>
      </c>
      <c r="BK197">
        <f>IF(D197=1,-BJ197*N('Исходные данные'!$B$50),0)</f>
        <v>0</v>
      </c>
      <c r="BL197">
        <f t="shared" si="133"/>
        <v>0</v>
      </c>
      <c r="BM197">
        <f>IF(OR(D197&lt;&gt;1,B197="",'Исходные данные'!$B$91="",N('Исходные данные'!$B$80)&lt;=0,'Исходные данные'!$B$88=""),0,IF(AND(YEAR(B197)=YEAR('Исходные данные'!$B$91),MONTH(B197)=MONTH('Исходные данные'!$B$91)),MAX(0,IF('Исходные данные'!$B$88="Последние 12 месяцев",SUMIFS($BF$2:$BF$194,$B$2:$B$194,"&gt;="&amp;EDATE(B197,-11),$B$2:$B$194,"&lt;="&amp;B197),IF('Исходные данные'!$B$88="Пользовательский NOI",N('Исходные данные'!$B$89),BL197))/N('Исходные данные'!$B$80)*(1+N('Исходные данные'!$B$81))),0))</f>
        <v>0</v>
      </c>
      <c r="BN197">
        <f>-BM197*N('Исходные данные'!$B$73)</f>
        <v>0</v>
      </c>
      <c r="BO197">
        <f>IF(BM197=0,0,-N('Исходные данные'!$B$87)-IF('Исходные данные'!$B$82="Да",IF('Исходные данные'!$B$84="С выручки",BM197,IF('Исходные данные'!$B$84="С прибыли",MAX(0,BM197+BN197-IF('Исходные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97">
        <f t="shared" si="146"/>
        <v>0</v>
      </c>
      <c r="BQ197">
        <f>IF(D197=1,Расчёты!AZ197+BE197+BH197+BK197+BP197,0)</f>
        <v>0</v>
      </c>
      <c r="BR197" t="str">
        <f t="shared" si="134"/>
        <v/>
      </c>
      <c r="BS197">
        <f>IF(OR(D197=0,'Исходные данные'!$B$9="",'Исходные данные'!$B$90=""),0,BQ197/(1+'Исходные данные'!$B$90)^((C197-'Исходные данные'!$B$9)/365))</f>
        <v>0</v>
      </c>
      <c r="BT197">
        <f>IF(D197=1,BE197+Расчёты!O197+Расчёты!Q197+Расчёты!S197+Расчёты!U197+Расчёты!W197+Расчёты!X197+BH197+BK197,0)</f>
        <v>0</v>
      </c>
      <c r="BU197">
        <f>IF(AND(D197=1,BR197&gt;=0,BR196&lt;0,MIN($BR$2:BR197)&lt;0),1,0)</f>
        <v>0</v>
      </c>
      <c r="BV197">
        <f>Расчёты!AZ197+K197+N197-P197*N('Исходные данные'!$B$50)</f>
        <v>0</v>
      </c>
      <c r="BW197">
        <f t="shared" si="135"/>
        <v>0</v>
      </c>
      <c r="BX197">
        <f>IF(AND(BW197&gt;=0,BW196&lt;0,MIN($BW$2:BW197)&lt;0),1,0)</f>
        <v>0</v>
      </c>
      <c r="BY197">
        <f>Расчёты!AZ197+AH197+AK197-AM197*N('Исходные данные'!$B$50)</f>
        <v>0</v>
      </c>
      <c r="BZ197">
        <f t="shared" si="136"/>
        <v>0</v>
      </c>
      <c r="CA197">
        <f>IF(AND(BZ197&gt;=0,BZ196&lt;0,MIN($BZ$2:BZ197)&lt;0),1,0)</f>
        <v>0</v>
      </c>
      <c r="CB197">
        <f>Расчёты!AZ197+BE197+BH197-BJ197*N('Исходные данные'!$B$50)</f>
        <v>0</v>
      </c>
      <c r="CC197">
        <f t="shared" si="137"/>
        <v>0</v>
      </c>
      <c r="CD197">
        <f>IF(AND(CC197&gt;=0,CC196&lt;0,MIN($CC$2:CC197)&lt;0),1,0)</f>
        <v>0</v>
      </c>
    </row>
    <row r="198" spans="1:82" x14ac:dyDescent="0.2">
      <c r="A198">
        <f>Расчёты!A198</f>
        <v>197</v>
      </c>
      <c r="B198" t="str">
        <f>Расчёты!B198</f>
        <v/>
      </c>
      <c r="C198" t="str">
        <f>Расчёты!D198</f>
        <v/>
      </c>
      <c r="D198">
        <f>Расчёты!E198</f>
        <v>0</v>
      </c>
      <c r="E198">
        <f>IF(Расчёты!F198=0,0,IF(Расчёты!G198=1,N('Сценарный анализ'!$B$5),IF(Расчёты!G198=2,N('Сценарный анализ'!$B$6),IF(Расчёты!G198=3,N('Сценарный анализ'!$B$7),N('Сценарный анализ'!$B$7)*(1+N('Сценарный анализ'!$B$8))^(Расчёты!G198-3)))))</f>
        <v>0</v>
      </c>
      <c r="F198">
        <f>IF(OR(Расчёты!F198=0,N('Исходные данные'!$B$5)=0,E198=0),0,N('Исходные данные'!$B$5)*E198*IF(AND(B198&lt;='Исходные данные'!$B$30,Расчёты!C198&gt;='Исходные данные'!$B$30),(Расчёты!C198-'Исходные данные'!$B$30+1)/DAY(Расчёты!C198),1))</f>
        <v>0</v>
      </c>
      <c r="G198">
        <f>IF(AND(Расчёты!F198&gt;0,Расчёты!F198&lt;=N('Исходные данные'!$B$37)),-F198,0)</f>
        <v>0</v>
      </c>
      <c r="H198">
        <f>IF(OR(Расчёты!F198=0,Расчёты!F198&lt;=N('Исходные данные'!$B$37)),0,-(F198+G198)*N('Сценарный анализ'!$B$9))</f>
        <v>0</v>
      </c>
      <c r="I198">
        <f t="shared" si="138"/>
        <v>0</v>
      </c>
      <c r="J198">
        <f>IF('Исходные данные'!$B$51="Да",I198*N('Исходные данные'!$B$52),0)</f>
        <v>0</v>
      </c>
      <c r="K198">
        <f t="shared" si="139"/>
        <v>0</v>
      </c>
      <c r="L198">
        <f>I198+(Расчёты!Y198-Расчёты!L198)</f>
        <v>0</v>
      </c>
      <c r="M198">
        <f t="shared" si="126"/>
        <v>0</v>
      </c>
      <c r="N198">
        <f>IF('Исходные данные'!$B$51="Да",-MAX(0,J198+Расчёты!R198+Расчёты!V198-Расчёты!P198-Расчёты!T198-M198),0)</f>
        <v>0</v>
      </c>
      <c r="O198">
        <f>IF('Исходные данные'!$B$51="Да",MAX(0,M198+Расчёты!P198+Расчёты!T198-J198-Расчёты!R198-Расчёты!V198),0)</f>
        <v>0</v>
      </c>
      <c r="P198">
        <f>IF('Исходные данные'!$B$53="Выручка",MAX(0,I198+(Расчёты!Q198-Расчёты!R198)+(Расчёты!U198-Расчёты!V198)),IF('Исходные данные'!$B$53="Прибыль до налога",MAX(0,I198+(Расчёты!Q198-Расчёты!R198)+(Расчёты!U198-Расчёты!V198)+N('Исходные данные'!$B$54)*((Расчёты!O198+Расчёты!P198)+(Расчёты!S198+Расчёты!T198)+Расчёты!W198+Расчёты!X198)+IF('Исходные данные'!$B$55="Да",Расчёты!AG198,0)-N('Исходные данные'!$B$56)/12),IF('Исходные данные'!$B$53="Пользовательская база",MAX(0,N('Исходные данные'!$B$57)/12),0)))</f>
        <v>0</v>
      </c>
      <c r="Q198">
        <f>IF(D198=1,-P198*N('Исходные данные'!$B$50),0)</f>
        <v>0</v>
      </c>
      <c r="R198">
        <f t="shared" si="127"/>
        <v>0</v>
      </c>
      <c r="S198">
        <f>IF(OR(D198&lt;&gt;1,B198="",'Исходные данные'!$B$91="",N('Исходные данные'!$B$80)&lt;=0,'Исходные данные'!$B$88=""),0,IF(AND(YEAR(B198)=YEAR('Исходные данные'!$B$91),MONTH(B198)=MONTH('Исходные данные'!$B$91)),MAX(0,IF('Исходные данные'!$B$88="Последние 12 месяцев",SUMIFS($L$2:$L$194,$B$2:$B$194,"&gt;="&amp;EDATE(B198,-11),$B$2:$B$194,"&lt;="&amp;B198),IF('Исходные данные'!$B$88="Пользовательский NOI",N('Исходные данные'!$B$89),R198))/N('Исходные данные'!$B$80)*(1+N('Исходные данные'!$B$81))),0))</f>
        <v>0</v>
      </c>
      <c r="T198">
        <f>-S198*N('Исходные данные'!$B$73)</f>
        <v>0</v>
      </c>
      <c r="U198">
        <f>IF(S198=0,0,-N('Исходные данные'!$B$87)-IF('Исходные данные'!$B$82="Да",IF('Исходные данные'!$B$84="С выручки",S198,IF('Исходные данные'!$B$84="С прибыли",MAX(0,S198+T198-IF('Исходные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98">
        <f t="shared" si="140"/>
        <v>0</v>
      </c>
      <c r="W198">
        <f>IF(D198=1,Расчёты!AZ198+K198+N198+Q198+V198,0)</f>
        <v>0</v>
      </c>
      <c r="X198" t="str">
        <f t="shared" si="128"/>
        <v/>
      </c>
      <c r="Y198">
        <f>IF(OR(D198=0,'Исходные данные'!$B$9="",'Исходные данные'!$B$90=""),0,W198/(1+'Исходные данные'!$B$90)^((C198-'Исходные данные'!$B$9)/365))</f>
        <v>0</v>
      </c>
      <c r="Z198">
        <f>IF(D198=1,K198+Расчёты!O198+Расчёты!Q198+Расчёты!S198+Расчёты!U198+Расчёты!W198+Расчёты!X198+N198+Q198,0)</f>
        <v>0</v>
      </c>
      <c r="AA198">
        <f>IF(AND(D198=1,X198&gt;=0,X197&lt;0,MIN($X$2:X198)&lt;0),1,0)</f>
        <v>0</v>
      </c>
      <c r="AB198">
        <f>IF(Расчёты!F198=0,0,IF(Расчёты!G198=1,N('Сценарный анализ'!$C$5),IF(Расчёты!G198=2,N('Сценарный анализ'!$C$6),IF(Расчёты!G198=3,N('Сценарный анализ'!$C$7),N('Сценарный анализ'!$C$7)*(1+N('Сценарный анализ'!$C$8))^(Расчёты!G198-3)))))</f>
        <v>0</v>
      </c>
      <c r="AC198">
        <f>IF(OR(Расчёты!F198=0,N('Исходные данные'!$B$5)=0,AB198=0),0,N('Исходные данные'!$B$5)*AB198*IF(AND(B198&lt;='Исходные данные'!$B$30,Расчёты!C198&gt;='Исходные данные'!$B$30),(Расчёты!C198-'Исходные данные'!$B$30+1)/DAY(Расчёты!C198),1))</f>
        <v>0</v>
      </c>
      <c r="AD198">
        <f>IF(AND(Расчёты!F198&gt;0,Расчёты!F198&lt;=N('Исходные данные'!$B$37)),-AC198,0)</f>
        <v>0</v>
      </c>
      <c r="AE198">
        <f>IF(OR(Расчёты!F198=0,Расчёты!F198&lt;=N('Исходные данные'!$B$37)),0,-(AC198+AD198)*N('Сценарный анализ'!$C$9))</f>
        <v>0</v>
      </c>
      <c r="AF198">
        <f t="shared" si="141"/>
        <v>0</v>
      </c>
      <c r="AG198">
        <f>IF('Исходные данные'!$B$51="Да",AF198*N('Исходные данные'!$B$52),0)</f>
        <v>0</v>
      </c>
      <c r="AH198">
        <f t="shared" si="142"/>
        <v>0</v>
      </c>
      <c r="AI198">
        <f>AF198+(Расчёты!Y198-Расчёты!L198)</f>
        <v>0</v>
      </c>
      <c r="AJ198">
        <f t="shared" si="129"/>
        <v>0</v>
      </c>
      <c r="AK198">
        <f>IF('Исходные данные'!$B$51="Да",-MAX(0,AG198+Расчёты!R198+Расчёты!V198-Расчёты!P198-Расчёты!T198-AJ198),0)</f>
        <v>0</v>
      </c>
      <c r="AL198">
        <f>IF('Исходные данные'!$B$51="Да",MAX(0,AJ198+Расчёты!P198+Расчёты!T198-AG198-Расчёты!R198-Расчёты!V198),0)</f>
        <v>0</v>
      </c>
      <c r="AM198">
        <f>IF('Исходные данные'!$B$53="Выручка",MAX(0,AF198+(Расчёты!Q198-Расчёты!R198)+(Расчёты!U198-Расчёты!V198)),IF('Исходные данные'!$B$53="Прибыль до налога",MAX(0,AF198+(Расчёты!Q198-Расчёты!R198)+(Расчёты!U198-Расчёты!V198)+N('Исходные данные'!$B$54)*((Расчёты!O198+Расчёты!P198)+(Расчёты!S198+Расчёты!T198)+Расчёты!W198+Расчёты!X198)+IF('Исходные данные'!$B$55="Да",Расчёты!AG198,0)-N('Исходные данные'!$B$56)/12),IF('Исходные данные'!$B$53="Пользовательская база",MAX(0,N('Исходные данные'!$B$57)/12),0)))</f>
        <v>0</v>
      </c>
      <c r="AN198">
        <f>IF(D198=1,-AM198*N('Исходные данные'!$B$50),0)</f>
        <v>0</v>
      </c>
      <c r="AO198">
        <f t="shared" si="130"/>
        <v>0</v>
      </c>
      <c r="AP198">
        <f>IF(OR(D198&lt;&gt;1,B198="",'Исходные данные'!$B$91="",N('Исходные данные'!$B$80)&lt;=0,'Исходные данные'!$B$88=""),0,IF(AND(YEAR(B198)=YEAR('Исходные данные'!$B$91),MONTH(B198)=MONTH('Исходные данные'!$B$91)),MAX(0,IF('Исходные данные'!$B$88="Последние 12 месяцев",SUMIFS($AI$2:$AI$194,$B$2:$B$194,"&gt;="&amp;EDATE(B198,-11),$B$2:$B$194,"&lt;="&amp;B198),IF('Исходные данные'!$B$88="Пользовательский NOI",N('Исходные данные'!$B$89),AO198))/N('Исходные данные'!$B$80)*(1+N('Исходные данные'!$B$81))),0))</f>
        <v>0</v>
      </c>
      <c r="AQ198">
        <f>-AP198*N('Исходные данные'!$B$73)</f>
        <v>0</v>
      </c>
      <c r="AR198">
        <f>IF(AP198=0,0,-N('Исходные данные'!$B$87)-IF('Исходные данные'!$B$82="Да",IF('Исходные данные'!$B$84="С выручки",AP198,IF('Исходные данные'!$B$84="С прибыли",MAX(0,AP198+AQ198-IF('Исходные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98">
        <f t="shared" si="143"/>
        <v>0</v>
      </c>
      <c r="AT198">
        <f>IF(D198=1,Расчёты!AZ198+AH198+AK198+AN198+AS198,0)</f>
        <v>0</v>
      </c>
      <c r="AU198" t="str">
        <f t="shared" si="131"/>
        <v/>
      </c>
      <c r="AV198">
        <f>IF(OR(D198=0,'Исходные данные'!$B$9="",'Исходные данные'!$B$90=""),0,AT198/(1+'Исходные данные'!$B$90)^((C198-'Исходные данные'!$B$9)/365))</f>
        <v>0</v>
      </c>
      <c r="AW198">
        <f>IF(D198=1,AH198+Расчёты!O198+Расчёты!Q198+Расчёты!S198+Расчёты!U198+Расчёты!W198+Расчёты!X198+AK198+AN198,0)</f>
        <v>0</v>
      </c>
      <c r="AX198">
        <f>IF(AND(D198=1,AU198&gt;=0,AU197&lt;0,MIN($AU$2:AU198)&lt;0),1,0)</f>
        <v>0</v>
      </c>
      <c r="AY198">
        <f>IF(Расчёты!F198=0,0,IF(Расчёты!G198=1,N('Сценарный анализ'!$D$5),IF(Расчёты!G198=2,N('Сценарный анализ'!$D$6),IF(Расчёты!G198=3,N('Сценарный анализ'!$D$7),N('Сценарный анализ'!$D$7)*(1+N('Сценарный анализ'!$D$8))^(Расчёты!G198-3)))))</f>
        <v>0</v>
      </c>
      <c r="AZ198">
        <f>IF(OR(Расчёты!F198=0,N('Исходные данные'!$B$5)=0,AY198=0),0,N('Исходные данные'!$B$5)*AY198*IF(AND(B198&lt;='Исходные данные'!$B$30,Расчёты!C198&gt;='Исходные данные'!$B$30),(Расчёты!C198-'Исходные данные'!$B$30+1)/DAY(Расчёты!C198),1))</f>
        <v>0</v>
      </c>
      <c r="BA198">
        <f>IF(AND(Расчёты!F198&gt;0,Расчёты!F198&lt;=N('Исходные данные'!$B$37)),-AZ198,0)</f>
        <v>0</v>
      </c>
      <c r="BB198">
        <f>IF(OR(Расчёты!F198=0,Расчёты!F198&lt;=N('Исходные данные'!$B$37)),0,-(AZ198+BA198)*N('Сценарный анализ'!$D$9))</f>
        <v>0</v>
      </c>
      <c r="BC198">
        <f t="shared" si="144"/>
        <v>0</v>
      </c>
      <c r="BD198">
        <f>IF('Исходные данные'!$B$51="Да",BC198*N('Исходные данные'!$B$52),0)</f>
        <v>0</v>
      </c>
      <c r="BE198">
        <f t="shared" si="145"/>
        <v>0</v>
      </c>
      <c r="BF198">
        <f>BC198+(Расчёты!Y198-Расчёты!L198)</f>
        <v>0</v>
      </c>
      <c r="BG198">
        <f t="shared" si="132"/>
        <v>0</v>
      </c>
      <c r="BH198">
        <f>IF('Исходные данные'!$B$51="Да",-MAX(0,BD198+Расчёты!R198+Расчёты!V198-Расчёты!P198-Расчёты!T198-BG198),0)</f>
        <v>0</v>
      </c>
      <c r="BI198">
        <f>IF('Исходные данные'!$B$51="Да",MAX(0,BG198+Расчёты!P198+Расчёты!T198-BD198-Расчёты!R198-Расчёты!V198),0)</f>
        <v>0</v>
      </c>
      <c r="BJ198">
        <f>IF('Исходные данные'!$B$53="Выручка",MAX(0,BC198+(Расчёты!Q198-Расчёты!R198)+(Расчёты!U198-Расчёты!V198)),IF('Исходные данные'!$B$53="Прибыль до налога",MAX(0,BC198+(Расчёты!Q198-Расчёты!R198)+(Расчёты!U198-Расчёты!V198)+N('Исходные данные'!$B$54)*((Расчёты!O198+Расчёты!P198)+(Расчёты!S198+Расчёты!T198)+Расчёты!W198+Расчёты!X198)+IF('Исходные данные'!$B$55="Да",Расчёты!AG198,0)-N('Исходные данные'!$B$56)/12),IF('Исходные данные'!$B$53="Пользовательская база",MAX(0,N('Исходные данные'!$B$57)/12),0)))</f>
        <v>0</v>
      </c>
      <c r="BK198">
        <f>IF(D198=1,-BJ198*N('Исходные данные'!$B$50),0)</f>
        <v>0</v>
      </c>
      <c r="BL198">
        <f t="shared" si="133"/>
        <v>0</v>
      </c>
      <c r="BM198">
        <f>IF(OR(D198&lt;&gt;1,B198="",'Исходные данные'!$B$91="",N('Исходные данные'!$B$80)&lt;=0,'Исходные данные'!$B$88=""),0,IF(AND(YEAR(B198)=YEAR('Исходные данные'!$B$91),MONTH(B198)=MONTH('Исходные данные'!$B$91)),MAX(0,IF('Исходные данные'!$B$88="Последние 12 месяцев",SUMIFS($BF$2:$BF$194,$B$2:$B$194,"&gt;="&amp;EDATE(B198,-11),$B$2:$B$194,"&lt;="&amp;B198),IF('Исходные данные'!$B$88="Пользовательский NOI",N('Исходные данные'!$B$89),BL198))/N('Исходные данные'!$B$80)*(1+N('Исходные данные'!$B$81))),0))</f>
        <v>0</v>
      </c>
      <c r="BN198">
        <f>-BM198*N('Исходные данные'!$B$73)</f>
        <v>0</v>
      </c>
      <c r="BO198">
        <f>IF(BM198=0,0,-N('Исходные данные'!$B$87)-IF('Исходные данные'!$B$82="Да",IF('Исходные данные'!$B$84="С выручки",BM198,IF('Исходные данные'!$B$84="С прибыли",MAX(0,BM198+BN198-IF('Исходные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98">
        <f t="shared" si="146"/>
        <v>0</v>
      </c>
      <c r="BQ198">
        <f>IF(D198=1,Расчёты!AZ198+BE198+BH198+BK198+BP198,0)</f>
        <v>0</v>
      </c>
      <c r="BR198" t="str">
        <f t="shared" si="134"/>
        <v/>
      </c>
      <c r="BS198">
        <f>IF(OR(D198=0,'Исходные данные'!$B$9="",'Исходные данные'!$B$90=""),0,BQ198/(1+'Исходные данные'!$B$90)^((C198-'Исходные данные'!$B$9)/365))</f>
        <v>0</v>
      </c>
      <c r="BT198">
        <f>IF(D198=1,BE198+Расчёты!O198+Расчёты!Q198+Расчёты!S198+Расчёты!U198+Расчёты!W198+Расчёты!X198+BH198+BK198,0)</f>
        <v>0</v>
      </c>
      <c r="BU198">
        <f>IF(AND(D198=1,BR198&gt;=0,BR197&lt;0,MIN($BR$2:BR198)&lt;0),1,0)</f>
        <v>0</v>
      </c>
      <c r="BV198">
        <f>Расчёты!AZ198+K198+N198-P198*N('Исходные данные'!$B$50)</f>
        <v>0</v>
      </c>
      <c r="BW198">
        <f t="shared" si="135"/>
        <v>0</v>
      </c>
      <c r="BX198">
        <f>IF(AND(BW198&gt;=0,BW197&lt;0,MIN($BW$2:BW198)&lt;0),1,0)</f>
        <v>0</v>
      </c>
      <c r="BY198">
        <f>Расчёты!AZ198+AH198+AK198-AM198*N('Исходные данные'!$B$50)</f>
        <v>0</v>
      </c>
      <c r="BZ198">
        <f t="shared" si="136"/>
        <v>0</v>
      </c>
      <c r="CA198">
        <f>IF(AND(BZ198&gt;=0,BZ197&lt;0,MIN($BZ$2:BZ198)&lt;0),1,0)</f>
        <v>0</v>
      </c>
      <c r="CB198">
        <f>Расчёты!AZ198+BE198+BH198-BJ198*N('Исходные данные'!$B$50)</f>
        <v>0</v>
      </c>
      <c r="CC198">
        <f t="shared" si="137"/>
        <v>0</v>
      </c>
      <c r="CD198">
        <f>IF(AND(CC198&gt;=0,CC197&lt;0,MIN($CC$2:CC198)&lt;0),1,0)</f>
        <v>0</v>
      </c>
    </row>
    <row r="199" spans="1:82" x14ac:dyDescent="0.2">
      <c r="A199">
        <f>Расчёты!A199</f>
        <v>198</v>
      </c>
      <c r="B199" t="str">
        <f>Расчёты!B199</f>
        <v/>
      </c>
      <c r="C199" t="str">
        <f>Расчёты!D199</f>
        <v/>
      </c>
      <c r="D199">
        <f>Расчёты!E199</f>
        <v>0</v>
      </c>
      <c r="E199">
        <f>IF(Расчёты!F199=0,0,IF(Расчёты!G199=1,N('Сценарный анализ'!$B$5),IF(Расчёты!G199=2,N('Сценарный анализ'!$B$6),IF(Расчёты!G199=3,N('Сценарный анализ'!$B$7),N('Сценарный анализ'!$B$7)*(1+N('Сценарный анализ'!$B$8))^(Расчёты!G199-3)))))</f>
        <v>0</v>
      </c>
      <c r="F199">
        <f>IF(OR(Расчёты!F199=0,N('Исходные данные'!$B$5)=0,E199=0),0,N('Исходные данные'!$B$5)*E199*IF(AND(B199&lt;='Исходные данные'!$B$30,Расчёты!C199&gt;='Исходные данные'!$B$30),(Расчёты!C199-'Исходные данные'!$B$30+1)/DAY(Расчёты!C199),1))</f>
        <v>0</v>
      </c>
      <c r="G199">
        <f>IF(AND(Расчёты!F199&gt;0,Расчёты!F199&lt;=N('Исходные данные'!$B$37)),-F199,0)</f>
        <v>0</v>
      </c>
      <c r="H199">
        <f>IF(OR(Расчёты!F199=0,Расчёты!F199&lt;=N('Исходные данные'!$B$37)),0,-(F199+G199)*N('Сценарный анализ'!$B$9))</f>
        <v>0</v>
      </c>
      <c r="I199">
        <f t="shared" si="138"/>
        <v>0</v>
      </c>
      <c r="J199">
        <f>IF('Исходные данные'!$B$51="Да",I199*N('Исходные данные'!$B$52),0)</f>
        <v>0</v>
      </c>
      <c r="K199">
        <f t="shared" si="139"/>
        <v>0</v>
      </c>
      <c r="L199">
        <f>I199+(Расчёты!Y199-Расчёты!L199)</f>
        <v>0</v>
      </c>
      <c r="M199">
        <f t="shared" si="126"/>
        <v>0</v>
      </c>
      <c r="N199">
        <f>IF('Исходные данные'!$B$51="Да",-MAX(0,J199+Расчёты!R199+Расчёты!V199-Расчёты!P199-Расчёты!T199-M199),0)</f>
        <v>0</v>
      </c>
      <c r="O199">
        <f>IF('Исходные данные'!$B$51="Да",MAX(0,M199+Расчёты!P199+Расчёты!T199-J199-Расчёты!R199-Расчёты!V199),0)</f>
        <v>0</v>
      </c>
      <c r="P199">
        <f>IF('Исходные данные'!$B$53="Выручка",MAX(0,I199+(Расчёты!Q199-Расчёты!R199)+(Расчёты!U199-Расчёты!V199)),IF('Исходные данные'!$B$53="Прибыль до налога",MAX(0,I199+(Расчёты!Q199-Расчёты!R199)+(Расчёты!U199-Расчёты!V199)+N('Исходные данные'!$B$54)*((Расчёты!O199+Расчёты!P199)+(Расчёты!S199+Расчёты!T199)+Расчёты!W199+Расчёты!X199)+IF('Исходные данные'!$B$55="Да",Расчёты!AG199,0)-N('Исходные данные'!$B$56)/12),IF('Исходные данные'!$B$53="Пользовательская база",MAX(0,N('Исходные данные'!$B$57)/12),0)))</f>
        <v>0</v>
      </c>
      <c r="Q199">
        <f>IF(D199=1,-P199*N('Исходные данные'!$B$50),0)</f>
        <v>0</v>
      </c>
      <c r="R199">
        <f t="shared" si="127"/>
        <v>0</v>
      </c>
      <c r="S199">
        <f>IF(OR(D199&lt;&gt;1,B199="",'Исходные данные'!$B$91="",N('Исходные данные'!$B$80)&lt;=0,'Исходные данные'!$B$88=""),0,IF(AND(YEAR(B199)=YEAR('Исходные данные'!$B$91),MONTH(B199)=MONTH('Исходные данные'!$B$91)),MAX(0,IF('Исходные данные'!$B$88="Последние 12 месяцев",SUMIFS($L$2:$L$194,$B$2:$B$194,"&gt;="&amp;EDATE(B199,-11),$B$2:$B$194,"&lt;="&amp;B199),IF('Исходные данные'!$B$88="Пользовательский NOI",N('Исходные данные'!$B$89),R199))/N('Исходные данные'!$B$80)*(1+N('Исходные данные'!$B$81))),0))</f>
        <v>0</v>
      </c>
      <c r="T199">
        <f>-S199*N('Исходные данные'!$B$73)</f>
        <v>0</v>
      </c>
      <c r="U199">
        <f>IF(S199=0,0,-N('Исходные данные'!$B$87)-IF('Исходные данные'!$B$82="Да",IF('Исходные данные'!$B$84="С выручки",S199,IF('Исходные данные'!$B$84="С прибыли",MAX(0,S199+T199-IF('Исходные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99">
        <f t="shared" si="140"/>
        <v>0</v>
      </c>
      <c r="W199">
        <f>IF(D199=1,Расчёты!AZ199+K199+N199+Q199+V199,0)</f>
        <v>0</v>
      </c>
      <c r="X199" t="str">
        <f t="shared" si="128"/>
        <v/>
      </c>
      <c r="Y199">
        <f>IF(OR(D199=0,'Исходные данные'!$B$9="",'Исходные данные'!$B$90=""),0,W199/(1+'Исходные данные'!$B$90)^((C199-'Исходные данные'!$B$9)/365))</f>
        <v>0</v>
      </c>
      <c r="Z199">
        <f>IF(D199=1,K199+Расчёты!O199+Расчёты!Q199+Расчёты!S199+Расчёты!U199+Расчёты!W199+Расчёты!X199+N199+Q199,0)</f>
        <v>0</v>
      </c>
      <c r="AA199">
        <f>IF(AND(D199=1,X199&gt;=0,X198&lt;0,MIN($X$2:X199)&lt;0),1,0)</f>
        <v>0</v>
      </c>
      <c r="AB199">
        <f>IF(Расчёты!F199=0,0,IF(Расчёты!G199=1,N('Сценарный анализ'!$C$5),IF(Расчёты!G199=2,N('Сценарный анализ'!$C$6),IF(Расчёты!G199=3,N('Сценарный анализ'!$C$7),N('Сценарный анализ'!$C$7)*(1+N('Сценарный анализ'!$C$8))^(Расчёты!G199-3)))))</f>
        <v>0</v>
      </c>
      <c r="AC199">
        <f>IF(OR(Расчёты!F199=0,N('Исходные данные'!$B$5)=0,AB199=0),0,N('Исходные данные'!$B$5)*AB199*IF(AND(B199&lt;='Исходные данные'!$B$30,Расчёты!C199&gt;='Исходные данные'!$B$30),(Расчёты!C199-'Исходные данные'!$B$30+1)/DAY(Расчёты!C199),1))</f>
        <v>0</v>
      </c>
      <c r="AD199">
        <f>IF(AND(Расчёты!F199&gt;0,Расчёты!F199&lt;=N('Исходные данные'!$B$37)),-AC199,0)</f>
        <v>0</v>
      </c>
      <c r="AE199">
        <f>IF(OR(Расчёты!F199=0,Расчёты!F199&lt;=N('Исходные данные'!$B$37)),0,-(AC199+AD199)*N('Сценарный анализ'!$C$9))</f>
        <v>0</v>
      </c>
      <c r="AF199">
        <f t="shared" si="141"/>
        <v>0</v>
      </c>
      <c r="AG199">
        <f>IF('Исходные данные'!$B$51="Да",AF199*N('Исходные данные'!$B$52),0)</f>
        <v>0</v>
      </c>
      <c r="AH199">
        <f t="shared" si="142"/>
        <v>0</v>
      </c>
      <c r="AI199">
        <f>AF199+(Расчёты!Y199-Расчёты!L199)</f>
        <v>0</v>
      </c>
      <c r="AJ199">
        <f t="shared" si="129"/>
        <v>0</v>
      </c>
      <c r="AK199">
        <f>IF('Исходные данные'!$B$51="Да",-MAX(0,AG199+Расчёты!R199+Расчёты!V199-Расчёты!P199-Расчёты!T199-AJ199),0)</f>
        <v>0</v>
      </c>
      <c r="AL199">
        <f>IF('Исходные данные'!$B$51="Да",MAX(0,AJ199+Расчёты!P199+Расчёты!T199-AG199-Расчёты!R199-Расчёты!V199),0)</f>
        <v>0</v>
      </c>
      <c r="AM199">
        <f>IF('Исходные данные'!$B$53="Выручка",MAX(0,AF199+(Расчёты!Q199-Расчёты!R199)+(Расчёты!U199-Расчёты!V199)),IF('Исходные данные'!$B$53="Прибыль до налога",MAX(0,AF199+(Расчёты!Q199-Расчёты!R199)+(Расчёты!U199-Расчёты!V199)+N('Исходные данные'!$B$54)*((Расчёты!O199+Расчёты!P199)+(Расчёты!S199+Расчёты!T199)+Расчёты!W199+Расчёты!X199)+IF('Исходные данные'!$B$55="Да",Расчёты!AG199,0)-N('Исходные данные'!$B$56)/12),IF('Исходные данные'!$B$53="Пользовательская база",MAX(0,N('Исходные данные'!$B$57)/12),0)))</f>
        <v>0</v>
      </c>
      <c r="AN199">
        <f>IF(D199=1,-AM199*N('Исходные данные'!$B$50),0)</f>
        <v>0</v>
      </c>
      <c r="AO199">
        <f t="shared" si="130"/>
        <v>0</v>
      </c>
      <c r="AP199">
        <f>IF(OR(D199&lt;&gt;1,B199="",'Исходные данные'!$B$91="",N('Исходные данные'!$B$80)&lt;=0,'Исходные данные'!$B$88=""),0,IF(AND(YEAR(B199)=YEAR('Исходные данные'!$B$91),MONTH(B199)=MONTH('Исходные данные'!$B$91)),MAX(0,IF('Исходные данные'!$B$88="Последние 12 месяцев",SUMIFS($AI$2:$AI$194,$B$2:$B$194,"&gt;="&amp;EDATE(B199,-11),$B$2:$B$194,"&lt;="&amp;B199),IF('Исходные данные'!$B$88="Пользовательский NOI",N('Исходные данные'!$B$89),AO199))/N('Исходные данные'!$B$80)*(1+N('Исходные данные'!$B$81))),0))</f>
        <v>0</v>
      </c>
      <c r="AQ199">
        <f>-AP199*N('Исходные данные'!$B$73)</f>
        <v>0</v>
      </c>
      <c r="AR199">
        <f>IF(AP199=0,0,-N('Исходные данные'!$B$87)-IF('Исходные данные'!$B$82="Да",IF('Исходные данные'!$B$84="С выручки",AP199,IF('Исходные данные'!$B$84="С прибыли",MAX(0,AP199+AQ199-IF('Исходные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99">
        <f t="shared" si="143"/>
        <v>0</v>
      </c>
      <c r="AT199">
        <f>IF(D199=1,Расчёты!AZ199+AH199+AK199+AN199+AS199,0)</f>
        <v>0</v>
      </c>
      <c r="AU199" t="str">
        <f t="shared" si="131"/>
        <v/>
      </c>
      <c r="AV199">
        <f>IF(OR(D199=0,'Исходные данные'!$B$9="",'Исходные данные'!$B$90=""),0,AT199/(1+'Исходные данные'!$B$90)^((C199-'Исходные данные'!$B$9)/365))</f>
        <v>0</v>
      </c>
      <c r="AW199">
        <f>IF(D199=1,AH199+Расчёты!O199+Расчёты!Q199+Расчёты!S199+Расчёты!U199+Расчёты!W199+Расчёты!X199+AK199+AN199,0)</f>
        <v>0</v>
      </c>
      <c r="AX199">
        <f>IF(AND(D199=1,AU199&gt;=0,AU198&lt;0,MIN($AU$2:AU199)&lt;0),1,0)</f>
        <v>0</v>
      </c>
      <c r="AY199">
        <f>IF(Расчёты!F199=0,0,IF(Расчёты!G199=1,N('Сценарный анализ'!$D$5),IF(Расчёты!G199=2,N('Сценарный анализ'!$D$6),IF(Расчёты!G199=3,N('Сценарный анализ'!$D$7),N('Сценарный анализ'!$D$7)*(1+N('Сценарный анализ'!$D$8))^(Расчёты!G199-3)))))</f>
        <v>0</v>
      </c>
      <c r="AZ199">
        <f>IF(OR(Расчёты!F199=0,N('Исходные данные'!$B$5)=0,AY199=0),0,N('Исходные данные'!$B$5)*AY199*IF(AND(B199&lt;='Исходные данные'!$B$30,Расчёты!C199&gt;='Исходные данные'!$B$30),(Расчёты!C199-'Исходные данные'!$B$30+1)/DAY(Расчёты!C199),1))</f>
        <v>0</v>
      </c>
      <c r="BA199">
        <f>IF(AND(Расчёты!F199&gt;0,Расчёты!F199&lt;=N('Исходные данные'!$B$37)),-AZ199,0)</f>
        <v>0</v>
      </c>
      <c r="BB199">
        <f>IF(OR(Расчёты!F199=0,Расчёты!F199&lt;=N('Исходные данные'!$B$37)),0,-(AZ199+BA199)*N('Сценарный анализ'!$D$9))</f>
        <v>0</v>
      </c>
      <c r="BC199">
        <f t="shared" si="144"/>
        <v>0</v>
      </c>
      <c r="BD199">
        <f>IF('Исходные данные'!$B$51="Да",BC199*N('Исходные данные'!$B$52),0)</f>
        <v>0</v>
      </c>
      <c r="BE199">
        <f t="shared" si="145"/>
        <v>0</v>
      </c>
      <c r="BF199">
        <f>BC199+(Расчёты!Y199-Расчёты!L199)</f>
        <v>0</v>
      </c>
      <c r="BG199">
        <f t="shared" si="132"/>
        <v>0</v>
      </c>
      <c r="BH199">
        <f>IF('Исходные данные'!$B$51="Да",-MAX(0,BD199+Расчёты!R199+Расчёты!V199-Расчёты!P199-Расчёты!T199-BG199),0)</f>
        <v>0</v>
      </c>
      <c r="BI199">
        <f>IF('Исходные данные'!$B$51="Да",MAX(0,BG199+Расчёты!P199+Расчёты!T199-BD199-Расчёты!R199-Расчёты!V199),0)</f>
        <v>0</v>
      </c>
      <c r="BJ199">
        <f>IF('Исходные данные'!$B$53="Выручка",MAX(0,BC199+(Расчёты!Q199-Расчёты!R199)+(Расчёты!U199-Расчёты!V199)),IF('Исходные данные'!$B$53="Прибыль до налога",MAX(0,BC199+(Расчёты!Q199-Расчёты!R199)+(Расчёты!U199-Расчёты!V199)+N('Исходные данные'!$B$54)*((Расчёты!O199+Расчёты!P199)+(Расчёты!S199+Расчёты!T199)+Расчёты!W199+Расчёты!X199)+IF('Исходные данные'!$B$55="Да",Расчёты!AG199,0)-N('Исходные данные'!$B$56)/12),IF('Исходные данные'!$B$53="Пользовательская база",MAX(0,N('Исходные данные'!$B$57)/12),0)))</f>
        <v>0</v>
      </c>
      <c r="BK199">
        <f>IF(D199=1,-BJ199*N('Исходные данные'!$B$50),0)</f>
        <v>0</v>
      </c>
      <c r="BL199">
        <f t="shared" si="133"/>
        <v>0</v>
      </c>
      <c r="BM199">
        <f>IF(OR(D199&lt;&gt;1,B199="",'Исходные данные'!$B$91="",N('Исходные данные'!$B$80)&lt;=0,'Исходные данные'!$B$88=""),0,IF(AND(YEAR(B199)=YEAR('Исходные данные'!$B$91),MONTH(B199)=MONTH('Исходные данные'!$B$91)),MAX(0,IF('Исходные данные'!$B$88="Последние 12 месяцев",SUMIFS($BF$2:$BF$194,$B$2:$B$194,"&gt;="&amp;EDATE(B199,-11),$B$2:$B$194,"&lt;="&amp;B199),IF('Исходные данные'!$B$88="Пользовательский NOI",N('Исходные данные'!$B$89),BL199))/N('Исходные данные'!$B$80)*(1+N('Исходные данные'!$B$81))),0))</f>
        <v>0</v>
      </c>
      <c r="BN199">
        <f>-BM199*N('Исходные данные'!$B$73)</f>
        <v>0</v>
      </c>
      <c r="BO199">
        <f>IF(BM199=0,0,-N('Исходные данные'!$B$87)-IF('Исходные данные'!$B$82="Да",IF('Исходные данные'!$B$84="С выручки",BM199,IF('Исходные данные'!$B$84="С прибыли",MAX(0,BM199+BN199-IF('Исходные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99">
        <f t="shared" si="146"/>
        <v>0</v>
      </c>
      <c r="BQ199">
        <f>IF(D199=1,Расчёты!AZ199+BE199+BH199+BK199+BP199,0)</f>
        <v>0</v>
      </c>
      <c r="BR199" t="str">
        <f t="shared" si="134"/>
        <v/>
      </c>
      <c r="BS199">
        <f>IF(OR(D199=0,'Исходные данные'!$B$9="",'Исходные данные'!$B$90=""),0,BQ199/(1+'Исходные данные'!$B$90)^((C199-'Исходные данные'!$B$9)/365))</f>
        <v>0</v>
      </c>
      <c r="BT199">
        <f>IF(D199=1,BE199+Расчёты!O199+Расчёты!Q199+Расчёты!S199+Расчёты!U199+Расчёты!W199+Расчёты!X199+BH199+BK199,0)</f>
        <v>0</v>
      </c>
      <c r="BU199">
        <f>IF(AND(D199=1,BR199&gt;=0,BR198&lt;0,MIN($BR$2:BR199)&lt;0),1,0)</f>
        <v>0</v>
      </c>
      <c r="BV199">
        <f>Расчёты!AZ199+K199+N199-P199*N('Исходные данные'!$B$50)</f>
        <v>0</v>
      </c>
      <c r="BW199">
        <f t="shared" si="135"/>
        <v>0</v>
      </c>
      <c r="BX199">
        <f>IF(AND(BW199&gt;=0,BW198&lt;0,MIN($BW$2:BW199)&lt;0),1,0)</f>
        <v>0</v>
      </c>
      <c r="BY199">
        <f>Расчёты!AZ199+AH199+AK199-AM199*N('Исходные данные'!$B$50)</f>
        <v>0</v>
      </c>
      <c r="BZ199">
        <f t="shared" si="136"/>
        <v>0</v>
      </c>
      <c r="CA199">
        <f>IF(AND(BZ199&gt;=0,BZ198&lt;0,MIN($BZ$2:BZ199)&lt;0),1,0)</f>
        <v>0</v>
      </c>
      <c r="CB199">
        <f>Расчёты!AZ199+BE199+BH199-BJ199*N('Исходные данные'!$B$50)</f>
        <v>0</v>
      </c>
      <c r="CC199">
        <f t="shared" si="137"/>
        <v>0</v>
      </c>
      <c r="CD199">
        <f>IF(AND(CC199&gt;=0,CC198&lt;0,MIN($CC$2:CC199)&lt;0),1,0)</f>
        <v>0</v>
      </c>
    </row>
    <row r="200" spans="1:82" x14ac:dyDescent="0.2">
      <c r="A200">
        <f>Расчёты!A200</f>
        <v>199</v>
      </c>
      <c r="B200" t="str">
        <f>Расчёты!B200</f>
        <v/>
      </c>
      <c r="C200" t="str">
        <f>Расчёты!D200</f>
        <v/>
      </c>
      <c r="D200">
        <f>Расчёты!E200</f>
        <v>0</v>
      </c>
      <c r="E200">
        <f>IF(Расчёты!F200=0,0,IF(Расчёты!G200=1,N('Сценарный анализ'!$B$5),IF(Расчёты!G200=2,N('Сценарный анализ'!$B$6),IF(Расчёты!G200=3,N('Сценарный анализ'!$B$7),N('Сценарный анализ'!$B$7)*(1+N('Сценарный анализ'!$B$8))^(Расчёты!G200-3)))))</f>
        <v>0</v>
      </c>
      <c r="F200">
        <f>IF(OR(Расчёты!F200=0,N('Исходные данные'!$B$5)=0,E200=0),0,N('Исходные данные'!$B$5)*E200*IF(AND(B200&lt;='Исходные данные'!$B$30,Расчёты!C200&gt;='Исходные данные'!$B$30),(Расчёты!C200-'Исходные данные'!$B$30+1)/DAY(Расчёты!C200),1))</f>
        <v>0</v>
      </c>
      <c r="G200">
        <f>IF(AND(Расчёты!F200&gt;0,Расчёты!F200&lt;=N('Исходные данные'!$B$37)),-F200,0)</f>
        <v>0</v>
      </c>
      <c r="H200">
        <f>IF(OR(Расчёты!F200=0,Расчёты!F200&lt;=N('Исходные данные'!$B$37)),0,-(F200+G200)*N('Сценарный анализ'!$B$9))</f>
        <v>0</v>
      </c>
      <c r="I200">
        <f t="shared" si="138"/>
        <v>0</v>
      </c>
      <c r="J200">
        <f>IF('Исходные данные'!$B$51="Да",I200*N('Исходные данные'!$B$52),0)</f>
        <v>0</v>
      </c>
      <c r="K200">
        <f t="shared" si="139"/>
        <v>0</v>
      </c>
      <c r="L200">
        <f>I200+(Расчёты!Y200-Расчёты!L200)</f>
        <v>0</v>
      </c>
      <c r="M200">
        <f t="shared" si="126"/>
        <v>0</v>
      </c>
      <c r="N200">
        <f>IF('Исходные данные'!$B$51="Да",-MAX(0,J200+Расчёты!R200+Расчёты!V200-Расчёты!P200-Расчёты!T200-M200),0)</f>
        <v>0</v>
      </c>
      <c r="O200">
        <f>IF('Исходные данные'!$B$51="Да",MAX(0,M200+Расчёты!P200+Расчёты!T200-J200-Расчёты!R200-Расчёты!V200),0)</f>
        <v>0</v>
      </c>
      <c r="P200">
        <f>IF('Исходные данные'!$B$53="Выручка",MAX(0,I200+(Расчёты!Q200-Расчёты!R200)+(Расчёты!U200-Расчёты!V200)),IF('Исходные данные'!$B$53="Прибыль до налога",MAX(0,I200+(Расчёты!Q200-Расчёты!R200)+(Расчёты!U200-Расчёты!V200)+N('Исходные данные'!$B$54)*((Расчёты!O200+Расчёты!P200)+(Расчёты!S200+Расчёты!T200)+Расчёты!W200+Расчёты!X200)+IF('Исходные данные'!$B$55="Да",Расчёты!AG200,0)-N('Исходные данные'!$B$56)/12),IF('Исходные данные'!$B$53="Пользовательская база",MAX(0,N('Исходные данные'!$B$57)/12),0)))</f>
        <v>0</v>
      </c>
      <c r="Q200">
        <f>IF(D200=1,-P200*N('Исходные данные'!$B$50),0)</f>
        <v>0</v>
      </c>
      <c r="R200">
        <f t="shared" si="127"/>
        <v>0</v>
      </c>
      <c r="S200">
        <f>IF(OR(D200&lt;&gt;1,B200="",'Исходные данные'!$B$91="",N('Исходные данные'!$B$80)&lt;=0,'Исходные данные'!$B$88=""),0,IF(AND(YEAR(B200)=YEAR('Исходные данные'!$B$91),MONTH(B200)=MONTH('Исходные данные'!$B$91)),MAX(0,IF('Исходные данные'!$B$88="Последние 12 месяцев",SUMIFS($L$2:$L$194,$B$2:$B$194,"&gt;="&amp;EDATE(B200,-11),$B$2:$B$194,"&lt;="&amp;B200),IF('Исходные данные'!$B$88="Пользовательский NOI",N('Исходные данные'!$B$89),R200))/N('Исходные данные'!$B$80)*(1+N('Исходные данные'!$B$81))),0))</f>
        <v>0</v>
      </c>
      <c r="T200">
        <f>-S200*N('Исходные данные'!$B$73)</f>
        <v>0</v>
      </c>
      <c r="U200">
        <f>IF(S200=0,0,-N('Исходные данные'!$B$87)-IF('Исходные данные'!$B$82="Да",IF('Исходные данные'!$B$84="С выручки",S200,IF('Исходные данные'!$B$84="С прибыли",MAX(0,S200+T200-IF('Исходные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00">
        <f t="shared" si="140"/>
        <v>0</v>
      </c>
      <c r="W200">
        <f>IF(D200=1,Расчёты!AZ200+K200+N200+Q200+V200,0)</f>
        <v>0</v>
      </c>
      <c r="X200" t="str">
        <f t="shared" si="128"/>
        <v/>
      </c>
      <c r="Y200">
        <f>IF(OR(D200=0,'Исходные данные'!$B$9="",'Исходные данные'!$B$90=""),0,W200/(1+'Исходные данные'!$B$90)^((C200-'Исходные данные'!$B$9)/365))</f>
        <v>0</v>
      </c>
      <c r="Z200">
        <f>IF(D200=1,K200+Расчёты!O200+Расчёты!Q200+Расчёты!S200+Расчёты!U200+Расчёты!W200+Расчёты!X200+N200+Q200,0)</f>
        <v>0</v>
      </c>
      <c r="AA200">
        <f>IF(AND(D200=1,X200&gt;=0,X199&lt;0,MIN($X$2:X200)&lt;0),1,0)</f>
        <v>0</v>
      </c>
      <c r="AB200">
        <f>IF(Расчёты!F200=0,0,IF(Расчёты!G200=1,N('Сценарный анализ'!$C$5),IF(Расчёты!G200=2,N('Сценарный анализ'!$C$6),IF(Расчёты!G200=3,N('Сценарный анализ'!$C$7),N('Сценарный анализ'!$C$7)*(1+N('Сценарный анализ'!$C$8))^(Расчёты!G200-3)))))</f>
        <v>0</v>
      </c>
      <c r="AC200">
        <f>IF(OR(Расчёты!F200=0,N('Исходные данные'!$B$5)=0,AB200=0),0,N('Исходные данные'!$B$5)*AB200*IF(AND(B200&lt;='Исходные данные'!$B$30,Расчёты!C200&gt;='Исходные данные'!$B$30),(Расчёты!C200-'Исходные данные'!$B$30+1)/DAY(Расчёты!C200),1))</f>
        <v>0</v>
      </c>
      <c r="AD200">
        <f>IF(AND(Расчёты!F200&gt;0,Расчёты!F200&lt;=N('Исходные данные'!$B$37)),-AC200,0)</f>
        <v>0</v>
      </c>
      <c r="AE200">
        <f>IF(OR(Расчёты!F200=0,Расчёты!F200&lt;=N('Исходные данные'!$B$37)),0,-(AC200+AD200)*N('Сценарный анализ'!$C$9))</f>
        <v>0</v>
      </c>
      <c r="AF200">
        <f t="shared" si="141"/>
        <v>0</v>
      </c>
      <c r="AG200">
        <f>IF('Исходные данные'!$B$51="Да",AF200*N('Исходные данные'!$B$52),0)</f>
        <v>0</v>
      </c>
      <c r="AH200">
        <f t="shared" si="142"/>
        <v>0</v>
      </c>
      <c r="AI200">
        <f>AF200+(Расчёты!Y200-Расчёты!L200)</f>
        <v>0</v>
      </c>
      <c r="AJ200">
        <f t="shared" si="129"/>
        <v>0</v>
      </c>
      <c r="AK200">
        <f>IF('Исходные данные'!$B$51="Да",-MAX(0,AG200+Расчёты!R200+Расчёты!V200-Расчёты!P200-Расчёты!T200-AJ200),0)</f>
        <v>0</v>
      </c>
      <c r="AL200">
        <f>IF('Исходные данные'!$B$51="Да",MAX(0,AJ200+Расчёты!P200+Расчёты!T200-AG200-Расчёты!R200-Расчёты!V200),0)</f>
        <v>0</v>
      </c>
      <c r="AM200">
        <f>IF('Исходные данные'!$B$53="Выручка",MAX(0,AF200+(Расчёты!Q200-Расчёты!R200)+(Расчёты!U200-Расчёты!V200)),IF('Исходные данные'!$B$53="Прибыль до налога",MAX(0,AF200+(Расчёты!Q200-Расчёты!R200)+(Расчёты!U200-Расчёты!V200)+N('Исходные данные'!$B$54)*((Расчёты!O200+Расчёты!P200)+(Расчёты!S200+Расчёты!T200)+Расчёты!W200+Расчёты!X200)+IF('Исходные данные'!$B$55="Да",Расчёты!AG200,0)-N('Исходные данные'!$B$56)/12),IF('Исходные данные'!$B$53="Пользовательская база",MAX(0,N('Исходные данные'!$B$57)/12),0)))</f>
        <v>0</v>
      </c>
      <c r="AN200">
        <f>IF(D200=1,-AM200*N('Исходные данные'!$B$50),0)</f>
        <v>0</v>
      </c>
      <c r="AO200">
        <f t="shared" si="130"/>
        <v>0</v>
      </c>
      <c r="AP200">
        <f>IF(OR(D200&lt;&gt;1,B200="",'Исходные данные'!$B$91="",N('Исходные данные'!$B$80)&lt;=0,'Исходные данные'!$B$88=""),0,IF(AND(YEAR(B200)=YEAR('Исходные данные'!$B$91),MONTH(B200)=MONTH('Исходные данные'!$B$91)),MAX(0,IF('Исходные данные'!$B$88="Последние 12 месяцев",SUMIFS($AI$2:$AI$194,$B$2:$B$194,"&gt;="&amp;EDATE(B200,-11),$B$2:$B$194,"&lt;="&amp;B200),IF('Исходные данные'!$B$88="Пользовательский NOI",N('Исходные данные'!$B$89),AO200))/N('Исходные данные'!$B$80)*(1+N('Исходные данные'!$B$81))),0))</f>
        <v>0</v>
      </c>
      <c r="AQ200">
        <f>-AP200*N('Исходные данные'!$B$73)</f>
        <v>0</v>
      </c>
      <c r="AR200">
        <f>IF(AP200=0,0,-N('Исходные данные'!$B$87)-IF('Исходные данные'!$B$82="Да",IF('Исходные данные'!$B$84="С выручки",AP200,IF('Исходные данные'!$B$84="С прибыли",MAX(0,AP200+AQ200-IF('Исходные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00">
        <f t="shared" si="143"/>
        <v>0</v>
      </c>
      <c r="AT200">
        <f>IF(D200=1,Расчёты!AZ200+AH200+AK200+AN200+AS200,0)</f>
        <v>0</v>
      </c>
      <c r="AU200" t="str">
        <f t="shared" si="131"/>
        <v/>
      </c>
      <c r="AV200">
        <f>IF(OR(D200=0,'Исходные данные'!$B$9="",'Исходные данные'!$B$90=""),0,AT200/(1+'Исходные данные'!$B$90)^((C200-'Исходные данные'!$B$9)/365))</f>
        <v>0</v>
      </c>
      <c r="AW200">
        <f>IF(D200=1,AH200+Расчёты!O200+Расчёты!Q200+Расчёты!S200+Расчёты!U200+Расчёты!W200+Расчёты!X200+AK200+AN200,0)</f>
        <v>0</v>
      </c>
      <c r="AX200">
        <f>IF(AND(D200=1,AU200&gt;=0,AU199&lt;0,MIN($AU$2:AU200)&lt;0),1,0)</f>
        <v>0</v>
      </c>
      <c r="AY200">
        <f>IF(Расчёты!F200=0,0,IF(Расчёты!G200=1,N('Сценарный анализ'!$D$5),IF(Расчёты!G200=2,N('Сценарный анализ'!$D$6),IF(Расчёты!G200=3,N('Сценарный анализ'!$D$7),N('Сценарный анализ'!$D$7)*(1+N('Сценарный анализ'!$D$8))^(Расчёты!G200-3)))))</f>
        <v>0</v>
      </c>
      <c r="AZ200">
        <f>IF(OR(Расчёты!F200=0,N('Исходные данные'!$B$5)=0,AY200=0),0,N('Исходные данные'!$B$5)*AY200*IF(AND(B200&lt;='Исходные данные'!$B$30,Расчёты!C200&gt;='Исходные данные'!$B$30),(Расчёты!C200-'Исходные данные'!$B$30+1)/DAY(Расчёты!C200),1))</f>
        <v>0</v>
      </c>
      <c r="BA200">
        <f>IF(AND(Расчёты!F200&gt;0,Расчёты!F200&lt;=N('Исходные данные'!$B$37)),-AZ200,0)</f>
        <v>0</v>
      </c>
      <c r="BB200">
        <f>IF(OR(Расчёты!F200=0,Расчёты!F200&lt;=N('Исходные данные'!$B$37)),0,-(AZ200+BA200)*N('Сценарный анализ'!$D$9))</f>
        <v>0</v>
      </c>
      <c r="BC200">
        <f t="shared" si="144"/>
        <v>0</v>
      </c>
      <c r="BD200">
        <f>IF('Исходные данные'!$B$51="Да",BC200*N('Исходные данные'!$B$52),0)</f>
        <v>0</v>
      </c>
      <c r="BE200">
        <f t="shared" si="145"/>
        <v>0</v>
      </c>
      <c r="BF200">
        <f>BC200+(Расчёты!Y200-Расчёты!L200)</f>
        <v>0</v>
      </c>
      <c r="BG200">
        <f t="shared" si="132"/>
        <v>0</v>
      </c>
      <c r="BH200">
        <f>IF('Исходные данные'!$B$51="Да",-MAX(0,BD200+Расчёты!R200+Расчёты!V200-Расчёты!P200-Расчёты!T200-BG200),0)</f>
        <v>0</v>
      </c>
      <c r="BI200">
        <f>IF('Исходные данные'!$B$51="Да",MAX(0,BG200+Расчёты!P200+Расчёты!T200-BD200-Расчёты!R200-Расчёты!V200),0)</f>
        <v>0</v>
      </c>
      <c r="BJ200">
        <f>IF('Исходные данные'!$B$53="Выручка",MAX(0,BC200+(Расчёты!Q200-Расчёты!R200)+(Расчёты!U200-Расчёты!V200)),IF('Исходные данные'!$B$53="Прибыль до налога",MAX(0,BC200+(Расчёты!Q200-Расчёты!R200)+(Расчёты!U200-Расчёты!V200)+N('Исходные данные'!$B$54)*((Расчёты!O200+Расчёты!P200)+(Расчёты!S200+Расчёты!T200)+Расчёты!W200+Расчёты!X200)+IF('Исходные данные'!$B$55="Да",Расчёты!AG200,0)-N('Исходные данные'!$B$56)/12),IF('Исходные данные'!$B$53="Пользовательская база",MAX(0,N('Исходные данные'!$B$57)/12),0)))</f>
        <v>0</v>
      </c>
      <c r="BK200">
        <f>IF(D200=1,-BJ200*N('Исходные данные'!$B$50),0)</f>
        <v>0</v>
      </c>
      <c r="BL200">
        <f t="shared" si="133"/>
        <v>0</v>
      </c>
      <c r="BM200">
        <f>IF(OR(D200&lt;&gt;1,B200="",'Исходные данные'!$B$91="",N('Исходные данные'!$B$80)&lt;=0,'Исходные данные'!$B$88=""),0,IF(AND(YEAR(B200)=YEAR('Исходные данные'!$B$91),MONTH(B200)=MONTH('Исходные данные'!$B$91)),MAX(0,IF('Исходные данные'!$B$88="Последние 12 месяцев",SUMIFS($BF$2:$BF$194,$B$2:$B$194,"&gt;="&amp;EDATE(B200,-11),$B$2:$B$194,"&lt;="&amp;B200),IF('Исходные данные'!$B$88="Пользовательский NOI",N('Исходные данные'!$B$89),BL200))/N('Исходные данные'!$B$80)*(1+N('Исходные данные'!$B$81))),0))</f>
        <v>0</v>
      </c>
      <c r="BN200">
        <f>-BM200*N('Исходные данные'!$B$73)</f>
        <v>0</v>
      </c>
      <c r="BO200">
        <f>IF(BM200=0,0,-N('Исходные данные'!$B$87)-IF('Исходные данные'!$B$82="Да",IF('Исходные данные'!$B$84="С выручки",BM200,IF('Исходные данные'!$B$84="С прибыли",MAX(0,BM200+BN200-IF('Исходные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00">
        <f t="shared" si="146"/>
        <v>0</v>
      </c>
      <c r="BQ200">
        <f>IF(D200=1,Расчёты!AZ200+BE200+BH200+BK200+BP200,0)</f>
        <v>0</v>
      </c>
      <c r="BR200" t="str">
        <f t="shared" si="134"/>
        <v/>
      </c>
      <c r="BS200">
        <f>IF(OR(D200=0,'Исходные данные'!$B$9="",'Исходные данные'!$B$90=""),0,BQ200/(1+'Исходные данные'!$B$90)^((C200-'Исходные данные'!$B$9)/365))</f>
        <v>0</v>
      </c>
      <c r="BT200">
        <f>IF(D200=1,BE200+Расчёты!O200+Расчёты!Q200+Расчёты!S200+Расчёты!U200+Расчёты!W200+Расчёты!X200+BH200+BK200,0)</f>
        <v>0</v>
      </c>
      <c r="BU200">
        <f>IF(AND(D200=1,BR200&gt;=0,BR199&lt;0,MIN($BR$2:BR200)&lt;0),1,0)</f>
        <v>0</v>
      </c>
      <c r="BV200">
        <f>Расчёты!AZ200+K200+N200-P200*N('Исходные данные'!$B$50)</f>
        <v>0</v>
      </c>
      <c r="BW200">
        <f t="shared" si="135"/>
        <v>0</v>
      </c>
      <c r="BX200">
        <f>IF(AND(BW200&gt;=0,BW199&lt;0,MIN($BW$2:BW200)&lt;0),1,0)</f>
        <v>0</v>
      </c>
      <c r="BY200">
        <f>Расчёты!AZ200+AH200+AK200-AM200*N('Исходные данные'!$B$50)</f>
        <v>0</v>
      </c>
      <c r="BZ200">
        <f t="shared" si="136"/>
        <v>0</v>
      </c>
      <c r="CA200">
        <f>IF(AND(BZ200&gt;=0,BZ199&lt;0,MIN($BZ$2:BZ200)&lt;0),1,0)</f>
        <v>0</v>
      </c>
      <c r="CB200">
        <f>Расчёты!AZ200+BE200+BH200-BJ200*N('Исходные данные'!$B$50)</f>
        <v>0</v>
      </c>
      <c r="CC200">
        <f t="shared" si="137"/>
        <v>0</v>
      </c>
      <c r="CD200">
        <f>IF(AND(CC200&gt;=0,CC199&lt;0,MIN($CC$2:CC200)&lt;0),1,0)</f>
        <v>0</v>
      </c>
    </row>
    <row r="201" spans="1:82" x14ac:dyDescent="0.2">
      <c r="A201">
        <f>Расчёты!A201</f>
        <v>200</v>
      </c>
      <c r="B201" t="str">
        <f>Расчёты!B201</f>
        <v/>
      </c>
      <c r="C201" t="str">
        <f>Расчёты!D201</f>
        <v/>
      </c>
      <c r="D201">
        <f>Расчёты!E201</f>
        <v>0</v>
      </c>
      <c r="E201">
        <f>IF(Расчёты!F201=0,0,IF(Расчёты!G201=1,N('Сценарный анализ'!$B$5),IF(Расчёты!G201=2,N('Сценарный анализ'!$B$6),IF(Расчёты!G201=3,N('Сценарный анализ'!$B$7),N('Сценарный анализ'!$B$7)*(1+N('Сценарный анализ'!$B$8))^(Расчёты!G201-3)))))</f>
        <v>0</v>
      </c>
      <c r="F201">
        <f>IF(OR(Расчёты!F201=0,N('Исходные данные'!$B$5)=0,E201=0),0,N('Исходные данные'!$B$5)*E201*IF(AND(B201&lt;='Исходные данные'!$B$30,Расчёты!C201&gt;='Исходные данные'!$B$30),(Расчёты!C201-'Исходные данные'!$B$30+1)/DAY(Расчёты!C201),1))</f>
        <v>0</v>
      </c>
      <c r="G201">
        <f>IF(AND(Расчёты!F201&gt;0,Расчёты!F201&lt;=N('Исходные данные'!$B$37)),-F201,0)</f>
        <v>0</v>
      </c>
      <c r="H201">
        <f>IF(OR(Расчёты!F201=0,Расчёты!F201&lt;=N('Исходные данные'!$B$37)),0,-(F201+G201)*N('Сценарный анализ'!$B$9))</f>
        <v>0</v>
      </c>
      <c r="I201">
        <f t="shared" si="138"/>
        <v>0</v>
      </c>
      <c r="J201">
        <f>IF('Исходные данные'!$B$51="Да",I201*N('Исходные данные'!$B$52),0)</f>
        <v>0</v>
      </c>
      <c r="K201">
        <f t="shared" si="139"/>
        <v>0</v>
      </c>
      <c r="L201">
        <f>I201+(Расчёты!Y201-Расчёты!L201)</f>
        <v>0</v>
      </c>
      <c r="M201">
        <f t="shared" si="126"/>
        <v>0</v>
      </c>
      <c r="N201">
        <f>IF('Исходные данные'!$B$51="Да",-MAX(0,J201+Расчёты!R201+Расчёты!V201-Расчёты!P201-Расчёты!T201-M201),0)</f>
        <v>0</v>
      </c>
      <c r="O201">
        <f>IF('Исходные данные'!$B$51="Да",MAX(0,M201+Расчёты!P201+Расчёты!T201-J201-Расчёты!R201-Расчёты!V201),0)</f>
        <v>0</v>
      </c>
      <c r="P201">
        <f>IF('Исходные данные'!$B$53="Выручка",MAX(0,I201+(Расчёты!Q201-Расчёты!R201)+(Расчёты!U201-Расчёты!V201)),IF('Исходные данные'!$B$53="Прибыль до налога",MAX(0,I201+(Расчёты!Q201-Расчёты!R201)+(Расчёты!U201-Расчёты!V201)+N('Исходные данные'!$B$54)*((Расчёты!O201+Расчёты!P201)+(Расчёты!S201+Расчёты!T201)+Расчёты!W201+Расчёты!X201)+IF('Исходные данные'!$B$55="Да",Расчёты!AG201,0)-N('Исходные данные'!$B$56)/12),IF('Исходные данные'!$B$53="Пользовательская база",MAX(0,N('Исходные данные'!$B$57)/12),0)))</f>
        <v>0</v>
      </c>
      <c r="Q201">
        <f>IF(D201=1,-P201*N('Исходные данные'!$B$50),0)</f>
        <v>0</v>
      </c>
      <c r="R201">
        <f t="shared" si="127"/>
        <v>0</v>
      </c>
      <c r="S201">
        <f>IF(OR(D201&lt;&gt;1,B201="",'Исходные данные'!$B$91="",N('Исходные данные'!$B$80)&lt;=0,'Исходные данные'!$B$88=""),0,IF(AND(YEAR(B201)=YEAR('Исходные данные'!$B$91),MONTH(B201)=MONTH('Исходные данные'!$B$91)),MAX(0,IF('Исходные данные'!$B$88="Последние 12 месяцев",SUMIFS($L$2:$L$194,$B$2:$B$194,"&gt;="&amp;EDATE(B201,-11),$B$2:$B$194,"&lt;="&amp;B201),IF('Исходные данные'!$B$88="Пользовательский NOI",N('Исходные данные'!$B$89),R201))/N('Исходные данные'!$B$80)*(1+N('Исходные данные'!$B$81))),0))</f>
        <v>0</v>
      </c>
      <c r="T201">
        <f>-S201*N('Исходные данные'!$B$73)</f>
        <v>0</v>
      </c>
      <c r="U201">
        <f>IF(S201=0,0,-N('Исходные данные'!$B$87)-IF('Исходные данные'!$B$82="Да",IF('Исходные данные'!$B$84="С выручки",S201,IF('Исходные данные'!$B$84="С прибыли",MAX(0,S201+T201-IF('Исходные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01">
        <f t="shared" si="140"/>
        <v>0</v>
      </c>
      <c r="W201">
        <f>IF(D201=1,Расчёты!AZ201+K201+N201+Q201+V201,0)</f>
        <v>0</v>
      </c>
      <c r="X201" t="str">
        <f t="shared" si="128"/>
        <v/>
      </c>
      <c r="Y201">
        <f>IF(OR(D201=0,'Исходные данные'!$B$9="",'Исходные данные'!$B$90=""),0,W201/(1+'Исходные данные'!$B$90)^((C201-'Исходные данные'!$B$9)/365))</f>
        <v>0</v>
      </c>
      <c r="Z201">
        <f>IF(D201=1,K201+Расчёты!O201+Расчёты!Q201+Расчёты!S201+Расчёты!U201+Расчёты!W201+Расчёты!X201+N201+Q201,0)</f>
        <v>0</v>
      </c>
      <c r="AA201">
        <f>IF(AND(D201=1,X201&gt;=0,X200&lt;0,MIN($X$2:X201)&lt;0),1,0)</f>
        <v>0</v>
      </c>
      <c r="AB201">
        <f>IF(Расчёты!F201=0,0,IF(Расчёты!G201=1,N('Сценарный анализ'!$C$5),IF(Расчёты!G201=2,N('Сценарный анализ'!$C$6),IF(Расчёты!G201=3,N('Сценарный анализ'!$C$7),N('Сценарный анализ'!$C$7)*(1+N('Сценарный анализ'!$C$8))^(Расчёты!G201-3)))))</f>
        <v>0</v>
      </c>
      <c r="AC201">
        <f>IF(OR(Расчёты!F201=0,N('Исходные данные'!$B$5)=0,AB201=0),0,N('Исходные данные'!$B$5)*AB201*IF(AND(B201&lt;='Исходные данные'!$B$30,Расчёты!C201&gt;='Исходные данные'!$B$30),(Расчёты!C201-'Исходные данные'!$B$30+1)/DAY(Расчёты!C201),1))</f>
        <v>0</v>
      </c>
      <c r="AD201">
        <f>IF(AND(Расчёты!F201&gt;0,Расчёты!F201&lt;=N('Исходные данные'!$B$37)),-AC201,0)</f>
        <v>0</v>
      </c>
      <c r="AE201">
        <f>IF(OR(Расчёты!F201=0,Расчёты!F201&lt;=N('Исходные данные'!$B$37)),0,-(AC201+AD201)*N('Сценарный анализ'!$C$9))</f>
        <v>0</v>
      </c>
      <c r="AF201">
        <f t="shared" si="141"/>
        <v>0</v>
      </c>
      <c r="AG201">
        <f>IF('Исходные данные'!$B$51="Да",AF201*N('Исходные данные'!$B$52),0)</f>
        <v>0</v>
      </c>
      <c r="AH201">
        <f t="shared" si="142"/>
        <v>0</v>
      </c>
      <c r="AI201">
        <f>AF201+(Расчёты!Y201-Расчёты!L201)</f>
        <v>0</v>
      </c>
      <c r="AJ201">
        <f t="shared" si="129"/>
        <v>0</v>
      </c>
      <c r="AK201">
        <f>IF('Исходные данные'!$B$51="Да",-MAX(0,AG201+Расчёты!R201+Расчёты!V201-Расчёты!P201-Расчёты!T201-AJ201),0)</f>
        <v>0</v>
      </c>
      <c r="AL201">
        <f>IF('Исходные данные'!$B$51="Да",MAX(0,AJ201+Расчёты!P201+Расчёты!T201-AG201-Расчёты!R201-Расчёты!V201),0)</f>
        <v>0</v>
      </c>
      <c r="AM201">
        <f>IF('Исходные данные'!$B$53="Выручка",MAX(0,AF201+(Расчёты!Q201-Расчёты!R201)+(Расчёты!U201-Расчёты!V201)),IF('Исходные данные'!$B$53="Прибыль до налога",MAX(0,AF201+(Расчёты!Q201-Расчёты!R201)+(Расчёты!U201-Расчёты!V201)+N('Исходные данные'!$B$54)*((Расчёты!O201+Расчёты!P201)+(Расчёты!S201+Расчёты!T201)+Расчёты!W201+Расчёты!X201)+IF('Исходные данные'!$B$55="Да",Расчёты!AG201,0)-N('Исходные данные'!$B$56)/12),IF('Исходные данные'!$B$53="Пользовательская база",MAX(0,N('Исходные данные'!$B$57)/12),0)))</f>
        <v>0</v>
      </c>
      <c r="AN201">
        <f>IF(D201=1,-AM201*N('Исходные данные'!$B$50),0)</f>
        <v>0</v>
      </c>
      <c r="AO201">
        <f t="shared" si="130"/>
        <v>0</v>
      </c>
      <c r="AP201">
        <f>IF(OR(D201&lt;&gt;1,B201="",'Исходные данные'!$B$91="",N('Исходные данные'!$B$80)&lt;=0,'Исходные данные'!$B$88=""),0,IF(AND(YEAR(B201)=YEAR('Исходные данные'!$B$91),MONTH(B201)=MONTH('Исходные данные'!$B$91)),MAX(0,IF('Исходные данные'!$B$88="Последние 12 месяцев",SUMIFS($AI$2:$AI$194,$B$2:$B$194,"&gt;="&amp;EDATE(B201,-11),$B$2:$B$194,"&lt;="&amp;B201),IF('Исходные данные'!$B$88="Пользовательский NOI",N('Исходные данные'!$B$89),AO201))/N('Исходные данные'!$B$80)*(1+N('Исходные данные'!$B$81))),0))</f>
        <v>0</v>
      </c>
      <c r="AQ201">
        <f>-AP201*N('Исходные данные'!$B$73)</f>
        <v>0</v>
      </c>
      <c r="AR201">
        <f>IF(AP201=0,0,-N('Исходные данные'!$B$87)-IF('Исходные данные'!$B$82="Да",IF('Исходные данные'!$B$84="С выручки",AP201,IF('Исходные данные'!$B$84="С прибыли",MAX(0,AP201+AQ201-IF('Исходные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01">
        <f t="shared" si="143"/>
        <v>0</v>
      </c>
      <c r="AT201">
        <f>IF(D201=1,Расчёты!AZ201+AH201+AK201+AN201+AS201,0)</f>
        <v>0</v>
      </c>
      <c r="AU201" t="str">
        <f t="shared" si="131"/>
        <v/>
      </c>
      <c r="AV201">
        <f>IF(OR(D201=0,'Исходные данные'!$B$9="",'Исходные данные'!$B$90=""),0,AT201/(1+'Исходные данные'!$B$90)^((C201-'Исходные данные'!$B$9)/365))</f>
        <v>0</v>
      </c>
      <c r="AW201">
        <f>IF(D201=1,AH201+Расчёты!O201+Расчёты!Q201+Расчёты!S201+Расчёты!U201+Расчёты!W201+Расчёты!X201+AK201+AN201,0)</f>
        <v>0</v>
      </c>
      <c r="AX201">
        <f>IF(AND(D201=1,AU201&gt;=0,AU200&lt;0,MIN($AU$2:AU201)&lt;0),1,0)</f>
        <v>0</v>
      </c>
      <c r="AY201">
        <f>IF(Расчёты!F201=0,0,IF(Расчёты!G201=1,N('Сценарный анализ'!$D$5),IF(Расчёты!G201=2,N('Сценарный анализ'!$D$6),IF(Расчёты!G201=3,N('Сценарный анализ'!$D$7),N('Сценарный анализ'!$D$7)*(1+N('Сценарный анализ'!$D$8))^(Расчёты!G201-3)))))</f>
        <v>0</v>
      </c>
      <c r="AZ201">
        <f>IF(OR(Расчёты!F201=0,N('Исходные данные'!$B$5)=0,AY201=0),0,N('Исходные данные'!$B$5)*AY201*IF(AND(B201&lt;='Исходные данные'!$B$30,Расчёты!C201&gt;='Исходные данные'!$B$30),(Расчёты!C201-'Исходные данные'!$B$30+1)/DAY(Расчёты!C201),1))</f>
        <v>0</v>
      </c>
      <c r="BA201">
        <f>IF(AND(Расчёты!F201&gt;0,Расчёты!F201&lt;=N('Исходные данные'!$B$37)),-AZ201,0)</f>
        <v>0</v>
      </c>
      <c r="BB201">
        <f>IF(OR(Расчёты!F201=0,Расчёты!F201&lt;=N('Исходные данные'!$B$37)),0,-(AZ201+BA201)*N('Сценарный анализ'!$D$9))</f>
        <v>0</v>
      </c>
      <c r="BC201">
        <f t="shared" si="144"/>
        <v>0</v>
      </c>
      <c r="BD201">
        <f>IF('Исходные данные'!$B$51="Да",BC201*N('Исходные данные'!$B$52),0)</f>
        <v>0</v>
      </c>
      <c r="BE201">
        <f t="shared" si="145"/>
        <v>0</v>
      </c>
      <c r="BF201">
        <f>BC201+(Расчёты!Y201-Расчёты!L201)</f>
        <v>0</v>
      </c>
      <c r="BG201">
        <f t="shared" si="132"/>
        <v>0</v>
      </c>
      <c r="BH201">
        <f>IF('Исходные данные'!$B$51="Да",-MAX(0,BD201+Расчёты!R201+Расчёты!V201-Расчёты!P201-Расчёты!T201-BG201),0)</f>
        <v>0</v>
      </c>
      <c r="BI201">
        <f>IF('Исходные данные'!$B$51="Да",MAX(0,BG201+Расчёты!P201+Расчёты!T201-BD201-Расчёты!R201-Расчёты!V201),0)</f>
        <v>0</v>
      </c>
      <c r="BJ201">
        <f>IF('Исходные данные'!$B$53="Выручка",MAX(0,BC201+(Расчёты!Q201-Расчёты!R201)+(Расчёты!U201-Расчёты!V201)),IF('Исходные данные'!$B$53="Прибыль до налога",MAX(0,BC201+(Расчёты!Q201-Расчёты!R201)+(Расчёты!U201-Расчёты!V201)+N('Исходные данные'!$B$54)*((Расчёты!O201+Расчёты!P201)+(Расчёты!S201+Расчёты!T201)+Расчёты!W201+Расчёты!X201)+IF('Исходные данные'!$B$55="Да",Расчёты!AG201,0)-N('Исходные данные'!$B$56)/12),IF('Исходные данные'!$B$53="Пользовательская база",MAX(0,N('Исходные данные'!$B$57)/12),0)))</f>
        <v>0</v>
      </c>
      <c r="BK201">
        <f>IF(D201=1,-BJ201*N('Исходные данные'!$B$50),0)</f>
        <v>0</v>
      </c>
      <c r="BL201">
        <f t="shared" si="133"/>
        <v>0</v>
      </c>
      <c r="BM201">
        <f>IF(OR(D201&lt;&gt;1,B201="",'Исходные данные'!$B$91="",N('Исходные данные'!$B$80)&lt;=0,'Исходные данные'!$B$88=""),0,IF(AND(YEAR(B201)=YEAR('Исходные данные'!$B$91),MONTH(B201)=MONTH('Исходные данные'!$B$91)),MAX(0,IF('Исходные данные'!$B$88="Последние 12 месяцев",SUMIFS($BF$2:$BF$194,$B$2:$B$194,"&gt;="&amp;EDATE(B201,-11),$B$2:$B$194,"&lt;="&amp;B201),IF('Исходные данные'!$B$88="Пользовательский NOI",N('Исходные данные'!$B$89),BL201))/N('Исходные данные'!$B$80)*(1+N('Исходные данные'!$B$81))),0))</f>
        <v>0</v>
      </c>
      <c r="BN201">
        <f>-BM201*N('Исходные данные'!$B$73)</f>
        <v>0</v>
      </c>
      <c r="BO201">
        <f>IF(BM201=0,0,-N('Исходные данные'!$B$87)-IF('Исходные данные'!$B$82="Да",IF('Исходные данные'!$B$84="С выручки",BM201,IF('Исходные данные'!$B$84="С прибыли",MAX(0,BM201+BN201-IF('Исходные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01">
        <f t="shared" si="146"/>
        <v>0</v>
      </c>
      <c r="BQ201">
        <f>IF(D201=1,Расчёты!AZ201+BE201+BH201+BK201+BP201,0)</f>
        <v>0</v>
      </c>
      <c r="BR201" t="str">
        <f t="shared" si="134"/>
        <v/>
      </c>
      <c r="BS201">
        <f>IF(OR(D201=0,'Исходные данные'!$B$9="",'Исходные данные'!$B$90=""),0,BQ201/(1+'Исходные данные'!$B$90)^((C201-'Исходные данные'!$B$9)/365))</f>
        <v>0</v>
      </c>
      <c r="BT201">
        <f>IF(D201=1,BE201+Расчёты!O201+Расчёты!Q201+Расчёты!S201+Расчёты!U201+Расчёты!W201+Расчёты!X201+BH201+BK201,0)</f>
        <v>0</v>
      </c>
      <c r="BU201">
        <f>IF(AND(D201=1,BR201&gt;=0,BR200&lt;0,MIN($BR$2:BR201)&lt;0),1,0)</f>
        <v>0</v>
      </c>
      <c r="BV201">
        <f>Расчёты!AZ201+K201+N201-P201*N('Исходные данные'!$B$50)</f>
        <v>0</v>
      </c>
      <c r="BW201">
        <f t="shared" si="135"/>
        <v>0</v>
      </c>
      <c r="BX201">
        <f>IF(AND(BW201&gt;=0,BW200&lt;0,MIN($BW$2:BW201)&lt;0),1,0)</f>
        <v>0</v>
      </c>
      <c r="BY201">
        <f>Расчёты!AZ201+AH201+AK201-AM201*N('Исходные данные'!$B$50)</f>
        <v>0</v>
      </c>
      <c r="BZ201">
        <f t="shared" si="136"/>
        <v>0</v>
      </c>
      <c r="CA201">
        <f>IF(AND(BZ201&gt;=0,BZ200&lt;0,MIN($BZ$2:BZ201)&lt;0),1,0)</f>
        <v>0</v>
      </c>
      <c r="CB201">
        <f>Расчёты!AZ201+BE201+BH201-BJ201*N('Исходные данные'!$B$50)</f>
        <v>0</v>
      </c>
      <c r="CC201">
        <f t="shared" si="137"/>
        <v>0</v>
      </c>
      <c r="CD201">
        <f>IF(AND(CC201&gt;=0,CC200&lt;0,MIN($CC$2:CC201)&lt;0),1,0)</f>
        <v>0</v>
      </c>
    </row>
    <row r="202" spans="1:82" x14ac:dyDescent="0.2">
      <c r="A202">
        <f>Расчёты!A202</f>
        <v>201</v>
      </c>
      <c r="B202" t="str">
        <f>Расчёты!B202</f>
        <v/>
      </c>
      <c r="C202" t="str">
        <f>Расчёты!D202</f>
        <v/>
      </c>
      <c r="D202">
        <f>Расчёты!E202</f>
        <v>0</v>
      </c>
      <c r="E202">
        <f>IF(Расчёты!F202=0,0,IF(Расчёты!G202=1,N('Сценарный анализ'!$B$5),IF(Расчёты!G202=2,N('Сценарный анализ'!$B$6),IF(Расчёты!G202=3,N('Сценарный анализ'!$B$7),N('Сценарный анализ'!$B$7)*(1+N('Сценарный анализ'!$B$8))^(Расчёты!G202-3)))))</f>
        <v>0</v>
      </c>
      <c r="F202">
        <f>IF(OR(Расчёты!F202=0,N('Исходные данные'!$B$5)=0,E202=0),0,N('Исходные данные'!$B$5)*E202*IF(AND(B202&lt;='Исходные данные'!$B$30,Расчёты!C202&gt;='Исходные данные'!$B$30),(Расчёты!C202-'Исходные данные'!$B$30+1)/DAY(Расчёты!C202),1))</f>
        <v>0</v>
      </c>
      <c r="G202">
        <f>IF(AND(Расчёты!F202&gt;0,Расчёты!F202&lt;=N('Исходные данные'!$B$37)),-F202,0)</f>
        <v>0</v>
      </c>
      <c r="H202">
        <f>IF(OR(Расчёты!F202=0,Расчёты!F202&lt;=N('Исходные данные'!$B$37)),0,-(F202+G202)*N('Сценарный анализ'!$B$9))</f>
        <v>0</v>
      </c>
      <c r="I202">
        <f t="shared" si="138"/>
        <v>0</v>
      </c>
      <c r="J202">
        <f>IF('Исходные данные'!$B$51="Да",I202*N('Исходные данные'!$B$52),0)</f>
        <v>0</v>
      </c>
      <c r="K202">
        <f t="shared" si="139"/>
        <v>0</v>
      </c>
      <c r="L202">
        <f>I202+(Расчёты!Y202-Расчёты!L202)</f>
        <v>0</v>
      </c>
      <c r="M202">
        <f t="shared" si="126"/>
        <v>0</v>
      </c>
      <c r="N202">
        <f>IF('Исходные данные'!$B$51="Да",-MAX(0,J202+Расчёты!R202+Расчёты!V202-Расчёты!P202-Расчёты!T202-M202),0)</f>
        <v>0</v>
      </c>
      <c r="O202">
        <f>IF('Исходные данные'!$B$51="Да",MAX(0,M202+Расчёты!P202+Расчёты!T202-J202-Расчёты!R202-Расчёты!V202),0)</f>
        <v>0</v>
      </c>
      <c r="P202">
        <f>IF('Исходные данные'!$B$53="Выручка",MAX(0,I202+(Расчёты!Q202-Расчёты!R202)+(Расчёты!U202-Расчёты!V202)),IF('Исходные данные'!$B$53="Прибыль до налога",MAX(0,I202+(Расчёты!Q202-Расчёты!R202)+(Расчёты!U202-Расчёты!V202)+N('Исходные данные'!$B$54)*((Расчёты!O202+Расчёты!P202)+(Расчёты!S202+Расчёты!T202)+Расчёты!W202+Расчёты!X202)+IF('Исходные данные'!$B$55="Да",Расчёты!AG202,0)-N('Исходные данные'!$B$56)/12),IF('Исходные данные'!$B$53="Пользовательская база",MAX(0,N('Исходные данные'!$B$57)/12),0)))</f>
        <v>0</v>
      </c>
      <c r="Q202">
        <f>IF(D202=1,-P202*N('Исходные данные'!$B$50),0)</f>
        <v>0</v>
      </c>
      <c r="R202">
        <f t="shared" si="127"/>
        <v>0</v>
      </c>
      <c r="S202">
        <f>IF(OR(D202&lt;&gt;1,B202="",'Исходные данные'!$B$91="",N('Исходные данные'!$B$80)&lt;=0,'Исходные данные'!$B$88=""),0,IF(AND(YEAR(B202)=YEAR('Исходные данные'!$B$91),MONTH(B202)=MONTH('Исходные данные'!$B$91)),MAX(0,IF('Исходные данные'!$B$88="Последние 12 месяцев",SUMIFS($L$2:$L$194,$B$2:$B$194,"&gt;="&amp;EDATE(B202,-11),$B$2:$B$194,"&lt;="&amp;B202),IF('Исходные данные'!$B$88="Пользовательский NOI",N('Исходные данные'!$B$89),R202))/N('Исходные данные'!$B$80)*(1+N('Исходные данные'!$B$81))),0))</f>
        <v>0</v>
      </c>
      <c r="T202">
        <f>-S202*N('Исходные данные'!$B$73)</f>
        <v>0</v>
      </c>
      <c r="U202">
        <f>IF(S202=0,0,-N('Исходные данные'!$B$87)-IF('Исходные данные'!$B$82="Да",IF('Исходные данные'!$B$84="С выручки",S202,IF('Исходные данные'!$B$84="С прибыли",MAX(0,S202+T202-IF('Исходные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02">
        <f t="shared" si="140"/>
        <v>0</v>
      </c>
      <c r="W202">
        <f>IF(D202=1,Расчёты!AZ202+K202+N202+Q202+V202,0)</f>
        <v>0</v>
      </c>
      <c r="X202" t="str">
        <f t="shared" si="128"/>
        <v/>
      </c>
      <c r="Y202">
        <f>IF(OR(D202=0,'Исходные данные'!$B$9="",'Исходные данные'!$B$90=""),0,W202/(1+'Исходные данные'!$B$90)^((C202-'Исходные данные'!$B$9)/365))</f>
        <v>0</v>
      </c>
      <c r="Z202">
        <f>IF(D202=1,K202+Расчёты!O202+Расчёты!Q202+Расчёты!S202+Расчёты!U202+Расчёты!W202+Расчёты!X202+N202+Q202,0)</f>
        <v>0</v>
      </c>
      <c r="AA202">
        <f>IF(AND(D202=1,X202&gt;=0,X201&lt;0,MIN($X$2:X202)&lt;0),1,0)</f>
        <v>0</v>
      </c>
      <c r="AB202">
        <f>IF(Расчёты!F202=0,0,IF(Расчёты!G202=1,N('Сценарный анализ'!$C$5),IF(Расчёты!G202=2,N('Сценарный анализ'!$C$6),IF(Расчёты!G202=3,N('Сценарный анализ'!$C$7),N('Сценарный анализ'!$C$7)*(1+N('Сценарный анализ'!$C$8))^(Расчёты!G202-3)))))</f>
        <v>0</v>
      </c>
      <c r="AC202">
        <f>IF(OR(Расчёты!F202=0,N('Исходные данные'!$B$5)=0,AB202=0),0,N('Исходные данные'!$B$5)*AB202*IF(AND(B202&lt;='Исходные данные'!$B$30,Расчёты!C202&gt;='Исходные данные'!$B$30),(Расчёты!C202-'Исходные данные'!$B$30+1)/DAY(Расчёты!C202),1))</f>
        <v>0</v>
      </c>
      <c r="AD202">
        <f>IF(AND(Расчёты!F202&gt;0,Расчёты!F202&lt;=N('Исходные данные'!$B$37)),-AC202,0)</f>
        <v>0</v>
      </c>
      <c r="AE202">
        <f>IF(OR(Расчёты!F202=0,Расчёты!F202&lt;=N('Исходные данные'!$B$37)),0,-(AC202+AD202)*N('Сценарный анализ'!$C$9))</f>
        <v>0</v>
      </c>
      <c r="AF202">
        <f t="shared" si="141"/>
        <v>0</v>
      </c>
      <c r="AG202">
        <f>IF('Исходные данные'!$B$51="Да",AF202*N('Исходные данные'!$B$52),0)</f>
        <v>0</v>
      </c>
      <c r="AH202">
        <f t="shared" si="142"/>
        <v>0</v>
      </c>
      <c r="AI202">
        <f>AF202+(Расчёты!Y202-Расчёты!L202)</f>
        <v>0</v>
      </c>
      <c r="AJ202">
        <f t="shared" si="129"/>
        <v>0</v>
      </c>
      <c r="AK202">
        <f>IF('Исходные данные'!$B$51="Да",-MAX(0,AG202+Расчёты!R202+Расчёты!V202-Расчёты!P202-Расчёты!T202-AJ202),0)</f>
        <v>0</v>
      </c>
      <c r="AL202">
        <f>IF('Исходные данные'!$B$51="Да",MAX(0,AJ202+Расчёты!P202+Расчёты!T202-AG202-Расчёты!R202-Расчёты!V202),0)</f>
        <v>0</v>
      </c>
      <c r="AM202">
        <f>IF('Исходные данные'!$B$53="Выручка",MAX(0,AF202+(Расчёты!Q202-Расчёты!R202)+(Расчёты!U202-Расчёты!V202)),IF('Исходные данные'!$B$53="Прибыль до налога",MAX(0,AF202+(Расчёты!Q202-Расчёты!R202)+(Расчёты!U202-Расчёты!V202)+N('Исходные данные'!$B$54)*((Расчёты!O202+Расчёты!P202)+(Расчёты!S202+Расчёты!T202)+Расчёты!W202+Расчёты!X202)+IF('Исходные данные'!$B$55="Да",Расчёты!AG202,0)-N('Исходные данные'!$B$56)/12),IF('Исходные данные'!$B$53="Пользовательская база",MAX(0,N('Исходные данные'!$B$57)/12),0)))</f>
        <v>0</v>
      </c>
      <c r="AN202">
        <f>IF(D202=1,-AM202*N('Исходные данные'!$B$50),0)</f>
        <v>0</v>
      </c>
      <c r="AO202">
        <f t="shared" si="130"/>
        <v>0</v>
      </c>
      <c r="AP202">
        <f>IF(OR(D202&lt;&gt;1,B202="",'Исходные данные'!$B$91="",N('Исходные данные'!$B$80)&lt;=0,'Исходные данные'!$B$88=""),0,IF(AND(YEAR(B202)=YEAR('Исходные данные'!$B$91),MONTH(B202)=MONTH('Исходные данные'!$B$91)),MAX(0,IF('Исходные данные'!$B$88="Последние 12 месяцев",SUMIFS($AI$2:$AI$194,$B$2:$B$194,"&gt;="&amp;EDATE(B202,-11),$B$2:$B$194,"&lt;="&amp;B202),IF('Исходные данные'!$B$88="Пользовательский NOI",N('Исходные данные'!$B$89),AO202))/N('Исходные данные'!$B$80)*(1+N('Исходные данные'!$B$81))),0))</f>
        <v>0</v>
      </c>
      <c r="AQ202">
        <f>-AP202*N('Исходные данные'!$B$73)</f>
        <v>0</v>
      </c>
      <c r="AR202">
        <f>IF(AP202=0,0,-N('Исходные данные'!$B$87)-IF('Исходные данные'!$B$82="Да",IF('Исходные данные'!$B$84="С выручки",AP202,IF('Исходные данные'!$B$84="С прибыли",MAX(0,AP202+AQ202-IF('Исходные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02">
        <f t="shared" si="143"/>
        <v>0</v>
      </c>
      <c r="AT202">
        <f>IF(D202=1,Расчёты!AZ202+AH202+AK202+AN202+AS202,0)</f>
        <v>0</v>
      </c>
      <c r="AU202" t="str">
        <f t="shared" si="131"/>
        <v/>
      </c>
      <c r="AV202">
        <f>IF(OR(D202=0,'Исходные данные'!$B$9="",'Исходные данные'!$B$90=""),0,AT202/(1+'Исходные данные'!$B$90)^((C202-'Исходные данные'!$B$9)/365))</f>
        <v>0</v>
      </c>
      <c r="AW202">
        <f>IF(D202=1,AH202+Расчёты!O202+Расчёты!Q202+Расчёты!S202+Расчёты!U202+Расчёты!W202+Расчёты!X202+AK202+AN202,0)</f>
        <v>0</v>
      </c>
      <c r="AX202">
        <f>IF(AND(D202=1,AU202&gt;=0,AU201&lt;0,MIN($AU$2:AU202)&lt;0),1,0)</f>
        <v>0</v>
      </c>
      <c r="AY202">
        <f>IF(Расчёты!F202=0,0,IF(Расчёты!G202=1,N('Сценарный анализ'!$D$5),IF(Расчёты!G202=2,N('Сценарный анализ'!$D$6),IF(Расчёты!G202=3,N('Сценарный анализ'!$D$7),N('Сценарный анализ'!$D$7)*(1+N('Сценарный анализ'!$D$8))^(Расчёты!G202-3)))))</f>
        <v>0</v>
      </c>
      <c r="AZ202">
        <f>IF(OR(Расчёты!F202=0,N('Исходные данные'!$B$5)=0,AY202=0),0,N('Исходные данные'!$B$5)*AY202*IF(AND(B202&lt;='Исходные данные'!$B$30,Расчёты!C202&gt;='Исходные данные'!$B$30),(Расчёты!C202-'Исходные данные'!$B$30+1)/DAY(Расчёты!C202),1))</f>
        <v>0</v>
      </c>
      <c r="BA202">
        <f>IF(AND(Расчёты!F202&gt;0,Расчёты!F202&lt;=N('Исходные данные'!$B$37)),-AZ202,0)</f>
        <v>0</v>
      </c>
      <c r="BB202">
        <f>IF(OR(Расчёты!F202=0,Расчёты!F202&lt;=N('Исходные данные'!$B$37)),0,-(AZ202+BA202)*N('Сценарный анализ'!$D$9))</f>
        <v>0</v>
      </c>
      <c r="BC202">
        <f t="shared" si="144"/>
        <v>0</v>
      </c>
      <c r="BD202">
        <f>IF('Исходные данные'!$B$51="Да",BC202*N('Исходные данные'!$B$52),0)</f>
        <v>0</v>
      </c>
      <c r="BE202">
        <f t="shared" si="145"/>
        <v>0</v>
      </c>
      <c r="BF202">
        <f>BC202+(Расчёты!Y202-Расчёты!L202)</f>
        <v>0</v>
      </c>
      <c r="BG202">
        <f t="shared" si="132"/>
        <v>0</v>
      </c>
      <c r="BH202">
        <f>IF('Исходные данные'!$B$51="Да",-MAX(0,BD202+Расчёты!R202+Расчёты!V202-Расчёты!P202-Расчёты!T202-BG202),0)</f>
        <v>0</v>
      </c>
      <c r="BI202">
        <f>IF('Исходные данные'!$B$51="Да",MAX(0,BG202+Расчёты!P202+Расчёты!T202-BD202-Расчёты!R202-Расчёты!V202),0)</f>
        <v>0</v>
      </c>
      <c r="BJ202">
        <f>IF('Исходные данные'!$B$53="Выручка",MAX(0,BC202+(Расчёты!Q202-Расчёты!R202)+(Расчёты!U202-Расчёты!V202)),IF('Исходные данные'!$B$53="Прибыль до налога",MAX(0,BC202+(Расчёты!Q202-Расчёты!R202)+(Расчёты!U202-Расчёты!V202)+N('Исходные данные'!$B$54)*((Расчёты!O202+Расчёты!P202)+(Расчёты!S202+Расчёты!T202)+Расчёты!W202+Расчёты!X202)+IF('Исходные данные'!$B$55="Да",Расчёты!AG202,0)-N('Исходные данные'!$B$56)/12),IF('Исходные данные'!$B$53="Пользовательская база",MAX(0,N('Исходные данные'!$B$57)/12),0)))</f>
        <v>0</v>
      </c>
      <c r="BK202">
        <f>IF(D202=1,-BJ202*N('Исходные данные'!$B$50),0)</f>
        <v>0</v>
      </c>
      <c r="BL202">
        <f t="shared" si="133"/>
        <v>0</v>
      </c>
      <c r="BM202">
        <f>IF(OR(D202&lt;&gt;1,B202="",'Исходные данные'!$B$91="",N('Исходные данные'!$B$80)&lt;=0,'Исходные данные'!$B$88=""),0,IF(AND(YEAR(B202)=YEAR('Исходные данные'!$B$91),MONTH(B202)=MONTH('Исходные данные'!$B$91)),MAX(0,IF('Исходные данные'!$B$88="Последние 12 месяцев",SUMIFS($BF$2:$BF$194,$B$2:$B$194,"&gt;="&amp;EDATE(B202,-11),$B$2:$B$194,"&lt;="&amp;B202),IF('Исходные данные'!$B$88="Пользовательский NOI",N('Исходные данные'!$B$89),BL202))/N('Исходные данные'!$B$80)*(1+N('Исходные данные'!$B$81))),0))</f>
        <v>0</v>
      </c>
      <c r="BN202">
        <f>-BM202*N('Исходные данные'!$B$73)</f>
        <v>0</v>
      </c>
      <c r="BO202">
        <f>IF(BM202=0,0,-N('Исходные данные'!$B$87)-IF('Исходные данные'!$B$82="Да",IF('Исходные данные'!$B$84="С выручки",BM202,IF('Исходные данные'!$B$84="С прибыли",MAX(0,BM202+BN202-IF('Исходные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02">
        <f t="shared" si="146"/>
        <v>0</v>
      </c>
      <c r="BQ202">
        <f>IF(D202=1,Расчёты!AZ202+BE202+BH202+BK202+BP202,0)</f>
        <v>0</v>
      </c>
      <c r="BR202" t="str">
        <f t="shared" si="134"/>
        <v/>
      </c>
      <c r="BS202">
        <f>IF(OR(D202=0,'Исходные данные'!$B$9="",'Исходные данные'!$B$90=""),0,BQ202/(1+'Исходные данные'!$B$90)^((C202-'Исходные данные'!$B$9)/365))</f>
        <v>0</v>
      </c>
      <c r="BT202">
        <f>IF(D202=1,BE202+Расчёты!O202+Расчёты!Q202+Расчёты!S202+Расчёты!U202+Расчёты!W202+Расчёты!X202+BH202+BK202,0)</f>
        <v>0</v>
      </c>
      <c r="BU202">
        <f>IF(AND(D202=1,BR202&gt;=0,BR201&lt;0,MIN($BR$2:BR202)&lt;0),1,0)</f>
        <v>0</v>
      </c>
      <c r="BV202">
        <f>Расчёты!AZ202+K202+N202-P202*N('Исходные данные'!$B$50)</f>
        <v>0</v>
      </c>
      <c r="BW202">
        <f t="shared" si="135"/>
        <v>0</v>
      </c>
      <c r="BX202">
        <f>IF(AND(BW202&gt;=0,BW201&lt;0,MIN($BW$2:BW202)&lt;0),1,0)</f>
        <v>0</v>
      </c>
      <c r="BY202">
        <f>Расчёты!AZ202+AH202+AK202-AM202*N('Исходные данные'!$B$50)</f>
        <v>0</v>
      </c>
      <c r="BZ202">
        <f t="shared" si="136"/>
        <v>0</v>
      </c>
      <c r="CA202">
        <f>IF(AND(BZ202&gt;=0,BZ201&lt;0,MIN($BZ$2:BZ202)&lt;0),1,0)</f>
        <v>0</v>
      </c>
      <c r="CB202">
        <f>Расчёты!AZ202+BE202+BH202-BJ202*N('Исходные данные'!$B$50)</f>
        <v>0</v>
      </c>
      <c r="CC202">
        <f t="shared" si="137"/>
        <v>0</v>
      </c>
      <c r="CD202">
        <f>IF(AND(CC202&gt;=0,CC201&lt;0,MIN($CC$2:CC202)&lt;0),1,0)</f>
        <v>0</v>
      </c>
    </row>
    <row r="203" spans="1:82" x14ac:dyDescent="0.2">
      <c r="A203">
        <f>Расчёты!A203</f>
        <v>202</v>
      </c>
      <c r="B203" t="str">
        <f>Расчёты!B203</f>
        <v/>
      </c>
      <c r="C203" t="str">
        <f>Расчёты!D203</f>
        <v/>
      </c>
      <c r="D203">
        <f>Расчёты!E203</f>
        <v>0</v>
      </c>
      <c r="E203">
        <f>IF(Расчёты!F203=0,0,IF(Расчёты!G203=1,N('Сценарный анализ'!$B$5),IF(Расчёты!G203=2,N('Сценарный анализ'!$B$6),IF(Расчёты!G203=3,N('Сценарный анализ'!$B$7),N('Сценарный анализ'!$B$7)*(1+N('Сценарный анализ'!$B$8))^(Расчёты!G203-3)))))</f>
        <v>0</v>
      </c>
      <c r="F203">
        <f>IF(OR(Расчёты!F203=0,N('Исходные данные'!$B$5)=0,E203=0),0,N('Исходные данные'!$B$5)*E203*IF(AND(B203&lt;='Исходные данные'!$B$30,Расчёты!C203&gt;='Исходные данные'!$B$30),(Расчёты!C203-'Исходные данные'!$B$30+1)/DAY(Расчёты!C203),1))</f>
        <v>0</v>
      </c>
      <c r="G203">
        <f>IF(AND(Расчёты!F203&gt;0,Расчёты!F203&lt;=N('Исходные данные'!$B$37)),-F203,0)</f>
        <v>0</v>
      </c>
      <c r="H203">
        <f>IF(OR(Расчёты!F203=0,Расчёты!F203&lt;=N('Исходные данные'!$B$37)),0,-(F203+G203)*N('Сценарный анализ'!$B$9))</f>
        <v>0</v>
      </c>
      <c r="I203">
        <f t="shared" si="138"/>
        <v>0</v>
      </c>
      <c r="J203">
        <f>IF('Исходные данные'!$B$51="Да",I203*N('Исходные данные'!$B$52),0)</f>
        <v>0</v>
      </c>
      <c r="K203">
        <f t="shared" si="139"/>
        <v>0</v>
      </c>
      <c r="L203">
        <f>I203+(Расчёты!Y203-Расчёты!L203)</f>
        <v>0</v>
      </c>
      <c r="M203">
        <f t="shared" si="126"/>
        <v>0</v>
      </c>
      <c r="N203">
        <f>IF('Исходные данные'!$B$51="Да",-MAX(0,J203+Расчёты!R203+Расчёты!V203-Расчёты!P203-Расчёты!T203-M203),0)</f>
        <v>0</v>
      </c>
      <c r="O203">
        <f>IF('Исходные данные'!$B$51="Да",MAX(0,M203+Расчёты!P203+Расчёты!T203-J203-Расчёты!R203-Расчёты!V203),0)</f>
        <v>0</v>
      </c>
      <c r="P203">
        <f>IF('Исходные данные'!$B$53="Выручка",MAX(0,I203+(Расчёты!Q203-Расчёты!R203)+(Расчёты!U203-Расчёты!V203)),IF('Исходные данные'!$B$53="Прибыль до налога",MAX(0,I203+(Расчёты!Q203-Расчёты!R203)+(Расчёты!U203-Расчёты!V203)+N('Исходные данные'!$B$54)*((Расчёты!O203+Расчёты!P203)+(Расчёты!S203+Расчёты!T203)+Расчёты!W203+Расчёты!X203)+IF('Исходные данные'!$B$55="Да",Расчёты!AG203,0)-N('Исходные данные'!$B$56)/12),IF('Исходные данные'!$B$53="Пользовательская база",MAX(0,N('Исходные данные'!$B$57)/12),0)))</f>
        <v>0</v>
      </c>
      <c r="Q203">
        <f>IF(D203=1,-P203*N('Исходные данные'!$B$50),0)</f>
        <v>0</v>
      </c>
      <c r="R203">
        <f t="shared" si="127"/>
        <v>0</v>
      </c>
      <c r="S203">
        <f>IF(OR(D203&lt;&gt;1,B203="",'Исходные данные'!$B$91="",N('Исходные данные'!$B$80)&lt;=0,'Исходные данные'!$B$88=""),0,IF(AND(YEAR(B203)=YEAR('Исходные данные'!$B$91),MONTH(B203)=MONTH('Исходные данные'!$B$91)),MAX(0,IF('Исходные данные'!$B$88="Последние 12 месяцев",SUMIFS($L$2:$L$194,$B$2:$B$194,"&gt;="&amp;EDATE(B203,-11),$B$2:$B$194,"&lt;="&amp;B203),IF('Исходные данные'!$B$88="Пользовательский NOI",N('Исходные данные'!$B$89),R203))/N('Исходные данные'!$B$80)*(1+N('Исходные данные'!$B$81))),0))</f>
        <v>0</v>
      </c>
      <c r="T203">
        <f>-S203*N('Исходные данные'!$B$73)</f>
        <v>0</v>
      </c>
      <c r="U203">
        <f>IF(S203=0,0,-N('Исходные данные'!$B$87)-IF('Исходные данные'!$B$82="Да",IF('Исходные данные'!$B$84="С выручки",S203,IF('Исходные данные'!$B$84="С прибыли",MAX(0,S203+T203-IF('Исходные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03">
        <f t="shared" si="140"/>
        <v>0</v>
      </c>
      <c r="W203">
        <f>IF(D203=1,Расчёты!AZ203+K203+N203+Q203+V203,0)</f>
        <v>0</v>
      </c>
      <c r="X203" t="str">
        <f t="shared" si="128"/>
        <v/>
      </c>
      <c r="Y203">
        <f>IF(OR(D203=0,'Исходные данные'!$B$9="",'Исходные данные'!$B$90=""),0,W203/(1+'Исходные данные'!$B$90)^((C203-'Исходные данные'!$B$9)/365))</f>
        <v>0</v>
      </c>
      <c r="Z203">
        <f>IF(D203=1,K203+Расчёты!O203+Расчёты!Q203+Расчёты!S203+Расчёты!U203+Расчёты!W203+Расчёты!X203+N203+Q203,0)</f>
        <v>0</v>
      </c>
      <c r="AA203">
        <f>IF(AND(D203=1,X203&gt;=0,X202&lt;0,MIN($X$2:X203)&lt;0),1,0)</f>
        <v>0</v>
      </c>
      <c r="AB203">
        <f>IF(Расчёты!F203=0,0,IF(Расчёты!G203=1,N('Сценарный анализ'!$C$5),IF(Расчёты!G203=2,N('Сценарный анализ'!$C$6),IF(Расчёты!G203=3,N('Сценарный анализ'!$C$7),N('Сценарный анализ'!$C$7)*(1+N('Сценарный анализ'!$C$8))^(Расчёты!G203-3)))))</f>
        <v>0</v>
      </c>
      <c r="AC203">
        <f>IF(OR(Расчёты!F203=0,N('Исходные данные'!$B$5)=0,AB203=0),0,N('Исходные данные'!$B$5)*AB203*IF(AND(B203&lt;='Исходные данные'!$B$30,Расчёты!C203&gt;='Исходные данные'!$B$30),(Расчёты!C203-'Исходные данные'!$B$30+1)/DAY(Расчёты!C203),1))</f>
        <v>0</v>
      </c>
      <c r="AD203">
        <f>IF(AND(Расчёты!F203&gt;0,Расчёты!F203&lt;=N('Исходные данные'!$B$37)),-AC203,0)</f>
        <v>0</v>
      </c>
      <c r="AE203">
        <f>IF(OR(Расчёты!F203=0,Расчёты!F203&lt;=N('Исходные данные'!$B$37)),0,-(AC203+AD203)*N('Сценарный анализ'!$C$9))</f>
        <v>0</v>
      </c>
      <c r="AF203">
        <f t="shared" si="141"/>
        <v>0</v>
      </c>
      <c r="AG203">
        <f>IF('Исходные данные'!$B$51="Да",AF203*N('Исходные данные'!$B$52),0)</f>
        <v>0</v>
      </c>
      <c r="AH203">
        <f t="shared" si="142"/>
        <v>0</v>
      </c>
      <c r="AI203">
        <f>AF203+(Расчёты!Y203-Расчёты!L203)</f>
        <v>0</v>
      </c>
      <c r="AJ203">
        <f t="shared" si="129"/>
        <v>0</v>
      </c>
      <c r="AK203">
        <f>IF('Исходные данные'!$B$51="Да",-MAX(0,AG203+Расчёты!R203+Расчёты!V203-Расчёты!P203-Расчёты!T203-AJ203),0)</f>
        <v>0</v>
      </c>
      <c r="AL203">
        <f>IF('Исходные данные'!$B$51="Да",MAX(0,AJ203+Расчёты!P203+Расчёты!T203-AG203-Расчёты!R203-Расчёты!V203),0)</f>
        <v>0</v>
      </c>
      <c r="AM203">
        <f>IF('Исходные данные'!$B$53="Выручка",MAX(0,AF203+(Расчёты!Q203-Расчёты!R203)+(Расчёты!U203-Расчёты!V203)),IF('Исходные данные'!$B$53="Прибыль до налога",MAX(0,AF203+(Расчёты!Q203-Расчёты!R203)+(Расчёты!U203-Расчёты!V203)+N('Исходные данные'!$B$54)*((Расчёты!O203+Расчёты!P203)+(Расчёты!S203+Расчёты!T203)+Расчёты!W203+Расчёты!X203)+IF('Исходные данные'!$B$55="Да",Расчёты!AG203,0)-N('Исходные данные'!$B$56)/12),IF('Исходные данные'!$B$53="Пользовательская база",MAX(0,N('Исходные данные'!$B$57)/12),0)))</f>
        <v>0</v>
      </c>
      <c r="AN203">
        <f>IF(D203=1,-AM203*N('Исходные данные'!$B$50),0)</f>
        <v>0</v>
      </c>
      <c r="AO203">
        <f t="shared" si="130"/>
        <v>0</v>
      </c>
      <c r="AP203">
        <f>IF(OR(D203&lt;&gt;1,B203="",'Исходные данные'!$B$91="",N('Исходные данные'!$B$80)&lt;=0,'Исходные данные'!$B$88=""),0,IF(AND(YEAR(B203)=YEAR('Исходные данные'!$B$91),MONTH(B203)=MONTH('Исходные данные'!$B$91)),MAX(0,IF('Исходные данные'!$B$88="Последние 12 месяцев",SUMIFS($AI$2:$AI$194,$B$2:$B$194,"&gt;="&amp;EDATE(B203,-11),$B$2:$B$194,"&lt;="&amp;B203),IF('Исходные данные'!$B$88="Пользовательский NOI",N('Исходные данные'!$B$89),AO203))/N('Исходные данные'!$B$80)*(1+N('Исходные данные'!$B$81))),0))</f>
        <v>0</v>
      </c>
      <c r="AQ203">
        <f>-AP203*N('Исходные данные'!$B$73)</f>
        <v>0</v>
      </c>
      <c r="AR203">
        <f>IF(AP203=0,0,-N('Исходные данные'!$B$87)-IF('Исходные данные'!$B$82="Да",IF('Исходные данные'!$B$84="С выручки",AP203,IF('Исходные данные'!$B$84="С прибыли",MAX(0,AP203+AQ203-IF('Исходные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03">
        <f t="shared" si="143"/>
        <v>0</v>
      </c>
      <c r="AT203">
        <f>IF(D203=1,Расчёты!AZ203+AH203+AK203+AN203+AS203,0)</f>
        <v>0</v>
      </c>
      <c r="AU203" t="str">
        <f t="shared" si="131"/>
        <v/>
      </c>
      <c r="AV203">
        <f>IF(OR(D203=0,'Исходные данные'!$B$9="",'Исходные данные'!$B$90=""),0,AT203/(1+'Исходные данные'!$B$90)^((C203-'Исходные данные'!$B$9)/365))</f>
        <v>0</v>
      </c>
      <c r="AW203">
        <f>IF(D203=1,AH203+Расчёты!O203+Расчёты!Q203+Расчёты!S203+Расчёты!U203+Расчёты!W203+Расчёты!X203+AK203+AN203,0)</f>
        <v>0</v>
      </c>
      <c r="AX203">
        <f>IF(AND(D203=1,AU203&gt;=0,AU202&lt;0,MIN($AU$2:AU203)&lt;0),1,0)</f>
        <v>0</v>
      </c>
      <c r="AY203">
        <f>IF(Расчёты!F203=0,0,IF(Расчёты!G203=1,N('Сценарный анализ'!$D$5),IF(Расчёты!G203=2,N('Сценарный анализ'!$D$6),IF(Расчёты!G203=3,N('Сценарный анализ'!$D$7),N('Сценарный анализ'!$D$7)*(1+N('Сценарный анализ'!$D$8))^(Расчёты!G203-3)))))</f>
        <v>0</v>
      </c>
      <c r="AZ203">
        <f>IF(OR(Расчёты!F203=0,N('Исходные данные'!$B$5)=0,AY203=0),0,N('Исходные данные'!$B$5)*AY203*IF(AND(B203&lt;='Исходные данные'!$B$30,Расчёты!C203&gt;='Исходные данные'!$B$30),(Расчёты!C203-'Исходные данные'!$B$30+1)/DAY(Расчёты!C203),1))</f>
        <v>0</v>
      </c>
      <c r="BA203">
        <f>IF(AND(Расчёты!F203&gt;0,Расчёты!F203&lt;=N('Исходные данные'!$B$37)),-AZ203,0)</f>
        <v>0</v>
      </c>
      <c r="BB203">
        <f>IF(OR(Расчёты!F203=0,Расчёты!F203&lt;=N('Исходные данные'!$B$37)),0,-(AZ203+BA203)*N('Сценарный анализ'!$D$9))</f>
        <v>0</v>
      </c>
      <c r="BC203">
        <f t="shared" si="144"/>
        <v>0</v>
      </c>
      <c r="BD203">
        <f>IF('Исходные данные'!$B$51="Да",BC203*N('Исходные данные'!$B$52),0)</f>
        <v>0</v>
      </c>
      <c r="BE203">
        <f t="shared" si="145"/>
        <v>0</v>
      </c>
      <c r="BF203">
        <f>BC203+(Расчёты!Y203-Расчёты!L203)</f>
        <v>0</v>
      </c>
      <c r="BG203">
        <f t="shared" si="132"/>
        <v>0</v>
      </c>
      <c r="BH203">
        <f>IF('Исходные данные'!$B$51="Да",-MAX(0,BD203+Расчёты!R203+Расчёты!V203-Расчёты!P203-Расчёты!T203-BG203),0)</f>
        <v>0</v>
      </c>
      <c r="BI203">
        <f>IF('Исходные данные'!$B$51="Да",MAX(0,BG203+Расчёты!P203+Расчёты!T203-BD203-Расчёты!R203-Расчёты!V203),0)</f>
        <v>0</v>
      </c>
      <c r="BJ203">
        <f>IF('Исходные данные'!$B$53="Выручка",MAX(0,BC203+(Расчёты!Q203-Расчёты!R203)+(Расчёты!U203-Расчёты!V203)),IF('Исходные данные'!$B$53="Прибыль до налога",MAX(0,BC203+(Расчёты!Q203-Расчёты!R203)+(Расчёты!U203-Расчёты!V203)+N('Исходные данные'!$B$54)*((Расчёты!O203+Расчёты!P203)+(Расчёты!S203+Расчёты!T203)+Расчёты!W203+Расчёты!X203)+IF('Исходные данные'!$B$55="Да",Расчёты!AG203,0)-N('Исходные данные'!$B$56)/12),IF('Исходные данные'!$B$53="Пользовательская база",MAX(0,N('Исходные данные'!$B$57)/12),0)))</f>
        <v>0</v>
      </c>
      <c r="BK203">
        <f>IF(D203=1,-BJ203*N('Исходные данные'!$B$50),0)</f>
        <v>0</v>
      </c>
      <c r="BL203">
        <f t="shared" si="133"/>
        <v>0</v>
      </c>
      <c r="BM203">
        <f>IF(OR(D203&lt;&gt;1,B203="",'Исходные данные'!$B$91="",N('Исходные данные'!$B$80)&lt;=0,'Исходные данные'!$B$88=""),0,IF(AND(YEAR(B203)=YEAR('Исходные данные'!$B$91),MONTH(B203)=MONTH('Исходные данные'!$B$91)),MAX(0,IF('Исходные данные'!$B$88="Последние 12 месяцев",SUMIFS($BF$2:$BF$194,$B$2:$B$194,"&gt;="&amp;EDATE(B203,-11),$B$2:$B$194,"&lt;="&amp;B203),IF('Исходные данные'!$B$88="Пользовательский NOI",N('Исходные данные'!$B$89),BL203))/N('Исходные данные'!$B$80)*(1+N('Исходные данные'!$B$81))),0))</f>
        <v>0</v>
      </c>
      <c r="BN203">
        <f>-BM203*N('Исходные данные'!$B$73)</f>
        <v>0</v>
      </c>
      <c r="BO203">
        <f>IF(BM203=0,0,-N('Исходные данные'!$B$87)-IF('Исходные данные'!$B$82="Да",IF('Исходные данные'!$B$84="С выручки",BM203,IF('Исходные данные'!$B$84="С прибыли",MAX(0,BM203+BN203-IF('Исходные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03">
        <f t="shared" si="146"/>
        <v>0</v>
      </c>
      <c r="BQ203">
        <f>IF(D203=1,Расчёты!AZ203+BE203+BH203+BK203+BP203,0)</f>
        <v>0</v>
      </c>
      <c r="BR203" t="str">
        <f t="shared" si="134"/>
        <v/>
      </c>
      <c r="BS203">
        <f>IF(OR(D203=0,'Исходные данные'!$B$9="",'Исходные данные'!$B$90=""),0,BQ203/(1+'Исходные данные'!$B$90)^((C203-'Исходные данные'!$B$9)/365))</f>
        <v>0</v>
      </c>
      <c r="BT203">
        <f>IF(D203=1,BE203+Расчёты!O203+Расчёты!Q203+Расчёты!S203+Расчёты!U203+Расчёты!W203+Расчёты!X203+BH203+BK203,0)</f>
        <v>0</v>
      </c>
      <c r="BU203">
        <f>IF(AND(D203=1,BR203&gt;=0,BR202&lt;0,MIN($BR$2:BR203)&lt;0),1,0)</f>
        <v>0</v>
      </c>
      <c r="BV203">
        <f>Расчёты!AZ203+K203+N203-P203*N('Исходные данные'!$B$50)</f>
        <v>0</v>
      </c>
      <c r="BW203">
        <f t="shared" si="135"/>
        <v>0</v>
      </c>
      <c r="BX203">
        <f>IF(AND(BW203&gt;=0,BW202&lt;0,MIN($BW$2:BW203)&lt;0),1,0)</f>
        <v>0</v>
      </c>
      <c r="BY203">
        <f>Расчёты!AZ203+AH203+AK203-AM203*N('Исходные данные'!$B$50)</f>
        <v>0</v>
      </c>
      <c r="BZ203">
        <f t="shared" si="136"/>
        <v>0</v>
      </c>
      <c r="CA203">
        <f>IF(AND(BZ203&gt;=0,BZ202&lt;0,MIN($BZ$2:BZ203)&lt;0),1,0)</f>
        <v>0</v>
      </c>
      <c r="CB203">
        <f>Расчёты!AZ203+BE203+BH203-BJ203*N('Исходные данные'!$B$50)</f>
        <v>0</v>
      </c>
      <c r="CC203">
        <f t="shared" si="137"/>
        <v>0</v>
      </c>
      <c r="CD203">
        <f>IF(AND(CC203&gt;=0,CC202&lt;0,MIN($CC$2:CC203)&lt;0),1,0)</f>
        <v>0</v>
      </c>
    </row>
    <row r="204" spans="1:82" x14ac:dyDescent="0.2">
      <c r="A204">
        <f>Расчёты!A204</f>
        <v>203</v>
      </c>
      <c r="B204" t="str">
        <f>Расчёты!B204</f>
        <v/>
      </c>
      <c r="C204" t="str">
        <f>Расчёты!D204</f>
        <v/>
      </c>
      <c r="D204">
        <f>Расчёты!E204</f>
        <v>0</v>
      </c>
      <c r="E204">
        <f>IF(Расчёты!F204=0,0,IF(Расчёты!G204=1,N('Сценарный анализ'!$B$5),IF(Расчёты!G204=2,N('Сценарный анализ'!$B$6),IF(Расчёты!G204=3,N('Сценарный анализ'!$B$7),N('Сценарный анализ'!$B$7)*(1+N('Сценарный анализ'!$B$8))^(Расчёты!G204-3)))))</f>
        <v>0</v>
      </c>
      <c r="F204">
        <f>IF(OR(Расчёты!F204=0,N('Исходные данные'!$B$5)=0,E204=0),0,N('Исходные данные'!$B$5)*E204*IF(AND(B204&lt;='Исходные данные'!$B$30,Расчёты!C204&gt;='Исходные данные'!$B$30),(Расчёты!C204-'Исходные данные'!$B$30+1)/DAY(Расчёты!C204),1))</f>
        <v>0</v>
      </c>
      <c r="G204">
        <f>IF(AND(Расчёты!F204&gt;0,Расчёты!F204&lt;=N('Исходные данные'!$B$37)),-F204,0)</f>
        <v>0</v>
      </c>
      <c r="H204">
        <f>IF(OR(Расчёты!F204=0,Расчёты!F204&lt;=N('Исходные данные'!$B$37)),0,-(F204+G204)*N('Сценарный анализ'!$B$9))</f>
        <v>0</v>
      </c>
      <c r="I204">
        <f t="shared" si="138"/>
        <v>0</v>
      </c>
      <c r="J204">
        <f>IF('Исходные данные'!$B$51="Да",I204*N('Исходные данные'!$B$52),0)</f>
        <v>0</v>
      </c>
      <c r="K204">
        <f t="shared" si="139"/>
        <v>0</v>
      </c>
      <c r="L204">
        <f>I204+(Расчёты!Y204-Расчёты!L204)</f>
        <v>0</v>
      </c>
      <c r="M204">
        <f t="shared" si="126"/>
        <v>0</v>
      </c>
      <c r="N204">
        <f>IF('Исходные данные'!$B$51="Да",-MAX(0,J204+Расчёты!R204+Расчёты!V204-Расчёты!P204-Расчёты!T204-M204),0)</f>
        <v>0</v>
      </c>
      <c r="O204">
        <f>IF('Исходные данные'!$B$51="Да",MAX(0,M204+Расчёты!P204+Расчёты!T204-J204-Расчёты!R204-Расчёты!V204),0)</f>
        <v>0</v>
      </c>
      <c r="P204">
        <f>IF('Исходные данные'!$B$53="Выручка",MAX(0,I204+(Расчёты!Q204-Расчёты!R204)+(Расчёты!U204-Расчёты!V204)),IF('Исходные данные'!$B$53="Прибыль до налога",MAX(0,I204+(Расчёты!Q204-Расчёты!R204)+(Расчёты!U204-Расчёты!V204)+N('Исходные данные'!$B$54)*((Расчёты!O204+Расчёты!P204)+(Расчёты!S204+Расчёты!T204)+Расчёты!W204+Расчёты!X204)+IF('Исходные данные'!$B$55="Да",Расчёты!AG204,0)-N('Исходные данные'!$B$56)/12),IF('Исходные данные'!$B$53="Пользовательская база",MAX(0,N('Исходные данные'!$B$57)/12),0)))</f>
        <v>0</v>
      </c>
      <c r="Q204">
        <f>IF(D204=1,-P204*N('Исходные данные'!$B$50),0)</f>
        <v>0</v>
      </c>
      <c r="R204">
        <f t="shared" si="127"/>
        <v>0</v>
      </c>
      <c r="S204">
        <f>IF(OR(D204&lt;&gt;1,B204="",'Исходные данные'!$B$91="",N('Исходные данные'!$B$80)&lt;=0,'Исходные данные'!$B$88=""),0,IF(AND(YEAR(B204)=YEAR('Исходные данные'!$B$91),MONTH(B204)=MONTH('Исходные данные'!$B$91)),MAX(0,IF('Исходные данные'!$B$88="Последние 12 месяцев",SUMIFS($L$2:$L$194,$B$2:$B$194,"&gt;="&amp;EDATE(B204,-11),$B$2:$B$194,"&lt;="&amp;B204),IF('Исходные данные'!$B$88="Пользовательский NOI",N('Исходные данные'!$B$89),R204))/N('Исходные данные'!$B$80)*(1+N('Исходные данные'!$B$81))),0))</f>
        <v>0</v>
      </c>
      <c r="T204">
        <f>-S204*N('Исходные данные'!$B$73)</f>
        <v>0</v>
      </c>
      <c r="U204">
        <f>IF(S204=0,0,-N('Исходные данные'!$B$87)-IF('Исходные данные'!$B$82="Да",IF('Исходные данные'!$B$84="С выручки",S204,IF('Исходные данные'!$B$84="С прибыли",MAX(0,S204+T204-IF('Исходные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04">
        <f t="shared" si="140"/>
        <v>0</v>
      </c>
      <c r="W204">
        <f>IF(D204=1,Расчёты!AZ204+K204+N204+Q204+V204,0)</f>
        <v>0</v>
      </c>
      <c r="X204" t="str">
        <f t="shared" si="128"/>
        <v/>
      </c>
      <c r="Y204">
        <f>IF(OR(D204=0,'Исходные данные'!$B$9="",'Исходные данные'!$B$90=""),0,W204/(1+'Исходные данные'!$B$90)^((C204-'Исходные данные'!$B$9)/365))</f>
        <v>0</v>
      </c>
      <c r="Z204">
        <f>IF(D204=1,K204+Расчёты!O204+Расчёты!Q204+Расчёты!S204+Расчёты!U204+Расчёты!W204+Расчёты!X204+N204+Q204,0)</f>
        <v>0</v>
      </c>
      <c r="AA204">
        <f>IF(AND(D204=1,X204&gt;=0,X203&lt;0,MIN($X$2:X204)&lt;0),1,0)</f>
        <v>0</v>
      </c>
      <c r="AB204">
        <f>IF(Расчёты!F204=0,0,IF(Расчёты!G204=1,N('Сценарный анализ'!$C$5),IF(Расчёты!G204=2,N('Сценарный анализ'!$C$6),IF(Расчёты!G204=3,N('Сценарный анализ'!$C$7),N('Сценарный анализ'!$C$7)*(1+N('Сценарный анализ'!$C$8))^(Расчёты!G204-3)))))</f>
        <v>0</v>
      </c>
      <c r="AC204">
        <f>IF(OR(Расчёты!F204=0,N('Исходные данные'!$B$5)=0,AB204=0),0,N('Исходные данные'!$B$5)*AB204*IF(AND(B204&lt;='Исходные данные'!$B$30,Расчёты!C204&gt;='Исходные данные'!$B$30),(Расчёты!C204-'Исходные данные'!$B$30+1)/DAY(Расчёты!C204),1))</f>
        <v>0</v>
      </c>
      <c r="AD204">
        <f>IF(AND(Расчёты!F204&gt;0,Расчёты!F204&lt;=N('Исходные данные'!$B$37)),-AC204,0)</f>
        <v>0</v>
      </c>
      <c r="AE204">
        <f>IF(OR(Расчёты!F204=0,Расчёты!F204&lt;=N('Исходные данные'!$B$37)),0,-(AC204+AD204)*N('Сценарный анализ'!$C$9))</f>
        <v>0</v>
      </c>
      <c r="AF204">
        <f t="shared" si="141"/>
        <v>0</v>
      </c>
      <c r="AG204">
        <f>IF('Исходные данные'!$B$51="Да",AF204*N('Исходные данные'!$B$52),0)</f>
        <v>0</v>
      </c>
      <c r="AH204">
        <f t="shared" si="142"/>
        <v>0</v>
      </c>
      <c r="AI204">
        <f>AF204+(Расчёты!Y204-Расчёты!L204)</f>
        <v>0</v>
      </c>
      <c r="AJ204">
        <f t="shared" si="129"/>
        <v>0</v>
      </c>
      <c r="AK204">
        <f>IF('Исходные данные'!$B$51="Да",-MAX(0,AG204+Расчёты!R204+Расчёты!V204-Расчёты!P204-Расчёты!T204-AJ204),0)</f>
        <v>0</v>
      </c>
      <c r="AL204">
        <f>IF('Исходные данные'!$B$51="Да",MAX(0,AJ204+Расчёты!P204+Расчёты!T204-AG204-Расчёты!R204-Расчёты!V204),0)</f>
        <v>0</v>
      </c>
      <c r="AM204">
        <f>IF('Исходные данные'!$B$53="Выручка",MAX(0,AF204+(Расчёты!Q204-Расчёты!R204)+(Расчёты!U204-Расчёты!V204)),IF('Исходные данные'!$B$53="Прибыль до налога",MAX(0,AF204+(Расчёты!Q204-Расчёты!R204)+(Расчёты!U204-Расчёты!V204)+N('Исходные данные'!$B$54)*((Расчёты!O204+Расчёты!P204)+(Расчёты!S204+Расчёты!T204)+Расчёты!W204+Расчёты!X204)+IF('Исходные данные'!$B$55="Да",Расчёты!AG204,0)-N('Исходные данные'!$B$56)/12),IF('Исходные данные'!$B$53="Пользовательская база",MAX(0,N('Исходные данные'!$B$57)/12),0)))</f>
        <v>0</v>
      </c>
      <c r="AN204">
        <f>IF(D204=1,-AM204*N('Исходные данные'!$B$50),0)</f>
        <v>0</v>
      </c>
      <c r="AO204">
        <f t="shared" si="130"/>
        <v>0</v>
      </c>
      <c r="AP204">
        <f>IF(OR(D204&lt;&gt;1,B204="",'Исходные данные'!$B$91="",N('Исходные данные'!$B$80)&lt;=0,'Исходные данные'!$B$88=""),0,IF(AND(YEAR(B204)=YEAR('Исходные данные'!$B$91),MONTH(B204)=MONTH('Исходные данные'!$B$91)),MAX(0,IF('Исходные данные'!$B$88="Последние 12 месяцев",SUMIFS($AI$2:$AI$194,$B$2:$B$194,"&gt;="&amp;EDATE(B204,-11),$B$2:$B$194,"&lt;="&amp;B204),IF('Исходные данные'!$B$88="Пользовательский NOI",N('Исходные данные'!$B$89),AO204))/N('Исходные данные'!$B$80)*(1+N('Исходные данные'!$B$81))),0))</f>
        <v>0</v>
      </c>
      <c r="AQ204">
        <f>-AP204*N('Исходные данные'!$B$73)</f>
        <v>0</v>
      </c>
      <c r="AR204">
        <f>IF(AP204=0,0,-N('Исходные данные'!$B$87)-IF('Исходные данные'!$B$82="Да",IF('Исходные данные'!$B$84="С выручки",AP204,IF('Исходные данные'!$B$84="С прибыли",MAX(0,AP204+AQ204-IF('Исходные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04">
        <f t="shared" si="143"/>
        <v>0</v>
      </c>
      <c r="AT204">
        <f>IF(D204=1,Расчёты!AZ204+AH204+AK204+AN204+AS204,0)</f>
        <v>0</v>
      </c>
      <c r="AU204" t="str">
        <f t="shared" si="131"/>
        <v/>
      </c>
      <c r="AV204">
        <f>IF(OR(D204=0,'Исходные данные'!$B$9="",'Исходные данные'!$B$90=""),0,AT204/(1+'Исходные данные'!$B$90)^((C204-'Исходные данные'!$B$9)/365))</f>
        <v>0</v>
      </c>
      <c r="AW204">
        <f>IF(D204=1,AH204+Расчёты!O204+Расчёты!Q204+Расчёты!S204+Расчёты!U204+Расчёты!W204+Расчёты!X204+AK204+AN204,0)</f>
        <v>0</v>
      </c>
      <c r="AX204">
        <f>IF(AND(D204=1,AU204&gt;=0,AU203&lt;0,MIN($AU$2:AU204)&lt;0),1,0)</f>
        <v>0</v>
      </c>
      <c r="AY204">
        <f>IF(Расчёты!F204=0,0,IF(Расчёты!G204=1,N('Сценарный анализ'!$D$5),IF(Расчёты!G204=2,N('Сценарный анализ'!$D$6),IF(Расчёты!G204=3,N('Сценарный анализ'!$D$7),N('Сценарный анализ'!$D$7)*(1+N('Сценарный анализ'!$D$8))^(Расчёты!G204-3)))))</f>
        <v>0</v>
      </c>
      <c r="AZ204">
        <f>IF(OR(Расчёты!F204=0,N('Исходные данные'!$B$5)=0,AY204=0),0,N('Исходные данные'!$B$5)*AY204*IF(AND(B204&lt;='Исходные данные'!$B$30,Расчёты!C204&gt;='Исходные данные'!$B$30),(Расчёты!C204-'Исходные данные'!$B$30+1)/DAY(Расчёты!C204),1))</f>
        <v>0</v>
      </c>
      <c r="BA204">
        <f>IF(AND(Расчёты!F204&gt;0,Расчёты!F204&lt;=N('Исходные данные'!$B$37)),-AZ204,0)</f>
        <v>0</v>
      </c>
      <c r="BB204">
        <f>IF(OR(Расчёты!F204=0,Расчёты!F204&lt;=N('Исходные данные'!$B$37)),0,-(AZ204+BA204)*N('Сценарный анализ'!$D$9))</f>
        <v>0</v>
      </c>
      <c r="BC204">
        <f t="shared" si="144"/>
        <v>0</v>
      </c>
      <c r="BD204">
        <f>IF('Исходные данные'!$B$51="Да",BC204*N('Исходные данные'!$B$52),0)</f>
        <v>0</v>
      </c>
      <c r="BE204">
        <f t="shared" si="145"/>
        <v>0</v>
      </c>
      <c r="BF204">
        <f>BC204+(Расчёты!Y204-Расчёты!L204)</f>
        <v>0</v>
      </c>
      <c r="BG204">
        <f t="shared" si="132"/>
        <v>0</v>
      </c>
      <c r="BH204">
        <f>IF('Исходные данные'!$B$51="Да",-MAX(0,BD204+Расчёты!R204+Расчёты!V204-Расчёты!P204-Расчёты!T204-BG204),0)</f>
        <v>0</v>
      </c>
      <c r="BI204">
        <f>IF('Исходные данные'!$B$51="Да",MAX(0,BG204+Расчёты!P204+Расчёты!T204-BD204-Расчёты!R204-Расчёты!V204),0)</f>
        <v>0</v>
      </c>
      <c r="BJ204">
        <f>IF('Исходные данные'!$B$53="Выручка",MAX(0,BC204+(Расчёты!Q204-Расчёты!R204)+(Расчёты!U204-Расчёты!V204)),IF('Исходные данные'!$B$53="Прибыль до налога",MAX(0,BC204+(Расчёты!Q204-Расчёты!R204)+(Расчёты!U204-Расчёты!V204)+N('Исходные данные'!$B$54)*((Расчёты!O204+Расчёты!P204)+(Расчёты!S204+Расчёты!T204)+Расчёты!W204+Расчёты!X204)+IF('Исходные данные'!$B$55="Да",Расчёты!AG204,0)-N('Исходные данные'!$B$56)/12),IF('Исходные данные'!$B$53="Пользовательская база",MAX(0,N('Исходные данные'!$B$57)/12),0)))</f>
        <v>0</v>
      </c>
      <c r="BK204">
        <f>IF(D204=1,-BJ204*N('Исходные данные'!$B$50),0)</f>
        <v>0</v>
      </c>
      <c r="BL204">
        <f t="shared" si="133"/>
        <v>0</v>
      </c>
      <c r="BM204">
        <f>IF(OR(D204&lt;&gt;1,B204="",'Исходные данные'!$B$91="",N('Исходные данные'!$B$80)&lt;=0,'Исходные данные'!$B$88=""),0,IF(AND(YEAR(B204)=YEAR('Исходные данные'!$B$91),MONTH(B204)=MONTH('Исходные данные'!$B$91)),MAX(0,IF('Исходные данные'!$B$88="Последние 12 месяцев",SUMIFS($BF$2:$BF$194,$B$2:$B$194,"&gt;="&amp;EDATE(B204,-11),$B$2:$B$194,"&lt;="&amp;B204),IF('Исходные данные'!$B$88="Пользовательский NOI",N('Исходные данные'!$B$89),BL204))/N('Исходные данные'!$B$80)*(1+N('Исходные данные'!$B$81))),0))</f>
        <v>0</v>
      </c>
      <c r="BN204">
        <f>-BM204*N('Исходные данные'!$B$73)</f>
        <v>0</v>
      </c>
      <c r="BO204">
        <f>IF(BM204=0,0,-N('Исходные данные'!$B$87)-IF('Исходные данные'!$B$82="Да",IF('Исходные данные'!$B$84="С выручки",BM204,IF('Исходные данные'!$B$84="С прибыли",MAX(0,BM204+BN204-IF('Исходные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04">
        <f t="shared" si="146"/>
        <v>0</v>
      </c>
      <c r="BQ204">
        <f>IF(D204=1,Расчёты!AZ204+BE204+BH204+BK204+BP204,0)</f>
        <v>0</v>
      </c>
      <c r="BR204" t="str">
        <f t="shared" si="134"/>
        <v/>
      </c>
      <c r="BS204">
        <f>IF(OR(D204=0,'Исходные данные'!$B$9="",'Исходные данные'!$B$90=""),0,BQ204/(1+'Исходные данные'!$B$90)^((C204-'Исходные данные'!$B$9)/365))</f>
        <v>0</v>
      </c>
      <c r="BT204">
        <f>IF(D204=1,BE204+Расчёты!O204+Расчёты!Q204+Расчёты!S204+Расчёты!U204+Расчёты!W204+Расчёты!X204+BH204+BK204,0)</f>
        <v>0</v>
      </c>
      <c r="BU204">
        <f>IF(AND(D204=1,BR204&gt;=0,BR203&lt;0,MIN($BR$2:BR204)&lt;0),1,0)</f>
        <v>0</v>
      </c>
      <c r="BV204">
        <f>Расчёты!AZ204+K204+N204-P204*N('Исходные данные'!$B$50)</f>
        <v>0</v>
      </c>
      <c r="BW204">
        <f t="shared" si="135"/>
        <v>0</v>
      </c>
      <c r="BX204">
        <f>IF(AND(BW204&gt;=0,BW203&lt;0,MIN($BW$2:BW204)&lt;0),1,0)</f>
        <v>0</v>
      </c>
      <c r="BY204">
        <f>Расчёты!AZ204+AH204+AK204-AM204*N('Исходные данные'!$B$50)</f>
        <v>0</v>
      </c>
      <c r="BZ204">
        <f t="shared" si="136"/>
        <v>0</v>
      </c>
      <c r="CA204">
        <f>IF(AND(BZ204&gt;=0,BZ203&lt;0,MIN($BZ$2:BZ204)&lt;0),1,0)</f>
        <v>0</v>
      </c>
      <c r="CB204">
        <f>Расчёты!AZ204+BE204+BH204-BJ204*N('Исходные данные'!$B$50)</f>
        <v>0</v>
      </c>
      <c r="CC204">
        <f t="shared" si="137"/>
        <v>0</v>
      </c>
      <c r="CD204">
        <f>IF(AND(CC204&gt;=0,CC203&lt;0,MIN($CC$2:CC204)&lt;0),1,0)</f>
        <v>0</v>
      </c>
    </row>
    <row r="205" spans="1:82" x14ac:dyDescent="0.2">
      <c r="A205">
        <f>Расчёты!A205</f>
        <v>204</v>
      </c>
      <c r="B205" t="str">
        <f>Расчёты!B205</f>
        <v/>
      </c>
      <c r="C205" t="str">
        <f>Расчёты!D205</f>
        <v/>
      </c>
      <c r="D205">
        <f>Расчёты!E205</f>
        <v>0</v>
      </c>
      <c r="E205">
        <f>IF(Расчёты!F205=0,0,IF(Расчёты!G205=1,N('Сценарный анализ'!$B$5),IF(Расчёты!G205=2,N('Сценарный анализ'!$B$6),IF(Расчёты!G205=3,N('Сценарный анализ'!$B$7),N('Сценарный анализ'!$B$7)*(1+N('Сценарный анализ'!$B$8))^(Расчёты!G205-3)))))</f>
        <v>0</v>
      </c>
      <c r="F205">
        <f>IF(OR(Расчёты!F205=0,N('Исходные данные'!$B$5)=0,E205=0),0,N('Исходные данные'!$B$5)*E205*IF(AND(B205&lt;='Исходные данные'!$B$30,Расчёты!C205&gt;='Исходные данные'!$B$30),(Расчёты!C205-'Исходные данные'!$B$30+1)/DAY(Расчёты!C205),1))</f>
        <v>0</v>
      </c>
      <c r="G205">
        <f>IF(AND(Расчёты!F205&gt;0,Расчёты!F205&lt;=N('Исходные данные'!$B$37)),-F205,0)</f>
        <v>0</v>
      </c>
      <c r="H205">
        <f>IF(OR(Расчёты!F205=0,Расчёты!F205&lt;=N('Исходные данные'!$B$37)),0,-(F205+G205)*N('Сценарный анализ'!$B$9))</f>
        <v>0</v>
      </c>
      <c r="I205">
        <f t="shared" si="138"/>
        <v>0</v>
      </c>
      <c r="J205">
        <f>IF('Исходные данные'!$B$51="Да",I205*N('Исходные данные'!$B$52),0)</f>
        <v>0</v>
      </c>
      <c r="K205">
        <f t="shared" si="139"/>
        <v>0</v>
      </c>
      <c r="L205">
        <f>I205+(Расчёты!Y205-Расчёты!L205)</f>
        <v>0</v>
      </c>
      <c r="M205">
        <f t="shared" si="126"/>
        <v>0</v>
      </c>
      <c r="N205">
        <f>IF('Исходные данные'!$B$51="Да",-MAX(0,J205+Расчёты!R205+Расчёты!V205-Расчёты!P205-Расчёты!T205-M205),0)</f>
        <v>0</v>
      </c>
      <c r="O205">
        <f>IF('Исходные данные'!$B$51="Да",MAX(0,M205+Расчёты!P205+Расчёты!T205-J205-Расчёты!R205-Расчёты!V205),0)</f>
        <v>0</v>
      </c>
      <c r="P205">
        <f>IF('Исходные данные'!$B$53="Выручка",MAX(0,I205+(Расчёты!Q205-Расчёты!R205)+(Расчёты!U205-Расчёты!V205)),IF('Исходные данные'!$B$53="Прибыль до налога",MAX(0,I205+(Расчёты!Q205-Расчёты!R205)+(Расчёты!U205-Расчёты!V205)+N('Исходные данные'!$B$54)*((Расчёты!O205+Расчёты!P205)+(Расчёты!S205+Расчёты!T205)+Расчёты!W205+Расчёты!X205)+IF('Исходные данные'!$B$55="Да",Расчёты!AG205,0)-N('Исходные данные'!$B$56)/12),IF('Исходные данные'!$B$53="Пользовательская база",MAX(0,N('Исходные данные'!$B$57)/12),0)))</f>
        <v>0</v>
      </c>
      <c r="Q205">
        <f>IF(D205=1,-P205*N('Исходные данные'!$B$50),0)</f>
        <v>0</v>
      </c>
      <c r="R205">
        <f t="shared" si="127"/>
        <v>0</v>
      </c>
      <c r="S205">
        <f>IF(OR(D205&lt;&gt;1,B205="",'Исходные данные'!$B$91="",N('Исходные данные'!$B$80)&lt;=0,'Исходные данные'!$B$88=""),0,IF(AND(YEAR(B205)=YEAR('Исходные данные'!$B$91),MONTH(B205)=MONTH('Исходные данные'!$B$91)),MAX(0,IF('Исходные данные'!$B$88="Последние 12 месяцев",SUMIFS($L$2:$L$194,$B$2:$B$194,"&gt;="&amp;EDATE(B205,-11),$B$2:$B$194,"&lt;="&amp;B205),IF('Исходные данные'!$B$88="Пользовательский NOI",N('Исходные данные'!$B$89),R205))/N('Исходные данные'!$B$80)*(1+N('Исходные данные'!$B$81))),0))</f>
        <v>0</v>
      </c>
      <c r="T205">
        <f>-S205*N('Исходные данные'!$B$73)</f>
        <v>0</v>
      </c>
      <c r="U205">
        <f>IF(S205=0,0,-N('Исходные данные'!$B$87)-IF('Исходные данные'!$B$82="Да",IF('Исходные данные'!$B$84="С выручки",S205,IF('Исходные данные'!$B$84="С прибыли",MAX(0,S205+T205-IF('Исходные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05">
        <f t="shared" si="140"/>
        <v>0</v>
      </c>
      <c r="W205">
        <f>IF(D205=1,Расчёты!AZ205+K205+N205+Q205+V205,0)</f>
        <v>0</v>
      </c>
      <c r="X205" t="str">
        <f t="shared" si="128"/>
        <v/>
      </c>
      <c r="Y205">
        <f>IF(OR(D205=0,'Исходные данные'!$B$9="",'Исходные данные'!$B$90=""),0,W205/(1+'Исходные данные'!$B$90)^((C205-'Исходные данные'!$B$9)/365))</f>
        <v>0</v>
      </c>
      <c r="Z205">
        <f>IF(D205=1,K205+Расчёты!O205+Расчёты!Q205+Расчёты!S205+Расчёты!U205+Расчёты!W205+Расчёты!X205+N205+Q205,0)</f>
        <v>0</v>
      </c>
      <c r="AA205">
        <f>IF(AND(D205=1,X205&gt;=0,X204&lt;0,MIN($X$2:X205)&lt;0),1,0)</f>
        <v>0</v>
      </c>
      <c r="AB205">
        <f>IF(Расчёты!F205=0,0,IF(Расчёты!G205=1,N('Сценарный анализ'!$C$5),IF(Расчёты!G205=2,N('Сценарный анализ'!$C$6),IF(Расчёты!G205=3,N('Сценарный анализ'!$C$7),N('Сценарный анализ'!$C$7)*(1+N('Сценарный анализ'!$C$8))^(Расчёты!G205-3)))))</f>
        <v>0</v>
      </c>
      <c r="AC205">
        <f>IF(OR(Расчёты!F205=0,N('Исходные данные'!$B$5)=0,AB205=0),0,N('Исходные данные'!$B$5)*AB205*IF(AND(B205&lt;='Исходные данные'!$B$30,Расчёты!C205&gt;='Исходные данные'!$B$30),(Расчёты!C205-'Исходные данные'!$B$30+1)/DAY(Расчёты!C205),1))</f>
        <v>0</v>
      </c>
      <c r="AD205">
        <f>IF(AND(Расчёты!F205&gt;0,Расчёты!F205&lt;=N('Исходные данные'!$B$37)),-AC205,0)</f>
        <v>0</v>
      </c>
      <c r="AE205">
        <f>IF(OR(Расчёты!F205=0,Расчёты!F205&lt;=N('Исходные данные'!$B$37)),0,-(AC205+AD205)*N('Сценарный анализ'!$C$9))</f>
        <v>0</v>
      </c>
      <c r="AF205">
        <f t="shared" si="141"/>
        <v>0</v>
      </c>
      <c r="AG205">
        <f>IF('Исходные данные'!$B$51="Да",AF205*N('Исходные данные'!$B$52),0)</f>
        <v>0</v>
      </c>
      <c r="AH205">
        <f t="shared" si="142"/>
        <v>0</v>
      </c>
      <c r="AI205">
        <f>AF205+(Расчёты!Y205-Расчёты!L205)</f>
        <v>0</v>
      </c>
      <c r="AJ205">
        <f t="shared" si="129"/>
        <v>0</v>
      </c>
      <c r="AK205">
        <f>IF('Исходные данные'!$B$51="Да",-MAX(0,AG205+Расчёты!R205+Расчёты!V205-Расчёты!P205-Расчёты!T205-AJ205),0)</f>
        <v>0</v>
      </c>
      <c r="AL205">
        <f>IF('Исходные данные'!$B$51="Да",MAX(0,AJ205+Расчёты!P205+Расчёты!T205-AG205-Расчёты!R205-Расчёты!V205),0)</f>
        <v>0</v>
      </c>
      <c r="AM205">
        <f>IF('Исходные данные'!$B$53="Выручка",MAX(0,AF205+(Расчёты!Q205-Расчёты!R205)+(Расчёты!U205-Расчёты!V205)),IF('Исходные данные'!$B$53="Прибыль до налога",MAX(0,AF205+(Расчёты!Q205-Расчёты!R205)+(Расчёты!U205-Расчёты!V205)+N('Исходные данные'!$B$54)*((Расчёты!O205+Расчёты!P205)+(Расчёты!S205+Расчёты!T205)+Расчёты!W205+Расчёты!X205)+IF('Исходные данные'!$B$55="Да",Расчёты!AG205,0)-N('Исходные данные'!$B$56)/12),IF('Исходные данные'!$B$53="Пользовательская база",MAX(0,N('Исходные данные'!$B$57)/12),0)))</f>
        <v>0</v>
      </c>
      <c r="AN205">
        <f>IF(D205=1,-AM205*N('Исходные данные'!$B$50),0)</f>
        <v>0</v>
      </c>
      <c r="AO205">
        <f t="shared" si="130"/>
        <v>0</v>
      </c>
      <c r="AP205">
        <f>IF(OR(D205&lt;&gt;1,B205="",'Исходные данные'!$B$91="",N('Исходные данные'!$B$80)&lt;=0,'Исходные данные'!$B$88=""),0,IF(AND(YEAR(B205)=YEAR('Исходные данные'!$B$91),MONTH(B205)=MONTH('Исходные данные'!$B$91)),MAX(0,IF('Исходные данные'!$B$88="Последние 12 месяцев",SUMIFS($AI$2:$AI$194,$B$2:$B$194,"&gt;="&amp;EDATE(B205,-11),$B$2:$B$194,"&lt;="&amp;B205),IF('Исходные данные'!$B$88="Пользовательский NOI",N('Исходные данные'!$B$89),AO205))/N('Исходные данные'!$B$80)*(1+N('Исходные данные'!$B$81))),0))</f>
        <v>0</v>
      </c>
      <c r="AQ205">
        <f>-AP205*N('Исходные данные'!$B$73)</f>
        <v>0</v>
      </c>
      <c r="AR205">
        <f>IF(AP205=0,0,-N('Исходные данные'!$B$87)-IF('Исходные данные'!$B$82="Да",IF('Исходные данные'!$B$84="С выручки",AP205,IF('Исходные данные'!$B$84="С прибыли",MAX(0,AP205+AQ205-IF('Исходные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05">
        <f t="shared" si="143"/>
        <v>0</v>
      </c>
      <c r="AT205">
        <f>IF(D205=1,Расчёты!AZ205+AH205+AK205+AN205+AS205,0)</f>
        <v>0</v>
      </c>
      <c r="AU205" t="str">
        <f t="shared" si="131"/>
        <v/>
      </c>
      <c r="AV205">
        <f>IF(OR(D205=0,'Исходные данные'!$B$9="",'Исходные данные'!$B$90=""),0,AT205/(1+'Исходные данные'!$B$90)^((C205-'Исходные данные'!$B$9)/365))</f>
        <v>0</v>
      </c>
      <c r="AW205">
        <f>IF(D205=1,AH205+Расчёты!O205+Расчёты!Q205+Расчёты!S205+Расчёты!U205+Расчёты!W205+Расчёты!X205+AK205+AN205,0)</f>
        <v>0</v>
      </c>
      <c r="AX205">
        <f>IF(AND(D205=1,AU205&gt;=0,AU204&lt;0,MIN($AU$2:AU205)&lt;0),1,0)</f>
        <v>0</v>
      </c>
      <c r="AY205">
        <f>IF(Расчёты!F205=0,0,IF(Расчёты!G205=1,N('Сценарный анализ'!$D$5),IF(Расчёты!G205=2,N('Сценарный анализ'!$D$6),IF(Расчёты!G205=3,N('Сценарный анализ'!$D$7),N('Сценарный анализ'!$D$7)*(1+N('Сценарный анализ'!$D$8))^(Расчёты!G205-3)))))</f>
        <v>0</v>
      </c>
      <c r="AZ205">
        <f>IF(OR(Расчёты!F205=0,N('Исходные данные'!$B$5)=0,AY205=0),0,N('Исходные данные'!$B$5)*AY205*IF(AND(B205&lt;='Исходные данные'!$B$30,Расчёты!C205&gt;='Исходные данные'!$B$30),(Расчёты!C205-'Исходные данные'!$B$30+1)/DAY(Расчёты!C205),1))</f>
        <v>0</v>
      </c>
      <c r="BA205">
        <f>IF(AND(Расчёты!F205&gt;0,Расчёты!F205&lt;=N('Исходные данные'!$B$37)),-AZ205,0)</f>
        <v>0</v>
      </c>
      <c r="BB205">
        <f>IF(OR(Расчёты!F205=0,Расчёты!F205&lt;=N('Исходные данные'!$B$37)),0,-(AZ205+BA205)*N('Сценарный анализ'!$D$9))</f>
        <v>0</v>
      </c>
      <c r="BC205">
        <f t="shared" si="144"/>
        <v>0</v>
      </c>
      <c r="BD205">
        <f>IF('Исходные данные'!$B$51="Да",BC205*N('Исходные данные'!$B$52),0)</f>
        <v>0</v>
      </c>
      <c r="BE205">
        <f t="shared" si="145"/>
        <v>0</v>
      </c>
      <c r="BF205">
        <f>BC205+(Расчёты!Y205-Расчёты!L205)</f>
        <v>0</v>
      </c>
      <c r="BG205">
        <f t="shared" si="132"/>
        <v>0</v>
      </c>
      <c r="BH205">
        <f>IF('Исходные данные'!$B$51="Да",-MAX(0,BD205+Расчёты!R205+Расчёты!V205-Расчёты!P205-Расчёты!T205-BG205),0)</f>
        <v>0</v>
      </c>
      <c r="BI205">
        <f>IF('Исходные данные'!$B$51="Да",MAX(0,BG205+Расчёты!P205+Расчёты!T205-BD205-Расчёты!R205-Расчёты!V205),0)</f>
        <v>0</v>
      </c>
      <c r="BJ205">
        <f>IF('Исходные данные'!$B$53="Выручка",MAX(0,BC205+(Расчёты!Q205-Расчёты!R205)+(Расчёты!U205-Расчёты!V205)),IF('Исходные данные'!$B$53="Прибыль до налога",MAX(0,BC205+(Расчёты!Q205-Расчёты!R205)+(Расчёты!U205-Расчёты!V205)+N('Исходные данные'!$B$54)*((Расчёты!O205+Расчёты!P205)+(Расчёты!S205+Расчёты!T205)+Расчёты!W205+Расчёты!X205)+IF('Исходные данные'!$B$55="Да",Расчёты!AG205,0)-N('Исходные данные'!$B$56)/12),IF('Исходные данные'!$B$53="Пользовательская база",MAX(0,N('Исходные данные'!$B$57)/12),0)))</f>
        <v>0</v>
      </c>
      <c r="BK205">
        <f>IF(D205=1,-BJ205*N('Исходные данные'!$B$50),0)</f>
        <v>0</v>
      </c>
      <c r="BL205">
        <f t="shared" si="133"/>
        <v>0</v>
      </c>
      <c r="BM205">
        <f>IF(OR(D205&lt;&gt;1,B205="",'Исходные данные'!$B$91="",N('Исходные данные'!$B$80)&lt;=0,'Исходные данные'!$B$88=""),0,IF(AND(YEAR(B205)=YEAR('Исходные данные'!$B$91),MONTH(B205)=MONTH('Исходные данные'!$B$91)),MAX(0,IF('Исходные данные'!$B$88="Последние 12 месяцев",SUMIFS($BF$2:$BF$194,$B$2:$B$194,"&gt;="&amp;EDATE(B205,-11),$B$2:$B$194,"&lt;="&amp;B205),IF('Исходные данные'!$B$88="Пользовательский NOI",N('Исходные данные'!$B$89),BL205))/N('Исходные данные'!$B$80)*(1+N('Исходные данные'!$B$81))),0))</f>
        <v>0</v>
      </c>
      <c r="BN205">
        <f>-BM205*N('Исходные данные'!$B$73)</f>
        <v>0</v>
      </c>
      <c r="BO205">
        <f>IF(BM205=0,0,-N('Исходные данные'!$B$87)-IF('Исходные данные'!$B$82="Да",IF('Исходные данные'!$B$84="С выручки",BM205,IF('Исходные данные'!$B$84="С прибыли",MAX(0,BM205+BN205-IF('Исходные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05">
        <f t="shared" si="146"/>
        <v>0</v>
      </c>
      <c r="BQ205">
        <f>IF(D205=1,Расчёты!AZ205+BE205+BH205+BK205+BP205,0)</f>
        <v>0</v>
      </c>
      <c r="BR205" t="str">
        <f t="shared" si="134"/>
        <v/>
      </c>
      <c r="BS205">
        <f>IF(OR(D205=0,'Исходные данные'!$B$9="",'Исходные данные'!$B$90=""),0,BQ205/(1+'Исходные данные'!$B$90)^((C205-'Исходные данные'!$B$9)/365))</f>
        <v>0</v>
      </c>
      <c r="BT205">
        <f>IF(D205=1,BE205+Расчёты!O205+Расчёты!Q205+Расчёты!S205+Расчёты!U205+Расчёты!W205+Расчёты!X205+BH205+BK205,0)</f>
        <v>0</v>
      </c>
      <c r="BU205">
        <f>IF(AND(D205=1,BR205&gt;=0,BR204&lt;0,MIN($BR$2:BR205)&lt;0),1,0)</f>
        <v>0</v>
      </c>
      <c r="BV205">
        <f>Расчёты!AZ205+K205+N205-P205*N('Исходные данные'!$B$50)</f>
        <v>0</v>
      </c>
      <c r="BW205">
        <f t="shared" si="135"/>
        <v>0</v>
      </c>
      <c r="BX205">
        <f>IF(AND(BW205&gt;=0,BW204&lt;0,MIN($BW$2:BW205)&lt;0),1,0)</f>
        <v>0</v>
      </c>
      <c r="BY205">
        <f>Расчёты!AZ205+AH205+AK205-AM205*N('Исходные данные'!$B$50)</f>
        <v>0</v>
      </c>
      <c r="BZ205">
        <f t="shared" si="136"/>
        <v>0</v>
      </c>
      <c r="CA205">
        <f>IF(AND(BZ205&gt;=0,BZ204&lt;0,MIN($BZ$2:BZ205)&lt;0),1,0)</f>
        <v>0</v>
      </c>
      <c r="CB205">
        <f>Расчёты!AZ205+BE205+BH205-BJ205*N('Исходные данные'!$B$50)</f>
        <v>0</v>
      </c>
      <c r="CC205">
        <f t="shared" si="137"/>
        <v>0</v>
      </c>
      <c r="CD205">
        <f>IF(AND(CC205&gt;=0,CC204&lt;0,MIN($CC$2:CC205)&lt;0),1,0)</f>
        <v>0</v>
      </c>
    </row>
    <row r="206" spans="1:82" x14ac:dyDescent="0.2">
      <c r="A206">
        <f>Расчёты!A206</f>
        <v>205</v>
      </c>
      <c r="B206" t="str">
        <f>Расчёты!B206</f>
        <v/>
      </c>
      <c r="C206" t="str">
        <f>Расчёты!D206</f>
        <v/>
      </c>
      <c r="D206">
        <f>Расчёты!E206</f>
        <v>0</v>
      </c>
      <c r="E206">
        <f>IF(Расчёты!F206=0,0,IF(Расчёты!G206=1,N('Сценарный анализ'!$B$5),IF(Расчёты!G206=2,N('Сценарный анализ'!$B$6),IF(Расчёты!G206=3,N('Сценарный анализ'!$B$7),N('Сценарный анализ'!$B$7)*(1+N('Сценарный анализ'!$B$8))^(Расчёты!G206-3)))))</f>
        <v>0</v>
      </c>
      <c r="F206">
        <f>IF(OR(Расчёты!F206=0,N('Исходные данные'!$B$5)=0,E206=0),0,N('Исходные данные'!$B$5)*E206*IF(AND(B206&lt;='Исходные данные'!$B$30,Расчёты!C206&gt;='Исходные данные'!$B$30),(Расчёты!C206-'Исходные данные'!$B$30+1)/DAY(Расчёты!C206),1))</f>
        <v>0</v>
      </c>
      <c r="G206">
        <f>IF(AND(Расчёты!F206&gt;0,Расчёты!F206&lt;=N('Исходные данные'!$B$37)),-F206,0)</f>
        <v>0</v>
      </c>
      <c r="H206">
        <f>IF(OR(Расчёты!F206=0,Расчёты!F206&lt;=N('Исходные данные'!$B$37)),0,-(F206+G206)*N('Сценарный анализ'!$B$9))</f>
        <v>0</v>
      </c>
      <c r="I206">
        <f t="shared" si="138"/>
        <v>0</v>
      </c>
      <c r="J206">
        <f>IF('Исходные данные'!$B$51="Да",I206*N('Исходные данные'!$B$52),0)</f>
        <v>0</v>
      </c>
      <c r="K206">
        <f t="shared" si="139"/>
        <v>0</v>
      </c>
      <c r="L206">
        <f>I206+(Расчёты!Y206-Расчёты!L206)</f>
        <v>0</v>
      </c>
      <c r="M206">
        <f t="shared" si="126"/>
        <v>0</v>
      </c>
      <c r="N206">
        <f>IF('Исходные данные'!$B$51="Да",-MAX(0,J206+Расчёты!R206+Расчёты!V206-Расчёты!P206-Расчёты!T206-M206),0)</f>
        <v>0</v>
      </c>
      <c r="O206">
        <f>IF('Исходные данные'!$B$51="Да",MAX(0,M206+Расчёты!P206+Расчёты!T206-J206-Расчёты!R206-Расчёты!V206),0)</f>
        <v>0</v>
      </c>
      <c r="P206">
        <f>IF('Исходные данные'!$B$53="Выручка",MAX(0,I206+(Расчёты!Q206-Расчёты!R206)+(Расчёты!U206-Расчёты!V206)),IF('Исходные данные'!$B$53="Прибыль до налога",MAX(0,I206+(Расчёты!Q206-Расчёты!R206)+(Расчёты!U206-Расчёты!V206)+N('Исходные данные'!$B$54)*((Расчёты!O206+Расчёты!P206)+(Расчёты!S206+Расчёты!T206)+Расчёты!W206+Расчёты!X206)+IF('Исходные данные'!$B$55="Да",Расчёты!AG206,0)-N('Исходные данные'!$B$56)/12),IF('Исходные данные'!$B$53="Пользовательская база",MAX(0,N('Исходные данные'!$B$57)/12),0)))</f>
        <v>0</v>
      </c>
      <c r="Q206">
        <f>IF(D206=1,-P206*N('Исходные данные'!$B$50),0)</f>
        <v>0</v>
      </c>
      <c r="R206">
        <f t="shared" si="127"/>
        <v>0</v>
      </c>
      <c r="S206">
        <f>IF(OR(D206&lt;&gt;1,B206="",'Исходные данные'!$B$91="",N('Исходные данные'!$B$80)&lt;=0,'Исходные данные'!$B$88=""),0,IF(AND(YEAR(B206)=YEAR('Исходные данные'!$B$91),MONTH(B206)=MONTH('Исходные данные'!$B$91)),MAX(0,IF('Исходные данные'!$B$88="Последние 12 месяцев",SUMIFS($L$2:$L$194,$B$2:$B$194,"&gt;="&amp;EDATE(B206,-11),$B$2:$B$194,"&lt;="&amp;B206),IF('Исходные данные'!$B$88="Пользовательский NOI",N('Исходные данные'!$B$89),R206))/N('Исходные данные'!$B$80)*(1+N('Исходные данные'!$B$81))),0))</f>
        <v>0</v>
      </c>
      <c r="T206">
        <f>-S206*N('Исходные данные'!$B$73)</f>
        <v>0</v>
      </c>
      <c r="U206">
        <f>IF(S206=0,0,-N('Исходные данные'!$B$87)-IF('Исходные данные'!$B$82="Да",IF('Исходные данные'!$B$84="С выручки",S206,IF('Исходные данные'!$B$84="С прибыли",MAX(0,S206+T206-IF('Исходные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06">
        <f t="shared" si="140"/>
        <v>0</v>
      </c>
      <c r="W206">
        <f>IF(D206=1,Расчёты!AZ206+K206+N206+Q206+V206,0)</f>
        <v>0</v>
      </c>
      <c r="X206" t="str">
        <f t="shared" si="128"/>
        <v/>
      </c>
      <c r="Y206">
        <f>IF(OR(D206=0,'Исходные данные'!$B$9="",'Исходные данные'!$B$90=""),0,W206/(1+'Исходные данные'!$B$90)^((C206-'Исходные данные'!$B$9)/365))</f>
        <v>0</v>
      </c>
      <c r="Z206">
        <f>IF(D206=1,K206+Расчёты!O206+Расчёты!Q206+Расчёты!S206+Расчёты!U206+Расчёты!W206+Расчёты!X206+N206+Q206,0)</f>
        <v>0</v>
      </c>
      <c r="AA206">
        <f>IF(AND(D206=1,X206&gt;=0,X205&lt;0,MIN($X$2:X206)&lt;0),1,0)</f>
        <v>0</v>
      </c>
      <c r="AB206">
        <f>IF(Расчёты!F206=0,0,IF(Расчёты!G206=1,N('Сценарный анализ'!$C$5),IF(Расчёты!G206=2,N('Сценарный анализ'!$C$6),IF(Расчёты!G206=3,N('Сценарный анализ'!$C$7),N('Сценарный анализ'!$C$7)*(1+N('Сценарный анализ'!$C$8))^(Расчёты!G206-3)))))</f>
        <v>0</v>
      </c>
      <c r="AC206">
        <f>IF(OR(Расчёты!F206=0,N('Исходные данные'!$B$5)=0,AB206=0),0,N('Исходные данные'!$B$5)*AB206*IF(AND(B206&lt;='Исходные данные'!$B$30,Расчёты!C206&gt;='Исходные данные'!$B$30),(Расчёты!C206-'Исходные данные'!$B$30+1)/DAY(Расчёты!C206),1))</f>
        <v>0</v>
      </c>
      <c r="AD206">
        <f>IF(AND(Расчёты!F206&gt;0,Расчёты!F206&lt;=N('Исходные данные'!$B$37)),-AC206,0)</f>
        <v>0</v>
      </c>
      <c r="AE206">
        <f>IF(OR(Расчёты!F206=0,Расчёты!F206&lt;=N('Исходные данные'!$B$37)),0,-(AC206+AD206)*N('Сценарный анализ'!$C$9))</f>
        <v>0</v>
      </c>
      <c r="AF206">
        <f t="shared" si="141"/>
        <v>0</v>
      </c>
      <c r="AG206">
        <f>IF('Исходные данные'!$B$51="Да",AF206*N('Исходные данные'!$B$52),0)</f>
        <v>0</v>
      </c>
      <c r="AH206">
        <f t="shared" si="142"/>
        <v>0</v>
      </c>
      <c r="AI206">
        <f>AF206+(Расчёты!Y206-Расчёты!L206)</f>
        <v>0</v>
      </c>
      <c r="AJ206">
        <f t="shared" si="129"/>
        <v>0</v>
      </c>
      <c r="AK206">
        <f>IF('Исходные данные'!$B$51="Да",-MAX(0,AG206+Расчёты!R206+Расчёты!V206-Расчёты!P206-Расчёты!T206-AJ206),0)</f>
        <v>0</v>
      </c>
      <c r="AL206">
        <f>IF('Исходные данные'!$B$51="Да",MAX(0,AJ206+Расчёты!P206+Расчёты!T206-AG206-Расчёты!R206-Расчёты!V206),0)</f>
        <v>0</v>
      </c>
      <c r="AM206">
        <f>IF('Исходные данные'!$B$53="Выручка",MAX(0,AF206+(Расчёты!Q206-Расчёты!R206)+(Расчёты!U206-Расчёты!V206)),IF('Исходные данные'!$B$53="Прибыль до налога",MAX(0,AF206+(Расчёты!Q206-Расчёты!R206)+(Расчёты!U206-Расчёты!V206)+N('Исходные данные'!$B$54)*((Расчёты!O206+Расчёты!P206)+(Расчёты!S206+Расчёты!T206)+Расчёты!W206+Расчёты!X206)+IF('Исходные данные'!$B$55="Да",Расчёты!AG206,0)-N('Исходные данные'!$B$56)/12),IF('Исходные данные'!$B$53="Пользовательская база",MAX(0,N('Исходные данные'!$B$57)/12),0)))</f>
        <v>0</v>
      </c>
      <c r="AN206">
        <f>IF(D206=1,-AM206*N('Исходные данные'!$B$50),0)</f>
        <v>0</v>
      </c>
      <c r="AO206">
        <f t="shared" si="130"/>
        <v>0</v>
      </c>
      <c r="AP206">
        <f>IF(OR(D206&lt;&gt;1,B206="",'Исходные данные'!$B$91="",N('Исходные данные'!$B$80)&lt;=0,'Исходные данные'!$B$88=""),0,IF(AND(YEAR(B206)=YEAR('Исходные данные'!$B$91),MONTH(B206)=MONTH('Исходные данные'!$B$91)),MAX(0,IF('Исходные данные'!$B$88="Последние 12 месяцев",SUMIFS($AI$2:$AI$194,$B$2:$B$194,"&gt;="&amp;EDATE(B206,-11),$B$2:$B$194,"&lt;="&amp;B206),IF('Исходные данные'!$B$88="Пользовательский NOI",N('Исходные данные'!$B$89),AO206))/N('Исходные данные'!$B$80)*(1+N('Исходные данные'!$B$81))),0))</f>
        <v>0</v>
      </c>
      <c r="AQ206">
        <f>-AP206*N('Исходные данные'!$B$73)</f>
        <v>0</v>
      </c>
      <c r="AR206">
        <f>IF(AP206=0,0,-N('Исходные данные'!$B$87)-IF('Исходные данные'!$B$82="Да",IF('Исходные данные'!$B$84="С выручки",AP206,IF('Исходные данные'!$B$84="С прибыли",MAX(0,AP206+AQ206-IF('Исходные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06">
        <f t="shared" si="143"/>
        <v>0</v>
      </c>
      <c r="AT206">
        <f>IF(D206=1,Расчёты!AZ206+AH206+AK206+AN206+AS206,0)</f>
        <v>0</v>
      </c>
      <c r="AU206" t="str">
        <f t="shared" si="131"/>
        <v/>
      </c>
      <c r="AV206">
        <f>IF(OR(D206=0,'Исходные данные'!$B$9="",'Исходные данные'!$B$90=""),0,AT206/(1+'Исходные данные'!$B$90)^((C206-'Исходные данные'!$B$9)/365))</f>
        <v>0</v>
      </c>
      <c r="AW206">
        <f>IF(D206=1,AH206+Расчёты!O206+Расчёты!Q206+Расчёты!S206+Расчёты!U206+Расчёты!W206+Расчёты!X206+AK206+AN206,0)</f>
        <v>0</v>
      </c>
      <c r="AX206">
        <f>IF(AND(D206=1,AU206&gt;=0,AU205&lt;0,MIN($AU$2:AU206)&lt;0),1,0)</f>
        <v>0</v>
      </c>
      <c r="AY206">
        <f>IF(Расчёты!F206=0,0,IF(Расчёты!G206=1,N('Сценарный анализ'!$D$5),IF(Расчёты!G206=2,N('Сценарный анализ'!$D$6),IF(Расчёты!G206=3,N('Сценарный анализ'!$D$7),N('Сценарный анализ'!$D$7)*(1+N('Сценарный анализ'!$D$8))^(Расчёты!G206-3)))))</f>
        <v>0</v>
      </c>
      <c r="AZ206">
        <f>IF(OR(Расчёты!F206=0,N('Исходные данные'!$B$5)=0,AY206=0),0,N('Исходные данные'!$B$5)*AY206*IF(AND(B206&lt;='Исходные данные'!$B$30,Расчёты!C206&gt;='Исходные данные'!$B$30),(Расчёты!C206-'Исходные данные'!$B$30+1)/DAY(Расчёты!C206),1))</f>
        <v>0</v>
      </c>
      <c r="BA206">
        <f>IF(AND(Расчёты!F206&gt;0,Расчёты!F206&lt;=N('Исходные данные'!$B$37)),-AZ206,0)</f>
        <v>0</v>
      </c>
      <c r="BB206">
        <f>IF(OR(Расчёты!F206=0,Расчёты!F206&lt;=N('Исходные данные'!$B$37)),0,-(AZ206+BA206)*N('Сценарный анализ'!$D$9))</f>
        <v>0</v>
      </c>
      <c r="BC206">
        <f t="shared" si="144"/>
        <v>0</v>
      </c>
      <c r="BD206">
        <f>IF('Исходные данные'!$B$51="Да",BC206*N('Исходные данные'!$B$52),0)</f>
        <v>0</v>
      </c>
      <c r="BE206">
        <f t="shared" si="145"/>
        <v>0</v>
      </c>
      <c r="BF206">
        <f>BC206+(Расчёты!Y206-Расчёты!L206)</f>
        <v>0</v>
      </c>
      <c r="BG206">
        <f t="shared" si="132"/>
        <v>0</v>
      </c>
      <c r="BH206">
        <f>IF('Исходные данные'!$B$51="Да",-MAX(0,BD206+Расчёты!R206+Расчёты!V206-Расчёты!P206-Расчёты!T206-BG206),0)</f>
        <v>0</v>
      </c>
      <c r="BI206">
        <f>IF('Исходные данные'!$B$51="Да",MAX(0,BG206+Расчёты!P206+Расчёты!T206-BD206-Расчёты!R206-Расчёты!V206),0)</f>
        <v>0</v>
      </c>
      <c r="BJ206">
        <f>IF('Исходные данные'!$B$53="Выручка",MAX(0,BC206+(Расчёты!Q206-Расчёты!R206)+(Расчёты!U206-Расчёты!V206)),IF('Исходные данные'!$B$53="Прибыль до налога",MAX(0,BC206+(Расчёты!Q206-Расчёты!R206)+(Расчёты!U206-Расчёты!V206)+N('Исходные данные'!$B$54)*((Расчёты!O206+Расчёты!P206)+(Расчёты!S206+Расчёты!T206)+Расчёты!W206+Расчёты!X206)+IF('Исходные данные'!$B$55="Да",Расчёты!AG206,0)-N('Исходные данные'!$B$56)/12),IF('Исходные данные'!$B$53="Пользовательская база",MAX(0,N('Исходные данные'!$B$57)/12),0)))</f>
        <v>0</v>
      </c>
      <c r="BK206">
        <f>IF(D206=1,-BJ206*N('Исходные данные'!$B$50),0)</f>
        <v>0</v>
      </c>
      <c r="BL206">
        <f t="shared" si="133"/>
        <v>0</v>
      </c>
      <c r="BM206">
        <f>IF(OR(D206&lt;&gt;1,B206="",'Исходные данные'!$B$91="",N('Исходные данные'!$B$80)&lt;=0,'Исходные данные'!$B$88=""),0,IF(AND(YEAR(B206)=YEAR('Исходные данные'!$B$91),MONTH(B206)=MONTH('Исходные данные'!$B$91)),MAX(0,IF('Исходные данные'!$B$88="Последние 12 месяцев",SUMIFS($BF$2:$BF$194,$B$2:$B$194,"&gt;="&amp;EDATE(B206,-11),$B$2:$B$194,"&lt;="&amp;B206),IF('Исходные данные'!$B$88="Пользовательский NOI",N('Исходные данные'!$B$89),BL206))/N('Исходные данные'!$B$80)*(1+N('Исходные данные'!$B$81))),0))</f>
        <v>0</v>
      </c>
      <c r="BN206">
        <f>-BM206*N('Исходные данные'!$B$73)</f>
        <v>0</v>
      </c>
      <c r="BO206">
        <f>IF(BM206=0,0,-N('Исходные данные'!$B$87)-IF('Исходные данные'!$B$82="Да",IF('Исходные данные'!$B$84="С выручки",BM206,IF('Исходные данные'!$B$84="С прибыли",MAX(0,BM206+BN206-IF('Исходные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06">
        <f t="shared" si="146"/>
        <v>0</v>
      </c>
      <c r="BQ206">
        <f>IF(D206=1,Расчёты!AZ206+BE206+BH206+BK206+BP206,0)</f>
        <v>0</v>
      </c>
      <c r="BR206" t="str">
        <f t="shared" si="134"/>
        <v/>
      </c>
      <c r="BS206">
        <f>IF(OR(D206=0,'Исходные данные'!$B$9="",'Исходные данные'!$B$90=""),0,BQ206/(1+'Исходные данные'!$B$90)^((C206-'Исходные данные'!$B$9)/365))</f>
        <v>0</v>
      </c>
      <c r="BT206">
        <f>IF(D206=1,BE206+Расчёты!O206+Расчёты!Q206+Расчёты!S206+Расчёты!U206+Расчёты!W206+Расчёты!X206+BH206+BK206,0)</f>
        <v>0</v>
      </c>
      <c r="BU206">
        <f>IF(AND(D206=1,BR206&gt;=0,BR205&lt;0,MIN($BR$2:BR206)&lt;0),1,0)</f>
        <v>0</v>
      </c>
      <c r="BV206">
        <f>Расчёты!AZ206+K206+N206-P206*N('Исходные данные'!$B$50)</f>
        <v>0</v>
      </c>
      <c r="BW206">
        <f t="shared" si="135"/>
        <v>0</v>
      </c>
      <c r="BX206">
        <f>IF(AND(BW206&gt;=0,BW205&lt;0,MIN($BW$2:BW206)&lt;0),1,0)</f>
        <v>0</v>
      </c>
      <c r="BY206">
        <f>Расчёты!AZ206+AH206+AK206-AM206*N('Исходные данные'!$B$50)</f>
        <v>0</v>
      </c>
      <c r="BZ206">
        <f t="shared" si="136"/>
        <v>0</v>
      </c>
      <c r="CA206">
        <f>IF(AND(BZ206&gt;=0,BZ205&lt;0,MIN($BZ$2:BZ206)&lt;0),1,0)</f>
        <v>0</v>
      </c>
      <c r="CB206">
        <f>Расчёты!AZ206+BE206+BH206-BJ206*N('Исходные данные'!$B$50)</f>
        <v>0</v>
      </c>
      <c r="CC206">
        <f t="shared" si="137"/>
        <v>0</v>
      </c>
      <c r="CD206">
        <f>IF(AND(CC206&gt;=0,CC205&lt;0,MIN($CC$2:CC206)&lt;0),1,0)</f>
        <v>0</v>
      </c>
    </row>
    <row r="207" spans="1:82" x14ac:dyDescent="0.2">
      <c r="A207">
        <f>Расчёты!A207</f>
        <v>206</v>
      </c>
      <c r="B207" t="str">
        <f>Расчёты!B207</f>
        <v/>
      </c>
      <c r="C207" t="str">
        <f>Расчёты!D207</f>
        <v/>
      </c>
      <c r="D207">
        <f>Расчёты!E207</f>
        <v>0</v>
      </c>
      <c r="E207">
        <f>IF(Расчёты!F207=0,0,IF(Расчёты!G207=1,N('Сценарный анализ'!$B$5),IF(Расчёты!G207=2,N('Сценарный анализ'!$B$6),IF(Расчёты!G207=3,N('Сценарный анализ'!$B$7),N('Сценарный анализ'!$B$7)*(1+N('Сценарный анализ'!$B$8))^(Расчёты!G207-3)))))</f>
        <v>0</v>
      </c>
      <c r="F207">
        <f>IF(OR(Расчёты!F207=0,N('Исходные данные'!$B$5)=0,E207=0),0,N('Исходные данные'!$B$5)*E207*IF(AND(B207&lt;='Исходные данные'!$B$30,Расчёты!C207&gt;='Исходные данные'!$B$30),(Расчёты!C207-'Исходные данные'!$B$30+1)/DAY(Расчёты!C207),1))</f>
        <v>0</v>
      </c>
      <c r="G207">
        <f>IF(AND(Расчёты!F207&gt;0,Расчёты!F207&lt;=N('Исходные данные'!$B$37)),-F207,0)</f>
        <v>0</v>
      </c>
      <c r="H207">
        <f>IF(OR(Расчёты!F207=0,Расчёты!F207&lt;=N('Исходные данные'!$B$37)),0,-(F207+G207)*N('Сценарный анализ'!$B$9))</f>
        <v>0</v>
      </c>
      <c r="I207">
        <f t="shared" si="138"/>
        <v>0</v>
      </c>
      <c r="J207">
        <f>IF('Исходные данные'!$B$51="Да",I207*N('Исходные данные'!$B$52),0)</f>
        <v>0</v>
      </c>
      <c r="K207">
        <f t="shared" si="139"/>
        <v>0</v>
      </c>
      <c r="L207">
        <f>I207+(Расчёты!Y207-Расчёты!L207)</f>
        <v>0</v>
      </c>
      <c r="M207">
        <f t="shared" si="126"/>
        <v>0</v>
      </c>
      <c r="N207">
        <f>IF('Исходные данные'!$B$51="Да",-MAX(0,J207+Расчёты!R207+Расчёты!V207-Расчёты!P207-Расчёты!T207-M207),0)</f>
        <v>0</v>
      </c>
      <c r="O207">
        <f>IF('Исходные данные'!$B$51="Да",MAX(0,M207+Расчёты!P207+Расчёты!T207-J207-Расчёты!R207-Расчёты!V207),0)</f>
        <v>0</v>
      </c>
      <c r="P207">
        <f>IF('Исходные данные'!$B$53="Выручка",MAX(0,I207+(Расчёты!Q207-Расчёты!R207)+(Расчёты!U207-Расчёты!V207)),IF('Исходные данные'!$B$53="Прибыль до налога",MAX(0,I207+(Расчёты!Q207-Расчёты!R207)+(Расчёты!U207-Расчёты!V207)+N('Исходные данные'!$B$54)*((Расчёты!O207+Расчёты!P207)+(Расчёты!S207+Расчёты!T207)+Расчёты!W207+Расчёты!X207)+IF('Исходные данные'!$B$55="Да",Расчёты!AG207,0)-N('Исходные данные'!$B$56)/12),IF('Исходные данные'!$B$53="Пользовательская база",MAX(0,N('Исходные данные'!$B$57)/12),0)))</f>
        <v>0</v>
      </c>
      <c r="Q207">
        <f>IF(D207=1,-P207*N('Исходные данные'!$B$50),0)</f>
        <v>0</v>
      </c>
      <c r="R207">
        <f t="shared" si="127"/>
        <v>0</v>
      </c>
      <c r="S207">
        <f>IF(OR(D207&lt;&gt;1,B207="",'Исходные данные'!$B$91="",N('Исходные данные'!$B$80)&lt;=0,'Исходные данные'!$B$88=""),0,IF(AND(YEAR(B207)=YEAR('Исходные данные'!$B$91),MONTH(B207)=MONTH('Исходные данные'!$B$91)),MAX(0,IF('Исходные данные'!$B$88="Последние 12 месяцев",SUMIFS($L$2:$L$194,$B$2:$B$194,"&gt;="&amp;EDATE(B207,-11),$B$2:$B$194,"&lt;="&amp;B207),IF('Исходные данные'!$B$88="Пользовательский NOI",N('Исходные данные'!$B$89),R207))/N('Исходные данные'!$B$80)*(1+N('Исходные данные'!$B$81))),0))</f>
        <v>0</v>
      </c>
      <c r="T207">
        <f>-S207*N('Исходные данные'!$B$73)</f>
        <v>0</v>
      </c>
      <c r="U207">
        <f>IF(S207=0,0,-N('Исходные данные'!$B$87)-IF('Исходные данные'!$B$82="Да",IF('Исходные данные'!$B$84="С выручки",S207,IF('Исходные данные'!$B$84="С прибыли",MAX(0,S207+T207-IF('Исходные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07">
        <f t="shared" si="140"/>
        <v>0</v>
      </c>
      <c r="W207">
        <f>IF(D207=1,Расчёты!AZ207+K207+N207+Q207+V207,0)</f>
        <v>0</v>
      </c>
      <c r="X207" t="str">
        <f t="shared" si="128"/>
        <v/>
      </c>
      <c r="Y207">
        <f>IF(OR(D207=0,'Исходные данные'!$B$9="",'Исходные данные'!$B$90=""),0,W207/(1+'Исходные данные'!$B$90)^((C207-'Исходные данные'!$B$9)/365))</f>
        <v>0</v>
      </c>
      <c r="Z207">
        <f>IF(D207=1,K207+Расчёты!O207+Расчёты!Q207+Расчёты!S207+Расчёты!U207+Расчёты!W207+Расчёты!X207+N207+Q207,0)</f>
        <v>0</v>
      </c>
      <c r="AA207">
        <f>IF(AND(D207=1,X207&gt;=0,X206&lt;0,MIN($X$2:X207)&lt;0),1,0)</f>
        <v>0</v>
      </c>
      <c r="AB207">
        <f>IF(Расчёты!F207=0,0,IF(Расчёты!G207=1,N('Сценарный анализ'!$C$5),IF(Расчёты!G207=2,N('Сценарный анализ'!$C$6),IF(Расчёты!G207=3,N('Сценарный анализ'!$C$7),N('Сценарный анализ'!$C$7)*(1+N('Сценарный анализ'!$C$8))^(Расчёты!G207-3)))))</f>
        <v>0</v>
      </c>
      <c r="AC207">
        <f>IF(OR(Расчёты!F207=0,N('Исходные данные'!$B$5)=0,AB207=0),0,N('Исходные данные'!$B$5)*AB207*IF(AND(B207&lt;='Исходные данные'!$B$30,Расчёты!C207&gt;='Исходные данные'!$B$30),(Расчёты!C207-'Исходные данные'!$B$30+1)/DAY(Расчёты!C207),1))</f>
        <v>0</v>
      </c>
      <c r="AD207">
        <f>IF(AND(Расчёты!F207&gt;0,Расчёты!F207&lt;=N('Исходные данные'!$B$37)),-AC207,0)</f>
        <v>0</v>
      </c>
      <c r="AE207">
        <f>IF(OR(Расчёты!F207=0,Расчёты!F207&lt;=N('Исходные данные'!$B$37)),0,-(AC207+AD207)*N('Сценарный анализ'!$C$9))</f>
        <v>0</v>
      </c>
      <c r="AF207">
        <f t="shared" si="141"/>
        <v>0</v>
      </c>
      <c r="AG207">
        <f>IF('Исходные данные'!$B$51="Да",AF207*N('Исходные данные'!$B$52),0)</f>
        <v>0</v>
      </c>
      <c r="AH207">
        <f t="shared" si="142"/>
        <v>0</v>
      </c>
      <c r="AI207">
        <f>AF207+(Расчёты!Y207-Расчёты!L207)</f>
        <v>0</v>
      </c>
      <c r="AJ207">
        <f t="shared" si="129"/>
        <v>0</v>
      </c>
      <c r="AK207">
        <f>IF('Исходные данные'!$B$51="Да",-MAX(0,AG207+Расчёты!R207+Расчёты!V207-Расчёты!P207-Расчёты!T207-AJ207),0)</f>
        <v>0</v>
      </c>
      <c r="AL207">
        <f>IF('Исходные данные'!$B$51="Да",MAX(0,AJ207+Расчёты!P207+Расчёты!T207-AG207-Расчёты!R207-Расчёты!V207),0)</f>
        <v>0</v>
      </c>
      <c r="AM207">
        <f>IF('Исходные данные'!$B$53="Выручка",MAX(0,AF207+(Расчёты!Q207-Расчёты!R207)+(Расчёты!U207-Расчёты!V207)),IF('Исходные данные'!$B$53="Прибыль до налога",MAX(0,AF207+(Расчёты!Q207-Расчёты!R207)+(Расчёты!U207-Расчёты!V207)+N('Исходные данные'!$B$54)*((Расчёты!O207+Расчёты!P207)+(Расчёты!S207+Расчёты!T207)+Расчёты!W207+Расчёты!X207)+IF('Исходные данные'!$B$55="Да",Расчёты!AG207,0)-N('Исходные данные'!$B$56)/12),IF('Исходные данные'!$B$53="Пользовательская база",MAX(0,N('Исходные данные'!$B$57)/12),0)))</f>
        <v>0</v>
      </c>
      <c r="AN207">
        <f>IF(D207=1,-AM207*N('Исходные данные'!$B$50),0)</f>
        <v>0</v>
      </c>
      <c r="AO207">
        <f t="shared" si="130"/>
        <v>0</v>
      </c>
      <c r="AP207">
        <f>IF(OR(D207&lt;&gt;1,B207="",'Исходные данные'!$B$91="",N('Исходные данные'!$B$80)&lt;=0,'Исходные данные'!$B$88=""),0,IF(AND(YEAR(B207)=YEAR('Исходные данные'!$B$91),MONTH(B207)=MONTH('Исходные данные'!$B$91)),MAX(0,IF('Исходные данные'!$B$88="Последние 12 месяцев",SUMIFS($AI$2:$AI$194,$B$2:$B$194,"&gt;="&amp;EDATE(B207,-11),$B$2:$B$194,"&lt;="&amp;B207),IF('Исходные данные'!$B$88="Пользовательский NOI",N('Исходные данные'!$B$89),AO207))/N('Исходные данные'!$B$80)*(1+N('Исходные данные'!$B$81))),0))</f>
        <v>0</v>
      </c>
      <c r="AQ207">
        <f>-AP207*N('Исходные данные'!$B$73)</f>
        <v>0</v>
      </c>
      <c r="AR207">
        <f>IF(AP207=0,0,-N('Исходные данные'!$B$87)-IF('Исходные данные'!$B$82="Да",IF('Исходные данные'!$B$84="С выручки",AP207,IF('Исходные данные'!$B$84="С прибыли",MAX(0,AP207+AQ207-IF('Исходные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07">
        <f t="shared" si="143"/>
        <v>0</v>
      </c>
      <c r="AT207">
        <f>IF(D207=1,Расчёты!AZ207+AH207+AK207+AN207+AS207,0)</f>
        <v>0</v>
      </c>
      <c r="AU207" t="str">
        <f t="shared" si="131"/>
        <v/>
      </c>
      <c r="AV207">
        <f>IF(OR(D207=0,'Исходные данные'!$B$9="",'Исходные данные'!$B$90=""),0,AT207/(1+'Исходные данные'!$B$90)^((C207-'Исходные данные'!$B$9)/365))</f>
        <v>0</v>
      </c>
      <c r="AW207">
        <f>IF(D207=1,AH207+Расчёты!O207+Расчёты!Q207+Расчёты!S207+Расчёты!U207+Расчёты!W207+Расчёты!X207+AK207+AN207,0)</f>
        <v>0</v>
      </c>
      <c r="AX207">
        <f>IF(AND(D207=1,AU207&gt;=0,AU206&lt;0,MIN($AU$2:AU207)&lt;0),1,0)</f>
        <v>0</v>
      </c>
      <c r="AY207">
        <f>IF(Расчёты!F207=0,0,IF(Расчёты!G207=1,N('Сценарный анализ'!$D$5),IF(Расчёты!G207=2,N('Сценарный анализ'!$D$6),IF(Расчёты!G207=3,N('Сценарный анализ'!$D$7),N('Сценарный анализ'!$D$7)*(1+N('Сценарный анализ'!$D$8))^(Расчёты!G207-3)))))</f>
        <v>0</v>
      </c>
      <c r="AZ207">
        <f>IF(OR(Расчёты!F207=0,N('Исходные данные'!$B$5)=0,AY207=0),0,N('Исходные данные'!$B$5)*AY207*IF(AND(B207&lt;='Исходные данные'!$B$30,Расчёты!C207&gt;='Исходные данные'!$B$30),(Расчёты!C207-'Исходные данные'!$B$30+1)/DAY(Расчёты!C207),1))</f>
        <v>0</v>
      </c>
      <c r="BA207">
        <f>IF(AND(Расчёты!F207&gt;0,Расчёты!F207&lt;=N('Исходные данные'!$B$37)),-AZ207,0)</f>
        <v>0</v>
      </c>
      <c r="BB207">
        <f>IF(OR(Расчёты!F207=0,Расчёты!F207&lt;=N('Исходные данные'!$B$37)),0,-(AZ207+BA207)*N('Сценарный анализ'!$D$9))</f>
        <v>0</v>
      </c>
      <c r="BC207">
        <f t="shared" si="144"/>
        <v>0</v>
      </c>
      <c r="BD207">
        <f>IF('Исходные данные'!$B$51="Да",BC207*N('Исходные данные'!$B$52),0)</f>
        <v>0</v>
      </c>
      <c r="BE207">
        <f t="shared" si="145"/>
        <v>0</v>
      </c>
      <c r="BF207">
        <f>BC207+(Расчёты!Y207-Расчёты!L207)</f>
        <v>0</v>
      </c>
      <c r="BG207">
        <f t="shared" si="132"/>
        <v>0</v>
      </c>
      <c r="BH207">
        <f>IF('Исходные данные'!$B$51="Да",-MAX(0,BD207+Расчёты!R207+Расчёты!V207-Расчёты!P207-Расчёты!T207-BG207),0)</f>
        <v>0</v>
      </c>
      <c r="BI207">
        <f>IF('Исходные данные'!$B$51="Да",MAX(0,BG207+Расчёты!P207+Расчёты!T207-BD207-Расчёты!R207-Расчёты!V207),0)</f>
        <v>0</v>
      </c>
      <c r="BJ207">
        <f>IF('Исходные данные'!$B$53="Выручка",MAX(0,BC207+(Расчёты!Q207-Расчёты!R207)+(Расчёты!U207-Расчёты!V207)),IF('Исходные данные'!$B$53="Прибыль до налога",MAX(0,BC207+(Расчёты!Q207-Расчёты!R207)+(Расчёты!U207-Расчёты!V207)+N('Исходные данные'!$B$54)*((Расчёты!O207+Расчёты!P207)+(Расчёты!S207+Расчёты!T207)+Расчёты!W207+Расчёты!X207)+IF('Исходные данные'!$B$55="Да",Расчёты!AG207,0)-N('Исходные данные'!$B$56)/12),IF('Исходные данные'!$B$53="Пользовательская база",MAX(0,N('Исходные данные'!$B$57)/12),0)))</f>
        <v>0</v>
      </c>
      <c r="BK207">
        <f>IF(D207=1,-BJ207*N('Исходные данные'!$B$50),0)</f>
        <v>0</v>
      </c>
      <c r="BL207">
        <f t="shared" si="133"/>
        <v>0</v>
      </c>
      <c r="BM207">
        <f>IF(OR(D207&lt;&gt;1,B207="",'Исходные данные'!$B$91="",N('Исходные данные'!$B$80)&lt;=0,'Исходные данные'!$B$88=""),0,IF(AND(YEAR(B207)=YEAR('Исходные данные'!$B$91),MONTH(B207)=MONTH('Исходные данные'!$B$91)),MAX(0,IF('Исходные данные'!$B$88="Последние 12 месяцев",SUMIFS($BF$2:$BF$194,$B$2:$B$194,"&gt;="&amp;EDATE(B207,-11),$B$2:$B$194,"&lt;="&amp;B207),IF('Исходные данные'!$B$88="Пользовательский NOI",N('Исходные данные'!$B$89),BL207))/N('Исходные данные'!$B$80)*(1+N('Исходные данные'!$B$81))),0))</f>
        <v>0</v>
      </c>
      <c r="BN207">
        <f>-BM207*N('Исходные данные'!$B$73)</f>
        <v>0</v>
      </c>
      <c r="BO207">
        <f>IF(BM207=0,0,-N('Исходные данные'!$B$87)-IF('Исходные данные'!$B$82="Да",IF('Исходные данные'!$B$84="С выручки",BM207,IF('Исходные данные'!$B$84="С прибыли",MAX(0,BM207+BN207-IF('Исходные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07">
        <f t="shared" si="146"/>
        <v>0</v>
      </c>
      <c r="BQ207">
        <f>IF(D207=1,Расчёты!AZ207+BE207+BH207+BK207+BP207,0)</f>
        <v>0</v>
      </c>
      <c r="BR207" t="str">
        <f t="shared" si="134"/>
        <v/>
      </c>
      <c r="BS207">
        <f>IF(OR(D207=0,'Исходные данные'!$B$9="",'Исходные данные'!$B$90=""),0,BQ207/(1+'Исходные данные'!$B$90)^((C207-'Исходные данные'!$B$9)/365))</f>
        <v>0</v>
      </c>
      <c r="BT207">
        <f>IF(D207=1,BE207+Расчёты!O207+Расчёты!Q207+Расчёты!S207+Расчёты!U207+Расчёты!W207+Расчёты!X207+BH207+BK207,0)</f>
        <v>0</v>
      </c>
      <c r="BU207">
        <f>IF(AND(D207=1,BR207&gt;=0,BR206&lt;0,MIN($BR$2:BR207)&lt;0),1,0)</f>
        <v>0</v>
      </c>
      <c r="BV207">
        <f>Расчёты!AZ207+K207+N207-P207*N('Исходные данные'!$B$50)</f>
        <v>0</v>
      </c>
      <c r="BW207">
        <f t="shared" si="135"/>
        <v>0</v>
      </c>
      <c r="BX207">
        <f>IF(AND(BW207&gt;=0,BW206&lt;0,MIN($BW$2:BW207)&lt;0),1,0)</f>
        <v>0</v>
      </c>
      <c r="BY207">
        <f>Расчёты!AZ207+AH207+AK207-AM207*N('Исходные данные'!$B$50)</f>
        <v>0</v>
      </c>
      <c r="BZ207">
        <f t="shared" si="136"/>
        <v>0</v>
      </c>
      <c r="CA207">
        <f>IF(AND(BZ207&gt;=0,BZ206&lt;0,MIN($BZ$2:BZ207)&lt;0),1,0)</f>
        <v>0</v>
      </c>
      <c r="CB207">
        <f>Расчёты!AZ207+BE207+BH207-BJ207*N('Исходные данные'!$B$50)</f>
        <v>0</v>
      </c>
      <c r="CC207">
        <f t="shared" si="137"/>
        <v>0</v>
      </c>
      <c r="CD207">
        <f>IF(AND(CC207&gt;=0,CC206&lt;0,MIN($CC$2:CC207)&lt;0),1,0)</f>
        <v>0</v>
      </c>
    </row>
    <row r="208" spans="1:82" x14ac:dyDescent="0.2">
      <c r="A208">
        <f>Расчёты!A208</f>
        <v>207</v>
      </c>
      <c r="B208" t="str">
        <f>Расчёты!B208</f>
        <v/>
      </c>
      <c r="C208" t="str">
        <f>Расчёты!D208</f>
        <v/>
      </c>
      <c r="D208">
        <f>Расчёты!E208</f>
        <v>0</v>
      </c>
      <c r="E208">
        <f>IF(Расчёты!F208=0,0,IF(Расчёты!G208=1,N('Сценарный анализ'!$B$5),IF(Расчёты!G208=2,N('Сценарный анализ'!$B$6),IF(Расчёты!G208=3,N('Сценарный анализ'!$B$7),N('Сценарный анализ'!$B$7)*(1+N('Сценарный анализ'!$B$8))^(Расчёты!G208-3)))))</f>
        <v>0</v>
      </c>
      <c r="F208">
        <f>IF(OR(Расчёты!F208=0,N('Исходные данные'!$B$5)=0,E208=0),0,N('Исходные данные'!$B$5)*E208*IF(AND(B208&lt;='Исходные данные'!$B$30,Расчёты!C208&gt;='Исходные данные'!$B$30),(Расчёты!C208-'Исходные данные'!$B$30+1)/DAY(Расчёты!C208),1))</f>
        <v>0</v>
      </c>
      <c r="G208">
        <f>IF(AND(Расчёты!F208&gt;0,Расчёты!F208&lt;=N('Исходные данные'!$B$37)),-F208,0)</f>
        <v>0</v>
      </c>
      <c r="H208">
        <f>IF(OR(Расчёты!F208=0,Расчёты!F208&lt;=N('Исходные данные'!$B$37)),0,-(F208+G208)*N('Сценарный анализ'!$B$9))</f>
        <v>0</v>
      </c>
      <c r="I208">
        <f t="shared" si="138"/>
        <v>0</v>
      </c>
      <c r="J208">
        <f>IF('Исходные данные'!$B$51="Да",I208*N('Исходные данные'!$B$52),0)</f>
        <v>0</v>
      </c>
      <c r="K208">
        <f t="shared" si="139"/>
        <v>0</v>
      </c>
      <c r="L208">
        <f>I208+(Расчёты!Y208-Расчёты!L208)</f>
        <v>0</v>
      </c>
      <c r="M208">
        <f t="shared" si="126"/>
        <v>0</v>
      </c>
      <c r="N208">
        <f>IF('Исходные данные'!$B$51="Да",-MAX(0,J208+Расчёты!R208+Расчёты!V208-Расчёты!P208-Расчёты!T208-M208),0)</f>
        <v>0</v>
      </c>
      <c r="O208">
        <f>IF('Исходные данные'!$B$51="Да",MAX(0,M208+Расчёты!P208+Расчёты!T208-J208-Расчёты!R208-Расчёты!V208),0)</f>
        <v>0</v>
      </c>
      <c r="P208">
        <f>IF('Исходные данные'!$B$53="Выручка",MAX(0,I208+(Расчёты!Q208-Расчёты!R208)+(Расчёты!U208-Расчёты!V208)),IF('Исходные данные'!$B$53="Прибыль до налога",MAX(0,I208+(Расчёты!Q208-Расчёты!R208)+(Расчёты!U208-Расчёты!V208)+N('Исходные данные'!$B$54)*((Расчёты!O208+Расчёты!P208)+(Расчёты!S208+Расчёты!T208)+Расчёты!W208+Расчёты!X208)+IF('Исходные данные'!$B$55="Да",Расчёты!AG208,0)-N('Исходные данные'!$B$56)/12),IF('Исходные данные'!$B$53="Пользовательская база",MAX(0,N('Исходные данные'!$B$57)/12),0)))</f>
        <v>0</v>
      </c>
      <c r="Q208">
        <f>IF(D208=1,-P208*N('Исходные данные'!$B$50),0)</f>
        <v>0</v>
      </c>
      <c r="R208">
        <f t="shared" si="127"/>
        <v>0</v>
      </c>
      <c r="S208">
        <f>IF(OR(D208&lt;&gt;1,B208="",'Исходные данные'!$B$91="",N('Исходные данные'!$B$80)&lt;=0,'Исходные данные'!$B$88=""),0,IF(AND(YEAR(B208)=YEAR('Исходные данные'!$B$91),MONTH(B208)=MONTH('Исходные данные'!$B$91)),MAX(0,IF('Исходные данные'!$B$88="Последние 12 месяцев",SUMIFS($L$2:$L$194,$B$2:$B$194,"&gt;="&amp;EDATE(B208,-11),$B$2:$B$194,"&lt;="&amp;B208),IF('Исходные данные'!$B$88="Пользовательский NOI",N('Исходные данные'!$B$89),R208))/N('Исходные данные'!$B$80)*(1+N('Исходные данные'!$B$81))),0))</f>
        <v>0</v>
      </c>
      <c r="T208">
        <f>-S208*N('Исходные данные'!$B$73)</f>
        <v>0</v>
      </c>
      <c r="U208">
        <f>IF(S208=0,0,-N('Исходные данные'!$B$87)-IF('Исходные данные'!$B$82="Да",IF('Исходные данные'!$B$84="С выручки",S208,IF('Исходные данные'!$B$84="С прибыли",MAX(0,S208+T208-IF('Исходные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08">
        <f t="shared" si="140"/>
        <v>0</v>
      </c>
      <c r="W208">
        <f>IF(D208=1,Расчёты!AZ208+K208+N208+Q208+V208,0)</f>
        <v>0</v>
      </c>
      <c r="X208" t="str">
        <f t="shared" si="128"/>
        <v/>
      </c>
      <c r="Y208">
        <f>IF(OR(D208=0,'Исходные данные'!$B$9="",'Исходные данные'!$B$90=""),0,W208/(1+'Исходные данные'!$B$90)^((C208-'Исходные данные'!$B$9)/365))</f>
        <v>0</v>
      </c>
      <c r="Z208">
        <f>IF(D208=1,K208+Расчёты!O208+Расчёты!Q208+Расчёты!S208+Расчёты!U208+Расчёты!W208+Расчёты!X208+N208+Q208,0)</f>
        <v>0</v>
      </c>
      <c r="AA208">
        <f>IF(AND(D208=1,X208&gt;=0,X207&lt;0,MIN($X$2:X208)&lt;0),1,0)</f>
        <v>0</v>
      </c>
      <c r="AB208">
        <f>IF(Расчёты!F208=0,0,IF(Расчёты!G208=1,N('Сценарный анализ'!$C$5),IF(Расчёты!G208=2,N('Сценарный анализ'!$C$6),IF(Расчёты!G208=3,N('Сценарный анализ'!$C$7),N('Сценарный анализ'!$C$7)*(1+N('Сценарный анализ'!$C$8))^(Расчёты!G208-3)))))</f>
        <v>0</v>
      </c>
      <c r="AC208">
        <f>IF(OR(Расчёты!F208=0,N('Исходные данные'!$B$5)=0,AB208=0),0,N('Исходные данные'!$B$5)*AB208*IF(AND(B208&lt;='Исходные данные'!$B$30,Расчёты!C208&gt;='Исходные данные'!$B$30),(Расчёты!C208-'Исходные данные'!$B$30+1)/DAY(Расчёты!C208),1))</f>
        <v>0</v>
      </c>
      <c r="AD208">
        <f>IF(AND(Расчёты!F208&gt;0,Расчёты!F208&lt;=N('Исходные данные'!$B$37)),-AC208,0)</f>
        <v>0</v>
      </c>
      <c r="AE208">
        <f>IF(OR(Расчёты!F208=0,Расчёты!F208&lt;=N('Исходные данные'!$B$37)),0,-(AC208+AD208)*N('Сценарный анализ'!$C$9))</f>
        <v>0</v>
      </c>
      <c r="AF208">
        <f t="shared" si="141"/>
        <v>0</v>
      </c>
      <c r="AG208">
        <f>IF('Исходные данные'!$B$51="Да",AF208*N('Исходные данные'!$B$52),0)</f>
        <v>0</v>
      </c>
      <c r="AH208">
        <f t="shared" si="142"/>
        <v>0</v>
      </c>
      <c r="AI208">
        <f>AF208+(Расчёты!Y208-Расчёты!L208)</f>
        <v>0</v>
      </c>
      <c r="AJ208">
        <f t="shared" si="129"/>
        <v>0</v>
      </c>
      <c r="AK208">
        <f>IF('Исходные данные'!$B$51="Да",-MAX(0,AG208+Расчёты!R208+Расчёты!V208-Расчёты!P208-Расчёты!T208-AJ208),0)</f>
        <v>0</v>
      </c>
      <c r="AL208">
        <f>IF('Исходные данные'!$B$51="Да",MAX(0,AJ208+Расчёты!P208+Расчёты!T208-AG208-Расчёты!R208-Расчёты!V208),0)</f>
        <v>0</v>
      </c>
      <c r="AM208">
        <f>IF('Исходные данные'!$B$53="Выручка",MAX(0,AF208+(Расчёты!Q208-Расчёты!R208)+(Расчёты!U208-Расчёты!V208)),IF('Исходные данные'!$B$53="Прибыль до налога",MAX(0,AF208+(Расчёты!Q208-Расчёты!R208)+(Расчёты!U208-Расчёты!V208)+N('Исходные данные'!$B$54)*((Расчёты!O208+Расчёты!P208)+(Расчёты!S208+Расчёты!T208)+Расчёты!W208+Расчёты!X208)+IF('Исходные данные'!$B$55="Да",Расчёты!AG208,0)-N('Исходные данные'!$B$56)/12),IF('Исходные данные'!$B$53="Пользовательская база",MAX(0,N('Исходные данные'!$B$57)/12),0)))</f>
        <v>0</v>
      </c>
      <c r="AN208">
        <f>IF(D208=1,-AM208*N('Исходные данные'!$B$50),0)</f>
        <v>0</v>
      </c>
      <c r="AO208">
        <f t="shared" si="130"/>
        <v>0</v>
      </c>
      <c r="AP208">
        <f>IF(OR(D208&lt;&gt;1,B208="",'Исходные данные'!$B$91="",N('Исходные данные'!$B$80)&lt;=0,'Исходные данные'!$B$88=""),0,IF(AND(YEAR(B208)=YEAR('Исходные данные'!$B$91),MONTH(B208)=MONTH('Исходные данные'!$B$91)),MAX(0,IF('Исходные данные'!$B$88="Последние 12 месяцев",SUMIFS($AI$2:$AI$194,$B$2:$B$194,"&gt;="&amp;EDATE(B208,-11),$B$2:$B$194,"&lt;="&amp;B208),IF('Исходные данные'!$B$88="Пользовательский NOI",N('Исходные данные'!$B$89),AO208))/N('Исходные данные'!$B$80)*(1+N('Исходные данные'!$B$81))),0))</f>
        <v>0</v>
      </c>
      <c r="AQ208">
        <f>-AP208*N('Исходные данные'!$B$73)</f>
        <v>0</v>
      </c>
      <c r="AR208">
        <f>IF(AP208=0,0,-N('Исходные данные'!$B$87)-IF('Исходные данные'!$B$82="Да",IF('Исходные данные'!$B$84="С выручки",AP208,IF('Исходные данные'!$B$84="С прибыли",MAX(0,AP208+AQ208-IF('Исходные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08">
        <f t="shared" si="143"/>
        <v>0</v>
      </c>
      <c r="AT208">
        <f>IF(D208=1,Расчёты!AZ208+AH208+AK208+AN208+AS208,0)</f>
        <v>0</v>
      </c>
      <c r="AU208" t="str">
        <f t="shared" si="131"/>
        <v/>
      </c>
      <c r="AV208">
        <f>IF(OR(D208=0,'Исходные данные'!$B$9="",'Исходные данные'!$B$90=""),0,AT208/(1+'Исходные данные'!$B$90)^((C208-'Исходные данные'!$B$9)/365))</f>
        <v>0</v>
      </c>
      <c r="AW208">
        <f>IF(D208=1,AH208+Расчёты!O208+Расчёты!Q208+Расчёты!S208+Расчёты!U208+Расчёты!W208+Расчёты!X208+AK208+AN208,0)</f>
        <v>0</v>
      </c>
      <c r="AX208">
        <f>IF(AND(D208=1,AU208&gt;=0,AU207&lt;0,MIN($AU$2:AU208)&lt;0),1,0)</f>
        <v>0</v>
      </c>
      <c r="AY208">
        <f>IF(Расчёты!F208=0,0,IF(Расчёты!G208=1,N('Сценарный анализ'!$D$5),IF(Расчёты!G208=2,N('Сценарный анализ'!$D$6),IF(Расчёты!G208=3,N('Сценарный анализ'!$D$7),N('Сценарный анализ'!$D$7)*(1+N('Сценарный анализ'!$D$8))^(Расчёты!G208-3)))))</f>
        <v>0</v>
      </c>
      <c r="AZ208">
        <f>IF(OR(Расчёты!F208=0,N('Исходные данные'!$B$5)=0,AY208=0),0,N('Исходные данные'!$B$5)*AY208*IF(AND(B208&lt;='Исходные данные'!$B$30,Расчёты!C208&gt;='Исходные данные'!$B$30),(Расчёты!C208-'Исходные данные'!$B$30+1)/DAY(Расчёты!C208),1))</f>
        <v>0</v>
      </c>
      <c r="BA208">
        <f>IF(AND(Расчёты!F208&gt;0,Расчёты!F208&lt;=N('Исходные данные'!$B$37)),-AZ208,0)</f>
        <v>0</v>
      </c>
      <c r="BB208">
        <f>IF(OR(Расчёты!F208=0,Расчёты!F208&lt;=N('Исходные данные'!$B$37)),0,-(AZ208+BA208)*N('Сценарный анализ'!$D$9))</f>
        <v>0</v>
      </c>
      <c r="BC208">
        <f t="shared" si="144"/>
        <v>0</v>
      </c>
      <c r="BD208">
        <f>IF('Исходные данные'!$B$51="Да",BC208*N('Исходные данные'!$B$52),0)</f>
        <v>0</v>
      </c>
      <c r="BE208">
        <f t="shared" si="145"/>
        <v>0</v>
      </c>
      <c r="BF208">
        <f>BC208+(Расчёты!Y208-Расчёты!L208)</f>
        <v>0</v>
      </c>
      <c r="BG208">
        <f t="shared" si="132"/>
        <v>0</v>
      </c>
      <c r="BH208">
        <f>IF('Исходные данные'!$B$51="Да",-MAX(0,BD208+Расчёты!R208+Расчёты!V208-Расчёты!P208-Расчёты!T208-BG208),0)</f>
        <v>0</v>
      </c>
      <c r="BI208">
        <f>IF('Исходные данные'!$B$51="Да",MAX(0,BG208+Расчёты!P208+Расчёты!T208-BD208-Расчёты!R208-Расчёты!V208),0)</f>
        <v>0</v>
      </c>
      <c r="BJ208">
        <f>IF('Исходные данные'!$B$53="Выручка",MAX(0,BC208+(Расчёты!Q208-Расчёты!R208)+(Расчёты!U208-Расчёты!V208)),IF('Исходные данные'!$B$53="Прибыль до налога",MAX(0,BC208+(Расчёты!Q208-Расчёты!R208)+(Расчёты!U208-Расчёты!V208)+N('Исходные данные'!$B$54)*((Расчёты!O208+Расчёты!P208)+(Расчёты!S208+Расчёты!T208)+Расчёты!W208+Расчёты!X208)+IF('Исходные данные'!$B$55="Да",Расчёты!AG208,0)-N('Исходные данные'!$B$56)/12),IF('Исходные данные'!$B$53="Пользовательская база",MAX(0,N('Исходные данные'!$B$57)/12),0)))</f>
        <v>0</v>
      </c>
      <c r="BK208">
        <f>IF(D208=1,-BJ208*N('Исходные данные'!$B$50),0)</f>
        <v>0</v>
      </c>
      <c r="BL208">
        <f t="shared" si="133"/>
        <v>0</v>
      </c>
      <c r="BM208">
        <f>IF(OR(D208&lt;&gt;1,B208="",'Исходные данные'!$B$91="",N('Исходные данные'!$B$80)&lt;=0,'Исходные данные'!$B$88=""),0,IF(AND(YEAR(B208)=YEAR('Исходные данные'!$B$91),MONTH(B208)=MONTH('Исходные данные'!$B$91)),MAX(0,IF('Исходные данные'!$B$88="Последние 12 месяцев",SUMIFS($BF$2:$BF$194,$B$2:$B$194,"&gt;="&amp;EDATE(B208,-11),$B$2:$B$194,"&lt;="&amp;B208),IF('Исходные данные'!$B$88="Пользовательский NOI",N('Исходные данные'!$B$89),BL208))/N('Исходные данные'!$B$80)*(1+N('Исходные данные'!$B$81))),0))</f>
        <v>0</v>
      </c>
      <c r="BN208">
        <f>-BM208*N('Исходные данные'!$B$73)</f>
        <v>0</v>
      </c>
      <c r="BO208">
        <f>IF(BM208=0,0,-N('Исходные данные'!$B$87)-IF('Исходные данные'!$B$82="Да",IF('Исходные данные'!$B$84="С выручки",BM208,IF('Исходные данные'!$B$84="С прибыли",MAX(0,BM208+BN208-IF('Исходные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08">
        <f t="shared" si="146"/>
        <v>0</v>
      </c>
      <c r="BQ208">
        <f>IF(D208=1,Расчёты!AZ208+BE208+BH208+BK208+BP208,0)</f>
        <v>0</v>
      </c>
      <c r="BR208" t="str">
        <f t="shared" si="134"/>
        <v/>
      </c>
      <c r="BS208">
        <f>IF(OR(D208=0,'Исходные данные'!$B$9="",'Исходные данные'!$B$90=""),0,BQ208/(1+'Исходные данные'!$B$90)^((C208-'Исходные данные'!$B$9)/365))</f>
        <v>0</v>
      </c>
      <c r="BT208">
        <f>IF(D208=1,BE208+Расчёты!O208+Расчёты!Q208+Расчёты!S208+Расчёты!U208+Расчёты!W208+Расчёты!X208+BH208+BK208,0)</f>
        <v>0</v>
      </c>
      <c r="BU208">
        <f>IF(AND(D208=1,BR208&gt;=0,BR207&lt;0,MIN($BR$2:BR208)&lt;0),1,0)</f>
        <v>0</v>
      </c>
      <c r="BV208">
        <f>Расчёты!AZ208+K208+N208-P208*N('Исходные данные'!$B$50)</f>
        <v>0</v>
      </c>
      <c r="BW208">
        <f t="shared" si="135"/>
        <v>0</v>
      </c>
      <c r="BX208">
        <f>IF(AND(BW208&gt;=0,BW207&lt;0,MIN($BW$2:BW208)&lt;0),1,0)</f>
        <v>0</v>
      </c>
      <c r="BY208">
        <f>Расчёты!AZ208+AH208+AK208-AM208*N('Исходные данные'!$B$50)</f>
        <v>0</v>
      </c>
      <c r="BZ208">
        <f t="shared" si="136"/>
        <v>0</v>
      </c>
      <c r="CA208">
        <f>IF(AND(BZ208&gt;=0,BZ207&lt;0,MIN($BZ$2:BZ208)&lt;0),1,0)</f>
        <v>0</v>
      </c>
      <c r="CB208">
        <f>Расчёты!AZ208+BE208+BH208-BJ208*N('Исходные данные'!$B$50)</f>
        <v>0</v>
      </c>
      <c r="CC208">
        <f t="shared" si="137"/>
        <v>0</v>
      </c>
      <c r="CD208">
        <f>IF(AND(CC208&gt;=0,CC207&lt;0,MIN($CC$2:CC208)&lt;0),1,0)</f>
        <v>0</v>
      </c>
    </row>
    <row r="209" spans="1:82" x14ac:dyDescent="0.2">
      <c r="A209">
        <f>Расчёты!A209</f>
        <v>208</v>
      </c>
      <c r="B209" t="str">
        <f>Расчёты!B209</f>
        <v/>
      </c>
      <c r="C209" t="str">
        <f>Расчёты!D209</f>
        <v/>
      </c>
      <c r="D209">
        <f>Расчёты!E209</f>
        <v>0</v>
      </c>
      <c r="E209">
        <f>IF(Расчёты!F209=0,0,IF(Расчёты!G209=1,N('Сценарный анализ'!$B$5),IF(Расчёты!G209=2,N('Сценарный анализ'!$B$6),IF(Расчёты!G209=3,N('Сценарный анализ'!$B$7),N('Сценарный анализ'!$B$7)*(1+N('Сценарный анализ'!$B$8))^(Расчёты!G209-3)))))</f>
        <v>0</v>
      </c>
      <c r="F209">
        <f>IF(OR(Расчёты!F209=0,N('Исходные данные'!$B$5)=0,E209=0),0,N('Исходные данные'!$B$5)*E209*IF(AND(B209&lt;='Исходные данные'!$B$30,Расчёты!C209&gt;='Исходные данные'!$B$30),(Расчёты!C209-'Исходные данные'!$B$30+1)/DAY(Расчёты!C209),1))</f>
        <v>0</v>
      </c>
      <c r="G209">
        <f>IF(AND(Расчёты!F209&gt;0,Расчёты!F209&lt;=N('Исходные данные'!$B$37)),-F209,0)</f>
        <v>0</v>
      </c>
      <c r="H209">
        <f>IF(OR(Расчёты!F209=0,Расчёты!F209&lt;=N('Исходные данные'!$B$37)),0,-(F209+G209)*N('Сценарный анализ'!$B$9))</f>
        <v>0</v>
      </c>
      <c r="I209">
        <f t="shared" si="138"/>
        <v>0</v>
      </c>
      <c r="J209">
        <f>IF('Исходные данные'!$B$51="Да",I209*N('Исходные данные'!$B$52),0)</f>
        <v>0</v>
      </c>
      <c r="K209">
        <f t="shared" si="139"/>
        <v>0</v>
      </c>
      <c r="L209">
        <f>I209+(Расчёты!Y209-Расчёты!L209)</f>
        <v>0</v>
      </c>
      <c r="M209">
        <f t="shared" si="126"/>
        <v>0</v>
      </c>
      <c r="N209">
        <f>IF('Исходные данные'!$B$51="Да",-MAX(0,J209+Расчёты!R209+Расчёты!V209-Расчёты!P209-Расчёты!T209-M209),0)</f>
        <v>0</v>
      </c>
      <c r="O209">
        <f>IF('Исходные данные'!$B$51="Да",MAX(0,M209+Расчёты!P209+Расчёты!T209-J209-Расчёты!R209-Расчёты!V209),0)</f>
        <v>0</v>
      </c>
      <c r="P209">
        <f>IF('Исходные данные'!$B$53="Выручка",MAX(0,I209+(Расчёты!Q209-Расчёты!R209)+(Расчёты!U209-Расчёты!V209)),IF('Исходные данные'!$B$53="Прибыль до налога",MAX(0,I209+(Расчёты!Q209-Расчёты!R209)+(Расчёты!U209-Расчёты!V209)+N('Исходные данные'!$B$54)*((Расчёты!O209+Расчёты!P209)+(Расчёты!S209+Расчёты!T209)+Расчёты!W209+Расчёты!X209)+IF('Исходные данные'!$B$55="Да",Расчёты!AG209,0)-N('Исходные данные'!$B$56)/12),IF('Исходные данные'!$B$53="Пользовательская база",MAX(0,N('Исходные данные'!$B$57)/12),0)))</f>
        <v>0</v>
      </c>
      <c r="Q209">
        <f>IF(D209=1,-P209*N('Исходные данные'!$B$50),0)</f>
        <v>0</v>
      </c>
      <c r="R209">
        <f t="shared" si="127"/>
        <v>0</v>
      </c>
      <c r="S209">
        <f>IF(OR(D209&lt;&gt;1,B209="",'Исходные данные'!$B$91="",N('Исходные данные'!$B$80)&lt;=0,'Исходные данные'!$B$88=""),0,IF(AND(YEAR(B209)=YEAR('Исходные данные'!$B$91),MONTH(B209)=MONTH('Исходные данные'!$B$91)),MAX(0,IF('Исходные данные'!$B$88="Последние 12 месяцев",SUMIFS($L$2:$L$194,$B$2:$B$194,"&gt;="&amp;EDATE(B209,-11),$B$2:$B$194,"&lt;="&amp;B209),IF('Исходные данные'!$B$88="Пользовательский NOI",N('Исходные данные'!$B$89),R209))/N('Исходные данные'!$B$80)*(1+N('Исходные данные'!$B$81))),0))</f>
        <v>0</v>
      </c>
      <c r="T209">
        <f>-S209*N('Исходные данные'!$B$73)</f>
        <v>0</v>
      </c>
      <c r="U209">
        <f>IF(S209=0,0,-N('Исходные данные'!$B$87)-IF('Исходные данные'!$B$82="Да",IF('Исходные данные'!$B$84="С выручки",S209,IF('Исходные данные'!$B$84="С прибыли",MAX(0,S209+T209-IF('Исходные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09">
        <f t="shared" si="140"/>
        <v>0</v>
      </c>
      <c r="W209">
        <f>IF(D209=1,Расчёты!AZ209+K209+N209+Q209+V209,0)</f>
        <v>0</v>
      </c>
      <c r="X209" t="str">
        <f t="shared" si="128"/>
        <v/>
      </c>
      <c r="Y209">
        <f>IF(OR(D209=0,'Исходные данные'!$B$9="",'Исходные данные'!$B$90=""),0,W209/(1+'Исходные данные'!$B$90)^((C209-'Исходные данные'!$B$9)/365))</f>
        <v>0</v>
      </c>
      <c r="Z209">
        <f>IF(D209=1,K209+Расчёты!O209+Расчёты!Q209+Расчёты!S209+Расчёты!U209+Расчёты!W209+Расчёты!X209+N209+Q209,0)</f>
        <v>0</v>
      </c>
      <c r="AA209">
        <f>IF(AND(D209=1,X209&gt;=0,X208&lt;0,MIN($X$2:X209)&lt;0),1,0)</f>
        <v>0</v>
      </c>
      <c r="AB209">
        <f>IF(Расчёты!F209=0,0,IF(Расчёты!G209=1,N('Сценарный анализ'!$C$5),IF(Расчёты!G209=2,N('Сценарный анализ'!$C$6),IF(Расчёты!G209=3,N('Сценарный анализ'!$C$7),N('Сценарный анализ'!$C$7)*(1+N('Сценарный анализ'!$C$8))^(Расчёты!G209-3)))))</f>
        <v>0</v>
      </c>
      <c r="AC209">
        <f>IF(OR(Расчёты!F209=0,N('Исходные данные'!$B$5)=0,AB209=0),0,N('Исходные данные'!$B$5)*AB209*IF(AND(B209&lt;='Исходные данные'!$B$30,Расчёты!C209&gt;='Исходные данные'!$B$30),(Расчёты!C209-'Исходные данные'!$B$30+1)/DAY(Расчёты!C209),1))</f>
        <v>0</v>
      </c>
      <c r="AD209">
        <f>IF(AND(Расчёты!F209&gt;0,Расчёты!F209&lt;=N('Исходные данные'!$B$37)),-AC209,0)</f>
        <v>0</v>
      </c>
      <c r="AE209">
        <f>IF(OR(Расчёты!F209=0,Расчёты!F209&lt;=N('Исходные данные'!$B$37)),0,-(AC209+AD209)*N('Сценарный анализ'!$C$9))</f>
        <v>0</v>
      </c>
      <c r="AF209">
        <f t="shared" si="141"/>
        <v>0</v>
      </c>
      <c r="AG209">
        <f>IF('Исходные данные'!$B$51="Да",AF209*N('Исходные данные'!$B$52),0)</f>
        <v>0</v>
      </c>
      <c r="AH209">
        <f t="shared" si="142"/>
        <v>0</v>
      </c>
      <c r="AI209">
        <f>AF209+(Расчёты!Y209-Расчёты!L209)</f>
        <v>0</v>
      </c>
      <c r="AJ209">
        <f t="shared" si="129"/>
        <v>0</v>
      </c>
      <c r="AK209">
        <f>IF('Исходные данные'!$B$51="Да",-MAX(0,AG209+Расчёты!R209+Расчёты!V209-Расчёты!P209-Расчёты!T209-AJ209),0)</f>
        <v>0</v>
      </c>
      <c r="AL209">
        <f>IF('Исходные данные'!$B$51="Да",MAX(0,AJ209+Расчёты!P209+Расчёты!T209-AG209-Расчёты!R209-Расчёты!V209),0)</f>
        <v>0</v>
      </c>
      <c r="AM209">
        <f>IF('Исходные данные'!$B$53="Выручка",MAX(0,AF209+(Расчёты!Q209-Расчёты!R209)+(Расчёты!U209-Расчёты!V209)),IF('Исходные данные'!$B$53="Прибыль до налога",MAX(0,AF209+(Расчёты!Q209-Расчёты!R209)+(Расчёты!U209-Расчёты!V209)+N('Исходные данные'!$B$54)*((Расчёты!O209+Расчёты!P209)+(Расчёты!S209+Расчёты!T209)+Расчёты!W209+Расчёты!X209)+IF('Исходные данные'!$B$55="Да",Расчёты!AG209,0)-N('Исходные данные'!$B$56)/12),IF('Исходные данные'!$B$53="Пользовательская база",MAX(0,N('Исходные данные'!$B$57)/12),0)))</f>
        <v>0</v>
      </c>
      <c r="AN209">
        <f>IF(D209=1,-AM209*N('Исходные данные'!$B$50),0)</f>
        <v>0</v>
      </c>
      <c r="AO209">
        <f t="shared" si="130"/>
        <v>0</v>
      </c>
      <c r="AP209">
        <f>IF(OR(D209&lt;&gt;1,B209="",'Исходные данные'!$B$91="",N('Исходные данные'!$B$80)&lt;=0,'Исходные данные'!$B$88=""),0,IF(AND(YEAR(B209)=YEAR('Исходные данные'!$B$91),MONTH(B209)=MONTH('Исходные данные'!$B$91)),MAX(0,IF('Исходные данные'!$B$88="Последние 12 месяцев",SUMIFS($AI$2:$AI$194,$B$2:$B$194,"&gt;="&amp;EDATE(B209,-11),$B$2:$B$194,"&lt;="&amp;B209),IF('Исходные данные'!$B$88="Пользовательский NOI",N('Исходные данные'!$B$89),AO209))/N('Исходные данные'!$B$80)*(1+N('Исходные данные'!$B$81))),0))</f>
        <v>0</v>
      </c>
      <c r="AQ209">
        <f>-AP209*N('Исходные данные'!$B$73)</f>
        <v>0</v>
      </c>
      <c r="AR209">
        <f>IF(AP209=0,0,-N('Исходные данные'!$B$87)-IF('Исходные данные'!$B$82="Да",IF('Исходные данные'!$B$84="С выручки",AP209,IF('Исходные данные'!$B$84="С прибыли",MAX(0,AP209+AQ209-IF('Исходные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09">
        <f t="shared" si="143"/>
        <v>0</v>
      </c>
      <c r="AT209">
        <f>IF(D209=1,Расчёты!AZ209+AH209+AK209+AN209+AS209,0)</f>
        <v>0</v>
      </c>
      <c r="AU209" t="str">
        <f t="shared" si="131"/>
        <v/>
      </c>
      <c r="AV209">
        <f>IF(OR(D209=0,'Исходные данные'!$B$9="",'Исходные данные'!$B$90=""),0,AT209/(1+'Исходные данные'!$B$90)^((C209-'Исходные данные'!$B$9)/365))</f>
        <v>0</v>
      </c>
      <c r="AW209">
        <f>IF(D209=1,AH209+Расчёты!O209+Расчёты!Q209+Расчёты!S209+Расчёты!U209+Расчёты!W209+Расчёты!X209+AK209+AN209,0)</f>
        <v>0</v>
      </c>
      <c r="AX209">
        <f>IF(AND(D209=1,AU209&gt;=0,AU208&lt;0,MIN($AU$2:AU209)&lt;0),1,0)</f>
        <v>0</v>
      </c>
      <c r="AY209">
        <f>IF(Расчёты!F209=0,0,IF(Расчёты!G209=1,N('Сценарный анализ'!$D$5),IF(Расчёты!G209=2,N('Сценарный анализ'!$D$6),IF(Расчёты!G209=3,N('Сценарный анализ'!$D$7),N('Сценарный анализ'!$D$7)*(1+N('Сценарный анализ'!$D$8))^(Расчёты!G209-3)))))</f>
        <v>0</v>
      </c>
      <c r="AZ209">
        <f>IF(OR(Расчёты!F209=0,N('Исходные данные'!$B$5)=0,AY209=0),0,N('Исходные данные'!$B$5)*AY209*IF(AND(B209&lt;='Исходные данные'!$B$30,Расчёты!C209&gt;='Исходные данные'!$B$30),(Расчёты!C209-'Исходные данные'!$B$30+1)/DAY(Расчёты!C209),1))</f>
        <v>0</v>
      </c>
      <c r="BA209">
        <f>IF(AND(Расчёты!F209&gt;0,Расчёты!F209&lt;=N('Исходные данные'!$B$37)),-AZ209,0)</f>
        <v>0</v>
      </c>
      <c r="BB209">
        <f>IF(OR(Расчёты!F209=0,Расчёты!F209&lt;=N('Исходные данные'!$B$37)),0,-(AZ209+BA209)*N('Сценарный анализ'!$D$9))</f>
        <v>0</v>
      </c>
      <c r="BC209">
        <f t="shared" si="144"/>
        <v>0</v>
      </c>
      <c r="BD209">
        <f>IF('Исходные данные'!$B$51="Да",BC209*N('Исходные данные'!$B$52),0)</f>
        <v>0</v>
      </c>
      <c r="BE209">
        <f t="shared" si="145"/>
        <v>0</v>
      </c>
      <c r="BF209">
        <f>BC209+(Расчёты!Y209-Расчёты!L209)</f>
        <v>0</v>
      </c>
      <c r="BG209">
        <f t="shared" si="132"/>
        <v>0</v>
      </c>
      <c r="BH209">
        <f>IF('Исходные данные'!$B$51="Да",-MAX(0,BD209+Расчёты!R209+Расчёты!V209-Расчёты!P209-Расчёты!T209-BG209),0)</f>
        <v>0</v>
      </c>
      <c r="BI209">
        <f>IF('Исходные данные'!$B$51="Да",MAX(0,BG209+Расчёты!P209+Расчёты!T209-BD209-Расчёты!R209-Расчёты!V209),0)</f>
        <v>0</v>
      </c>
      <c r="BJ209">
        <f>IF('Исходные данные'!$B$53="Выручка",MAX(0,BC209+(Расчёты!Q209-Расчёты!R209)+(Расчёты!U209-Расчёты!V209)),IF('Исходные данные'!$B$53="Прибыль до налога",MAX(0,BC209+(Расчёты!Q209-Расчёты!R209)+(Расчёты!U209-Расчёты!V209)+N('Исходные данные'!$B$54)*((Расчёты!O209+Расчёты!P209)+(Расчёты!S209+Расчёты!T209)+Расчёты!W209+Расчёты!X209)+IF('Исходные данные'!$B$55="Да",Расчёты!AG209,0)-N('Исходные данные'!$B$56)/12),IF('Исходные данные'!$B$53="Пользовательская база",MAX(0,N('Исходные данные'!$B$57)/12),0)))</f>
        <v>0</v>
      </c>
      <c r="BK209">
        <f>IF(D209=1,-BJ209*N('Исходные данные'!$B$50),0)</f>
        <v>0</v>
      </c>
      <c r="BL209">
        <f t="shared" si="133"/>
        <v>0</v>
      </c>
      <c r="BM209">
        <f>IF(OR(D209&lt;&gt;1,B209="",'Исходные данные'!$B$91="",N('Исходные данные'!$B$80)&lt;=0,'Исходные данные'!$B$88=""),0,IF(AND(YEAR(B209)=YEAR('Исходные данные'!$B$91),MONTH(B209)=MONTH('Исходные данные'!$B$91)),MAX(0,IF('Исходные данные'!$B$88="Последние 12 месяцев",SUMIFS($BF$2:$BF$194,$B$2:$B$194,"&gt;="&amp;EDATE(B209,-11),$B$2:$B$194,"&lt;="&amp;B209),IF('Исходные данные'!$B$88="Пользовательский NOI",N('Исходные данные'!$B$89),BL209))/N('Исходные данные'!$B$80)*(1+N('Исходные данные'!$B$81))),0))</f>
        <v>0</v>
      </c>
      <c r="BN209">
        <f>-BM209*N('Исходные данные'!$B$73)</f>
        <v>0</v>
      </c>
      <c r="BO209">
        <f>IF(BM209=0,0,-N('Исходные данные'!$B$87)-IF('Исходные данные'!$B$82="Да",IF('Исходные данные'!$B$84="С выручки",BM209,IF('Исходные данные'!$B$84="С прибыли",MAX(0,BM209+BN209-IF('Исходные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09">
        <f t="shared" si="146"/>
        <v>0</v>
      </c>
      <c r="BQ209">
        <f>IF(D209=1,Расчёты!AZ209+BE209+BH209+BK209+BP209,0)</f>
        <v>0</v>
      </c>
      <c r="BR209" t="str">
        <f t="shared" si="134"/>
        <v/>
      </c>
      <c r="BS209">
        <f>IF(OR(D209=0,'Исходные данные'!$B$9="",'Исходные данные'!$B$90=""),0,BQ209/(1+'Исходные данные'!$B$90)^((C209-'Исходные данные'!$B$9)/365))</f>
        <v>0</v>
      </c>
      <c r="BT209">
        <f>IF(D209=1,BE209+Расчёты!O209+Расчёты!Q209+Расчёты!S209+Расчёты!U209+Расчёты!W209+Расчёты!X209+BH209+BK209,0)</f>
        <v>0</v>
      </c>
      <c r="BU209">
        <f>IF(AND(D209=1,BR209&gt;=0,BR208&lt;0,MIN($BR$2:BR209)&lt;0),1,0)</f>
        <v>0</v>
      </c>
      <c r="BV209">
        <f>Расчёты!AZ209+K209+N209-P209*N('Исходные данные'!$B$50)</f>
        <v>0</v>
      </c>
      <c r="BW209">
        <f t="shared" si="135"/>
        <v>0</v>
      </c>
      <c r="BX209">
        <f>IF(AND(BW209&gt;=0,BW208&lt;0,MIN($BW$2:BW209)&lt;0),1,0)</f>
        <v>0</v>
      </c>
      <c r="BY209">
        <f>Расчёты!AZ209+AH209+AK209-AM209*N('Исходные данные'!$B$50)</f>
        <v>0</v>
      </c>
      <c r="BZ209">
        <f t="shared" si="136"/>
        <v>0</v>
      </c>
      <c r="CA209">
        <f>IF(AND(BZ209&gt;=0,BZ208&lt;0,MIN($BZ$2:BZ209)&lt;0),1,0)</f>
        <v>0</v>
      </c>
      <c r="CB209">
        <f>Расчёты!AZ209+BE209+BH209-BJ209*N('Исходные данные'!$B$50)</f>
        <v>0</v>
      </c>
      <c r="CC209">
        <f t="shared" si="137"/>
        <v>0</v>
      </c>
      <c r="CD209">
        <f>IF(AND(CC209&gt;=0,CC208&lt;0,MIN($CC$2:CC209)&lt;0),1,0)</f>
        <v>0</v>
      </c>
    </row>
    <row r="210" spans="1:82" x14ac:dyDescent="0.2">
      <c r="A210">
        <f>Расчёты!A210</f>
        <v>209</v>
      </c>
      <c r="B210" t="str">
        <f>Расчёты!B210</f>
        <v/>
      </c>
      <c r="C210" t="str">
        <f>Расчёты!D210</f>
        <v/>
      </c>
      <c r="D210">
        <f>Расчёты!E210</f>
        <v>0</v>
      </c>
      <c r="E210">
        <f>IF(Расчёты!F210=0,0,IF(Расчёты!G210=1,N('Сценарный анализ'!$B$5),IF(Расчёты!G210=2,N('Сценарный анализ'!$B$6),IF(Расчёты!G210=3,N('Сценарный анализ'!$B$7),N('Сценарный анализ'!$B$7)*(1+N('Сценарный анализ'!$B$8))^(Расчёты!G210-3)))))</f>
        <v>0</v>
      </c>
      <c r="F210">
        <f>IF(OR(Расчёты!F210=0,N('Исходные данные'!$B$5)=0,E210=0),0,N('Исходные данные'!$B$5)*E210*IF(AND(B210&lt;='Исходные данные'!$B$30,Расчёты!C210&gt;='Исходные данные'!$B$30),(Расчёты!C210-'Исходные данные'!$B$30+1)/DAY(Расчёты!C210),1))</f>
        <v>0</v>
      </c>
      <c r="G210">
        <f>IF(AND(Расчёты!F210&gt;0,Расчёты!F210&lt;=N('Исходные данные'!$B$37)),-F210,0)</f>
        <v>0</v>
      </c>
      <c r="H210">
        <f>IF(OR(Расчёты!F210=0,Расчёты!F210&lt;=N('Исходные данные'!$B$37)),0,-(F210+G210)*N('Сценарный анализ'!$B$9))</f>
        <v>0</v>
      </c>
      <c r="I210">
        <f t="shared" si="138"/>
        <v>0</v>
      </c>
      <c r="J210">
        <f>IF('Исходные данные'!$B$51="Да",I210*N('Исходные данные'!$B$52),0)</f>
        <v>0</v>
      </c>
      <c r="K210">
        <f t="shared" si="139"/>
        <v>0</v>
      </c>
      <c r="L210">
        <f>I210+(Расчёты!Y210-Расчёты!L210)</f>
        <v>0</v>
      </c>
      <c r="M210">
        <f t="shared" si="126"/>
        <v>0</v>
      </c>
      <c r="N210">
        <f>IF('Исходные данные'!$B$51="Да",-MAX(0,J210+Расчёты!R210+Расчёты!V210-Расчёты!P210-Расчёты!T210-M210),0)</f>
        <v>0</v>
      </c>
      <c r="O210">
        <f>IF('Исходные данные'!$B$51="Да",MAX(0,M210+Расчёты!P210+Расчёты!T210-J210-Расчёты!R210-Расчёты!V210),0)</f>
        <v>0</v>
      </c>
      <c r="P210">
        <f>IF('Исходные данные'!$B$53="Выручка",MAX(0,I210+(Расчёты!Q210-Расчёты!R210)+(Расчёты!U210-Расчёты!V210)),IF('Исходные данные'!$B$53="Прибыль до налога",MAX(0,I210+(Расчёты!Q210-Расчёты!R210)+(Расчёты!U210-Расчёты!V210)+N('Исходные данные'!$B$54)*((Расчёты!O210+Расчёты!P210)+(Расчёты!S210+Расчёты!T210)+Расчёты!W210+Расчёты!X210)+IF('Исходные данные'!$B$55="Да",Расчёты!AG210,0)-N('Исходные данные'!$B$56)/12),IF('Исходные данные'!$B$53="Пользовательская база",MAX(0,N('Исходные данные'!$B$57)/12),0)))</f>
        <v>0</v>
      </c>
      <c r="Q210">
        <f>IF(D210=1,-P210*N('Исходные данные'!$B$50),0)</f>
        <v>0</v>
      </c>
      <c r="R210">
        <f t="shared" si="127"/>
        <v>0</v>
      </c>
      <c r="S210">
        <f>IF(OR(D210&lt;&gt;1,B210="",'Исходные данные'!$B$91="",N('Исходные данные'!$B$80)&lt;=0,'Исходные данные'!$B$88=""),0,IF(AND(YEAR(B210)=YEAR('Исходные данные'!$B$91),MONTH(B210)=MONTH('Исходные данные'!$B$91)),MAX(0,IF('Исходные данные'!$B$88="Последние 12 месяцев",SUMIFS($L$2:$L$194,$B$2:$B$194,"&gt;="&amp;EDATE(B210,-11),$B$2:$B$194,"&lt;="&amp;B210),IF('Исходные данные'!$B$88="Пользовательский NOI",N('Исходные данные'!$B$89),R210))/N('Исходные данные'!$B$80)*(1+N('Исходные данные'!$B$81))),0))</f>
        <v>0</v>
      </c>
      <c r="T210">
        <f>-S210*N('Исходные данные'!$B$73)</f>
        <v>0</v>
      </c>
      <c r="U210">
        <f>IF(S210=0,0,-N('Исходные данные'!$B$87)-IF('Исходные данные'!$B$82="Да",IF('Исходные данные'!$B$84="С выручки",S210,IF('Исходные данные'!$B$84="С прибыли",MAX(0,S210+T210-IF('Исходные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10">
        <f t="shared" si="140"/>
        <v>0</v>
      </c>
      <c r="W210">
        <f>IF(D210=1,Расчёты!AZ210+K210+N210+Q210+V210,0)</f>
        <v>0</v>
      </c>
      <c r="X210" t="str">
        <f t="shared" si="128"/>
        <v/>
      </c>
      <c r="Y210">
        <f>IF(OR(D210=0,'Исходные данные'!$B$9="",'Исходные данные'!$B$90=""),0,W210/(1+'Исходные данные'!$B$90)^((C210-'Исходные данные'!$B$9)/365))</f>
        <v>0</v>
      </c>
      <c r="Z210">
        <f>IF(D210=1,K210+Расчёты!O210+Расчёты!Q210+Расчёты!S210+Расчёты!U210+Расчёты!W210+Расчёты!X210+N210+Q210,0)</f>
        <v>0</v>
      </c>
      <c r="AA210">
        <f>IF(AND(D210=1,X210&gt;=0,X209&lt;0,MIN($X$2:X210)&lt;0),1,0)</f>
        <v>0</v>
      </c>
      <c r="AB210">
        <f>IF(Расчёты!F210=0,0,IF(Расчёты!G210=1,N('Сценарный анализ'!$C$5),IF(Расчёты!G210=2,N('Сценарный анализ'!$C$6),IF(Расчёты!G210=3,N('Сценарный анализ'!$C$7),N('Сценарный анализ'!$C$7)*(1+N('Сценарный анализ'!$C$8))^(Расчёты!G210-3)))))</f>
        <v>0</v>
      </c>
      <c r="AC210">
        <f>IF(OR(Расчёты!F210=0,N('Исходные данные'!$B$5)=0,AB210=0),0,N('Исходные данные'!$B$5)*AB210*IF(AND(B210&lt;='Исходные данные'!$B$30,Расчёты!C210&gt;='Исходные данные'!$B$30),(Расчёты!C210-'Исходные данные'!$B$30+1)/DAY(Расчёты!C210),1))</f>
        <v>0</v>
      </c>
      <c r="AD210">
        <f>IF(AND(Расчёты!F210&gt;0,Расчёты!F210&lt;=N('Исходные данные'!$B$37)),-AC210,0)</f>
        <v>0</v>
      </c>
      <c r="AE210">
        <f>IF(OR(Расчёты!F210=0,Расчёты!F210&lt;=N('Исходные данные'!$B$37)),0,-(AC210+AD210)*N('Сценарный анализ'!$C$9))</f>
        <v>0</v>
      </c>
      <c r="AF210">
        <f t="shared" si="141"/>
        <v>0</v>
      </c>
      <c r="AG210">
        <f>IF('Исходные данные'!$B$51="Да",AF210*N('Исходные данные'!$B$52),0)</f>
        <v>0</v>
      </c>
      <c r="AH210">
        <f t="shared" si="142"/>
        <v>0</v>
      </c>
      <c r="AI210">
        <f>AF210+(Расчёты!Y210-Расчёты!L210)</f>
        <v>0</v>
      </c>
      <c r="AJ210">
        <f t="shared" si="129"/>
        <v>0</v>
      </c>
      <c r="AK210">
        <f>IF('Исходные данные'!$B$51="Да",-MAX(0,AG210+Расчёты!R210+Расчёты!V210-Расчёты!P210-Расчёты!T210-AJ210),0)</f>
        <v>0</v>
      </c>
      <c r="AL210">
        <f>IF('Исходные данные'!$B$51="Да",MAX(0,AJ210+Расчёты!P210+Расчёты!T210-AG210-Расчёты!R210-Расчёты!V210),0)</f>
        <v>0</v>
      </c>
      <c r="AM210">
        <f>IF('Исходные данные'!$B$53="Выручка",MAX(0,AF210+(Расчёты!Q210-Расчёты!R210)+(Расчёты!U210-Расчёты!V210)),IF('Исходные данные'!$B$53="Прибыль до налога",MAX(0,AF210+(Расчёты!Q210-Расчёты!R210)+(Расчёты!U210-Расчёты!V210)+N('Исходные данные'!$B$54)*((Расчёты!O210+Расчёты!P210)+(Расчёты!S210+Расчёты!T210)+Расчёты!W210+Расчёты!X210)+IF('Исходные данные'!$B$55="Да",Расчёты!AG210,0)-N('Исходные данные'!$B$56)/12),IF('Исходные данные'!$B$53="Пользовательская база",MAX(0,N('Исходные данные'!$B$57)/12),0)))</f>
        <v>0</v>
      </c>
      <c r="AN210">
        <f>IF(D210=1,-AM210*N('Исходные данные'!$B$50),0)</f>
        <v>0</v>
      </c>
      <c r="AO210">
        <f t="shared" si="130"/>
        <v>0</v>
      </c>
      <c r="AP210">
        <f>IF(OR(D210&lt;&gt;1,B210="",'Исходные данные'!$B$91="",N('Исходные данные'!$B$80)&lt;=0,'Исходные данные'!$B$88=""),0,IF(AND(YEAR(B210)=YEAR('Исходные данные'!$B$91),MONTH(B210)=MONTH('Исходные данные'!$B$91)),MAX(0,IF('Исходные данные'!$B$88="Последние 12 месяцев",SUMIFS($AI$2:$AI$194,$B$2:$B$194,"&gt;="&amp;EDATE(B210,-11),$B$2:$B$194,"&lt;="&amp;B210),IF('Исходные данные'!$B$88="Пользовательский NOI",N('Исходные данные'!$B$89),AO210))/N('Исходные данные'!$B$80)*(1+N('Исходные данные'!$B$81))),0))</f>
        <v>0</v>
      </c>
      <c r="AQ210">
        <f>-AP210*N('Исходные данные'!$B$73)</f>
        <v>0</v>
      </c>
      <c r="AR210">
        <f>IF(AP210=0,0,-N('Исходные данные'!$B$87)-IF('Исходные данные'!$B$82="Да",IF('Исходные данные'!$B$84="С выручки",AP210,IF('Исходные данные'!$B$84="С прибыли",MAX(0,AP210+AQ210-IF('Исходные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10">
        <f t="shared" si="143"/>
        <v>0</v>
      </c>
      <c r="AT210">
        <f>IF(D210=1,Расчёты!AZ210+AH210+AK210+AN210+AS210,0)</f>
        <v>0</v>
      </c>
      <c r="AU210" t="str">
        <f t="shared" si="131"/>
        <v/>
      </c>
      <c r="AV210">
        <f>IF(OR(D210=0,'Исходные данные'!$B$9="",'Исходные данные'!$B$90=""),0,AT210/(1+'Исходные данные'!$B$90)^((C210-'Исходные данные'!$B$9)/365))</f>
        <v>0</v>
      </c>
      <c r="AW210">
        <f>IF(D210=1,AH210+Расчёты!O210+Расчёты!Q210+Расчёты!S210+Расчёты!U210+Расчёты!W210+Расчёты!X210+AK210+AN210,0)</f>
        <v>0</v>
      </c>
      <c r="AX210">
        <f>IF(AND(D210=1,AU210&gt;=0,AU209&lt;0,MIN($AU$2:AU210)&lt;0),1,0)</f>
        <v>0</v>
      </c>
      <c r="AY210">
        <f>IF(Расчёты!F210=0,0,IF(Расчёты!G210=1,N('Сценарный анализ'!$D$5),IF(Расчёты!G210=2,N('Сценарный анализ'!$D$6),IF(Расчёты!G210=3,N('Сценарный анализ'!$D$7),N('Сценарный анализ'!$D$7)*(1+N('Сценарный анализ'!$D$8))^(Расчёты!G210-3)))))</f>
        <v>0</v>
      </c>
      <c r="AZ210">
        <f>IF(OR(Расчёты!F210=0,N('Исходные данные'!$B$5)=0,AY210=0),0,N('Исходные данные'!$B$5)*AY210*IF(AND(B210&lt;='Исходные данные'!$B$30,Расчёты!C210&gt;='Исходные данные'!$B$30),(Расчёты!C210-'Исходные данные'!$B$30+1)/DAY(Расчёты!C210),1))</f>
        <v>0</v>
      </c>
      <c r="BA210">
        <f>IF(AND(Расчёты!F210&gt;0,Расчёты!F210&lt;=N('Исходные данные'!$B$37)),-AZ210,0)</f>
        <v>0</v>
      </c>
      <c r="BB210">
        <f>IF(OR(Расчёты!F210=0,Расчёты!F210&lt;=N('Исходные данные'!$B$37)),0,-(AZ210+BA210)*N('Сценарный анализ'!$D$9))</f>
        <v>0</v>
      </c>
      <c r="BC210">
        <f t="shared" si="144"/>
        <v>0</v>
      </c>
      <c r="BD210">
        <f>IF('Исходные данные'!$B$51="Да",BC210*N('Исходные данные'!$B$52),0)</f>
        <v>0</v>
      </c>
      <c r="BE210">
        <f t="shared" si="145"/>
        <v>0</v>
      </c>
      <c r="BF210">
        <f>BC210+(Расчёты!Y210-Расчёты!L210)</f>
        <v>0</v>
      </c>
      <c r="BG210">
        <f t="shared" si="132"/>
        <v>0</v>
      </c>
      <c r="BH210">
        <f>IF('Исходные данные'!$B$51="Да",-MAX(0,BD210+Расчёты!R210+Расчёты!V210-Расчёты!P210-Расчёты!T210-BG210),0)</f>
        <v>0</v>
      </c>
      <c r="BI210">
        <f>IF('Исходные данные'!$B$51="Да",MAX(0,BG210+Расчёты!P210+Расчёты!T210-BD210-Расчёты!R210-Расчёты!V210),0)</f>
        <v>0</v>
      </c>
      <c r="BJ210">
        <f>IF('Исходные данные'!$B$53="Выручка",MAX(0,BC210+(Расчёты!Q210-Расчёты!R210)+(Расчёты!U210-Расчёты!V210)),IF('Исходные данные'!$B$53="Прибыль до налога",MAX(0,BC210+(Расчёты!Q210-Расчёты!R210)+(Расчёты!U210-Расчёты!V210)+N('Исходные данные'!$B$54)*((Расчёты!O210+Расчёты!P210)+(Расчёты!S210+Расчёты!T210)+Расчёты!W210+Расчёты!X210)+IF('Исходные данные'!$B$55="Да",Расчёты!AG210,0)-N('Исходные данные'!$B$56)/12),IF('Исходные данные'!$B$53="Пользовательская база",MAX(0,N('Исходные данные'!$B$57)/12),0)))</f>
        <v>0</v>
      </c>
      <c r="BK210">
        <f>IF(D210=1,-BJ210*N('Исходные данные'!$B$50),0)</f>
        <v>0</v>
      </c>
      <c r="BL210">
        <f t="shared" si="133"/>
        <v>0</v>
      </c>
      <c r="BM210">
        <f>IF(OR(D210&lt;&gt;1,B210="",'Исходные данные'!$B$91="",N('Исходные данные'!$B$80)&lt;=0,'Исходные данные'!$B$88=""),0,IF(AND(YEAR(B210)=YEAR('Исходные данные'!$B$91),MONTH(B210)=MONTH('Исходные данные'!$B$91)),MAX(0,IF('Исходные данные'!$B$88="Последние 12 месяцев",SUMIFS($BF$2:$BF$194,$B$2:$B$194,"&gt;="&amp;EDATE(B210,-11),$B$2:$B$194,"&lt;="&amp;B210),IF('Исходные данные'!$B$88="Пользовательский NOI",N('Исходные данные'!$B$89),BL210))/N('Исходные данные'!$B$80)*(1+N('Исходные данные'!$B$81))),0))</f>
        <v>0</v>
      </c>
      <c r="BN210">
        <f>-BM210*N('Исходные данные'!$B$73)</f>
        <v>0</v>
      </c>
      <c r="BO210">
        <f>IF(BM210=0,0,-N('Исходные данные'!$B$87)-IF('Исходные данные'!$B$82="Да",IF('Исходные данные'!$B$84="С выручки",BM210,IF('Исходные данные'!$B$84="С прибыли",MAX(0,BM210+BN210-IF('Исходные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10">
        <f t="shared" si="146"/>
        <v>0</v>
      </c>
      <c r="BQ210">
        <f>IF(D210=1,Расчёты!AZ210+BE210+BH210+BK210+BP210,0)</f>
        <v>0</v>
      </c>
      <c r="BR210" t="str">
        <f t="shared" si="134"/>
        <v/>
      </c>
      <c r="BS210">
        <f>IF(OR(D210=0,'Исходные данные'!$B$9="",'Исходные данные'!$B$90=""),0,BQ210/(1+'Исходные данные'!$B$90)^((C210-'Исходные данные'!$B$9)/365))</f>
        <v>0</v>
      </c>
      <c r="BT210">
        <f>IF(D210=1,BE210+Расчёты!O210+Расчёты!Q210+Расчёты!S210+Расчёты!U210+Расчёты!W210+Расчёты!X210+BH210+BK210,0)</f>
        <v>0</v>
      </c>
      <c r="BU210">
        <f>IF(AND(D210=1,BR210&gt;=0,BR209&lt;0,MIN($BR$2:BR210)&lt;0),1,0)</f>
        <v>0</v>
      </c>
      <c r="BV210">
        <f>Расчёты!AZ210+K210+N210-P210*N('Исходные данные'!$B$50)</f>
        <v>0</v>
      </c>
      <c r="BW210">
        <f t="shared" si="135"/>
        <v>0</v>
      </c>
      <c r="BX210">
        <f>IF(AND(BW210&gt;=0,BW209&lt;0,MIN($BW$2:BW210)&lt;0),1,0)</f>
        <v>0</v>
      </c>
      <c r="BY210">
        <f>Расчёты!AZ210+AH210+AK210-AM210*N('Исходные данные'!$B$50)</f>
        <v>0</v>
      </c>
      <c r="BZ210">
        <f t="shared" si="136"/>
        <v>0</v>
      </c>
      <c r="CA210">
        <f>IF(AND(BZ210&gt;=0,BZ209&lt;0,MIN($BZ$2:BZ210)&lt;0),1,0)</f>
        <v>0</v>
      </c>
      <c r="CB210">
        <f>Расчёты!AZ210+BE210+BH210-BJ210*N('Исходные данные'!$B$50)</f>
        <v>0</v>
      </c>
      <c r="CC210">
        <f t="shared" si="137"/>
        <v>0</v>
      </c>
      <c r="CD210">
        <f>IF(AND(CC210&gt;=0,CC209&lt;0,MIN($CC$2:CC210)&lt;0),1,0)</f>
        <v>0</v>
      </c>
    </row>
    <row r="211" spans="1:82" x14ac:dyDescent="0.2">
      <c r="A211">
        <f>Расчёты!A211</f>
        <v>210</v>
      </c>
      <c r="B211" t="str">
        <f>Расчёты!B211</f>
        <v/>
      </c>
      <c r="C211" t="str">
        <f>Расчёты!D211</f>
        <v/>
      </c>
      <c r="D211">
        <f>Расчёты!E211</f>
        <v>0</v>
      </c>
      <c r="E211">
        <f>IF(Расчёты!F211=0,0,IF(Расчёты!G211=1,N('Сценарный анализ'!$B$5),IF(Расчёты!G211=2,N('Сценарный анализ'!$B$6),IF(Расчёты!G211=3,N('Сценарный анализ'!$B$7),N('Сценарный анализ'!$B$7)*(1+N('Сценарный анализ'!$B$8))^(Расчёты!G211-3)))))</f>
        <v>0</v>
      </c>
      <c r="F211">
        <f>IF(OR(Расчёты!F211=0,N('Исходные данные'!$B$5)=0,E211=0),0,N('Исходные данные'!$B$5)*E211*IF(AND(B211&lt;='Исходные данные'!$B$30,Расчёты!C211&gt;='Исходные данные'!$B$30),(Расчёты!C211-'Исходные данные'!$B$30+1)/DAY(Расчёты!C211),1))</f>
        <v>0</v>
      </c>
      <c r="G211">
        <f>IF(AND(Расчёты!F211&gt;0,Расчёты!F211&lt;=N('Исходные данные'!$B$37)),-F211,0)</f>
        <v>0</v>
      </c>
      <c r="H211">
        <f>IF(OR(Расчёты!F211=0,Расчёты!F211&lt;=N('Исходные данные'!$B$37)),0,-(F211+G211)*N('Сценарный анализ'!$B$9))</f>
        <v>0</v>
      </c>
      <c r="I211">
        <f t="shared" si="138"/>
        <v>0</v>
      </c>
      <c r="J211">
        <f>IF('Исходные данные'!$B$51="Да",I211*N('Исходные данные'!$B$52),0)</f>
        <v>0</v>
      </c>
      <c r="K211">
        <f t="shared" si="139"/>
        <v>0</v>
      </c>
      <c r="L211">
        <f>I211+(Расчёты!Y211-Расчёты!L211)</f>
        <v>0</v>
      </c>
      <c r="M211">
        <f t="shared" si="126"/>
        <v>0</v>
      </c>
      <c r="N211">
        <f>IF('Исходные данные'!$B$51="Да",-MAX(0,J211+Расчёты!R211+Расчёты!V211-Расчёты!P211-Расчёты!T211-M211),0)</f>
        <v>0</v>
      </c>
      <c r="O211">
        <f>IF('Исходные данные'!$B$51="Да",MAX(0,M211+Расчёты!P211+Расчёты!T211-J211-Расчёты!R211-Расчёты!V211),0)</f>
        <v>0</v>
      </c>
      <c r="P211">
        <f>IF('Исходные данные'!$B$53="Выручка",MAX(0,I211+(Расчёты!Q211-Расчёты!R211)+(Расчёты!U211-Расчёты!V211)),IF('Исходные данные'!$B$53="Прибыль до налога",MAX(0,I211+(Расчёты!Q211-Расчёты!R211)+(Расчёты!U211-Расчёты!V211)+N('Исходные данные'!$B$54)*((Расчёты!O211+Расчёты!P211)+(Расчёты!S211+Расчёты!T211)+Расчёты!W211+Расчёты!X211)+IF('Исходные данные'!$B$55="Да",Расчёты!AG211,0)-N('Исходные данные'!$B$56)/12),IF('Исходные данные'!$B$53="Пользовательская база",MAX(0,N('Исходные данные'!$B$57)/12),0)))</f>
        <v>0</v>
      </c>
      <c r="Q211">
        <f>IF(D211=1,-P211*N('Исходные данные'!$B$50),0)</f>
        <v>0</v>
      </c>
      <c r="R211">
        <f t="shared" si="127"/>
        <v>0</v>
      </c>
      <c r="S211">
        <f>IF(OR(D211&lt;&gt;1,B211="",'Исходные данные'!$B$91="",N('Исходные данные'!$B$80)&lt;=0,'Исходные данные'!$B$88=""),0,IF(AND(YEAR(B211)=YEAR('Исходные данные'!$B$91),MONTH(B211)=MONTH('Исходные данные'!$B$91)),MAX(0,IF('Исходные данные'!$B$88="Последние 12 месяцев",SUMIFS($L$2:$L$194,$B$2:$B$194,"&gt;="&amp;EDATE(B211,-11),$B$2:$B$194,"&lt;="&amp;B211),IF('Исходные данные'!$B$88="Пользовательский NOI",N('Исходные данные'!$B$89),R211))/N('Исходные данные'!$B$80)*(1+N('Исходные данные'!$B$81))),0))</f>
        <v>0</v>
      </c>
      <c r="T211">
        <f>-S211*N('Исходные данные'!$B$73)</f>
        <v>0</v>
      </c>
      <c r="U211">
        <f>IF(S211=0,0,-N('Исходные данные'!$B$87)-IF('Исходные данные'!$B$82="Да",IF('Исходные данные'!$B$84="С выручки",S211,IF('Исходные данные'!$B$84="С прибыли",MAX(0,S211+T211-IF('Исходные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11">
        <f t="shared" si="140"/>
        <v>0</v>
      </c>
      <c r="W211">
        <f>IF(D211=1,Расчёты!AZ211+K211+N211+Q211+V211,0)</f>
        <v>0</v>
      </c>
      <c r="X211" t="str">
        <f t="shared" si="128"/>
        <v/>
      </c>
      <c r="Y211">
        <f>IF(OR(D211=0,'Исходные данные'!$B$9="",'Исходные данные'!$B$90=""),0,W211/(1+'Исходные данные'!$B$90)^((C211-'Исходные данные'!$B$9)/365))</f>
        <v>0</v>
      </c>
      <c r="Z211">
        <f>IF(D211=1,K211+Расчёты!O211+Расчёты!Q211+Расчёты!S211+Расчёты!U211+Расчёты!W211+Расчёты!X211+N211+Q211,0)</f>
        <v>0</v>
      </c>
      <c r="AA211">
        <f>IF(AND(D211=1,X211&gt;=0,X210&lt;0,MIN($X$2:X211)&lt;0),1,0)</f>
        <v>0</v>
      </c>
      <c r="AB211">
        <f>IF(Расчёты!F211=0,0,IF(Расчёты!G211=1,N('Сценарный анализ'!$C$5),IF(Расчёты!G211=2,N('Сценарный анализ'!$C$6),IF(Расчёты!G211=3,N('Сценарный анализ'!$C$7),N('Сценарный анализ'!$C$7)*(1+N('Сценарный анализ'!$C$8))^(Расчёты!G211-3)))))</f>
        <v>0</v>
      </c>
      <c r="AC211">
        <f>IF(OR(Расчёты!F211=0,N('Исходные данные'!$B$5)=0,AB211=0),0,N('Исходные данные'!$B$5)*AB211*IF(AND(B211&lt;='Исходные данные'!$B$30,Расчёты!C211&gt;='Исходные данные'!$B$30),(Расчёты!C211-'Исходные данные'!$B$30+1)/DAY(Расчёты!C211),1))</f>
        <v>0</v>
      </c>
      <c r="AD211">
        <f>IF(AND(Расчёты!F211&gt;0,Расчёты!F211&lt;=N('Исходные данные'!$B$37)),-AC211,0)</f>
        <v>0</v>
      </c>
      <c r="AE211">
        <f>IF(OR(Расчёты!F211=0,Расчёты!F211&lt;=N('Исходные данные'!$B$37)),0,-(AC211+AD211)*N('Сценарный анализ'!$C$9))</f>
        <v>0</v>
      </c>
      <c r="AF211">
        <f t="shared" si="141"/>
        <v>0</v>
      </c>
      <c r="AG211">
        <f>IF('Исходные данные'!$B$51="Да",AF211*N('Исходные данные'!$B$52),0)</f>
        <v>0</v>
      </c>
      <c r="AH211">
        <f t="shared" si="142"/>
        <v>0</v>
      </c>
      <c r="AI211">
        <f>AF211+(Расчёты!Y211-Расчёты!L211)</f>
        <v>0</v>
      </c>
      <c r="AJ211">
        <f t="shared" si="129"/>
        <v>0</v>
      </c>
      <c r="AK211">
        <f>IF('Исходные данные'!$B$51="Да",-MAX(0,AG211+Расчёты!R211+Расчёты!V211-Расчёты!P211-Расчёты!T211-AJ211),0)</f>
        <v>0</v>
      </c>
      <c r="AL211">
        <f>IF('Исходные данные'!$B$51="Да",MAX(0,AJ211+Расчёты!P211+Расчёты!T211-AG211-Расчёты!R211-Расчёты!V211),0)</f>
        <v>0</v>
      </c>
      <c r="AM211">
        <f>IF('Исходные данные'!$B$53="Выручка",MAX(0,AF211+(Расчёты!Q211-Расчёты!R211)+(Расчёты!U211-Расчёты!V211)),IF('Исходные данные'!$B$53="Прибыль до налога",MAX(0,AF211+(Расчёты!Q211-Расчёты!R211)+(Расчёты!U211-Расчёты!V211)+N('Исходные данные'!$B$54)*((Расчёты!O211+Расчёты!P211)+(Расчёты!S211+Расчёты!T211)+Расчёты!W211+Расчёты!X211)+IF('Исходные данные'!$B$55="Да",Расчёты!AG211,0)-N('Исходные данные'!$B$56)/12),IF('Исходные данные'!$B$53="Пользовательская база",MAX(0,N('Исходные данные'!$B$57)/12),0)))</f>
        <v>0</v>
      </c>
      <c r="AN211">
        <f>IF(D211=1,-AM211*N('Исходные данные'!$B$50),0)</f>
        <v>0</v>
      </c>
      <c r="AO211">
        <f t="shared" si="130"/>
        <v>0</v>
      </c>
      <c r="AP211">
        <f>IF(OR(D211&lt;&gt;1,B211="",'Исходные данные'!$B$91="",N('Исходные данные'!$B$80)&lt;=0,'Исходные данные'!$B$88=""),0,IF(AND(YEAR(B211)=YEAR('Исходные данные'!$B$91),MONTH(B211)=MONTH('Исходные данные'!$B$91)),MAX(0,IF('Исходные данные'!$B$88="Последние 12 месяцев",SUMIFS($AI$2:$AI$194,$B$2:$B$194,"&gt;="&amp;EDATE(B211,-11),$B$2:$B$194,"&lt;="&amp;B211),IF('Исходные данные'!$B$88="Пользовательский NOI",N('Исходные данные'!$B$89),AO211))/N('Исходные данные'!$B$80)*(1+N('Исходные данные'!$B$81))),0))</f>
        <v>0</v>
      </c>
      <c r="AQ211">
        <f>-AP211*N('Исходные данные'!$B$73)</f>
        <v>0</v>
      </c>
      <c r="AR211">
        <f>IF(AP211=0,0,-N('Исходные данные'!$B$87)-IF('Исходные данные'!$B$82="Да",IF('Исходные данные'!$B$84="С выручки",AP211,IF('Исходные данные'!$B$84="С прибыли",MAX(0,AP211+AQ211-IF('Исходные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11">
        <f t="shared" si="143"/>
        <v>0</v>
      </c>
      <c r="AT211">
        <f>IF(D211=1,Расчёты!AZ211+AH211+AK211+AN211+AS211,0)</f>
        <v>0</v>
      </c>
      <c r="AU211" t="str">
        <f t="shared" si="131"/>
        <v/>
      </c>
      <c r="AV211">
        <f>IF(OR(D211=0,'Исходные данные'!$B$9="",'Исходные данные'!$B$90=""),0,AT211/(1+'Исходные данные'!$B$90)^((C211-'Исходные данные'!$B$9)/365))</f>
        <v>0</v>
      </c>
      <c r="AW211">
        <f>IF(D211=1,AH211+Расчёты!O211+Расчёты!Q211+Расчёты!S211+Расчёты!U211+Расчёты!W211+Расчёты!X211+AK211+AN211,0)</f>
        <v>0</v>
      </c>
      <c r="AX211">
        <f>IF(AND(D211=1,AU211&gt;=0,AU210&lt;0,MIN($AU$2:AU211)&lt;0),1,0)</f>
        <v>0</v>
      </c>
      <c r="AY211">
        <f>IF(Расчёты!F211=0,0,IF(Расчёты!G211=1,N('Сценарный анализ'!$D$5),IF(Расчёты!G211=2,N('Сценарный анализ'!$D$6),IF(Расчёты!G211=3,N('Сценарный анализ'!$D$7),N('Сценарный анализ'!$D$7)*(1+N('Сценарный анализ'!$D$8))^(Расчёты!G211-3)))))</f>
        <v>0</v>
      </c>
      <c r="AZ211">
        <f>IF(OR(Расчёты!F211=0,N('Исходные данные'!$B$5)=0,AY211=0),0,N('Исходные данные'!$B$5)*AY211*IF(AND(B211&lt;='Исходные данные'!$B$30,Расчёты!C211&gt;='Исходные данные'!$B$30),(Расчёты!C211-'Исходные данные'!$B$30+1)/DAY(Расчёты!C211),1))</f>
        <v>0</v>
      </c>
      <c r="BA211">
        <f>IF(AND(Расчёты!F211&gt;0,Расчёты!F211&lt;=N('Исходные данные'!$B$37)),-AZ211,0)</f>
        <v>0</v>
      </c>
      <c r="BB211">
        <f>IF(OR(Расчёты!F211=0,Расчёты!F211&lt;=N('Исходные данные'!$B$37)),0,-(AZ211+BA211)*N('Сценарный анализ'!$D$9))</f>
        <v>0</v>
      </c>
      <c r="BC211">
        <f t="shared" si="144"/>
        <v>0</v>
      </c>
      <c r="BD211">
        <f>IF('Исходные данные'!$B$51="Да",BC211*N('Исходные данные'!$B$52),0)</f>
        <v>0</v>
      </c>
      <c r="BE211">
        <f t="shared" si="145"/>
        <v>0</v>
      </c>
      <c r="BF211">
        <f>BC211+(Расчёты!Y211-Расчёты!L211)</f>
        <v>0</v>
      </c>
      <c r="BG211">
        <f t="shared" si="132"/>
        <v>0</v>
      </c>
      <c r="BH211">
        <f>IF('Исходные данные'!$B$51="Да",-MAX(0,BD211+Расчёты!R211+Расчёты!V211-Расчёты!P211-Расчёты!T211-BG211),0)</f>
        <v>0</v>
      </c>
      <c r="BI211">
        <f>IF('Исходные данные'!$B$51="Да",MAX(0,BG211+Расчёты!P211+Расчёты!T211-BD211-Расчёты!R211-Расчёты!V211),0)</f>
        <v>0</v>
      </c>
      <c r="BJ211">
        <f>IF('Исходные данные'!$B$53="Выручка",MAX(0,BC211+(Расчёты!Q211-Расчёты!R211)+(Расчёты!U211-Расчёты!V211)),IF('Исходные данные'!$B$53="Прибыль до налога",MAX(0,BC211+(Расчёты!Q211-Расчёты!R211)+(Расчёты!U211-Расчёты!V211)+N('Исходные данные'!$B$54)*((Расчёты!O211+Расчёты!P211)+(Расчёты!S211+Расчёты!T211)+Расчёты!W211+Расчёты!X211)+IF('Исходные данные'!$B$55="Да",Расчёты!AG211,0)-N('Исходные данные'!$B$56)/12),IF('Исходные данные'!$B$53="Пользовательская база",MAX(0,N('Исходные данные'!$B$57)/12),0)))</f>
        <v>0</v>
      </c>
      <c r="BK211">
        <f>IF(D211=1,-BJ211*N('Исходные данные'!$B$50),0)</f>
        <v>0</v>
      </c>
      <c r="BL211">
        <f t="shared" si="133"/>
        <v>0</v>
      </c>
      <c r="BM211">
        <f>IF(OR(D211&lt;&gt;1,B211="",'Исходные данные'!$B$91="",N('Исходные данные'!$B$80)&lt;=0,'Исходные данные'!$B$88=""),0,IF(AND(YEAR(B211)=YEAR('Исходные данные'!$B$91),MONTH(B211)=MONTH('Исходные данные'!$B$91)),MAX(0,IF('Исходные данные'!$B$88="Последние 12 месяцев",SUMIFS($BF$2:$BF$194,$B$2:$B$194,"&gt;="&amp;EDATE(B211,-11),$B$2:$B$194,"&lt;="&amp;B211),IF('Исходные данные'!$B$88="Пользовательский NOI",N('Исходные данные'!$B$89),BL211))/N('Исходные данные'!$B$80)*(1+N('Исходные данные'!$B$81))),0))</f>
        <v>0</v>
      </c>
      <c r="BN211">
        <f>-BM211*N('Исходные данные'!$B$73)</f>
        <v>0</v>
      </c>
      <c r="BO211">
        <f>IF(BM211=0,0,-N('Исходные данные'!$B$87)-IF('Исходные данные'!$B$82="Да",IF('Исходные данные'!$B$84="С выручки",BM211,IF('Исходные данные'!$B$84="С прибыли",MAX(0,BM211+BN211-IF('Исходные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11">
        <f t="shared" si="146"/>
        <v>0</v>
      </c>
      <c r="BQ211">
        <f>IF(D211=1,Расчёты!AZ211+BE211+BH211+BK211+BP211,0)</f>
        <v>0</v>
      </c>
      <c r="BR211" t="str">
        <f t="shared" si="134"/>
        <v/>
      </c>
      <c r="BS211">
        <f>IF(OR(D211=0,'Исходные данные'!$B$9="",'Исходные данные'!$B$90=""),0,BQ211/(1+'Исходные данные'!$B$90)^((C211-'Исходные данные'!$B$9)/365))</f>
        <v>0</v>
      </c>
      <c r="BT211">
        <f>IF(D211=1,BE211+Расчёты!O211+Расчёты!Q211+Расчёты!S211+Расчёты!U211+Расчёты!W211+Расчёты!X211+BH211+BK211,0)</f>
        <v>0</v>
      </c>
      <c r="BU211">
        <f>IF(AND(D211=1,BR211&gt;=0,BR210&lt;0,MIN($BR$2:BR211)&lt;0),1,0)</f>
        <v>0</v>
      </c>
      <c r="BV211">
        <f>Расчёты!AZ211+K211+N211-P211*N('Исходные данные'!$B$50)</f>
        <v>0</v>
      </c>
      <c r="BW211">
        <f t="shared" si="135"/>
        <v>0</v>
      </c>
      <c r="BX211">
        <f>IF(AND(BW211&gt;=0,BW210&lt;0,MIN($BW$2:BW211)&lt;0),1,0)</f>
        <v>0</v>
      </c>
      <c r="BY211">
        <f>Расчёты!AZ211+AH211+AK211-AM211*N('Исходные данные'!$B$50)</f>
        <v>0</v>
      </c>
      <c r="BZ211">
        <f t="shared" si="136"/>
        <v>0</v>
      </c>
      <c r="CA211">
        <f>IF(AND(BZ211&gt;=0,BZ210&lt;0,MIN($BZ$2:BZ211)&lt;0),1,0)</f>
        <v>0</v>
      </c>
      <c r="CB211">
        <f>Расчёты!AZ211+BE211+BH211-BJ211*N('Исходные данные'!$B$50)</f>
        <v>0</v>
      </c>
      <c r="CC211">
        <f t="shared" si="137"/>
        <v>0</v>
      </c>
      <c r="CD211">
        <f>IF(AND(CC211&gt;=0,CC210&lt;0,MIN($CC$2:CC211)&lt;0),1,0)</f>
        <v>0</v>
      </c>
    </row>
    <row r="212" spans="1:82" x14ac:dyDescent="0.2">
      <c r="A212">
        <f>Расчёты!A212</f>
        <v>211</v>
      </c>
      <c r="B212" t="str">
        <f>Расчёты!B212</f>
        <v/>
      </c>
      <c r="C212" t="str">
        <f>Расчёты!D212</f>
        <v/>
      </c>
      <c r="D212">
        <f>Расчёты!E212</f>
        <v>0</v>
      </c>
      <c r="E212">
        <f>IF(Расчёты!F212=0,0,IF(Расчёты!G212=1,N('Сценарный анализ'!$B$5),IF(Расчёты!G212=2,N('Сценарный анализ'!$B$6),IF(Расчёты!G212=3,N('Сценарный анализ'!$B$7),N('Сценарный анализ'!$B$7)*(1+N('Сценарный анализ'!$B$8))^(Расчёты!G212-3)))))</f>
        <v>0</v>
      </c>
      <c r="F212">
        <f>IF(OR(Расчёты!F212=0,N('Исходные данные'!$B$5)=0,E212=0),0,N('Исходные данные'!$B$5)*E212*IF(AND(B212&lt;='Исходные данные'!$B$30,Расчёты!C212&gt;='Исходные данные'!$B$30),(Расчёты!C212-'Исходные данные'!$B$30+1)/DAY(Расчёты!C212),1))</f>
        <v>0</v>
      </c>
      <c r="G212">
        <f>IF(AND(Расчёты!F212&gt;0,Расчёты!F212&lt;=N('Исходные данные'!$B$37)),-F212,0)</f>
        <v>0</v>
      </c>
      <c r="H212">
        <f>IF(OR(Расчёты!F212=0,Расчёты!F212&lt;=N('Исходные данные'!$B$37)),0,-(F212+G212)*N('Сценарный анализ'!$B$9))</f>
        <v>0</v>
      </c>
      <c r="I212">
        <f t="shared" si="138"/>
        <v>0</v>
      </c>
      <c r="J212">
        <f>IF('Исходные данные'!$B$51="Да",I212*N('Исходные данные'!$B$52),0)</f>
        <v>0</v>
      </c>
      <c r="K212">
        <f t="shared" si="139"/>
        <v>0</v>
      </c>
      <c r="L212">
        <f>I212+(Расчёты!Y212-Расчёты!L212)</f>
        <v>0</v>
      </c>
      <c r="M212">
        <f t="shared" si="126"/>
        <v>0</v>
      </c>
      <c r="N212">
        <f>IF('Исходные данные'!$B$51="Да",-MAX(0,J212+Расчёты!R212+Расчёты!V212-Расчёты!P212-Расчёты!T212-M212),0)</f>
        <v>0</v>
      </c>
      <c r="O212">
        <f>IF('Исходные данные'!$B$51="Да",MAX(0,M212+Расчёты!P212+Расчёты!T212-J212-Расчёты!R212-Расчёты!V212),0)</f>
        <v>0</v>
      </c>
      <c r="P212">
        <f>IF('Исходные данные'!$B$53="Выручка",MAX(0,I212+(Расчёты!Q212-Расчёты!R212)+(Расчёты!U212-Расчёты!V212)),IF('Исходные данные'!$B$53="Прибыль до налога",MAX(0,I212+(Расчёты!Q212-Расчёты!R212)+(Расчёты!U212-Расчёты!V212)+N('Исходные данные'!$B$54)*((Расчёты!O212+Расчёты!P212)+(Расчёты!S212+Расчёты!T212)+Расчёты!W212+Расчёты!X212)+IF('Исходные данные'!$B$55="Да",Расчёты!AG212,0)-N('Исходные данные'!$B$56)/12),IF('Исходные данные'!$B$53="Пользовательская база",MAX(0,N('Исходные данные'!$B$57)/12),0)))</f>
        <v>0</v>
      </c>
      <c r="Q212">
        <f>IF(D212=1,-P212*N('Исходные данные'!$B$50),0)</f>
        <v>0</v>
      </c>
      <c r="R212">
        <f t="shared" si="127"/>
        <v>0</v>
      </c>
      <c r="S212">
        <f>IF(OR(D212&lt;&gt;1,B212="",'Исходные данные'!$B$91="",N('Исходные данные'!$B$80)&lt;=0,'Исходные данные'!$B$88=""),0,IF(AND(YEAR(B212)=YEAR('Исходные данные'!$B$91),MONTH(B212)=MONTH('Исходные данные'!$B$91)),MAX(0,IF('Исходные данные'!$B$88="Последние 12 месяцев",SUMIFS($L$2:$L$194,$B$2:$B$194,"&gt;="&amp;EDATE(B212,-11),$B$2:$B$194,"&lt;="&amp;B212),IF('Исходные данные'!$B$88="Пользовательский NOI",N('Исходные данные'!$B$89),R212))/N('Исходные данные'!$B$80)*(1+N('Исходные данные'!$B$81))),0))</f>
        <v>0</v>
      </c>
      <c r="T212">
        <f>-S212*N('Исходные данные'!$B$73)</f>
        <v>0</v>
      </c>
      <c r="U212">
        <f>IF(S212=0,0,-N('Исходные данные'!$B$87)-IF('Исходные данные'!$B$82="Да",IF('Исходные данные'!$B$84="С выручки",S212,IF('Исходные данные'!$B$84="С прибыли",MAX(0,S212+T212-IF('Исходные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12">
        <f t="shared" si="140"/>
        <v>0</v>
      </c>
      <c r="W212">
        <f>IF(D212=1,Расчёты!AZ212+K212+N212+Q212+V212,0)</f>
        <v>0</v>
      </c>
      <c r="X212" t="str">
        <f t="shared" si="128"/>
        <v/>
      </c>
      <c r="Y212">
        <f>IF(OR(D212=0,'Исходные данные'!$B$9="",'Исходные данные'!$B$90=""),0,W212/(1+'Исходные данные'!$B$90)^((C212-'Исходные данные'!$B$9)/365))</f>
        <v>0</v>
      </c>
      <c r="Z212">
        <f>IF(D212=1,K212+Расчёты!O212+Расчёты!Q212+Расчёты!S212+Расчёты!U212+Расчёты!W212+Расчёты!X212+N212+Q212,0)</f>
        <v>0</v>
      </c>
      <c r="AA212">
        <f>IF(AND(D212=1,X212&gt;=0,X211&lt;0,MIN($X$2:X212)&lt;0),1,0)</f>
        <v>0</v>
      </c>
      <c r="AB212">
        <f>IF(Расчёты!F212=0,0,IF(Расчёты!G212=1,N('Сценарный анализ'!$C$5),IF(Расчёты!G212=2,N('Сценарный анализ'!$C$6),IF(Расчёты!G212=3,N('Сценарный анализ'!$C$7),N('Сценарный анализ'!$C$7)*(1+N('Сценарный анализ'!$C$8))^(Расчёты!G212-3)))))</f>
        <v>0</v>
      </c>
      <c r="AC212">
        <f>IF(OR(Расчёты!F212=0,N('Исходные данные'!$B$5)=0,AB212=0),0,N('Исходные данные'!$B$5)*AB212*IF(AND(B212&lt;='Исходные данные'!$B$30,Расчёты!C212&gt;='Исходные данные'!$B$30),(Расчёты!C212-'Исходные данные'!$B$30+1)/DAY(Расчёты!C212),1))</f>
        <v>0</v>
      </c>
      <c r="AD212">
        <f>IF(AND(Расчёты!F212&gt;0,Расчёты!F212&lt;=N('Исходные данные'!$B$37)),-AC212,0)</f>
        <v>0</v>
      </c>
      <c r="AE212">
        <f>IF(OR(Расчёты!F212=0,Расчёты!F212&lt;=N('Исходные данные'!$B$37)),0,-(AC212+AD212)*N('Сценарный анализ'!$C$9))</f>
        <v>0</v>
      </c>
      <c r="AF212">
        <f t="shared" si="141"/>
        <v>0</v>
      </c>
      <c r="AG212">
        <f>IF('Исходные данные'!$B$51="Да",AF212*N('Исходные данные'!$B$52),0)</f>
        <v>0</v>
      </c>
      <c r="AH212">
        <f t="shared" si="142"/>
        <v>0</v>
      </c>
      <c r="AI212">
        <f>AF212+(Расчёты!Y212-Расчёты!L212)</f>
        <v>0</v>
      </c>
      <c r="AJ212">
        <f t="shared" si="129"/>
        <v>0</v>
      </c>
      <c r="AK212">
        <f>IF('Исходные данные'!$B$51="Да",-MAX(0,AG212+Расчёты!R212+Расчёты!V212-Расчёты!P212-Расчёты!T212-AJ212),0)</f>
        <v>0</v>
      </c>
      <c r="AL212">
        <f>IF('Исходные данные'!$B$51="Да",MAX(0,AJ212+Расчёты!P212+Расчёты!T212-AG212-Расчёты!R212-Расчёты!V212),0)</f>
        <v>0</v>
      </c>
      <c r="AM212">
        <f>IF('Исходные данные'!$B$53="Выручка",MAX(0,AF212+(Расчёты!Q212-Расчёты!R212)+(Расчёты!U212-Расчёты!V212)),IF('Исходные данные'!$B$53="Прибыль до налога",MAX(0,AF212+(Расчёты!Q212-Расчёты!R212)+(Расчёты!U212-Расчёты!V212)+N('Исходные данные'!$B$54)*((Расчёты!O212+Расчёты!P212)+(Расчёты!S212+Расчёты!T212)+Расчёты!W212+Расчёты!X212)+IF('Исходные данные'!$B$55="Да",Расчёты!AG212,0)-N('Исходные данные'!$B$56)/12),IF('Исходные данные'!$B$53="Пользовательская база",MAX(0,N('Исходные данные'!$B$57)/12),0)))</f>
        <v>0</v>
      </c>
      <c r="AN212">
        <f>IF(D212=1,-AM212*N('Исходные данные'!$B$50),0)</f>
        <v>0</v>
      </c>
      <c r="AO212">
        <f t="shared" si="130"/>
        <v>0</v>
      </c>
      <c r="AP212">
        <f>IF(OR(D212&lt;&gt;1,B212="",'Исходные данные'!$B$91="",N('Исходные данные'!$B$80)&lt;=0,'Исходные данные'!$B$88=""),0,IF(AND(YEAR(B212)=YEAR('Исходные данные'!$B$91),MONTH(B212)=MONTH('Исходные данные'!$B$91)),MAX(0,IF('Исходные данные'!$B$88="Последние 12 месяцев",SUMIFS($AI$2:$AI$194,$B$2:$B$194,"&gt;="&amp;EDATE(B212,-11),$B$2:$B$194,"&lt;="&amp;B212),IF('Исходные данные'!$B$88="Пользовательский NOI",N('Исходные данные'!$B$89),AO212))/N('Исходные данные'!$B$80)*(1+N('Исходные данные'!$B$81))),0))</f>
        <v>0</v>
      </c>
      <c r="AQ212">
        <f>-AP212*N('Исходные данные'!$B$73)</f>
        <v>0</v>
      </c>
      <c r="AR212">
        <f>IF(AP212=0,0,-N('Исходные данные'!$B$87)-IF('Исходные данные'!$B$82="Да",IF('Исходные данные'!$B$84="С выручки",AP212,IF('Исходные данные'!$B$84="С прибыли",MAX(0,AP212+AQ212-IF('Исходные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12">
        <f t="shared" si="143"/>
        <v>0</v>
      </c>
      <c r="AT212">
        <f>IF(D212=1,Расчёты!AZ212+AH212+AK212+AN212+AS212,0)</f>
        <v>0</v>
      </c>
      <c r="AU212" t="str">
        <f t="shared" si="131"/>
        <v/>
      </c>
      <c r="AV212">
        <f>IF(OR(D212=0,'Исходные данные'!$B$9="",'Исходные данные'!$B$90=""),0,AT212/(1+'Исходные данные'!$B$90)^((C212-'Исходные данные'!$B$9)/365))</f>
        <v>0</v>
      </c>
      <c r="AW212">
        <f>IF(D212=1,AH212+Расчёты!O212+Расчёты!Q212+Расчёты!S212+Расчёты!U212+Расчёты!W212+Расчёты!X212+AK212+AN212,0)</f>
        <v>0</v>
      </c>
      <c r="AX212">
        <f>IF(AND(D212=1,AU212&gt;=0,AU211&lt;0,MIN($AU$2:AU212)&lt;0),1,0)</f>
        <v>0</v>
      </c>
      <c r="AY212">
        <f>IF(Расчёты!F212=0,0,IF(Расчёты!G212=1,N('Сценарный анализ'!$D$5),IF(Расчёты!G212=2,N('Сценарный анализ'!$D$6),IF(Расчёты!G212=3,N('Сценарный анализ'!$D$7),N('Сценарный анализ'!$D$7)*(1+N('Сценарный анализ'!$D$8))^(Расчёты!G212-3)))))</f>
        <v>0</v>
      </c>
      <c r="AZ212">
        <f>IF(OR(Расчёты!F212=0,N('Исходные данные'!$B$5)=0,AY212=0),0,N('Исходные данные'!$B$5)*AY212*IF(AND(B212&lt;='Исходные данные'!$B$30,Расчёты!C212&gt;='Исходные данные'!$B$30),(Расчёты!C212-'Исходные данные'!$B$30+1)/DAY(Расчёты!C212),1))</f>
        <v>0</v>
      </c>
      <c r="BA212">
        <f>IF(AND(Расчёты!F212&gt;0,Расчёты!F212&lt;=N('Исходные данные'!$B$37)),-AZ212,0)</f>
        <v>0</v>
      </c>
      <c r="BB212">
        <f>IF(OR(Расчёты!F212=0,Расчёты!F212&lt;=N('Исходные данные'!$B$37)),0,-(AZ212+BA212)*N('Сценарный анализ'!$D$9))</f>
        <v>0</v>
      </c>
      <c r="BC212">
        <f t="shared" si="144"/>
        <v>0</v>
      </c>
      <c r="BD212">
        <f>IF('Исходные данные'!$B$51="Да",BC212*N('Исходные данные'!$B$52),0)</f>
        <v>0</v>
      </c>
      <c r="BE212">
        <f t="shared" si="145"/>
        <v>0</v>
      </c>
      <c r="BF212">
        <f>BC212+(Расчёты!Y212-Расчёты!L212)</f>
        <v>0</v>
      </c>
      <c r="BG212">
        <f t="shared" si="132"/>
        <v>0</v>
      </c>
      <c r="BH212">
        <f>IF('Исходные данные'!$B$51="Да",-MAX(0,BD212+Расчёты!R212+Расчёты!V212-Расчёты!P212-Расчёты!T212-BG212),0)</f>
        <v>0</v>
      </c>
      <c r="BI212">
        <f>IF('Исходные данные'!$B$51="Да",MAX(0,BG212+Расчёты!P212+Расчёты!T212-BD212-Расчёты!R212-Расчёты!V212),0)</f>
        <v>0</v>
      </c>
      <c r="BJ212">
        <f>IF('Исходные данные'!$B$53="Выручка",MAX(0,BC212+(Расчёты!Q212-Расчёты!R212)+(Расчёты!U212-Расчёты!V212)),IF('Исходные данные'!$B$53="Прибыль до налога",MAX(0,BC212+(Расчёты!Q212-Расчёты!R212)+(Расчёты!U212-Расчёты!V212)+N('Исходные данные'!$B$54)*((Расчёты!O212+Расчёты!P212)+(Расчёты!S212+Расчёты!T212)+Расчёты!W212+Расчёты!X212)+IF('Исходные данные'!$B$55="Да",Расчёты!AG212,0)-N('Исходные данные'!$B$56)/12),IF('Исходные данные'!$B$53="Пользовательская база",MAX(0,N('Исходные данные'!$B$57)/12),0)))</f>
        <v>0</v>
      </c>
      <c r="BK212">
        <f>IF(D212=1,-BJ212*N('Исходные данные'!$B$50),0)</f>
        <v>0</v>
      </c>
      <c r="BL212">
        <f t="shared" si="133"/>
        <v>0</v>
      </c>
      <c r="BM212">
        <f>IF(OR(D212&lt;&gt;1,B212="",'Исходные данные'!$B$91="",N('Исходные данные'!$B$80)&lt;=0,'Исходные данные'!$B$88=""),0,IF(AND(YEAR(B212)=YEAR('Исходные данные'!$B$91),MONTH(B212)=MONTH('Исходные данные'!$B$91)),MAX(0,IF('Исходные данные'!$B$88="Последние 12 месяцев",SUMIFS($BF$2:$BF$194,$B$2:$B$194,"&gt;="&amp;EDATE(B212,-11),$B$2:$B$194,"&lt;="&amp;B212),IF('Исходные данные'!$B$88="Пользовательский NOI",N('Исходные данные'!$B$89),BL212))/N('Исходные данные'!$B$80)*(1+N('Исходные данные'!$B$81))),0))</f>
        <v>0</v>
      </c>
      <c r="BN212">
        <f>-BM212*N('Исходные данные'!$B$73)</f>
        <v>0</v>
      </c>
      <c r="BO212">
        <f>IF(BM212=0,0,-N('Исходные данные'!$B$87)-IF('Исходные данные'!$B$82="Да",IF('Исходные данные'!$B$84="С выручки",BM212,IF('Исходные данные'!$B$84="С прибыли",MAX(0,BM212+BN212-IF('Исходные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12">
        <f t="shared" si="146"/>
        <v>0</v>
      </c>
      <c r="BQ212">
        <f>IF(D212=1,Расчёты!AZ212+BE212+BH212+BK212+BP212,0)</f>
        <v>0</v>
      </c>
      <c r="BR212" t="str">
        <f t="shared" si="134"/>
        <v/>
      </c>
      <c r="BS212">
        <f>IF(OR(D212=0,'Исходные данные'!$B$9="",'Исходные данные'!$B$90=""),0,BQ212/(1+'Исходные данные'!$B$90)^((C212-'Исходные данные'!$B$9)/365))</f>
        <v>0</v>
      </c>
      <c r="BT212">
        <f>IF(D212=1,BE212+Расчёты!O212+Расчёты!Q212+Расчёты!S212+Расчёты!U212+Расчёты!W212+Расчёты!X212+BH212+BK212,0)</f>
        <v>0</v>
      </c>
      <c r="BU212">
        <f>IF(AND(D212=1,BR212&gt;=0,BR211&lt;0,MIN($BR$2:BR212)&lt;0),1,0)</f>
        <v>0</v>
      </c>
      <c r="BV212">
        <f>Расчёты!AZ212+K212+N212-P212*N('Исходные данные'!$B$50)</f>
        <v>0</v>
      </c>
      <c r="BW212">
        <f t="shared" si="135"/>
        <v>0</v>
      </c>
      <c r="BX212">
        <f>IF(AND(BW212&gt;=0,BW211&lt;0,MIN($BW$2:BW212)&lt;0),1,0)</f>
        <v>0</v>
      </c>
      <c r="BY212">
        <f>Расчёты!AZ212+AH212+AK212-AM212*N('Исходные данные'!$B$50)</f>
        <v>0</v>
      </c>
      <c r="BZ212">
        <f t="shared" si="136"/>
        <v>0</v>
      </c>
      <c r="CA212">
        <f>IF(AND(BZ212&gt;=0,BZ211&lt;0,MIN($BZ$2:BZ212)&lt;0),1,0)</f>
        <v>0</v>
      </c>
      <c r="CB212">
        <f>Расчёты!AZ212+BE212+BH212-BJ212*N('Исходные данные'!$B$50)</f>
        <v>0</v>
      </c>
      <c r="CC212">
        <f t="shared" si="137"/>
        <v>0</v>
      </c>
      <c r="CD212">
        <f>IF(AND(CC212&gt;=0,CC211&lt;0,MIN($CC$2:CC212)&lt;0),1,0)</f>
        <v>0</v>
      </c>
    </row>
    <row r="213" spans="1:82" x14ac:dyDescent="0.2">
      <c r="A213">
        <f>Расчёты!A213</f>
        <v>212</v>
      </c>
      <c r="B213" t="str">
        <f>Расчёты!B213</f>
        <v/>
      </c>
      <c r="C213" t="str">
        <f>Расчёты!D213</f>
        <v/>
      </c>
      <c r="D213">
        <f>Расчёты!E213</f>
        <v>0</v>
      </c>
      <c r="E213">
        <f>IF(Расчёты!F213=0,0,IF(Расчёты!G213=1,N('Сценарный анализ'!$B$5),IF(Расчёты!G213=2,N('Сценарный анализ'!$B$6),IF(Расчёты!G213=3,N('Сценарный анализ'!$B$7),N('Сценарный анализ'!$B$7)*(1+N('Сценарный анализ'!$B$8))^(Расчёты!G213-3)))))</f>
        <v>0</v>
      </c>
      <c r="F213">
        <f>IF(OR(Расчёты!F213=0,N('Исходные данные'!$B$5)=0,E213=0),0,N('Исходные данные'!$B$5)*E213*IF(AND(B213&lt;='Исходные данные'!$B$30,Расчёты!C213&gt;='Исходные данные'!$B$30),(Расчёты!C213-'Исходные данные'!$B$30+1)/DAY(Расчёты!C213),1))</f>
        <v>0</v>
      </c>
      <c r="G213">
        <f>IF(AND(Расчёты!F213&gt;0,Расчёты!F213&lt;=N('Исходные данные'!$B$37)),-F213,0)</f>
        <v>0</v>
      </c>
      <c r="H213">
        <f>IF(OR(Расчёты!F213=0,Расчёты!F213&lt;=N('Исходные данные'!$B$37)),0,-(F213+G213)*N('Сценарный анализ'!$B$9))</f>
        <v>0</v>
      </c>
      <c r="I213">
        <f t="shared" si="138"/>
        <v>0</v>
      </c>
      <c r="J213">
        <f>IF('Исходные данные'!$B$51="Да",I213*N('Исходные данные'!$B$52),0)</f>
        <v>0</v>
      </c>
      <c r="K213">
        <f t="shared" si="139"/>
        <v>0</v>
      </c>
      <c r="L213">
        <f>I213+(Расчёты!Y213-Расчёты!L213)</f>
        <v>0</v>
      </c>
      <c r="M213">
        <f t="shared" si="126"/>
        <v>0</v>
      </c>
      <c r="N213">
        <f>IF('Исходные данные'!$B$51="Да",-MAX(0,J213+Расчёты!R213+Расчёты!V213-Расчёты!P213-Расчёты!T213-M213),0)</f>
        <v>0</v>
      </c>
      <c r="O213">
        <f>IF('Исходные данные'!$B$51="Да",MAX(0,M213+Расчёты!P213+Расчёты!T213-J213-Расчёты!R213-Расчёты!V213),0)</f>
        <v>0</v>
      </c>
      <c r="P213">
        <f>IF('Исходные данные'!$B$53="Выручка",MAX(0,I213+(Расчёты!Q213-Расчёты!R213)+(Расчёты!U213-Расчёты!V213)),IF('Исходные данные'!$B$53="Прибыль до налога",MAX(0,I213+(Расчёты!Q213-Расчёты!R213)+(Расчёты!U213-Расчёты!V213)+N('Исходные данные'!$B$54)*((Расчёты!O213+Расчёты!P213)+(Расчёты!S213+Расчёты!T213)+Расчёты!W213+Расчёты!X213)+IF('Исходные данные'!$B$55="Да",Расчёты!AG213,0)-N('Исходные данные'!$B$56)/12),IF('Исходные данные'!$B$53="Пользовательская база",MAX(0,N('Исходные данные'!$B$57)/12),0)))</f>
        <v>0</v>
      </c>
      <c r="Q213">
        <f>IF(D213=1,-P213*N('Исходные данные'!$B$50),0)</f>
        <v>0</v>
      </c>
      <c r="R213">
        <f t="shared" si="127"/>
        <v>0</v>
      </c>
      <c r="S213">
        <f>IF(OR(D213&lt;&gt;1,B213="",'Исходные данные'!$B$91="",N('Исходные данные'!$B$80)&lt;=0,'Исходные данные'!$B$88=""),0,IF(AND(YEAR(B213)=YEAR('Исходные данные'!$B$91),MONTH(B213)=MONTH('Исходные данные'!$B$91)),MAX(0,IF('Исходные данные'!$B$88="Последние 12 месяцев",SUMIFS($L$2:$L$194,$B$2:$B$194,"&gt;="&amp;EDATE(B213,-11),$B$2:$B$194,"&lt;="&amp;B213),IF('Исходные данные'!$B$88="Пользовательский NOI",N('Исходные данные'!$B$89),R213))/N('Исходные данные'!$B$80)*(1+N('Исходные данные'!$B$81))),0))</f>
        <v>0</v>
      </c>
      <c r="T213">
        <f>-S213*N('Исходные данные'!$B$73)</f>
        <v>0</v>
      </c>
      <c r="U213">
        <f>IF(S213=0,0,-N('Исходные данные'!$B$87)-IF('Исходные данные'!$B$82="Да",IF('Исходные данные'!$B$84="С выручки",S213,IF('Исходные данные'!$B$84="С прибыли",MAX(0,S213+T213-IF('Исходные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13">
        <f t="shared" si="140"/>
        <v>0</v>
      </c>
      <c r="W213">
        <f>IF(D213=1,Расчёты!AZ213+K213+N213+Q213+V213,0)</f>
        <v>0</v>
      </c>
      <c r="X213" t="str">
        <f t="shared" si="128"/>
        <v/>
      </c>
      <c r="Y213">
        <f>IF(OR(D213=0,'Исходные данные'!$B$9="",'Исходные данные'!$B$90=""),0,W213/(1+'Исходные данные'!$B$90)^((C213-'Исходные данные'!$B$9)/365))</f>
        <v>0</v>
      </c>
      <c r="Z213">
        <f>IF(D213=1,K213+Расчёты!O213+Расчёты!Q213+Расчёты!S213+Расчёты!U213+Расчёты!W213+Расчёты!X213+N213+Q213,0)</f>
        <v>0</v>
      </c>
      <c r="AA213">
        <f>IF(AND(D213=1,X213&gt;=0,X212&lt;0,MIN($X$2:X213)&lt;0),1,0)</f>
        <v>0</v>
      </c>
      <c r="AB213">
        <f>IF(Расчёты!F213=0,0,IF(Расчёты!G213=1,N('Сценарный анализ'!$C$5),IF(Расчёты!G213=2,N('Сценарный анализ'!$C$6),IF(Расчёты!G213=3,N('Сценарный анализ'!$C$7),N('Сценарный анализ'!$C$7)*(1+N('Сценарный анализ'!$C$8))^(Расчёты!G213-3)))))</f>
        <v>0</v>
      </c>
      <c r="AC213">
        <f>IF(OR(Расчёты!F213=0,N('Исходные данные'!$B$5)=0,AB213=0),0,N('Исходные данные'!$B$5)*AB213*IF(AND(B213&lt;='Исходные данные'!$B$30,Расчёты!C213&gt;='Исходные данные'!$B$30),(Расчёты!C213-'Исходные данные'!$B$30+1)/DAY(Расчёты!C213),1))</f>
        <v>0</v>
      </c>
      <c r="AD213">
        <f>IF(AND(Расчёты!F213&gt;0,Расчёты!F213&lt;=N('Исходные данные'!$B$37)),-AC213,0)</f>
        <v>0</v>
      </c>
      <c r="AE213">
        <f>IF(OR(Расчёты!F213=0,Расчёты!F213&lt;=N('Исходные данные'!$B$37)),0,-(AC213+AD213)*N('Сценарный анализ'!$C$9))</f>
        <v>0</v>
      </c>
      <c r="AF213">
        <f t="shared" si="141"/>
        <v>0</v>
      </c>
      <c r="AG213">
        <f>IF('Исходные данные'!$B$51="Да",AF213*N('Исходные данные'!$B$52),0)</f>
        <v>0</v>
      </c>
      <c r="AH213">
        <f t="shared" si="142"/>
        <v>0</v>
      </c>
      <c r="AI213">
        <f>AF213+(Расчёты!Y213-Расчёты!L213)</f>
        <v>0</v>
      </c>
      <c r="AJ213">
        <f t="shared" si="129"/>
        <v>0</v>
      </c>
      <c r="AK213">
        <f>IF('Исходные данные'!$B$51="Да",-MAX(0,AG213+Расчёты!R213+Расчёты!V213-Расчёты!P213-Расчёты!T213-AJ213),0)</f>
        <v>0</v>
      </c>
      <c r="AL213">
        <f>IF('Исходные данные'!$B$51="Да",MAX(0,AJ213+Расчёты!P213+Расчёты!T213-AG213-Расчёты!R213-Расчёты!V213),0)</f>
        <v>0</v>
      </c>
      <c r="AM213">
        <f>IF('Исходные данные'!$B$53="Выручка",MAX(0,AF213+(Расчёты!Q213-Расчёты!R213)+(Расчёты!U213-Расчёты!V213)),IF('Исходные данные'!$B$53="Прибыль до налога",MAX(0,AF213+(Расчёты!Q213-Расчёты!R213)+(Расчёты!U213-Расчёты!V213)+N('Исходные данные'!$B$54)*((Расчёты!O213+Расчёты!P213)+(Расчёты!S213+Расчёты!T213)+Расчёты!W213+Расчёты!X213)+IF('Исходные данные'!$B$55="Да",Расчёты!AG213,0)-N('Исходные данные'!$B$56)/12),IF('Исходные данные'!$B$53="Пользовательская база",MAX(0,N('Исходные данные'!$B$57)/12),0)))</f>
        <v>0</v>
      </c>
      <c r="AN213">
        <f>IF(D213=1,-AM213*N('Исходные данные'!$B$50),0)</f>
        <v>0</v>
      </c>
      <c r="AO213">
        <f t="shared" si="130"/>
        <v>0</v>
      </c>
      <c r="AP213">
        <f>IF(OR(D213&lt;&gt;1,B213="",'Исходные данные'!$B$91="",N('Исходные данные'!$B$80)&lt;=0,'Исходные данные'!$B$88=""),0,IF(AND(YEAR(B213)=YEAR('Исходные данные'!$B$91),MONTH(B213)=MONTH('Исходные данные'!$B$91)),MAX(0,IF('Исходные данные'!$B$88="Последние 12 месяцев",SUMIFS($AI$2:$AI$194,$B$2:$B$194,"&gt;="&amp;EDATE(B213,-11),$B$2:$B$194,"&lt;="&amp;B213),IF('Исходные данные'!$B$88="Пользовательский NOI",N('Исходные данные'!$B$89),AO213))/N('Исходные данные'!$B$80)*(1+N('Исходные данные'!$B$81))),0))</f>
        <v>0</v>
      </c>
      <c r="AQ213">
        <f>-AP213*N('Исходные данные'!$B$73)</f>
        <v>0</v>
      </c>
      <c r="AR213">
        <f>IF(AP213=0,0,-N('Исходные данные'!$B$87)-IF('Исходные данные'!$B$82="Да",IF('Исходные данные'!$B$84="С выручки",AP213,IF('Исходные данные'!$B$84="С прибыли",MAX(0,AP213+AQ213-IF('Исходные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13">
        <f t="shared" si="143"/>
        <v>0</v>
      </c>
      <c r="AT213">
        <f>IF(D213=1,Расчёты!AZ213+AH213+AK213+AN213+AS213,0)</f>
        <v>0</v>
      </c>
      <c r="AU213" t="str">
        <f t="shared" si="131"/>
        <v/>
      </c>
      <c r="AV213">
        <f>IF(OR(D213=0,'Исходные данные'!$B$9="",'Исходные данные'!$B$90=""),0,AT213/(1+'Исходные данные'!$B$90)^((C213-'Исходные данные'!$B$9)/365))</f>
        <v>0</v>
      </c>
      <c r="AW213">
        <f>IF(D213=1,AH213+Расчёты!O213+Расчёты!Q213+Расчёты!S213+Расчёты!U213+Расчёты!W213+Расчёты!X213+AK213+AN213,0)</f>
        <v>0</v>
      </c>
      <c r="AX213">
        <f>IF(AND(D213=1,AU213&gt;=0,AU212&lt;0,MIN($AU$2:AU213)&lt;0),1,0)</f>
        <v>0</v>
      </c>
      <c r="AY213">
        <f>IF(Расчёты!F213=0,0,IF(Расчёты!G213=1,N('Сценарный анализ'!$D$5),IF(Расчёты!G213=2,N('Сценарный анализ'!$D$6),IF(Расчёты!G213=3,N('Сценарный анализ'!$D$7),N('Сценарный анализ'!$D$7)*(1+N('Сценарный анализ'!$D$8))^(Расчёты!G213-3)))))</f>
        <v>0</v>
      </c>
      <c r="AZ213">
        <f>IF(OR(Расчёты!F213=0,N('Исходные данные'!$B$5)=0,AY213=0),0,N('Исходные данные'!$B$5)*AY213*IF(AND(B213&lt;='Исходные данные'!$B$30,Расчёты!C213&gt;='Исходные данные'!$B$30),(Расчёты!C213-'Исходные данные'!$B$30+1)/DAY(Расчёты!C213),1))</f>
        <v>0</v>
      </c>
      <c r="BA213">
        <f>IF(AND(Расчёты!F213&gt;0,Расчёты!F213&lt;=N('Исходные данные'!$B$37)),-AZ213,0)</f>
        <v>0</v>
      </c>
      <c r="BB213">
        <f>IF(OR(Расчёты!F213=0,Расчёты!F213&lt;=N('Исходные данные'!$B$37)),0,-(AZ213+BA213)*N('Сценарный анализ'!$D$9))</f>
        <v>0</v>
      </c>
      <c r="BC213">
        <f t="shared" si="144"/>
        <v>0</v>
      </c>
      <c r="BD213">
        <f>IF('Исходные данные'!$B$51="Да",BC213*N('Исходные данные'!$B$52),0)</f>
        <v>0</v>
      </c>
      <c r="BE213">
        <f t="shared" si="145"/>
        <v>0</v>
      </c>
      <c r="BF213">
        <f>BC213+(Расчёты!Y213-Расчёты!L213)</f>
        <v>0</v>
      </c>
      <c r="BG213">
        <f t="shared" si="132"/>
        <v>0</v>
      </c>
      <c r="BH213">
        <f>IF('Исходные данные'!$B$51="Да",-MAX(0,BD213+Расчёты!R213+Расчёты!V213-Расчёты!P213-Расчёты!T213-BG213),0)</f>
        <v>0</v>
      </c>
      <c r="BI213">
        <f>IF('Исходные данные'!$B$51="Да",MAX(0,BG213+Расчёты!P213+Расчёты!T213-BD213-Расчёты!R213-Расчёты!V213),0)</f>
        <v>0</v>
      </c>
      <c r="BJ213">
        <f>IF('Исходные данные'!$B$53="Выручка",MAX(0,BC213+(Расчёты!Q213-Расчёты!R213)+(Расчёты!U213-Расчёты!V213)),IF('Исходные данные'!$B$53="Прибыль до налога",MAX(0,BC213+(Расчёты!Q213-Расчёты!R213)+(Расчёты!U213-Расчёты!V213)+N('Исходные данные'!$B$54)*((Расчёты!O213+Расчёты!P213)+(Расчёты!S213+Расчёты!T213)+Расчёты!W213+Расчёты!X213)+IF('Исходные данные'!$B$55="Да",Расчёты!AG213,0)-N('Исходные данные'!$B$56)/12),IF('Исходные данные'!$B$53="Пользовательская база",MAX(0,N('Исходные данные'!$B$57)/12),0)))</f>
        <v>0</v>
      </c>
      <c r="BK213">
        <f>IF(D213=1,-BJ213*N('Исходные данные'!$B$50),0)</f>
        <v>0</v>
      </c>
      <c r="BL213">
        <f t="shared" si="133"/>
        <v>0</v>
      </c>
      <c r="BM213">
        <f>IF(OR(D213&lt;&gt;1,B213="",'Исходные данные'!$B$91="",N('Исходные данные'!$B$80)&lt;=0,'Исходные данные'!$B$88=""),0,IF(AND(YEAR(B213)=YEAR('Исходные данные'!$B$91),MONTH(B213)=MONTH('Исходные данные'!$B$91)),MAX(0,IF('Исходные данные'!$B$88="Последние 12 месяцев",SUMIFS($BF$2:$BF$194,$B$2:$B$194,"&gt;="&amp;EDATE(B213,-11),$B$2:$B$194,"&lt;="&amp;B213),IF('Исходные данные'!$B$88="Пользовательский NOI",N('Исходные данные'!$B$89),BL213))/N('Исходные данные'!$B$80)*(1+N('Исходные данные'!$B$81))),0))</f>
        <v>0</v>
      </c>
      <c r="BN213">
        <f>-BM213*N('Исходные данные'!$B$73)</f>
        <v>0</v>
      </c>
      <c r="BO213">
        <f>IF(BM213=0,0,-N('Исходные данные'!$B$87)-IF('Исходные данные'!$B$82="Да",IF('Исходные данные'!$B$84="С выручки",BM213,IF('Исходные данные'!$B$84="С прибыли",MAX(0,BM213+BN213-IF('Исходные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13">
        <f t="shared" si="146"/>
        <v>0</v>
      </c>
      <c r="BQ213">
        <f>IF(D213=1,Расчёты!AZ213+BE213+BH213+BK213+BP213,0)</f>
        <v>0</v>
      </c>
      <c r="BR213" t="str">
        <f t="shared" si="134"/>
        <v/>
      </c>
      <c r="BS213">
        <f>IF(OR(D213=0,'Исходные данные'!$B$9="",'Исходные данные'!$B$90=""),0,BQ213/(1+'Исходные данные'!$B$90)^((C213-'Исходные данные'!$B$9)/365))</f>
        <v>0</v>
      </c>
      <c r="BT213">
        <f>IF(D213=1,BE213+Расчёты!O213+Расчёты!Q213+Расчёты!S213+Расчёты!U213+Расчёты!W213+Расчёты!X213+BH213+BK213,0)</f>
        <v>0</v>
      </c>
      <c r="BU213">
        <f>IF(AND(D213=1,BR213&gt;=0,BR212&lt;0,MIN($BR$2:BR213)&lt;0),1,0)</f>
        <v>0</v>
      </c>
      <c r="BV213">
        <f>Расчёты!AZ213+K213+N213-P213*N('Исходные данные'!$B$50)</f>
        <v>0</v>
      </c>
      <c r="BW213">
        <f t="shared" si="135"/>
        <v>0</v>
      </c>
      <c r="BX213">
        <f>IF(AND(BW213&gt;=0,BW212&lt;0,MIN($BW$2:BW213)&lt;0),1,0)</f>
        <v>0</v>
      </c>
      <c r="BY213">
        <f>Расчёты!AZ213+AH213+AK213-AM213*N('Исходные данные'!$B$50)</f>
        <v>0</v>
      </c>
      <c r="BZ213">
        <f t="shared" si="136"/>
        <v>0</v>
      </c>
      <c r="CA213">
        <f>IF(AND(BZ213&gt;=0,BZ212&lt;0,MIN($BZ$2:BZ213)&lt;0),1,0)</f>
        <v>0</v>
      </c>
      <c r="CB213">
        <f>Расчёты!AZ213+BE213+BH213-BJ213*N('Исходные данные'!$B$50)</f>
        <v>0</v>
      </c>
      <c r="CC213">
        <f t="shared" si="137"/>
        <v>0</v>
      </c>
      <c r="CD213">
        <f>IF(AND(CC213&gt;=0,CC212&lt;0,MIN($CC$2:CC213)&lt;0),1,0)</f>
        <v>0</v>
      </c>
    </row>
    <row r="214" spans="1:82" x14ac:dyDescent="0.2">
      <c r="A214">
        <f>Расчёты!A214</f>
        <v>213</v>
      </c>
      <c r="B214" t="str">
        <f>Расчёты!B214</f>
        <v/>
      </c>
      <c r="C214" t="str">
        <f>Расчёты!D214</f>
        <v/>
      </c>
      <c r="D214">
        <f>Расчёты!E214</f>
        <v>0</v>
      </c>
      <c r="E214">
        <f>IF(Расчёты!F214=0,0,IF(Расчёты!G214=1,N('Сценарный анализ'!$B$5),IF(Расчёты!G214=2,N('Сценарный анализ'!$B$6),IF(Расчёты!G214=3,N('Сценарный анализ'!$B$7),N('Сценарный анализ'!$B$7)*(1+N('Сценарный анализ'!$B$8))^(Расчёты!G214-3)))))</f>
        <v>0</v>
      </c>
      <c r="F214">
        <f>IF(OR(Расчёты!F214=0,N('Исходные данные'!$B$5)=0,E214=0),0,N('Исходные данные'!$B$5)*E214*IF(AND(B214&lt;='Исходные данные'!$B$30,Расчёты!C214&gt;='Исходные данные'!$B$30),(Расчёты!C214-'Исходные данные'!$B$30+1)/DAY(Расчёты!C214),1))</f>
        <v>0</v>
      </c>
      <c r="G214">
        <f>IF(AND(Расчёты!F214&gt;0,Расчёты!F214&lt;=N('Исходные данные'!$B$37)),-F214,0)</f>
        <v>0</v>
      </c>
      <c r="H214">
        <f>IF(OR(Расчёты!F214=0,Расчёты!F214&lt;=N('Исходные данные'!$B$37)),0,-(F214+G214)*N('Сценарный анализ'!$B$9))</f>
        <v>0</v>
      </c>
      <c r="I214">
        <f t="shared" si="138"/>
        <v>0</v>
      </c>
      <c r="J214">
        <f>IF('Исходные данные'!$B$51="Да",I214*N('Исходные данные'!$B$52),0)</f>
        <v>0</v>
      </c>
      <c r="K214">
        <f t="shared" si="139"/>
        <v>0</v>
      </c>
      <c r="L214">
        <f>I214+(Расчёты!Y214-Расчёты!L214)</f>
        <v>0</v>
      </c>
      <c r="M214">
        <f t="shared" si="126"/>
        <v>0</v>
      </c>
      <c r="N214">
        <f>IF('Исходные данные'!$B$51="Да",-MAX(0,J214+Расчёты!R214+Расчёты!V214-Расчёты!P214-Расчёты!T214-M214),0)</f>
        <v>0</v>
      </c>
      <c r="O214">
        <f>IF('Исходные данные'!$B$51="Да",MAX(0,M214+Расчёты!P214+Расчёты!T214-J214-Расчёты!R214-Расчёты!V214),0)</f>
        <v>0</v>
      </c>
      <c r="P214">
        <f>IF('Исходные данные'!$B$53="Выручка",MAX(0,I214+(Расчёты!Q214-Расчёты!R214)+(Расчёты!U214-Расчёты!V214)),IF('Исходные данные'!$B$53="Прибыль до налога",MAX(0,I214+(Расчёты!Q214-Расчёты!R214)+(Расчёты!U214-Расчёты!V214)+N('Исходные данные'!$B$54)*((Расчёты!O214+Расчёты!P214)+(Расчёты!S214+Расчёты!T214)+Расчёты!W214+Расчёты!X214)+IF('Исходные данные'!$B$55="Да",Расчёты!AG214,0)-N('Исходные данные'!$B$56)/12),IF('Исходные данные'!$B$53="Пользовательская база",MAX(0,N('Исходные данные'!$B$57)/12),0)))</f>
        <v>0</v>
      </c>
      <c r="Q214">
        <f>IF(D214=1,-P214*N('Исходные данные'!$B$50),0)</f>
        <v>0</v>
      </c>
      <c r="R214">
        <f t="shared" si="127"/>
        <v>0</v>
      </c>
      <c r="S214">
        <f>IF(OR(D214&lt;&gt;1,B214="",'Исходные данные'!$B$91="",N('Исходные данные'!$B$80)&lt;=0,'Исходные данные'!$B$88=""),0,IF(AND(YEAR(B214)=YEAR('Исходные данные'!$B$91),MONTH(B214)=MONTH('Исходные данные'!$B$91)),MAX(0,IF('Исходные данные'!$B$88="Последние 12 месяцев",SUMIFS($L$2:$L$194,$B$2:$B$194,"&gt;="&amp;EDATE(B214,-11),$B$2:$B$194,"&lt;="&amp;B214),IF('Исходные данные'!$B$88="Пользовательский NOI",N('Исходные данные'!$B$89),R214))/N('Исходные данные'!$B$80)*(1+N('Исходные данные'!$B$81))),0))</f>
        <v>0</v>
      </c>
      <c r="T214">
        <f>-S214*N('Исходные данные'!$B$73)</f>
        <v>0</v>
      </c>
      <c r="U214">
        <f>IF(S214=0,0,-N('Исходные данные'!$B$87)-IF('Исходные данные'!$B$82="Да",IF('Исходные данные'!$B$84="С выручки",S214,IF('Исходные данные'!$B$84="С прибыли",MAX(0,S214+T214-IF('Исходные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14">
        <f t="shared" si="140"/>
        <v>0</v>
      </c>
      <c r="W214">
        <f>IF(D214=1,Расчёты!AZ214+K214+N214+Q214+V214,0)</f>
        <v>0</v>
      </c>
      <c r="X214" t="str">
        <f t="shared" si="128"/>
        <v/>
      </c>
      <c r="Y214">
        <f>IF(OR(D214=0,'Исходные данные'!$B$9="",'Исходные данные'!$B$90=""),0,W214/(1+'Исходные данные'!$B$90)^((C214-'Исходные данные'!$B$9)/365))</f>
        <v>0</v>
      </c>
      <c r="Z214">
        <f>IF(D214=1,K214+Расчёты!O214+Расчёты!Q214+Расчёты!S214+Расчёты!U214+Расчёты!W214+Расчёты!X214+N214+Q214,0)</f>
        <v>0</v>
      </c>
      <c r="AA214">
        <f>IF(AND(D214=1,X214&gt;=0,X213&lt;0,MIN($X$2:X214)&lt;0),1,0)</f>
        <v>0</v>
      </c>
      <c r="AB214">
        <f>IF(Расчёты!F214=0,0,IF(Расчёты!G214=1,N('Сценарный анализ'!$C$5),IF(Расчёты!G214=2,N('Сценарный анализ'!$C$6),IF(Расчёты!G214=3,N('Сценарный анализ'!$C$7),N('Сценарный анализ'!$C$7)*(1+N('Сценарный анализ'!$C$8))^(Расчёты!G214-3)))))</f>
        <v>0</v>
      </c>
      <c r="AC214">
        <f>IF(OR(Расчёты!F214=0,N('Исходные данные'!$B$5)=0,AB214=0),0,N('Исходные данные'!$B$5)*AB214*IF(AND(B214&lt;='Исходные данные'!$B$30,Расчёты!C214&gt;='Исходные данные'!$B$30),(Расчёты!C214-'Исходные данные'!$B$30+1)/DAY(Расчёты!C214),1))</f>
        <v>0</v>
      </c>
      <c r="AD214">
        <f>IF(AND(Расчёты!F214&gt;0,Расчёты!F214&lt;=N('Исходные данные'!$B$37)),-AC214,0)</f>
        <v>0</v>
      </c>
      <c r="AE214">
        <f>IF(OR(Расчёты!F214=0,Расчёты!F214&lt;=N('Исходные данные'!$B$37)),0,-(AC214+AD214)*N('Сценарный анализ'!$C$9))</f>
        <v>0</v>
      </c>
      <c r="AF214">
        <f t="shared" si="141"/>
        <v>0</v>
      </c>
      <c r="AG214">
        <f>IF('Исходные данные'!$B$51="Да",AF214*N('Исходные данные'!$B$52),0)</f>
        <v>0</v>
      </c>
      <c r="AH214">
        <f t="shared" si="142"/>
        <v>0</v>
      </c>
      <c r="AI214">
        <f>AF214+(Расчёты!Y214-Расчёты!L214)</f>
        <v>0</v>
      </c>
      <c r="AJ214">
        <f t="shared" si="129"/>
        <v>0</v>
      </c>
      <c r="AK214">
        <f>IF('Исходные данные'!$B$51="Да",-MAX(0,AG214+Расчёты!R214+Расчёты!V214-Расчёты!P214-Расчёты!T214-AJ214),0)</f>
        <v>0</v>
      </c>
      <c r="AL214">
        <f>IF('Исходные данные'!$B$51="Да",MAX(0,AJ214+Расчёты!P214+Расчёты!T214-AG214-Расчёты!R214-Расчёты!V214),0)</f>
        <v>0</v>
      </c>
      <c r="AM214">
        <f>IF('Исходные данные'!$B$53="Выручка",MAX(0,AF214+(Расчёты!Q214-Расчёты!R214)+(Расчёты!U214-Расчёты!V214)),IF('Исходные данные'!$B$53="Прибыль до налога",MAX(0,AF214+(Расчёты!Q214-Расчёты!R214)+(Расчёты!U214-Расчёты!V214)+N('Исходные данные'!$B$54)*((Расчёты!O214+Расчёты!P214)+(Расчёты!S214+Расчёты!T214)+Расчёты!W214+Расчёты!X214)+IF('Исходные данные'!$B$55="Да",Расчёты!AG214,0)-N('Исходные данные'!$B$56)/12),IF('Исходные данные'!$B$53="Пользовательская база",MAX(0,N('Исходные данные'!$B$57)/12),0)))</f>
        <v>0</v>
      </c>
      <c r="AN214">
        <f>IF(D214=1,-AM214*N('Исходные данные'!$B$50),0)</f>
        <v>0</v>
      </c>
      <c r="AO214">
        <f t="shared" si="130"/>
        <v>0</v>
      </c>
      <c r="AP214">
        <f>IF(OR(D214&lt;&gt;1,B214="",'Исходные данные'!$B$91="",N('Исходные данные'!$B$80)&lt;=0,'Исходные данные'!$B$88=""),0,IF(AND(YEAR(B214)=YEAR('Исходные данные'!$B$91),MONTH(B214)=MONTH('Исходные данные'!$B$91)),MAX(0,IF('Исходные данные'!$B$88="Последние 12 месяцев",SUMIFS($AI$2:$AI$194,$B$2:$B$194,"&gt;="&amp;EDATE(B214,-11),$B$2:$B$194,"&lt;="&amp;B214),IF('Исходные данные'!$B$88="Пользовательский NOI",N('Исходные данные'!$B$89),AO214))/N('Исходные данные'!$B$80)*(1+N('Исходные данные'!$B$81))),0))</f>
        <v>0</v>
      </c>
      <c r="AQ214">
        <f>-AP214*N('Исходные данные'!$B$73)</f>
        <v>0</v>
      </c>
      <c r="AR214">
        <f>IF(AP214=0,0,-N('Исходные данные'!$B$87)-IF('Исходные данные'!$B$82="Да",IF('Исходные данные'!$B$84="С выручки",AP214,IF('Исходные данные'!$B$84="С прибыли",MAX(0,AP214+AQ214-IF('Исходные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14">
        <f t="shared" si="143"/>
        <v>0</v>
      </c>
      <c r="AT214">
        <f>IF(D214=1,Расчёты!AZ214+AH214+AK214+AN214+AS214,0)</f>
        <v>0</v>
      </c>
      <c r="AU214" t="str">
        <f t="shared" si="131"/>
        <v/>
      </c>
      <c r="AV214">
        <f>IF(OR(D214=0,'Исходные данные'!$B$9="",'Исходные данные'!$B$90=""),0,AT214/(1+'Исходные данные'!$B$90)^((C214-'Исходные данные'!$B$9)/365))</f>
        <v>0</v>
      </c>
      <c r="AW214">
        <f>IF(D214=1,AH214+Расчёты!O214+Расчёты!Q214+Расчёты!S214+Расчёты!U214+Расчёты!W214+Расчёты!X214+AK214+AN214,0)</f>
        <v>0</v>
      </c>
      <c r="AX214">
        <f>IF(AND(D214=1,AU214&gt;=0,AU213&lt;0,MIN($AU$2:AU214)&lt;0),1,0)</f>
        <v>0</v>
      </c>
      <c r="AY214">
        <f>IF(Расчёты!F214=0,0,IF(Расчёты!G214=1,N('Сценарный анализ'!$D$5),IF(Расчёты!G214=2,N('Сценарный анализ'!$D$6),IF(Расчёты!G214=3,N('Сценарный анализ'!$D$7),N('Сценарный анализ'!$D$7)*(1+N('Сценарный анализ'!$D$8))^(Расчёты!G214-3)))))</f>
        <v>0</v>
      </c>
      <c r="AZ214">
        <f>IF(OR(Расчёты!F214=0,N('Исходные данные'!$B$5)=0,AY214=0),0,N('Исходные данные'!$B$5)*AY214*IF(AND(B214&lt;='Исходные данные'!$B$30,Расчёты!C214&gt;='Исходные данные'!$B$30),(Расчёты!C214-'Исходные данные'!$B$30+1)/DAY(Расчёты!C214),1))</f>
        <v>0</v>
      </c>
      <c r="BA214">
        <f>IF(AND(Расчёты!F214&gt;0,Расчёты!F214&lt;=N('Исходные данные'!$B$37)),-AZ214,0)</f>
        <v>0</v>
      </c>
      <c r="BB214">
        <f>IF(OR(Расчёты!F214=0,Расчёты!F214&lt;=N('Исходные данные'!$B$37)),0,-(AZ214+BA214)*N('Сценарный анализ'!$D$9))</f>
        <v>0</v>
      </c>
      <c r="BC214">
        <f t="shared" si="144"/>
        <v>0</v>
      </c>
      <c r="BD214">
        <f>IF('Исходные данные'!$B$51="Да",BC214*N('Исходные данные'!$B$52),0)</f>
        <v>0</v>
      </c>
      <c r="BE214">
        <f t="shared" si="145"/>
        <v>0</v>
      </c>
      <c r="BF214">
        <f>BC214+(Расчёты!Y214-Расчёты!L214)</f>
        <v>0</v>
      </c>
      <c r="BG214">
        <f t="shared" si="132"/>
        <v>0</v>
      </c>
      <c r="BH214">
        <f>IF('Исходные данные'!$B$51="Да",-MAX(0,BD214+Расчёты!R214+Расчёты!V214-Расчёты!P214-Расчёты!T214-BG214),0)</f>
        <v>0</v>
      </c>
      <c r="BI214">
        <f>IF('Исходные данные'!$B$51="Да",MAX(0,BG214+Расчёты!P214+Расчёты!T214-BD214-Расчёты!R214-Расчёты!V214),0)</f>
        <v>0</v>
      </c>
      <c r="BJ214">
        <f>IF('Исходные данные'!$B$53="Выручка",MAX(0,BC214+(Расчёты!Q214-Расчёты!R214)+(Расчёты!U214-Расчёты!V214)),IF('Исходные данные'!$B$53="Прибыль до налога",MAX(0,BC214+(Расчёты!Q214-Расчёты!R214)+(Расчёты!U214-Расчёты!V214)+N('Исходные данные'!$B$54)*((Расчёты!O214+Расчёты!P214)+(Расчёты!S214+Расчёты!T214)+Расчёты!W214+Расчёты!X214)+IF('Исходные данные'!$B$55="Да",Расчёты!AG214,0)-N('Исходные данные'!$B$56)/12),IF('Исходные данные'!$B$53="Пользовательская база",MAX(0,N('Исходные данные'!$B$57)/12),0)))</f>
        <v>0</v>
      </c>
      <c r="BK214">
        <f>IF(D214=1,-BJ214*N('Исходные данные'!$B$50),0)</f>
        <v>0</v>
      </c>
      <c r="BL214">
        <f t="shared" si="133"/>
        <v>0</v>
      </c>
      <c r="BM214">
        <f>IF(OR(D214&lt;&gt;1,B214="",'Исходные данные'!$B$91="",N('Исходные данные'!$B$80)&lt;=0,'Исходные данные'!$B$88=""),0,IF(AND(YEAR(B214)=YEAR('Исходные данные'!$B$91),MONTH(B214)=MONTH('Исходные данные'!$B$91)),MAX(0,IF('Исходные данные'!$B$88="Последние 12 месяцев",SUMIFS($BF$2:$BF$194,$B$2:$B$194,"&gt;="&amp;EDATE(B214,-11),$B$2:$B$194,"&lt;="&amp;B214),IF('Исходные данные'!$B$88="Пользовательский NOI",N('Исходные данные'!$B$89),BL214))/N('Исходные данные'!$B$80)*(1+N('Исходные данные'!$B$81))),0))</f>
        <v>0</v>
      </c>
      <c r="BN214">
        <f>-BM214*N('Исходные данные'!$B$73)</f>
        <v>0</v>
      </c>
      <c r="BO214">
        <f>IF(BM214=0,0,-N('Исходные данные'!$B$87)-IF('Исходные данные'!$B$82="Да",IF('Исходные данные'!$B$84="С выручки",BM214,IF('Исходные данные'!$B$84="С прибыли",MAX(0,BM214+BN214-IF('Исходные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14">
        <f t="shared" si="146"/>
        <v>0</v>
      </c>
      <c r="BQ214">
        <f>IF(D214=1,Расчёты!AZ214+BE214+BH214+BK214+BP214,0)</f>
        <v>0</v>
      </c>
      <c r="BR214" t="str">
        <f t="shared" si="134"/>
        <v/>
      </c>
      <c r="BS214">
        <f>IF(OR(D214=0,'Исходные данные'!$B$9="",'Исходные данные'!$B$90=""),0,BQ214/(1+'Исходные данные'!$B$90)^((C214-'Исходные данные'!$B$9)/365))</f>
        <v>0</v>
      </c>
      <c r="BT214">
        <f>IF(D214=1,BE214+Расчёты!O214+Расчёты!Q214+Расчёты!S214+Расчёты!U214+Расчёты!W214+Расчёты!X214+BH214+BK214,0)</f>
        <v>0</v>
      </c>
      <c r="BU214">
        <f>IF(AND(D214=1,BR214&gt;=0,BR213&lt;0,MIN($BR$2:BR214)&lt;0),1,0)</f>
        <v>0</v>
      </c>
      <c r="BV214">
        <f>Расчёты!AZ214+K214+N214-P214*N('Исходные данные'!$B$50)</f>
        <v>0</v>
      </c>
      <c r="BW214">
        <f t="shared" si="135"/>
        <v>0</v>
      </c>
      <c r="BX214">
        <f>IF(AND(BW214&gt;=0,BW213&lt;0,MIN($BW$2:BW214)&lt;0),1,0)</f>
        <v>0</v>
      </c>
      <c r="BY214">
        <f>Расчёты!AZ214+AH214+AK214-AM214*N('Исходные данные'!$B$50)</f>
        <v>0</v>
      </c>
      <c r="BZ214">
        <f t="shared" si="136"/>
        <v>0</v>
      </c>
      <c r="CA214">
        <f>IF(AND(BZ214&gt;=0,BZ213&lt;0,MIN($BZ$2:BZ214)&lt;0),1,0)</f>
        <v>0</v>
      </c>
      <c r="CB214">
        <f>Расчёты!AZ214+BE214+BH214-BJ214*N('Исходные данные'!$B$50)</f>
        <v>0</v>
      </c>
      <c r="CC214">
        <f t="shared" si="137"/>
        <v>0</v>
      </c>
      <c r="CD214">
        <f>IF(AND(CC214&gt;=0,CC213&lt;0,MIN($CC$2:CC214)&lt;0),1,0)</f>
        <v>0</v>
      </c>
    </row>
    <row r="215" spans="1:82" x14ac:dyDescent="0.2">
      <c r="A215">
        <f>Расчёты!A215</f>
        <v>214</v>
      </c>
      <c r="B215" t="str">
        <f>Расчёты!B215</f>
        <v/>
      </c>
      <c r="C215" t="str">
        <f>Расчёты!D215</f>
        <v/>
      </c>
      <c r="D215">
        <f>Расчёты!E215</f>
        <v>0</v>
      </c>
      <c r="E215">
        <f>IF(Расчёты!F215=0,0,IF(Расчёты!G215=1,N('Сценарный анализ'!$B$5),IF(Расчёты!G215=2,N('Сценарный анализ'!$B$6),IF(Расчёты!G215=3,N('Сценарный анализ'!$B$7),N('Сценарный анализ'!$B$7)*(1+N('Сценарный анализ'!$B$8))^(Расчёты!G215-3)))))</f>
        <v>0</v>
      </c>
      <c r="F215">
        <f>IF(OR(Расчёты!F215=0,N('Исходные данные'!$B$5)=0,E215=0),0,N('Исходные данные'!$B$5)*E215*IF(AND(B215&lt;='Исходные данные'!$B$30,Расчёты!C215&gt;='Исходные данные'!$B$30),(Расчёты!C215-'Исходные данные'!$B$30+1)/DAY(Расчёты!C215),1))</f>
        <v>0</v>
      </c>
      <c r="G215">
        <f>IF(AND(Расчёты!F215&gt;0,Расчёты!F215&lt;=N('Исходные данные'!$B$37)),-F215,0)</f>
        <v>0</v>
      </c>
      <c r="H215">
        <f>IF(OR(Расчёты!F215=0,Расчёты!F215&lt;=N('Исходные данные'!$B$37)),0,-(F215+G215)*N('Сценарный анализ'!$B$9))</f>
        <v>0</v>
      </c>
      <c r="I215">
        <f t="shared" si="138"/>
        <v>0</v>
      </c>
      <c r="J215">
        <f>IF('Исходные данные'!$B$51="Да",I215*N('Исходные данные'!$B$52),0)</f>
        <v>0</v>
      </c>
      <c r="K215">
        <f t="shared" si="139"/>
        <v>0</v>
      </c>
      <c r="L215">
        <f>I215+(Расчёты!Y215-Расчёты!L215)</f>
        <v>0</v>
      </c>
      <c r="M215">
        <f t="shared" si="126"/>
        <v>0</v>
      </c>
      <c r="N215">
        <f>IF('Исходные данные'!$B$51="Да",-MAX(0,J215+Расчёты!R215+Расчёты!V215-Расчёты!P215-Расчёты!T215-M215),0)</f>
        <v>0</v>
      </c>
      <c r="O215">
        <f>IF('Исходные данные'!$B$51="Да",MAX(0,M215+Расчёты!P215+Расчёты!T215-J215-Расчёты!R215-Расчёты!V215),0)</f>
        <v>0</v>
      </c>
      <c r="P215">
        <f>IF('Исходные данные'!$B$53="Выручка",MAX(0,I215+(Расчёты!Q215-Расчёты!R215)+(Расчёты!U215-Расчёты!V215)),IF('Исходные данные'!$B$53="Прибыль до налога",MAX(0,I215+(Расчёты!Q215-Расчёты!R215)+(Расчёты!U215-Расчёты!V215)+N('Исходные данные'!$B$54)*((Расчёты!O215+Расчёты!P215)+(Расчёты!S215+Расчёты!T215)+Расчёты!W215+Расчёты!X215)+IF('Исходные данные'!$B$55="Да",Расчёты!AG215,0)-N('Исходные данные'!$B$56)/12),IF('Исходные данные'!$B$53="Пользовательская база",MAX(0,N('Исходные данные'!$B$57)/12),0)))</f>
        <v>0</v>
      </c>
      <c r="Q215">
        <f>IF(D215=1,-P215*N('Исходные данные'!$B$50),0)</f>
        <v>0</v>
      </c>
      <c r="R215">
        <f t="shared" si="127"/>
        <v>0</v>
      </c>
      <c r="S215">
        <f>IF(OR(D215&lt;&gt;1,B215="",'Исходные данные'!$B$91="",N('Исходные данные'!$B$80)&lt;=0,'Исходные данные'!$B$88=""),0,IF(AND(YEAR(B215)=YEAR('Исходные данные'!$B$91),MONTH(B215)=MONTH('Исходные данные'!$B$91)),MAX(0,IF('Исходные данные'!$B$88="Последние 12 месяцев",SUMIFS($L$2:$L$194,$B$2:$B$194,"&gt;="&amp;EDATE(B215,-11),$B$2:$B$194,"&lt;="&amp;B215),IF('Исходные данные'!$B$88="Пользовательский NOI",N('Исходные данные'!$B$89),R215))/N('Исходные данные'!$B$80)*(1+N('Исходные данные'!$B$81))),0))</f>
        <v>0</v>
      </c>
      <c r="T215">
        <f>-S215*N('Исходные данные'!$B$73)</f>
        <v>0</v>
      </c>
      <c r="U215">
        <f>IF(S215=0,0,-N('Исходные данные'!$B$87)-IF('Исходные данные'!$B$82="Да",IF('Исходные данные'!$B$84="С выручки",S215,IF('Исходные данные'!$B$84="С прибыли",MAX(0,S215+T215-IF('Исходные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15">
        <f t="shared" si="140"/>
        <v>0</v>
      </c>
      <c r="W215">
        <f>IF(D215=1,Расчёты!AZ215+K215+N215+Q215+V215,0)</f>
        <v>0</v>
      </c>
      <c r="X215" t="str">
        <f t="shared" si="128"/>
        <v/>
      </c>
      <c r="Y215">
        <f>IF(OR(D215=0,'Исходные данные'!$B$9="",'Исходные данные'!$B$90=""),0,W215/(1+'Исходные данные'!$B$90)^((C215-'Исходные данные'!$B$9)/365))</f>
        <v>0</v>
      </c>
      <c r="Z215">
        <f>IF(D215=1,K215+Расчёты!O215+Расчёты!Q215+Расчёты!S215+Расчёты!U215+Расчёты!W215+Расчёты!X215+N215+Q215,0)</f>
        <v>0</v>
      </c>
      <c r="AA215">
        <f>IF(AND(D215=1,X215&gt;=0,X214&lt;0,MIN($X$2:X215)&lt;0),1,0)</f>
        <v>0</v>
      </c>
      <c r="AB215">
        <f>IF(Расчёты!F215=0,0,IF(Расчёты!G215=1,N('Сценарный анализ'!$C$5),IF(Расчёты!G215=2,N('Сценарный анализ'!$C$6),IF(Расчёты!G215=3,N('Сценарный анализ'!$C$7),N('Сценарный анализ'!$C$7)*(1+N('Сценарный анализ'!$C$8))^(Расчёты!G215-3)))))</f>
        <v>0</v>
      </c>
      <c r="AC215">
        <f>IF(OR(Расчёты!F215=0,N('Исходные данные'!$B$5)=0,AB215=0),0,N('Исходные данные'!$B$5)*AB215*IF(AND(B215&lt;='Исходные данные'!$B$30,Расчёты!C215&gt;='Исходные данные'!$B$30),(Расчёты!C215-'Исходные данные'!$B$30+1)/DAY(Расчёты!C215),1))</f>
        <v>0</v>
      </c>
      <c r="AD215">
        <f>IF(AND(Расчёты!F215&gt;0,Расчёты!F215&lt;=N('Исходные данные'!$B$37)),-AC215,0)</f>
        <v>0</v>
      </c>
      <c r="AE215">
        <f>IF(OR(Расчёты!F215=0,Расчёты!F215&lt;=N('Исходные данные'!$B$37)),0,-(AC215+AD215)*N('Сценарный анализ'!$C$9))</f>
        <v>0</v>
      </c>
      <c r="AF215">
        <f t="shared" si="141"/>
        <v>0</v>
      </c>
      <c r="AG215">
        <f>IF('Исходные данные'!$B$51="Да",AF215*N('Исходные данные'!$B$52),0)</f>
        <v>0</v>
      </c>
      <c r="AH215">
        <f t="shared" si="142"/>
        <v>0</v>
      </c>
      <c r="AI215">
        <f>AF215+(Расчёты!Y215-Расчёты!L215)</f>
        <v>0</v>
      </c>
      <c r="AJ215">
        <f t="shared" si="129"/>
        <v>0</v>
      </c>
      <c r="AK215">
        <f>IF('Исходные данные'!$B$51="Да",-MAX(0,AG215+Расчёты!R215+Расчёты!V215-Расчёты!P215-Расчёты!T215-AJ215),0)</f>
        <v>0</v>
      </c>
      <c r="AL215">
        <f>IF('Исходные данные'!$B$51="Да",MAX(0,AJ215+Расчёты!P215+Расчёты!T215-AG215-Расчёты!R215-Расчёты!V215),0)</f>
        <v>0</v>
      </c>
      <c r="AM215">
        <f>IF('Исходные данные'!$B$53="Выручка",MAX(0,AF215+(Расчёты!Q215-Расчёты!R215)+(Расчёты!U215-Расчёты!V215)),IF('Исходные данные'!$B$53="Прибыль до налога",MAX(0,AF215+(Расчёты!Q215-Расчёты!R215)+(Расчёты!U215-Расчёты!V215)+N('Исходные данные'!$B$54)*((Расчёты!O215+Расчёты!P215)+(Расчёты!S215+Расчёты!T215)+Расчёты!W215+Расчёты!X215)+IF('Исходные данные'!$B$55="Да",Расчёты!AG215,0)-N('Исходные данные'!$B$56)/12),IF('Исходные данные'!$B$53="Пользовательская база",MAX(0,N('Исходные данные'!$B$57)/12),0)))</f>
        <v>0</v>
      </c>
      <c r="AN215">
        <f>IF(D215=1,-AM215*N('Исходные данные'!$B$50),0)</f>
        <v>0</v>
      </c>
      <c r="AO215">
        <f t="shared" si="130"/>
        <v>0</v>
      </c>
      <c r="AP215">
        <f>IF(OR(D215&lt;&gt;1,B215="",'Исходные данные'!$B$91="",N('Исходные данные'!$B$80)&lt;=0,'Исходные данные'!$B$88=""),0,IF(AND(YEAR(B215)=YEAR('Исходные данные'!$B$91),MONTH(B215)=MONTH('Исходные данные'!$B$91)),MAX(0,IF('Исходные данные'!$B$88="Последние 12 месяцев",SUMIFS($AI$2:$AI$194,$B$2:$B$194,"&gt;="&amp;EDATE(B215,-11),$B$2:$B$194,"&lt;="&amp;B215),IF('Исходные данные'!$B$88="Пользовательский NOI",N('Исходные данные'!$B$89),AO215))/N('Исходные данные'!$B$80)*(1+N('Исходные данные'!$B$81))),0))</f>
        <v>0</v>
      </c>
      <c r="AQ215">
        <f>-AP215*N('Исходные данные'!$B$73)</f>
        <v>0</v>
      </c>
      <c r="AR215">
        <f>IF(AP215=0,0,-N('Исходные данные'!$B$87)-IF('Исходные данные'!$B$82="Да",IF('Исходные данные'!$B$84="С выручки",AP215,IF('Исходные данные'!$B$84="С прибыли",MAX(0,AP215+AQ215-IF('Исходные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15">
        <f t="shared" si="143"/>
        <v>0</v>
      </c>
      <c r="AT215">
        <f>IF(D215=1,Расчёты!AZ215+AH215+AK215+AN215+AS215,0)</f>
        <v>0</v>
      </c>
      <c r="AU215" t="str">
        <f t="shared" si="131"/>
        <v/>
      </c>
      <c r="AV215">
        <f>IF(OR(D215=0,'Исходные данные'!$B$9="",'Исходные данные'!$B$90=""),0,AT215/(1+'Исходные данные'!$B$90)^((C215-'Исходные данные'!$B$9)/365))</f>
        <v>0</v>
      </c>
      <c r="AW215">
        <f>IF(D215=1,AH215+Расчёты!O215+Расчёты!Q215+Расчёты!S215+Расчёты!U215+Расчёты!W215+Расчёты!X215+AK215+AN215,0)</f>
        <v>0</v>
      </c>
      <c r="AX215">
        <f>IF(AND(D215=1,AU215&gt;=0,AU214&lt;0,MIN($AU$2:AU215)&lt;0),1,0)</f>
        <v>0</v>
      </c>
      <c r="AY215">
        <f>IF(Расчёты!F215=0,0,IF(Расчёты!G215=1,N('Сценарный анализ'!$D$5),IF(Расчёты!G215=2,N('Сценарный анализ'!$D$6),IF(Расчёты!G215=3,N('Сценарный анализ'!$D$7),N('Сценарный анализ'!$D$7)*(1+N('Сценарный анализ'!$D$8))^(Расчёты!G215-3)))))</f>
        <v>0</v>
      </c>
      <c r="AZ215">
        <f>IF(OR(Расчёты!F215=0,N('Исходные данные'!$B$5)=0,AY215=0),0,N('Исходные данные'!$B$5)*AY215*IF(AND(B215&lt;='Исходные данные'!$B$30,Расчёты!C215&gt;='Исходные данные'!$B$30),(Расчёты!C215-'Исходные данные'!$B$30+1)/DAY(Расчёты!C215),1))</f>
        <v>0</v>
      </c>
      <c r="BA215">
        <f>IF(AND(Расчёты!F215&gt;0,Расчёты!F215&lt;=N('Исходные данные'!$B$37)),-AZ215,0)</f>
        <v>0</v>
      </c>
      <c r="BB215">
        <f>IF(OR(Расчёты!F215=0,Расчёты!F215&lt;=N('Исходные данные'!$B$37)),0,-(AZ215+BA215)*N('Сценарный анализ'!$D$9))</f>
        <v>0</v>
      </c>
      <c r="BC215">
        <f t="shared" si="144"/>
        <v>0</v>
      </c>
      <c r="BD215">
        <f>IF('Исходные данные'!$B$51="Да",BC215*N('Исходные данные'!$B$52),0)</f>
        <v>0</v>
      </c>
      <c r="BE215">
        <f t="shared" si="145"/>
        <v>0</v>
      </c>
      <c r="BF215">
        <f>BC215+(Расчёты!Y215-Расчёты!L215)</f>
        <v>0</v>
      </c>
      <c r="BG215">
        <f t="shared" si="132"/>
        <v>0</v>
      </c>
      <c r="BH215">
        <f>IF('Исходные данные'!$B$51="Да",-MAX(0,BD215+Расчёты!R215+Расчёты!V215-Расчёты!P215-Расчёты!T215-BG215),0)</f>
        <v>0</v>
      </c>
      <c r="BI215">
        <f>IF('Исходные данные'!$B$51="Да",MAX(0,BG215+Расчёты!P215+Расчёты!T215-BD215-Расчёты!R215-Расчёты!V215),0)</f>
        <v>0</v>
      </c>
      <c r="BJ215">
        <f>IF('Исходные данные'!$B$53="Выручка",MAX(0,BC215+(Расчёты!Q215-Расчёты!R215)+(Расчёты!U215-Расчёты!V215)),IF('Исходные данные'!$B$53="Прибыль до налога",MAX(0,BC215+(Расчёты!Q215-Расчёты!R215)+(Расчёты!U215-Расчёты!V215)+N('Исходные данные'!$B$54)*((Расчёты!O215+Расчёты!P215)+(Расчёты!S215+Расчёты!T215)+Расчёты!W215+Расчёты!X215)+IF('Исходные данные'!$B$55="Да",Расчёты!AG215,0)-N('Исходные данные'!$B$56)/12),IF('Исходные данные'!$B$53="Пользовательская база",MAX(0,N('Исходные данные'!$B$57)/12),0)))</f>
        <v>0</v>
      </c>
      <c r="BK215">
        <f>IF(D215=1,-BJ215*N('Исходные данные'!$B$50),0)</f>
        <v>0</v>
      </c>
      <c r="BL215">
        <f t="shared" si="133"/>
        <v>0</v>
      </c>
      <c r="BM215">
        <f>IF(OR(D215&lt;&gt;1,B215="",'Исходные данные'!$B$91="",N('Исходные данные'!$B$80)&lt;=0,'Исходные данные'!$B$88=""),0,IF(AND(YEAR(B215)=YEAR('Исходные данные'!$B$91),MONTH(B215)=MONTH('Исходные данные'!$B$91)),MAX(0,IF('Исходные данные'!$B$88="Последние 12 месяцев",SUMIFS($BF$2:$BF$194,$B$2:$B$194,"&gt;="&amp;EDATE(B215,-11),$B$2:$B$194,"&lt;="&amp;B215),IF('Исходные данные'!$B$88="Пользовательский NOI",N('Исходные данные'!$B$89),BL215))/N('Исходные данные'!$B$80)*(1+N('Исходные данные'!$B$81))),0))</f>
        <v>0</v>
      </c>
      <c r="BN215">
        <f>-BM215*N('Исходные данные'!$B$73)</f>
        <v>0</v>
      </c>
      <c r="BO215">
        <f>IF(BM215=0,0,-N('Исходные данные'!$B$87)-IF('Исходные данные'!$B$82="Да",IF('Исходные данные'!$B$84="С выручки",BM215,IF('Исходные данные'!$B$84="С прибыли",MAX(0,BM215+BN215-IF('Исходные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15">
        <f t="shared" si="146"/>
        <v>0</v>
      </c>
      <c r="BQ215">
        <f>IF(D215=1,Расчёты!AZ215+BE215+BH215+BK215+BP215,0)</f>
        <v>0</v>
      </c>
      <c r="BR215" t="str">
        <f t="shared" si="134"/>
        <v/>
      </c>
      <c r="BS215">
        <f>IF(OR(D215=0,'Исходные данные'!$B$9="",'Исходные данные'!$B$90=""),0,BQ215/(1+'Исходные данные'!$B$90)^((C215-'Исходные данные'!$B$9)/365))</f>
        <v>0</v>
      </c>
      <c r="BT215">
        <f>IF(D215=1,BE215+Расчёты!O215+Расчёты!Q215+Расчёты!S215+Расчёты!U215+Расчёты!W215+Расчёты!X215+BH215+BK215,0)</f>
        <v>0</v>
      </c>
      <c r="BU215">
        <f>IF(AND(D215=1,BR215&gt;=0,BR214&lt;0,MIN($BR$2:BR215)&lt;0),1,0)</f>
        <v>0</v>
      </c>
      <c r="BV215">
        <f>Расчёты!AZ215+K215+N215-P215*N('Исходные данные'!$B$50)</f>
        <v>0</v>
      </c>
      <c r="BW215">
        <f t="shared" si="135"/>
        <v>0</v>
      </c>
      <c r="BX215">
        <f>IF(AND(BW215&gt;=0,BW214&lt;0,MIN($BW$2:BW215)&lt;0),1,0)</f>
        <v>0</v>
      </c>
      <c r="BY215">
        <f>Расчёты!AZ215+AH215+AK215-AM215*N('Исходные данные'!$B$50)</f>
        <v>0</v>
      </c>
      <c r="BZ215">
        <f t="shared" si="136"/>
        <v>0</v>
      </c>
      <c r="CA215">
        <f>IF(AND(BZ215&gt;=0,BZ214&lt;0,MIN($BZ$2:BZ215)&lt;0),1,0)</f>
        <v>0</v>
      </c>
      <c r="CB215">
        <f>Расчёты!AZ215+BE215+BH215-BJ215*N('Исходные данные'!$B$50)</f>
        <v>0</v>
      </c>
      <c r="CC215">
        <f t="shared" si="137"/>
        <v>0</v>
      </c>
      <c r="CD215">
        <f>IF(AND(CC215&gt;=0,CC214&lt;0,MIN($CC$2:CC215)&lt;0),1,0)</f>
        <v>0</v>
      </c>
    </row>
    <row r="216" spans="1:82" x14ac:dyDescent="0.2">
      <c r="A216">
        <f>Расчёты!A216</f>
        <v>215</v>
      </c>
      <c r="B216" t="str">
        <f>Расчёты!B216</f>
        <v/>
      </c>
      <c r="C216" t="str">
        <f>Расчёты!D216</f>
        <v/>
      </c>
      <c r="D216">
        <f>Расчёты!E216</f>
        <v>0</v>
      </c>
      <c r="E216">
        <f>IF(Расчёты!F216=0,0,IF(Расчёты!G216=1,N('Сценарный анализ'!$B$5),IF(Расчёты!G216=2,N('Сценарный анализ'!$B$6),IF(Расчёты!G216=3,N('Сценарный анализ'!$B$7),N('Сценарный анализ'!$B$7)*(1+N('Сценарный анализ'!$B$8))^(Расчёты!G216-3)))))</f>
        <v>0</v>
      </c>
      <c r="F216">
        <f>IF(OR(Расчёты!F216=0,N('Исходные данные'!$B$5)=0,E216=0),0,N('Исходные данные'!$B$5)*E216*IF(AND(B216&lt;='Исходные данные'!$B$30,Расчёты!C216&gt;='Исходные данные'!$B$30),(Расчёты!C216-'Исходные данные'!$B$30+1)/DAY(Расчёты!C216),1))</f>
        <v>0</v>
      </c>
      <c r="G216">
        <f>IF(AND(Расчёты!F216&gt;0,Расчёты!F216&lt;=N('Исходные данные'!$B$37)),-F216,0)</f>
        <v>0</v>
      </c>
      <c r="H216">
        <f>IF(OR(Расчёты!F216=0,Расчёты!F216&lt;=N('Исходные данные'!$B$37)),0,-(F216+G216)*N('Сценарный анализ'!$B$9))</f>
        <v>0</v>
      </c>
      <c r="I216">
        <f t="shared" si="138"/>
        <v>0</v>
      </c>
      <c r="J216">
        <f>IF('Исходные данные'!$B$51="Да",I216*N('Исходные данные'!$B$52),0)</f>
        <v>0</v>
      </c>
      <c r="K216">
        <f t="shared" si="139"/>
        <v>0</v>
      </c>
      <c r="L216">
        <f>I216+(Расчёты!Y216-Расчёты!L216)</f>
        <v>0</v>
      </c>
      <c r="M216">
        <f t="shared" si="126"/>
        <v>0</v>
      </c>
      <c r="N216">
        <f>IF('Исходные данные'!$B$51="Да",-MAX(0,J216+Расчёты!R216+Расчёты!V216-Расчёты!P216-Расчёты!T216-M216),0)</f>
        <v>0</v>
      </c>
      <c r="O216">
        <f>IF('Исходные данные'!$B$51="Да",MAX(0,M216+Расчёты!P216+Расчёты!T216-J216-Расчёты!R216-Расчёты!V216),0)</f>
        <v>0</v>
      </c>
      <c r="P216">
        <f>IF('Исходные данные'!$B$53="Выручка",MAX(0,I216+(Расчёты!Q216-Расчёты!R216)+(Расчёты!U216-Расчёты!V216)),IF('Исходные данные'!$B$53="Прибыль до налога",MAX(0,I216+(Расчёты!Q216-Расчёты!R216)+(Расчёты!U216-Расчёты!V216)+N('Исходные данные'!$B$54)*((Расчёты!O216+Расчёты!P216)+(Расчёты!S216+Расчёты!T216)+Расчёты!W216+Расчёты!X216)+IF('Исходные данные'!$B$55="Да",Расчёты!AG216,0)-N('Исходные данные'!$B$56)/12),IF('Исходные данные'!$B$53="Пользовательская база",MAX(0,N('Исходные данные'!$B$57)/12),0)))</f>
        <v>0</v>
      </c>
      <c r="Q216">
        <f>IF(D216=1,-P216*N('Исходные данные'!$B$50),0)</f>
        <v>0</v>
      </c>
      <c r="R216">
        <f t="shared" si="127"/>
        <v>0</v>
      </c>
      <c r="S216">
        <f>IF(OR(D216&lt;&gt;1,B216="",'Исходные данные'!$B$91="",N('Исходные данные'!$B$80)&lt;=0,'Исходные данные'!$B$88=""),0,IF(AND(YEAR(B216)=YEAR('Исходные данные'!$B$91),MONTH(B216)=MONTH('Исходные данные'!$B$91)),MAX(0,IF('Исходные данные'!$B$88="Последние 12 месяцев",SUMIFS($L$2:$L$194,$B$2:$B$194,"&gt;="&amp;EDATE(B216,-11),$B$2:$B$194,"&lt;="&amp;B216),IF('Исходные данные'!$B$88="Пользовательский NOI",N('Исходные данные'!$B$89),R216))/N('Исходные данные'!$B$80)*(1+N('Исходные данные'!$B$81))),0))</f>
        <v>0</v>
      </c>
      <c r="T216">
        <f>-S216*N('Исходные данные'!$B$73)</f>
        <v>0</v>
      </c>
      <c r="U216">
        <f>IF(S216=0,0,-N('Исходные данные'!$B$87)-IF('Исходные данные'!$B$82="Да",IF('Исходные данные'!$B$84="С выручки",S216,IF('Исходные данные'!$B$84="С прибыли",MAX(0,S216+T216-IF('Исходные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16">
        <f t="shared" si="140"/>
        <v>0</v>
      </c>
      <c r="W216">
        <f>IF(D216=1,Расчёты!AZ216+K216+N216+Q216+V216,0)</f>
        <v>0</v>
      </c>
      <c r="X216" t="str">
        <f t="shared" si="128"/>
        <v/>
      </c>
      <c r="Y216">
        <f>IF(OR(D216=0,'Исходные данные'!$B$9="",'Исходные данные'!$B$90=""),0,W216/(1+'Исходные данные'!$B$90)^((C216-'Исходные данные'!$B$9)/365))</f>
        <v>0</v>
      </c>
      <c r="Z216">
        <f>IF(D216=1,K216+Расчёты!O216+Расчёты!Q216+Расчёты!S216+Расчёты!U216+Расчёты!W216+Расчёты!X216+N216+Q216,0)</f>
        <v>0</v>
      </c>
      <c r="AA216">
        <f>IF(AND(D216=1,X216&gt;=0,X215&lt;0,MIN($X$2:X216)&lt;0),1,0)</f>
        <v>0</v>
      </c>
      <c r="AB216">
        <f>IF(Расчёты!F216=0,0,IF(Расчёты!G216=1,N('Сценарный анализ'!$C$5),IF(Расчёты!G216=2,N('Сценарный анализ'!$C$6),IF(Расчёты!G216=3,N('Сценарный анализ'!$C$7),N('Сценарный анализ'!$C$7)*(1+N('Сценарный анализ'!$C$8))^(Расчёты!G216-3)))))</f>
        <v>0</v>
      </c>
      <c r="AC216">
        <f>IF(OR(Расчёты!F216=0,N('Исходные данные'!$B$5)=0,AB216=0),0,N('Исходные данные'!$B$5)*AB216*IF(AND(B216&lt;='Исходные данные'!$B$30,Расчёты!C216&gt;='Исходные данные'!$B$30),(Расчёты!C216-'Исходные данные'!$B$30+1)/DAY(Расчёты!C216),1))</f>
        <v>0</v>
      </c>
      <c r="AD216">
        <f>IF(AND(Расчёты!F216&gt;0,Расчёты!F216&lt;=N('Исходные данные'!$B$37)),-AC216,0)</f>
        <v>0</v>
      </c>
      <c r="AE216">
        <f>IF(OR(Расчёты!F216=0,Расчёты!F216&lt;=N('Исходные данные'!$B$37)),0,-(AC216+AD216)*N('Сценарный анализ'!$C$9))</f>
        <v>0</v>
      </c>
      <c r="AF216">
        <f t="shared" si="141"/>
        <v>0</v>
      </c>
      <c r="AG216">
        <f>IF('Исходные данные'!$B$51="Да",AF216*N('Исходные данные'!$B$52),0)</f>
        <v>0</v>
      </c>
      <c r="AH216">
        <f t="shared" si="142"/>
        <v>0</v>
      </c>
      <c r="AI216">
        <f>AF216+(Расчёты!Y216-Расчёты!L216)</f>
        <v>0</v>
      </c>
      <c r="AJ216">
        <f t="shared" si="129"/>
        <v>0</v>
      </c>
      <c r="AK216">
        <f>IF('Исходные данные'!$B$51="Да",-MAX(0,AG216+Расчёты!R216+Расчёты!V216-Расчёты!P216-Расчёты!T216-AJ216),0)</f>
        <v>0</v>
      </c>
      <c r="AL216">
        <f>IF('Исходные данные'!$B$51="Да",MAX(0,AJ216+Расчёты!P216+Расчёты!T216-AG216-Расчёты!R216-Расчёты!V216),0)</f>
        <v>0</v>
      </c>
      <c r="AM216">
        <f>IF('Исходные данные'!$B$53="Выручка",MAX(0,AF216+(Расчёты!Q216-Расчёты!R216)+(Расчёты!U216-Расчёты!V216)),IF('Исходные данные'!$B$53="Прибыль до налога",MAX(0,AF216+(Расчёты!Q216-Расчёты!R216)+(Расчёты!U216-Расчёты!V216)+N('Исходные данные'!$B$54)*((Расчёты!O216+Расчёты!P216)+(Расчёты!S216+Расчёты!T216)+Расчёты!W216+Расчёты!X216)+IF('Исходные данные'!$B$55="Да",Расчёты!AG216,0)-N('Исходные данные'!$B$56)/12),IF('Исходные данные'!$B$53="Пользовательская база",MAX(0,N('Исходные данные'!$B$57)/12),0)))</f>
        <v>0</v>
      </c>
      <c r="AN216">
        <f>IF(D216=1,-AM216*N('Исходные данные'!$B$50),0)</f>
        <v>0</v>
      </c>
      <c r="AO216">
        <f t="shared" si="130"/>
        <v>0</v>
      </c>
      <c r="AP216">
        <f>IF(OR(D216&lt;&gt;1,B216="",'Исходные данные'!$B$91="",N('Исходные данные'!$B$80)&lt;=0,'Исходные данные'!$B$88=""),0,IF(AND(YEAR(B216)=YEAR('Исходные данные'!$B$91),MONTH(B216)=MONTH('Исходные данные'!$B$91)),MAX(0,IF('Исходные данные'!$B$88="Последние 12 месяцев",SUMIFS($AI$2:$AI$194,$B$2:$B$194,"&gt;="&amp;EDATE(B216,-11),$B$2:$B$194,"&lt;="&amp;B216),IF('Исходные данные'!$B$88="Пользовательский NOI",N('Исходные данные'!$B$89),AO216))/N('Исходные данные'!$B$80)*(1+N('Исходные данные'!$B$81))),0))</f>
        <v>0</v>
      </c>
      <c r="AQ216">
        <f>-AP216*N('Исходные данные'!$B$73)</f>
        <v>0</v>
      </c>
      <c r="AR216">
        <f>IF(AP216=0,0,-N('Исходные данные'!$B$87)-IF('Исходные данные'!$B$82="Да",IF('Исходные данные'!$B$84="С выручки",AP216,IF('Исходные данные'!$B$84="С прибыли",MAX(0,AP216+AQ216-IF('Исходные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16">
        <f t="shared" si="143"/>
        <v>0</v>
      </c>
      <c r="AT216">
        <f>IF(D216=1,Расчёты!AZ216+AH216+AK216+AN216+AS216,0)</f>
        <v>0</v>
      </c>
      <c r="AU216" t="str">
        <f t="shared" si="131"/>
        <v/>
      </c>
      <c r="AV216">
        <f>IF(OR(D216=0,'Исходные данные'!$B$9="",'Исходные данные'!$B$90=""),0,AT216/(1+'Исходные данные'!$B$90)^((C216-'Исходные данные'!$B$9)/365))</f>
        <v>0</v>
      </c>
      <c r="AW216">
        <f>IF(D216=1,AH216+Расчёты!O216+Расчёты!Q216+Расчёты!S216+Расчёты!U216+Расчёты!W216+Расчёты!X216+AK216+AN216,0)</f>
        <v>0</v>
      </c>
      <c r="AX216">
        <f>IF(AND(D216=1,AU216&gt;=0,AU215&lt;0,MIN($AU$2:AU216)&lt;0),1,0)</f>
        <v>0</v>
      </c>
      <c r="AY216">
        <f>IF(Расчёты!F216=0,0,IF(Расчёты!G216=1,N('Сценарный анализ'!$D$5),IF(Расчёты!G216=2,N('Сценарный анализ'!$D$6),IF(Расчёты!G216=3,N('Сценарный анализ'!$D$7),N('Сценарный анализ'!$D$7)*(1+N('Сценарный анализ'!$D$8))^(Расчёты!G216-3)))))</f>
        <v>0</v>
      </c>
      <c r="AZ216">
        <f>IF(OR(Расчёты!F216=0,N('Исходные данные'!$B$5)=0,AY216=0),0,N('Исходные данные'!$B$5)*AY216*IF(AND(B216&lt;='Исходные данные'!$B$30,Расчёты!C216&gt;='Исходные данные'!$B$30),(Расчёты!C216-'Исходные данные'!$B$30+1)/DAY(Расчёты!C216),1))</f>
        <v>0</v>
      </c>
      <c r="BA216">
        <f>IF(AND(Расчёты!F216&gt;0,Расчёты!F216&lt;=N('Исходные данные'!$B$37)),-AZ216,0)</f>
        <v>0</v>
      </c>
      <c r="BB216">
        <f>IF(OR(Расчёты!F216=0,Расчёты!F216&lt;=N('Исходные данные'!$B$37)),0,-(AZ216+BA216)*N('Сценарный анализ'!$D$9))</f>
        <v>0</v>
      </c>
      <c r="BC216">
        <f t="shared" si="144"/>
        <v>0</v>
      </c>
      <c r="BD216">
        <f>IF('Исходные данные'!$B$51="Да",BC216*N('Исходные данные'!$B$52),0)</f>
        <v>0</v>
      </c>
      <c r="BE216">
        <f t="shared" si="145"/>
        <v>0</v>
      </c>
      <c r="BF216">
        <f>BC216+(Расчёты!Y216-Расчёты!L216)</f>
        <v>0</v>
      </c>
      <c r="BG216">
        <f t="shared" si="132"/>
        <v>0</v>
      </c>
      <c r="BH216">
        <f>IF('Исходные данные'!$B$51="Да",-MAX(0,BD216+Расчёты!R216+Расчёты!V216-Расчёты!P216-Расчёты!T216-BG216),0)</f>
        <v>0</v>
      </c>
      <c r="BI216">
        <f>IF('Исходные данные'!$B$51="Да",MAX(0,BG216+Расчёты!P216+Расчёты!T216-BD216-Расчёты!R216-Расчёты!V216),0)</f>
        <v>0</v>
      </c>
      <c r="BJ216">
        <f>IF('Исходные данные'!$B$53="Выручка",MAX(0,BC216+(Расчёты!Q216-Расчёты!R216)+(Расчёты!U216-Расчёты!V216)),IF('Исходные данные'!$B$53="Прибыль до налога",MAX(0,BC216+(Расчёты!Q216-Расчёты!R216)+(Расчёты!U216-Расчёты!V216)+N('Исходные данные'!$B$54)*((Расчёты!O216+Расчёты!P216)+(Расчёты!S216+Расчёты!T216)+Расчёты!W216+Расчёты!X216)+IF('Исходные данные'!$B$55="Да",Расчёты!AG216,0)-N('Исходные данные'!$B$56)/12),IF('Исходные данные'!$B$53="Пользовательская база",MAX(0,N('Исходные данные'!$B$57)/12),0)))</f>
        <v>0</v>
      </c>
      <c r="BK216">
        <f>IF(D216=1,-BJ216*N('Исходные данные'!$B$50),0)</f>
        <v>0</v>
      </c>
      <c r="BL216">
        <f t="shared" si="133"/>
        <v>0</v>
      </c>
      <c r="BM216">
        <f>IF(OR(D216&lt;&gt;1,B216="",'Исходные данные'!$B$91="",N('Исходные данные'!$B$80)&lt;=0,'Исходные данные'!$B$88=""),0,IF(AND(YEAR(B216)=YEAR('Исходные данные'!$B$91),MONTH(B216)=MONTH('Исходные данные'!$B$91)),MAX(0,IF('Исходные данные'!$B$88="Последние 12 месяцев",SUMIFS($BF$2:$BF$194,$B$2:$B$194,"&gt;="&amp;EDATE(B216,-11),$B$2:$B$194,"&lt;="&amp;B216),IF('Исходные данные'!$B$88="Пользовательский NOI",N('Исходные данные'!$B$89),BL216))/N('Исходные данные'!$B$80)*(1+N('Исходные данные'!$B$81))),0))</f>
        <v>0</v>
      </c>
      <c r="BN216">
        <f>-BM216*N('Исходные данные'!$B$73)</f>
        <v>0</v>
      </c>
      <c r="BO216">
        <f>IF(BM216=0,0,-N('Исходные данные'!$B$87)-IF('Исходные данные'!$B$82="Да",IF('Исходные данные'!$B$84="С выручки",BM216,IF('Исходные данные'!$B$84="С прибыли",MAX(0,BM216+BN216-IF('Исходные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16">
        <f t="shared" si="146"/>
        <v>0</v>
      </c>
      <c r="BQ216">
        <f>IF(D216=1,Расчёты!AZ216+BE216+BH216+BK216+BP216,0)</f>
        <v>0</v>
      </c>
      <c r="BR216" t="str">
        <f t="shared" si="134"/>
        <v/>
      </c>
      <c r="BS216">
        <f>IF(OR(D216=0,'Исходные данные'!$B$9="",'Исходные данные'!$B$90=""),0,BQ216/(1+'Исходные данные'!$B$90)^((C216-'Исходные данные'!$B$9)/365))</f>
        <v>0</v>
      </c>
      <c r="BT216">
        <f>IF(D216=1,BE216+Расчёты!O216+Расчёты!Q216+Расчёты!S216+Расчёты!U216+Расчёты!W216+Расчёты!X216+BH216+BK216,0)</f>
        <v>0</v>
      </c>
      <c r="BU216">
        <f>IF(AND(D216=1,BR216&gt;=0,BR215&lt;0,MIN($BR$2:BR216)&lt;0),1,0)</f>
        <v>0</v>
      </c>
      <c r="BV216">
        <f>Расчёты!AZ216+K216+N216-P216*N('Исходные данные'!$B$50)</f>
        <v>0</v>
      </c>
      <c r="BW216">
        <f t="shared" si="135"/>
        <v>0</v>
      </c>
      <c r="BX216">
        <f>IF(AND(BW216&gt;=0,BW215&lt;0,MIN($BW$2:BW216)&lt;0),1,0)</f>
        <v>0</v>
      </c>
      <c r="BY216">
        <f>Расчёты!AZ216+AH216+AK216-AM216*N('Исходные данные'!$B$50)</f>
        <v>0</v>
      </c>
      <c r="BZ216">
        <f t="shared" si="136"/>
        <v>0</v>
      </c>
      <c r="CA216">
        <f>IF(AND(BZ216&gt;=0,BZ215&lt;0,MIN($BZ$2:BZ216)&lt;0),1,0)</f>
        <v>0</v>
      </c>
      <c r="CB216">
        <f>Расчёты!AZ216+BE216+BH216-BJ216*N('Исходные данные'!$B$50)</f>
        <v>0</v>
      </c>
      <c r="CC216">
        <f t="shared" si="137"/>
        <v>0</v>
      </c>
      <c r="CD216">
        <f>IF(AND(CC216&gt;=0,CC215&lt;0,MIN($CC$2:CC216)&lt;0),1,0)</f>
        <v>0</v>
      </c>
    </row>
    <row r="217" spans="1:82" x14ac:dyDescent="0.2">
      <c r="A217">
        <f>Расчёты!A217</f>
        <v>216</v>
      </c>
      <c r="B217" t="str">
        <f>Расчёты!B217</f>
        <v/>
      </c>
      <c r="C217" t="str">
        <f>Расчёты!D217</f>
        <v/>
      </c>
      <c r="D217">
        <f>Расчёты!E217</f>
        <v>0</v>
      </c>
      <c r="E217">
        <f>IF(Расчёты!F217=0,0,IF(Расчёты!G217=1,N('Сценарный анализ'!$B$5),IF(Расчёты!G217=2,N('Сценарный анализ'!$B$6),IF(Расчёты!G217=3,N('Сценарный анализ'!$B$7),N('Сценарный анализ'!$B$7)*(1+N('Сценарный анализ'!$B$8))^(Расчёты!G217-3)))))</f>
        <v>0</v>
      </c>
      <c r="F217">
        <f>IF(OR(Расчёты!F217=0,N('Исходные данные'!$B$5)=0,E217=0),0,N('Исходные данные'!$B$5)*E217*IF(AND(B217&lt;='Исходные данные'!$B$30,Расчёты!C217&gt;='Исходные данные'!$B$30),(Расчёты!C217-'Исходные данные'!$B$30+1)/DAY(Расчёты!C217),1))</f>
        <v>0</v>
      </c>
      <c r="G217">
        <f>IF(AND(Расчёты!F217&gt;0,Расчёты!F217&lt;=N('Исходные данные'!$B$37)),-F217,0)</f>
        <v>0</v>
      </c>
      <c r="H217">
        <f>IF(OR(Расчёты!F217=0,Расчёты!F217&lt;=N('Исходные данные'!$B$37)),0,-(F217+G217)*N('Сценарный анализ'!$B$9))</f>
        <v>0</v>
      </c>
      <c r="I217">
        <f t="shared" si="138"/>
        <v>0</v>
      </c>
      <c r="J217">
        <f>IF('Исходные данные'!$B$51="Да",I217*N('Исходные данные'!$B$52),0)</f>
        <v>0</v>
      </c>
      <c r="K217">
        <f t="shared" si="139"/>
        <v>0</v>
      </c>
      <c r="L217">
        <f>I217+(Расчёты!Y217-Расчёты!L217)</f>
        <v>0</v>
      </c>
      <c r="M217">
        <f t="shared" si="126"/>
        <v>0</v>
      </c>
      <c r="N217">
        <f>IF('Исходные данные'!$B$51="Да",-MAX(0,J217+Расчёты!R217+Расчёты!V217-Расчёты!P217-Расчёты!T217-M217),0)</f>
        <v>0</v>
      </c>
      <c r="O217">
        <f>IF('Исходные данные'!$B$51="Да",MAX(0,M217+Расчёты!P217+Расчёты!T217-J217-Расчёты!R217-Расчёты!V217),0)</f>
        <v>0</v>
      </c>
      <c r="P217">
        <f>IF('Исходные данные'!$B$53="Выручка",MAX(0,I217+(Расчёты!Q217-Расчёты!R217)+(Расчёты!U217-Расчёты!V217)),IF('Исходные данные'!$B$53="Прибыль до налога",MAX(0,I217+(Расчёты!Q217-Расчёты!R217)+(Расчёты!U217-Расчёты!V217)+N('Исходные данные'!$B$54)*((Расчёты!O217+Расчёты!P217)+(Расчёты!S217+Расчёты!T217)+Расчёты!W217+Расчёты!X217)+IF('Исходные данные'!$B$55="Да",Расчёты!AG217,0)-N('Исходные данные'!$B$56)/12),IF('Исходные данные'!$B$53="Пользовательская база",MAX(0,N('Исходные данные'!$B$57)/12),0)))</f>
        <v>0</v>
      </c>
      <c r="Q217">
        <f>IF(D217=1,-P217*N('Исходные данные'!$B$50),0)</f>
        <v>0</v>
      </c>
      <c r="R217">
        <f t="shared" si="127"/>
        <v>0</v>
      </c>
      <c r="S217">
        <f>IF(OR(D217&lt;&gt;1,B217="",'Исходные данные'!$B$91="",N('Исходные данные'!$B$80)&lt;=0,'Исходные данные'!$B$88=""),0,IF(AND(YEAR(B217)=YEAR('Исходные данные'!$B$91),MONTH(B217)=MONTH('Исходные данные'!$B$91)),MAX(0,IF('Исходные данные'!$B$88="Последние 12 месяцев",SUMIFS($L$2:$L$194,$B$2:$B$194,"&gt;="&amp;EDATE(B217,-11),$B$2:$B$194,"&lt;="&amp;B217),IF('Исходные данные'!$B$88="Пользовательский NOI",N('Исходные данные'!$B$89),R217))/N('Исходные данные'!$B$80)*(1+N('Исходные данные'!$B$81))),0))</f>
        <v>0</v>
      </c>
      <c r="T217">
        <f>-S217*N('Исходные данные'!$B$73)</f>
        <v>0</v>
      </c>
      <c r="U217">
        <f>IF(S217=0,0,-N('Исходные данные'!$B$87)-IF('Исходные данные'!$B$82="Да",IF('Исходные данные'!$B$84="С выручки",S217,IF('Исходные данные'!$B$84="С прибыли",MAX(0,S217+T217-IF('Исходные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17">
        <f t="shared" si="140"/>
        <v>0</v>
      </c>
      <c r="W217">
        <f>IF(D217=1,Расчёты!AZ217+K217+N217+Q217+V217,0)</f>
        <v>0</v>
      </c>
      <c r="X217" t="str">
        <f t="shared" si="128"/>
        <v/>
      </c>
      <c r="Y217">
        <f>IF(OR(D217=0,'Исходные данные'!$B$9="",'Исходные данные'!$B$90=""),0,W217/(1+'Исходные данные'!$B$90)^((C217-'Исходные данные'!$B$9)/365))</f>
        <v>0</v>
      </c>
      <c r="Z217">
        <f>IF(D217=1,K217+Расчёты!O217+Расчёты!Q217+Расчёты!S217+Расчёты!U217+Расчёты!W217+Расчёты!X217+N217+Q217,0)</f>
        <v>0</v>
      </c>
      <c r="AA217">
        <f>IF(AND(D217=1,X217&gt;=0,X216&lt;0,MIN($X$2:X217)&lt;0),1,0)</f>
        <v>0</v>
      </c>
      <c r="AB217">
        <f>IF(Расчёты!F217=0,0,IF(Расчёты!G217=1,N('Сценарный анализ'!$C$5),IF(Расчёты!G217=2,N('Сценарный анализ'!$C$6),IF(Расчёты!G217=3,N('Сценарный анализ'!$C$7),N('Сценарный анализ'!$C$7)*(1+N('Сценарный анализ'!$C$8))^(Расчёты!G217-3)))))</f>
        <v>0</v>
      </c>
      <c r="AC217">
        <f>IF(OR(Расчёты!F217=0,N('Исходные данные'!$B$5)=0,AB217=0),0,N('Исходные данные'!$B$5)*AB217*IF(AND(B217&lt;='Исходные данные'!$B$30,Расчёты!C217&gt;='Исходные данные'!$B$30),(Расчёты!C217-'Исходные данные'!$B$30+1)/DAY(Расчёты!C217),1))</f>
        <v>0</v>
      </c>
      <c r="AD217">
        <f>IF(AND(Расчёты!F217&gt;0,Расчёты!F217&lt;=N('Исходные данные'!$B$37)),-AC217,0)</f>
        <v>0</v>
      </c>
      <c r="AE217">
        <f>IF(OR(Расчёты!F217=0,Расчёты!F217&lt;=N('Исходные данные'!$B$37)),0,-(AC217+AD217)*N('Сценарный анализ'!$C$9))</f>
        <v>0</v>
      </c>
      <c r="AF217">
        <f t="shared" si="141"/>
        <v>0</v>
      </c>
      <c r="AG217">
        <f>IF('Исходные данные'!$B$51="Да",AF217*N('Исходные данные'!$B$52),0)</f>
        <v>0</v>
      </c>
      <c r="AH217">
        <f t="shared" si="142"/>
        <v>0</v>
      </c>
      <c r="AI217">
        <f>AF217+(Расчёты!Y217-Расчёты!L217)</f>
        <v>0</v>
      </c>
      <c r="AJ217">
        <f t="shared" si="129"/>
        <v>0</v>
      </c>
      <c r="AK217">
        <f>IF('Исходные данные'!$B$51="Да",-MAX(0,AG217+Расчёты!R217+Расчёты!V217-Расчёты!P217-Расчёты!T217-AJ217),0)</f>
        <v>0</v>
      </c>
      <c r="AL217">
        <f>IF('Исходные данные'!$B$51="Да",MAX(0,AJ217+Расчёты!P217+Расчёты!T217-AG217-Расчёты!R217-Расчёты!V217),0)</f>
        <v>0</v>
      </c>
      <c r="AM217">
        <f>IF('Исходные данные'!$B$53="Выручка",MAX(0,AF217+(Расчёты!Q217-Расчёты!R217)+(Расчёты!U217-Расчёты!V217)),IF('Исходные данные'!$B$53="Прибыль до налога",MAX(0,AF217+(Расчёты!Q217-Расчёты!R217)+(Расчёты!U217-Расчёты!V217)+N('Исходные данные'!$B$54)*((Расчёты!O217+Расчёты!P217)+(Расчёты!S217+Расчёты!T217)+Расчёты!W217+Расчёты!X217)+IF('Исходные данные'!$B$55="Да",Расчёты!AG217,0)-N('Исходные данные'!$B$56)/12),IF('Исходные данные'!$B$53="Пользовательская база",MAX(0,N('Исходные данные'!$B$57)/12),0)))</f>
        <v>0</v>
      </c>
      <c r="AN217">
        <f>IF(D217=1,-AM217*N('Исходные данные'!$B$50),0)</f>
        <v>0</v>
      </c>
      <c r="AO217">
        <f t="shared" si="130"/>
        <v>0</v>
      </c>
      <c r="AP217">
        <f>IF(OR(D217&lt;&gt;1,B217="",'Исходные данные'!$B$91="",N('Исходные данные'!$B$80)&lt;=0,'Исходные данные'!$B$88=""),0,IF(AND(YEAR(B217)=YEAR('Исходные данные'!$B$91),MONTH(B217)=MONTH('Исходные данные'!$B$91)),MAX(0,IF('Исходные данные'!$B$88="Последние 12 месяцев",SUMIFS($AI$2:$AI$194,$B$2:$B$194,"&gt;="&amp;EDATE(B217,-11),$B$2:$B$194,"&lt;="&amp;B217),IF('Исходные данные'!$B$88="Пользовательский NOI",N('Исходные данные'!$B$89),AO217))/N('Исходные данные'!$B$80)*(1+N('Исходные данные'!$B$81))),0))</f>
        <v>0</v>
      </c>
      <c r="AQ217">
        <f>-AP217*N('Исходные данные'!$B$73)</f>
        <v>0</v>
      </c>
      <c r="AR217">
        <f>IF(AP217=0,0,-N('Исходные данные'!$B$87)-IF('Исходные данные'!$B$82="Да",IF('Исходные данные'!$B$84="С выручки",AP217,IF('Исходные данные'!$B$84="С прибыли",MAX(0,AP217+AQ217-IF('Исходные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17">
        <f t="shared" si="143"/>
        <v>0</v>
      </c>
      <c r="AT217">
        <f>IF(D217=1,Расчёты!AZ217+AH217+AK217+AN217+AS217,0)</f>
        <v>0</v>
      </c>
      <c r="AU217" t="str">
        <f t="shared" si="131"/>
        <v/>
      </c>
      <c r="AV217">
        <f>IF(OR(D217=0,'Исходные данные'!$B$9="",'Исходные данные'!$B$90=""),0,AT217/(1+'Исходные данные'!$B$90)^((C217-'Исходные данные'!$B$9)/365))</f>
        <v>0</v>
      </c>
      <c r="AW217">
        <f>IF(D217=1,AH217+Расчёты!O217+Расчёты!Q217+Расчёты!S217+Расчёты!U217+Расчёты!W217+Расчёты!X217+AK217+AN217,0)</f>
        <v>0</v>
      </c>
      <c r="AX217">
        <f>IF(AND(D217=1,AU217&gt;=0,AU216&lt;0,MIN($AU$2:AU217)&lt;0),1,0)</f>
        <v>0</v>
      </c>
      <c r="AY217">
        <f>IF(Расчёты!F217=0,0,IF(Расчёты!G217=1,N('Сценарный анализ'!$D$5),IF(Расчёты!G217=2,N('Сценарный анализ'!$D$6),IF(Расчёты!G217=3,N('Сценарный анализ'!$D$7),N('Сценарный анализ'!$D$7)*(1+N('Сценарный анализ'!$D$8))^(Расчёты!G217-3)))))</f>
        <v>0</v>
      </c>
      <c r="AZ217">
        <f>IF(OR(Расчёты!F217=0,N('Исходные данные'!$B$5)=0,AY217=0),0,N('Исходные данные'!$B$5)*AY217*IF(AND(B217&lt;='Исходные данные'!$B$30,Расчёты!C217&gt;='Исходные данные'!$B$30),(Расчёты!C217-'Исходные данные'!$B$30+1)/DAY(Расчёты!C217),1))</f>
        <v>0</v>
      </c>
      <c r="BA217">
        <f>IF(AND(Расчёты!F217&gt;0,Расчёты!F217&lt;=N('Исходные данные'!$B$37)),-AZ217,0)</f>
        <v>0</v>
      </c>
      <c r="BB217">
        <f>IF(OR(Расчёты!F217=0,Расчёты!F217&lt;=N('Исходные данные'!$B$37)),0,-(AZ217+BA217)*N('Сценарный анализ'!$D$9))</f>
        <v>0</v>
      </c>
      <c r="BC217">
        <f t="shared" si="144"/>
        <v>0</v>
      </c>
      <c r="BD217">
        <f>IF('Исходные данные'!$B$51="Да",BC217*N('Исходные данные'!$B$52),0)</f>
        <v>0</v>
      </c>
      <c r="BE217">
        <f t="shared" si="145"/>
        <v>0</v>
      </c>
      <c r="BF217">
        <f>BC217+(Расчёты!Y217-Расчёты!L217)</f>
        <v>0</v>
      </c>
      <c r="BG217">
        <f t="shared" si="132"/>
        <v>0</v>
      </c>
      <c r="BH217">
        <f>IF('Исходные данные'!$B$51="Да",-MAX(0,BD217+Расчёты!R217+Расчёты!V217-Расчёты!P217-Расчёты!T217-BG217),0)</f>
        <v>0</v>
      </c>
      <c r="BI217">
        <f>IF('Исходные данные'!$B$51="Да",MAX(0,BG217+Расчёты!P217+Расчёты!T217-BD217-Расчёты!R217-Расчёты!V217),0)</f>
        <v>0</v>
      </c>
      <c r="BJ217">
        <f>IF('Исходные данные'!$B$53="Выручка",MAX(0,BC217+(Расчёты!Q217-Расчёты!R217)+(Расчёты!U217-Расчёты!V217)),IF('Исходные данные'!$B$53="Прибыль до налога",MAX(0,BC217+(Расчёты!Q217-Расчёты!R217)+(Расчёты!U217-Расчёты!V217)+N('Исходные данные'!$B$54)*((Расчёты!O217+Расчёты!P217)+(Расчёты!S217+Расчёты!T217)+Расчёты!W217+Расчёты!X217)+IF('Исходные данные'!$B$55="Да",Расчёты!AG217,0)-N('Исходные данные'!$B$56)/12),IF('Исходные данные'!$B$53="Пользовательская база",MAX(0,N('Исходные данные'!$B$57)/12),0)))</f>
        <v>0</v>
      </c>
      <c r="BK217">
        <f>IF(D217=1,-BJ217*N('Исходные данные'!$B$50),0)</f>
        <v>0</v>
      </c>
      <c r="BL217">
        <f t="shared" si="133"/>
        <v>0</v>
      </c>
      <c r="BM217">
        <f>IF(OR(D217&lt;&gt;1,B217="",'Исходные данные'!$B$91="",N('Исходные данные'!$B$80)&lt;=0,'Исходные данные'!$B$88=""),0,IF(AND(YEAR(B217)=YEAR('Исходные данные'!$B$91),MONTH(B217)=MONTH('Исходные данные'!$B$91)),MAX(0,IF('Исходные данные'!$B$88="Последние 12 месяцев",SUMIFS($BF$2:$BF$194,$B$2:$B$194,"&gt;="&amp;EDATE(B217,-11),$B$2:$B$194,"&lt;="&amp;B217),IF('Исходные данные'!$B$88="Пользовательский NOI",N('Исходные данные'!$B$89),BL217))/N('Исходные данные'!$B$80)*(1+N('Исходные данные'!$B$81))),0))</f>
        <v>0</v>
      </c>
      <c r="BN217">
        <f>-BM217*N('Исходные данные'!$B$73)</f>
        <v>0</v>
      </c>
      <c r="BO217">
        <f>IF(BM217=0,0,-N('Исходные данные'!$B$87)-IF('Исходные данные'!$B$82="Да",IF('Исходные данные'!$B$84="С выручки",BM217,IF('Исходные данные'!$B$84="С прибыли",MAX(0,BM217+BN217-IF('Исходные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17">
        <f t="shared" si="146"/>
        <v>0</v>
      </c>
      <c r="BQ217">
        <f>IF(D217=1,Расчёты!AZ217+BE217+BH217+BK217+BP217,0)</f>
        <v>0</v>
      </c>
      <c r="BR217" t="str">
        <f t="shared" si="134"/>
        <v/>
      </c>
      <c r="BS217">
        <f>IF(OR(D217=0,'Исходные данные'!$B$9="",'Исходные данные'!$B$90=""),0,BQ217/(1+'Исходные данные'!$B$90)^((C217-'Исходные данные'!$B$9)/365))</f>
        <v>0</v>
      </c>
      <c r="BT217">
        <f>IF(D217=1,BE217+Расчёты!O217+Расчёты!Q217+Расчёты!S217+Расчёты!U217+Расчёты!W217+Расчёты!X217+BH217+BK217,0)</f>
        <v>0</v>
      </c>
      <c r="BU217">
        <f>IF(AND(D217=1,BR217&gt;=0,BR216&lt;0,MIN($BR$2:BR217)&lt;0),1,0)</f>
        <v>0</v>
      </c>
      <c r="BV217">
        <f>Расчёты!AZ217+K217+N217-P217*N('Исходные данные'!$B$50)</f>
        <v>0</v>
      </c>
      <c r="BW217">
        <f t="shared" si="135"/>
        <v>0</v>
      </c>
      <c r="BX217">
        <f>IF(AND(BW217&gt;=0,BW216&lt;0,MIN($BW$2:BW217)&lt;0),1,0)</f>
        <v>0</v>
      </c>
      <c r="BY217">
        <f>Расчёты!AZ217+AH217+AK217-AM217*N('Исходные данные'!$B$50)</f>
        <v>0</v>
      </c>
      <c r="BZ217">
        <f t="shared" si="136"/>
        <v>0</v>
      </c>
      <c r="CA217">
        <f>IF(AND(BZ217&gt;=0,BZ216&lt;0,MIN($BZ$2:BZ217)&lt;0),1,0)</f>
        <v>0</v>
      </c>
      <c r="CB217">
        <f>Расчёты!AZ217+BE217+BH217-BJ217*N('Исходные данные'!$B$50)</f>
        <v>0</v>
      </c>
      <c r="CC217">
        <f t="shared" si="137"/>
        <v>0</v>
      </c>
      <c r="CD217">
        <f>IF(AND(CC217&gt;=0,CC216&lt;0,MIN($CC$2:CC217)&lt;0),1,0)</f>
        <v>0</v>
      </c>
    </row>
    <row r="218" spans="1:82" x14ac:dyDescent="0.2">
      <c r="A218">
        <f>Расчёты!A218</f>
        <v>217</v>
      </c>
      <c r="B218" t="str">
        <f>Расчёты!B218</f>
        <v/>
      </c>
      <c r="C218" t="str">
        <f>Расчёты!D218</f>
        <v/>
      </c>
      <c r="D218">
        <f>Расчёты!E218</f>
        <v>0</v>
      </c>
      <c r="E218">
        <f>IF(Расчёты!F218=0,0,IF(Расчёты!G218=1,N('Сценарный анализ'!$B$5),IF(Расчёты!G218=2,N('Сценарный анализ'!$B$6),IF(Расчёты!G218=3,N('Сценарный анализ'!$B$7),N('Сценарный анализ'!$B$7)*(1+N('Сценарный анализ'!$B$8))^(Расчёты!G218-3)))))</f>
        <v>0</v>
      </c>
      <c r="F218">
        <f>IF(OR(Расчёты!F218=0,N('Исходные данные'!$B$5)=0,E218=0),0,N('Исходные данные'!$B$5)*E218*IF(AND(B218&lt;='Исходные данные'!$B$30,Расчёты!C218&gt;='Исходные данные'!$B$30),(Расчёты!C218-'Исходные данные'!$B$30+1)/DAY(Расчёты!C218),1))</f>
        <v>0</v>
      </c>
      <c r="G218">
        <f>IF(AND(Расчёты!F218&gt;0,Расчёты!F218&lt;=N('Исходные данные'!$B$37)),-F218,0)</f>
        <v>0</v>
      </c>
      <c r="H218">
        <f>IF(OR(Расчёты!F218=0,Расчёты!F218&lt;=N('Исходные данные'!$B$37)),0,-(F218+G218)*N('Сценарный анализ'!$B$9))</f>
        <v>0</v>
      </c>
      <c r="I218">
        <f t="shared" si="138"/>
        <v>0</v>
      </c>
      <c r="J218">
        <f>IF('Исходные данные'!$B$51="Да",I218*N('Исходные данные'!$B$52),0)</f>
        <v>0</v>
      </c>
      <c r="K218">
        <f t="shared" si="139"/>
        <v>0</v>
      </c>
      <c r="L218">
        <f>I218+(Расчёты!Y218-Расчёты!L218)</f>
        <v>0</v>
      </c>
      <c r="M218">
        <f t="shared" si="126"/>
        <v>0</v>
      </c>
      <c r="N218">
        <f>IF('Исходные данные'!$B$51="Да",-MAX(0,J218+Расчёты!R218+Расчёты!V218-Расчёты!P218-Расчёты!T218-M218),0)</f>
        <v>0</v>
      </c>
      <c r="O218">
        <f>IF('Исходные данные'!$B$51="Да",MAX(0,M218+Расчёты!P218+Расчёты!T218-J218-Расчёты!R218-Расчёты!V218),0)</f>
        <v>0</v>
      </c>
      <c r="P218">
        <f>IF('Исходные данные'!$B$53="Выручка",MAX(0,I218+(Расчёты!Q218-Расчёты!R218)+(Расчёты!U218-Расчёты!V218)),IF('Исходные данные'!$B$53="Прибыль до налога",MAX(0,I218+(Расчёты!Q218-Расчёты!R218)+(Расчёты!U218-Расчёты!V218)+N('Исходные данные'!$B$54)*((Расчёты!O218+Расчёты!P218)+(Расчёты!S218+Расчёты!T218)+Расчёты!W218+Расчёты!X218)+IF('Исходные данные'!$B$55="Да",Расчёты!AG218,0)-N('Исходные данные'!$B$56)/12),IF('Исходные данные'!$B$53="Пользовательская база",MAX(0,N('Исходные данные'!$B$57)/12),0)))</f>
        <v>0</v>
      </c>
      <c r="Q218">
        <f>IF(D218=1,-P218*N('Исходные данные'!$B$50),0)</f>
        <v>0</v>
      </c>
      <c r="R218">
        <f t="shared" si="127"/>
        <v>0</v>
      </c>
      <c r="S218">
        <f>IF(OR(D218&lt;&gt;1,B218="",'Исходные данные'!$B$91="",N('Исходные данные'!$B$80)&lt;=0,'Исходные данные'!$B$88=""),0,IF(AND(YEAR(B218)=YEAR('Исходные данные'!$B$91),MONTH(B218)=MONTH('Исходные данные'!$B$91)),MAX(0,IF('Исходные данные'!$B$88="Последние 12 месяцев",SUMIFS($L$2:$L$194,$B$2:$B$194,"&gt;="&amp;EDATE(B218,-11),$B$2:$B$194,"&lt;="&amp;B218),IF('Исходные данные'!$B$88="Пользовательский NOI",N('Исходные данные'!$B$89),R218))/N('Исходные данные'!$B$80)*(1+N('Исходные данные'!$B$81))),0))</f>
        <v>0</v>
      </c>
      <c r="T218">
        <f>-S218*N('Исходные данные'!$B$73)</f>
        <v>0</v>
      </c>
      <c r="U218">
        <f>IF(S218=0,0,-N('Исходные данные'!$B$87)-IF('Исходные данные'!$B$82="Да",IF('Исходные данные'!$B$84="С выручки",S218,IF('Исходные данные'!$B$84="С прибыли",MAX(0,S218+T218-IF('Исходные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18">
        <f t="shared" si="140"/>
        <v>0</v>
      </c>
      <c r="W218">
        <f>IF(D218=1,Расчёты!AZ218+K218+N218+Q218+V218,0)</f>
        <v>0</v>
      </c>
      <c r="X218" t="str">
        <f t="shared" si="128"/>
        <v/>
      </c>
      <c r="Y218">
        <f>IF(OR(D218=0,'Исходные данные'!$B$9="",'Исходные данные'!$B$90=""),0,W218/(1+'Исходные данные'!$B$90)^((C218-'Исходные данные'!$B$9)/365))</f>
        <v>0</v>
      </c>
      <c r="Z218">
        <f>IF(D218=1,K218+Расчёты!O218+Расчёты!Q218+Расчёты!S218+Расчёты!U218+Расчёты!W218+Расчёты!X218+N218+Q218,0)</f>
        <v>0</v>
      </c>
      <c r="AA218">
        <f>IF(AND(D218=1,X218&gt;=0,X217&lt;0,MIN($X$2:X218)&lt;0),1,0)</f>
        <v>0</v>
      </c>
      <c r="AB218">
        <f>IF(Расчёты!F218=0,0,IF(Расчёты!G218=1,N('Сценарный анализ'!$C$5),IF(Расчёты!G218=2,N('Сценарный анализ'!$C$6),IF(Расчёты!G218=3,N('Сценарный анализ'!$C$7),N('Сценарный анализ'!$C$7)*(1+N('Сценарный анализ'!$C$8))^(Расчёты!G218-3)))))</f>
        <v>0</v>
      </c>
      <c r="AC218">
        <f>IF(OR(Расчёты!F218=0,N('Исходные данные'!$B$5)=0,AB218=0),0,N('Исходные данные'!$B$5)*AB218*IF(AND(B218&lt;='Исходные данные'!$B$30,Расчёты!C218&gt;='Исходные данные'!$B$30),(Расчёты!C218-'Исходные данные'!$B$30+1)/DAY(Расчёты!C218),1))</f>
        <v>0</v>
      </c>
      <c r="AD218">
        <f>IF(AND(Расчёты!F218&gt;0,Расчёты!F218&lt;=N('Исходные данные'!$B$37)),-AC218,0)</f>
        <v>0</v>
      </c>
      <c r="AE218">
        <f>IF(OR(Расчёты!F218=0,Расчёты!F218&lt;=N('Исходные данные'!$B$37)),0,-(AC218+AD218)*N('Сценарный анализ'!$C$9))</f>
        <v>0</v>
      </c>
      <c r="AF218">
        <f t="shared" si="141"/>
        <v>0</v>
      </c>
      <c r="AG218">
        <f>IF('Исходные данные'!$B$51="Да",AF218*N('Исходные данные'!$B$52),0)</f>
        <v>0</v>
      </c>
      <c r="AH218">
        <f t="shared" si="142"/>
        <v>0</v>
      </c>
      <c r="AI218">
        <f>AF218+(Расчёты!Y218-Расчёты!L218)</f>
        <v>0</v>
      </c>
      <c r="AJ218">
        <f t="shared" si="129"/>
        <v>0</v>
      </c>
      <c r="AK218">
        <f>IF('Исходные данные'!$B$51="Да",-MAX(0,AG218+Расчёты!R218+Расчёты!V218-Расчёты!P218-Расчёты!T218-AJ218),0)</f>
        <v>0</v>
      </c>
      <c r="AL218">
        <f>IF('Исходные данные'!$B$51="Да",MAX(0,AJ218+Расчёты!P218+Расчёты!T218-AG218-Расчёты!R218-Расчёты!V218),0)</f>
        <v>0</v>
      </c>
      <c r="AM218">
        <f>IF('Исходные данные'!$B$53="Выручка",MAX(0,AF218+(Расчёты!Q218-Расчёты!R218)+(Расчёты!U218-Расчёты!V218)),IF('Исходные данные'!$B$53="Прибыль до налога",MAX(0,AF218+(Расчёты!Q218-Расчёты!R218)+(Расчёты!U218-Расчёты!V218)+N('Исходные данные'!$B$54)*((Расчёты!O218+Расчёты!P218)+(Расчёты!S218+Расчёты!T218)+Расчёты!W218+Расчёты!X218)+IF('Исходные данные'!$B$55="Да",Расчёты!AG218,0)-N('Исходные данные'!$B$56)/12),IF('Исходные данные'!$B$53="Пользовательская база",MAX(0,N('Исходные данные'!$B$57)/12),0)))</f>
        <v>0</v>
      </c>
      <c r="AN218">
        <f>IF(D218=1,-AM218*N('Исходные данные'!$B$50),0)</f>
        <v>0</v>
      </c>
      <c r="AO218">
        <f t="shared" si="130"/>
        <v>0</v>
      </c>
      <c r="AP218">
        <f>IF(OR(D218&lt;&gt;1,B218="",'Исходные данные'!$B$91="",N('Исходные данные'!$B$80)&lt;=0,'Исходные данные'!$B$88=""),0,IF(AND(YEAR(B218)=YEAR('Исходные данные'!$B$91),MONTH(B218)=MONTH('Исходные данные'!$B$91)),MAX(0,IF('Исходные данные'!$B$88="Последние 12 месяцев",SUMIFS($AI$2:$AI$194,$B$2:$B$194,"&gt;="&amp;EDATE(B218,-11),$B$2:$B$194,"&lt;="&amp;B218),IF('Исходные данные'!$B$88="Пользовательский NOI",N('Исходные данные'!$B$89),AO218))/N('Исходные данные'!$B$80)*(1+N('Исходные данные'!$B$81))),0))</f>
        <v>0</v>
      </c>
      <c r="AQ218">
        <f>-AP218*N('Исходные данные'!$B$73)</f>
        <v>0</v>
      </c>
      <c r="AR218">
        <f>IF(AP218=0,0,-N('Исходные данные'!$B$87)-IF('Исходные данные'!$B$82="Да",IF('Исходные данные'!$B$84="С выручки",AP218,IF('Исходные данные'!$B$84="С прибыли",MAX(0,AP218+AQ218-IF('Исходные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18">
        <f t="shared" si="143"/>
        <v>0</v>
      </c>
      <c r="AT218">
        <f>IF(D218=1,Расчёты!AZ218+AH218+AK218+AN218+AS218,0)</f>
        <v>0</v>
      </c>
      <c r="AU218" t="str">
        <f t="shared" si="131"/>
        <v/>
      </c>
      <c r="AV218">
        <f>IF(OR(D218=0,'Исходные данные'!$B$9="",'Исходные данные'!$B$90=""),0,AT218/(1+'Исходные данные'!$B$90)^((C218-'Исходные данные'!$B$9)/365))</f>
        <v>0</v>
      </c>
      <c r="AW218">
        <f>IF(D218=1,AH218+Расчёты!O218+Расчёты!Q218+Расчёты!S218+Расчёты!U218+Расчёты!W218+Расчёты!X218+AK218+AN218,0)</f>
        <v>0</v>
      </c>
      <c r="AX218">
        <f>IF(AND(D218=1,AU218&gt;=0,AU217&lt;0,MIN($AU$2:AU218)&lt;0),1,0)</f>
        <v>0</v>
      </c>
      <c r="AY218">
        <f>IF(Расчёты!F218=0,0,IF(Расчёты!G218=1,N('Сценарный анализ'!$D$5),IF(Расчёты!G218=2,N('Сценарный анализ'!$D$6),IF(Расчёты!G218=3,N('Сценарный анализ'!$D$7),N('Сценарный анализ'!$D$7)*(1+N('Сценарный анализ'!$D$8))^(Расчёты!G218-3)))))</f>
        <v>0</v>
      </c>
      <c r="AZ218">
        <f>IF(OR(Расчёты!F218=0,N('Исходные данные'!$B$5)=0,AY218=0),0,N('Исходные данные'!$B$5)*AY218*IF(AND(B218&lt;='Исходные данные'!$B$30,Расчёты!C218&gt;='Исходные данные'!$B$30),(Расчёты!C218-'Исходные данные'!$B$30+1)/DAY(Расчёты!C218),1))</f>
        <v>0</v>
      </c>
      <c r="BA218">
        <f>IF(AND(Расчёты!F218&gt;0,Расчёты!F218&lt;=N('Исходные данные'!$B$37)),-AZ218,0)</f>
        <v>0</v>
      </c>
      <c r="BB218">
        <f>IF(OR(Расчёты!F218=0,Расчёты!F218&lt;=N('Исходные данные'!$B$37)),0,-(AZ218+BA218)*N('Сценарный анализ'!$D$9))</f>
        <v>0</v>
      </c>
      <c r="BC218">
        <f t="shared" si="144"/>
        <v>0</v>
      </c>
      <c r="BD218">
        <f>IF('Исходные данные'!$B$51="Да",BC218*N('Исходные данные'!$B$52),0)</f>
        <v>0</v>
      </c>
      <c r="BE218">
        <f t="shared" si="145"/>
        <v>0</v>
      </c>
      <c r="BF218">
        <f>BC218+(Расчёты!Y218-Расчёты!L218)</f>
        <v>0</v>
      </c>
      <c r="BG218">
        <f t="shared" si="132"/>
        <v>0</v>
      </c>
      <c r="BH218">
        <f>IF('Исходные данные'!$B$51="Да",-MAX(0,BD218+Расчёты!R218+Расчёты!V218-Расчёты!P218-Расчёты!T218-BG218),0)</f>
        <v>0</v>
      </c>
      <c r="BI218">
        <f>IF('Исходные данные'!$B$51="Да",MAX(0,BG218+Расчёты!P218+Расчёты!T218-BD218-Расчёты!R218-Расчёты!V218),0)</f>
        <v>0</v>
      </c>
      <c r="BJ218">
        <f>IF('Исходные данные'!$B$53="Выручка",MAX(0,BC218+(Расчёты!Q218-Расчёты!R218)+(Расчёты!U218-Расчёты!V218)),IF('Исходные данные'!$B$53="Прибыль до налога",MAX(0,BC218+(Расчёты!Q218-Расчёты!R218)+(Расчёты!U218-Расчёты!V218)+N('Исходные данные'!$B$54)*((Расчёты!O218+Расчёты!P218)+(Расчёты!S218+Расчёты!T218)+Расчёты!W218+Расчёты!X218)+IF('Исходные данные'!$B$55="Да",Расчёты!AG218,0)-N('Исходные данные'!$B$56)/12),IF('Исходные данные'!$B$53="Пользовательская база",MAX(0,N('Исходные данные'!$B$57)/12),0)))</f>
        <v>0</v>
      </c>
      <c r="BK218">
        <f>IF(D218=1,-BJ218*N('Исходные данные'!$B$50),0)</f>
        <v>0</v>
      </c>
      <c r="BL218">
        <f t="shared" si="133"/>
        <v>0</v>
      </c>
      <c r="BM218">
        <f>IF(OR(D218&lt;&gt;1,B218="",'Исходные данные'!$B$91="",N('Исходные данные'!$B$80)&lt;=0,'Исходные данные'!$B$88=""),0,IF(AND(YEAR(B218)=YEAR('Исходные данные'!$B$91),MONTH(B218)=MONTH('Исходные данные'!$B$91)),MAX(0,IF('Исходные данные'!$B$88="Последние 12 месяцев",SUMIFS($BF$2:$BF$194,$B$2:$B$194,"&gt;="&amp;EDATE(B218,-11),$B$2:$B$194,"&lt;="&amp;B218),IF('Исходные данные'!$B$88="Пользовательский NOI",N('Исходные данные'!$B$89),BL218))/N('Исходные данные'!$B$80)*(1+N('Исходные данные'!$B$81))),0))</f>
        <v>0</v>
      </c>
      <c r="BN218">
        <f>-BM218*N('Исходные данные'!$B$73)</f>
        <v>0</v>
      </c>
      <c r="BO218">
        <f>IF(BM218=0,0,-N('Исходные данные'!$B$87)-IF('Исходные данные'!$B$82="Да",IF('Исходные данные'!$B$84="С выручки",BM218,IF('Исходные данные'!$B$84="С прибыли",MAX(0,BM218+BN218-IF('Исходные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18">
        <f t="shared" si="146"/>
        <v>0</v>
      </c>
      <c r="BQ218">
        <f>IF(D218=1,Расчёты!AZ218+BE218+BH218+BK218+BP218,0)</f>
        <v>0</v>
      </c>
      <c r="BR218" t="str">
        <f t="shared" si="134"/>
        <v/>
      </c>
      <c r="BS218">
        <f>IF(OR(D218=0,'Исходные данные'!$B$9="",'Исходные данные'!$B$90=""),0,BQ218/(1+'Исходные данные'!$B$90)^((C218-'Исходные данные'!$B$9)/365))</f>
        <v>0</v>
      </c>
      <c r="BT218">
        <f>IF(D218=1,BE218+Расчёты!O218+Расчёты!Q218+Расчёты!S218+Расчёты!U218+Расчёты!W218+Расчёты!X218+BH218+BK218,0)</f>
        <v>0</v>
      </c>
      <c r="BU218">
        <f>IF(AND(D218=1,BR218&gt;=0,BR217&lt;0,MIN($BR$2:BR218)&lt;0),1,0)</f>
        <v>0</v>
      </c>
      <c r="BV218">
        <f>Расчёты!AZ218+K218+N218-P218*N('Исходные данные'!$B$50)</f>
        <v>0</v>
      </c>
      <c r="BW218">
        <f t="shared" si="135"/>
        <v>0</v>
      </c>
      <c r="BX218">
        <f>IF(AND(BW218&gt;=0,BW217&lt;0,MIN($BW$2:BW218)&lt;0),1,0)</f>
        <v>0</v>
      </c>
      <c r="BY218">
        <f>Расчёты!AZ218+AH218+AK218-AM218*N('Исходные данные'!$B$50)</f>
        <v>0</v>
      </c>
      <c r="BZ218">
        <f t="shared" si="136"/>
        <v>0</v>
      </c>
      <c r="CA218">
        <f>IF(AND(BZ218&gt;=0,BZ217&lt;0,MIN($BZ$2:BZ218)&lt;0),1,0)</f>
        <v>0</v>
      </c>
      <c r="CB218">
        <f>Расчёты!AZ218+BE218+BH218-BJ218*N('Исходные данные'!$B$50)</f>
        <v>0</v>
      </c>
      <c r="CC218">
        <f t="shared" si="137"/>
        <v>0</v>
      </c>
      <c r="CD218">
        <f>IF(AND(CC218&gt;=0,CC217&lt;0,MIN($CC$2:CC218)&lt;0),1,0)</f>
        <v>0</v>
      </c>
    </row>
    <row r="219" spans="1:82" x14ac:dyDescent="0.2">
      <c r="A219">
        <f>Расчёты!A219</f>
        <v>218</v>
      </c>
      <c r="B219" t="str">
        <f>Расчёты!B219</f>
        <v/>
      </c>
      <c r="C219" t="str">
        <f>Расчёты!D219</f>
        <v/>
      </c>
      <c r="D219">
        <f>Расчёты!E219</f>
        <v>0</v>
      </c>
      <c r="E219">
        <f>IF(Расчёты!F219=0,0,IF(Расчёты!G219=1,N('Сценарный анализ'!$B$5),IF(Расчёты!G219=2,N('Сценарный анализ'!$B$6),IF(Расчёты!G219=3,N('Сценарный анализ'!$B$7),N('Сценарный анализ'!$B$7)*(1+N('Сценарный анализ'!$B$8))^(Расчёты!G219-3)))))</f>
        <v>0</v>
      </c>
      <c r="F219">
        <f>IF(OR(Расчёты!F219=0,N('Исходные данные'!$B$5)=0,E219=0),0,N('Исходные данные'!$B$5)*E219*IF(AND(B219&lt;='Исходные данные'!$B$30,Расчёты!C219&gt;='Исходные данные'!$B$30),(Расчёты!C219-'Исходные данные'!$B$30+1)/DAY(Расчёты!C219),1))</f>
        <v>0</v>
      </c>
      <c r="G219">
        <f>IF(AND(Расчёты!F219&gt;0,Расчёты!F219&lt;=N('Исходные данные'!$B$37)),-F219,0)</f>
        <v>0</v>
      </c>
      <c r="H219">
        <f>IF(OR(Расчёты!F219=0,Расчёты!F219&lt;=N('Исходные данные'!$B$37)),0,-(F219+G219)*N('Сценарный анализ'!$B$9))</f>
        <v>0</v>
      </c>
      <c r="I219">
        <f t="shared" si="138"/>
        <v>0</v>
      </c>
      <c r="J219">
        <f>IF('Исходные данные'!$B$51="Да",I219*N('Исходные данные'!$B$52),0)</f>
        <v>0</v>
      </c>
      <c r="K219">
        <f t="shared" si="139"/>
        <v>0</v>
      </c>
      <c r="L219">
        <f>I219+(Расчёты!Y219-Расчёты!L219)</f>
        <v>0</v>
      </c>
      <c r="M219">
        <f t="shared" si="126"/>
        <v>0</v>
      </c>
      <c r="N219">
        <f>IF('Исходные данные'!$B$51="Да",-MAX(0,J219+Расчёты!R219+Расчёты!V219-Расчёты!P219-Расчёты!T219-M219),0)</f>
        <v>0</v>
      </c>
      <c r="O219">
        <f>IF('Исходные данные'!$B$51="Да",MAX(0,M219+Расчёты!P219+Расчёты!T219-J219-Расчёты!R219-Расчёты!V219),0)</f>
        <v>0</v>
      </c>
      <c r="P219">
        <f>IF('Исходные данные'!$B$53="Выручка",MAX(0,I219+(Расчёты!Q219-Расчёты!R219)+(Расчёты!U219-Расчёты!V219)),IF('Исходные данные'!$B$53="Прибыль до налога",MAX(0,I219+(Расчёты!Q219-Расчёты!R219)+(Расчёты!U219-Расчёты!V219)+N('Исходные данные'!$B$54)*((Расчёты!O219+Расчёты!P219)+(Расчёты!S219+Расчёты!T219)+Расчёты!W219+Расчёты!X219)+IF('Исходные данные'!$B$55="Да",Расчёты!AG219,0)-N('Исходные данные'!$B$56)/12),IF('Исходные данные'!$B$53="Пользовательская база",MAX(0,N('Исходные данные'!$B$57)/12),0)))</f>
        <v>0</v>
      </c>
      <c r="Q219">
        <f>IF(D219=1,-P219*N('Исходные данные'!$B$50),0)</f>
        <v>0</v>
      </c>
      <c r="R219">
        <f t="shared" si="127"/>
        <v>0</v>
      </c>
      <c r="S219">
        <f>IF(OR(D219&lt;&gt;1,B219="",'Исходные данные'!$B$91="",N('Исходные данные'!$B$80)&lt;=0,'Исходные данные'!$B$88=""),0,IF(AND(YEAR(B219)=YEAR('Исходные данные'!$B$91),MONTH(B219)=MONTH('Исходные данные'!$B$91)),MAX(0,IF('Исходные данные'!$B$88="Последние 12 месяцев",SUMIFS($L$2:$L$194,$B$2:$B$194,"&gt;="&amp;EDATE(B219,-11),$B$2:$B$194,"&lt;="&amp;B219),IF('Исходные данные'!$B$88="Пользовательский NOI",N('Исходные данные'!$B$89),R219))/N('Исходные данные'!$B$80)*(1+N('Исходные данные'!$B$81))),0))</f>
        <v>0</v>
      </c>
      <c r="T219">
        <f>-S219*N('Исходные данные'!$B$73)</f>
        <v>0</v>
      </c>
      <c r="U219">
        <f>IF(S219=0,0,-N('Исходные данные'!$B$87)-IF('Исходные данные'!$B$82="Да",IF('Исходные данные'!$B$84="С выручки",S219,IF('Исходные данные'!$B$84="С прибыли",MAX(0,S219+T219-IF('Исходные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19">
        <f t="shared" si="140"/>
        <v>0</v>
      </c>
      <c r="W219">
        <f>IF(D219=1,Расчёты!AZ219+K219+N219+Q219+V219,0)</f>
        <v>0</v>
      </c>
      <c r="X219" t="str">
        <f t="shared" si="128"/>
        <v/>
      </c>
      <c r="Y219">
        <f>IF(OR(D219=0,'Исходные данные'!$B$9="",'Исходные данные'!$B$90=""),0,W219/(1+'Исходные данные'!$B$90)^((C219-'Исходные данные'!$B$9)/365))</f>
        <v>0</v>
      </c>
      <c r="Z219">
        <f>IF(D219=1,K219+Расчёты!O219+Расчёты!Q219+Расчёты!S219+Расчёты!U219+Расчёты!W219+Расчёты!X219+N219+Q219,0)</f>
        <v>0</v>
      </c>
      <c r="AA219">
        <f>IF(AND(D219=1,X219&gt;=0,X218&lt;0,MIN($X$2:X219)&lt;0),1,0)</f>
        <v>0</v>
      </c>
      <c r="AB219">
        <f>IF(Расчёты!F219=0,0,IF(Расчёты!G219=1,N('Сценарный анализ'!$C$5),IF(Расчёты!G219=2,N('Сценарный анализ'!$C$6),IF(Расчёты!G219=3,N('Сценарный анализ'!$C$7),N('Сценарный анализ'!$C$7)*(1+N('Сценарный анализ'!$C$8))^(Расчёты!G219-3)))))</f>
        <v>0</v>
      </c>
      <c r="AC219">
        <f>IF(OR(Расчёты!F219=0,N('Исходные данные'!$B$5)=0,AB219=0),0,N('Исходные данные'!$B$5)*AB219*IF(AND(B219&lt;='Исходные данные'!$B$30,Расчёты!C219&gt;='Исходные данные'!$B$30),(Расчёты!C219-'Исходные данные'!$B$30+1)/DAY(Расчёты!C219),1))</f>
        <v>0</v>
      </c>
      <c r="AD219">
        <f>IF(AND(Расчёты!F219&gt;0,Расчёты!F219&lt;=N('Исходные данные'!$B$37)),-AC219,0)</f>
        <v>0</v>
      </c>
      <c r="AE219">
        <f>IF(OR(Расчёты!F219=0,Расчёты!F219&lt;=N('Исходные данные'!$B$37)),0,-(AC219+AD219)*N('Сценарный анализ'!$C$9))</f>
        <v>0</v>
      </c>
      <c r="AF219">
        <f t="shared" si="141"/>
        <v>0</v>
      </c>
      <c r="AG219">
        <f>IF('Исходные данные'!$B$51="Да",AF219*N('Исходные данные'!$B$52),0)</f>
        <v>0</v>
      </c>
      <c r="AH219">
        <f t="shared" si="142"/>
        <v>0</v>
      </c>
      <c r="AI219">
        <f>AF219+(Расчёты!Y219-Расчёты!L219)</f>
        <v>0</v>
      </c>
      <c r="AJ219">
        <f t="shared" si="129"/>
        <v>0</v>
      </c>
      <c r="AK219">
        <f>IF('Исходные данные'!$B$51="Да",-MAX(0,AG219+Расчёты!R219+Расчёты!V219-Расчёты!P219-Расчёты!T219-AJ219),0)</f>
        <v>0</v>
      </c>
      <c r="AL219">
        <f>IF('Исходные данные'!$B$51="Да",MAX(0,AJ219+Расчёты!P219+Расчёты!T219-AG219-Расчёты!R219-Расчёты!V219),0)</f>
        <v>0</v>
      </c>
      <c r="AM219">
        <f>IF('Исходные данные'!$B$53="Выручка",MAX(0,AF219+(Расчёты!Q219-Расчёты!R219)+(Расчёты!U219-Расчёты!V219)),IF('Исходные данные'!$B$53="Прибыль до налога",MAX(0,AF219+(Расчёты!Q219-Расчёты!R219)+(Расчёты!U219-Расчёты!V219)+N('Исходные данные'!$B$54)*((Расчёты!O219+Расчёты!P219)+(Расчёты!S219+Расчёты!T219)+Расчёты!W219+Расчёты!X219)+IF('Исходные данные'!$B$55="Да",Расчёты!AG219,0)-N('Исходные данные'!$B$56)/12),IF('Исходные данные'!$B$53="Пользовательская база",MAX(0,N('Исходные данные'!$B$57)/12),0)))</f>
        <v>0</v>
      </c>
      <c r="AN219">
        <f>IF(D219=1,-AM219*N('Исходные данные'!$B$50),0)</f>
        <v>0</v>
      </c>
      <c r="AO219">
        <f t="shared" si="130"/>
        <v>0</v>
      </c>
      <c r="AP219">
        <f>IF(OR(D219&lt;&gt;1,B219="",'Исходные данные'!$B$91="",N('Исходные данные'!$B$80)&lt;=0,'Исходные данные'!$B$88=""),0,IF(AND(YEAR(B219)=YEAR('Исходные данные'!$B$91),MONTH(B219)=MONTH('Исходные данные'!$B$91)),MAX(0,IF('Исходные данные'!$B$88="Последние 12 месяцев",SUMIFS($AI$2:$AI$194,$B$2:$B$194,"&gt;="&amp;EDATE(B219,-11),$B$2:$B$194,"&lt;="&amp;B219),IF('Исходные данные'!$B$88="Пользовательский NOI",N('Исходные данные'!$B$89),AO219))/N('Исходные данные'!$B$80)*(1+N('Исходные данные'!$B$81))),0))</f>
        <v>0</v>
      </c>
      <c r="AQ219">
        <f>-AP219*N('Исходные данные'!$B$73)</f>
        <v>0</v>
      </c>
      <c r="AR219">
        <f>IF(AP219=0,0,-N('Исходные данные'!$B$87)-IF('Исходные данные'!$B$82="Да",IF('Исходные данные'!$B$84="С выручки",AP219,IF('Исходные данные'!$B$84="С прибыли",MAX(0,AP219+AQ219-IF('Исходные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19">
        <f t="shared" si="143"/>
        <v>0</v>
      </c>
      <c r="AT219">
        <f>IF(D219=1,Расчёты!AZ219+AH219+AK219+AN219+AS219,0)</f>
        <v>0</v>
      </c>
      <c r="AU219" t="str">
        <f t="shared" si="131"/>
        <v/>
      </c>
      <c r="AV219">
        <f>IF(OR(D219=0,'Исходные данные'!$B$9="",'Исходные данные'!$B$90=""),0,AT219/(1+'Исходные данные'!$B$90)^((C219-'Исходные данные'!$B$9)/365))</f>
        <v>0</v>
      </c>
      <c r="AW219">
        <f>IF(D219=1,AH219+Расчёты!O219+Расчёты!Q219+Расчёты!S219+Расчёты!U219+Расчёты!W219+Расчёты!X219+AK219+AN219,0)</f>
        <v>0</v>
      </c>
      <c r="AX219">
        <f>IF(AND(D219=1,AU219&gt;=0,AU218&lt;0,MIN($AU$2:AU219)&lt;0),1,0)</f>
        <v>0</v>
      </c>
      <c r="AY219">
        <f>IF(Расчёты!F219=0,0,IF(Расчёты!G219=1,N('Сценарный анализ'!$D$5),IF(Расчёты!G219=2,N('Сценарный анализ'!$D$6),IF(Расчёты!G219=3,N('Сценарный анализ'!$D$7),N('Сценарный анализ'!$D$7)*(1+N('Сценарный анализ'!$D$8))^(Расчёты!G219-3)))))</f>
        <v>0</v>
      </c>
      <c r="AZ219">
        <f>IF(OR(Расчёты!F219=0,N('Исходные данные'!$B$5)=0,AY219=0),0,N('Исходные данные'!$B$5)*AY219*IF(AND(B219&lt;='Исходные данные'!$B$30,Расчёты!C219&gt;='Исходные данные'!$B$30),(Расчёты!C219-'Исходные данные'!$B$30+1)/DAY(Расчёты!C219),1))</f>
        <v>0</v>
      </c>
      <c r="BA219">
        <f>IF(AND(Расчёты!F219&gt;0,Расчёты!F219&lt;=N('Исходные данные'!$B$37)),-AZ219,0)</f>
        <v>0</v>
      </c>
      <c r="BB219">
        <f>IF(OR(Расчёты!F219=0,Расчёты!F219&lt;=N('Исходные данные'!$B$37)),0,-(AZ219+BA219)*N('Сценарный анализ'!$D$9))</f>
        <v>0</v>
      </c>
      <c r="BC219">
        <f t="shared" si="144"/>
        <v>0</v>
      </c>
      <c r="BD219">
        <f>IF('Исходные данные'!$B$51="Да",BC219*N('Исходные данные'!$B$52),0)</f>
        <v>0</v>
      </c>
      <c r="BE219">
        <f t="shared" si="145"/>
        <v>0</v>
      </c>
      <c r="BF219">
        <f>BC219+(Расчёты!Y219-Расчёты!L219)</f>
        <v>0</v>
      </c>
      <c r="BG219">
        <f t="shared" si="132"/>
        <v>0</v>
      </c>
      <c r="BH219">
        <f>IF('Исходные данные'!$B$51="Да",-MAX(0,BD219+Расчёты!R219+Расчёты!V219-Расчёты!P219-Расчёты!T219-BG219),0)</f>
        <v>0</v>
      </c>
      <c r="BI219">
        <f>IF('Исходные данные'!$B$51="Да",MAX(0,BG219+Расчёты!P219+Расчёты!T219-BD219-Расчёты!R219-Расчёты!V219),0)</f>
        <v>0</v>
      </c>
      <c r="BJ219">
        <f>IF('Исходные данные'!$B$53="Выручка",MAX(0,BC219+(Расчёты!Q219-Расчёты!R219)+(Расчёты!U219-Расчёты!V219)),IF('Исходные данные'!$B$53="Прибыль до налога",MAX(0,BC219+(Расчёты!Q219-Расчёты!R219)+(Расчёты!U219-Расчёты!V219)+N('Исходные данные'!$B$54)*((Расчёты!O219+Расчёты!P219)+(Расчёты!S219+Расчёты!T219)+Расчёты!W219+Расчёты!X219)+IF('Исходные данные'!$B$55="Да",Расчёты!AG219,0)-N('Исходные данные'!$B$56)/12),IF('Исходные данные'!$B$53="Пользовательская база",MAX(0,N('Исходные данные'!$B$57)/12),0)))</f>
        <v>0</v>
      </c>
      <c r="BK219">
        <f>IF(D219=1,-BJ219*N('Исходные данные'!$B$50),0)</f>
        <v>0</v>
      </c>
      <c r="BL219">
        <f t="shared" si="133"/>
        <v>0</v>
      </c>
      <c r="BM219">
        <f>IF(OR(D219&lt;&gt;1,B219="",'Исходные данные'!$B$91="",N('Исходные данные'!$B$80)&lt;=0,'Исходные данные'!$B$88=""),0,IF(AND(YEAR(B219)=YEAR('Исходные данные'!$B$91),MONTH(B219)=MONTH('Исходные данные'!$B$91)),MAX(0,IF('Исходные данные'!$B$88="Последние 12 месяцев",SUMIFS($BF$2:$BF$194,$B$2:$B$194,"&gt;="&amp;EDATE(B219,-11),$B$2:$B$194,"&lt;="&amp;B219),IF('Исходные данные'!$B$88="Пользовательский NOI",N('Исходные данные'!$B$89),BL219))/N('Исходные данные'!$B$80)*(1+N('Исходные данные'!$B$81))),0))</f>
        <v>0</v>
      </c>
      <c r="BN219">
        <f>-BM219*N('Исходные данные'!$B$73)</f>
        <v>0</v>
      </c>
      <c r="BO219">
        <f>IF(BM219=0,0,-N('Исходные данные'!$B$87)-IF('Исходные данные'!$B$82="Да",IF('Исходные данные'!$B$84="С выручки",BM219,IF('Исходные данные'!$B$84="С прибыли",MAX(0,BM219+BN219-IF('Исходные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19">
        <f t="shared" si="146"/>
        <v>0</v>
      </c>
      <c r="BQ219">
        <f>IF(D219=1,Расчёты!AZ219+BE219+BH219+BK219+BP219,0)</f>
        <v>0</v>
      </c>
      <c r="BR219" t="str">
        <f t="shared" si="134"/>
        <v/>
      </c>
      <c r="BS219">
        <f>IF(OR(D219=0,'Исходные данные'!$B$9="",'Исходные данные'!$B$90=""),0,BQ219/(1+'Исходные данные'!$B$90)^((C219-'Исходные данные'!$B$9)/365))</f>
        <v>0</v>
      </c>
      <c r="BT219">
        <f>IF(D219=1,BE219+Расчёты!O219+Расчёты!Q219+Расчёты!S219+Расчёты!U219+Расчёты!W219+Расчёты!X219+BH219+BK219,0)</f>
        <v>0</v>
      </c>
      <c r="BU219">
        <f>IF(AND(D219=1,BR219&gt;=0,BR218&lt;0,MIN($BR$2:BR219)&lt;0),1,0)</f>
        <v>0</v>
      </c>
      <c r="BV219">
        <f>Расчёты!AZ219+K219+N219-P219*N('Исходные данные'!$B$50)</f>
        <v>0</v>
      </c>
      <c r="BW219">
        <f t="shared" si="135"/>
        <v>0</v>
      </c>
      <c r="BX219">
        <f>IF(AND(BW219&gt;=0,BW218&lt;0,MIN($BW$2:BW219)&lt;0),1,0)</f>
        <v>0</v>
      </c>
      <c r="BY219">
        <f>Расчёты!AZ219+AH219+AK219-AM219*N('Исходные данные'!$B$50)</f>
        <v>0</v>
      </c>
      <c r="BZ219">
        <f t="shared" si="136"/>
        <v>0</v>
      </c>
      <c r="CA219">
        <f>IF(AND(BZ219&gt;=0,BZ218&lt;0,MIN($BZ$2:BZ219)&lt;0),1,0)</f>
        <v>0</v>
      </c>
      <c r="CB219">
        <f>Расчёты!AZ219+BE219+BH219-BJ219*N('Исходные данные'!$B$50)</f>
        <v>0</v>
      </c>
      <c r="CC219">
        <f t="shared" si="137"/>
        <v>0</v>
      </c>
      <c r="CD219">
        <f>IF(AND(CC219&gt;=0,CC218&lt;0,MIN($CC$2:CC219)&lt;0),1,0)</f>
        <v>0</v>
      </c>
    </row>
    <row r="220" spans="1:82" x14ac:dyDescent="0.2">
      <c r="A220">
        <f>Расчёты!A220</f>
        <v>219</v>
      </c>
      <c r="B220" t="str">
        <f>Расчёты!B220</f>
        <v/>
      </c>
      <c r="C220" t="str">
        <f>Расчёты!D220</f>
        <v/>
      </c>
      <c r="D220">
        <f>Расчёты!E220</f>
        <v>0</v>
      </c>
      <c r="E220">
        <f>IF(Расчёты!F220=0,0,IF(Расчёты!G220=1,N('Сценарный анализ'!$B$5),IF(Расчёты!G220=2,N('Сценарный анализ'!$B$6),IF(Расчёты!G220=3,N('Сценарный анализ'!$B$7),N('Сценарный анализ'!$B$7)*(1+N('Сценарный анализ'!$B$8))^(Расчёты!G220-3)))))</f>
        <v>0</v>
      </c>
      <c r="F220">
        <f>IF(OR(Расчёты!F220=0,N('Исходные данные'!$B$5)=0,E220=0),0,N('Исходные данные'!$B$5)*E220*IF(AND(B220&lt;='Исходные данные'!$B$30,Расчёты!C220&gt;='Исходные данные'!$B$30),(Расчёты!C220-'Исходные данные'!$B$30+1)/DAY(Расчёты!C220),1))</f>
        <v>0</v>
      </c>
      <c r="G220">
        <f>IF(AND(Расчёты!F220&gt;0,Расчёты!F220&lt;=N('Исходные данные'!$B$37)),-F220,0)</f>
        <v>0</v>
      </c>
      <c r="H220">
        <f>IF(OR(Расчёты!F220=0,Расчёты!F220&lt;=N('Исходные данные'!$B$37)),0,-(F220+G220)*N('Сценарный анализ'!$B$9))</f>
        <v>0</v>
      </c>
      <c r="I220">
        <f t="shared" si="138"/>
        <v>0</v>
      </c>
      <c r="J220">
        <f>IF('Исходные данные'!$B$51="Да",I220*N('Исходные данные'!$B$52),0)</f>
        <v>0</v>
      </c>
      <c r="K220">
        <f t="shared" si="139"/>
        <v>0</v>
      </c>
      <c r="L220">
        <f>I220+(Расчёты!Y220-Расчёты!L220)</f>
        <v>0</v>
      </c>
      <c r="M220">
        <f t="shared" si="126"/>
        <v>0</v>
      </c>
      <c r="N220">
        <f>IF('Исходные данные'!$B$51="Да",-MAX(0,J220+Расчёты!R220+Расчёты!V220-Расчёты!P220-Расчёты!T220-M220),0)</f>
        <v>0</v>
      </c>
      <c r="O220">
        <f>IF('Исходные данные'!$B$51="Да",MAX(0,M220+Расчёты!P220+Расчёты!T220-J220-Расчёты!R220-Расчёты!V220),0)</f>
        <v>0</v>
      </c>
      <c r="P220">
        <f>IF('Исходные данные'!$B$53="Выручка",MAX(0,I220+(Расчёты!Q220-Расчёты!R220)+(Расчёты!U220-Расчёты!V220)),IF('Исходные данные'!$B$53="Прибыль до налога",MAX(0,I220+(Расчёты!Q220-Расчёты!R220)+(Расчёты!U220-Расчёты!V220)+N('Исходные данные'!$B$54)*((Расчёты!O220+Расчёты!P220)+(Расчёты!S220+Расчёты!T220)+Расчёты!W220+Расчёты!X220)+IF('Исходные данные'!$B$55="Да",Расчёты!AG220,0)-N('Исходные данные'!$B$56)/12),IF('Исходные данные'!$B$53="Пользовательская база",MAX(0,N('Исходные данные'!$B$57)/12),0)))</f>
        <v>0</v>
      </c>
      <c r="Q220">
        <f>IF(D220=1,-P220*N('Исходные данные'!$B$50),0)</f>
        <v>0</v>
      </c>
      <c r="R220">
        <f t="shared" si="127"/>
        <v>0</v>
      </c>
      <c r="S220">
        <f>IF(OR(D220&lt;&gt;1,B220="",'Исходные данные'!$B$91="",N('Исходные данные'!$B$80)&lt;=0,'Исходные данные'!$B$88=""),0,IF(AND(YEAR(B220)=YEAR('Исходные данные'!$B$91),MONTH(B220)=MONTH('Исходные данные'!$B$91)),MAX(0,IF('Исходные данные'!$B$88="Последние 12 месяцев",SUMIFS($L$2:$L$194,$B$2:$B$194,"&gt;="&amp;EDATE(B220,-11),$B$2:$B$194,"&lt;="&amp;B220),IF('Исходные данные'!$B$88="Пользовательский NOI",N('Исходные данные'!$B$89),R220))/N('Исходные данные'!$B$80)*(1+N('Исходные данные'!$B$81))),0))</f>
        <v>0</v>
      </c>
      <c r="T220">
        <f>-S220*N('Исходные данные'!$B$73)</f>
        <v>0</v>
      </c>
      <c r="U220">
        <f>IF(S220=0,0,-N('Исходные данные'!$B$87)-IF('Исходные данные'!$B$82="Да",IF('Исходные данные'!$B$84="С выручки",S220,IF('Исходные данные'!$B$84="С прибыли",MAX(0,S220+T220-IF('Исходные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20">
        <f t="shared" si="140"/>
        <v>0</v>
      </c>
      <c r="W220">
        <f>IF(D220=1,Расчёты!AZ220+K220+N220+Q220+V220,0)</f>
        <v>0</v>
      </c>
      <c r="X220" t="str">
        <f t="shared" si="128"/>
        <v/>
      </c>
      <c r="Y220">
        <f>IF(OR(D220=0,'Исходные данные'!$B$9="",'Исходные данные'!$B$90=""),0,W220/(1+'Исходные данные'!$B$90)^((C220-'Исходные данные'!$B$9)/365))</f>
        <v>0</v>
      </c>
      <c r="Z220">
        <f>IF(D220=1,K220+Расчёты!O220+Расчёты!Q220+Расчёты!S220+Расчёты!U220+Расчёты!W220+Расчёты!X220+N220+Q220,0)</f>
        <v>0</v>
      </c>
      <c r="AA220">
        <f>IF(AND(D220=1,X220&gt;=0,X219&lt;0,MIN($X$2:X220)&lt;0),1,0)</f>
        <v>0</v>
      </c>
      <c r="AB220">
        <f>IF(Расчёты!F220=0,0,IF(Расчёты!G220=1,N('Сценарный анализ'!$C$5),IF(Расчёты!G220=2,N('Сценарный анализ'!$C$6),IF(Расчёты!G220=3,N('Сценарный анализ'!$C$7),N('Сценарный анализ'!$C$7)*(1+N('Сценарный анализ'!$C$8))^(Расчёты!G220-3)))))</f>
        <v>0</v>
      </c>
      <c r="AC220">
        <f>IF(OR(Расчёты!F220=0,N('Исходные данные'!$B$5)=0,AB220=0),0,N('Исходные данные'!$B$5)*AB220*IF(AND(B220&lt;='Исходные данные'!$B$30,Расчёты!C220&gt;='Исходные данные'!$B$30),(Расчёты!C220-'Исходные данные'!$B$30+1)/DAY(Расчёты!C220),1))</f>
        <v>0</v>
      </c>
      <c r="AD220">
        <f>IF(AND(Расчёты!F220&gt;0,Расчёты!F220&lt;=N('Исходные данные'!$B$37)),-AC220,0)</f>
        <v>0</v>
      </c>
      <c r="AE220">
        <f>IF(OR(Расчёты!F220=0,Расчёты!F220&lt;=N('Исходные данные'!$B$37)),0,-(AC220+AD220)*N('Сценарный анализ'!$C$9))</f>
        <v>0</v>
      </c>
      <c r="AF220">
        <f t="shared" si="141"/>
        <v>0</v>
      </c>
      <c r="AG220">
        <f>IF('Исходные данные'!$B$51="Да",AF220*N('Исходные данные'!$B$52),0)</f>
        <v>0</v>
      </c>
      <c r="AH220">
        <f t="shared" si="142"/>
        <v>0</v>
      </c>
      <c r="AI220">
        <f>AF220+(Расчёты!Y220-Расчёты!L220)</f>
        <v>0</v>
      </c>
      <c r="AJ220">
        <f t="shared" si="129"/>
        <v>0</v>
      </c>
      <c r="AK220">
        <f>IF('Исходные данные'!$B$51="Да",-MAX(0,AG220+Расчёты!R220+Расчёты!V220-Расчёты!P220-Расчёты!T220-AJ220),0)</f>
        <v>0</v>
      </c>
      <c r="AL220">
        <f>IF('Исходные данные'!$B$51="Да",MAX(0,AJ220+Расчёты!P220+Расчёты!T220-AG220-Расчёты!R220-Расчёты!V220),0)</f>
        <v>0</v>
      </c>
      <c r="AM220">
        <f>IF('Исходные данные'!$B$53="Выручка",MAX(0,AF220+(Расчёты!Q220-Расчёты!R220)+(Расчёты!U220-Расчёты!V220)),IF('Исходные данные'!$B$53="Прибыль до налога",MAX(0,AF220+(Расчёты!Q220-Расчёты!R220)+(Расчёты!U220-Расчёты!V220)+N('Исходные данные'!$B$54)*((Расчёты!O220+Расчёты!P220)+(Расчёты!S220+Расчёты!T220)+Расчёты!W220+Расчёты!X220)+IF('Исходные данные'!$B$55="Да",Расчёты!AG220,0)-N('Исходные данные'!$B$56)/12),IF('Исходные данные'!$B$53="Пользовательская база",MAX(0,N('Исходные данные'!$B$57)/12),0)))</f>
        <v>0</v>
      </c>
      <c r="AN220">
        <f>IF(D220=1,-AM220*N('Исходные данные'!$B$50),0)</f>
        <v>0</v>
      </c>
      <c r="AO220">
        <f t="shared" si="130"/>
        <v>0</v>
      </c>
      <c r="AP220">
        <f>IF(OR(D220&lt;&gt;1,B220="",'Исходные данные'!$B$91="",N('Исходные данные'!$B$80)&lt;=0,'Исходные данные'!$B$88=""),0,IF(AND(YEAR(B220)=YEAR('Исходные данные'!$B$91),MONTH(B220)=MONTH('Исходные данные'!$B$91)),MAX(0,IF('Исходные данные'!$B$88="Последние 12 месяцев",SUMIFS($AI$2:$AI$194,$B$2:$B$194,"&gt;="&amp;EDATE(B220,-11),$B$2:$B$194,"&lt;="&amp;B220),IF('Исходные данные'!$B$88="Пользовательский NOI",N('Исходные данные'!$B$89),AO220))/N('Исходные данные'!$B$80)*(1+N('Исходные данные'!$B$81))),0))</f>
        <v>0</v>
      </c>
      <c r="AQ220">
        <f>-AP220*N('Исходные данные'!$B$73)</f>
        <v>0</v>
      </c>
      <c r="AR220">
        <f>IF(AP220=0,0,-N('Исходные данные'!$B$87)-IF('Исходные данные'!$B$82="Да",IF('Исходные данные'!$B$84="С выручки",AP220,IF('Исходные данные'!$B$84="С прибыли",MAX(0,AP220+AQ220-IF('Исходные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20">
        <f t="shared" si="143"/>
        <v>0</v>
      </c>
      <c r="AT220">
        <f>IF(D220=1,Расчёты!AZ220+AH220+AK220+AN220+AS220,0)</f>
        <v>0</v>
      </c>
      <c r="AU220" t="str">
        <f t="shared" si="131"/>
        <v/>
      </c>
      <c r="AV220">
        <f>IF(OR(D220=0,'Исходные данные'!$B$9="",'Исходные данные'!$B$90=""),0,AT220/(1+'Исходные данные'!$B$90)^((C220-'Исходные данные'!$B$9)/365))</f>
        <v>0</v>
      </c>
      <c r="AW220">
        <f>IF(D220=1,AH220+Расчёты!O220+Расчёты!Q220+Расчёты!S220+Расчёты!U220+Расчёты!W220+Расчёты!X220+AK220+AN220,0)</f>
        <v>0</v>
      </c>
      <c r="AX220">
        <f>IF(AND(D220=1,AU220&gt;=0,AU219&lt;0,MIN($AU$2:AU220)&lt;0),1,0)</f>
        <v>0</v>
      </c>
      <c r="AY220">
        <f>IF(Расчёты!F220=0,0,IF(Расчёты!G220=1,N('Сценарный анализ'!$D$5),IF(Расчёты!G220=2,N('Сценарный анализ'!$D$6),IF(Расчёты!G220=3,N('Сценарный анализ'!$D$7),N('Сценарный анализ'!$D$7)*(1+N('Сценарный анализ'!$D$8))^(Расчёты!G220-3)))))</f>
        <v>0</v>
      </c>
      <c r="AZ220">
        <f>IF(OR(Расчёты!F220=0,N('Исходные данные'!$B$5)=0,AY220=0),0,N('Исходные данные'!$B$5)*AY220*IF(AND(B220&lt;='Исходные данные'!$B$30,Расчёты!C220&gt;='Исходные данные'!$B$30),(Расчёты!C220-'Исходные данные'!$B$30+1)/DAY(Расчёты!C220),1))</f>
        <v>0</v>
      </c>
      <c r="BA220">
        <f>IF(AND(Расчёты!F220&gt;0,Расчёты!F220&lt;=N('Исходные данные'!$B$37)),-AZ220,0)</f>
        <v>0</v>
      </c>
      <c r="BB220">
        <f>IF(OR(Расчёты!F220=0,Расчёты!F220&lt;=N('Исходные данные'!$B$37)),0,-(AZ220+BA220)*N('Сценарный анализ'!$D$9))</f>
        <v>0</v>
      </c>
      <c r="BC220">
        <f t="shared" si="144"/>
        <v>0</v>
      </c>
      <c r="BD220">
        <f>IF('Исходные данные'!$B$51="Да",BC220*N('Исходные данные'!$B$52),0)</f>
        <v>0</v>
      </c>
      <c r="BE220">
        <f t="shared" si="145"/>
        <v>0</v>
      </c>
      <c r="BF220">
        <f>BC220+(Расчёты!Y220-Расчёты!L220)</f>
        <v>0</v>
      </c>
      <c r="BG220">
        <f t="shared" si="132"/>
        <v>0</v>
      </c>
      <c r="BH220">
        <f>IF('Исходные данные'!$B$51="Да",-MAX(0,BD220+Расчёты!R220+Расчёты!V220-Расчёты!P220-Расчёты!T220-BG220),0)</f>
        <v>0</v>
      </c>
      <c r="BI220">
        <f>IF('Исходные данные'!$B$51="Да",MAX(0,BG220+Расчёты!P220+Расчёты!T220-BD220-Расчёты!R220-Расчёты!V220),0)</f>
        <v>0</v>
      </c>
      <c r="BJ220">
        <f>IF('Исходные данные'!$B$53="Выручка",MAX(0,BC220+(Расчёты!Q220-Расчёты!R220)+(Расчёты!U220-Расчёты!V220)),IF('Исходные данные'!$B$53="Прибыль до налога",MAX(0,BC220+(Расчёты!Q220-Расчёты!R220)+(Расчёты!U220-Расчёты!V220)+N('Исходные данные'!$B$54)*((Расчёты!O220+Расчёты!P220)+(Расчёты!S220+Расчёты!T220)+Расчёты!W220+Расчёты!X220)+IF('Исходные данные'!$B$55="Да",Расчёты!AG220,0)-N('Исходные данные'!$B$56)/12),IF('Исходные данные'!$B$53="Пользовательская база",MAX(0,N('Исходные данные'!$B$57)/12),0)))</f>
        <v>0</v>
      </c>
      <c r="BK220">
        <f>IF(D220=1,-BJ220*N('Исходные данные'!$B$50),0)</f>
        <v>0</v>
      </c>
      <c r="BL220">
        <f t="shared" si="133"/>
        <v>0</v>
      </c>
      <c r="BM220">
        <f>IF(OR(D220&lt;&gt;1,B220="",'Исходные данные'!$B$91="",N('Исходные данные'!$B$80)&lt;=0,'Исходные данные'!$B$88=""),0,IF(AND(YEAR(B220)=YEAR('Исходные данные'!$B$91),MONTH(B220)=MONTH('Исходные данные'!$B$91)),MAX(0,IF('Исходные данные'!$B$88="Последние 12 месяцев",SUMIFS($BF$2:$BF$194,$B$2:$B$194,"&gt;="&amp;EDATE(B220,-11),$B$2:$B$194,"&lt;="&amp;B220),IF('Исходные данные'!$B$88="Пользовательский NOI",N('Исходные данные'!$B$89),BL220))/N('Исходные данные'!$B$80)*(1+N('Исходные данные'!$B$81))),0))</f>
        <v>0</v>
      </c>
      <c r="BN220">
        <f>-BM220*N('Исходные данные'!$B$73)</f>
        <v>0</v>
      </c>
      <c r="BO220">
        <f>IF(BM220=0,0,-N('Исходные данные'!$B$87)-IF('Исходные данные'!$B$82="Да",IF('Исходные данные'!$B$84="С выручки",BM220,IF('Исходные данные'!$B$84="С прибыли",MAX(0,BM220+BN220-IF('Исходные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20">
        <f t="shared" si="146"/>
        <v>0</v>
      </c>
      <c r="BQ220">
        <f>IF(D220=1,Расчёты!AZ220+BE220+BH220+BK220+BP220,0)</f>
        <v>0</v>
      </c>
      <c r="BR220" t="str">
        <f t="shared" si="134"/>
        <v/>
      </c>
      <c r="BS220">
        <f>IF(OR(D220=0,'Исходные данные'!$B$9="",'Исходные данные'!$B$90=""),0,BQ220/(1+'Исходные данные'!$B$90)^((C220-'Исходные данные'!$B$9)/365))</f>
        <v>0</v>
      </c>
      <c r="BT220">
        <f>IF(D220=1,BE220+Расчёты!O220+Расчёты!Q220+Расчёты!S220+Расчёты!U220+Расчёты!W220+Расчёты!X220+BH220+BK220,0)</f>
        <v>0</v>
      </c>
      <c r="BU220">
        <f>IF(AND(D220=1,BR220&gt;=0,BR219&lt;0,MIN($BR$2:BR220)&lt;0),1,0)</f>
        <v>0</v>
      </c>
      <c r="BV220">
        <f>Расчёты!AZ220+K220+N220-P220*N('Исходные данные'!$B$50)</f>
        <v>0</v>
      </c>
      <c r="BW220">
        <f t="shared" si="135"/>
        <v>0</v>
      </c>
      <c r="BX220">
        <f>IF(AND(BW220&gt;=0,BW219&lt;0,MIN($BW$2:BW220)&lt;0),1,0)</f>
        <v>0</v>
      </c>
      <c r="BY220">
        <f>Расчёты!AZ220+AH220+AK220-AM220*N('Исходные данные'!$B$50)</f>
        <v>0</v>
      </c>
      <c r="BZ220">
        <f t="shared" si="136"/>
        <v>0</v>
      </c>
      <c r="CA220">
        <f>IF(AND(BZ220&gt;=0,BZ219&lt;0,MIN($BZ$2:BZ220)&lt;0),1,0)</f>
        <v>0</v>
      </c>
      <c r="CB220">
        <f>Расчёты!AZ220+BE220+BH220-BJ220*N('Исходные данные'!$B$50)</f>
        <v>0</v>
      </c>
      <c r="CC220">
        <f t="shared" si="137"/>
        <v>0</v>
      </c>
      <c r="CD220">
        <f>IF(AND(CC220&gt;=0,CC219&lt;0,MIN($CC$2:CC220)&lt;0),1,0)</f>
        <v>0</v>
      </c>
    </row>
    <row r="221" spans="1:82" x14ac:dyDescent="0.2">
      <c r="A221">
        <f>Расчёты!A221</f>
        <v>220</v>
      </c>
      <c r="B221" t="str">
        <f>Расчёты!B221</f>
        <v/>
      </c>
      <c r="C221" t="str">
        <f>Расчёты!D221</f>
        <v/>
      </c>
      <c r="D221">
        <f>Расчёты!E221</f>
        <v>0</v>
      </c>
      <c r="E221">
        <f>IF(Расчёты!F221=0,0,IF(Расчёты!G221=1,N('Сценарный анализ'!$B$5),IF(Расчёты!G221=2,N('Сценарный анализ'!$B$6),IF(Расчёты!G221=3,N('Сценарный анализ'!$B$7),N('Сценарный анализ'!$B$7)*(1+N('Сценарный анализ'!$B$8))^(Расчёты!G221-3)))))</f>
        <v>0</v>
      </c>
      <c r="F221">
        <f>IF(OR(Расчёты!F221=0,N('Исходные данные'!$B$5)=0,E221=0),0,N('Исходные данные'!$B$5)*E221*IF(AND(B221&lt;='Исходные данные'!$B$30,Расчёты!C221&gt;='Исходные данные'!$B$30),(Расчёты!C221-'Исходные данные'!$B$30+1)/DAY(Расчёты!C221),1))</f>
        <v>0</v>
      </c>
      <c r="G221">
        <f>IF(AND(Расчёты!F221&gt;0,Расчёты!F221&lt;=N('Исходные данные'!$B$37)),-F221,0)</f>
        <v>0</v>
      </c>
      <c r="H221">
        <f>IF(OR(Расчёты!F221=0,Расчёты!F221&lt;=N('Исходные данные'!$B$37)),0,-(F221+G221)*N('Сценарный анализ'!$B$9))</f>
        <v>0</v>
      </c>
      <c r="I221">
        <f t="shared" si="138"/>
        <v>0</v>
      </c>
      <c r="J221">
        <f>IF('Исходные данные'!$B$51="Да",I221*N('Исходные данные'!$B$52),0)</f>
        <v>0</v>
      </c>
      <c r="K221">
        <f t="shared" si="139"/>
        <v>0</v>
      </c>
      <c r="L221">
        <f>I221+(Расчёты!Y221-Расчёты!L221)</f>
        <v>0</v>
      </c>
      <c r="M221">
        <f t="shared" si="126"/>
        <v>0</v>
      </c>
      <c r="N221">
        <f>IF('Исходные данные'!$B$51="Да",-MAX(0,J221+Расчёты!R221+Расчёты!V221-Расчёты!P221-Расчёты!T221-M221),0)</f>
        <v>0</v>
      </c>
      <c r="O221">
        <f>IF('Исходные данные'!$B$51="Да",MAX(0,M221+Расчёты!P221+Расчёты!T221-J221-Расчёты!R221-Расчёты!V221),0)</f>
        <v>0</v>
      </c>
      <c r="P221">
        <f>IF('Исходные данные'!$B$53="Выручка",MAX(0,I221+(Расчёты!Q221-Расчёты!R221)+(Расчёты!U221-Расчёты!V221)),IF('Исходные данные'!$B$53="Прибыль до налога",MAX(0,I221+(Расчёты!Q221-Расчёты!R221)+(Расчёты!U221-Расчёты!V221)+N('Исходные данные'!$B$54)*((Расчёты!O221+Расчёты!P221)+(Расчёты!S221+Расчёты!T221)+Расчёты!W221+Расчёты!X221)+IF('Исходные данные'!$B$55="Да",Расчёты!AG221,0)-N('Исходные данные'!$B$56)/12),IF('Исходные данные'!$B$53="Пользовательская база",MAX(0,N('Исходные данные'!$B$57)/12),0)))</f>
        <v>0</v>
      </c>
      <c r="Q221">
        <f>IF(D221=1,-P221*N('Исходные данные'!$B$50),0)</f>
        <v>0</v>
      </c>
      <c r="R221">
        <f t="shared" si="127"/>
        <v>0</v>
      </c>
      <c r="S221">
        <f>IF(OR(D221&lt;&gt;1,B221="",'Исходные данные'!$B$91="",N('Исходные данные'!$B$80)&lt;=0,'Исходные данные'!$B$88=""),0,IF(AND(YEAR(B221)=YEAR('Исходные данные'!$B$91),MONTH(B221)=MONTH('Исходные данные'!$B$91)),MAX(0,IF('Исходные данные'!$B$88="Последние 12 месяцев",SUMIFS($L$2:$L$194,$B$2:$B$194,"&gt;="&amp;EDATE(B221,-11),$B$2:$B$194,"&lt;="&amp;B221),IF('Исходные данные'!$B$88="Пользовательский NOI",N('Исходные данные'!$B$89),R221))/N('Исходные данные'!$B$80)*(1+N('Исходные данные'!$B$81))),0))</f>
        <v>0</v>
      </c>
      <c r="T221">
        <f>-S221*N('Исходные данные'!$B$73)</f>
        <v>0</v>
      </c>
      <c r="U221">
        <f>IF(S221=0,0,-N('Исходные данные'!$B$87)-IF('Исходные данные'!$B$82="Да",IF('Исходные данные'!$B$84="С выручки",S221,IF('Исходные данные'!$B$84="С прибыли",MAX(0,S221+T221-IF('Исходные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21">
        <f t="shared" si="140"/>
        <v>0</v>
      </c>
      <c r="W221">
        <f>IF(D221=1,Расчёты!AZ221+K221+N221+Q221+V221,0)</f>
        <v>0</v>
      </c>
      <c r="X221" t="str">
        <f t="shared" si="128"/>
        <v/>
      </c>
      <c r="Y221">
        <f>IF(OR(D221=0,'Исходные данные'!$B$9="",'Исходные данные'!$B$90=""),0,W221/(1+'Исходные данные'!$B$90)^((C221-'Исходные данные'!$B$9)/365))</f>
        <v>0</v>
      </c>
      <c r="Z221">
        <f>IF(D221=1,K221+Расчёты!O221+Расчёты!Q221+Расчёты!S221+Расчёты!U221+Расчёты!W221+Расчёты!X221+N221+Q221,0)</f>
        <v>0</v>
      </c>
      <c r="AA221">
        <f>IF(AND(D221=1,X221&gt;=0,X220&lt;0,MIN($X$2:X221)&lt;0),1,0)</f>
        <v>0</v>
      </c>
      <c r="AB221">
        <f>IF(Расчёты!F221=0,0,IF(Расчёты!G221=1,N('Сценарный анализ'!$C$5),IF(Расчёты!G221=2,N('Сценарный анализ'!$C$6),IF(Расчёты!G221=3,N('Сценарный анализ'!$C$7),N('Сценарный анализ'!$C$7)*(1+N('Сценарный анализ'!$C$8))^(Расчёты!G221-3)))))</f>
        <v>0</v>
      </c>
      <c r="AC221">
        <f>IF(OR(Расчёты!F221=0,N('Исходные данные'!$B$5)=0,AB221=0),0,N('Исходные данные'!$B$5)*AB221*IF(AND(B221&lt;='Исходные данные'!$B$30,Расчёты!C221&gt;='Исходные данные'!$B$30),(Расчёты!C221-'Исходные данные'!$B$30+1)/DAY(Расчёты!C221),1))</f>
        <v>0</v>
      </c>
      <c r="AD221">
        <f>IF(AND(Расчёты!F221&gt;0,Расчёты!F221&lt;=N('Исходные данные'!$B$37)),-AC221,0)</f>
        <v>0</v>
      </c>
      <c r="AE221">
        <f>IF(OR(Расчёты!F221=0,Расчёты!F221&lt;=N('Исходные данные'!$B$37)),0,-(AC221+AD221)*N('Сценарный анализ'!$C$9))</f>
        <v>0</v>
      </c>
      <c r="AF221">
        <f t="shared" si="141"/>
        <v>0</v>
      </c>
      <c r="AG221">
        <f>IF('Исходные данные'!$B$51="Да",AF221*N('Исходные данные'!$B$52),0)</f>
        <v>0</v>
      </c>
      <c r="AH221">
        <f t="shared" si="142"/>
        <v>0</v>
      </c>
      <c r="AI221">
        <f>AF221+(Расчёты!Y221-Расчёты!L221)</f>
        <v>0</v>
      </c>
      <c r="AJ221">
        <f t="shared" si="129"/>
        <v>0</v>
      </c>
      <c r="AK221">
        <f>IF('Исходные данные'!$B$51="Да",-MAX(0,AG221+Расчёты!R221+Расчёты!V221-Расчёты!P221-Расчёты!T221-AJ221),0)</f>
        <v>0</v>
      </c>
      <c r="AL221">
        <f>IF('Исходные данные'!$B$51="Да",MAX(0,AJ221+Расчёты!P221+Расчёты!T221-AG221-Расчёты!R221-Расчёты!V221),0)</f>
        <v>0</v>
      </c>
      <c r="AM221">
        <f>IF('Исходные данные'!$B$53="Выручка",MAX(0,AF221+(Расчёты!Q221-Расчёты!R221)+(Расчёты!U221-Расчёты!V221)),IF('Исходные данные'!$B$53="Прибыль до налога",MAX(0,AF221+(Расчёты!Q221-Расчёты!R221)+(Расчёты!U221-Расчёты!V221)+N('Исходные данные'!$B$54)*((Расчёты!O221+Расчёты!P221)+(Расчёты!S221+Расчёты!T221)+Расчёты!W221+Расчёты!X221)+IF('Исходные данные'!$B$55="Да",Расчёты!AG221,0)-N('Исходные данные'!$B$56)/12),IF('Исходные данные'!$B$53="Пользовательская база",MAX(0,N('Исходные данные'!$B$57)/12),0)))</f>
        <v>0</v>
      </c>
      <c r="AN221">
        <f>IF(D221=1,-AM221*N('Исходные данные'!$B$50),0)</f>
        <v>0</v>
      </c>
      <c r="AO221">
        <f t="shared" si="130"/>
        <v>0</v>
      </c>
      <c r="AP221">
        <f>IF(OR(D221&lt;&gt;1,B221="",'Исходные данные'!$B$91="",N('Исходные данные'!$B$80)&lt;=0,'Исходные данные'!$B$88=""),0,IF(AND(YEAR(B221)=YEAR('Исходные данные'!$B$91),MONTH(B221)=MONTH('Исходные данные'!$B$91)),MAX(0,IF('Исходные данные'!$B$88="Последние 12 месяцев",SUMIFS($AI$2:$AI$194,$B$2:$B$194,"&gt;="&amp;EDATE(B221,-11),$B$2:$B$194,"&lt;="&amp;B221),IF('Исходные данные'!$B$88="Пользовательский NOI",N('Исходные данные'!$B$89),AO221))/N('Исходные данные'!$B$80)*(1+N('Исходные данные'!$B$81))),0))</f>
        <v>0</v>
      </c>
      <c r="AQ221">
        <f>-AP221*N('Исходные данные'!$B$73)</f>
        <v>0</v>
      </c>
      <c r="AR221">
        <f>IF(AP221=0,0,-N('Исходные данные'!$B$87)-IF('Исходные данные'!$B$82="Да",IF('Исходные данные'!$B$84="С выручки",AP221,IF('Исходные данные'!$B$84="С прибыли",MAX(0,AP221+AQ221-IF('Исходные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21">
        <f t="shared" si="143"/>
        <v>0</v>
      </c>
      <c r="AT221">
        <f>IF(D221=1,Расчёты!AZ221+AH221+AK221+AN221+AS221,0)</f>
        <v>0</v>
      </c>
      <c r="AU221" t="str">
        <f t="shared" si="131"/>
        <v/>
      </c>
      <c r="AV221">
        <f>IF(OR(D221=0,'Исходные данные'!$B$9="",'Исходные данные'!$B$90=""),0,AT221/(1+'Исходные данные'!$B$90)^((C221-'Исходные данные'!$B$9)/365))</f>
        <v>0</v>
      </c>
      <c r="AW221">
        <f>IF(D221=1,AH221+Расчёты!O221+Расчёты!Q221+Расчёты!S221+Расчёты!U221+Расчёты!W221+Расчёты!X221+AK221+AN221,0)</f>
        <v>0</v>
      </c>
      <c r="AX221">
        <f>IF(AND(D221=1,AU221&gt;=0,AU220&lt;0,MIN($AU$2:AU221)&lt;0),1,0)</f>
        <v>0</v>
      </c>
      <c r="AY221">
        <f>IF(Расчёты!F221=0,0,IF(Расчёты!G221=1,N('Сценарный анализ'!$D$5),IF(Расчёты!G221=2,N('Сценарный анализ'!$D$6),IF(Расчёты!G221=3,N('Сценарный анализ'!$D$7),N('Сценарный анализ'!$D$7)*(1+N('Сценарный анализ'!$D$8))^(Расчёты!G221-3)))))</f>
        <v>0</v>
      </c>
      <c r="AZ221">
        <f>IF(OR(Расчёты!F221=0,N('Исходные данные'!$B$5)=0,AY221=0),0,N('Исходные данные'!$B$5)*AY221*IF(AND(B221&lt;='Исходные данные'!$B$30,Расчёты!C221&gt;='Исходные данные'!$B$30),(Расчёты!C221-'Исходные данные'!$B$30+1)/DAY(Расчёты!C221),1))</f>
        <v>0</v>
      </c>
      <c r="BA221">
        <f>IF(AND(Расчёты!F221&gt;0,Расчёты!F221&lt;=N('Исходные данные'!$B$37)),-AZ221,0)</f>
        <v>0</v>
      </c>
      <c r="BB221">
        <f>IF(OR(Расчёты!F221=0,Расчёты!F221&lt;=N('Исходные данные'!$B$37)),0,-(AZ221+BA221)*N('Сценарный анализ'!$D$9))</f>
        <v>0</v>
      </c>
      <c r="BC221">
        <f t="shared" si="144"/>
        <v>0</v>
      </c>
      <c r="BD221">
        <f>IF('Исходные данные'!$B$51="Да",BC221*N('Исходные данные'!$B$52),0)</f>
        <v>0</v>
      </c>
      <c r="BE221">
        <f t="shared" si="145"/>
        <v>0</v>
      </c>
      <c r="BF221">
        <f>BC221+(Расчёты!Y221-Расчёты!L221)</f>
        <v>0</v>
      </c>
      <c r="BG221">
        <f t="shared" si="132"/>
        <v>0</v>
      </c>
      <c r="BH221">
        <f>IF('Исходные данные'!$B$51="Да",-MAX(0,BD221+Расчёты!R221+Расчёты!V221-Расчёты!P221-Расчёты!T221-BG221),0)</f>
        <v>0</v>
      </c>
      <c r="BI221">
        <f>IF('Исходные данные'!$B$51="Да",MAX(0,BG221+Расчёты!P221+Расчёты!T221-BD221-Расчёты!R221-Расчёты!V221),0)</f>
        <v>0</v>
      </c>
      <c r="BJ221">
        <f>IF('Исходные данные'!$B$53="Выручка",MAX(0,BC221+(Расчёты!Q221-Расчёты!R221)+(Расчёты!U221-Расчёты!V221)),IF('Исходные данные'!$B$53="Прибыль до налога",MAX(0,BC221+(Расчёты!Q221-Расчёты!R221)+(Расчёты!U221-Расчёты!V221)+N('Исходные данные'!$B$54)*((Расчёты!O221+Расчёты!P221)+(Расчёты!S221+Расчёты!T221)+Расчёты!W221+Расчёты!X221)+IF('Исходные данные'!$B$55="Да",Расчёты!AG221,0)-N('Исходные данные'!$B$56)/12),IF('Исходные данные'!$B$53="Пользовательская база",MAX(0,N('Исходные данные'!$B$57)/12),0)))</f>
        <v>0</v>
      </c>
      <c r="BK221">
        <f>IF(D221=1,-BJ221*N('Исходные данные'!$B$50),0)</f>
        <v>0</v>
      </c>
      <c r="BL221">
        <f t="shared" si="133"/>
        <v>0</v>
      </c>
      <c r="BM221">
        <f>IF(OR(D221&lt;&gt;1,B221="",'Исходные данные'!$B$91="",N('Исходные данные'!$B$80)&lt;=0,'Исходные данные'!$B$88=""),0,IF(AND(YEAR(B221)=YEAR('Исходные данные'!$B$91),MONTH(B221)=MONTH('Исходные данные'!$B$91)),MAX(0,IF('Исходные данные'!$B$88="Последние 12 месяцев",SUMIFS($BF$2:$BF$194,$B$2:$B$194,"&gt;="&amp;EDATE(B221,-11),$B$2:$B$194,"&lt;="&amp;B221),IF('Исходные данные'!$B$88="Пользовательский NOI",N('Исходные данные'!$B$89),BL221))/N('Исходные данные'!$B$80)*(1+N('Исходные данные'!$B$81))),0))</f>
        <v>0</v>
      </c>
      <c r="BN221">
        <f>-BM221*N('Исходные данные'!$B$73)</f>
        <v>0</v>
      </c>
      <c r="BO221">
        <f>IF(BM221=0,0,-N('Исходные данные'!$B$87)-IF('Исходные данные'!$B$82="Да",IF('Исходные данные'!$B$84="С выручки",BM221,IF('Исходные данные'!$B$84="С прибыли",MAX(0,BM221+BN221-IF('Исходные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21">
        <f t="shared" si="146"/>
        <v>0</v>
      </c>
      <c r="BQ221">
        <f>IF(D221=1,Расчёты!AZ221+BE221+BH221+BK221+BP221,0)</f>
        <v>0</v>
      </c>
      <c r="BR221" t="str">
        <f t="shared" si="134"/>
        <v/>
      </c>
      <c r="BS221">
        <f>IF(OR(D221=0,'Исходные данные'!$B$9="",'Исходные данные'!$B$90=""),0,BQ221/(1+'Исходные данные'!$B$90)^((C221-'Исходные данные'!$B$9)/365))</f>
        <v>0</v>
      </c>
      <c r="BT221">
        <f>IF(D221=1,BE221+Расчёты!O221+Расчёты!Q221+Расчёты!S221+Расчёты!U221+Расчёты!W221+Расчёты!X221+BH221+BK221,0)</f>
        <v>0</v>
      </c>
      <c r="BU221">
        <f>IF(AND(D221=1,BR221&gt;=0,BR220&lt;0,MIN($BR$2:BR221)&lt;0),1,0)</f>
        <v>0</v>
      </c>
      <c r="BV221">
        <f>Расчёты!AZ221+K221+N221-P221*N('Исходные данные'!$B$50)</f>
        <v>0</v>
      </c>
      <c r="BW221">
        <f t="shared" si="135"/>
        <v>0</v>
      </c>
      <c r="BX221">
        <f>IF(AND(BW221&gt;=0,BW220&lt;0,MIN($BW$2:BW221)&lt;0),1,0)</f>
        <v>0</v>
      </c>
      <c r="BY221">
        <f>Расчёты!AZ221+AH221+AK221-AM221*N('Исходные данные'!$B$50)</f>
        <v>0</v>
      </c>
      <c r="BZ221">
        <f t="shared" si="136"/>
        <v>0</v>
      </c>
      <c r="CA221">
        <f>IF(AND(BZ221&gt;=0,BZ220&lt;0,MIN($BZ$2:BZ221)&lt;0),1,0)</f>
        <v>0</v>
      </c>
      <c r="CB221">
        <f>Расчёты!AZ221+BE221+BH221-BJ221*N('Исходные данные'!$B$50)</f>
        <v>0</v>
      </c>
      <c r="CC221">
        <f t="shared" si="137"/>
        <v>0</v>
      </c>
      <c r="CD221">
        <f>IF(AND(CC221&gt;=0,CC220&lt;0,MIN($CC$2:CC221)&lt;0),1,0)</f>
        <v>0</v>
      </c>
    </row>
    <row r="222" spans="1:82" x14ac:dyDescent="0.2">
      <c r="A222">
        <f>Расчёты!A222</f>
        <v>221</v>
      </c>
      <c r="B222" t="str">
        <f>Расчёты!B222</f>
        <v/>
      </c>
      <c r="C222" t="str">
        <f>Расчёты!D222</f>
        <v/>
      </c>
      <c r="D222">
        <f>Расчёты!E222</f>
        <v>0</v>
      </c>
      <c r="E222">
        <f>IF(Расчёты!F222=0,0,IF(Расчёты!G222=1,N('Сценарный анализ'!$B$5),IF(Расчёты!G222=2,N('Сценарный анализ'!$B$6),IF(Расчёты!G222=3,N('Сценарный анализ'!$B$7),N('Сценарный анализ'!$B$7)*(1+N('Сценарный анализ'!$B$8))^(Расчёты!G222-3)))))</f>
        <v>0</v>
      </c>
      <c r="F222">
        <f>IF(OR(Расчёты!F222=0,N('Исходные данные'!$B$5)=0,E222=0),0,N('Исходные данные'!$B$5)*E222*IF(AND(B222&lt;='Исходные данные'!$B$30,Расчёты!C222&gt;='Исходные данные'!$B$30),(Расчёты!C222-'Исходные данные'!$B$30+1)/DAY(Расчёты!C222),1))</f>
        <v>0</v>
      </c>
      <c r="G222">
        <f>IF(AND(Расчёты!F222&gt;0,Расчёты!F222&lt;=N('Исходные данные'!$B$37)),-F222,0)</f>
        <v>0</v>
      </c>
      <c r="H222">
        <f>IF(OR(Расчёты!F222=0,Расчёты!F222&lt;=N('Исходные данные'!$B$37)),0,-(F222+G222)*N('Сценарный анализ'!$B$9))</f>
        <v>0</v>
      </c>
      <c r="I222">
        <f t="shared" si="138"/>
        <v>0</v>
      </c>
      <c r="J222">
        <f>IF('Исходные данные'!$B$51="Да",I222*N('Исходные данные'!$B$52),0)</f>
        <v>0</v>
      </c>
      <c r="K222">
        <f t="shared" si="139"/>
        <v>0</v>
      </c>
      <c r="L222">
        <f>I222+(Расчёты!Y222-Расчёты!L222)</f>
        <v>0</v>
      </c>
      <c r="M222">
        <f t="shared" si="126"/>
        <v>0</v>
      </c>
      <c r="N222">
        <f>IF('Исходные данные'!$B$51="Да",-MAX(0,J222+Расчёты!R222+Расчёты!V222-Расчёты!P222-Расчёты!T222-M222),0)</f>
        <v>0</v>
      </c>
      <c r="O222">
        <f>IF('Исходные данные'!$B$51="Да",MAX(0,M222+Расчёты!P222+Расчёты!T222-J222-Расчёты!R222-Расчёты!V222),0)</f>
        <v>0</v>
      </c>
      <c r="P222">
        <f>IF('Исходные данные'!$B$53="Выручка",MAX(0,I222+(Расчёты!Q222-Расчёты!R222)+(Расчёты!U222-Расчёты!V222)),IF('Исходные данные'!$B$53="Прибыль до налога",MAX(0,I222+(Расчёты!Q222-Расчёты!R222)+(Расчёты!U222-Расчёты!V222)+N('Исходные данные'!$B$54)*((Расчёты!O222+Расчёты!P222)+(Расчёты!S222+Расчёты!T222)+Расчёты!W222+Расчёты!X222)+IF('Исходные данные'!$B$55="Да",Расчёты!AG222,0)-N('Исходные данные'!$B$56)/12),IF('Исходные данные'!$B$53="Пользовательская база",MAX(0,N('Исходные данные'!$B$57)/12),0)))</f>
        <v>0</v>
      </c>
      <c r="Q222">
        <f>IF(D222=1,-P222*N('Исходные данные'!$B$50),0)</f>
        <v>0</v>
      </c>
      <c r="R222">
        <f t="shared" si="127"/>
        <v>0</v>
      </c>
      <c r="S222">
        <f>IF(OR(D222&lt;&gt;1,B222="",'Исходные данные'!$B$91="",N('Исходные данные'!$B$80)&lt;=0,'Исходные данные'!$B$88=""),0,IF(AND(YEAR(B222)=YEAR('Исходные данные'!$B$91),MONTH(B222)=MONTH('Исходные данные'!$B$91)),MAX(0,IF('Исходные данные'!$B$88="Последние 12 месяцев",SUMIFS($L$2:$L$194,$B$2:$B$194,"&gt;="&amp;EDATE(B222,-11),$B$2:$B$194,"&lt;="&amp;B222),IF('Исходные данные'!$B$88="Пользовательский NOI",N('Исходные данные'!$B$89),R222))/N('Исходные данные'!$B$80)*(1+N('Исходные данные'!$B$81))),0))</f>
        <v>0</v>
      </c>
      <c r="T222">
        <f>-S222*N('Исходные данные'!$B$73)</f>
        <v>0</v>
      </c>
      <c r="U222">
        <f>IF(S222=0,0,-N('Исходные данные'!$B$87)-IF('Исходные данные'!$B$82="Да",IF('Исходные данные'!$B$84="С выручки",S222,IF('Исходные данные'!$B$84="С прибыли",MAX(0,S222+T222-IF('Исходные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22">
        <f t="shared" si="140"/>
        <v>0</v>
      </c>
      <c r="W222">
        <f>IF(D222=1,Расчёты!AZ222+K222+N222+Q222+V222,0)</f>
        <v>0</v>
      </c>
      <c r="X222" t="str">
        <f t="shared" si="128"/>
        <v/>
      </c>
      <c r="Y222">
        <f>IF(OR(D222=0,'Исходные данные'!$B$9="",'Исходные данные'!$B$90=""),0,W222/(1+'Исходные данные'!$B$90)^((C222-'Исходные данные'!$B$9)/365))</f>
        <v>0</v>
      </c>
      <c r="Z222">
        <f>IF(D222=1,K222+Расчёты!O222+Расчёты!Q222+Расчёты!S222+Расчёты!U222+Расчёты!W222+Расчёты!X222+N222+Q222,0)</f>
        <v>0</v>
      </c>
      <c r="AA222">
        <f>IF(AND(D222=1,X222&gt;=0,X221&lt;0,MIN($X$2:X222)&lt;0),1,0)</f>
        <v>0</v>
      </c>
      <c r="AB222">
        <f>IF(Расчёты!F222=0,0,IF(Расчёты!G222=1,N('Сценарный анализ'!$C$5),IF(Расчёты!G222=2,N('Сценарный анализ'!$C$6),IF(Расчёты!G222=3,N('Сценарный анализ'!$C$7),N('Сценарный анализ'!$C$7)*(1+N('Сценарный анализ'!$C$8))^(Расчёты!G222-3)))))</f>
        <v>0</v>
      </c>
      <c r="AC222">
        <f>IF(OR(Расчёты!F222=0,N('Исходные данные'!$B$5)=0,AB222=0),0,N('Исходные данные'!$B$5)*AB222*IF(AND(B222&lt;='Исходные данные'!$B$30,Расчёты!C222&gt;='Исходные данные'!$B$30),(Расчёты!C222-'Исходные данные'!$B$30+1)/DAY(Расчёты!C222),1))</f>
        <v>0</v>
      </c>
      <c r="AD222">
        <f>IF(AND(Расчёты!F222&gt;0,Расчёты!F222&lt;=N('Исходные данные'!$B$37)),-AC222,0)</f>
        <v>0</v>
      </c>
      <c r="AE222">
        <f>IF(OR(Расчёты!F222=0,Расчёты!F222&lt;=N('Исходные данные'!$B$37)),0,-(AC222+AD222)*N('Сценарный анализ'!$C$9))</f>
        <v>0</v>
      </c>
      <c r="AF222">
        <f t="shared" si="141"/>
        <v>0</v>
      </c>
      <c r="AG222">
        <f>IF('Исходные данные'!$B$51="Да",AF222*N('Исходные данные'!$B$52),0)</f>
        <v>0</v>
      </c>
      <c r="AH222">
        <f t="shared" si="142"/>
        <v>0</v>
      </c>
      <c r="AI222">
        <f>AF222+(Расчёты!Y222-Расчёты!L222)</f>
        <v>0</v>
      </c>
      <c r="AJ222">
        <f t="shared" si="129"/>
        <v>0</v>
      </c>
      <c r="AK222">
        <f>IF('Исходные данные'!$B$51="Да",-MAX(0,AG222+Расчёты!R222+Расчёты!V222-Расчёты!P222-Расчёты!T222-AJ222),0)</f>
        <v>0</v>
      </c>
      <c r="AL222">
        <f>IF('Исходные данные'!$B$51="Да",MAX(0,AJ222+Расчёты!P222+Расчёты!T222-AG222-Расчёты!R222-Расчёты!V222),0)</f>
        <v>0</v>
      </c>
      <c r="AM222">
        <f>IF('Исходные данные'!$B$53="Выручка",MAX(0,AF222+(Расчёты!Q222-Расчёты!R222)+(Расчёты!U222-Расчёты!V222)),IF('Исходные данные'!$B$53="Прибыль до налога",MAX(0,AF222+(Расчёты!Q222-Расчёты!R222)+(Расчёты!U222-Расчёты!V222)+N('Исходные данные'!$B$54)*((Расчёты!O222+Расчёты!P222)+(Расчёты!S222+Расчёты!T222)+Расчёты!W222+Расчёты!X222)+IF('Исходные данные'!$B$55="Да",Расчёты!AG222,0)-N('Исходные данные'!$B$56)/12),IF('Исходные данные'!$B$53="Пользовательская база",MAX(0,N('Исходные данные'!$B$57)/12),0)))</f>
        <v>0</v>
      </c>
      <c r="AN222">
        <f>IF(D222=1,-AM222*N('Исходные данные'!$B$50),0)</f>
        <v>0</v>
      </c>
      <c r="AO222">
        <f t="shared" si="130"/>
        <v>0</v>
      </c>
      <c r="AP222">
        <f>IF(OR(D222&lt;&gt;1,B222="",'Исходные данные'!$B$91="",N('Исходные данные'!$B$80)&lt;=0,'Исходные данные'!$B$88=""),0,IF(AND(YEAR(B222)=YEAR('Исходные данные'!$B$91),MONTH(B222)=MONTH('Исходные данные'!$B$91)),MAX(0,IF('Исходные данные'!$B$88="Последние 12 месяцев",SUMIFS($AI$2:$AI$194,$B$2:$B$194,"&gt;="&amp;EDATE(B222,-11),$B$2:$B$194,"&lt;="&amp;B222),IF('Исходные данные'!$B$88="Пользовательский NOI",N('Исходные данные'!$B$89),AO222))/N('Исходные данные'!$B$80)*(1+N('Исходные данные'!$B$81))),0))</f>
        <v>0</v>
      </c>
      <c r="AQ222">
        <f>-AP222*N('Исходные данные'!$B$73)</f>
        <v>0</v>
      </c>
      <c r="AR222">
        <f>IF(AP222=0,0,-N('Исходные данные'!$B$87)-IF('Исходные данные'!$B$82="Да",IF('Исходные данные'!$B$84="С выручки",AP222,IF('Исходные данные'!$B$84="С прибыли",MAX(0,AP222+AQ222-IF('Исходные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22">
        <f t="shared" si="143"/>
        <v>0</v>
      </c>
      <c r="AT222">
        <f>IF(D222=1,Расчёты!AZ222+AH222+AK222+AN222+AS222,0)</f>
        <v>0</v>
      </c>
      <c r="AU222" t="str">
        <f t="shared" si="131"/>
        <v/>
      </c>
      <c r="AV222">
        <f>IF(OR(D222=0,'Исходные данные'!$B$9="",'Исходные данные'!$B$90=""),0,AT222/(1+'Исходные данные'!$B$90)^((C222-'Исходные данные'!$B$9)/365))</f>
        <v>0</v>
      </c>
      <c r="AW222">
        <f>IF(D222=1,AH222+Расчёты!O222+Расчёты!Q222+Расчёты!S222+Расчёты!U222+Расчёты!W222+Расчёты!X222+AK222+AN222,0)</f>
        <v>0</v>
      </c>
      <c r="AX222">
        <f>IF(AND(D222=1,AU222&gt;=0,AU221&lt;0,MIN($AU$2:AU222)&lt;0),1,0)</f>
        <v>0</v>
      </c>
      <c r="AY222">
        <f>IF(Расчёты!F222=0,0,IF(Расчёты!G222=1,N('Сценарный анализ'!$D$5),IF(Расчёты!G222=2,N('Сценарный анализ'!$D$6),IF(Расчёты!G222=3,N('Сценарный анализ'!$D$7),N('Сценарный анализ'!$D$7)*(1+N('Сценарный анализ'!$D$8))^(Расчёты!G222-3)))))</f>
        <v>0</v>
      </c>
      <c r="AZ222">
        <f>IF(OR(Расчёты!F222=0,N('Исходные данные'!$B$5)=0,AY222=0),0,N('Исходные данные'!$B$5)*AY222*IF(AND(B222&lt;='Исходные данные'!$B$30,Расчёты!C222&gt;='Исходные данные'!$B$30),(Расчёты!C222-'Исходные данные'!$B$30+1)/DAY(Расчёты!C222),1))</f>
        <v>0</v>
      </c>
      <c r="BA222">
        <f>IF(AND(Расчёты!F222&gt;0,Расчёты!F222&lt;=N('Исходные данные'!$B$37)),-AZ222,0)</f>
        <v>0</v>
      </c>
      <c r="BB222">
        <f>IF(OR(Расчёты!F222=0,Расчёты!F222&lt;=N('Исходные данные'!$B$37)),0,-(AZ222+BA222)*N('Сценарный анализ'!$D$9))</f>
        <v>0</v>
      </c>
      <c r="BC222">
        <f t="shared" si="144"/>
        <v>0</v>
      </c>
      <c r="BD222">
        <f>IF('Исходные данные'!$B$51="Да",BC222*N('Исходные данные'!$B$52),0)</f>
        <v>0</v>
      </c>
      <c r="BE222">
        <f t="shared" si="145"/>
        <v>0</v>
      </c>
      <c r="BF222">
        <f>BC222+(Расчёты!Y222-Расчёты!L222)</f>
        <v>0</v>
      </c>
      <c r="BG222">
        <f t="shared" si="132"/>
        <v>0</v>
      </c>
      <c r="BH222">
        <f>IF('Исходные данные'!$B$51="Да",-MAX(0,BD222+Расчёты!R222+Расчёты!V222-Расчёты!P222-Расчёты!T222-BG222),0)</f>
        <v>0</v>
      </c>
      <c r="BI222">
        <f>IF('Исходные данные'!$B$51="Да",MAX(0,BG222+Расчёты!P222+Расчёты!T222-BD222-Расчёты!R222-Расчёты!V222),0)</f>
        <v>0</v>
      </c>
      <c r="BJ222">
        <f>IF('Исходные данные'!$B$53="Выручка",MAX(0,BC222+(Расчёты!Q222-Расчёты!R222)+(Расчёты!U222-Расчёты!V222)),IF('Исходные данные'!$B$53="Прибыль до налога",MAX(0,BC222+(Расчёты!Q222-Расчёты!R222)+(Расчёты!U222-Расчёты!V222)+N('Исходные данные'!$B$54)*((Расчёты!O222+Расчёты!P222)+(Расчёты!S222+Расчёты!T222)+Расчёты!W222+Расчёты!X222)+IF('Исходные данные'!$B$55="Да",Расчёты!AG222,0)-N('Исходные данные'!$B$56)/12),IF('Исходные данные'!$B$53="Пользовательская база",MAX(0,N('Исходные данные'!$B$57)/12),0)))</f>
        <v>0</v>
      </c>
      <c r="BK222">
        <f>IF(D222=1,-BJ222*N('Исходные данные'!$B$50),0)</f>
        <v>0</v>
      </c>
      <c r="BL222">
        <f t="shared" si="133"/>
        <v>0</v>
      </c>
      <c r="BM222">
        <f>IF(OR(D222&lt;&gt;1,B222="",'Исходные данные'!$B$91="",N('Исходные данные'!$B$80)&lt;=0,'Исходные данные'!$B$88=""),0,IF(AND(YEAR(B222)=YEAR('Исходные данные'!$B$91),MONTH(B222)=MONTH('Исходные данные'!$B$91)),MAX(0,IF('Исходные данные'!$B$88="Последние 12 месяцев",SUMIFS($BF$2:$BF$194,$B$2:$B$194,"&gt;="&amp;EDATE(B222,-11),$B$2:$B$194,"&lt;="&amp;B222),IF('Исходные данные'!$B$88="Пользовательский NOI",N('Исходные данные'!$B$89),BL222))/N('Исходные данные'!$B$80)*(1+N('Исходные данные'!$B$81))),0))</f>
        <v>0</v>
      </c>
      <c r="BN222">
        <f>-BM222*N('Исходные данные'!$B$73)</f>
        <v>0</v>
      </c>
      <c r="BO222">
        <f>IF(BM222=0,0,-N('Исходные данные'!$B$87)-IF('Исходные данные'!$B$82="Да",IF('Исходные данные'!$B$84="С выручки",BM222,IF('Исходные данные'!$B$84="С прибыли",MAX(0,BM222+BN222-IF('Исходные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22">
        <f t="shared" si="146"/>
        <v>0</v>
      </c>
      <c r="BQ222">
        <f>IF(D222=1,Расчёты!AZ222+BE222+BH222+BK222+BP222,0)</f>
        <v>0</v>
      </c>
      <c r="BR222" t="str">
        <f t="shared" si="134"/>
        <v/>
      </c>
      <c r="BS222">
        <f>IF(OR(D222=0,'Исходные данные'!$B$9="",'Исходные данные'!$B$90=""),0,BQ222/(1+'Исходные данные'!$B$90)^((C222-'Исходные данные'!$B$9)/365))</f>
        <v>0</v>
      </c>
      <c r="BT222">
        <f>IF(D222=1,BE222+Расчёты!O222+Расчёты!Q222+Расчёты!S222+Расчёты!U222+Расчёты!W222+Расчёты!X222+BH222+BK222,0)</f>
        <v>0</v>
      </c>
      <c r="BU222">
        <f>IF(AND(D222=1,BR222&gt;=0,BR221&lt;0,MIN($BR$2:BR222)&lt;0),1,0)</f>
        <v>0</v>
      </c>
      <c r="BV222">
        <f>Расчёты!AZ222+K222+N222-P222*N('Исходные данные'!$B$50)</f>
        <v>0</v>
      </c>
      <c r="BW222">
        <f t="shared" si="135"/>
        <v>0</v>
      </c>
      <c r="BX222">
        <f>IF(AND(BW222&gt;=0,BW221&lt;0,MIN($BW$2:BW222)&lt;0),1,0)</f>
        <v>0</v>
      </c>
      <c r="BY222">
        <f>Расчёты!AZ222+AH222+AK222-AM222*N('Исходные данные'!$B$50)</f>
        <v>0</v>
      </c>
      <c r="BZ222">
        <f t="shared" si="136"/>
        <v>0</v>
      </c>
      <c r="CA222">
        <f>IF(AND(BZ222&gt;=0,BZ221&lt;0,MIN($BZ$2:BZ222)&lt;0),1,0)</f>
        <v>0</v>
      </c>
      <c r="CB222">
        <f>Расчёты!AZ222+BE222+BH222-BJ222*N('Исходные данные'!$B$50)</f>
        <v>0</v>
      </c>
      <c r="CC222">
        <f t="shared" si="137"/>
        <v>0</v>
      </c>
      <c r="CD222">
        <f>IF(AND(CC222&gt;=0,CC221&lt;0,MIN($CC$2:CC222)&lt;0),1,0)</f>
        <v>0</v>
      </c>
    </row>
    <row r="223" spans="1:82" x14ac:dyDescent="0.2">
      <c r="A223">
        <f>Расчёты!A223</f>
        <v>222</v>
      </c>
      <c r="B223" t="str">
        <f>Расчёты!B223</f>
        <v/>
      </c>
      <c r="C223" t="str">
        <f>Расчёты!D223</f>
        <v/>
      </c>
      <c r="D223">
        <f>Расчёты!E223</f>
        <v>0</v>
      </c>
      <c r="E223">
        <f>IF(Расчёты!F223=0,0,IF(Расчёты!G223=1,N('Сценарный анализ'!$B$5),IF(Расчёты!G223=2,N('Сценарный анализ'!$B$6),IF(Расчёты!G223=3,N('Сценарный анализ'!$B$7),N('Сценарный анализ'!$B$7)*(1+N('Сценарный анализ'!$B$8))^(Расчёты!G223-3)))))</f>
        <v>0</v>
      </c>
      <c r="F223">
        <f>IF(OR(Расчёты!F223=0,N('Исходные данные'!$B$5)=0,E223=0),0,N('Исходные данные'!$B$5)*E223*IF(AND(B223&lt;='Исходные данные'!$B$30,Расчёты!C223&gt;='Исходные данные'!$B$30),(Расчёты!C223-'Исходные данные'!$B$30+1)/DAY(Расчёты!C223),1))</f>
        <v>0</v>
      </c>
      <c r="G223">
        <f>IF(AND(Расчёты!F223&gt;0,Расчёты!F223&lt;=N('Исходные данные'!$B$37)),-F223,0)</f>
        <v>0</v>
      </c>
      <c r="H223">
        <f>IF(OR(Расчёты!F223=0,Расчёты!F223&lt;=N('Исходные данные'!$B$37)),0,-(F223+G223)*N('Сценарный анализ'!$B$9))</f>
        <v>0</v>
      </c>
      <c r="I223">
        <f t="shared" si="138"/>
        <v>0</v>
      </c>
      <c r="J223">
        <f>IF('Исходные данные'!$B$51="Да",I223*N('Исходные данные'!$B$52),0)</f>
        <v>0</v>
      </c>
      <c r="K223">
        <f t="shared" si="139"/>
        <v>0</v>
      </c>
      <c r="L223">
        <f>I223+(Расчёты!Y223-Расчёты!L223)</f>
        <v>0</v>
      </c>
      <c r="M223">
        <f t="shared" si="126"/>
        <v>0</v>
      </c>
      <c r="N223">
        <f>IF('Исходные данные'!$B$51="Да",-MAX(0,J223+Расчёты!R223+Расчёты!V223-Расчёты!P223-Расчёты!T223-M223),0)</f>
        <v>0</v>
      </c>
      <c r="O223">
        <f>IF('Исходные данные'!$B$51="Да",MAX(0,M223+Расчёты!P223+Расчёты!T223-J223-Расчёты!R223-Расчёты!V223),0)</f>
        <v>0</v>
      </c>
      <c r="P223">
        <f>IF('Исходные данные'!$B$53="Выручка",MAX(0,I223+(Расчёты!Q223-Расчёты!R223)+(Расчёты!U223-Расчёты!V223)),IF('Исходные данные'!$B$53="Прибыль до налога",MAX(0,I223+(Расчёты!Q223-Расчёты!R223)+(Расчёты!U223-Расчёты!V223)+N('Исходные данные'!$B$54)*((Расчёты!O223+Расчёты!P223)+(Расчёты!S223+Расчёты!T223)+Расчёты!W223+Расчёты!X223)+IF('Исходные данные'!$B$55="Да",Расчёты!AG223,0)-N('Исходные данные'!$B$56)/12),IF('Исходные данные'!$B$53="Пользовательская база",MAX(0,N('Исходные данные'!$B$57)/12),0)))</f>
        <v>0</v>
      </c>
      <c r="Q223">
        <f>IF(D223=1,-P223*N('Исходные данные'!$B$50),0)</f>
        <v>0</v>
      </c>
      <c r="R223">
        <f t="shared" si="127"/>
        <v>0</v>
      </c>
      <c r="S223">
        <f>IF(OR(D223&lt;&gt;1,B223="",'Исходные данные'!$B$91="",N('Исходные данные'!$B$80)&lt;=0,'Исходные данные'!$B$88=""),0,IF(AND(YEAR(B223)=YEAR('Исходные данные'!$B$91),MONTH(B223)=MONTH('Исходные данные'!$B$91)),MAX(0,IF('Исходные данные'!$B$88="Последние 12 месяцев",SUMIFS($L$2:$L$194,$B$2:$B$194,"&gt;="&amp;EDATE(B223,-11),$B$2:$B$194,"&lt;="&amp;B223),IF('Исходные данные'!$B$88="Пользовательский NOI",N('Исходные данные'!$B$89),R223))/N('Исходные данные'!$B$80)*(1+N('Исходные данные'!$B$81))),0))</f>
        <v>0</v>
      </c>
      <c r="T223">
        <f>-S223*N('Исходные данные'!$B$73)</f>
        <v>0</v>
      </c>
      <c r="U223">
        <f>IF(S223=0,0,-N('Исходные данные'!$B$87)-IF('Исходные данные'!$B$82="Да",IF('Исходные данные'!$B$84="С выручки",S223,IF('Исходные данные'!$B$84="С прибыли",MAX(0,S223+T223-IF('Исходные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23">
        <f t="shared" si="140"/>
        <v>0</v>
      </c>
      <c r="W223">
        <f>IF(D223=1,Расчёты!AZ223+K223+N223+Q223+V223,0)</f>
        <v>0</v>
      </c>
      <c r="X223" t="str">
        <f t="shared" si="128"/>
        <v/>
      </c>
      <c r="Y223">
        <f>IF(OR(D223=0,'Исходные данные'!$B$9="",'Исходные данные'!$B$90=""),0,W223/(1+'Исходные данные'!$B$90)^((C223-'Исходные данные'!$B$9)/365))</f>
        <v>0</v>
      </c>
      <c r="Z223">
        <f>IF(D223=1,K223+Расчёты!O223+Расчёты!Q223+Расчёты!S223+Расчёты!U223+Расчёты!W223+Расчёты!X223+N223+Q223,0)</f>
        <v>0</v>
      </c>
      <c r="AA223">
        <f>IF(AND(D223=1,X223&gt;=0,X222&lt;0,MIN($X$2:X223)&lt;0),1,0)</f>
        <v>0</v>
      </c>
      <c r="AB223">
        <f>IF(Расчёты!F223=0,0,IF(Расчёты!G223=1,N('Сценарный анализ'!$C$5),IF(Расчёты!G223=2,N('Сценарный анализ'!$C$6),IF(Расчёты!G223=3,N('Сценарный анализ'!$C$7),N('Сценарный анализ'!$C$7)*(1+N('Сценарный анализ'!$C$8))^(Расчёты!G223-3)))))</f>
        <v>0</v>
      </c>
      <c r="AC223">
        <f>IF(OR(Расчёты!F223=0,N('Исходные данные'!$B$5)=0,AB223=0),0,N('Исходные данные'!$B$5)*AB223*IF(AND(B223&lt;='Исходные данные'!$B$30,Расчёты!C223&gt;='Исходные данные'!$B$30),(Расчёты!C223-'Исходные данные'!$B$30+1)/DAY(Расчёты!C223),1))</f>
        <v>0</v>
      </c>
      <c r="AD223">
        <f>IF(AND(Расчёты!F223&gt;0,Расчёты!F223&lt;=N('Исходные данные'!$B$37)),-AC223,0)</f>
        <v>0</v>
      </c>
      <c r="AE223">
        <f>IF(OR(Расчёты!F223=0,Расчёты!F223&lt;=N('Исходные данные'!$B$37)),0,-(AC223+AD223)*N('Сценарный анализ'!$C$9))</f>
        <v>0</v>
      </c>
      <c r="AF223">
        <f t="shared" si="141"/>
        <v>0</v>
      </c>
      <c r="AG223">
        <f>IF('Исходные данные'!$B$51="Да",AF223*N('Исходные данные'!$B$52),0)</f>
        <v>0</v>
      </c>
      <c r="AH223">
        <f t="shared" si="142"/>
        <v>0</v>
      </c>
      <c r="AI223">
        <f>AF223+(Расчёты!Y223-Расчёты!L223)</f>
        <v>0</v>
      </c>
      <c r="AJ223">
        <f t="shared" si="129"/>
        <v>0</v>
      </c>
      <c r="AK223">
        <f>IF('Исходные данные'!$B$51="Да",-MAX(0,AG223+Расчёты!R223+Расчёты!V223-Расчёты!P223-Расчёты!T223-AJ223),0)</f>
        <v>0</v>
      </c>
      <c r="AL223">
        <f>IF('Исходные данные'!$B$51="Да",MAX(0,AJ223+Расчёты!P223+Расчёты!T223-AG223-Расчёты!R223-Расчёты!V223),0)</f>
        <v>0</v>
      </c>
      <c r="AM223">
        <f>IF('Исходные данные'!$B$53="Выручка",MAX(0,AF223+(Расчёты!Q223-Расчёты!R223)+(Расчёты!U223-Расчёты!V223)),IF('Исходные данные'!$B$53="Прибыль до налога",MAX(0,AF223+(Расчёты!Q223-Расчёты!R223)+(Расчёты!U223-Расчёты!V223)+N('Исходные данные'!$B$54)*((Расчёты!O223+Расчёты!P223)+(Расчёты!S223+Расчёты!T223)+Расчёты!W223+Расчёты!X223)+IF('Исходные данные'!$B$55="Да",Расчёты!AG223,0)-N('Исходные данные'!$B$56)/12),IF('Исходные данные'!$B$53="Пользовательская база",MAX(0,N('Исходные данные'!$B$57)/12),0)))</f>
        <v>0</v>
      </c>
      <c r="AN223">
        <f>IF(D223=1,-AM223*N('Исходные данные'!$B$50),0)</f>
        <v>0</v>
      </c>
      <c r="AO223">
        <f t="shared" si="130"/>
        <v>0</v>
      </c>
      <c r="AP223">
        <f>IF(OR(D223&lt;&gt;1,B223="",'Исходные данные'!$B$91="",N('Исходные данные'!$B$80)&lt;=0,'Исходные данные'!$B$88=""),0,IF(AND(YEAR(B223)=YEAR('Исходные данные'!$B$91),MONTH(B223)=MONTH('Исходные данные'!$B$91)),MAX(0,IF('Исходные данные'!$B$88="Последние 12 месяцев",SUMIFS($AI$2:$AI$194,$B$2:$B$194,"&gt;="&amp;EDATE(B223,-11),$B$2:$B$194,"&lt;="&amp;B223),IF('Исходные данные'!$B$88="Пользовательский NOI",N('Исходные данные'!$B$89),AO223))/N('Исходные данные'!$B$80)*(1+N('Исходные данные'!$B$81))),0))</f>
        <v>0</v>
      </c>
      <c r="AQ223">
        <f>-AP223*N('Исходные данные'!$B$73)</f>
        <v>0</v>
      </c>
      <c r="AR223">
        <f>IF(AP223=0,0,-N('Исходные данные'!$B$87)-IF('Исходные данные'!$B$82="Да",IF('Исходные данные'!$B$84="С выручки",AP223,IF('Исходные данные'!$B$84="С прибыли",MAX(0,AP223+AQ223-IF('Исходные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23">
        <f t="shared" si="143"/>
        <v>0</v>
      </c>
      <c r="AT223">
        <f>IF(D223=1,Расчёты!AZ223+AH223+AK223+AN223+AS223,0)</f>
        <v>0</v>
      </c>
      <c r="AU223" t="str">
        <f t="shared" si="131"/>
        <v/>
      </c>
      <c r="AV223">
        <f>IF(OR(D223=0,'Исходные данные'!$B$9="",'Исходные данные'!$B$90=""),0,AT223/(1+'Исходные данные'!$B$90)^((C223-'Исходные данные'!$B$9)/365))</f>
        <v>0</v>
      </c>
      <c r="AW223">
        <f>IF(D223=1,AH223+Расчёты!O223+Расчёты!Q223+Расчёты!S223+Расчёты!U223+Расчёты!W223+Расчёты!X223+AK223+AN223,0)</f>
        <v>0</v>
      </c>
      <c r="AX223">
        <f>IF(AND(D223=1,AU223&gt;=0,AU222&lt;0,MIN($AU$2:AU223)&lt;0),1,0)</f>
        <v>0</v>
      </c>
      <c r="AY223">
        <f>IF(Расчёты!F223=0,0,IF(Расчёты!G223=1,N('Сценарный анализ'!$D$5),IF(Расчёты!G223=2,N('Сценарный анализ'!$D$6),IF(Расчёты!G223=3,N('Сценарный анализ'!$D$7),N('Сценарный анализ'!$D$7)*(1+N('Сценарный анализ'!$D$8))^(Расчёты!G223-3)))))</f>
        <v>0</v>
      </c>
      <c r="AZ223">
        <f>IF(OR(Расчёты!F223=0,N('Исходные данные'!$B$5)=0,AY223=0),0,N('Исходные данные'!$B$5)*AY223*IF(AND(B223&lt;='Исходные данные'!$B$30,Расчёты!C223&gt;='Исходные данные'!$B$30),(Расчёты!C223-'Исходные данные'!$B$30+1)/DAY(Расчёты!C223),1))</f>
        <v>0</v>
      </c>
      <c r="BA223">
        <f>IF(AND(Расчёты!F223&gt;0,Расчёты!F223&lt;=N('Исходные данные'!$B$37)),-AZ223,0)</f>
        <v>0</v>
      </c>
      <c r="BB223">
        <f>IF(OR(Расчёты!F223=0,Расчёты!F223&lt;=N('Исходные данные'!$B$37)),0,-(AZ223+BA223)*N('Сценарный анализ'!$D$9))</f>
        <v>0</v>
      </c>
      <c r="BC223">
        <f t="shared" si="144"/>
        <v>0</v>
      </c>
      <c r="BD223">
        <f>IF('Исходные данные'!$B$51="Да",BC223*N('Исходные данные'!$B$52),0)</f>
        <v>0</v>
      </c>
      <c r="BE223">
        <f t="shared" si="145"/>
        <v>0</v>
      </c>
      <c r="BF223">
        <f>BC223+(Расчёты!Y223-Расчёты!L223)</f>
        <v>0</v>
      </c>
      <c r="BG223">
        <f t="shared" si="132"/>
        <v>0</v>
      </c>
      <c r="BH223">
        <f>IF('Исходные данные'!$B$51="Да",-MAX(0,BD223+Расчёты!R223+Расчёты!V223-Расчёты!P223-Расчёты!T223-BG223),0)</f>
        <v>0</v>
      </c>
      <c r="BI223">
        <f>IF('Исходные данные'!$B$51="Да",MAX(0,BG223+Расчёты!P223+Расчёты!T223-BD223-Расчёты!R223-Расчёты!V223),0)</f>
        <v>0</v>
      </c>
      <c r="BJ223">
        <f>IF('Исходные данные'!$B$53="Выручка",MAX(0,BC223+(Расчёты!Q223-Расчёты!R223)+(Расчёты!U223-Расчёты!V223)),IF('Исходные данные'!$B$53="Прибыль до налога",MAX(0,BC223+(Расчёты!Q223-Расчёты!R223)+(Расчёты!U223-Расчёты!V223)+N('Исходные данные'!$B$54)*((Расчёты!O223+Расчёты!P223)+(Расчёты!S223+Расчёты!T223)+Расчёты!W223+Расчёты!X223)+IF('Исходные данные'!$B$55="Да",Расчёты!AG223,0)-N('Исходные данные'!$B$56)/12),IF('Исходные данные'!$B$53="Пользовательская база",MAX(0,N('Исходные данные'!$B$57)/12),0)))</f>
        <v>0</v>
      </c>
      <c r="BK223">
        <f>IF(D223=1,-BJ223*N('Исходные данные'!$B$50),0)</f>
        <v>0</v>
      </c>
      <c r="BL223">
        <f t="shared" si="133"/>
        <v>0</v>
      </c>
      <c r="BM223">
        <f>IF(OR(D223&lt;&gt;1,B223="",'Исходные данные'!$B$91="",N('Исходные данные'!$B$80)&lt;=0,'Исходные данные'!$B$88=""),0,IF(AND(YEAR(B223)=YEAR('Исходные данные'!$B$91),MONTH(B223)=MONTH('Исходные данные'!$B$91)),MAX(0,IF('Исходные данные'!$B$88="Последние 12 месяцев",SUMIFS($BF$2:$BF$194,$B$2:$B$194,"&gt;="&amp;EDATE(B223,-11),$B$2:$B$194,"&lt;="&amp;B223),IF('Исходные данные'!$B$88="Пользовательский NOI",N('Исходные данные'!$B$89),BL223))/N('Исходные данные'!$B$80)*(1+N('Исходные данные'!$B$81))),0))</f>
        <v>0</v>
      </c>
      <c r="BN223">
        <f>-BM223*N('Исходные данные'!$B$73)</f>
        <v>0</v>
      </c>
      <c r="BO223">
        <f>IF(BM223=0,0,-N('Исходные данные'!$B$87)-IF('Исходные данные'!$B$82="Да",IF('Исходные данные'!$B$84="С выручки",BM223,IF('Исходные данные'!$B$84="С прибыли",MAX(0,BM223+BN223-IF('Исходные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23">
        <f t="shared" si="146"/>
        <v>0</v>
      </c>
      <c r="BQ223">
        <f>IF(D223=1,Расчёты!AZ223+BE223+BH223+BK223+BP223,0)</f>
        <v>0</v>
      </c>
      <c r="BR223" t="str">
        <f t="shared" si="134"/>
        <v/>
      </c>
      <c r="BS223">
        <f>IF(OR(D223=0,'Исходные данные'!$B$9="",'Исходные данные'!$B$90=""),0,BQ223/(1+'Исходные данные'!$B$90)^((C223-'Исходные данные'!$B$9)/365))</f>
        <v>0</v>
      </c>
      <c r="BT223">
        <f>IF(D223=1,BE223+Расчёты!O223+Расчёты!Q223+Расчёты!S223+Расчёты!U223+Расчёты!W223+Расчёты!X223+BH223+BK223,0)</f>
        <v>0</v>
      </c>
      <c r="BU223">
        <f>IF(AND(D223=1,BR223&gt;=0,BR222&lt;0,MIN($BR$2:BR223)&lt;0),1,0)</f>
        <v>0</v>
      </c>
      <c r="BV223">
        <f>Расчёты!AZ223+K223+N223-P223*N('Исходные данные'!$B$50)</f>
        <v>0</v>
      </c>
      <c r="BW223">
        <f t="shared" si="135"/>
        <v>0</v>
      </c>
      <c r="BX223">
        <f>IF(AND(BW223&gt;=0,BW222&lt;0,MIN($BW$2:BW223)&lt;0),1,0)</f>
        <v>0</v>
      </c>
      <c r="BY223">
        <f>Расчёты!AZ223+AH223+AK223-AM223*N('Исходные данные'!$B$50)</f>
        <v>0</v>
      </c>
      <c r="BZ223">
        <f t="shared" si="136"/>
        <v>0</v>
      </c>
      <c r="CA223">
        <f>IF(AND(BZ223&gt;=0,BZ222&lt;0,MIN($BZ$2:BZ223)&lt;0),1,0)</f>
        <v>0</v>
      </c>
      <c r="CB223">
        <f>Расчёты!AZ223+BE223+BH223-BJ223*N('Исходные данные'!$B$50)</f>
        <v>0</v>
      </c>
      <c r="CC223">
        <f t="shared" si="137"/>
        <v>0</v>
      </c>
      <c r="CD223">
        <f>IF(AND(CC223&gt;=0,CC222&lt;0,MIN($CC$2:CC223)&lt;0),1,0)</f>
        <v>0</v>
      </c>
    </row>
    <row r="224" spans="1:82" x14ac:dyDescent="0.2">
      <c r="A224">
        <f>Расчёты!A224</f>
        <v>223</v>
      </c>
      <c r="B224" t="str">
        <f>Расчёты!B224</f>
        <v/>
      </c>
      <c r="C224" t="str">
        <f>Расчёты!D224</f>
        <v/>
      </c>
      <c r="D224">
        <f>Расчёты!E224</f>
        <v>0</v>
      </c>
      <c r="E224">
        <f>IF(Расчёты!F224=0,0,IF(Расчёты!G224=1,N('Сценарный анализ'!$B$5),IF(Расчёты!G224=2,N('Сценарный анализ'!$B$6),IF(Расчёты!G224=3,N('Сценарный анализ'!$B$7),N('Сценарный анализ'!$B$7)*(1+N('Сценарный анализ'!$B$8))^(Расчёты!G224-3)))))</f>
        <v>0</v>
      </c>
      <c r="F224">
        <f>IF(OR(Расчёты!F224=0,N('Исходные данные'!$B$5)=0,E224=0),0,N('Исходные данные'!$B$5)*E224*IF(AND(B224&lt;='Исходные данные'!$B$30,Расчёты!C224&gt;='Исходные данные'!$B$30),(Расчёты!C224-'Исходные данные'!$B$30+1)/DAY(Расчёты!C224),1))</f>
        <v>0</v>
      </c>
      <c r="G224">
        <f>IF(AND(Расчёты!F224&gt;0,Расчёты!F224&lt;=N('Исходные данные'!$B$37)),-F224,0)</f>
        <v>0</v>
      </c>
      <c r="H224">
        <f>IF(OR(Расчёты!F224=0,Расчёты!F224&lt;=N('Исходные данные'!$B$37)),0,-(F224+G224)*N('Сценарный анализ'!$B$9))</f>
        <v>0</v>
      </c>
      <c r="I224">
        <f t="shared" si="138"/>
        <v>0</v>
      </c>
      <c r="J224">
        <f>IF('Исходные данные'!$B$51="Да",I224*N('Исходные данные'!$B$52),0)</f>
        <v>0</v>
      </c>
      <c r="K224">
        <f t="shared" si="139"/>
        <v>0</v>
      </c>
      <c r="L224">
        <f>I224+(Расчёты!Y224-Расчёты!L224)</f>
        <v>0</v>
      </c>
      <c r="M224">
        <f t="shared" si="126"/>
        <v>0</v>
      </c>
      <c r="N224">
        <f>IF('Исходные данные'!$B$51="Да",-MAX(0,J224+Расчёты!R224+Расчёты!V224-Расчёты!P224-Расчёты!T224-M224),0)</f>
        <v>0</v>
      </c>
      <c r="O224">
        <f>IF('Исходные данные'!$B$51="Да",MAX(0,M224+Расчёты!P224+Расчёты!T224-J224-Расчёты!R224-Расчёты!V224),0)</f>
        <v>0</v>
      </c>
      <c r="P224">
        <f>IF('Исходные данные'!$B$53="Выручка",MAX(0,I224+(Расчёты!Q224-Расчёты!R224)+(Расчёты!U224-Расчёты!V224)),IF('Исходные данные'!$B$53="Прибыль до налога",MAX(0,I224+(Расчёты!Q224-Расчёты!R224)+(Расчёты!U224-Расчёты!V224)+N('Исходные данные'!$B$54)*((Расчёты!O224+Расчёты!P224)+(Расчёты!S224+Расчёты!T224)+Расчёты!W224+Расчёты!X224)+IF('Исходные данные'!$B$55="Да",Расчёты!AG224,0)-N('Исходные данные'!$B$56)/12),IF('Исходные данные'!$B$53="Пользовательская база",MAX(0,N('Исходные данные'!$B$57)/12),0)))</f>
        <v>0</v>
      </c>
      <c r="Q224">
        <f>IF(D224=1,-P224*N('Исходные данные'!$B$50),0)</f>
        <v>0</v>
      </c>
      <c r="R224">
        <f t="shared" si="127"/>
        <v>0</v>
      </c>
      <c r="S224">
        <f>IF(OR(D224&lt;&gt;1,B224="",'Исходные данные'!$B$91="",N('Исходные данные'!$B$80)&lt;=0,'Исходные данные'!$B$88=""),0,IF(AND(YEAR(B224)=YEAR('Исходные данные'!$B$91),MONTH(B224)=MONTH('Исходные данные'!$B$91)),MAX(0,IF('Исходные данные'!$B$88="Последние 12 месяцев",SUMIFS($L$2:$L$194,$B$2:$B$194,"&gt;="&amp;EDATE(B224,-11),$B$2:$B$194,"&lt;="&amp;B224),IF('Исходные данные'!$B$88="Пользовательский NOI",N('Исходные данные'!$B$89),R224))/N('Исходные данные'!$B$80)*(1+N('Исходные данные'!$B$81))),0))</f>
        <v>0</v>
      </c>
      <c r="T224">
        <f>-S224*N('Исходные данные'!$B$73)</f>
        <v>0</v>
      </c>
      <c r="U224">
        <f>IF(S224=0,0,-N('Исходные данные'!$B$87)-IF('Исходные данные'!$B$82="Да",IF('Исходные данные'!$B$84="С выручки",S224,IF('Исходные данные'!$B$84="С прибыли",MAX(0,S224+T224-IF('Исходные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24">
        <f t="shared" si="140"/>
        <v>0</v>
      </c>
      <c r="W224">
        <f>IF(D224=1,Расчёты!AZ224+K224+N224+Q224+V224,0)</f>
        <v>0</v>
      </c>
      <c r="X224" t="str">
        <f t="shared" si="128"/>
        <v/>
      </c>
      <c r="Y224">
        <f>IF(OR(D224=0,'Исходные данные'!$B$9="",'Исходные данные'!$B$90=""),0,W224/(1+'Исходные данные'!$B$90)^((C224-'Исходные данные'!$B$9)/365))</f>
        <v>0</v>
      </c>
      <c r="Z224">
        <f>IF(D224=1,K224+Расчёты!O224+Расчёты!Q224+Расчёты!S224+Расчёты!U224+Расчёты!W224+Расчёты!X224+N224+Q224,0)</f>
        <v>0</v>
      </c>
      <c r="AA224">
        <f>IF(AND(D224=1,X224&gt;=0,X223&lt;0,MIN($X$2:X224)&lt;0),1,0)</f>
        <v>0</v>
      </c>
      <c r="AB224">
        <f>IF(Расчёты!F224=0,0,IF(Расчёты!G224=1,N('Сценарный анализ'!$C$5),IF(Расчёты!G224=2,N('Сценарный анализ'!$C$6),IF(Расчёты!G224=3,N('Сценарный анализ'!$C$7),N('Сценарный анализ'!$C$7)*(1+N('Сценарный анализ'!$C$8))^(Расчёты!G224-3)))))</f>
        <v>0</v>
      </c>
      <c r="AC224">
        <f>IF(OR(Расчёты!F224=0,N('Исходные данные'!$B$5)=0,AB224=0),0,N('Исходные данные'!$B$5)*AB224*IF(AND(B224&lt;='Исходные данные'!$B$30,Расчёты!C224&gt;='Исходные данные'!$B$30),(Расчёты!C224-'Исходные данные'!$B$30+1)/DAY(Расчёты!C224),1))</f>
        <v>0</v>
      </c>
      <c r="AD224">
        <f>IF(AND(Расчёты!F224&gt;0,Расчёты!F224&lt;=N('Исходные данные'!$B$37)),-AC224,0)</f>
        <v>0</v>
      </c>
      <c r="AE224">
        <f>IF(OR(Расчёты!F224=0,Расчёты!F224&lt;=N('Исходные данные'!$B$37)),0,-(AC224+AD224)*N('Сценарный анализ'!$C$9))</f>
        <v>0</v>
      </c>
      <c r="AF224">
        <f t="shared" si="141"/>
        <v>0</v>
      </c>
      <c r="AG224">
        <f>IF('Исходные данные'!$B$51="Да",AF224*N('Исходные данные'!$B$52),0)</f>
        <v>0</v>
      </c>
      <c r="AH224">
        <f t="shared" si="142"/>
        <v>0</v>
      </c>
      <c r="AI224">
        <f>AF224+(Расчёты!Y224-Расчёты!L224)</f>
        <v>0</v>
      </c>
      <c r="AJ224">
        <f t="shared" si="129"/>
        <v>0</v>
      </c>
      <c r="AK224">
        <f>IF('Исходные данные'!$B$51="Да",-MAX(0,AG224+Расчёты!R224+Расчёты!V224-Расчёты!P224-Расчёты!T224-AJ224),0)</f>
        <v>0</v>
      </c>
      <c r="AL224">
        <f>IF('Исходные данные'!$B$51="Да",MAX(0,AJ224+Расчёты!P224+Расчёты!T224-AG224-Расчёты!R224-Расчёты!V224),0)</f>
        <v>0</v>
      </c>
      <c r="AM224">
        <f>IF('Исходные данные'!$B$53="Выручка",MAX(0,AF224+(Расчёты!Q224-Расчёты!R224)+(Расчёты!U224-Расчёты!V224)),IF('Исходные данные'!$B$53="Прибыль до налога",MAX(0,AF224+(Расчёты!Q224-Расчёты!R224)+(Расчёты!U224-Расчёты!V224)+N('Исходные данные'!$B$54)*((Расчёты!O224+Расчёты!P224)+(Расчёты!S224+Расчёты!T224)+Расчёты!W224+Расчёты!X224)+IF('Исходные данные'!$B$55="Да",Расчёты!AG224,0)-N('Исходные данные'!$B$56)/12),IF('Исходные данные'!$B$53="Пользовательская база",MAX(0,N('Исходные данные'!$B$57)/12),0)))</f>
        <v>0</v>
      </c>
      <c r="AN224">
        <f>IF(D224=1,-AM224*N('Исходные данные'!$B$50),0)</f>
        <v>0</v>
      </c>
      <c r="AO224">
        <f t="shared" si="130"/>
        <v>0</v>
      </c>
      <c r="AP224">
        <f>IF(OR(D224&lt;&gt;1,B224="",'Исходные данные'!$B$91="",N('Исходные данные'!$B$80)&lt;=0,'Исходные данные'!$B$88=""),0,IF(AND(YEAR(B224)=YEAR('Исходные данные'!$B$91),MONTH(B224)=MONTH('Исходные данные'!$B$91)),MAX(0,IF('Исходные данные'!$B$88="Последние 12 месяцев",SUMIFS($AI$2:$AI$194,$B$2:$B$194,"&gt;="&amp;EDATE(B224,-11),$B$2:$B$194,"&lt;="&amp;B224),IF('Исходные данные'!$B$88="Пользовательский NOI",N('Исходные данные'!$B$89),AO224))/N('Исходные данные'!$B$80)*(1+N('Исходные данные'!$B$81))),0))</f>
        <v>0</v>
      </c>
      <c r="AQ224">
        <f>-AP224*N('Исходные данные'!$B$73)</f>
        <v>0</v>
      </c>
      <c r="AR224">
        <f>IF(AP224=0,0,-N('Исходные данные'!$B$87)-IF('Исходные данные'!$B$82="Да",IF('Исходные данные'!$B$84="С выручки",AP224,IF('Исходные данные'!$B$84="С прибыли",MAX(0,AP224+AQ224-IF('Исходные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24">
        <f t="shared" si="143"/>
        <v>0</v>
      </c>
      <c r="AT224">
        <f>IF(D224=1,Расчёты!AZ224+AH224+AK224+AN224+AS224,0)</f>
        <v>0</v>
      </c>
      <c r="AU224" t="str">
        <f t="shared" si="131"/>
        <v/>
      </c>
      <c r="AV224">
        <f>IF(OR(D224=0,'Исходные данные'!$B$9="",'Исходные данные'!$B$90=""),0,AT224/(1+'Исходные данные'!$B$90)^((C224-'Исходные данные'!$B$9)/365))</f>
        <v>0</v>
      </c>
      <c r="AW224">
        <f>IF(D224=1,AH224+Расчёты!O224+Расчёты!Q224+Расчёты!S224+Расчёты!U224+Расчёты!W224+Расчёты!X224+AK224+AN224,0)</f>
        <v>0</v>
      </c>
      <c r="AX224">
        <f>IF(AND(D224=1,AU224&gt;=0,AU223&lt;0,MIN($AU$2:AU224)&lt;0),1,0)</f>
        <v>0</v>
      </c>
      <c r="AY224">
        <f>IF(Расчёты!F224=0,0,IF(Расчёты!G224=1,N('Сценарный анализ'!$D$5),IF(Расчёты!G224=2,N('Сценарный анализ'!$D$6),IF(Расчёты!G224=3,N('Сценарный анализ'!$D$7),N('Сценарный анализ'!$D$7)*(1+N('Сценарный анализ'!$D$8))^(Расчёты!G224-3)))))</f>
        <v>0</v>
      </c>
      <c r="AZ224">
        <f>IF(OR(Расчёты!F224=0,N('Исходные данные'!$B$5)=0,AY224=0),0,N('Исходные данные'!$B$5)*AY224*IF(AND(B224&lt;='Исходные данные'!$B$30,Расчёты!C224&gt;='Исходные данные'!$B$30),(Расчёты!C224-'Исходные данные'!$B$30+1)/DAY(Расчёты!C224),1))</f>
        <v>0</v>
      </c>
      <c r="BA224">
        <f>IF(AND(Расчёты!F224&gt;0,Расчёты!F224&lt;=N('Исходные данные'!$B$37)),-AZ224,0)</f>
        <v>0</v>
      </c>
      <c r="BB224">
        <f>IF(OR(Расчёты!F224=0,Расчёты!F224&lt;=N('Исходные данные'!$B$37)),0,-(AZ224+BA224)*N('Сценарный анализ'!$D$9))</f>
        <v>0</v>
      </c>
      <c r="BC224">
        <f t="shared" si="144"/>
        <v>0</v>
      </c>
      <c r="BD224">
        <f>IF('Исходные данные'!$B$51="Да",BC224*N('Исходные данные'!$B$52),0)</f>
        <v>0</v>
      </c>
      <c r="BE224">
        <f t="shared" si="145"/>
        <v>0</v>
      </c>
      <c r="BF224">
        <f>BC224+(Расчёты!Y224-Расчёты!L224)</f>
        <v>0</v>
      </c>
      <c r="BG224">
        <f t="shared" si="132"/>
        <v>0</v>
      </c>
      <c r="BH224">
        <f>IF('Исходные данные'!$B$51="Да",-MAX(0,BD224+Расчёты!R224+Расчёты!V224-Расчёты!P224-Расчёты!T224-BG224),0)</f>
        <v>0</v>
      </c>
      <c r="BI224">
        <f>IF('Исходные данные'!$B$51="Да",MAX(0,BG224+Расчёты!P224+Расчёты!T224-BD224-Расчёты!R224-Расчёты!V224),0)</f>
        <v>0</v>
      </c>
      <c r="BJ224">
        <f>IF('Исходные данные'!$B$53="Выручка",MAX(0,BC224+(Расчёты!Q224-Расчёты!R224)+(Расчёты!U224-Расчёты!V224)),IF('Исходные данные'!$B$53="Прибыль до налога",MAX(0,BC224+(Расчёты!Q224-Расчёты!R224)+(Расчёты!U224-Расчёты!V224)+N('Исходные данные'!$B$54)*((Расчёты!O224+Расчёты!P224)+(Расчёты!S224+Расчёты!T224)+Расчёты!W224+Расчёты!X224)+IF('Исходные данные'!$B$55="Да",Расчёты!AG224,0)-N('Исходные данные'!$B$56)/12),IF('Исходные данные'!$B$53="Пользовательская база",MAX(0,N('Исходные данные'!$B$57)/12),0)))</f>
        <v>0</v>
      </c>
      <c r="BK224">
        <f>IF(D224=1,-BJ224*N('Исходные данные'!$B$50),0)</f>
        <v>0</v>
      </c>
      <c r="BL224">
        <f t="shared" si="133"/>
        <v>0</v>
      </c>
      <c r="BM224">
        <f>IF(OR(D224&lt;&gt;1,B224="",'Исходные данные'!$B$91="",N('Исходные данные'!$B$80)&lt;=0,'Исходные данные'!$B$88=""),0,IF(AND(YEAR(B224)=YEAR('Исходные данные'!$B$91),MONTH(B224)=MONTH('Исходные данные'!$B$91)),MAX(0,IF('Исходные данные'!$B$88="Последние 12 месяцев",SUMIFS($BF$2:$BF$194,$B$2:$B$194,"&gt;="&amp;EDATE(B224,-11),$B$2:$B$194,"&lt;="&amp;B224),IF('Исходные данные'!$B$88="Пользовательский NOI",N('Исходные данные'!$B$89),BL224))/N('Исходные данные'!$B$80)*(1+N('Исходные данные'!$B$81))),0))</f>
        <v>0</v>
      </c>
      <c r="BN224">
        <f>-BM224*N('Исходные данные'!$B$73)</f>
        <v>0</v>
      </c>
      <c r="BO224">
        <f>IF(BM224=0,0,-N('Исходные данные'!$B$87)-IF('Исходные данные'!$B$82="Да",IF('Исходные данные'!$B$84="С выручки",BM224,IF('Исходные данные'!$B$84="С прибыли",MAX(0,BM224+BN224-IF('Исходные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24">
        <f t="shared" si="146"/>
        <v>0</v>
      </c>
      <c r="BQ224">
        <f>IF(D224=1,Расчёты!AZ224+BE224+BH224+BK224+BP224,0)</f>
        <v>0</v>
      </c>
      <c r="BR224" t="str">
        <f t="shared" si="134"/>
        <v/>
      </c>
      <c r="BS224">
        <f>IF(OR(D224=0,'Исходные данные'!$B$9="",'Исходные данные'!$B$90=""),0,BQ224/(1+'Исходные данные'!$B$90)^((C224-'Исходные данные'!$B$9)/365))</f>
        <v>0</v>
      </c>
      <c r="BT224">
        <f>IF(D224=1,BE224+Расчёты!O224+Расчёты!Q224+Расчёты!S224+Расчёты!U224+Расчёты!W224+Расчёты!X224+BH224+BK224,0)</f>
        <v>0</v>
      </c>
      <c r="BU224">
        <f>IF(AND(D224=1,BR224&gt;=0,BR223&lt;0,MIN($BR$2:BR224)&lt;0),1,0)</f>
        <v>0</v>
      </c>
      <c r="BV224">
        <f>Расчёты!AZ224+K224+N224-P224*N('Исходные данные'!$B$50)</f>
        <v>0</v>
      </c>
      <c r="BW224">
        <f t="shared" si="135"/>
        <v>0</v>
      </c>
      <c r="BX224">
        <f>IF(AND(BW224&gt;=0,BW223&lt;0,MIN($BW$2:BW224)&lt;0),1,0)</f>
        <v>0</v>
      </c>
      <c r="BY224">
        <f>Расчёты!AZ224+AH224+AK224-AM224*N('Исходные данные'!$B$50)</f>
        <v>0</v>
      </c>
      <c r="BZ224">
        <f t="shared" si="136"/>
        <v>0</v>
      </c>
      <c r="CA224">
        <f>IF(AND(BZ224&gt;=0,BZ223&lt;0,MIN($BZ$2:BZ224)&lt;0),1,0)</f>
        <v>0</v>
      </c>
      <c r="CB224">
        <f>Расчёты!AZ224+BE224+BH224-BJ224*N('Исходные данные'!$B$50)</f>
        <v>0</v>
      </c>
      <c r="CC224">
        <f t="shared" si="137"/>
        <v>0</v>
      </c>
      <c r="CD224">
        <f>IF(AND(CC224&gt;=0,CC223&lt;0,MIN($CC$2:CC224)&lt;0),1,0)</f>
        <v>0</v>
      </c>
    </row>
    <row r="225" spans="1:82" x14ac:dyDescent="0.2">
      <c r="A225">
        <f>Расчёты!A225</f>
        <v>224</v>
      </c>
      <c r="B225" t="str">
        <f>Расчёты!B225</f>
        <v/>
      </c>
      <c r="C225" t="str">
        <f>Расчёты!D225</f>
        <v/>
      </c>
      <c r="D225">
        <f>Расчёты!E225</f>
        <v>0</v>
      </c>
      <c r="E225">
        <f>IF(Расчёты!F225=0,0,IF(Расчёты!G225=1,N('Сценарный анализ'!$B$5),IF(Расчёты!G225=2,N('Сценарный анализ'!$B$6),IF(Расчёты!G225=3,N('Сценарный анализ'!$B$7),N('Сценарный анализ'!$B$7)*(1+N('Сценарный анализ'!$B$8))^(Расчёты!G225-3)))))</f>
        <v>0</v>
      </c>
      <c r="F225">
        <f>IF(OR(Расчёты!F225=0,N('Исходные данные'!$B$5)=0,E225=0),0,N('Исходные данные'!$B$5)*E225*IF(AND(B225&lt;='Исходные данные'!$B$30,Расчёты!C225&gt;='Исходные данные'!$B$30),(Расчёты!C225-'Исходные данные'!$B$30+1)/DAY(Расчёты!C225),1))</f>
        <v>0</v>
      </c>
      <c r="G225">
        <f>IF(AND(Расчёты!F225&gt;0,Расчёты!F225&lt;=N('Исходные данные'!$B$37)),-F225,0)</f>
        <v>0</v>
      </c>
      <c r="H225">
        <f>IF(OR(Расчёты!F225=0,Расчёты!F225&lt;=N('Исходные данные'!$B$37)),0,-(F225+G225)*N('Сценарный анализ'!$B$9))</f>
        <v>0</v>
      </c>
      <c r="I225">
        <f t="shared" si="138"/>
        <v>0</v>
      </c>
      <c r="J225">
        <f>IF('Исходные данные'!$B$51="Да",I225*N('Исходные данные'!$B$52),0)</f>
        <v>0</v>
      </c>
      <c r="K225">
        <f t="shared" si="139"/>
        <v>0</v>
      </c>
      <c r="L225">
        <f>I225+(Расчёты!Y225-Расчёты!L225)</f>
        <v>0</v>
      </c>
      <c r="M225">
        <f t="shared" si="126"/>
        <v>0</v>
      </c>
      <c r="N225">
        <f>IF('Исходные данные'!$B$51="Да",-MAX(0,J225+Расчёты!R225+Расчёты!V225-Расчёты!P225-Расчёты!T225-M225),0)</f>
        <v>0</v>
      </c>
      <c r="O225">
        <f>IF('Исходные данные'!$B$51="Да",MAX(0,M225+Расчёты!P225+Расчёты!T225-J225-Расчёты!R225-Расчёты!V225),0)</f>
        <v>0</v>
      </c>
      <c r="P225">
        <f>IF('Исходные данные'!$B$53="Выручка",MAX(0,I225+(Расчёты!Q225-Расчёты!R225)+(Расчёты!U225-Расчёты!V225)),IF('Исходные данные'!$B$53="Прибыль до налога",MAX(0,I225+(Расчёты!Q225-Расчёты!R225)+(Расчёты!U225-Расчёты!V225)+N('Исходные данные'!$B$54)*((Расчёты!O225+Расчёты!P225)+(Расчёты!S225+Расчёты!T225)+Расчёты!W225+Расчёты!X225)+IF('Исходные данные'!$B$55="Да",Расчёты!AG225,0)-N('Исходные данные'!$B$56)/12),IF('Исходные данные'!$B$53="Пользовательская база",MAX(0,N('Исходные данные'!$B$57)/12),0)))</f>
        <v>0</v>
      </c>
      <c r="Q225">
        <f>IF(D225=1,-P225*N('Исходные данные'!$B$50),0)</f>
        <v>0</v>
      </c>
      <c r="R225">
        <f t="shared" si="127"/>
        <v>0</v>
      </c>
      <c r="S225">
        <f>IF(OR(D225&lt;&gt;1,B225="",'Исходные данные'!$B$91="",N('Исходные данные'!$B$80)&lt;=0,'Исходные данные'!$B$88=""),0,IF(AND(YEAR(B225)=YEAR('Исходные данные'!$B$91),MONTH(B225)=MONTH('Исходные данные'!$B$91)),MAX(0,IF('Исходные данные'!$B$88="Последние 12 месяцев",SUMIFS($L$2:$L$194,$B$2:$B$194,"&gt;="&amp;EDATE(B225,-11),$B$2:$B$194,"&lt;="&amp;B225),IF('Исходные данные'!$B$88="Пользовательский NOI",N('Исходные данные'!$B$89),R225))/N('Исходные данные'!$B$80)*(1+N('Исходные данные'!$B$81))),0))</f>
        <v>0</v>
      </c>
      <c r="T225">
        <f>-S225*N('Исходные данные'!$B$73)</f>
        <v>0</v>
      </c>
      <c r="U225">
        <f>IF(S225=0,0,-N('Исходные данные'!$B$87)-IF('Исходные данные'!$B$82="Да",IF('Исходные данные'!$B$84="С выручки",S225,IF('Исходные данные'!$B$84="С прибыли",MAX(0,S225+T225-IF('Исходные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25">
        <f t="shared" si="140"/>
        <v>0</v>
      </c>
      <c r="W225">
        <f>IF(D225=1,Расчёты!AZ225+K225+N225+Q225+V225,0)</f>
        <v>0</v>
      </c>
      <c r="X225" t="str">
        <f t="shared" si="128"/>
        <v/>
      </c>
      <c r="Y225">
        <f>IF(OR(D225=0,'Исходные данные'!$B$9="",'Исходные данные'!$B$90=""),0,W225/(1+'Исходные данные'!$B$90)^((C225-'Исходные данные'!$B$9)/365))</f>
        <v>0</v>
      </c>
      <c r="Z225">
        <f>IF(D225=1,K225+Расчёты!O225+Расчёты!Q225+Расчёты!S225+Расчёты!U225+Расчёты!W225+Расчёты!X225+N225+Q225,0)</f>
        <v>0</v>
      </c>
      <c r="AA225">
        <f>IF(AND(D225=1,X225&gt;=0,X224&lt;0,MIN($X$2:X225)&lt;0),1,0)</f>
        <v>0</v>
      </c>
      <c r="AB225">
        <f>IF(Расчёты!F225=0,0,IF(Расчёты!G225=1,N('Сценарный анализ'!$C$5),IF(Расчёты!G225=2,N('Сценарный анализ'!$C$6),IF(Расчёты!G225=3,N('Сценарный анализ'!$C$7),N('Сценарный анализ'!$C$7)*(1+N('Сценарный анализ'!$C$8))^(Расчёты!G225-3)))))</f>
        <v>0</v>
      </c>
      <c r="AC225">
        <f>IF(OR(Расчёты!F225=0,N('Исходные данные'!$B$5)=0,AB225=0),0,N('Исходные данные'!$B$5)*AB225*IF(AND(B225&lt;='Исходные данные'!$B$30,Расчёты!C225&gt;='Исходные данные'!$B$30),(Расчёты!C225-'Исходные данные'!$B$30+1)/DAY(Расчёты!C225),1))</f>
        <v>0</v>
      </c>
      <c r="AD225">
        <f>IF(AND(Расчёты!F225&gt;0,Расчёты!F225&lt;=N('Исходные данные'!$B$37)),-AC225,0)</f>
        <v>0</v>
      </c>
      <c r="AE225">
        <f>IF(OR(Расчёты!F225=0,Расчёты!F225&lt;=N('Исходные данные'!$B$37)),0,-(AC225+AD225)*N('Сценарный анализ'!$C$9))</f>
        <v>0</v>
      </c>
      <c r="AF225">
        <f t="shared" si="141"/>
        <v>0</v>
      </c>
      <c r="AG225">
        <f>IF('Исходные данные'!$B$51="Да",AF225*N('Исходные данные'!$B$52),0)</f>
        <v>0</v>
      </c>
      <c r="AH225">
        <f t="shared" si="142"/>
        <v>0</v>
      </c>
      <c r="AI225">
        <f>AF225+(Расчёты!Y225-Расчёты!L225)</f>
        <v>0</v>
      </c>
      <c r="AJ225">
        <f t="shared" si="129"/>
        <v>0</v>
      </c>
      <c r="AK225">
        <f>IF('Исходные данные'!$B$51="Да",-MAX(0,AG225+Расчёты!R225+Расчёты!V225-Расчёты!P225-Расчёты!T225-AJ225),0)</f>
        <v>0</v>
      </c>
      <c r="AL225">
        <f>IF('Исходные данные'!$B$51="Да",MAX(0,AJ225+Расчёты!P225+Расчёты!T225-AG225-Расчёты!R225-Расчёты!V225),0)</f>
        <v>0</v>
      </c>
      <c r="AM225">
        <f>IF('Исходные данные'!$B$53="Выручка",MAX(0,AF225+(Расчёты!Q225-Расчёты!R225)+(Расчёты!U225-Расчёты!V225)),IF('Исходные данные'!$B$53="Прибыль до налога",MAX(0,AF225+(Расчёты!Q225-Расчёты!R225)+(Расчёты!U225-Расчёты!V225)+N('Исходные данные'!$B$54)*((Расчёты!O225+Расчёты!P225)+(Расчёты!S225+Расчёты!T225)+Расчёты!W225+Расчёты!X225)+IF('Исходные данные'!$B$55="Да",Расчёты!AG225,0)-N('Исходные данные'!$B$56)/12),IF('Исходные данные'!$B$53="Пользовательская база",MAX(0,N('Исходные данные'!$B$57)/12),0)))</f>
        <v>0</v>
      </c>
      <c r="AN225">
        <f>IF(D225=1,-AM225*N('Исходные данные'!$B$50),0)</f>
        <v>0</v>
      </c>
      <c r="AO225">
        <f t="shared" si="130"/>
        <v>0</v>
      </c>
      <c r="AP225">
        <f>IF(OR(D225&lt;&gt;1,B225="",'Исходные данные'!$B$91="",N('Исходные данные'!$B$80)&lt;=0,'Исходные данные'!$B$88=""),0,IF(AND(YEAR(B225)=YEAR('Исходные данные'!$B$91),MONTH(B225)=MONTH('Исходные данные'!$B$91)),MAX(0,IF('Исходные данные'!$B$88="Последние 12 месяцев",SUMIFS($AI$2:$AI$194,$B$2:$B$194,"&gt;="&amp;EDATE(B225,-11),$B$2:$B$194,"&lt;="&amp;B225),IF('Исходные данные'!$B$88="Пользовательский NOI",N('Исходные данные'!$B$89),AO225))/N('Исходные данные'!$B$80)*(1+N('Исходные данные'!$B$81))),0))</f>
        <v>0</v>
      </c>
      <c r="AQ225">
        <f>-AP225*N('Исходные данные'!$B$73)</f>
        <v>0</v>
      </c>
      <c r="AR225">
        <f>IF(AP225=0,0,-N('Исходные данные'!$B$87)-IF('Исходные данные'!$B$82="Да",IF('Исходные данные'!$B$84="С выручки",AP225,IF('Исходные данные'!$B$84="С прибыли",MAX(0,AP225+AQ225-IF('Исходные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25">
        <f t="shared" si="143"/>
        <v>0</v>
      </c>
      <c r="AT225">
        <f>IF(D225=1,Расчёты!AZ225+AH225+AK225+AN225+AS225,0)</f>
        <v>0</v>
      </c>
      <c r="AU225" t="str">
        <f t="shared" si="131"/>
        <v/>
      </c>
      <c r="AV225">
        <f>IF(OR(D225=0,'Исходные данные'!$B$9="",'Исходные данные'!$B$90=""),0,AT225/(1+'Исходные данные'!$B$90)^((C225-'Исходные данные'!$B$9)/365))</f>
        <v>0</v>
      </c>
      <c r="AW225">
        <f>IF(D225=1,AH225+Расчёты!O225+Расчёты!Q225+Расчёты!S225+Расчёты!U225+Расчёты!W225+Расчёты!X225+AK225+AN225,0)</f>
        <v>0</v>
      </c>
      <c r="AX225">
        <f>IF(AND(D225=1,AU225&gt;=0,AU224&lt;0,MIN($AU$2:AU225)&lt;0),1,0)</f>
        <v>0</v>
      </c>
      <c r="AY225">
        <f>IF(Расчёты!F225=0,0,IF(Расчёты!G225=1,N('Сценарный анализ'!$D$5),IF(Расчёты!G225=2,N('Сценарный анализ'!$D$6),IF(Расчёты!G225=3,N('Сценарный анализ'!$D$7),N('Сценарный анализ'!$D$7)*(1+N('Сценарный анализ'!$D$8))^(Расчёты!G225-3)))))</f>
        <v>0</v>
      </c>
      <c r="AZ225">
        <f>IF(OR(Расчёты!F225=0,N('Исходные данные'!$B$5)=0,AY225=0),0,N('Исходные данные'!$B$5)*AY225*IF(AND(B225&lt;='Исходные данные'!$B$30,Расчёты!C225&gt;='Исходные данные'!$B$30),(Расчёты!C225-'Исходные данные'!$B$30+1)/DAY(Расчёты!C225),1))</f>
        <v>0</v>
      </c>
      <c r="BA225">
        <f>IF(AND(Расчёты!F225&gt;0,Расчёты!F225&lt;=N('Исходные данные'!$B$37)),-AZ225,0)</f>
        <v>0</v>
      </c>
      <c r="BB225">
        <f>IF(OR(Расчёты!F225=0,Расчёты!F225&lt;=N('Исходные данные'!$B$37)),0,-(AZ225+BA225)*N('Сценарный анализ'!$D$9))</f>
        <v>0</v>
      </c>
      <c r="BC225">
        <f t="shared" si="144"/>
        <v>0</v>
      </c>
      <c r="BD225">
        <f>IF('Исходные данные'!$B$51="Да",BC225*N('Исходные данные'!$B$52),0)</f>
        <v>0</v>
      </c>
      <c r="BE225">
        <f t="shared" si="145"/>
        <v>0</v>
      </c>
      <c r="BF225">
        <f>BC225+(Расчёты!Y225-Расчёты!L225)</f>
        <v>0</v>
      </c>
      <c r="BG225">
        <f t="shared" si="132"/>
        <v>0</v>
      </c>
      <c r="BH225">
        <f>IF('Исходные данные'!$B$51="Да",-MAX(0,BD225+Расчёты!R225+Расчёты!V225-Расчёты!P225-Расчёты!T225-BG225),0)</f>
        <v>0</v>
      </c>
      <c r="BI225">
        <f>IF('Исходные данные'!$B$51="Да",MAX(0,BG225+Расчёты!P225+Расчёты!T225-BD225-Расчёты!R225-Расчёты!V225),0)</f>
        <v>0</v>
      </c>
      <c r="BJ225">
        <f>IF('Исходные данные'!$B$53="Выручка",MAX(0,BC225+(Расчёты!Q225-Расчёты!R225)+(Расчёты!U225-Расчёты!V225)),IF('Исходные данные'!$B$53="Прибыль до налога",MAX(0,BC225+(Расчёты!Q225-Расчёты!R225)+(Расчёты!U225-Расчёты!V225)+N('Исходные данные'!$B$54)*((Расчёты!O225+Расчёты!P225)+(Расчёты!S225+Расчёты!T225)+Расчёты!W225+Расчёты!X225)+IF('Исходные данные'!$B$55="Да",Расчёты!AG225,0)-N('Исходные данные'!$B$56)/12),IF('Исходные данные'!$B$53="Пользовательская база",MAX(0,N('Исходные данные'!$B$57)/12),0)))</f>
        <v>0</v>
      </c>
      <c r="BK225">
        <f>IF(D225=1,-BJ225*N('Исходные данные'!$B$50),0)</f>
        <v>0</v>
      </c>
      <c r="BL225">
        <f t="shared" si="133"/>
        <v>0</v>
      </c>
      <c r="BM225">
        <f>IF(OR(D225&lt;&gt;1,B225="",'Исходные данные'!$B$91="",N('Исходные данные'!$B$80)&lt;=0,'Исходные данные'!$B$88=""),0,IF(AND(YEAR(B225)=YEAR('Исходные данные'!$B$91),MONTH(B225)=MONTH('Исходные данные'!$B$91)),MAX(0,IF('Исходные данные'!$B$88="Последние 12 месяцев",SUMIFS($BF$2:$BF$194,$B$2:$B$194,"&gt;="&amp;EDATE(B225,-11),$B$2:$B$194,"&lt;="&amp;B225),IF('Исходные данные'!$B$88="Пользовательский NOI",N('Исходные данные'!$B$89),BL225))/N('Исходные данные'!$B$80)*(1+N('Исходные данные'!$B$81))),0))</f>
        <v>0</v>
      </c>
      <c r="BN225">
        <f>-BM225*N('Исходные данные'!$B$73)</f>
        <v>0</v>
      </c>
      <c r="BO225">
        <f>IF(BM225=0,0,-N('Исходные данные'!$B$87)-IF('Исходные данные'!$B$82="Да",IF('Исходные данные'!$B$84="С выручки",BM225,IF('Исходные данные'!$B$84="С прибыли",MAX(0,BM225+BN225-IF('Исходные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25">
        <f t="shared" si="146"/>
        <v>0</v>
      </c>
      <c r="BQ225">
        <f>IF(D225=1,Расчёты!AZ225+BE225+BH225+BK225+BP225,0)</f>
        <v>0</v>
      </c>
      <c r="BR225" t="str">
        <f t="shared" si="134"/>
        <v/>
      </c>
      <c r="BS225">
        <f>IF(OR(D225=0,'Исходные данные'!$B$9="",'Исходные данные'!$B$90=""),0,BQ225/(1+'Исходные данные'!$B$90)^((C225-'Исходные данные'!$B$9)/365))</f>
        <v>0</v>
      </c>
      <c r="BT225">
        <f>IF(D225=1,BE225+Расчёты!O225+Расчёты!Q225+Расчёты!S225+Расчёты!U225+Расчёты!W225+Расчёты!X225+BH225+BK225,0)</f>
        <v>0</v>
      </c>
      <c r="BU225">
        <f>IF(AND(D225=1,BR225&gt;=0,BR224&lt;0,MIN($BR$2:BR225)&lt;0),1,0)</f>
        <v>0</v>
      </c>
      <c r="BV225">
        <f>Расчёты!AZ225+K225+N225-P225*N('Исходные данные'!$B$50)</f>
        <v>0</v>
      </c>
      <c r="BW225">
        <f t="shared" si="135"/>
        <v>0</v>
      </c>
      <c r="BX225">
        <f>IF(AND(BW225&gt;=0,BW224&lt;0,MIN($BW$2:BW225)&lt;0),1,0)</f>
        <v>0</v>
      </c>
      <c r="BY225">
        <f>Расчёты!AZ225+AH225+AK225-AM225*N('Исходные данные'!$B$50)</f>
        <v>0</v>
      </c>
      <c r="BZ225">
        <f t="shared" si="136"/>
        <v>0</v>
      </c>
      <c r="CA225">
        <f>IF(AND(BZ225&gt;=0,BZ224&lt;0,MIN($BZ$2:BZ225)&lt;0),1,0)</f>
        <v>0</v>
      </c>
      <c r="CB225">
        <f>Расчёты!AZ225+BE225+BH225-BJ225*N('Исходные данные'!$B$50)</f>
        <v>0</v>
      </c>
      <c r="CC225">
        <f t="shared" si="137"/>
        <v>0</v>
      </c>
      <c r="CD225">
        <f>IF(AND(CC225&gt;=0,CC224&lt;0,MIN($CC$2:CC225)&lt;0),1,0)</f>
        <v>0</v>
      </c>
    </row>
    <row r="226" spans="1:82" x14ac:dyDescent="0.2">
      <c r="A226">
        <f>Расчёты!A226</f>
        <v>225</v>
      </c>
      <c r="B226" t="str">
        <f>Расчёты!B226</f>
        <v/>
      </c>
      <c r="C226" t="str">
        <f>Расчёты!D226</f>
        <v/>
      </c>
      <c r="D226">
        <f>Расчёты!E226</f>
        <v>0</v>
      </c>
      <c r="E226">
        <f>IF(Расчёты!F226=0,0,IF(Расчёты!G226=1,N('Сценарный анализ'!$B$5),IF(Расчёты!G226=2,N('Сценарный анализ'!$B$6),IF(Расчёты!G226=3,N('Сценарный анализ'!$B$7),N('Сценарный анализ'!$B$7)*(1+N('Сценарный анализ'!$B$8))^(Расчёты!G226-3)))))</f>
        <v>0</v>
      </c>
      <c r="F226">
        <f>IF(OR(Расчёты!F226=0,N('Исходные данные'!$B$5)=0,E226=0),0,N('Исходные данные'!$B$5)*E226*IF(AND(B226&lt;='Исходные данные'!$B$30,Расчёты!C226&gt;='Исходные данные'!$B$30),(Расчёты!C226-'Исходные данные'!$B$30+1)/DAY(Расчёты!C226),1))</f>
        <v>0</v>
      </c>
      <c r="G226">
        <f>IF(AND(Расчёты!F226&gt;0,Расчёты!F226&lt;=N('Исходные данные'!$B$37)),-F226,0)</f>
        <v>0</v>
      </c>
      <c r="H226">
        <f>IF(OR(Расчёты!F226=0,Расчёты!F226&lt;=N('Исходные данные'!$B$37)),0,-(F226+G226)*N('Сценарный анализ'!$B$9))</f>
        <v>0</v>
      </c>
      <c r="I226">
        <f t="shared" si="138"/>
        <v>0</v>
      </c>
      <c r="J226">
        <f>IF('Исходные данные'!$B$51="Да",I226*N('Исходные данные'!$B$52),0)</f>
        <v>0</v>
      </c>
      <c r="K226">
        <f t="shared" si="139"/>
        <v>0</v>
      </c>
      <c r="L226">
        <f>I226+(Расчёты!Y226-Расчёты!L226)</f>
        <v>0</v>
      </c>
      <c r="M226">
        <f t="shared" si="126"/>
        <v>0</v>
      </c>
      <c r="N226">
        <f>IF('Исходные данные'!$B$51="Да",-MAX(0,J226+Расчёты!R226+Расчёты!V226-Расчёты!P226-Расчёты!T226-M226),0)</f>
        <v>0</v>
      </c>
      <c r="O226">
        <f>IF('Исходные данные'!$B$51="Да",MAX(0,M226+Расчёты!P226+Расчёты!T226-J226-Расчёты!R226-Расчёты!V226),0)</f>
        <v>0</v>
      </c>
      <c r="P226">
        <f>IF('Исходные данные'!$B$53="Выручка",MAX(0,I226+(Расчёты!Q226-Расчёты!R226)+(Расчёты!U226-Расчёты!V226)),IF('Исходные данные'!$B$53="Прибыль до налога",MAX(0,I226+(Расчёты!Q226-Расчёты!R226)+(Расчёты!U226-Расчёты!V226)+N('Исходные данные'!$B$54)*((Расчёты!O226+Расчёты!P226)+(Расчёты!S226+Расчёты!T226)+Расчёты!W226+Расчёты!X226)+IF('Исходные данные'!$B$55="Да",Расчёты!AG226,0)-N('Исходные данные'!$B$56)/12),IF('Исходные данные'!$B$53="Пользовательская база",MAX(0,N('Исходные данные'!$B$57)/12),0)))</f>
        <v>0</v>
      </c>
      <c r="Q226">
        <f>IF(D226=1,-P226*N('Исходные данные'!$B$50),0)</f>
        <v>0</v>
      </c>
      <c r="R226">
        <f t="shared" si="127"/>
        <v>0</v>
      </c>
      <c r="S226">
        <f>IF(OR(D226&lt;&gt;1,B226="",'Исходные данные'!$B$91="",N('Исходные данные'!$B$80)&lt;=0,'Исходные данные'!$B$88=""),0,IF(AND(YEAR(B226)=YEAR('Исходные данные'!$B$91),MONTH(B226)=MONTH('Исходные данные'!$B$91)),MAX(0,IF('Исходные данные'!$B$88="Последние 12 месяцев",SUMIFS($L$2:$L$194,$B$2:$B$194,"&gt;="&amp;EDATE(B226,-11),$B$2:$B$194,"&lt;="&amp;B226),IF('Исходные данные'!$B$88="Пользовательский NOI",N('Исходные данные'!$B$89),R226))/N('Исходные данные'!$B$80)*(1+N('Исходные данные'!$B$81))),0))</f>
        <v>0</v>
      </c>
      <c r="T226">
        <f>-S226*N('Исходные данные'!$B$73)</f>
        <v>0</v>
      </c>
      <c r="U226">
        <f>IF(S226=0,0,-N('Исходные данные'!$B$87)-IF('Исходные данные'!$B$82="Да",IF('Исходные данные'!$B$84="С выручки",S226,IF('Исходные данные'!$B$84="С прибыли",MAX(0,S226+T226-IF('Исходные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26">
        <f t="shared" si="140"/>
        <v>0</v>
      </c>
      <c r="W226">
        <f>IF(D226=1,Расчёты!AZ226+K226+N226+Q226+V226,0)</f>
        <v>0</v>
      </c>
      <c r="X226" t="str">
        <f t="shared" si="128"/>
        <v/>
      </c>
      <c r="Y226">
        <f>IF(OR(D226=0,'Исходные данные'!$B$9="",'Исходные данные'!$B$90=""),0,W226/(1+'Исходные данные'!$B$90)^((C226-'Исходные данные'!$B$9)/365))</f>
        <v>0</v>
      </c>
      <c r="Z226">
        <f>IF(D226=1,K226+Расчёты!O226+Расчёты!Q226+Расчёты!S226+Расчёты!U226+Расчёты!W226+Расчёты!X226+N226+Q226,0)</f>
        <v>0</v>
      </c>
      <c r="AA226">
        <f>IF(AND(D226=1,X226&gt;=0,X225&lt;0,MIN($X$2:X226)&lt;0),1,0)</f>
        <v>0</v>
      </c>
      <c r="AB226">
        <f>IF(Расчёты!F226=0,0,IF(Расчёты!G226=1,N('Сценарный анализ'!$C$5),IF(Расчёты!G226=2,N('Сценарный анализ'!$C$6),IF(Расчёты!G226=3,N('Сценарный анализ'!$C$7),N('Сценарный анализ'!$C$7)*(1+N('Сценарный анализ'!$C$8))^(Расчёты!G226-3)))))</f>
        <v>0</v>
      </c>
      <c r="AC226">
        <f>IF(OR(Расчёты!F226=0,N('Исходные данные'!$B$5)=0,AB226=0),0,N('Исходные данные'!$B$5)*AB226*IF(AND(B226&lt;='Исходные данные'!$B$30,Расчёты!C226&gt;='Исходные данные'!$B$30),(Расчёты!C226-'Исходные данные'!$B$30+1)/DAY(Расчёты!C226),1))</f>
        <v>0</v>
      </c>
      <c r="AD226">
        <f>IF(AND(Расчёты!F226&gt;0,Расчёты!F226&lt;=N('Исходные данные'!$B$37)),-AC226,0)</f>
        <v>0</v>
      </c>
      <c r="AE226">
        <f>IF(OR(Расчёты!F226=0,Расчёты!F226&lt;=N('Исходные данные'!$B$37)),0,-(AC226+AD226)*N('Сценарный анализ'!$C$9))</f>
        <v>0</v>
      </c>
      <c r="AF226">
        <f t="shared" si="141"/>
        <v>0</v>
      </c>
      <c r="AG226">
        <f>IF('Исходные данные'!$B$51="Да",AF226*N('Исходные данные'!$B$52),0)</f>
        <v>0</v>
      </c>
      <c r="AH226">
        <f t="shared" si="142"/>
        <v>0</v>
      </c>
      <c r="AI226">
        <f>AF226+(Расчёты!Y226-Расчёты!L226)</f>
        <v>0</v>
      </c>
      <c r="AJ226">
        <f t="shared" si="129"/>
        <v>0</v>
      </c>
      <c r="AK226">
        <f>IF('Исходные данные'!$B$51="Да",-MAX(0,AG226+Расчёты!R226+Расчёты!V226-Расчёты!P226-Расчёты!T226-AJ226),0)</f>
        <v>0</v>
      </c>
      <c r="AL226">
        <f>IF('Исходные данные'!$B$51="Да",MAX(0,AJ226+Расчёты!P226+Расчёты!T226-AG226-Расчёты!R226-Расчёты!V226),0)</f>
        <v>0</v>
      </c>
      <c r="AM226">
        <f>IF('Исходные данные'!$B$53="Выручка",MAX(0,AF226+(Расчёты!Q226-Расчёты!R226)+(Расчёты!U226-Расчёты!V226)),IF('Исходные данные'!$B$53="Прибыль до налога",MAX(0,AF226+(Расчёты!Q226-Расчёты!R226)+(Расчёты!U226-Расчёты!V226)+N('Исходные данные'!$B$54)*((Расчёты!O226+Расчёты!P226)+(Расчёты!S226+Расчёты!T226)+Расчёты!W226+Расчёты!X226)+IF('Исходные данные'!$B$55="Да",Расчёты!AG226,0)-N('Исходные данные'!$B$56)/12),IF('Исходные данные'!$B$53="Пользовательская база",MAX(0,N('Исходные данные'!$B$57)/12),0)))</f>
        <v>0</v>
      </c>
      <c r="AN226">
        <f>IF(D226=1,-AM226*N('Исходные данные'!$B$50),0)</f>
        <v>0</v>
      </c>
      <c r="AO226">
        <f t="shared" si="130"/>
        <v>0</v>
      </c>
      <c r="AP226">
        <f>IF(OR(D226&lt;&gt;1,B226="",'Исходные данные'!$B$91="",N('Исходные данные'!$B$80)&lt;=0,'Исходные данные'!$B$88=""),0,IF(AND(YEAR(B226)=YEAR('Исходные данные'!$B$91),MONTH(B226)=MONTH('Исходные данные'!$B$91)),MAX(0,IF('Исходные данные'!$B$88="Последние 12 месяцев",SUMIFS($AI$2:$AI$194,$B$2:$B$194,"&gt;="&amp;EDATE(B226,-11),$B$2:$B$194,"&lt;="&amp;B226),IF('Исходные данные'!$B$88="Пользовательский NOI",N('Исходные данные'!$B$89),AO226))/N('Исходные данные'!$B$80)*(1+N('Исходные данные'!$B$81))),0))</f>
        <v>0</v>
      </c>
      <c r="AQ226">
        <f>-AP226*N('Исходные данные'!$B$73)</f>
        <v>0</v>
      </c>
      <c r="AR226">
        <f>IF(AP226=0,0,-N('Исходные данные'!$B$87)-IF('Исходные данные'!$B$82="Да",IF('Исходные данные'!$B$84="С выручки",AP226,IF('Исходные данные'!$B$84="С прибыли",MAX(0,AP226+AQ226-IF('Исходные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26">
        <f t="shared" si="143"/>
        <v>0</v>
      </c>
      <c r="AT226">
        <f>IF(D226=1,Расчёты!AZ226+AH226+AK226+AN226+AS226,0)</f>
        <v>0</v>
      </c>
      <c r="AU226" t="str">
        <f t="shared" si="131"/>
        <v/>
      </c>
      <c r="AV226">
        <f>IF(OR(D226=0,'Исходные данные'!$B$9="",'Исходные данные'!$B$90=""),0,AT226/(1+'Исходные данные'!$B$90)^((C226-'Исходные данные'!$B$9)/365))</f>
        <v>0</v>
      </c>
      <c r="AW226">
        <f>IF(D226=1,AH226+Расчёты!O226+Расчёты!Q226+Расчёты!S226+Расчёты!U226+Расчёты!W226+Расчёты!X226+AK226+AN226,0)</f>
        <v>0</v>
      </c>
      <c r="AX226">
        <f>IF(AND(D226=1,AU226&gt;=0,AU225&lt;0,MIN($AU$2:AU226)&lt;0),1,0)</f>
        <v>0</v>
      </c>
      <c r="AY226">
        <f>IF(Расчёты!F226=0,0,IF(Расчёты!G226=1,N('Сценарный анализ'!$D$5),IF(Расчёты!G226=2,N('Сценарный анализ'!$D$6),IF(Расчёты!G226=3,N('Сценарный анализ'!$D$7),N('Сценарный анализ'!$D$7)*(1+N('Сценарный анализ'!$D$8))^(Расчёты!G226-3)))))</f>
        <v>0</v>
      </c>
      <c r="AZ226">
        <f>IF(OR(Расчёты!F226=0,N('Исходные данные'!$B$5)=0,AY226=0),0,N('Исходные данные'!$B$5)*AY226*IF(AND(B226&lt;='Исходные данные'!$B$30,Расчёты!C226&gt;='Исходные данные'!$B$30),(Расчёты!C226-'Исходные данные'!$B$30+1)/DAY(Расчёты!C226),1))</f>
        <v>0</v>
      </c>
      <c r="BA226">
        <f>IF(AND(Расчёты!F226&gt;0,Расчёты!F226&lt;=N('Исходные данные'!$B$37)),-AZ226,0)</f>
        <v>0</v>
      </c>
      <c r="BB226">
        <f>IF(OR(Расчёты!F226=0,Расчёты!F226&lt;=N('Исходные данные'!$B$37)),0,-(AZ226+BA226)*N('Сценарный анализ'!$D$9))</f>
        <v>0</v>
      </c>
      <c r="BC226">
        <f t="shared" si="144"/>
        <v>0</v>
      </c>
      <c r="BD226">
        <f>IF('Исходные данные'!$B$51="Да",BC226*N('Исходные данные'!$B$52),0)</f>
        <v>0</v>
      </c>
      <c r="BE226">
        <f t="shared" si="145"/>
        <v>0</v>
      </c>
      <c r="BF226">
        <f>BC226+(Расчёты!Y226-Расчёты!L226)</f>
        <v>0</v>
      </c>
      <c r="BG226">
        <f t="shared" si="132"/>
        <v>0</v>
      </c>
      <c r="BH226">
        <f>IF('Исходные данные'!$B$51="Да",-MAX(0,BD226+Расчёты!R226+Расчёты!V226-Расчёты!P226-Расчёты!T226-BG226),0)</f>
        <v>0</v>
      </c>
      <c r="BI226">
        <f>IF('Исходные данные'!$B$51="Да",MAX(0,BG226+Расчёты!P226+Расчёты!T226-BD226-Расчёты!R226-Расчёты!V226),0)</f>
        <v>0</v>
      </c>
      <c r="BJ226">
        <f>IF('Исходные данные'!$B$53="Выручка",MAX(0,BC226+(Расчёты!Q226-Расчёты!R226)+(Расчёты!U226-Расчёты!V226)),IF('Исходные данные'!$B$53="Прибыль до налога",MAX(0,BC226+(Расчёты!Q226-Расчёты!R226)+(Расчёты!U226-Расчёты!V226)+N('Исходные данные'!$B$54)*((Расчёты!O226+Расчёты!P226)+(Расчёты!S226+Расчёты!T226)+Расчёты!W226+Расчёты!X226)+IF('Исходные данные'!$B$55="Да",Расчёты!AG226,0)-N('Исходные данные'!$B$56)/12),IF('Исходные данные'!$B$53="Пользовательская база",MAX(0,N('Исходные данные'!$B$57)/12),0)))</f>
        <v>0</v>
      </c>
      <c r="BK226">
        <f>IF(D226=1,-BJ226*N('Исходные данные'!$B$50),0)</f>
        <v>0</v>
      </c>
      <c r="BL226">
        <f t="shared" si="133"/>
        <v>0</v>
      </c>
      <c r="BM226">
        <f>IF(OR(D226&lt;&gt;1,B226="",'Исходные данные'!$B$91="",N('Исходные данные'!$B$80)&lt;=0,'Исходные данные'!$B$88=""),0,IF(AND(YEAR(B226)=YEAR('Исходные данные'!$B$91),MONTH(B226)=MONTH('Исходные данные'!$B$91)),MAX(0,IF('Исходные данные'!$B$88="Последние 12 месяцев",SUMIFS($BF$2:$BF$194,$B$2:$B$194,"&gt;="&amp;EDATE(B226,-11),$B$2:$B$194,"&lt;="&amp;B226),IF('Исходные данные'!$B$88="Пользовательский NOI",N('Исходные данные'!$B$89),BL226))/N('Исходные данные'!$B$80)*(1+N('Исходные данные'!$B$81))),0))</f>
        <v>0</v>
      </c>
      <c r="BN226">
        <f>-BM226*N('Исходные данные'!$B$73)</f>
        <v>0</v>
      </c>
      <c r="BO226">
        <f>IF(BM226=0,0,-N('Исходные данные'!$B$87)-IF('Исходные данные'!$B$82="Да",IF('Исходные данные'!$B$84="С выручки",BM226,IF('Исходные данные'!$B$84="С прибыли",MAX(0,BM226+BN226-IF('Исходные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26">
        <f t="shared" si="146"/>
        <v>0</v>
      </c>
      <c r="BQ226">
        <f>IF(D226=1,Расчёты!AZ226+BE226+BH226+BK226+BP226,0)</f>
        <v>0</v>
      </c>
      <c r="BR226" t="str">
        <f t="shared" si="134"/>
        <v/>
      </c>
      <c r="BS226">
        <f>IF(OR(D226=0,'Исходные данные'!$B$9="",'Исходные данные'!$B$90=""),0,BQ226/(1+'Исходные данные'!$B$90)^((C226-'Исходные данные'!$B$9)/365))</f>
        <v>0</v>
      </c>
      <c r="BT226">
        <f>IF(D226=1,BE226+Расчёты!O226+Расчёты!Q226+Расчёты!S226+Расчёты!U226+Расчёты!W226+Расчёты!X226+BH226+BK226,0)</f>
        <v>0</v>
      </c>
      <c r="BU226">
        <f>IF(AND(D226=1,BR226&gt;=0,BR225&lt;0,MIN($BR$2:BR226)&lt;0),1,0)</f>
        <v>0</v>
      </c>
      <c r="BV226">
        <f>Расчёты!AZ226+K226+N226-P226*N('Исходные данные'!$B$50)</f>
        <v>0</v>
      </c>
      <c r="BW226">
        <f t="shared" si="135"/>
        <v>0</v>
      </c>
      <c r="BX226">
        <f>IF(AND(BW226&gt;=0,BW225&lt;0,MIN($BW$2:BW226)&lt;0),1,0)</f>
        <v>0</v>
      </c>
      <c r="BY226">
        <f>Расчёты!AZ226+AH226+AK226-AM226*N('Исходные данные'!$B$50)</f>
        <v>0</v>
      </c>
      <c r="BZ226">
        <f t="shared" si="136"/>
        <v>0</v>
      </c>
      <c r="CA226">
        <f>IF(AND(BZ226&gt;=0,BZ225&lt;0,MIN($BZ$2:BZ226)&lt;0),1,0)</f>
        <v>0</v>
      </c>
      <c r="CB226">
        <f>Расчёты!AZ226+BE226+BH226-BJ226*N('Исходные данные'!$B$50)</f>
        <v>0</v>
      </c>
      <c r="CC226">
        <f t="shared" si="137"/>
        <v>0</v>
      </c>
      <c r="CD226">
        <f>IF(AND(CC226&gt;=0,CC225&lt;0,MIN($CC$2:CC226)&lt;0),1,0)</f>
        <v>0</v>
      </c>
    </row>
    <row r="227" spans="1:82" x14ac:dyDescent="0.2">
      <c r="A227">
        <f>Расчёты!A227</f>
        <v>226</v>
      </c>
      <c r="B227" t="str">
        <f>Расчёты!B227</f>
        <v/>
      </c>
      <c r="C227" t="str">
        <f>Расчёты!D227</f>
        <v/>
      </c>
      <c r="D227">
        <f>Расчёты!E227</f>
        <v>0</v>
      </c>
      <c r="E227">
        <f>IF(Расчёты!F227=0,0,IF(Расчёты!G227=1,N('Сценарный анализ'!$B$5),IF(Расчёты!G227=2,N('Сценарный анализ'!$B$6),IF(Расчёты!G227=3,N('Сценарный анализ'!$B$7),N('Сценарный анализ'!$B$7)*(1+N('Сценарный анализ'!$B$8))^(Расчёты!G227-3)))))</f>
        <v>0</v>
      </c>
      <c r="F227">
        <f>IF(OR(Расчёты!F227=0,N('Исходные данные'!$B$5)=0,E227=0),0,N('Исходные данные'!$B$5)*E227*IF(AND(B227&lt;='Исходные данные'!$B$30,Расчёты!C227&gt;='Исходные данные'!$B$30),(Расчёты!C227-'Исходные данные'!$B$30+1)/DAY(Расчёты!C227),1))</f>
        <v>0</v>
      </c>
      <c r="G227">
        <f>IF(AND(Расчёты!F227&gt;0,Расчёты!F227&lt;=N('Исходные данные'!$B$37)),-F227,0)</f>
        <v>0</v>
      </c>
      <c r="H227">
        <f>IF(OR(Расчёты!F227=0,Расчёты!F227&lt;=N('Исходные данные'!$B$37)),0,-(F227+G227)*N('Сценарный анализ'!$B$9))</f>
        <v>0</v>
      </c>
      <c r="I227">
        <f t="shared" si="138"/>
        <v>0</v>
      </c>
      <c r="J227">
        <f>IF('Исходные данные'!$B$51="Да",I227*N('Исходные данные'!$B$52),0)</f>
        <v>0</v>
      </c>
      <c r="K227">
        <f t="shared" si="139"/>
        <v>0</v>
      </c>
      <c r="L227">
        <f>I227+(Расчёты!Y227-Расчёты!L227)</f>
        <v>0</v>
      </c>
      <c r="M227">
        <f t="shared" si="126"/>
        <v>0</v>
      </c>
      <c r="N227">
        <f>IF('Исходные данные'!$B$51="Да",-MAX(0,J227+Расчёты!R227+Расчёты!V227-Расчёты!P227-Расчёты!T227-M227),0)</f>
        <v>0</v>
      </c>
      <c r="O227">
        <f>IF('Исходные данные'!$B$51="Да",MAX(0,M227+Расчёты!P227+Расчёты!T227-J227-Расчёты!R227-Расчёты!V227),0)</f>
        <v>0</v>
      </c>
      <c r="P227">
        <f>IF('Исходные данные'!$B$53="Выручка",MAX(0,I227+(Расчёты!Q227-Расчёты!R227)+(Расчёты!U227-Расчёты!V227)),IF('Исходные данные'!$B$53="Прибыль до налога",MAX(0,I227+(Расчёты!Q227-Расчёты!R227)+(Расчёты!U227-Расчёты!V227)+N('Исходные данные'!$B$54)*((Расчёты!O227+Расчёты!P227)+(Расчёты!S227+Расчёты!T227)+Расчёты!W227+Расчёты!X227)+IF('Исходные данные'!$B$55="Да",Расчёты!AG227,0)-N('Исходные данные'!$B$56)/12),IF('Исходные данные'!$B$53="Пользовательская база",MAX(0,N('Исходные данные'!$B$57)/12),0)))</f>
        <v>0</v>
      </c>
      <c r="Q227">
        <f>IF(D227=1,-P227*N('Исходные данные'!$B$50),0)</f>
        <v>0</v>
      </c>
      <c r="R227">
        <f t="shared" si="127"/>
        <v>0</v>
      </c>
      <c r="S227">
        <f>IF(OR(D227&lt;&gt;1,B227="",'Исходные данные'!$B$91="",N('Исходные данные'!$B$80)&lt;=0,'Исходные данные'!$B$88=""),0,IF(AND(YEAR(B227)=YEAR('Исходные данные'!$B$91),MONTH(B227)=MONTH('Исходные данные'!$B$91)),MAX(0,IF('Исходные данные'!$B$88="Последние 12 месяцев",SUMIFS($L$2:$L$194,$B$2:$B$194,"&gt;="&amp;EDATE(B227,-11),$B$2:$B$194,"&lt;="&amp;B227),IF('Исходные данные'!$B$88="Пользовательский NOI",N('Исходные данные'!$B$89),R227))/N('Исходные данные'!$B$80)*(1+N('Исходные данные'!$B$81))),0))</f>
        <v>0</v>
      </c>
      <c r="T227">
        <f>-S227*N('Исходные данные'!$B$73)</f>
        <v>0</v>
      </c>
      <c r="U227">
        <f>IF(S227=0,0,-N('Исходные данные'!$B$87)-IF('Исходные данные'!$B$82="Да",IF('Исходные данные'!$B$84="С выручки",S227,IF('Исходные данные'!$B$84="С прибыли",MAX(0,S227+T227-IF('Исходные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27">
        <f t="shared" si="140"/>
        <v>0</v>
      </c>
      <c r="W227">
        <f>IF(D227=1,Расчёты!AZ227+K227+N227+Q227+V227,0)</f>
        <v>0</v>
      </c>
      <c r="X227" t="str">
        <f t="shared" si="128"/>
        <v/>
      </c>
      <c r="Y227">
        <f>IF(OR(D227=0,'Исходные данные'!$B$9="",'Исходные данные'!$B$90=""),0,W227/(1+'Исходные данные'!$B$90)^((C227-'Исходные данные'!$B$9)/365))</f>
        <v>0</v>
      </c>
      <c r="Z227">
        <f>IF(D227=1,K227+Расчёты!O227+Расчёты!Q227+Расчёты!S227+Расчёты!U227+Расчёты!W227+Расчёты!X227+N227+Q227,0)</f>
        <v>0</v>
      </c>
      <c r="AA227">
        <f>IF(AND(D227=1,X227&gt;=0,X226&lt;0,MIN($X$2:X227)&lt;0),1,0)</f>
        <v>0</v>
      </c>
      <c r="AB227">
        <f>IF(Расчёты!F227=0,0,IF(Расчёты!G227=1,N('Сценарный анализ'!$C$5),IF(Расчёты!G227=2,N('Сценарный анализ'!$C$6),IF(Расчёты!G227=3,N('Сценарный анализ'!$C$7),N('Сценарный анализ'!$C$7)*(1+N('Сценарный анализ'!$C$8))^(Расчёты!G227-3)))))</f>
        <v>0</v>
      </c>
      <c r="AC227">
        <f>IF(OR(Расчёты!F227=0,N('Исходные данные'!$B$5)=0,AB227=0),0,N('Исходные данные'!$B$5)*AB227*IF(AND(B227&lt;='Исходные данные'!$B$30,Расчёты!C227&gt;='Исходные данные'!$B$30),(Расчёты!C227-'Исходные данные'!$B$30+1)/DAY(Расчёты!C227),1))</f>
        <v>0</v>
      </c>
      <c r="AD227">
        <f>IF(AND(Расчёты!F227&gt;0,Расчёты!F227&lt;=N('Исходные данные'!$B$37)),-AC227,0)</f>
        <v>0</v>
      </c>
      <c r="AE227">
        <f>IF(OR(Расчёты!F227=0,Расчёты!F227&lt;=N('Исходные данные'!$B$37)),0,-(AC227+AD227)*N('Сценарный анализ'!$C$9))</f>
        <v>0</v>
      </c>
      <c r="AF227">
        <f t="shared" si="141"/>
        <v>0</v>
      </c>
      <c r="AG227">
        <f>IF('Исходные данные'!$B$51="Да",AF227*N('Исходные данные'!$B$52),0)</f>
        <v>0</v>
      </c>
      <c r="AH227">
        <f t="shared" si="142"/>
        <v>0</v>
      </c>
      <c r="AI227">
        <f>AF227+(Расчёты!Y227-Расчёты!L227)</f>
        <v>0</v>
      </c>
      <c r="AJ227">
        <f t="shared" si="129"/>
        <v>0</v>
      </c>
      <c r="AK227">
        <f>IF('Исходные данные'!$B$51="Да",-MAX(0,AG227+Расчёты!R227+Расчёты!V227-Расчёты!P227-Расчёты!T227-AJ227),0)</f>
        <v>0</v>
      </c>
      <c r="AL227">
        <f>IF('Исходные данные'!$B$51="Да",MAX(0,AJ227+Расчёты!P227+Расчёты!T227-AG227-Расчёты!R227-Расчёты!V227),0)</f>
        <v>0</v>
      </c>
      <c r="AM227">
        <f>IF('Исходные данные'!$B$53="Выручка",MAX(0,AF227+(Расчёты!Q227-Расчёты!R227)+(Расчёты!U227-Расчёты!V227)),IF('Исходные данные'!$B$53="Прибыль до налога",MAX(0,AF227+(Расчёты!Q227-Расчёты!R227)+(Расчёты!U227-Расчёты!V227)+N('Исходные данные'!$B$54)*((Расчёты!O227+Расчёты!P227)+(Расчёты!S227+Расчёты!T227)+Расчёты!W227+Расчёты!X227)+IF('Исходные данные'!$B$55="Да",Расчёты!AG227,0)-N('Исходные данные'!$B$56)/12),IF('Исходные данные'!$B$53="Пользовательская база",MAX(0,N('Исходные данные'!$B$57)/12),0)))</f>
        <v>0</v>
      </c>
      <c r="AN227">
        <f>IF(D227=1,-AM227*N('Исходные данные'!$B$50),0)</f>
        <v>0</v>
      </c>
      <c r="AO227">
        <f t="shared" si="130"/>
        <v>0</v>
      </c>
      <c r="AP227">
        <f>IF(OR(D227&lt;&gt;1,B227="",'Исходные данные'!$B$91="",N('Исходные данные'!$B$80)&lt;=0,'Исходные данные'!$B$88=""),0,IF(AND(YEAR(B227)=YEAR('Исходные данные'!$B$91),MONTH(B227)=MONTH('Исходные данные'!$B$91)),MAX(0,IF('Исходные данные'!$B$88="Последние 12 месяцев",SUMIFS($AI$2:$AI$194,$B$2:$B$194,"&gt;="&amp;EDATE(B227,-11),$B$2:$B$194,"&lt;="&amp;B227),IF('Исходные данные'!$B$88="Пользовательский NOI",N('Исходные данные'!$B$89),AO227))/N('Исходные данные'!$B$80)*(1+N('Исходные данные'!$B$81))),0))</f>
        <v>0</v>
      </c>
      <c r="AQ227">
        <f>-AP227*N('Исходные данные'!$B$73)</f>
        <v>0</v>
      </c>
      <c r="AR227">
        <f>IF(AP227=0,0,-N('Исходные данные'!$B$87)-IF('Исходные данные'!$B$82="Да",IF('Исходные данные'!$B$84="С выручки",AP227,IF('Исходные данные'!$B$84="С прибыли",MAX(0,AP227+AQ227-IF('Исходные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27">
        <f t="shared" si="143"/>
        <v>0</v>
      </c>
      <c r="AT227">
        <f>IF(D227=1,Расчёты!AZ227+AH227+AK227+AN227+AS227,0)</f>
        <v>0</v>
      </c>
      <c r="AU227" t="str">
        <f t="shared" si="131"/>
        <v/>
      </c>
      <c r="AV227">
        <f>IF(OR(D227=0,'Исходные данные'!$B$9="",'Исходные данные'!$B$90=""),0,AT227/(1+'Исходные данные'!$B$90)^((C227-'Исходные данные'!$B$9)/365))</f>
        <v>0</v>
      </c>
      <c r="AW227">
        <f>IF(D227=1,AH227+Расчёты!O227+Расчёты!Q227+Расчёты!S227+Расчёты!U227+Расчёты!W227+Расчёты!X227+AK227+AN227,0)</f>
        <v>0</v>
      </c>
      <c r="AX227">
        <f>IF(AND(D227=1,AU227&gt;=0,AU226&lt;0,MIN($AU$2:AU227)&lt;0),1,0)</f>
        <v>0</v>
      </c>
      <c r="AY227">
        <f>IF(Расчёты!F227=0,0,IF(Расчёты!G227=1,N('Сценарный анализ'!$D$5),IF(Расчёты!G227=2,N('Сценарный анализ'!$D$6),IF(Расчёты!G227=3,N('Сценарный анализ'!$D$7),N('Сценарный анализ'!$D$7)*(1+N('Сценарный анализ'!$D$8))^(Расчёты!G227-3)))))</f>
        <v>0</v>
      </c>
      <c r="AZ227">
        <f>IF(OR(Расчёты!F227=0,N('Исходные данные'!$B$5)=0,AY227=0),0,N('Исходные данные'!$B$5)*AY227*IF(AND(B227&lt;='Исходные данные'!$B$30,Расчёты!C227&gt;='Исходные данные'!$B$30),(Расчёты!C227-'Исходные данные'!$B$30+1)/DAY(Расчёты!C227),1))</f>
        <v>0</v>
      </c>
      <c r="BA227">
        <f>IF(AND(Расчёты!F227&gt;0,Расчёты!F227&lt;=N('Исходные данные'!$B$37)),-AZ227,0)</f>
        <v>0</v>
      </c>
      <c r="BB227">
        <f>IF(OR(Расчёты!F227=0,Расчёты!F227&lt;=N('Исходные данные'!$B$37)),0,-(AZ227+BA227)*N('Сценарный анализ'!$D$9))</f>
        <v>0</v>
      </c>
      <c r="BC227">
        <f t="shared" si="144"/>
        <v>0</v>
      </c>
      <c r="BD227">
        <f>IF('Исходные данные'!$B$51="Да",BC227*N('Исходные данные'!$B$52),0)</f>
        <v>0</v>
      </c>
      <c r="BE227">
        <f t="shared" si="145"/>
        <v>0</v>
      </c>
      <c r="BF227">
        <f>BC227+(Расчёты!Y227-Расчёты!L227)</f>
        <v>0</v>
      </c>
      <c r="BG227">
        <f t="shared" si="132"/>
        <v>0</v>
      </c>
      <c r="BH227">
        <f>IF('Исходные данные'!$B$51="Да",-MAX(0,BD227+Расчёты!R227+Расчёты!V227-Расчёты!P227-Расчёты!T227-BG227),0)</f>
        <v>0</v>
      </c>
      <c r="BI227">
        <f>IF('Исходные данные'!$B$51="Да",MAX(0,BG227+Расчёты!P227+Расчёты!T227-BD227-Расчёты!R227-Расчёты!V227),0)</f>
        <v>0</v>
      </c>
      <c r="BJ227">
        <f>IF('Исходные данные'!$B$53="Выручка",MAX(0,BC227+(Расчёты!Q227-Расчёты!R227)+(Расчёты!U227-Расчёты!V227)),IF('Исходные данные'!$B$53="Прибыль до налога",MAX(0,BC227+(Расчёты!Q227-Расчёты!R227)+(Расчёты!U227-Расчёты!V227)+N('Исходные данные'!$B$54)*((Расчёты!O227+Расчёты!P227)+(Расчёты!S227+Расчёты!T227)+Расчёты!W227+Расчёты!X227)+IF('Исходные данные'!$B$55="Да",Расчёты!AG227,0)-N('Исходные данные'!$B$56)/12),IF('Исходные данные'!$B$53="Пользовательская база",MAX(0,N('Исходные данные'!$B$57)/12),0)))</f>
        <v>0</v>
      </c>
      <c r="BK227">
        <f>IF(D227=1,-BJ227*N('Исходные данные'!$B$50),0)</f>
        <v>0</v>
      </c>
      <c r="BL227">
        <f t="shared" si="133"/>
        <v>0</v>
      </c>
      <c r="BM227">
        <f>IF(OR(D227&lt;&gt;1,B227="",'Исходные данные'!$B$91="",N('Исходные данные'!$B$80)&lt;=0,'Исходные данные'!$B$88=""),0,IF(AND(YEAR(B227)=YEAR('Исходные данные'!$B$91),MONTH(B227)=MONTH('Исходные данные'!$B$91)),MAX(0,IF('Исходные данные'!$B$88="Последние 12 месяцев",SUMIFS($BF$2:$BF$194,$B$2:$B$194,"&gt;="&amp;EDATE(B227,-11),$B$2:$B$194,"&lt;="&amp;B227),IF('Исходные данные'!$B$88="Пользовательский NOI",N('Исходные данные'!$B$89),BL227))/N('Исходные данные'!$B$80)*(1+N('Исходные данные'!$B$81))),0))</f>
        <v>0</v>
      </c>
      <c r="BN227">
        <f>-BM227*N('Исходные данные'!$B$73)</f>
        <v>0</v>
      </c>
      <c r="BO227">
        <f>IF(BM227=0,0,-N('Исходные данные'!$B$87)-IF('Исходные данные'!$B$82="Да",IF('Исходные данные'!$B$84="С выручки",BM227,IF('Исходные данные'!$B$84="С прибыли",MAX(0,BM227+BN227-IF('Исходные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27">
        <f t="shared" si="146"/>
        <v>0</v>
      </c>
      <c r="BQ227">
        <f>IF(D227=1,Расчёты!AZ227+BE227+BH227+BK227+BP227,0)</f>
        <v>0</v>
      </c>
      <c r="BR227" t="str">
        <f t="shared" si="134"/>
        <v/>
      </c>
      <c r="BS227">
        <f>IF(OR(D227=0,'Исходные данные'!$B$9="",'Исходные данные'!$B$90=""),0,BQ227/(1+'Исходные данные'!$B$90)^((C227-'Исходные данные'!$B$9)/365))</f>
        <v>0</v>
      </c>
      <c r="BT227">
        <f>IF(D227=1,BE227+Расчёты!O227+Расчёты!Q227+Расчёты!S227+Расчёты!U227+Расчёты!W227+Расчёты!X227+BH227+BK227,0)</f>
        <v>0</v>
      </c>
      <c r="BU227">
        <f>IF(AND(D227=1,BR227&gt;=0,BR226&lt;0,MIN($BR$2:BR227)&lt;0),1,0)</f>
        <v>0</v>
      </c>
      <c r="BV227">
        <f>Расчёты!AZ227+K227+N227-P227*N('Исходные данные'!$B$50)</f>
        <v>0</v>
      </c>
      <c r="BW227">
        <f t="shared" si="135"/>
        <v>0</v>
      </c>
      <c r="BX227">
        <f>IF(AND(BW227&gt;=0,BW226&lt;0,MIN($BW$2:BW227)&lt;0),1,0)</f>
        <v>0</v>
      </c>
      <c r="BY227">
        <f>Расчёты!AZ227+AH227+AK227-AM227*N('Исходные данные'!$B$50)</f>
        <v>0</v>
      </c>
      <c r="BZ227">
        <f t="shared" si="136"/>
        <v>0</v>
      </c>
      <c r="CA227">
        <f>IF(AND(BZ227&gt;=0,BZ226&lt;0,MIN($BZ$2:BZ227)&lt;0),1,0)</f>
        <v>0</v>
      </c>
      <c r="CB227">
        <f>Расчёты!AZ227+BE227+BH227-BJ227*N('Исходные данные'!$B$50)</f>
        <v>0</v>
      </c>
      <c r="CC227">
        <f t="shared" si="137"/>
        <v>0</v>
      </c>
      <c r="CD227">
        <f>IF(AND(CC227&gt;=0,CC226&lt;0,MIN($CC$2:CC227)&lt;0),1,0)</f>
        <v>0</v>
      </c>
    </row>
    <row r="228" spans="1:82" x14ac:dyDescent="0.2">
      <c r="A228">
        <f>Расчёты!A228</f>
        <v>227</v>
      </c>
      <c r="B228" t="str">
        <f>Расчёты!B228</f>
        <v/>
      </c>
      <c r="C228" t="str">
        <f>Расчёты!D228</f>
        <v/>
      </c>
      <c r="D228">
        <f>Расчёты!E228</f>
        <v>0</v>
      </c>
      <c r="E228">
        <f>IF(Расчёты!F228=0,0,IF(Расчёты!G228=1,N('Сценарный анализ'!$B$5),IF(Расчёты!G228=2,N('Сценарный анализ'!$B$6),IF(Расчёты!G228=3,N('Сценарный анализ'!$B$7),N('Сценарный анализ'!$B$7)*(1+N('Сценарный анализ'!$B$8))^(Расчёты!G228-3)))))</f>
        <v>0</v>
      </c>
      <c r="F228">
        <f>IF(OR(Расчёты!F228=0,N('Исходные данные'!$B$5)=0,E228=0),0,N('Исходные данные'!$B$5)*E228*IF(AND(B228&lt;='Исходные данные'!$B$30,Расчёты!C228&gt;='Исходные данные'!$B$30),(Расчёты!C228-'Исходные данные'!$B$30+1)/DAY(Расчёты!C228),1))</f>
        <v>0</v>
      </c>
      <c r="G228">
        <f>IF(AND(Расчёты!F228&gt;0,Расчёты!F228&lt;=N('Исходные данные'!$B$37)),-F228,0)</f>
        <v>0</v>
      </c>
      <c r="H228">
        <f>IF(OR(Расчёты!F228=0,Расчёты!F228&lt;=N('Исходные данные'!$B$37)),0,-(F228+G228)*N('Сценарный анализ'!$B$9))</f>
        <v>0</v>
      </c>
      <c r="I228">
        <f t="shared" si="138"/>
        <v>0</v>
      </c>
      <c r="J228">
        <f>IF('Исходные данные'!$B$51="Да",I228*N('Исходные данные'!$B$52),0)</f>
        <v>0</v>
      </c>
      <c r="K228">
        <f t="shared" si="139"/>
        <v>0</v>
      </c>
      <c r="L228">
        <f>I228+(Расчёты!Y228-Расчёты!L228)</f>
        <v>0</v>
      </c>
      <c r="M228">
        <f t="shared" si="126"/>
        <v>0</v>
      </c>
      <c r="N228">
        <f>IF('Исходные данные'!$B$51="Да",-MAX(0,J228+Расчёты!R228+Расчёты!V228-Расчёты!P228-Расчёты!T228-M228),0)</f>
        <v>0</v>
      </c>
      <c r="O228">
        <f>IF('Исходные данные'!$B$51="Да",MAX(0,M228+Расчёты!P228+Расчёты!T228-J228-Расчёты!R228-Расчёты!V228),0)</f>
        <v>0</v>
      </c>
      <c r="P228">
        <f>IF('Исходные данные'!$B$53="Выручка",MAX(0,I228+(Расчёты!Q228-Расчёты!R228)+(Расчёты!U228-Расчёты!V228)),IF('Исходные данные'!$B$53="Прибыль до налога",MAX(0,I228+(Расчёты!Q228-Расчёты!R228)+(Расчёты!U228-Расчёты!V228)+N('Исходные данные'!$B$54)*((Расчёты!O228+Расчёты!P228)+(Расчёты!S228+Расчёты!T228)+Расчёты!W228+Расчёты!X228)+IF('Исходные данные'!$B$55="Да",Расчёты!AG228,0)-N('Исходные данные'!$B$56)/12),IF('Исходные данные'!$B$53="Пользовательская база",MAX(0,N('Исходные данные'!$B$57)/12),0)))</f>
        <v>0</v>
      </c>
      <c r="Q228">
        <f>IF(D228=1,-P228*N('Исходные данные'!$B$50),0)</f>
        <v>0</v>
      </c>
      <c r="R228">
        <f t="shared" si="127"/>
        <v>0</v>
      </c>
      <c r="S228">
        <f>IF(OR(D228&lt;&gt;1,B228="",'Исходные данные'!$B$91="",N('Исходные данные'!$B$80)&lt;=0,'Исходные данные'!$B$88=""),0,IF(AND(YEAR(B228)=YEAR('Исходные данные'!$B$91),MONTH(B228)=MONTH('Исходные данные'!$B$91)),MAX(0,IF('Исходные данные'!$B$88="Последние 12 месяцев",SUMIFS($L$2:$L$194,$B$2:$B$194,"&gt;="&amp;EDATE(B228,-11),$B$2:$B$194,"&lt;="&amp;B228),IF('Исходные данные'!$B$88="Пользовательский NOI",N('Исходные данные'!$B$89),R228))/N('Исходные данные'!$B$80)*(1+N('Исходные данные'!$B$81))),0))</f>
        <v>0</v>
      </c>
      <c r="T228">
        <f>-S228*N('Исходные данные'!$B$73)</f>
        <v>0</v>
      </c>
      <c r="U228">
        <f>IF(S228=0,0,-N('Исходные данные'!$B$87)-IF('Исходные данные'!$B$82="Да",IF('Исходные данные'!$B$84="С выручки",S228,IF('Исходные данные'!$B$84="С прибыли",MAX(0,S228+T228-IF('Исходные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28">
        <f t="shared" si="140"/>
        <v>0</v>
      </c>
      <c r="W228">
        <f>IF(D228=1,Расчёты!AZ228+K228+N228+Q228+V228,0)</f>
        <v>0</v>
      </c>
      <c r="X228" t="str">
        <f t="shared" si="128"/>
        <v/>
      </c>
      <c r="Y228">
        <f>IF(OR(D228=0,'Исходные данные'!$B$9="",'Исходные данные'!$B$90=""),0,W228/(1+'Исходные данные'!$B$90)^((C228-'Исходные данные'!$B$9)/365))</f>
        <v>0</v>
      </c>
      <c r="Z228">
        <f>IF(D228=1,K228+Расчёты!O228+Расчёты!Q228+Расчёты!S228+Расчёты!U228+Расчёты!W228+Расчёты!X228+N228+Q228,0)</f>
        <v>0</v>
      </c>
      <c r="AA228">
        <f>IF(AND(D228=1,X228&gt;=0,X227&lt;0,MIN($X$2:X228)&lt;0),1,0)</f>
        <v>0</v>
      </c>
      <c r="AB228">
        <f>IF(Расчёты!F228=0,0,IF(Расчёты!G228=1,N('Сценарный анализ'!$C$5),IF(Расчёты!G228=2,N('Сценарный анализ'!$C$6),IF(Расчёты!G228=3,N('Сценарный анализ'!$C$7),N('Сценарный анализ'!$C$7)*(1+N('Сценарный анализ'!$C$8))^(Расчёты!G228-3)))))</f>
        <v>0</v>
      </c>
      <c r="AC228">
        <f>IF(OR(Расчёты!F228=0,N('Исходные данные'!$B$5)=0,AB228=0),0,N('Исходные данные'!$B$5)*AB228*IF(AND(B228&lt;='Исходные данные'!$B$30,Расчёты!C228&gt;='Исходные данные'!$B$30),(Расчёты!C228-'Исходные данные'!$B$30+1)/DAY(Расчёты!C228),1))</f>
        <v>0</v>
      </c>
      <c r="AD228">
        <f>IF(AND(Расчёты!F228&gt;0,Расчёты!F228&lt;=N('Исходные данные'!$B$37)),-AC228,0)</f>
        <v>0</v>
      </c>
      <c r="AE228">
        <f>IF(OR(Расчёты!F228=0,Расчёты!F228&lt;=N('Исходные данные'!$B$37)),0,-(AC228+AD228)*N('Сценарный анализ'!$C$9))</f>
        <v>0</v>
      </c>
      <c r="AF228">
        <f t="shared" si="141"/>
        <v>0</v>
      </c>
      <c r="AG228">
        <f>IF('Исходные данные'!$B$51="Да",AF228*N('Исходные данные'!$B$52),0)</f>
        <v>0</v>
      </c>
      <c r="AH228">
        <f t="shared" si="142"/>
        <v>0</v>
      </c>
      <c r="AI228">
        <f>AF228+(Расчёты!Y228-Расчёты!L228)</f>
        <v>0</v>
      </c>
      <c r="AJ228">
        <f t="shared" si="129"/>
        <v>0</v>
      </c>
      <c r="AK228">
        <f>IF('Исходные данные'!$B$51="Да",-MAX(0,AG228+Расчёты!R228+Расчёты!V228-Расчёты!P228-Расчёты!T228-AJ228),0)</f>
        <v>0</v>
      </c>
      <c r="AL228">
        <f>IF('Исходные данные'!$B$51="Да",MAX(0,AJ228+Расчёты!P228+Расчёты!T228-AG228-Расчёты!R228-Расчёты!V228),0)</f>
        <v>0</v>
      </c>
      <c r="AM228">
        <f>IF('Исходные данные'!$B$53="Выручка",MAX(0,AF228+(Расчёты!Q228-Расчёты!R228)+(Расчёты!U228-Расчёты!V228)),IF('Исходные данные'!$B$53="Прибыль до налога",MAX(0,AF228+(Расчёты!Q228-Расчёты!R228)+(Расчёты!U228-Расчёты!V228)+N('Исходные данные'!$B$54)*((Расчёты!O228+Расчёты!P228)+(Расчёты!S228+Расчёты!T228)+Расчёты!W228+Расчёты!X228)+IF('Исходные данные'!$B$55="Да",Расчёты!AG228,0)-N('Исходные данные'!$B$56)/12),IF('Исходные данные'!$B$53="Пользовательская база",MAX(0,N('Исходные данные'!$B$57)/12),0)))</f>
        <v>0</v>
      </c>
      <c r="AN228">
        <f>IF(D228=1,-AM228*N('Исходные данные'!$B$50),0)</f>
        <v>0</v>
      </c>
      <c r="AO228">
        <f t="shared" si="130"/>
        <v>0</v>
      </c>
      <c r="AP228">
        <f>IF(OR(D228&lt;&gt;1,B228="",'Исходные данные'!$B$91="",N('Исходные данные'!$B$80)&lt;=0,'Исходные данные'!$B$88=""),0,IF(AND(YEAR(B228)=YEAR('Исходные данные'!$B$91),MONTH(B228)=MONTH('Исходные данные'!$B$91)),MAX(0,IF('Исходные данные'!$B$88="Последние 12 месяцев",SUMIFS($AI$2:$AI$194,$B$2:$B$194,"&gt;="&amp;EDATE(B228,-11),$B$2:$B$194,"&lt;="&amp;B228),IF('Исходные данные'!$B$88="Пользовательский NOI",N('Исходные данные'!$B$89),AO228))/N('Исходные данные'!$B$80)*(1+N('Исходные данные'!$B$81))),0))</f>
        <v>0</v>
      </c>
      <c r="AQ228">
        <f>-AP228*N('Исходные данные'!$B$73)</f>
        <v>0</v>
      </c>
      <c r="AR228">
        <f>IF(AP228=0,0,-N('Исходные данные'!$B$87)-IF('Исходные данные'!$B$82="Да",IF('Исходные данные'!$B$84="С выручки",AP228,IF('Исходные данные'!$B$84="С прибыли",MAX(0,AP228+AQ228-IF('Исходные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28">
        <f t="shared" si="143"/>
        <v>0</v>
      </c>
      <c r="AT228">
        <f>IF(D228=1,Расчёты!AZ228+AH228+AK228+AN228+AS228,0)</f>
        <v>0</v>
      </c>
      <c r="AU228" t="str">
        <f t="shared" si="131"/>
        <v/>
      </c>
      <c r="AV228">
        <f>IF(OR(D228=0,'Исходные данные'!$B$9="",'Исходные данные'!$B$90=""),0,AT228/(1+'Исходные данные'!$B$90)^((C228-'Исходные данные'!$B$9)/365))</f>
        <v>0</v>
      </c>
      <c r="AW228">
        <f>IF(D228=1,AH228+Расчёты!O228+Расчёты!Q228+Расчёты!S228+Расчёты!U228+Расчёты!W228+Расчёты!X228+AK228+AN228,0)</f>
        <v>0</v>
      </c>
      <c r="AX228">
        <f>IF(AND(D228=1,AU228&gt;=0,AU227&lt;0,MIN($AU$2:AU228)&lt;0),1,0)</f>
        <v>0</v>
      </c>
      <c r="AY228">
        <f>IF(Расчёты!F228=0,0,IF(Расчёты!G228=1,N('Сценарный анализ'!$D$5),IF(Расчёты!G228=2,N('Сценарный анализ'!$D$6),IF(Расчёты!G228=3,N('Сценарный анализ'!$D$7),N('Сценарный анализ'!$D$7)*(1+N('Сценарный анализ'!$D$8))^(Расчёты!G228-3)))))</f>
        <v>0</v>
      </c>
      <c r="AZ228">
        <f>IF(OR(Расчёты!F228=0,N('Исходные данные'!$B$5)=0,AY228=0),0,N('Исходные данные'!$B$5)*AY228*IF(AND(B228&lt;='Исходные данные'!$B$30,Расчёты!C228&gt;='Исходные данные'!$B$30),(Расчёты!C228-'Исходные данные'!$B$30+1)/DAY(Расчёты!C228),1))</f>
        <v>0</v>
      </c>
      <c r="BA228">
        <f>IF(AND(Расчёты!F228&gt;0,Расчёты!F228&lt;=N('Исходные данные'!$B$37)),-AZ228,0)</f>
        <v>0</v>
      </c>
      <c r="BB228">
        <f>IF(OR(Расчёты!F228=0,Расчёты!F228&lt;=N('Исходные данные'!$B$37)),0,-(AZ228+BA228)*N('Сценарный анализ'!$D$9))</f>
        <v>0</v>
      </c>
      <c r="BC228">
        <f t="shared" si="144"/>
        <v>0</v>
      </c>
      <c r="BD228">
        <f>IF('Исходные данные'!$B$51="Да",BC228*N('Исходные данные'!$B$52),0)</f>
        <v>0</v>
      </c>
      <c r="BE228">
        <f t="shared" si="145"/>
        <v>0</v>
      </c>
      <c r="BF228">
        <f>BC228+(Расчёты!Y228-Расчёты!L228)</f>
        <v>0</v>
      </c>
      <c r="BG228">
        <f t="shared" si="132"/>
        <v>0</v>
      </c>
      <c r="BH228">
        <f>IF('Исходные данные'!$B$51="Да",-MAX(0,BD228+Расчёты!R228+Расчёты!V228-Расчёты!P228-Расчёты!T228-BG228),0)</f>
        <v>0</v>
      </c>
      <c r="BI228">
        <f>IF('Исходные данные'!$B$51="Да",MAX(0,BG228+Расчёты!P228+Расчёты!T228-BD228-Расчёты!R228-Расчёты!V228),0)</f>
        <v>0</v>
      </c>
      <c r="BJ228">
        <f>IF('Исходные данные'!$B$53="Выручка",MAX(0,BC228+(Расчёты!Q228-Расчёты!R228)+(Расчёты!U228-Расчёты!V228)),IF('Исходные данные'!$B$53="Прибыль до налога",MAX(0,BC228+(Расчёты!Q228-Расчёты!R228)+(Расчёты!U228-Расчёты!V228)+N('Исходные данные'!$B$54)*((Расчёты!O228+Расчёты!P228)+(Расчёты!S228+Расчёты!T228)+Расчёты!W228+Расчёты!X228)+IF('Исходные данные'!$B$55="Да",Расчёты!AG228,0)-N('Исходные данные'!$B$56)/12),IF('Исходные данные'!$B$53="Пользовательская база",MAX(0,N('Исходные данные'!$B$57)/12),0)))</f>
        <v>0</v>
      </c>
      <c r="BK228">
        <f>IF(D228=1,-BJ228*N('Исходные данные'!$B$50),0)</f>
        <v>0</v>
      </c>
      <c r="BL228">
        <f t="shared" si="133"/>
        <v>0</v>
      </c>
      <c r="BM228">
        <f>IF(OR(D228&lt;&gt;1,B228="",'Исходные данные'!$B$91="",N('Исходные данные'!$B$80)&lt;=0,'Исходные данные'!$B$88=""),0,IF(AND(YEAR(B228)=YEAR('Исходные данные'!$B$91),MONTH(B228)=MONTH('Исходные данные'!$B$91)),MAX(0,IF('Исходные данные'!$B$88="Последние 12 месяцев",SUMIFS($BF$2:$BF$194,$B$2:$B$194,"&gt;="&amp;EDATE(B228,-11),$B$2:$B$194,"&lt;="&amp;B228),IF('Исходные данные'!$B$88="Пользовательский NOI",N('Исходные данные'!$B$89),BL228))/N('Исходные данные'!$B$80)*(1+N('Исходные данные'!$B$81))),0))</f>
        <v>0</v>
      </c>
      <c r="BN228">
        <f>-BM228*N('Исходные данные'!$B$73)</f>
        <v>0</v>
      </c>
      <c r="BO228">
        <f>IF(BM228=0,0,-N('Исходные данные'!$B$87)-IF('Исходные данные'!$B$82="Да",IF('Исходные данные'!$B$84="С выручки",BM228,IF('Исходные данные'!$B$84="С прибыли",MAX(0,BM228+BN228-IF('Исходные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28">
        <f t="shared" si="146"/>
        <v>0</v>
      </c>
      <c r="BQ228">
        <f>IF(D228=1,Расчёты!AZ228+BE228+BH228+BK228+BP228,0)</f>
        <v>0</v>
      </c>
      <c r="BR228" t="str">
        <f t="shared" si="134"/>
        <v/>
      </c>
      <c r="BS228">
        <f>IF(OR(D228=0,'Исходные данные'!$B$9="",'Исходные данные'!$B$90=""),0,BQ228/(1+'Исходные данные'!$B$90)^((C228-'Исходные данные'!$B$9)/365))</f>
        <v>0</v>
      </c>
      <c r="BT228">
        <f>IF(D228=1,BE228+Расчёты!O228+Расчёты!Q228+Расчёты!S228+Расчёты!U228+Расчёты!W228+Расчёты!X228+BH228+BK228,0)</f>
        <v>0</v>
      </c>
      <c r="BU228">
        <f>IF(AND(D228=1,BR228&gt;=0,BR227&lt;0,MIN($BR$2:BR228)&lt;0),1,0)</f>
        <v>0</v>
      </c>
      <c r="BV228">
        <f>Расчёты!AZ228+K228+N228-P228*N('Исходные данные'!$B$50)</f>
        <v>0</v>
      </c>
      <c r="BW228">
        <f t="shared" si="135"/>
        <v>0</v>
      </c>
      <c r="BX228">
        <f>IF(AND(BW228&gt;=0,BW227&lt;0,MIN($BW$2:BW228)&lt;0),1,0)</f>
        <v>0</v>
      </c>
      <c r="BY228">
        <f>Расчёты!AZ228+AH228+AK228-AM228*N('Исходные данные'!$B$50)</f>
        <v>0</v>
      </c>
      <c r="BZ228">
        <f t="shared" si="136"/>
        <v>0</v>
      </c>
      <c r="CA228">
        <f>IF(AND(BZ228&gt;=0,BZ227&lt;0,MIN($BZ$2:BZ228)&lt;0),1,0)</f>
        <v>0</v>
      </c>
      <c r="CB228">
        <f>Расчёты!AZ228+BE228+BH228-BJ228*N('Исходные данные'!$B$50)</f>
        <v>0</v>
      </c>
      <c r="CC228">
        <f t="shared" si="137"/>
        <v>0</v>
      </c>
      <c r="CD228">
        <f>IF(AND(CC228&gt;=0,CC227&lt;0,MIN($CC$2:CC228)&lt;0),1,0)</f>
        <v>0</v>
      </c>
    </row>
    <row r="229" spans="1:82" x14ac:dyDescent="0.2">
      <c r="A229">
        <f>Расчёты!A229</f>
        <v>228</v>
      </c>
      <c r="B229" t="str">
        <f>Расчёты!B229</f>
        <v/>
      </c>
      <c r="C229" t="str">
        <f>Расчёты!D229</f>
        <v/>
      </c>
      <c r="D229">
        <f>Расчёты!E229</f>
        <v>0</v>
      </c>
      <c r="E229">
        <f>IF(Расчёты!F229=0,0,IF(Расчёты!G229=1,N('Сценарный анализ'!$B$5),IF(Расчёты!G229=2,N('Сценарный анализ'!$B$6),IF(Расчёты!G229=3,N('Сценарный анализ'!$B$7),N('Сценарный анализ'!$B$7)*(1+N('Сценарный анализ'!$B$8))^(Расчёты!G229-3)))))</f>
        <v>0</v>
      </c>
      <c r="F229">
        <f>IF(OR(Расчёты!F229=0,N('Исходные данные'!$B$5)=0,E229=0),0,N('Исходные данные'!$B$5)*E229*IF(AND(B229&lt;='Исходные данные'!$B$30,Расчёты!C229&gt;='Исходные данные'!$B$30),(Расчёты!C229-'Исходные данные'!$B$30+1)/DAY(Расчёты!C229),1))</f>
        <v>0</v>
      </c>
      <c r="G229">
        <f>IF(AND(Расчёты!F229&gt;0,Расчёты!F229&lt;=N('Исходные данные'!$B$37)),-F229,0)</f>
        <v>0</v>
      </c>
      <c r="H229">
        <f>IF(OR(Расчёты!F229=0,Расчёты!F229&lt;=N('Исходные данные'!$B$37)),0,-(F229+G229)*N('Сценарный анализ'!$B$9))</f>
        <v>0</v>
      </c>
      <c r="I229">
        <f t="shared" si="138"/>
        <v>0</v>
      </c>
      <c r="J229">
        <f>IF('Исходные данные'!$B$51="Да",I229*N('Исходные данные'!$B$52),0)</f>
        <v>0</v>
      </c>
      <c r="K229">
        <f t="shared" si="139"/>
        <v>0</v>
      </c>
      <c r="L229">
        <f>I229+(Расчёты!Y229-Расчёты!L229)</f>
        <v>0</v>
      </c>
      <c r="M229">
        <f t="shared" si="126"/>
        <v>0</v>
      </c>
      <c r="N229">
        <f>IF('Исходные данные'!$B$51="Да",-MAX(0,J229+Расчёты!R229+Расчёты!V229-Расчёты!P229-Расчёты!T229-M229),0)</f>
        <v>0</v>
      </c>
      <c r="O229">
        <f>IF('Исходные данные'!$B$51="Да",MAX(0,M229+Расчёты!P229+Расчёты!T229-J229-Расчёты!R229-Расчёты!V229),0)</f>
        <v>0</v>
      </c>
      <c r="P229">
        <f>IF('Исходные данные'!$B$53="Выручка",MAX(0,I229+(Расчёты!Q229-Расчёты!R229)+(Расчёты!U229-Расчёты!V229)),IF('Исходные данные'!$B$53="Прибыль до налога",MAX(0,I229+(Расчёты!Q229-Расчёты!R229)+(Расчёты!U229-Расчёты!V229)+N('Исходные данные'!$B$54)*((Расчёты!O229+Расчёты!P229)+(Расчёты!S229+Расчёты!T229)+Расчёты!W229+Расчёты!X229)+IF('Исходные данные'!$B$55="Да",Расчёты!AG229,0)-N('Исходные данные'!$B$56)/12),IF('Исходные данные'!$B$53="Пользовательская база",MAX(0,N('Исходные данные'!$B$57)/12),0)))</f>
        <v>0</v>
      </c>
      <c r="Q229">
        <f>IF(D229=1,-P229*N('Исходные данные'!$B$50),0)</f>
        <v>0</v>
      </c>
      <c r="R229">
        <f t="shared" si="127"/>
        <v>0</v>
      </c>
      <c r="S229">
        <f>IF(OR(D229&lt;&gt;1,B229="",'Исходные данные'!$B$91="",N('Исходные данные'!$B$80)&lt;=0,'Исходные данные'!$B$88=""),0,IF(AND(YEAR(B229)=YEAR('Исходные данные'!$B$91),MONTH(B229)=MONTH('Исходные данные'!$B$91)),MAX(0,IF('Исходные данные'!$B$88="Последние 12 месяцев",SUMIFS($L$2:$L$194,$B$2:$B$194,"&gt;="&amp;EDATE(B229,-11),$B$2:$B$194,"&lt;="&amp;B229),IF('Исходные данные'!$B$88="Пользовательский NOI",N('Исходные данные'!$B$89),R229))/N('Исходные данные'!$B$80)*(1+N('Исходные данные'!$B$81))),0))</f>
        <v>0</v>
      </c>
      <c r="T229">
        <f>-S229*N('Исходные данные'!$B$73)</f>
        <v>0</v>
      </c>
      <c r="U229">
        <f>IF(S229=0,0,-N('Исходные данные'!$B$87)-IF('Исходные данные'!$B$82="Да",IF('Исходные данные'!$B$84="С выручки",S229,IF('Исходные данные'!$B$84="С прибыли",MAX(0,S229+T229-IF('Исходные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29">
        <f t="shared" si="140"/>
        <v>0</v>
      </c>
      <c r="W229">
        <f>IF(D229=1,Расчёты!AZ229+K229+N229+Q229+V229,0)</f>
        <v>0</v>
      </c>
      <c r="X229" t="str">
        <f t="shared" si="128"/>
        <v/>
      </c>
      <c r="Y229">
        <f>IF(OR(D229=0,'Исходные данные'!$B$9="",'Исходные данные'!$B$90=""),0,W229/(1+'Исходные данные'!$B$90)^((C229-'Исходные данные'!$B$9)/365))</f>
        <v>0</v>
      </c>
      <c r="Z229">
        <f>IF(D229=1,K229+Расчёты!O229+Расчёты!Q229+Расчёты!S229+Расчёты!U229+Расчёты!W229+Расчёты!X229+N229+Q229,0)</f>
        <v>0</v>
      </c>
      <c r="AA229">
        <f>IF(AND(D229=1,X229&gt;=0,X228&lt;0,MIN($X$2:X229)&lt;0),1,0)</f>
        <v>0</v>
      </c>
      <c r="AB229">
        <f>IF(Расчёты!F229=0,0,IF(Расчёты!G229=1,N('Сценарный анализ'!$C$5),IF(Расчёты!G229=2,N('Сценарный анализ'!$C$6),IF(Расчёты!G229=3,N('Сценарный анализ'!$C$7),N('Сценарный анализ'!$C$7)*(1+N('Сценарный анализ'!$C$8))^(Расчёты!G229-3)))))</f>
        <v>0</v>
      </c>
      <c r="AC229">
        <f>IF(OR(Расчёты!F229=0,N('Исходные данные'!$B$5)=0,AB229=0),0,N('Исходные данные'!$B$5)*AB229*IF(AND(B229&lt;='Исходные данные'!$B$30,Расчёты!C229&gt;='Исходные данные'!$B$30),(Расчёты!C229-'Исходные данные'!$B$30+1)/DAY(Расчёты!C229),1))</f>
        <v>0</v>
      </c>
      <c r="AD229">
        <f>IF(AND(Расчёты!F229&gt;0,Расчёты!F229&lt;=N('Исходные данные'!$B$37)),-AC229,0)</f>
        <v>0</v>
      </c>
      <c r="AE229">
        <f>IF(OR(Расчёты!F229=0,Расчёты!F229&lt;=N('Исходные данные'!$B$37)),0,-(AC229+AD229)*N('Сценарный анализ'!$C$9))</f>
        <v>0</v>
      </c>
      <c r="AF229">
        <f t="shared" si="141"/>
        <v>0</v>
      </c>
      <c r="AG229">
        <f>IF('Исходные данные'!$B$51="Да",AF229*N('Исходные данные'!$B$52),0)</f>
        <v>0</v>
      </c>
      <c r="AH229">
        <f t="shared" si="142"/>
        <v>0</v>
      </c>
      <c r="AI229">
        <f>AF229+(Расчёты!Y229-Расчёты!L229)</f>
        <v>0</v>
      </c>
      <c r="AJ229">
        <f t="shared" si="129"/>
        <v>0</v>
      </c>
      <c r="AK229">
        <f>IF('Исходные данные'!$B$51="Да",-MAX(0,AG229+Расчёты!R229+Расчёты!V229-Расчёты!P229-Расчёты!T229-AJ229),0)</f>
        <v>0</v>
      </c>
      <c r="AL229">
        <f>IF('Исходные данные'!$B$51="Да",MAX(0,AJ229+Расчёты!P229+Расчёты!T229-AG229-Расчёты!R229-Расчёты!V229),0)</f>
        <v>0</v>
      </c>
      <c r="AM229">
        <f>IF('Исходные данные'!$B$53="Выручка",MAX(0,AF229+(Расчёты!Q229-Расчёты!R229)+(Расчёты!U229-Расчёты!V229)),IF('Исходные данные'!$B$53="Прибыль до налога",MAX(0,AF229+(Расчёты!Q229-Расчёты!R229)+(Расчёты!U229-Расчёты!V229)+N('Исходные данные'!$B$54)*((Расчёты!O229+Расчёты!P229)+(Расчёты!S229+Расчёты!T229)+Расчёты!W229+Расчёты!X229)+IF('Исходные данные'!$B$55="Да",Расчёты!AG229,0)-N('Исходные данные'!$B$56)/12),IF('Исходные данные'!$B$53="Пользовательская база",MAX(0,N('Исходные данные'!$B$57)/12),0)))</f>
        <v>0</v>
      </c>
      <c r="AN229">
        <f>IF(D229=1,-AM229*N('Исходные данные'!$B$50),0)</f>
        <v>0</v>
      </c>
      <c r="AO229">
        <f t="shared" si="130"/>
        <v>0</v>
      </c>
      <c r="AP229">
        <f>IF(OR(D229&lt;&gt;1,B229="",'Исходные данные'!$B$91="",N('Исходные данные'!$B$80)&lt;=0,'Исходные данные'!$B$88=""),0,IF(AND(YEAR(B229)=YEAR('Исходные данные'!$B$91),MONTH(B229)=MONTH('Исходные данные'!$B$91)),MAX(0,IF('Исходные данные'!$B$88="Последние 12 месяцев",SUMIFS($AI$2:$AI$194,$B$2:$B$194,"&gt;="&amp;EDATE(B229,-11),$B$2:$B$194,"&lt;="&amp;B229),IF('Исходные данные'!$B$88="Пользовательский NOI",N('Исходные данные'!$B$89),AO229))/N('Исходные данные'!$B$80)*(1+N('Исходные данные'!$B$81))),0))</f>
        <v>0</v>
      </c>
      <c r="AQ229">
        <f>-AP229*N('Исходные данные'!$B$73)</f>
        <v>0</v>
      </c>
      <c r="AR229">
        <f>IF(AP229=0,0,-N('Исходные данные'!$B$87)-IF('Исходные данные'!$B$82="Да",IF('Исходные данные'!$B$84="С выручки",AP229,IF('Исходные данные'!$B$84="С прибыли",MAX(0,AP229+AQ229-IF('Исходные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29">
        <f t="shared" si="143"/>
        <v>0</v>
      </c>
      <c r="AT229">
        <f>IF(D229=1,Расчёты!AZ229+AH229+AK229+AN229+AS229,0)</f>
        <v>0</v>
      </c>
      <c r="AU229" t="str">
        <f t="shared" si="131"/>
        <v/>
      </c>
      <c r="AV229">
        <f>IF(OR(D229=0,'Исходные данные'!$B$9="",'Исходные данные'!$B$90=""),0,AT229/(1+'Исходные данные'!$B$90)^((C229-'Исходные данные'!$B$9)/365))</f>
        <v>0</v>
      </c>
      <c r="AW229">
        <f>IF(D229=1,AH229+Расчёты!O229+Расчёты!Q229+Расчёты!S229+Расчёты!U229+Расчёты!W229+Расчёты!X229+AK229+AN229,0)</f>
        <v>0</v>
      </c>
      <c r="AX229">
        <f>IF(AND(D229=1,AU229&gt;=0,AU228&lt;0,MIN($AU$2:AU229)&lt;0),1,0)</f>
        <v>0</v>
      </c>
      <c r="AY229">
        <f>IF(Расчёты!F229=0,0,IF(Расчёты!G229=1,N('Сценарный анализ'!$D$5),IF(Расчёты!G229=2,N('Сценарный анализ'!$D$6),IF(Расчёты!G229=3,N('Сценарный анализ'!$D$7),N('Сценарный анализ'!$D$7)*(1+N('Сценарный анализ'!$D$8))^(Расчёты!G229-3)))))</f>
        <v>0</v>
      </c>
      <c r="AZ229">
        <f>IF(OR(Расчёты!F229=0,N('Исходные данные'!$B$5)=0,AY229=0),0,N('Исходные данные'!$B$5)*AY229*IF(AND(B229&lt;='Исходные данные'!$B$30,Расчёты!C229&gt;='Исходные данные'!$B$30),(Расчёты!C229-'Исходные данные'!$B$30+1)/DAY(Расчёты!C229),1))</f>
        <v>0</v>
      </c>
      <c r="BA229">
        <f>IF(AND(Расчёты!F229&gt;0,Расчёты!F229&lt;=N('Исходные данные'!$B$37)),-AZ229,0)</f>
        <v>0</v>
      </c>
      <c r="BB229">
        <f>IF(OR(Расчёты!F229=0,Расчёты!F229&lt;=N('Исходные данные'!$B$37)),0,-(AZ229+BA229)*N('Сценарный анализ'!$D$9))</f>
        <v>0</v>
      </c>
      <c r="BC229">
        <f t="shared" si="144"/>
        <v>0</v>
      </c>
      <c r="BD229">
        <f>IF('Исходные данные'!$B$51="Да",BC229*N('Исходные данные'!$B$52),0)</f>
        <v>0</v>
      </c>
      <c r="BE229">
        <f t="shared" si="145"/>
        <v>0</v>
      </c>
      <c r="BF229">
        <f>BC229+(Расчёты!Y229-Расчёты!L229)</f>
        <v>0</v>
      </c>
      <c r="BG229">
        <f t="shared" si="132"/>
        <v>0</v>
      </c>
      <c r="BH229">
        <f>IF('Исходные данные'!$B$51="Да",-MAX(0,BD229+Расчёты!R229+Расчёты!V229-Расчёты!P229-Расчёты!T229-BG229),0)</f>
        <v>0</v>
      </c>
      <c r="BI229">
        <f>IF('Исходные данные'!$B$51="Да",MAX(0,BG229+Расчёты!P229+Расчёты!T229-BD229-Расчёты!R229-Расчёты!V229),0)</f>
        <v>0</v>
      </c>
      <c r="BJ229">
        <f>IF('Исходные данные'!$B$53="Выручка",MAX(0,BC229+(Расчёты!Q229-Расчёты!R229)+(Расчёты!U229-Расчёты!V229)),IF('Исходные данные'!$B$53="Прибыль до налога",MAX(0,BC229+(Расчёты!Q229-Расчёты!R229)+(Расчёты!U229-Расчёты!V229)+N('Исходные данные'!$B$54)*((Расчёты!O229+Расчёты!P229)+(Расчёты!S229+Расчёты!T229)+Расчёты!W229+Расчёты!X229)+IF('Исходные данные'!$B$55="Да",Расчёты!AG229,0)-N('Исходные данные'!$B$56)/12),IF('Исходные данные'!$B$53="Пользовательская база",MAX(0,N('Исходные данные'!$B$57)/12),0)))</f>
        <v>0</v>
      </c>
      <c r="BK229">
        <f>IF(D229=1,-BJ229*N('Исходные данные'!$B$50),0)</f>
        <v>0</v>
      </c>
      <c r="BL229">
        <f t="shared" si="133"/>
        <v>0</v>
      </c>
      <c r="BM229">
        <f>IF(OR(D229&lt;&gt;1,B229="",'Исходные данные'!$B$91="",N('Исходные данные'!$B$80)&lt;=0,'Исходные данные'!$B$88=""),0,IF(AND(YEAR(B229)=YEAR('Исходные данные'!$B$91),MONTH(B229)=MONTH('Исходные данные'!$B$91)),MAX(0,IF('Исходные данные'!$B$88="Последние 12 месяцев",SUMIFS($BF$2:$BF$194,$B$2:$B$194,"&gt;="&amp;EDATE(B229,-11),$B$2:$B$194,"&lt;="&amp;B229),IF('Исходные данные'!$B$88="Пользовательский NOI",N('Исходные данные'!$B$89),BL229))/N('Исходные данные'!$B$80)*(1+N('Исходные данные'!$B$81))),0))</f>
        <v>0</v>
      </c>
      <c r="BN229">
        <f>-BM229*N('Исходные данные'!$B$73)</f>
        <v>0</v>
      </c>
      <c r="BO229">
        <f>IF(BM229=0,0,-N('Исходные данные'!$B$87)-IF('Исходные данные'!$B$82="Да",IF('Исходные данные'!$B$84="С выручки",BM229,IF('Исходные данные'!$B$84="С прибыли",MAX(0,BM229+BN229-IF('Исходные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29">
        <f t="shared" si="146"/>
        <v>0</v>
      </c>
      <c r="BQ229">
        <f>IF(D229=1,Расчёты!AZ229+BE229+BH229+BK229+BP229,0)</f>
        <v>0</v>
      </c>
      <c r="BR229" t="str">
        <f t="shared" si="134"/>
        <v/>
      </c>
      <c r="BS229">
        <f>IF(OR(D229=0,'Исходные данные'!$B$9="",'Исходные данные'!$B$90=""),0,BQ229/(1+'Исходные данные'!$B$90)^((C229-'Исходные данные'!$B$9)/365))</f>
        <v>0</v>
      </c>
      <c r="BT229">
        <f>IF(D229=1,BE229+Расчёты!O229+Расчёты!Q229+Расчёты!S229+Расчёты!U229+Расчёты!W229+Расчёты!X229+BH229+BK229,0)</f>
        <v>0</v>
      </c>
      <c r="BU229">
        <f>IF(AND(D229=1,BR229&gt;=0,BR228&lt;0,MIN($BR$2:BR229)&lt;0),1,0)</f>
        <v>0</v>
      </c>
      <c r="BV229">
        <f>Расчёты!AZ229+K229+N229-P229*N('Исходные данные'!$B$50)</f>
        <v>0</v>
      </c>
      <c r="BW229">
        <f t="shared" si="135"/>
        <v>0</v>
      </c>
      <c r="BX229">
        <f>IF(AND(BW229&gt;=0,BW228&lt;0,MIN($BW$2:BW229)&lt;0),1,0)</f>
        <v>0</v>
      </c>
      <c r="BY229">
        <f>Расчёты!AZ229+AH229+AK229-AM229*N('Исходные данные'!$B$50)</f>
        <v>0</v>
      </c>
      <c r="BZ229">
        <f t="shared" si="136"/>
        <v>0</v>
      </c>
      <c r="CA229">
        <f>IF(AND(BZ229&gt;=0,BZ228&lt;0,MIN($BZ$2:BZ229)&lt;0),1,0)</f>
        <v>0</v>
      </c>
      <c r="CB229">
        <f>Расчёты!AZ229+BE229+BH229-BJ229*N('Исходные данные'!$B$50)</f>
        <v>0</v>
      </c>
      <c r="CC229">
        <f t="shared" si="137"/>
        <v>0</v>
      </c>
      <c r="CD229">
        <f>IF(AND(CC229&gt;=0,CC228&lt;0,MIN($CC$2:CC229)&lt;0),1,0)</f>
        <v>0</v>
      </c>
    </row>
    <row r="230" spans="1:82" x14ac:dyDescent="0.2">
      <c r="A230">
        <f>Расчёты!A230</f>
        <v>229</v>
      </c>
      <c r="B230" t="str">
        <f>Расчёты!B230</f>
        <v/>
      </c>
      <c r="C230" t="str">
        <f>Расчёты!D230</f>
        <v/>
      </c>
      <c r="D230">
        <f>Расчёты!E230</f>
        <v>0</v>
      </c>
      <c r="E230">
        <f>IF(Расчёты!F230=0,0,IF(Расчёты!G230=1,N('Сценарный анализ'!$B$5),IF(Расчёты!G230=2,N('Сценарный анализ'!$B$6),IF(Расчёты!G230=3,N('Сценарный анализ'!$B$7),N('Сценарный анализ'!$B$7)*(1+N('Сценарный анализ'!$B$8))^(Расчёты!G230-3)))))</f>
        <v>0</v>
      </c>
      <c r="F230">
        <f>IF(OR(Расчёты!F230=0,N('Исходные данные'!$B$5)=0,E230=0),0,N('Исходные данные'!$B$5)*E230*IF(AND(B230&lt;='Исходные данные'!$B$30,Расчёты!C230&gt;='Исходные данные'!$B$30),(Расчёты!C230-'Исходные данные'!$B$30+1)/DAY(Расчёты!C230),1))</f>
        <v>0</v>
      </c>
      <c r="G230">
        <f>IF(AND(Расчёты!F230&gt;0,Расчёты!F230&lt;=N('Исходные данные'!$B$37)),-F230,0)</f>
        <v>0</v>
      </c>
      <c r="H230">
        <f>IF(OR(Расчёты!F230=0,Расчёты!F230&lt;=N('Исходные данные'!$B$37)),0,-(F230+G230)*N('Сценарный анализ'!$B$9))</f>
        <v>0</v>
      </c>
      <c r="I230">
        <f t="shared" si="138"/>
        <v>0</v>
      </c>
      <c r="J230">
        <f>IF('Исходные данные'!$B$51="Да",I230*N('Исходные данные'!$B$52),0)</f>
        <v>0</v>
      </c>
      <c r="K230">
        <f t="shared" si="139"/>
        <v>0</v>
      </c>
      <c r="L230">
        <f>I230+(Расчёты!Y230-Расчёты!L230)</f>
        <v>0</v>
      </c>
      <c r="M230">
        <f t="shared" si="126"/>
        <v>0</v>
      </c>
      <c r="N230">
        <f>IF('Исходные данные'!$B$51="Да",-MAX(0,J230+Расчёты!R230+Расчёты!V230-Расчёты!P230-Расчёты!T230-M230),0)</f>
        <v>0</v>
      </c>
      <c r="O230">
        <f>IF('Исходные данные'!$B$51="Да",MAX(0,M230+Расчёты!P230+Расчёты!T230-J230-Расчёты!R230-Расчёты!V230),0)</f>
        <v>0</v>
      </c>
      <c r="P230">
        <f>IF('Исходные данные'!$B$53="Выручка",MAX(0,I230+(Расчёты!Q230-Расчёты!R230)+(Расчёты!U230-Расчёты!V230)),IF('Исходные данные'!$B$53="Прибыль до налога",MAX(0,I230+(Расчёты!Q230-Расчёты!R230)+(Расчёты!U230-Расчёты!V230)+N('Исходные данные'!$B$54)*((Расчёты!O230+Расчёты!P230)+(Расчёты!S230+Расчёты!T230)+Расчёты!W230+Расчёты!X230)+IF('Исходные данные'!$B$55="Да",Расчёты!AG230,0)-N('Исходные данные'!$B$56)/12),IF('Исходные данные'!$B$53="Пользовательская база",MAX(0,N('Исходные данные'!$B$57)/12),0)))</f>
        <v>0</v>
      </c>
      <c r="Q230">
        <f>IF(D230=1,-P230*N('Исходные данные'!$B$50),0)</f>
        <v>0</v>
      </c>
      <c r="R230">
        <f t="shared" si="127"/>
        <v>0</v>
      </c>
      <c r="S230">
        <f>IF(OR(D230&lt;&gt;1,B230="",'Исходные данные'!$B$91="",N('Исходные данные'!$B$80)&lt;=0,'Исходные данные'!$B$88=""),0,IF(AND(YEAR(B230)=YEAR('Исходные данные'!$B$91),MONTH(B230)=MONTH('Исходные данные'!$B$91)),MAX(0,IF('Исходные данные'!$B$88="Последние 12 месяцев",SUMIFS($L$2:$L$194,$B$2:$B$194,"&gt;="&amp;EDATE(B230,-11),$B$2:$B$194,"&lt;="&amp;B230),IF('Исходные данные'!$B$88="Пользовательский NOI",N('Исходные данные'!$B$89),R230))/N('Исходные данные'!$B$80)*(1+N('Исходные данные'!$B$81))),0))</f>
        <v>0</v>
      </c>
      <c r="T230">
        <f>-S230*N('Исходные данные'!$B$73)</f>
        <v>0</v>
      </c>
      <c r="U230">
        <f>IF(S230=0,0,-N('Исходные данные'!$B$87)-IF('Исходные данные'!$B$82="Да",IF('Исходные данные'!$B$84="С выручки",S230,IF('Исходные данные'!$B$84="С прибыли",MAX(0,S230+T230-IF('Исходные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30">
        <f t="shared" si="140"/>
        <v>0</v>
      </c>
      <c r="W230">
        <f>IF(D230=1,Расчёты!AZ230+K230+N230+Q230+V230,0)</f>
        <v>0</v>
      </c>
      <c r="X230" t="str">
        <f t="shared" si="128"/>
        <v/>
      </c>
      <c r="Y230">
        <f>IF(OR(D230=0,'Исходные данные'!$B$9="",'Исходные данные'!$B$90=""),0,W230/(1+'Исходные данные'!$B$90)^((C230-'Исходные данные'!$B$9)/365))</f>
        <v>0</v>
      </c>
      <c r="Z230">
        <f>IF(D230=1,K230+Расчёты!O230+Расчёты!Q230+Расчёты!S230+Расчёты!U230+Расчёты!W230+Расчёты!X230+N230+Q230,0)</f>
        <v>0</v>
      </c>
      <c r="AA230">
        <f>IF(AND(D230=1,X230&gt;=0,X229&lt;0,MIN($X$2:X230)&lt;0),1,0)</f>
        <v>0</v>
      </c>
      <c r="AB230">
        <f>IF(Расчёты!F230=0,0,IF(Расчёты!G230=1,N('Сценарный анализ'!$C$5),IF(Расчёты!G230=2,N('Сценарный анализ'!$C$6),IF(Расчёты!G230=3,N('Сценарный анализ'!$C$7),N('Сценарный анализ'!$C$7)*(1+N('Сценарный анализ'!$C$8))^(Расчёты!G230-3)))))</f>
        <v>0</v>
      </c>
      <c r="AC230">
        <f>IF(OR(Расчёты!F230=0,N('Исходные данные'!$B$5)=0,AB230=0),0,N('Исходные данные'!$B$5)*AB230*IF(AND(B230&lt;='Исходные данные'!$B$30,Расчёты!C230&gt;='Исходные данные'!$B$30),(Расчёты!C230-'Исходные данные'!$B$30+1)/DAY(Расчёты!C230),1))</f>
        <v>0</v>
      </c>
      <c r="AD230">
        <f>IF(AND(Расчёты!F230&gt;0,Расчёты!F230&lt;=N('Исходные данные'!$B$37)),-AC230,0)</f>
        <v>0</v>
      </c>
      <c r="AE230">
        <f>IF(OR(Расчёты!F230=0,Расчёты!F230&lt;=N('Исходные данные'!$B$37)),0,-(AC230+AD230)*N('Сценарный анализ'!$C$9))</f>
        <v>0</v>
      </c>
      <c r="AF230">
        <f t="shared" si="141"/>
        <v>0</v>
      </c>
      <c r="AG230">
        <f>IF('Исходные данные'!$B$51="Да",AF230*N('Исходные данные'!$B$52),0)</f>
        <v>0</v>
      </c>
      <c r="AH230">
        <f t="shared" si="142"/>
        <v>0</v>
      </c>
      <c r="AI230">
        <f>AF230+(Расчёты!Y230-Расчёты!L230)</f>
        <v>0</v>
      </c>
      <c r="AJ230">
        <f t="shared" si="129"/>
        <v>0</v>
      </c>
      <c r="AK230">
        <f>IF('Исходные данные'!$B$51="Да",-MAX(0,AG230+Расчёты!R230+Расчёты!V230-Расчёты!P230-Расчёты!T230-AJ230),0)</f>
        <v>0</v>
      </c>
      <c r="AL230">
        <f>IF('Исходные данные'!$B$51="Да",MAX(0,AJ230+Расчёты!P230+Расчёты!T230-AG230-Расчёты!R230-Расчёты!V230),0)</f>
        <v>0</v>
      </c>
      <c r="AM230">
        <f>IF('Исходные данные'!$B$53="Выручка",MAX(0,AF230+(Расчёты!Q230-Расчёты!R230)+(Расчёты!U230-Расчёты!V230)),IF('Исходные данные'!$B$53="Прибыль до налога",MAX(0,AF230+(Расчёты!Q230-Расчёты!R230)+(Расчёты!U230-Расчёты!V230)+N('Исходные данные'!$B$54)*((Расчёты!O230+Расчёты!P230)+(Расчёты!S230+Расчёты!T230)+Расчёты!W230+Расчёты!X230)+IF('Исходные данные'!$B$55="Да",Расчёты!AG230,0)-N('Исходные данные'!$B$56)/12),IF('Исходные данные'!$B$53="Пользовательская база",MAX(0,N('Исходные данные'!$B$57)/12),0)))</f>
        <v>0</v>
      </c>
      <c r="AN230">
        <f>IF(D230=1,-AM230*N('Исходные данные'!$B$50),0)</f>
        <v>0</v>
      </c>
      <c r="AO230">
        <f t="shared" si="130"/>
        <v>0</v>
      </c>
      <c r="AP230">
        <f>IF(OR(D230&lt;&gt;1,B230="",'Исходные данные'!$B$91="",N('Исходные данные'!$B$80)&lt;=0,'Исходные данные'!$B$88=""),0,IF(AND(YEAR(B230)=YEAR('Исходные данные'!$B$91),MONTH(B230)=MONTH('Исходные данные'!$B$91)),MAX(0,IF('Исходные данные'!$B$88="Последние 12 месяцев",SUMIFS($AI$2:$AI$194,$B$2:$B$194,"&gt;="&amp;EDATE(B230,-11),$B$2:$B$194,"&lt;="&amp;B230),IF('Исходные данные'!$B$88="Пользовательский NOI",N('Исходные данные'!$B$89),AO230))/N('Исходные данные'!$B$80)*(1+N('Исходные данные'!$B$81))),0))</f>
        <v>0</v>
      </c>
      <c r="AQ230">
        <f>-AP230*N('Исходные данные'!$B$73)</f>
        <v>0</v>
      </c>
      <c r="AR230">
        <f>IF(AP230=0,0,-N('Исходные данные'!$B$87)-IF('Исходные данные'!$B$82="Да",IF('Исходные данные'!$B$84="С выручки",AP230,IF('Исходные данные'!$B$84="С прибыли",MAX(0,AP230+AQ230-IF('Исходные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30">
        <f t="shared" si="143"/>
        <v>0</v>
      </c>
      <c r="AT230">
        <f>IF(D230=1,Расчёты!AZ230+AH230+AK230+AN230+AS230,0)</f>
        <v>0</v>
      </c>
      <c r="AU230" t="str">
        <f t="shared" si="131"/>
        <v/>
      </c>
      <c r="AV230">
        <f>IF(OR(D230=0,'Исходные данные'!$B$9="",'Исходные данные'!$B$90=""),0,AT230/(1+'Исходные данные'!$B$90)^((C230-'Исходные данные'!$B$9)/365))</f>
        <v>0</v>
      </c>
      <c r="AW230">
        <f>IF(D230=1,AH230+Расчёты!O230+Расчёты!Q230+Расчёты!S230+Расчёты!U230+Расчёты!W230+Расчёты!X230+AK230+AN230,0)</f>
        <v>0</v>
      </c>
      <c r="AX230">
        <f>IF(AND(D230=1,AU230&gt;=0,AU229&lt;0,MIN($AU$2:AU230)&lt;0),1,0)</f>
        <v>0</v>
      </c>
      <c r="AY230">
        <f>IF(Расчёты!F230=0,0,IF(Расчёты!G230=1,N('Сценарный анализ'!$D$5),IF(Расчёты!G230=2,N('Сценарный анализ'!$D$6),IF(Расчёты!G230=3,N('Сценарный анализ'!$D$7),N('Сценарный анализ'!$D$7)*(1+N('Сценарный анализ'!$D$8))^(Расчёты!G230-3)))))</f>
        <v>0</v>
      </c>
      <c r="AZ230">
        <f>IF(OR(Расчёты!F230=0,N('Исходные данные'!$B$5)=0,AY230=0),0,N('Исходные данные'!$B$5)*AY230*IF(AND(B230&lt;='Исходные данные'!$B$30,Расчёты!C230&gt;='Исходные данные'!$B$30),(Расчёты!C230-'Исходные данные'!$B$30+1)/DAY(Расчёты!C230),1))</f>
        <v>0</v>
      </c>
      <c r="BA230">
        <f>IF(AND(Расчёты!F230&gt;0,Расчёты!F230&lt;=N('Исходные данные'!$B$37)),-AZ230,0)</f>
        <v>0</v>
      </c>
      <c r="BB230">
        <f>IF(OR(Расчёты!F230=0,Расчёты!F230&lt;=N('Исходные данные'!$B$37)),0,-(AZ230+BA230)*N('Сценарный анализ'!$D$9))</f>
        <v>0</v>
      </c>
      <c r="BC230">
        <f t="shared" si="144"/>
        <v>0</v>
      </c>
      <c r="BD230">
        <f>IF('Исходные данные'!$B$51="Да",BC230*N('Исходные данные'!$B$52),0)</f>
        <v>0</v>
      </c>
      <c r="BE230">
        <f t="shared" si="145"/>
        <v>0</v>
      </c>
      <c r="BF230">
        <f>BC230+(Расчёты!Y230-Расчёты!L230)</f>
        <v>0</v>
      </c>
      <c r="BG230">
        <f t="shared" si="132"/>
        <v>0</v>
      </c>
      <c r="BH230">
        <f>IF('Исходные данные'!$B$51="Да",-MAX(0,BD230+Расчёты!R230+Расчёты!V230-Расчёты!P230-Расчёты!T230-BG230),0)</f>
        <v>0</v>
      </c>
      <c r="BI230">
        <f>IF('Исходные данные'!$B$51="Да",MAX(0,BG230+Расчёты!P230+Расчёты!T230-BD230-Расчёты!R230-Расчёты!V230),0)</f>
        <v>0</v>
      </c>
      <c r="BJ230">
        <f>IF('Исходные данные'!$B$53="Выручка",MAX(0,BC230+(Расчёты!Q230-Расчёты!R230)+(Расчёты!U230-Расчёты!V230)),IF('Исходные данные'!$B$53="Прибыль до налога",MAX(0,BC230+(Расчёты!Q230-Расчёты!R230)+(Расчёты!U230-Расчёты!V230)+N('Исходные данные'!$B$54)*((Расчёты!O230+Расчёты!P230)+(Расчёты!S230+Расчёты!T230)+Расчёты!W230+Расчёты!X230)+IF('Исходные данные'!$B$55="Да",Расчёты!AG230,0)-N('Исходные данные'!$B$56)/12),IF('Исходные данные'!$B$53="Пользовательская база",MAX(0,N('Исходные данные'!$B$57)/12),0)))</f>
        <v>0</v>
      </c>
      <c r="BK230">
        <f>IF(D230=1,-BJ230*N('Исходные данные'!$B$50),0)</f>
        <v>0</v>
      </c>
      <c r="BL230">
        <f t="shared" si="133"/>
        <v>0</v>
      </c>
      <c r="BM230">
        <f>IF(OR(D230&lt;&gt;1,B230="",'Исходные данные'!$B$91="",N('Исходные данные'!$B$80)&lt;=0,'Исходные данные'!$B$88=""),0,IF(AND(YEAR(B230)=YEAR('Исходные данные'!$B$91),MONTH(B230)=MONTH('Исходные данные'!$B$91)),MAX(0,IF('Исходные данные'!$B$88="Последние 12 месяцев",SUMIFS($BF$2:$BF$194,$B$2:$B$194,"&gt;="&amp;EDATE(B230,-11),$B$2:$B$194,"&lt;="&amp;B230),IF('Исходные данные'!$B$88="Пользовательский NOI",N('Исходные данные'!$B$89),BL230))/N('Исходные данные'!$B$80)*(1+N('Исходные данные'!$B$81))),0))</f>
        <v>0</v>
      </c>
      <c r="BN230">
        <f>-BM230*N('Исходные данные'!$B$73)</f>
        <v>0</v>
      </c>
      <c r="BO230">
        <f>IF(BM230=0,0,-N('Исходные данные'!$B$87)-IF('Исходные данные'!$B$82="Да",IF('Исходные данные'!$B$84="С выручки",BM230,IF('Исходные данные'!$B$84="С прибыли",MAX(0,BM230+BN230-IF('Исходные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30">
        <f t="shared" si="146"/>
        <v>0</v>
      </c>
      <c r="BQ230">
        <f>IF(D230=1,Расчёты!AZ230+BE230+BH230+BK230+BP230,0)</f>
        <v>0</v>
      </c>
      <c r="BR230" t="str">
        <f t="shared" si="134"/>
        <v/>
      </c>
      <c r="BS230">
        <f>IF(OR(D230=0,'Исходные данные'!$B$9="",'Исходные данные'!$B$90=""),0,BQ230/(1+'Исходные данные'!$B$90)^((C230-'Исходные данные'!$B$9)/365))</f>
        <v>0</v>
      </c>
      <c r="BT230">
        <f>IF(D230=1,BE230+Расчёты!O230+Расчёты!Q230+Расчёты!S230+Расчёты!U230+Расчёты!W230+Расчёты!X230+BH230+BK230,0)</f>
        <v>0</v>
      </c>
      <c r="BU230">
        <f>IF(AND(D230=1,BR230&gt;=0,BR229&lt;0,MIN($BR$2:BR230)&lt;0),1,0)</f>
        <v>0</v>
      </c>
      <c r="BV230">
        <f>Расчёты!AZ230+K230+N230-P230*N('Исходные данные'!$B$50)</f>
        <v>0</v>
      </c>
      <c r="BW230">
        <f t="shared" si="135"/>
        <v>0</v>
      </c>
      <c r="BX230">
        <f>IF(AND(BW230&gt;=0,BW229&lt;0,MIN($BW$2:BW230)&lt;0),1,0)</f>
        <v>0</v>
      </c>
      <c r="BY230">
        <f>Расчёты!AZ230+AH230+AK230-AM230*N('Исходные данные'!$B$50)</f>
        <v>0</v>
      </c>
      <c r="BZ230">
        <f t="shared" si="136"/>
        <v>0</v>
      </c>
      <c r="CA230">
        <f>IF(AND(BZ230&gt;=0,BZ229&lt;0,MIN($BZ$2:BZ230)&lt;0),1,0)</f>
        <v>0</v>
      </c>
      <c r="CB230">
        <f>Расчёты!AZ230+BE230+BH230-BJ230*N('Исходные данные'!$B$50)</f>
        <v>0</v>
      </c>
      <c r="CC230">
        <f t="shared" si="137"/>
        <v>0</v>
      </c>
      <c r="CD230">
        <f>IF(AND(CC230&gt;=0,CC229&lt;0,MIN($CC$2:CC230)&lt;0),1,0)</f>
        <v>0</v>
      </c>
    </row>
    <row r="231" spans="1:82" x14ac:dyDescent="0.2">
      <c r="A231">
        <f>Расчёты!A231</f>
        <v>230</v>
      </c>
      <c r="B231" t="str">
        <f>Расчёты!B231</f>
        <v/>
      </c>
      <c r="C231" t="str">
        <f>Расчёты!D231</f>
        <v/>
      </c>
      <c r="D231">
        <f>Расчёты!E231</f>
        <v>0</v>
      </c>
      <c r="E231">
        <f>IF(Расчёты!F231=0,0,IF(Расчёты!G231=1,N('Сценарный анализ'!$B$5),IF(Расчёты!G231=2,N('Сценарный анализ'!$B$6),IF(Расчёты!G231=3,N('Сценарный анализ'!$B$7),N('Сценарный анализ'!$B$7)*(1+N('Сценарный анализ'!$B$8))^(Расчёты!G231-3)))))</f>
        <v>0</v>
      </c>
      <c r="F231">
        <f>IF(OR(Расчёты!F231=0,N('Исходные данные'!$B$5)=0,E231=0),0,N('Исходные данные'!$B$5)*E231*IF(AND(B231&lt;='Исходные данные'!$B$30,Расчёты!C231&gt;='Исходные данные'!$B$30),(Расчёты!C231-'Исходные данные'!$B$30+1)/DAY(Расчёты!C231),1))</f>
        <v>0</v>
      </c>
      <c r="G231">
        <f>IF(AND(Расчёты!F231&gt;0,Расчёты!F231&lt;=N('Исходные данные'!$B$37)),-F231,0)</f>
        <v>0</v>
      </c>
      <c r="H231">
        <f>IF(OR(Расчёты!F231=0,Расчёты!F231&lt;=N('Исходные данные'!$B$37)),0,-(F231+G231)*N('Сценарный анализ'!$B$9))</f>
        <v>0</v>
      </c>
      <c r="I231">
        <f t="shared" si="138"/>
        <v>0</v>
      </c>
      <c r="J231">
        <f>IF('Исходные данные'!$B$51="Да",I231*N('Исходные данные'!$B$52),0)</f>
        <v>0</v>
      </c>
      <c r="K231">
        <f t="shared" si="139"/>
        <v>0</v>
      </c>
      <c r="L231">
        <f>I231+(Расчёты!Y231-Расчёты!L231)</f>
        <v>0</v>
      </c>
      <c r="M231">
        <f t="shared" si="126"/>
        <v>0</v>
      </c>
      <c r="N231">
        <f>IF('Исходные данные'!$B$51="Да",-MAX(0,J231+Расчёты!R231+Расчёты!V231-Расчёты!P231-Расчёты!T231-M231),0)</f>
        <v>0</v>
      </c>
      <c r="O231">
        <f>IF('Исходные данные'!$B$51="Да",MAX(0,M231+Расчёты!P231+Расчёты!T231-J231-Расчёты!R231-Расчёты!V231),0)</f>
        <v>0</v>
      </c>
      <c r="P231">
        <f>IF('Исходные данные'!$B$53="Выручка",MAX(0,I231+(Расчёты!Q231-Расчёты!R231)+(Расчёты!U231-Расчёты!V231)),IF('Исходные данные'!$B$53="Прибыль до налога",MAX(0,I231+(Расчёты!Q231-Расчёты!R231)+(Расчёты!U231-Расчёты!V231)+N('Исходные данные'!$B$54)*((Расчёты!O231+Расчёты!P231)+(Расчёты!S231+Расчёты!T231)+Расчёты!W231+Расчёты!X231)+IF('Исходные данные'!$B$55="Да",Расчёты!AG231,0)-N('Исходные данные'!$B$56)/12),IF('Исходные данные'!$B$53="Пользовательская база",MAX(0,N('Исходные данные'!$B$57)/12),0)))</f>
        <v>0</v>
      </c>
      <c r="Q231">
        <f>IF(D231=1,-P231*N('Исходные данные'!$B$50),0)</f>
        <v>0</v>
      </c>
      <c r="R231">
        <f t="shared" si="127"/>
        <v>0</v>
      </c>
      <c r="S231">
        <f>IF(OR(D231&lt;&gt;1,B231="",'Исходные данные'!$B$91="",N('Исходные данные'!$B$80)&lt;=0,'Исходные данные'!$B$88=""),0,IF(AND(YEAR(B231)=YEAR('Исходные данные'!$B$91),MONTH(B231)=MONTH('Исходные данные'!$B$91)),MAX(0,IF('Исходные данные'!$B$88="Последние 12 месяцев",SUMIFS($L$2:$L$194,$B$2:$B$194,"&gt;="&amp;EDATE(B231,-11),$B$2:$B$194,"&lt;="&amp;B231),IF('Исходные данные'!$B$88="Пользовательский NOI",N('Исходные данные'!$B$89),R231))/N('Исходные данные'!$B$80)*(1+N('Исходные данные'!$B$81))),0))</f>
        <v>0</v>
      </c>
      <c r="T231">
        <f>-S231*N('Исходные данные'!$B$73)</f>
        <v>0</v>
      </c>
      <c r="U231">
        <f>IF(S231=0,0,-N('Исходные данные'!$B$87)-IF('Исходные данные'!$B$82="Да",IF('Исходные данные'!$B$84="С выручки",S231,IF('Исходные данные'!$B$84="С прибыли",MAX(0,S231+T231-IF('Исходные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31">
        <f t="shared" si="140"/>
        <v>0</v>
      </c>
      <c r="W231">
        <f>IF(D231=1,Расчёты!AZ231+K231+N231+Q231+V231,0)</f>
        <v>0</v>
      </c>
      <c r="X231" t="str">
        <f t="shared" si="128"/>
        <v/>
      </c>
      <c r="Y231">
        <f>IF(OR(D231=0,'Исходные данные'!$B$9="",'Исходные данные'!$B$90=""),0,W231/(1+'Исходные данные'!$B$90)^((C231-'Исходные данные'!$B$9)/365))</f>
        <v>0</v>
      </c>
      <c r="Z231">
        <f>IF(D231=1,K231+Расчёты!O231+Расчёты!Q231+Расчёты!S231+Расчёты!U231+Расчёты!W231+Расчёты!X231+N231+Q231,0)</f>
        <v>0</v>
      </c>
      <c r="AA231">
        <f>IF(AND(D231=1,X231&gt;=0,X230&lt;0,MIN($X$2:X231)&lt;0),1,0)</f>
        <v>0</v>
      </c>
      <c r="AB231">
        <f>IF(Расчёты!F231=0,0,IF(Расчёты!G231=1,N('Сценарный анализ'!$C$5),IF(Расчёты!G231=2,N('Сценарный анализ'!$C$6),IF(Расчёты!G231=3,N('Сценарный анализ'!$C$7),N('Сценарный анализ'!$C$7)*(1+N('Сценарный анализ'!$C$8))^(Расчёты!G231-3)))))</f>
        <v>0</v>
      </c>
      <c r="AC231">
        <f>IF(OR(Расчёты!F231=0,N('Исходные данные'!$B$5)=0,AB231=0),0,N('Исходные данные'!$B$5)*AB231*IF(AND(B231&lt;='Исходные данные'!$B$30,Расчёты!C231&gt;='Исходные данные'!$B$30),(Расчёты!C231-'Исходные данные'!$B$30+1)/DAY(Расчёты!C231),1))</f>
        <v>0</v>
      </c>
      <c r="AD231">
        <f>IF(AND(Расчёты!F231&gt;0,Расчёты!F231&lt;=N('Исходные данные'!$B$37)),-AC231,0)</f>
        <v>0</v>
      </c>
      <c r="AE231">
        <f>IF(OR(Расчёты!F231=0,Расчёты!F231&lt;=N('Исходные данные'!$B$37)),0,-(AC231+AD231)*N('Сценарный анализ'!$C$9))</f>
        <v>0</v>
      </c>
      <c r="AF231">
        <f t="shared" si="141"/>
        <v>0</v>
      </c>
      <c r="AG231">
        <f>IF('Исходные данные'!$B$51="Да",AF231*N('Исходные данные'!$B$52),0)</f>
        <v>0</v>
      </c>
      <c r="AH231">
        <f t="shared" si="142"/>
        <v>0</v>
      </c>
      <c r="AI231">
        <f>AF231+(Расчёты!Y231-Расчёты!L231)</f>
        <v>0</v>
      </c>
      <c r="AJ231">
        <f t="shared" si="129"/>
        <v>0</v>
      </c>
      <c r="AK231">
        <f>IF('Исходные данные'!$B$51="Да",-MAX(0,AG231+Расчёты!R231+Расчёты!V231-Расчёты!P231-Расчёты!T231-AJ231),0)</f>
        <v>0</v>
      </c>
      <c r="AL231">
        <f>IF('Исходные данные'!$B$51="Да",MAX(0,AJ231+Расчёты!P231+Расчёты!T231-AG231-Расчёты!R231-Расчёты!V231),0)</f>
        <v>0</v>
      </c>
      <c r="AM231">
        <f>IF('Исходные данные'!$B$53="Выручка",MAX(0,AF231+(Расчёты!Q231-Расчёты!R231)+(Расчёты!U231-Расчёты!V231)),IF('Исходные данные'!$B$53="Прибыль до налога",MAX(0,AF231+(Расчёты!Q231-Расчёты!R231)+(Расчёты!U231-Расчёты!V231)+N('Исходные данные'!$B$54)*((Расчёты!O231+Расчёты!P231)+(Расчёты!S231+Расчёты!T231)+Расчёты!W231+Расчёты!X231)+IF('Исходные данные'!$B$55="Да",Расчёты!AG231,0)-N('Исходные данные'!$B$56)/12),IF('Исходные данные'!$B$53="Пользовательская база",MAX(0,N('Исходные данные'!$B$57)/12),0)))</f>
        <v>0</v>
      </c>
      <c r="AN231">
        <f>IF(D231=1,-AM231*N('Исходные данные'!$B$50),0)</f>
        <v>0</v>
      </c>
      <c r="AO231">
        <f t="shared" si="130"/>
        <v>0</v>
      </c>
      <c r="AP231">
        <f>IF(OR(D231&lt;&gt;1,B231="",'Исходные данные'!$B$91="",N('Исходные данные'!$B$80)&lt;=0,'Исходные данные'!$B$88=""),0,IF(AND(YEAR(B231)=YEAR('Исходные данные'!$B$91),MONTH(B231)=MONTH('Исходные данные'!$B$91)),MAX(0,IF('Исходные данные'!$B$88="Последние 12 месяцев",SUMIFS($AI$2:$AI$194,$B$2:$B$194,"&gt;="&amp;EDATE(B231,-11),$B$2:$B$194,"&lt;="&amp;B231),IF('Исходные данные'!$B$88="Пользовательский NOI",N('Исходные данные'!$B$89),AO231))/N('Исходные данные'!$B$80)*(1+N('Исходные данные'!$B$81))),0))</f>
        <v>0</v>
      </c>
      <c r="AQ231">
        <f>-AP231*N('Исходные данные'!$B$73)</f>
        <v>0</v>
      </c>
      <c r="AR231">
        <f>IF(AP231=0,0,-N('Исходные данные'!$B$87)-IF('Исходные данные'!$B$82="Да",IF('Исходные данные'!$B$84="С выручки",AP231,IF('Исходные данные'!$B$84="С прибыли",MAX(0,AP231+AQ231-IF('Исходные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31">
        <f t="shared" si="143"/>
        <v>0</v>
      </c>
      <c r="AT231">
        <f>IF(D231=1,Расчёты!AZ231+AH231+AK231+AN231+AS231,0)</f>
        <v>0</v>
      </c>
      <c r="AU231" t="str">
        <f t="shared" si="131"/>
        <v/>
      </c>
      <c r="AV231">
        <f>IF(OR(D231=0,'Исходные данные'!$B$9="",'Исходные данные'!$B$90=""),0,AT231/(1+'Исходные данные'!$B$90)^((C231-'Исходные данные'!$B$9)/365))</f>
        <v>0</v>
      </c>
      <c r="AW231">
        <f>IF(D231=1,AH231+Расчёты!O231+Расчёты!Q231+Расчёты!S231+Расчёты!U231+Расчёты!W231+Расчёты!X231+AK231+AN231,0)</f>
        <v>0</v>
      </c>
      <c r="AX231">
        <f>IF(AND(D231=1,AU231&gt;=0,AU230&lt;0,MIN($AU$2:AU231)&lt;0),1,0)</f>
        <v>0</v>
      </c>
      <c r="AY231">
        <f>IF(Расчёты!F231=0,0,IF(Расчёты!G231=1,N('Сценарный анализ'!$D$5),IF(Расчёты!G231=2,N('Сценарный анализ'!$D$6),IF(Расчёты!G231=3,N('Сценарный анализ'!$D$7),N('Сценарный анализ'!$D$7)*(1+N('Сценарный анализ'!$D$8))^(Расчёты!G231-3)))))</f>
        <v>0</v>
      </c>
      <c r="AZ231">
        <f>IF(OR(Расчёты!F231=0,N('Исходные данные'!$B$5)=0,AY231=0),0,N('Исходные данные'!$B$5)*AY231*IF(AND(B231&lt;='Исходные данные'!$B$30,Расчёты!C231&gt;='Исходные данные'!$B$30),(Расчёты!C231-'Исходные данные'!$B$30+1)/DAY(Расчёты!C231),1))</f>
        <v>0</v>
      </c>
      <c r="BA231">
        <f>IF(AND(Расчёты!F231&gt;0,Расчёты!F231&lt;=N('Исходные данные'!$B$37)),-AZ231,0)</f>
        <v>0</v>
      </c>
      <c r="BB231">
        <f>IF(OR(Расчёты!F231=0,Расчёты!F231&lt;=N('Исходные данные'!$B$37)),0,-(AZ231+BA231)*N('Сценарный анализ'!$D$9))</f>
        <v>0</v>
      </c>
      <c r="BC231">
        <f t="shared" si="144"/>
        <v>0</v>
      </c>
      <c r="BD231">
        <f>IF('Исходные данные'!$B$51="Да",BC231*N('Исходные данные'!$B$52),0)</f>
        <v>0</v>
      </c>
      <c r="BE231">
        <f t="shared" si="145"/>
        <v>0</v>
      </c>
      <c r="BF231">
        <f>BC231+(Расчёты!Y231-Расчёты!L231)</f>
        <v>0</v>
      </c>
      <c r="BG231">
        <f t="shared" si="132"/>
        <v>0</v>
      </c>
      <c r="BH231">
        <f>IF('Исходные данные'!$B$51="Да",-MAX(0,BD231+Расчёты!R231+Расчёты!V231-Расчёты!P231-Расчёты!T231-BG231),0)</f>
        <v>0</v>
      </c>
      <c r="BI231">
        <f>IF('Исходные данные'!$B$51="Да",MAX(0,BG231+Расчёты!P231+Расчёты!T231-BD231-Расчёты!R231-Расчёты!V231),0)</f>
        <v>0</v>
      </c>
      <c r="BJ231">
        <f>IF('Исходные данные'!$B$53="Выручка",MAX(0,BC231+(Расчёты!Q231-Расчёты!R231)+(Расчёты!U231-Расчёты!V231)),IF('Исходные данные'!$B$53="Прибыль до налога",MAX(0,BC231+(Расчёты!Q231-Расчёты!R231)+(Расчёты!U231-Расчёты!V231)+N('Исходные данные'!$B$54)*((Расчёты!O231+Расчёты!P231)+(Расчёты!S231+Расчёты!T231)+Расчёты!W231+Расчёты!X231)+IF('Исходные данные'!$B$55="Да",Расчёты!AG231,0)-N('Исходные данные'!$B$56)/12),IF('Исходные данные'!$B$53="Пользовательская база",MAX(0,N('Исходные данные'!$B$57)/12),0)))</f>
        <v>0</v>
      </c>
      <c r="BK231">
        <f>IF(D231=1,-BJ231*N('Исходные данные'!$B$50),0)</f>
        <v>0</v>
      </c>
      <c r="BL231">
        <f t="shared" si="133"/>
        <v>0</v>
      </c>
      <c r="BM231">
        <f>IF(OR(D231&lt;&gt;1,B231="",'Исходные данные'!$B$91="",N('Исходные данные'!$B$80)&lt;=0,'Исходные данные'!$B$88=""),0,IF(AND(YEAR(B231)=YEAR('Исходные данные'!$B$91),MONTH(B231)=MONTH('Исходные данные'!$B$91)),MAX(0,IF('Исходные данные'!$B$88="Последние 12 месяцев",SUMIFS($BF$2:$BF$194,$B$2:$B$194,"&gt;="&amp;EDATE(B231,-11),$B$2:$B$194,"&lt;="&amp;B231),IF('Исходные данные'!$B$88="Пользовательский NOI",N('Исходные данные'!$B$89),BL231))/N('Исходные данные'!$B$80)*(1+N('Исходные данные'!$B$81))),0))</f>
        <v>0</v>
      </c>
      <c r="BN231">
        <f>-BM231*N('Исходные данные'!$B$73)</f>
        <v>0</v>
      </c>
      <c r="BO231">
        <f>IF(BM231=0,0,-N('Исходные данные'!$B$87)-IF('Исходные данные'!$B$82="Да",IF('Исходные данные'!$B$84="С выручки",BM231,IF('Исходные данные'!$B$84="С прибыли",MAX(0,BM231+BN231-IF('Исходные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31">
        <f t="shared" si="146"/>
        <v>0</v>
      </c>
      <c r="BQ231">
        <f>IF(D231=1,Расчёты!AZ231+BE231+BH231+BK231+BP231,0)</f>
        <v>0</v>
      </c>
      <c r="BR231" t="str">
        <f t="shared" si="134"/>
        <v/>
      </c>
      <c r="BS231">
        <f>IF(OR(D231=0,'Исходные данные'!$B$9="",'Исходные данные'!$B$90=""),0,BQ231/(1+'Исходные данные'!$B$90)^((C231-'Исходные данные'!$B$9)/365))</f>
        <v>0</v>
      </c>
      <c r="BT231">
        <f>IF(D231=1,BE231+Расчёты!O231+Расчёты!Q231+Расчёты!S231+Расчёты!U231+Расчёты!W231+Расчёты!X231+BH231+BK231,0)</f>
        <v>0</v>
      </c>
      <c r="BU231">
        <f>IF(AND(D231=1,BR231&gt;=0,BR230&lt;0,MIN($BR$2:BR231)&lt;0),1,0)</f>
        <v>0</v>
      </c>
      <c r="BV231">
        <f>Расчёты!AZ231+K231+N231-P231*N('Исходные данные'!$B$50)</f>
        <v>0</v>
      </c>
      <c r="BW231">
        <f t="shared" si="135"/>
        <v>0</v>
      </c>
      <c r="BX231">
        <f>IF(AND(BW231&gt;=0,BW230&lt;0,MIN($BW$2:BW231)&lt;0),1,0)</f>
        <v>0</v>
      </c>
      <c r="BY231">
        <f>Расчёты!AZ231+AH231+AK231-AM231*N('Исходные данные'!$B$50)</f>
        <v>0</v>
      </c>
      <c r="BZ231">
        <f t="shared" si="136"/>
        <v>0</v>
      </c>
      <c r="CA231">
        <f>IF(AND(BZ231&gt;=0,BZ230&lt;0,MIN($BZ$2:BZ231)&lt;0),1,0)</f>
        <v>0</v>
      </c>
      <c r="CB231">
        <f>Расчёты!AZ231+BE231+BH231-BJ231*N('Исходные данные'!$B$50)</f>
        <v>0</v>
      </c>
      <c r="CC231">
        <f t="shared" si="137"/>
        <v>0</v>
      </c>
      <c r="CD231">
        <f>IF(AND(CC231&gt;=0,CC230&lt;0,MIN($CC$2:CC231)&lt;0),1,0)</f>
        <v>0</v>
      </c>
    </row>
    <row r="232" spans="1:82" x14ac:dyDescent="0.2">
      <c r="A232">
        <f>Расчёты!A232</f>
        <v>231</v>
      </c>
      <c r="B232" t="str">
        <f>Расчёты!B232</f>
        <v/>
      </c>
      <c r="C232" t="str">
        <f>Расчёты!D232</f>
        <v/>
      </c>
      <c r="D232">
        <f>Расчёты!E232</f>
        <v>0</v>
      </c>
      <c r="E232">
        <f>IF(Расчёты!F232=0,0,IF(Расчёты!G232=1,N('Сценарный анализ'!$B$5),IF(Расчёты!G232=2,N('Сценарный анализ'!$B$6),IF(Расчёты!G232=3,N('Сценарный анализ'!$B$7),N('Сценарный анализ'!$B$7)*(1+N('Сценарный анализ'!$B$8))^(Расчёты!G232-3)))))</f>
        <v>0</v>
      </c>
      <c r="F232">
        <f>IF(OR(Расчёты!F232=0,N('Исходные данные'!$B$5)=0,E232=0),0,N('Исходные данные'!$B$5)*E232*IF(AND(B232&lt;='Исходные данные'!$B$30,Расчёты!C232&gt;='Исходные данные'!$B$30),(Расчёты!C232-'Исходные данные'!$B$30+1)/DAY(Расчёты!C232),1))</f>
        <v>0</v>
      </c>
      <c r="G232">
        <f>IF(AND(Расчёты!F232&gt;0,Расчёты!F232&lt;=N('Исходные данные'!$B$37)),-F232,0)</f>
        <v>0</v>
      </c>
      <c r="H232">
        <f>IF(OR(Расчёты!F232=0,Расчёты!F232&lt;=N('Исходные данные'!$B$37)),0,-(F232+G232)*N('Сценарный анализ'!$B$9))</f>
        <v>0</v>
      </c>
      <c r="I232">
        <f t="shared" si="138"/>
        <v>0</v>
      </c>
      <c r="J232">
        <f>IF('Исходные данные'!$B$51="Да",I232*N('Исходные данные'!$B$52),0)</f>
        <v>0</v>
      </c>
      <c r="K232">
        <f t="shared" si="139"/>
        <v>0</v>
      </c>
      <c r="L232">
        <f>I232+(Расчёты!Y232-Расчёты!L232)</f>
        <v>0</v>
      </c>
      <c r="M232">
        <f t="shared" si="126"/>
        <v>0</v>
      </c>
      <c r="N232">
        <f>IF('Исходные данные'!$B$51="Да",-MAX(0,J232+Расчёты!R232+Расчёты!V232-Расчёты!P232-Расчёты!T232-M232),0)</f>
        <v>0</v>
      </c>
      <c r="O232">
        <f>IF('Исходные данные'!$B$51="Да",MAX(0,M232+Расчёты!P232+Расчёты!T232-J232-Расчёты!R232-Расчёты!V232),0)</f>
        <v>0</v>
      </c>
      <c r="P232">
        <f>IF('Исходные данные'!$B$53="Выручка",MAX(0,I232+(Расчёты!Q232-Расчёты!R232)+(Расчёты!U232-Расчёты!V232)),IF('Исходные данные'!$B$53="Прибыль до налога",MAX(0,I232+(Расчёты!Q232-Расчёты!R232)+(Расчёты!U232-Расчёты!V232)+N('Исходные данные'!$B$54)*((Расчёты!O232+Расчёты!P232)+(Расчёты!S232+Расчёты!T232)+Расчёты!W232+Расчёты!X232)+IF('Исходные данные'!$B$55="Да",Расчёты!AG232,0)-N('Исходные данные'!$B$56)/12),IF('Исходные данные'!$B$53="Пользовательская база",MAX(0,N('Исходные данные'!$B$57)/12),0)))</f>
        <v>0</v>
      </c>
      <c r="Q232">
        <f>IF(D232=1,-P232*N('Исходные данные'!$B$50),0)</f>
        <v>0</v>
      </c>
      <c r="R232">
        <f t="shared" si="127"/>
        <v>0</v>
      </c>
      <c r="S232">
        <f>IF(OR(D232&lt;&gt;1,B232="",'Исходные данные'!$B$91="",N('Исходные данные'!$B$80)&lt;=0,'Исходные данные'!$B$88=""),0,IF(AND(YEAR(B232)=YEAR('Исходные данные'!$B$91),MONTH(B232)=MONTH('Исходные данные'!$B$91)),MAX(0,IF('Исходные данные'!$B$88="Последние 12 месяцев",SUMIFS($L$2:$L$194,$B$2:$B$194,"&gt;="&amp;EDATE(B232,-11),$B$2:$B$194,"&lt;="&amp;B232),IF('Исходные данные'!$B$88="Пользовательский NOI",N('Исходные данные'!$B$89),R232))/N('Исходные данные'!$B$80)*(1+N('Исходные данные'!$B$81))),0))</f>
        <v>0</v>
      </c>
      <c r="T232">
        <f>-S232*N('Исходные данные'!$B$73)</f>
        <v>0</v>
      </c>
      <c r="U232">
        <f>IF(S232=0,0,-N('Исходные данные'!$B$87)-IF('Исходные данные'!$B$82="Да",IF('Исходные данные'!$B$84="С выручки",S232,IF('Исходные данные'!$B$84="С прибыли",MAX(0,S232+T232-IF('Исходные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32">
        <f t="shared" si="140"/>
        <v>0</v>
      </c>
      <c r="W232">
        <f>IF(D232=1,Расчёты!AZ232+K232+N232+Q232+V232,0)</f>
        <v>0</v>
      </c>
      <c r="X232" t="str">
        <f t="shared" si="128"/>
        <v/>
      </c>
      <c r="Y232">
        <f>IF(OR(D232=0,'Исходные данные'!$B$9="",'Исходные данные'!$B$90=""),0,W232/(1+'Исходные данные'!$B$90)^((C232-'Исходные данные'!$B$9)/365))</f>
        <v>0</v>
      </c>
      <c r="Z232">
        <f>IF(D232=1,K232+Расчёты!O232+Расчёты!Q232+Расчёты!S232+Расчёты!U232+Расчёты!W232+Расчёты!X232+N232+Q232,0)</f>
        <v>0</v>
      </c>
      <c r="AA232">
        <f>IF(AND(D232=1,X232&gt;=0,X231&lt;0,MIN($X$2:X232)&lt;0),1,0)</f>
        <v>0</v>
      </c>
      <c r="AB232">
        <f>IF(Расчёты!F232=0,0,IF(Расчёты!G232=1,N('Сценарный анализ'!$C$5),IF(Расчёты!G232=2,N('Сценарный анализ'!$C$6),IF(Расчёты!G232=3,N('Сценарный анализ'!$C$7),N('Сценарный анализ'!$C$7)*(1+N('Сценарный анализ'!$C$8))^(Расчёты!G232-3)))))</f>
        <v>0</v>
      </c>
      <c r="AC232">
        <f>IF(OR(Расчёты!F232=0,N('Исходные данные'!$B$5)=0,AB232=0),0,N('Исходные данные'!$B$5)*AB232*IF(AND(B232&lt;='Исходные данные'!$B$30,Расчёты!C232&gt;='Исходные данные'!$B$30),(Расчёты!C232-'Исходные данные'!$B$30+1)/DAY(Расчёты!C232),1))</f>
        <v>0</v>
      </c>
      <c r="AD232">
        <f>IF(AND(Расчёты!F232&gt;0,Расчёты!F232&lt;=N('Исходные данные'!$B$37)),-AC232,0)</f>
        <v>0</v>
      </c>
      <c r="AE232">
        <f>IF(OR(Расчёты!F232=0,Расчёты!F232&lt;=N('Исходные данные'!$B$37)),0,-(AC232+AD232)*N('Сценарный анализ'!$C$9))</f>
        <v>0</v>
      </c>
      <c r="AF232">
        <f t="shared" si="141"/>
        <v>0</v>
      </c>
      <c r="AG232">
        <f>IF('Исходные данные'!$B$51="Да",AF232*N('Исходные данные'!$B$52),0)</f>
        <v>0</v>
      </c>
      <c r="AH232">
        <f t="shared" si="142"/>
        <v>0</v>
      </c>
      <c r="AI232">
        <f>AF232+(Расчёты!Y232-Расчёты!L232)</f>
        <v>0</v>
      </c>
      <c r="AJ232">
        <f t="shared" si="129"/>
        <v>0</v>
      </c>
      <c r="AK232">
        <f>IF('Исходные данные'!$B$51="Да",-MAX(0,AG232+Расчёты!R232+Расчёты!V232-Расчёты!P232-Расчёты!T232-AJ232),0)</f>
        <v>0</v>
      </c>
      <c r="AL232">
        <f>IF('Исходные данные'!$B$51="Да",MAX(0,AJ232+Расчёты!P232+Расчёты!T232-AG232-Расчёты!R232-Расчёты!V232),0)</f>
        <v>0</v>
      </c>
      <c r="AM232">
        <f>IF('Исходные данные'!$B$53="Выручка",MAX(0,AF232+(Расчёты!Q232-Расчёты!R232)+(Расчёты!U232-Расчёты!V232)),IF('Исходные данные'!$B$53="Прибыль до налога",MAX(0,AF232+(Расчёты!Q232-Расчёты!R232)+(Расчёты!U232-Расчёты!V232)+N('Исходные данные'!$B$54)*((Расчёты!O232+Расчёты!P232)+(Расчёты!S232+Расчёты!T232)+Расчёты!W232+Расчёты!X232)+IF('Исходные данные'!$B$55="Да",Расчёты!AG232,0)-N('Исходные данные'!$B$56)/12),IF('Исходные данные'!$B$53="Пользовательская база",MAX(0,N('Исходные данные'!$B$57)/12),0)))</f>
        <v>0</v>
      </c>
      <c r="AN232">
        <f>IF(D232=1,-AM232*N('Исходные данные'!$B$50),0)</f>
        <v>0</v>
      </c>
      <c r="AO232">
        <f t="shared" si="130"/>
        <v>0</v>
      </c>
      <c r="AP232">
        <f>IF(OR(D232&lt;&gt;1,B232="",'Исходные данные'!$B$91="",N('Исходные данные'!$B$80)&lt;=0,'Исходные данные'!$B$88=""),0,IF(AND(YEAR(B232)=YEAR('Исходные данные'!$B$91),MONTH(B232)=MONTH('Исходные данные'!$B$91)),MAX(0,IF('Исходные данные'!$B$88="Последние 12 месяцев",SUMIFS($AI$2:$AI$194,$B$2:$B$194,"&gt;="&amp;EDATE(B232,-11),$B$2:$B$194,"&lt;="&amp;B232),IF('Исходные данные'!$B$88="Пользовательский NOI",N('Исходные данные'!$B$89),AO232))/N('Исходные данные'!$B$80)*(1+N('Исходные данные'!$B$81))),0))</f>
        <v>0</v>
      </c>
      <c r="AQ232">
        <f>-AP232*N('Исходные данные'!$B$73)</f>
        <v>0</v>
      </c>
      <c r="AR232">
        <f>IF(AP232=0,0,-N('Исходные данные'!$B$87)-IF('Исходные данные'!$B$82="Да",IF('Исходные данные'!$B$84="С выручки",AP232,IF('Исходные данные'!$B$84="С прибыли",MAX(0,AP232+AQ232-IF('Исходные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32">
        <f t="shared" si="143"/>
        <v>0</v>
      </c>
      <c r="AT232">
        <f>IF(D232=1,Расчёты!AZ232+AH232+AK232+AN232+AS232,0)</f>
        <v>0</v>
      </c>
      <c r="AU232" t="str">
        <f t="shared" si="131"/>
        <v/>
      </c>
      <c r="AV232">
        <f>IF(OR(D232=0,'Исходные данные'!$B$9="",'Исходные данные'!$B$90=""),0,AT232/(1+'Исходные данные'!$B$90)^((C232-'Исходные данные'!$B$9)/365))</f>
        <v>0</v>
      </c>
      <c r="AW232">
        <f>IF(D232=1,AH232+Расчёты!O232+Расчёты!Q232+Расчёты!S232+Расчёты!U232+Расчёты!W232+Расчёты!X232+AK232+AN232,0)</f>
        <v>0</v>
      </c>
      <c r="AX232">
        <f>IF(AND(D232=1,AU232&gt;=0,AU231&lt;0,MIN($AU$2:AU232)&lt;0),1,0)</f>
        <v>0</v>
      </c>
      <c r="AY232">
        <f>IF(Расчёты!F232=0,0,IF(Расчёты!G232=1,N('Сценарный анализ'!$D$5),IF(Расчёты!G232=2,N('Сценарный анализ'!$D$6),IF(Расчёты!G232=3,N('Сценарный анализ'!$D$7),N('Сценарный анализ'!$D$7)*(1+N('Сценарный анализ'!$D$8))^(Расчёты!G232-3)))))</f>
        <v>0</v>
      </c>
      <c r="AZ232">
        <f>IF(OR(Расчёты!F232=0,N('Исходные данные'!$B$5)=0,AY232=0),0,N('Исходные данные'!$B$5)*AY232*IF(AND(B232&lt;='Исходные данные'!$B$30,Расчёты!C232&gt;='Исходные данные'!$B$30),(Расчёты!C232-'Исходные данные'!$B$30+1)/DAY(Расчёты!C232),1))</f>
        <v>0</v>
      </c>
      <c r="BA232">
        <f>IF(AND(Расчёты!F232&gt;0,Расчёты!F232&lt;=N('Исходные данные'!$B$37)),-AZ232,0)</f>
        <v>0</v>
      </c>
      <c r="BB232">
        <f>IF(OR(Расчёты!F232=0,Расчёты!F232&lt;=N('Исходные данные'!$B$37)),0,-(AZ232+BA232)*N('Сценарный анализ'!$D$9))</f>
        <v>0</v>
      </c>
      <c r="BC232">
        <f t="shared" si="144"/>
        <v>0</v>
      </c>
      <c r="BD232">
        <f>IF('Исходные данные'!$B$51="Да",BC232*N('Исходные данные'!$B$52),0)</f>
        <v>0</v>
      </c>
      <c r="BE232">
        <f t="shared" si="145"/>
        <v>0</v>
      </c>
      <c r="BF232">
        <f>BC232+(Расчёты!Y232-Расчёты!L232)</f>
        <v>0</v>
      </c>
      <c r="BG232">
        <f t="shared" si="132"/>
        <v>0</v>
      </c>
      <c r="BH232">
        <f>IF('Исходные данные'!$B$51="Да",-MAX(0,BD232+Расчёты!R232+Расчёты!V232-Расчёты!P232-Расчёты!T232-BG232),0)</f>
        <v>0</v>
      </c>
      <c r="BI232">
        <f>IF('Исходные данные'!$B$51="Да",MAX(0,BG232+Расчёты!P232+Расчёты!T232-BD232-Расчёты!R232-Расчёты!V232),0)</f>
        <v>0</v>
      </c>
      <c r="BJ232">
        <f>IF('Исходные данные'!$B$53="Выручка",MAX(0,BC232+(Расчёты!Q232-Расчёты!R232)+(Расчёты!U232-Расчёты!V232)),IF('Исходные данные'!$B$53="Прибыль до налога",MAX(0,BC232+(Расчёты!Q232-Расчёты!R232)+(Расчёты!U232-Расчёты!V232)+N('Исходные данные'!$B$54)*((Расчёты!O232+Расчёты!P232)+(Расчёты!S232+Расчёты!T232)+Расчёты!W232+Расчёты!X232)+IF('Исходные данные'!$B$55="Да",Расчёты!AG232,0)-N('Исходные данные'!$B$56)/12),IF('Исходные данные'!$B$53="Пользовательская база",MAX(0,N('Исходные данные'!$B$57)/12),0)))</f>
        <v>0</v>
      </c>
      <c r="BK232">
        <f>IF(D232=1,-BJ232*N('Исходные данные'!$B$50),0)</f>
        <v>0</v>
      </c>
      <c r="BL232">
        <f t="shared" si="133"/>
        <v>0</v>
      </c>
      <c r="BM232">
        <f>IF(OR(D232&lt;&gt;1,B232="",'Исходные данные'!$B$91="",N('Исходные данные'!$B$80)&lt;=0,'Исходные данные'!$B$88=""),0,IF(AND(YEAR(B232)=YEAR('Исходные данные'!$B$91),MONTH(B232)=MONTH('Исходные данные'!$B$91)),MAX(0,IF('Исходные данные'!$B$88="Последние 12 месяцев",SUMIFS($BF$2:$BF$194,$B$2:$B$194,"&gt;="&amp;EDATE(B232,-11),$B$2:$B$194,"&lt;="&amp;B232),IF('Исходные данные'!$B$88="Пользовательский NOI",N('Исходные данные'!$B$89),BL232))/N('Исходные данные'!$B$80)*(1+N('Исходные данные'!$B$81))),0))</f>
        <v>0</v>
      </c>
      <c r="BN232">
        <f>-BM232*N('Исходные данные'!$B$73)</f>
        <v>0</v>
      </c>
      <c r="BO232">
        <f>IF(BM232=0,0,-N('Исходные данные'!$B$87)-IF('Исходные данные'!$B$82="Да",IF('Исходные данные'!$B$84="С выручки",BM232,IF('Исходные данные'!$B$84="С прибыли",MAX(0,BM232+BN232-IF('Исходные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32">
        <f t="shared" si="146"/>
        <v>0</v>
      </c>
      <c r="BQ232">
        <f>IF(D232=1,Расчёты!AZ232+BE232+BH232+BK232+BP232,0)</f>
        <v>0</v>
      </c>
      <c r="BR232" t="str">
        <f t="shared" si="134"/>
        <v/>
      </c>
      <c r="BS232">
        <f>IF(OR(D232=0,'Исходные данные'!$B$9="",'Исходные данные'!$B$90=""),0,BQ232/(1+'Исходные данные'!$B$90)^((C232-'Исходные данные'!$B$9)/365))</f>
        <v>0</v>
      </c>
      <c r="BT232">
        <f>IF(D232=1,BE232+Расчёты!O232+Расчёты!Q232+Расчёты!S232+Расчёты!U232+Расчёты!W232+Расчёты!X232+BH232+BK232,0)</f>
        <v>0</v>
      </c>
      <c r="BU232">
        <f>IF(AND(D232=1,BR232&gt;=0,BR231&lt;0,MIN($BR$2:BR232)&lt;0),1,0)</f>
        <v>0</v>
      </c>
      <c r="BV232">
        <f>Расчёты!AZ232+K232+N232-P232*N('Исходные данные'!$B$50)</f>
        <v>0</v>
      </c>
      <c r="BW232">
        <f t="shared" si="135"/>
        <v>0</v>
      </c>
      <c r="BX232">
        <f>IF(AND(BW232&gt;=0,BW231&lt;0,MIN($BW$2:BW232)&lt;0),1,0)</f>
        <v>0</v>
      </c>
      <c r="BY232">
        <f>Расчёты!AZ232+AH232+AK232-AM232*N('Исходные данные'!$B$50)</f>
        <v>0</v>
      </c>
      <c r="BZ232">
        <f t="shared" si="136"/>
        <v>0</v>
      </c>
      <c r="CA232">
        <f>IF(AND(BZ232&gt;=0,BZ231&lt;0,MIN($BZ$2:BZ232)&lt;0),1,0)</f>
        <v>0</v>
      </c>
      <c r="CB232">
        <f>Расчёты!AZ232+BE232+BH232-BJ232*N('Исходные данные'!$B$50)</f>
        <v>0</v>
      </c>
      <c r="CC232">
        <f t="shared" si="137"/>
        <v>0</v>
      </c>
      <c r="CD232">
        <f>IF(AND(CC232&gt;=0,CC231&lt;0,MIN($CC$2:CC232)&lt;0),1,0)</f>
        <v>0</v>
      </c>
    </row>
    <row r="233" spans="1:82" x14ac:dyDescent="0.2">
      <c r="A233">
        <f>Расчёты!A233</f>
        <v>232</v>
      </c>
      <c r="B233" t="str">
        <f>Расчёты!B233</f>
        <v/>
      </c>
      <c r="C233" t="str">
        <f>Расчёты!D233</f>
        <v/>
      </c>
      <c r="D233">
        <f>Расчёты!E233</f>
        <v>0</v>
      </c>
      <c r="E233">
        <f>IF(Расчёты!F233=0,0,IF(Расчёты!G233=1,N('Сценарный анализ'!$B$5),IF(Расчёты!G233=2,N('Сценарный анализ'!$B$6),IF(Расчёты!G233=3,N('Сценарный анализ'!$B$7),N('Сценарный анализ'!$B$7)*(1+N('Сценарный анализ'!$B$8))^(Расчёты!G233-3)))))</f>
        <v>0</v>
      </c>
      <c r="F233">
        <f>IF(OR(Расчёты!F233=0,N('Исходные данные'!$B$5)=0,E233=0),0,N('Исходные данные'!$B$5)*E233*IF(AND(B233&lt;='Исходные данные'!$B$30,Расчёты!C233&gt;='Исходные данные'!$B$30),(Расчёты!C233-'Исходные данные'!$B$30+1)/DAY(Расчёты!C233),1))</f>
        <v>0</v>
      </c>
      <c r="G233">
        <f>IF(AND(Расчёты!F233&gt;0,Расчёты!F233&lt;=N('Исходные данные'!$B$37)),-F233,0)</f>
        <v>0</v>
      </c>
      <c r="H233">
        <f>IF(OR(Расчёты!F233=0,Расчёты!F233&lt;=N('Исходные данные'!$B$37)),0,-(F233+G233)*N('Сценарный анализ'!$B$9))</f>
        <v>0</v>
      </c>
      <c r="I233">
        <f t="shared" si="138"/>
        <v>0</v>
      </c>
      <c r="J233">
        <f>IF('Исходные данные'!$B$51="Да",I233*N('Исходные данные'!$B$52),0)</f>
        <v>0</v>
      </c>
      <c r="K233">
        <f t="shared" si="139"/>
        <v>0</v>
      </c>
      <c r="L233">
        <f>I233+(Расчёты!Y233-Расчёты!L233)</f>
        <v>0</v>
      </c>
      <c r="M233">
        <f t="shared" si="126"/>
        <v>0</v>
      </c>
      <c r="N233">
        <f>IF('Исходные данные'!$B$51="Да",-MAX(0,J233+Расчёты!R233+Расчёты!V233-Расчёты!P233-Расчёты!T233-M233),0)</f>
        <v>0</v>
      </c>
      <c r="O233">
        <f>IF('Исходные данные'!$B$51="Да",MAX(0,M233+Расчёты!P233+Расчёты!T233-J233-Расчёты!R233-Расчёты!V233),0)</f>
        <v>0</v>
      </c>
      <c r="P233">
        <f>IF('Исходные данные'!$B$53="Выручка",MAX(0,I233+(Расчёты!Q233-Расчёты!R233)+(Расчёты!U233-Расчёты!V233)),IF('Исходные данные'!$B$53="Прибыль до налога",MAX(0,I233+(Расчёты!Q233-Расчёты!R233)+(Расчёты!U233-Расчёты!V233)+N('Исходные данные'!$B$54)*((Расчёты!O233+Расчёты!P233)+(Расчёты!S233+Расчёты!T233)+Расчёты!W233+Расчёты!X233)+IF('Исходные данные'!$B$55="Да",Расчёты!AG233,0)-N('Исходные данные'!$B$56)/12),IF('Исходные данные'!$B$53="Пользовательская база",MAX(0,N('Исходные данные'!$B$57)/12),0)))</f>
        <v>0</v>
      </c>
      <c r="Q233">
        <f>IF(D233=1,-P233*N('Исходные данные'!$B$50),0)</f>
        <v>0</v>
      </c>
      <c r="R233">
        <f t="shared" si="127"/>
        <v>0</v>
      </c>
      <c r="S233">
        <f>IF(OR(D233&lt;&gt;1,B233="",'Исходные данные'!$B$91="",N('Исходные данные'!$B$80)&lt;=0,'Исходные данные'!$B$88=""),0,IF(AND(YEAR(B233)=YEAR('Исходные данные'!$B$91),MONTH(B233)=MONTH('Исходные данные'!$B$91)),MAX(0,IF('Исходные данные'!$B$88="Последние 12 месяцев",SUMIFS($L$2:$L$194,$B$2:$B$194,"&gt;="&amp;EDATE(B233,-11),$B$2:$B$194,"&lt;="&amp;B233),IF('Исходные данные'!$B$88="Пользовательский NOI",N('Исходные данные'!$B$89),R233))/N('Исходные данные'!$B$80)*(1+N('Исходные данные'!$B$81))),0))</f>
        <v>0</v>
      </c>
      <c r="T233">
        <f>-S233*N('Исходные данные'!$B$73)</f>
        <v>0</v>
      </c>
      <c r="U233">
        <f>IF(S233=0,0,-N('Исходные данные'!$B$87)-IF('Исходные данные'!$B$82="Да",IF('Исходные данные'!$B$84="С выручки",S233,IF('Исходные данные'!$B$84="С прибыли",MAX(0,S233+T233-IF('Исходные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33">
        <f t="shared" si="140"/>
        <v>0</v>
      </c>
      <c r="W233">
        <f>IF(D233=1,Расчёты!AZ233+K233+N233+Q233+V233,0)</f>
        <v>0</v>
      </c>
      <c r="X233" t="str">
        <f t="shared" si="128"/>
        <v/>
      </c>
      <c r="Y233">
        <f>IF(OR(D233=0,'Исходные данные'!$B$9="",'Исходные данные'!$B$90=""),0,W233/(1+'Исходные данные'!$B$90)^((C233-'Исходные данные'!$B$9)/365))</f>
        <v>0</v>
      </c>
      <c r="Z233">
        <f>IF(D233=1,K233+Расчёты!O233+Расчёты!Q233+Расчёты!S233+Расчёты!U233+Расчёты!W233+Расчёты!X233+N233+Q233,0)</f>
        <v>0</v>
      </c>
      <c r="AA233">
        <f>IF(AND(D233=1,X233&gt;=0,X232&lt;0,MIN($X$2:X233)&lt;0),1,0)</f>
        <v>0</v>
      </c>
      <c r="AB233">
        <f>IF(Расчёты!F233=0,0,IF(Расчёты!G233=1,N('Сценарный анализ'!$C$5),IF(Расчёты!G233=2,N('Сценарный анализ'!$C$6),IF(Расчёты!G233=3,N('Сценарный анализ'!$C$7),N('Сценарный анализ'!$C$7)*(1+N('Сценарный анализ'!$C$8))^(Расчёты!G233-3)))))</f>
        <v>0</v>
      </c>
      <c r="AC233">
        <f>IF(OR(Расчёты!F233=0,N('Исходные данные'!$B$5)=0,AB233=0),0,N('Исходные данные'!$B$5)*AB233*IF(AND(B233&lt;='Исходные данные'!$B$30,Расчёты!C233&gt;='Исходные данные'!$B$30),(Расчёты!C233-'Исходные данные'!$B$30+1)/DAY(Расчёты!C233),1))</f>
        <v>0</v>
      </c>
      <c r="AD233">
        <f>IF(AND(Расчёты!F233&gt;0,Расчёты!F233&lt;=N('Исходные данные'!$B$37)),-AC233,0)</f>
        <v>0</v>
      </c>
      <c r="AE233">
        <f>IF(OR(Расчёты!F233=0,Расчёты!F233&lt;=N('Исходные данные'!$B$37)),0,-(AC233+AD233)*N('Сценарный анализ'!$C$9))</f>
        <v>0</v>
      </c>
      <c r="AF233">
        <f t="shared" si="141"/>
        <v>0</v>
      </c>
      <c r="AG233">
        <f>IF('Исходные данные'!$B$51="Да",AF233*N('Исходные данные'!$B$52),0)</f>
        <v>0</v>
      </c>
      <c r="AH233">
        <f t="shared" si="142"/>
        <v>0</v>
      </c>
      <c r="AI233">
        <f>AF233+(Расчёты!Y233-Расчёты!L233)</f>
        <v>0</v>
      </c>
      <c r="AJ233">
        <f t="shared" si="129"/>
        <v>0</v>
      </c>
      <c r="AK233">
        <f>IF('Исходные данные'!$B$51="Да",-MAX(0,AG233+Расчёты!R233+Расчёты!V233-Расчёты!P233-Расчёты!T233-AJ233),0)</f>
        <v>0</v>
      </c>
      <c r="AL233">
        <f>IF('Исходные данные'!$B$51="Да",MAX(0,AJ233+Расчёты!P233+Расчёты!T233-AG233-Расчёты!R233-Расчёты!V233),0)</f>
        <v>0</v>
      </c>
      <c r="AM233">
        <f>IF('Исходные данные'!$B$53="Выручка",MAX(0,AF233+(Расчёты!Q233-Расчёты!R233)+(Расчёты!U233-Расчёты!V233)),IF('Исходные данные'!$B$53="Прибыль до налога",MAX(0,AF233+(Расчёты!Q233-Расчёты!R233)+(Расчёты!U233-Расчёты!V233)+N('Исходные данные'!$B$54)*((Расчёты!O233+Расчёты!P233)+(Расчёты!S233+Расчёты!T233)+Расчёты!W233+Расчёты!X233)+IF('Исходные данные'!$B$55="Да",Расчёты!AG233,0)-N('Исходные данные'!$B$56)/12),IF('Исходные данные'!$B$53="Пользовательская база",MAX(0,N('Исходные данные'!$B$57)/12),0)))</f>
        <v>0</v>
      </c>
      <c r="AN233">
        <f>IF(D233=1,-AM233*N('Исходные данные'!$B$50),0)</f>
        <v>0</v>
      </c>
      <c r="AO233">
        <f t="shared" si="130"/>
        <v>0</v>
      </c>
      <c r="AP233">
        <f>IF(OR(D233&lt;&gt;1,B233="",'Исходные данные'!$B$91="",N('Исходные данные'!$B$80)&lt;=0,'Исходные данные'!$B$88=""),0,IF(AND(YEAR(B233)=YEAR('Исходные данные'!$B$91),MONTH(B233)=MONTH('Исходные данные'!$B$91)),MAX(0,IF('Исходные данные'!$B$88="Последние 12 месяцев",SUMIFS($AI$2:$AI$194,$B$2:$B$194,"&gt;="&amp;EDATE(B233,-11),$B$2:$B$194,"&lt;="&amp;B233),IF('Исходные данные'!$B$88="Пользовательский NOI",N('Исходные данные'!$B$89),AO233))/N('Исходные данные'!$B$80)*(1+N('Исходные данные'!$B$81))),0))</f>
        <v>0</v>
      </c>
      <c r="AQ233">
        <f>-AP233*N('Исходные данные'!$B$73)</f>
        <v>0</v>
      </c>
      <c r="AR233">
        <f>IF(AP233=0,0,-N('Исходные данные'!$B$87)-IF('Исходные данные'!$B$82="Да",IF('Исходные данные'!$B$84="С выручки",AP233,IF('Исходные данные'!$B$84="С прибыли",MAX(0,AP233+AQ233-IF('Исходные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33">
        <f t="shared" si="143"/>
        <v>0</v>
      </c>
      <c r="AT233">
        <f>IF(D233=1,Расчёты!AZ233+AH233+AK233+AN233+AS233,0)</f>
        <v>0</v>
      </c>
      <c r="AU233" t="str">
        <f t="shared" si="131"/>
        <v/>
      </c>
      <c r="AV233">
        <f>IF(OR(D233=0,'Исходные данные'!$B$9="",'Исходные данные'!$B$90=""),0,AT233/(1+'Исходные данные'!$B$90)^((C233-'Исходные данные'!$B$9)/365))</f>
        <v>0</v>
      </c>
      <c r="AW233">
        <f>IF(D233=1,AH233+Расчёты!O233+Расчёты!Q233+Расчёты!S233+Расчёты!U233+Расчёты!W233+Расчёты!X233+AK233+AN233,0)</f>
        <v>0</v>
      </c>
      <c r="AX233">
        <f>IF(AND(D233=1,AU233&gt;=0,AU232&lt;0,MIN($AU$2:AU233)&lt;0),1,0)</f>
        <v>0</v>
      </c>
      <c r="AY233">
        <f>IF(Расчёты!F233=0,0,IF(Расчёты!G233=1,N('Сценарный анализ'!$D$5),IF(Расчёты!G233=2,N('Сценарный анализ'!$D$6),IF(Расчёты!G233=3,N('Сценарный анализ'!$D$7),N('Сценарный анализ'!$D$7)*(1+N('Сценарный анализ'!$D$8))^(Расчёты!G233-3)))))</f>
        <v>0</v>
      </c>
      <c r="AZ233">
        <f>IF(OR(Расчёты!F233=0,N('Исходные данные'!$B$5)=0,AY233=0),0,N('Исходные данные'!$B$5)*AY233*IF(AND(B233&lt;='Исходные данные'!$B$30,Расчёты!C233&gt;='Исходные данные'!$B$30),(Расчёты!C233-'Исходные данные'!$B$30+1)/DAY(Расчёты!C233),1))</f>
        <v>0</v>
      </c>
      <c r="BA233">
        <f>IF(AND(Расчёты!F233&gt;0,Расчёты!F233&lt;=N('Исходные данные'!$B$37)),-AZ233,0)</f>
        <v>0</v>
      </c>
      <c r="BB233">
        <f>IF(OR(Расчёты!F233=0,Расчёты!F233&lt;=N('Исходные данные'!$B$37)),0,-(AZ233+BA233)*N('Сценарный анализ'!$D$9))</f>
        <v>0</v>
      </c>
      <c r="BC233">
        <f t="shared" si="144"/>
        <v>0</v>
      </c>
      <c r="BD233">
        <f>IF('Исходные данные'!$B$51="Да",BC233*N('Исходные данные'!$B$52),0)</f>
        <v>0</v>
      </c>
      <c r="BE233">
        <f t="shared" si="145"/>
        <v>0</v>
      </c>
      <c r="BF233">
        <f>BC233+(Расчёты!Y233-Расчёты!L233)</f>
        <v>0</v>
      </c>
      <c r="BG233">
        <f t="shared" si="132"/>
        <v>0</v>
      </c>
      <c r="BH233">
        <f>IF('Исходные данные'!$B$51="Да",-MAX(0,BD233+Расчёты!R233+Расчёты!V233-Расчёты!P233-Расчёты!T233-BG233),0)</f>
        <v>0</v>
      </c>
      <c r="BI233">
        <f>IF('Исходные данные'!$B$51="Да",MAX(0,BG233+Расчёты!P233+Расчёты!T233-BD233-Расчёты!R233-Расчёты!V233),0)</f>
        <v>0</v>
      </c>
      <c r="BJ233">
        <f>IF('Исходные данные'!$B$53="Выручка",MAX(0,BC233+(Расчёты!Q233-Расчёты!R233)+(Расчёты!U233-Расчёты!V233)),IF('Исходные данные'!$B$53="Прибыль до налога",MAX(0,BC233+(Расчёты!Q233-Расчёты!R233)+(Расчёты!U233-Расчёты!V233)+N('Исходные данные'!$B$54)*((Расчёты!O233+Расчёты!P233)+(Расчёты!S233+Расчёты!T233)+Расчёты!W233+Расчёты!X233)+IF('Исходные данные'!$B$55="Да",Расчёты!AG233,0)-N('Исходные данные'!$B$56)/12),IF('Исходные данные'!$B$53="Пользовательская база",MAX(0,N('Исходные данные'!$B$57)/12),0)))</f>
        <v>0</v>
      </c>
      <c r="BK233">
        <f>IF(D233=1,-BJ233*N('Исходные данные'!$B$50),0)</f>
        <v>0</v>
      </c>
      <c r="BL233">
        <f t="shared" si="133"/>
        <v>0</v>
      </c>
      <c r="BM233">
        <f>IF(OR(D233&lt;&gt;1,B233="",'Исходные данные'!$B$91="",N('Исходные данные'!$B$80)&lt;=0,'Исходные данные'!$B$88=""),0,IF(AND(YEAR(B233)=YEAR('Исходные данные'!$B$91),MONTH(B233)=MONTH('Исходные данные'!$B$91)),MAX(0,IF('Исходные данные'!$B$88="Последние 12 месяцев",SUMIFS($BF$2:$BF$194,$B$2:$B$194,"&gt;="&amp;EDATE(B233,-11),$B$2:$B$194,"&lt;="&amp;B233),IF('Исходные данные'!$B$88="Пользовательский NOI",N('Исходные данные'!$B$89),BL233))/N('Исходные данные'!$B$80)*(1+N('Исходные данные'!$B$81))),0))</f>
        <v>0</v>
      </c>
      <c r="BN233">
        <f>-BM233*N('Исходные данные'!$B$73)</f>
        <v>0</v>
      </c>
      <c r="BO233">
        <f>IF(BM233=0,0,-N('Исходные данные'!$B$87)-IF('Исходные данные'!$B$82="Да",IF('Исходные данные'!$B$84="С выручки",BM233,IF('Исходные данные'!$B$84="С прибыли",MAX(0,BM233+BN233-IF('Исходные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33">
        <f t="shared" si="146"/>
        <v>0</v>
      </c>
      <c r="BQ233">
        <f>IF(D233=1,Расчёты!AZ233+BE233+BH233+BK233+BP233,0)</f>
        <v>0</v>
      </c>
      <c r="BR233" t="str">
        <f t="shared" si="134"/>
        <v/>
      </c>
      <c r="BS233">
        <f>IF(OR(D233=0,'Исходные данные'!$B$9="",'Исходные данные'!$B$90=""),0,BQ233/(1+'Исходные данные'!$B$90)^((C233-'Исходные данные'!$B$9)/365))</f>
        <v>0</v>
      </c>
      <c r="BT233">
        <f>IF(D233=1,BE233+Расчёты!O233+Расчёты!Q233+Расчёты!S233+Расчёты!U233+Расчёты!W233+Расчёты!X233+BH233+BK233,0)</f>
        <v>0</v>
      </c>
      <c r="BU233">
        <f>IF(AND(D233=1,BR233&gt;=0,BR232&lt;0,MIN($BR$2:BR233)&lt;0),1,0)</f>
        <v>0</v>
      </c>
      <c r="BV233">
        <f>Расчёты!AZ233+K233+N233-P233*N('Исходные данные'!$B$50)</f>
        <v>0</v>
      </c>
      <c r="BW233">
        <f t="shared" si="135"/>
        <v>0</v>
      </c>
      <c r="BX233">
        <f>IF(AND(BW233&gt;=0,BW232&lt;0,MIN($BW$2:BW233)&lt;0),1,0)</f>
        <v>0</v>
      </c>
      <c r="BY233">
        <f>Расчёты!AZ233+AH233+AK233-AM233*N('Исходные данные'!$B$50)</f>
        <v>0</v>
      </c>
      <c r="BZ233">
        <f t="shared" si="136"/>
        <v>0</v>
      </c>
      <c r="CA233">
        <f>IF(AND(BZ233&gt;=0,BZ232&lt;0,MIN($BZ$2:BZ233)&lt;0),1,0)</f>
        <v>0</v>
      </c>
      <c r="CB233">
        <f>Расчёты!AZ233+BE233+BH233-BJ233*N('Исходные данные'!$B$50)</f>
        <v>0</v>
      </c>
      <c r="CC233">
        <f t="shared" si="137"/>
        <v>0</v>
      </c>
      <c r="CD233">
        <f>IF(AND(CC233&gt;=0,CC232&lt;0,MIN($CC$2:CC233)&lt;0),1,0)</f>
        <v>0</v>
      </c>
    </row>
    <row r="234" spans="1:82" x14ac:dyDescent="0.2">
      <c r="A234">
        <f>Расчёты!A234</f>
        <v>233</v>
      </c>
      <c r="B234" t="str">
        <f>Расчёты!B234</f>
        <v/>
      </c>
      <c r="C234" t="str">
        <f>Расчёты!D234</f>
        <v/>
      </c>
      <c r="D234">
        <f>Расчёты!E234</f>
        <v>0</v>
      </c>
      <c r="E234">
        <f>IF(Расчёты!F234=0,0,IF(Расчёты!G234=1,N('Сценарный анализ'!$B$5),IF(Расчёты!G234=2,N('Сценарный анализ'!$B$6),IF(Расчёты!G234=3,N('Сценарный анализ'!$B$7),N('Сценарный анализ'!$B$7)*(1+N('Сценарный анализ'!$B$8))^(Расчёты!G234-3)))))</f>
        <v>0</v>
      </c>
      <c r="F234">
        <f>IF(OR(Расчёты!F234=0,N('Исходные данные'!$B$5)=0,E234=0),0,N('Исходные данные'!$B$5)*E234*IF(AND(B234&lt;='Исходные данные'!$B$30,Расчёты!C234&gt;='Исходные данные'!$B$30),(Расчёты!C234-'Исходные данные'!$B$30+1)/DAY(Расчёты!C234),1))</f>
        <v>0</v>
      </c>
      <c r="G234">
        <f>IF(AND(Расчёты!F234&gt;0,Расчёты!F234&lt;=N('Исходные данные'!$B$37)),-F234,0)</f>
        <v>0</v>
      </c>
      <c r="H234">
        <f>IF(OR(Расчёты!F234=0,Расчёты!F234&lt;=N('Исходные данные'!$B$37)),0,-(F234+G234)*N('Сценарный анализ'!$B$9))</f>
        <v>0</v>
      </c>
      <c r="I234">
        <f t="shared" si="138"/>
        <v>0</v>
      </c>
      <c r="J234">
        <f>IF('Исходные данные'!$B$51="Да",I234*N('Исходные данные'!$B$52),0)</f>
        <v>0</v>
      </c>
      <c r="K234">
        <f t="shared" si="139"/>
        <v>0</v>
      </c>
      <c r="L234">
        <f>I234+(Расчёты!Y234-Расчёты!L234)</f>
        <v>0</v>
      </c>
      <c r="M234">
        <f t="shared" si="126"/>
        <v>0</v>
      </c>
      <c r="N234">
        <f>IF('Исходные данные'!$B$51="Да",-MAX(0,J234+Расчёты!R234+Расчёты!V234-Расчёты!P234-Расчёты!T234-M234),0)</f>
        <v>0</v>
      </c>
      <c r="O234">
        <f>IF('Исходные данные'!$B$51="Да",MAX(0,M234+Расчёты!P234+Расчёты!T234-J234-Расчёты!R234-Расчёты!V234),0)</f>
        <v>0</v>
      </c>
      <c r="P234">
        <f>IF('Исходные данные'!$B$53="Выручка",MAX(0,I234+(Расчёты!Q234-Расчёты!R234)+(Расчёты!U234-Расчёты!V234)),IF('Исходные данные'!$B$53="Прибыль до налога",MAX(0,I234+(Расчёты!Q234-Расчёты!R234)+(Расчёты!U234-Расчёты!V234)+N('Исходные данные'!$B$54)*((Расчёты!O234+Расчёты!P234)+(Расчёты!S234+Расчёты!T234)+Расчёты!W234+Расчёты!X234)+IF('Исходные данные'!$B$55="Да",Расчёты!AG234,0)-N('Исходные данные'!$B$56)/12),IF('Исходные данные'!$B$53="Пользовательская база",MAX(0,N('Исходные данные'!$B$57)/12),0)))</f>
        <v>0</v>
      </c>
      <c r="Q234">
        <f>IF(D234=1,-P234*N('Исходные данные'!$B$50),0)</f>
        <v>0</v>
      </c>
      <c r="R234">
        <f t="shared" si="127"/>
        <v>0</v>
      </c>
      <c r="S234">
        <f>IF(OR(D234&lt;&gt;1,B234="",'Исходные данные'!$B$91="",N('Исходные данные'!$B$80)&lt;=0,'Исходные данные'!$B$88=""),0,IF(AND(YEAR(B234)=YEAR('Исходные данные'!$B$91),MONTH(B234)=MONTH('Исходные данные'!$B$91)),MAX(0,IF('Исходные данные'!$B$88="Последние 12 месяцев",SUMIFS($L$2:$L$194,$B$2:$B$194,"&gt;="&amp;EDATE(B234,-11),$B$2:$B$194,"&lt;="&amp;B234),IF('Исходные данные'!$B$88="Пользовательский NOI",N('Исходные данные'!$B$89),R234))/N('Исходные данные'!$B$80)*(1+N('Исходные данные'!$B$81))),0))</f>
        <v>0</v>
      </c>
      <c r="T234">
        <f>-S234*N('Исходные данные'!$B$73)</f>
        <v>0</v>
      </c>
      <c r="U234">
        <f>IF(S234=0,0,-N('Исходные данные'!$B$87)-IF('Исходные данные'!$B$82="Да",IF('Исходные данные'!$B$84="С выручки",S234,IF('Исходные данные'!$B$84="С прибыли",MAX(0,S234+T234-IF('Исходные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34">
        <f t="shared" si="140"/>
        <v>0</v>
      </c>
      <c r="W234">
        <f>IF(D234=1,Расчёты!AZ234+K234+N234+Q234+V234,0)</f>
        <v>0</v>
      </c>
      <c r="X234" t="str">
        <f t="shared" si="128"/>
        <v/>
      </c>
      <c r="Y234">
        <f>IF(OR(D234=0,'Исходные данные'!$B$9="",'Исходные данные'!$B$90=""),0,W234/(1+'Исходные данные'!$B$90)^((C234-'Исходные данные'!$B$9)/365))</f>
        <v>0</v>
      </c>
      <c r="Z234">
        <f>IF(D234=1,K234+Расчёты!O234+Расчёты!Q234+Расчёты!S234+Расчёты!U234+Расчёты!W234+Расчёты!X234+N234+Q234,0)</f>
        <v>0</v>
      </c>
      <c r="AA234">
        <f>IF(AND(D234=1,X234&gt;=0,X233&lt;0,MIN($X$2:X234)&lt;0),1,0)</f>
        <v>0</v>
      </c>
      <c r="AB234">
        <f>IF(Расчёты!F234=0,0,IF(Расчёты!G234=1,N('Сценарный анализ'!$C$5),IF(Расчёты!G234=2,N('Сценарный анализ'!$C$6),IF(Расчёты!G234=3,N('Сценарный анализ'!$C$7),N('Сценарный анализ'!$C$7)*(1+N('Сценарный анализ'!$C$8))^(Расчёты!G234-3)))))</f>
        <v>0</v>
      </c>
      <c r="AC234">
        <f>IF(OR(Расчёты!F234=0,N('Исходные данные'!$B$5)=0,AB234=0),0,N('Исходные данные'!$B$5)*AB234*IF(AND(B234&lt;='Исходные данные'!$B$30,Расчёты!C234&gt;='Исходные данные'!$B$30),(Расчёты!C234-'Исходные данные'!$B$30+1)/DAY(Расчёты!C234),1))</f>
        <v>0</v>
      </c>
      <c r="AD234">
        <f>IF(AND(Расчёты!F234&gt;0,Расчёты!F234&lt;=N('Исходные данные'!$B$37)),-AC234,0)</f>
        <v>0</v>
      </c>
      <c r="AE234">
        <f>IF(OR(Расчёты!F234=0,Расчёты!F234&lt;=N('Исходные данные'!$B$37)),0,-(AC234+AD234)*N('Сценарный анализ'!$C$9))</f>
        <v>0</v>
      </c>
      <c r="AF234">
        <f t="shared" si="141"/>
        <v>0</v>
      </c>
      <c r="AG234">
        <f>IF('Исходные данные'!$B$51="Да",AF234*N('Исходные данные'!$B$52),0)</f>
        <v>0</v>
      </c>
      <c r="AH234">
        <f t="shared" si="142"/>
        <v>0</v>
      </c>
      <c r="AI234">
        <f>AF234+(Расчёты!Y234-Расчёты!L234)</f>
        <v>0</v>
      </c>
      <c r="AJ234">
        <f t="shared" si="129"/>
        <v>0</v>
      </c>
      <c r="AK234">
        <f>IF('Исходные данные'!$B$51="Да",-MAX(0,AG234+Расчёты!R234+Расчёты!V234-Расчёты!P234-Расчёты!T234-AJ234),0)</f>
        <v>0</v>
      </c>
      <c r="AL234">
        <f>IF('Исходные данные'!$B$51="Да",MAX(0,AJ234+Расчёты!P234+Расчёты!T234-AG234-Расчёты!R234-Расчёты!V234),0)</f>
        <v>0</v>
      </c>
      <c r="AM234">
        <f>IF('Исходные данные'!$B$53="Выручка",MAX(0,AF234+(Расчёты!Q234-Расчёты!R234)+(Расчёты!U234-Расчёты!V234)),IF('Исходные данные'!$B$53="Прибыль до налога",MAX(0,AF234+(Расчёты!Q234-Расчёты!R234)+(Расчёты!U234-Расчёты!V234)+N('Исходные данные'!$B$54)*((Расчёты!O234+Расчёты!P234)+(Расчёты!S234+Расчёты!T234)+Расчёты!W234+Расчёты!X234)+IF('Исходные данные'!$B$55="Да",Расчёты!AG234,0)-N('Исходные данные'!$B$56)/12),IF('Исходные данные'!$B$53="Пользовательская база",MAX(0,N('Исходные данные'!$B$57)/12),0)))</f>
        <v>0</v>
      </c>
      <c r="AN234">
        <f>IF(D234=1,-AM234*N('Исходные данные'!$B$50),0)</f>
        <v>0</v>
      </c>
      <c r="AO234">
        <f t="shared" si="130"/>
        <v>0</v>
      </c>
      <c r="AP234">
        <f>IF(OR(D234&lt;&gt;1,B234="",'Исходные данные'!$B$91="",N('Исходные данные'!$B$80)&lt;=0,'Исходные данные'!$B$88=""),0,IF(AND(YEAR(B234)=YEAR('Исходные данные'!$B$91),MONTH(B234)=MONTH('Исходные данные'!$B$91)),MAX(0,IF('Исходные данные'!$B$88="Последние 12 месяцев",SUMIFS($AI$2:$AI$194,$B$2:$B$194,"&gt;="&amp;EDATE(B234,-11),$B$2:$B$194,"&lt;="&amp;B234),IF('Исходные данные'!$B$88="Пользовательский NOI",N('Исходные данные'!$B$89),AO234))/N('Исходные данные'!$B$80)*(1+N('Исходные данные'!$B$81))),0))</f>
        <v>0</v>
      </c>
      <c r="AQ234">
        <f>-AP234*N('Исходные данные'!$B$73)</f>
        <v>0</v>
      </c>
      <c r="AR234">
        <f>IF(AP234=0,0,-N('Исходные данные'!$B$87)-IF('Исходные данные'!$B$82="Да",IF('Исходные данные'!$B$84="С выручки",AP234,IF('Исходные данные'!$B$84="С прибыли",MAX(0,AP234+AQ234-IF('Исходные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34">
        <f t="shared" si="143"/>
        <v>0</v>
      </c>
      <c r="AT234">
        <f>IF(D234=1,Расчёты!AZ234+AH234+AK234+AN234+AS234,0)</f>
        <v>0</v>
      </c>
      <c r="AU234" t="str">
        <f t="shared" si="131"/>
        <v/>
      </c>
      <c r="AV234">
        <f>IF(OR(D234=0,'Исходные данные'!$B$9="",'Исходные данные'!$B$90=""),0,AT234/(1+'Исходные данные'!$B$90)^((C234-'Исходные данные'!$B$9)/365))</f>
        <v>0</v>
      </c>
      <c r="AW234">
        <f>IF(D234=1,AH234+Расчёты!O234+Расчёты!Q234+Расчёты!S234+Расчёты!U234+Расчёты!W234+Расчёты!X234+AK234+AN234,0)</f>
        <v>0</v>
      </c>
      <c r="AX234">
        <f>IF(AND(D234=1,AU234&gt;=0,AU233&lt;0,MIN($AU$2:AU234)&lt;0),1,0)</f>
        <v>0</v>
      </c>
      <c r="AY234">
        <f>IF(Расчёты!F234=0,0,IF(Расчёты!G234=1,N('Сценарный анализ'!$D$5),IF(Расчёты!G234=2,N('Сценарный анализ'!$D$6),IF(Расчёты!G234=3,N('Сценарный анализ'!$D$7),N('Сценарный анализ'!$D$7)*(1+N('Сценарный анализ'!$D$8))^(Расчёты!G234-3)))))</f>
        <v>0</v>
      </c>
      <c r="AZ234">
        <f>IF(OR(Расчёты!F234=0,N('Исходные данные'!$B$5)=0,AY234=0),0,N('Исходные данные'!$B$5)*AY234*IF(AND(B234&lt;='Исходные данные'!$B$30,Расчёты!C234&gt;='Исходные данные'!$B$30),(Расчёты!C234-'Исходные данные'!$B$30+1)/DAY(Расчёты!C234),1))</f>
        <v>0</v>
      </c>
      <c r="BA234">
        <f>IF(AND(Расчёты!F234&gt;0,Расчёты!F234&lt;=N('Исходные данные'!$B$37)),-AZ234,0)</f>
        <v>0</v>
      </c>
      <c r="BB234">
        <f>IF(OR(Расчёты!F234=0,Расчёты!F234&lt;=N('Исходные данные'!$B$37)),0,-(AZ234+BA234)*N('Сценарный анализ'!$D$9))</f>
        <v>0</v>
      </c>
      <c r="BC234">
        <f t="shared" si="144"/>
        <v>0</v>
      </c>
      <c r="BD234">
        <f>IF('Исходные данные'!$B$51="Да",BC234*N('Исходные данные'!$B$52),0)</f>
        <v>0</v>
      </c>
      <c r="BE234">
        <f t="shared" si="145"/>
        <v>0</v>
      </c>
      <c r="BF234">
        <f>BC234+(Расчёты!Y234-Расчёты!L234)</f>
        <v>0</v>
      </c>
      <c r="BG234">
        <f t="shared" si="132"/>
        <v>0</v>
      </c>
      <c r="BH234">
        <f>IF('Исходные данные'!$B$51="Да",-MAX(0,BD234+Расчёты!R234+Расчёты!V234-Расчёты!P234-Расчёты!T234-BG234),0)</f>
        <v>0</v>
      </c>
      <c r="BI234">
        <f>IF('Исходные данные'!$B$51="Да",MAX(0,BG234+Расчёты!P234+Расчёты!T234-BD234-Расчёты!R234-Расчёты!V234),0)</f>
        <v>0</v>
      </c>
      <c r="BJ234">
        <f>IF('Исходные данные'!$B$53="Выручка",MAX(0,BC234+(Расчёты!Q234-Расчёты!R234)+(Расчёты!U234-Расчёты!V234)),IF('Исходные данные'!$B$53="Прибыль до налога",MAX(0,BC234+(Расчёты!Q234-Расчёты!R234)+(Расчёты!U234-Расчёты!V234)+N('Исходные данные'!$B$54)*((Расчёты!O234+Расчёты!P234)+(Расчёты!S234+Расчёты!T234)+Расчёты!W234+Расчёты!X234)+IF('Исходные данные'!$B$55="Да",Расчёты!AG234,0)-N('Исходные данные'!$B$56)/12),IF('Исходные данные'!$B$53="Пользовательская база",MAX(0,N('Исходные данные'!$B$57)/12),0)))</f>
        <v>0</v>
      </c>
      <c r="BK234">
        <f>IF(D234=1,-BJ234*N('Исходные данные'!$B$50),0)</f>
        <v>0</v>
      </c>
      <c r="BL234">
        <f t="shared" si="133"/>
        <v>0</v>
      </c>
      <c r="BM234">
        <f>IF(OR(D234&lt;&gt;1,B234="",'Исходные данные'!$B$91="",N('Исходные данные'!$B$80)&lt;=0,'Исходные данные'!$B$88=""),0,IF(AND(YEAR(B234)=YEAR('Исходные данные'!$B$91),MONTH(B234)=MONTH('Исходные данные'!$B$91)),MAX(0,IF('Исходные данные'!$B$88="Последние 12 месяцев",SUMIFS($BF$2:$BF$194,$B$2:$B$194,"&gt;="&amp;EDATE(B234,-11),$B$2:$B$194,"&lt;="&amp;B234),IF('Исходные данные'!$B$88="Пользовательский NOI",N('Исходные данные'!$B$89),BL234))/N('Исходные данные'!$B$80)*(1+N('Исходные данные'!$B$81))),0))</f>
        <v>0</v>
      </c>
      <c r="BN234">
        <f>-BM234*N('Исходные данные'!$B$73)</f>
        <v>0</v>
      </c>
      <c r="BO234">
        <f>IF(BM234=0,0,-N('Исходные данные'!$B$87)-IF('Исходные данные'!$B$82="Да",IF('Исходные данные'!$B$84="С выручки",BM234,IF('Исходные данные'!$B$84="С прибыли",MAX(0,BM234+BN234-IF('Исходные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34">
        <f t="shared" si="146"/>
        <v>0</v>
      </c>
      <c r="BQ234">
        <f>IF(D234=1,Расчёты!AZ234+BE234+BH234+BK234+BP234,0)</f>
        <v>0</v>
      </c>
      <c r="BR234" t="str">
        <f t="shared" si="134"/>
        <v/>
      </c>
      <c r="BS234">
        <f>IF(OR(D234=0,'Исходные данные'!$B$9="",'Исходные данные'!$B$90=""),0,BQ234/(1+'Исходные данные'!$B$90)^((C234-'Исходные данные'!$B$9)/365))</f>
        <v>0</v>
      </c>
      <c r="BT234">
        <f>IF(D234=1,BE234+Расчёты!O234+Расчёты!Q234+Расчёты!S234+Расчёты!U234+Расчёты!W234+Расчёты!X234+BH234+BK234,0)</f>
        <v>0</v>
      </c>
      <c r="BU234">
        <f>IF(AND(D234=1,BR234&gt;=0,BR233&lt;0,MIN($BR$2:BR234)&lt;0),1,0)</f>
        <v>0</v>
      </c>
      <c r="BV234">
        <f>Расчёты!AZ234+K234+N234-P234*N('Исходные данные'!$B$50)</f>
        <v>0</v>
      </c>
      <c r="BW234">
        <f t="shared" si="135"/>
        <v>0</v>
      </c>
      <c r="BX234">
        <f>IF(AND(BW234&gt;=0,BW233&lt;0,MIN($BW$2:BW234)&lt;0),1,0)</f>
        <v>0</v>
      </c>
      <c r="BY234">
        <f>Расчёты!AZ234+AH234+AK234-AM234*N('Исходные данные'!$B$50)</f>
        <v>0</v>
      </c>
      <c r="BZ234">
        <f t="shared" si="136"/>
        <v>0</v>
      </c>
      <c r="CA234">
        <f>IF(AND(BZ234&gt;=0,BZ233&lt;0,MIN($BZ$2:BZ234)&lt;0),1,0)</f>
        <v>0</v>
      </c>
      <c r="CB234">
        <f>Расчёты!AZ234+BE234+BH234-BJ234*N('Исходные данные'!$B$50)</f>
        <v>0</v>
      </c>
      <c r="CC234">
        <f t="shared" si="137"/>
        <v>0</v>
      </c>
      <c r="CD234">
        <f>IF(AND(CC234&gt;=0,CC233&lt;0,MIN($CC$2:CC234)&lt;0),1,0)</f>
        <v>0</v>
      </c>
    </row>
    <row r="235" spans="1:82" x14ac:dyDescent="0.2">
      <c r="A235">
        <f>Расчёты!A235</f>
        <v>234</v>
      </c>
      <c r="B235" t="str">
        <f>Расчёты!B235</f>
        <v/>
      </c>
      <c r="C235" t="str">
        <f>Расчёты!D235</f>
        <v/>
      </c>
      <c r="D235">
        <f>Расчёты!E235</f>
        <v>0</v>
      </c>
      <c r="E235">
        <f>IF(Расчёты!F235=0,0,IF(Расчёты!G235=1,N('Сценарный анализ'!$B$5),IF(Расчёты!G235=2,N('Сценарный анализ'!$B$6),IF(Расчёты!G235=3,N('Сценарный анализ'!$B$7),N('Сценарный анализ'!$B$7)*(1+N('Сценарный анализ'!$B$8))^(Расчёты!G235-3)))))</f>
        <v>0</v>
      </c>
      <c r="F235">
        <f>IF(OR(Расчёты!F235=0,N('Исходные данные'!$B$5)=0,E235=0),0,N('Исходные данные'!$B$5)*E235*IF(AND(B235&lt;='Исходные данные'!$B$30,Расчёты!C235&gt;='Исходные данные'!$B$30),(Расчёты!C235-'Исходные данные'!$B$30+1)/DAY(Расчёты!C235),1))</f>
        <v>0</v>
      </c>
      <c r="G235">
        <f>IF(AND(Расчёты!F235&gt;0,Расчёты!F235&lt;=N('Исходные данные'!$B$37)),-F235,0)</f>
        <v>0</v>
      </c>
      <c r="H235">
        <f>IF(OR(Расчёты!F235=0,Расчёты!F235&lt;=N('Исходные данные'!$B$37)),0,-(F235+G235)*N('Сценарный анализ'!$B$9))</f>
        <v>0</v>
      </c>
      <c r="I235">
        <f t="shared" si="138"/>
        <v>0</v>
      </c>
      <c r="J235">
        <f>IF('Исходные данные'!$B$51="Да",I235*N('Исходные данные'!$B$52),0)</f>
        <v>0</v>
      </c>
      <c r="K235">
        <f t="shared" si="139"/>
        <v>0</v>
      </c>
      <c r="L235">
        <f>I235+(Расчёты!Y235-Расчёты!L235)</f>
        <v>0</v>
      </c>
      <c r="M235">
        <f t="shared" si="126"/>
        <v>0</v>
      </c>
      <c r="N235">
        <f>IF('Исходные данные'!$B$51="Да",-MAX(0,J235+Расчёты!R235+Расчёты!V235-Расчёты!P235-Расчёты!T235-M235),0)</f>
        <v>0</v>
      </c>
      <c r="O235">
        <f>IF('Исходные данные'!$B$51="Да",MAX(0,M235+Расчёты!P235+Расчёты!T235-J235-Расчёты!R235-Расчёты!V235),0)</f>
        <v>0</v>
      </c>
      <c r="P235">
        <f>IF('Исходные данные'!$B$53="Выручка",MAX(0,I235+(Расчёты!Q235-Расчёты!R235)+(Расчёты!U235-Расчёты!V235)),IF('Исходные данные'!$B$53="Прибыль до налога",MAX(0,I235+(Расчёты!Q235-Расчёты!R235)+(Расчёты!U235-Расчёты!V235)+N('Исходные данные'!$B$54)*((Расчёты!O235+Расчёты!P235)+(Расчёты!S235+Расчёты!T235)+Расчёты!W235+Расчёты!X235)+IF('Исходные данные'!$B$55="Да",Расчёты!AG235,0)-N('Исходные данные'!$B$56)/12),IF('Исходные данные'!$B$53="Пользовательская база",MAX(0,N('Исходные данные'!$B$57)/12),0)))</f>
        <v>0</v>
      </c>
      <c r="Q235">
        <f>IF(D235=1,-P235*N('Исходные данные'!$B$50),0)</f>
        <v>0</v>
      </c>
      <c r="R235">
        <f t="shared" si="127"/>
        <v>0</v>
      </c>
      <c r="S235">
        <f>IF(OR(D235&lt;&gt;1,B235="",'Исходные данные'!$B$91="",N('Исходные данные'!$B$80)&lt;=0,'Исходные данные'!$B$88=""),0,IF(AND(YEAR(B235)=YEAR('Исходные данные'!$B$91),MONTH(B235)=MONTH('Исходные данные'!$B$91)),MAX(0,IF('Исходные данные'!$B$88="Последние 12 месяцев",SUMIFS($L$2:$L$194,$B$2:$B$194,"&gt;="&amp;EDATE(B235,-11),$B$2:$B$194,"&lt;="&amp;B235),IF('Исходные данные'!$B$88="Пользовательский NOI",N('Исходные данные'!$B$89),R235))/N('Исходные данные'!$B$80)*(1+N('Исходные данные'!$B$81))),0))</f>
        <v>0</v>
      </c>
      <c r="T235">
        <f>-S235*N('Исходные данные'!$B$73)</f>
        <v>0</v>
      </c>
      <c r="U235">
        <f>IF(S235=0,0,-N('Исходные данные'!$B$87)-IF('Исходные данные'!$B$82="Да",IF('Исходные данные'!$B$84="С выручки",S235,IF('Исходные данные'!$B$84="С прибыли",MAX(0,S235+T235-IF('Исходные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35">
        <f t="shared" si="140"/>
        <v>0</v>
      </c>
      <c r="W235">
        <f>IF(D235=1,Расчёты!AZ235+K235+N235+Q235+V235,0)</f>
        <v>0</v>
      </c>
      <c r="X235" t="str">
        <f t="shared" si="128"/>
        <v/>
      </c>
      <c r="Y235">
        <f>IF(OR(D235=0,'Исходные данные'!$B$9="",'Исходные данные'!$B$90=""),0,W235/(1+'Исходные данные'!$B$90)^((C235-'Исходные данные'!$B$9)/365))</f>
        <v>0</v>
      </c>
      <c r="Z235">
        <f>IF(D235=1,K235+Расчёты!O235+Расчёты!Q235+Расчёты!S235+Расчёты!U235+Расчёты!W235+Расчёты!X235+N235+Q235,0)</f>
        <v>0</v>
      </c>
      <c r="AA235">
        <f>IF(AND(D235=1,X235&gt;=0,X234&lt;0,MIN($X$2:X235)&lt;0),1,0)</f>
        <v>0</v>
      </c>
      <c r="AB235">
        <f>IF(Расчёты!F235=0,0,IF(Расчёты!G235=1,N('Сценарный анализ'!$C$5),IF(Расчёты!G235=2,N('Сценарный анализ'!$C$6),IF(Расчёты!G235=3,N('Сценарный анализ'!$C$7),N('Сценарный анализ'!$C$7)*(1+N('Сценарный анализ'!$C$8))^(Расчёты!G235-3)))))</f>
        <v>0</v>
      </c>
      <c r="AC235">
        <f>IF(OR(Расчёты!F235=0,N('Исходные данные'!$B$5)=0,AB235=0),0,N('Исходные данные'!$B$5)*AB235*IF(AND(B235&lt;='Исходные данные'!$B$30,Расчёты!C235&gt;='Исходные данные'!$B$30),(Расчёты!C235-'Исходные данные'!$B$30+1)/DAY(Расчёты!C235),1))</f>
        <v>0</v>
      </c>
      <c r="AD235">
        <f>IF(AND(Расчёты!F235&gt;0,Расчёты!F235&lt;=N('Исходные данные'!$B$37)),-AC235,0)</f>
        <v>0</v>
      </c>
      <c r="AE235">
        <f>IF(OR(Расчёты!F235=0,Расчёты!F235&lt;=N('Исходные данные'!$B$37)),0,-(AC235+AD235)*N('Сценарный анализ'!$C$9))</f>
        <v>0</v>
      </c>
      <c r="AF235">
        <f t="shared" si="141"/>
        <v>0</v>
      </c>
      <c r="AG235">
        <f>IF('Исходные данные'!$B$51="Да",AF235*N('Исходные данные'!$B$52),0)</f>
        <v>0</v>
      </c>
      <c r="AH235">
        <f t="shared" si="142"/>
        <v>0</v>
      </c>
      <c r="AI235">
        <f>AF235+(Расчёты!Y235-Расчёты!L235)</f>
        <v>0</v>
      </c>
      <c r="AJ235">
        <f t="shared" si="129"/>
        <v>0</v>
      </c>
      <c r="AK235">
        <f>IF('Исходные данные'!$B$51="Да",-MAX(0,AG235+Расчёты!R235+Расчёты!V235-Расчёты!P235-Расчёты!T235-AJ235),0)</f>
        <v>0</v>
      </c>
      <c r="AL235">
        <f>IF('Исходные данные'!$B$51="Да",MAX(0,AJ235+Расчёты!P235+Расчёты!T235-AG235-Расчёты!R235-Расчёты!V235),0)</f>
        <v>0</v>
      </c>
      <c r="AM235">
        <f>IF('Исходные данные'!$B$53="Выручка",MAX(0,AF235+(Расчёты!Q235-Расчёты!R235)+(Расчёты!U235-Расчёты!V235)),IF('Исходные данные'!$B$53="Прибыль до налога",MAX(0,AF235+(Расчёты!Q235-Расчёты!R235)+(Расчёты!U235-Расчёты!V235)+N('Исходные данные'!$B$54)*((Расчёты!O235+Расчёты!P235)+(Расчёты!S235+Расчёты!T235)+Расчёты!W235+Расчёты!X235)+IF('Исходные данные'!$B$55="Да",Расчёты!AG235,0)-N('Исходные данные'!$B$56)/12),IF('Исходные данные'!$B$53="Пользовательская база",MAX(0,N('Исходные данные'!$B$57)/12),0)))</f>
        <v>0</v>
      </c>
      <c r="AN235">
        <f>IF(D235=1,-AM235*N('Исходные данные'!$B$50),0)</f>
        <v>0</v>
      </c>
      <c r="AO235">
        <f t="shared" si="130"/>
        <v>0</v>
      </c>
      <c r="AP235">
        <f>IF(OR(D235&lt;&gt;1,B235="",'Исходные данные'!$B$91="",N('Исходные данные'!$B$80)&lt;=0,'Исходные данные'!$B$88=""),0,IF(AND(YEAR(B235)=YEAR('Исходные данные'!$B$91),MONTH(B235)=MONTH('Исходные данные'!$B$91)),MAX(0,IF('Исходные данные'!$B$88="Последние 12 месяцев",SUMIFS($AI$2:$AI$194,$B$2:$B$194,"&gt;="&amp;EDATE(B235,-11),$B$2:$B$194,"&lt;="&amp;B235),IF('Исходные данные'!$B$88="Пользовательский NOI",N('Исходные данные'!$B$89),AO235))/N('Исходные данные'!$B$80)*(1+N('Исходные данные'!$B$81))),0))</f>
        <v>0</v>
      </c>
      <c r="AQ235">
        <f>-AP235*N('Исходные данные'!$B$73)</f>
        <v>0</v>
      </c>
      <c r="AR235">
        <f>IF(AP235=0,0,-N('Исходные данные'!$B$87)-IF('Исходные данные'!$B$82="Да",IF('Исходные данные'!$B$84="С выручки",AP235,IF('Исходные данные'!$B$84="С прибыли",MAX(0,AP235+AQ235-IF('Исходные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35">
        <f t="shared" si="143"/>
        <v>0</v>
      </c>
      <c r="AT235">
        <f>IF(D235=1,Расчёты!AZ235+AH235+AK235+AN235+AS235,0)</f>
        <v>0</v>
      </c>
      <c r="AU235" t="str">
        <f t="shared" si="131"/>
        <v/>
      </c>
      <c r="AV235">
        <f>IF(OR(D235=0,'Исходные данные'!$B$9="",'Исходные данные'!$B$90=""),0,AT235/(1+'Исходные данные'!$B$90)^((C235-'Исходные данные'!$B$9)/365))</f>
        <v>0</v>
      </c>
      <c r="AW235">
        <f>IF(D235=1,AH235+Расчёты!O235+Расчёты!Q235+Расчёты!S235+Расчёты!U235+Расчёты!W235+Расчёты!X235+AK235+AN235,0)</f>
        <v>0</v>
      </c>
      <c r="AX235">
        <f>IF(AND(D235=1,AU235&gt;=0,AU234&lt;0,MIN($AU$2:AU235)&lt;0),1,0)</f>
        <v>0</v>
      </c>
      <c r="AY235">
        <f>IF(Расчёты!F235=0,0,IF(Расчёты!G235=1,N('Сценарный анализ'!$D$5),IF(Расчёты!G235=2,N('Сценарный анализ'!$D$6),IF(Расчёты!G235=3,N('Сценарный анализ'!$D$7),N('Сценарный анализ'!$D$7)*(1+N('Сценарный анализ'!$D$8))^(Расчёты!G235-3)))))</f>
        <v>0</v>
      </c>
      <c r="AZ235">
        <f>IF(OR(Расчёты!F235=0,N('Исходные данные'!$B$5)=0,AY235=0),0,N('Исходные данные'!$B$5)*AY235*IF(AND(B235&lt;='Исходные данные'!$B$30,Расчёты!C235&gt;='Исходные данные'!$B$30),(Расчёты!C235-'Исходные данные'!$B$30+1)/DAY(Расчёты!C235),1))</f>
        <v>0</v>
      </c>
      <c r="BA235">
        <f>IF(AND(Расчёты!F235&gt;0,Расчёты!F235&lt;=N('Исходные данные'!$B$37)),-AZ235,0)</f>
        <v>0</v>
      </c>
      <c r="BB235">
        <f>IF(OR(Расчёты!F235=0,Расчёты!F235&lt;=N('Исходные данные'!$B$37)),0,-(AZ235+BA235)*N('Сценарный анализ'!$D$9))</f>
        <v>0</v>
      </c>
      <c r="BC235">
        <f t="shared" si="144"/>
        <v>0</v>
      </c>
      <c r="BD235">
        <f>IF('Исходные данные'!$B$51="Да",BC235*N('Исходные данные'!$B$52),0)</f>
        <v>0</v>
      </c>
      <c r="BE235">
        <f t="shared" si="145"/>
        <v>0</v>
      </c>
      <c r="BF235">
        <f>BC235+(Расчёты!Y235-Расчёты!L235)</f>
        <v>0</v>
      </c>
      <c r="BG235">
        <f t="shared" si="132"/>
        <v>0</v>
      </c>
      <c r="BH235">
        <f>IF('Исходные данные'!$B$51="Да",-MAX(0,BD235+Расчёты!R235+Расчёты!V235-Расчёты!P235-Расчёты!T235-BG235),0)</f>
        <v>0</v>
      </c>
      <c r="BI235">
        <f>IF('Исходные данные'!$B$51="Да",MAX(0,BG235+Расчёты!P235+Расчёты!T235-BD235-Расчёты!R235-Расчёты!V235),0)</f>
        <v>0</v>
      </c>
      <c r="BJ235">
        <f>IF('Исходные данные'!$B$53="Выручка",MAX(0,BC235+(Расчёты!Q235-Расчёты!R235)+(Расчёты!U235-Расчёты!V235)),IF('Исходные данные'!$B$53="Прибыль до налога",MAX(0,BC235+(Расчёты!Q235-Расчёты!R235)+(Расчёты!U235-Расчёты!V235)+N('Исходные данные'!$B$54)*((Расчёты!O235+Расчёты!P235)+(Расчёты!S235+Расчёты!T235)+Расчёты!W235+Расчёты!X235)+IF('Исходные данные'!$B$55="Да",Расчёты!AG235,0)-N('Исходные данные'!$B$56)/12),IF('Исходные данные'!$B$53="Пользовательская база",MAX(0,N('Исходные данные'!$B$57)/12),0)))</f>
        <v>0</v>
      </c>
      <c r="BK235">
        <f>IF(D235=1,-BJ235*N('Исходные данные'!$B$50),0)</f>
        <v>0</v>
      </c>
      <c r="BL235">
        <f t="shared" si="133"/>
        <v>0</v>
      </c>
      <c r="BM235">
        <f>IF(OR(D235&lt;&gt;1,B235="",'Исходные данные'!$B$91="",N('Исходные данные'!$B$80)&lt;=0,'Исходные данные'!$B$88=""),0,IF(AND(YEAR(B235)=YEAR('Исходные данные'!$B$91),MONTH(B235)=MONTH('Исходные данные'!$B$91)),MAX(0,IF('Исходные данные'!$B$88="Последние 12 месяцев",SUMIFS($BF$2:$BF$194,$B$2:$B$194,"&gt;="&amp;EDATE(B235,-11),$B$2:$B$194,"&lt;="&amp;B235),IF('Исходные данные'!$B$88="Пользовательский NOI",N('Исходные данные'!$B$89),BL235))/N('Исходные данные'!$B$80)*(1+N('Исходные данные'!$B$81))),0))</f>
        <v>0</v>
      </c>
      <c r="BN235">
        <f>-BM235*N('Исходные данные'!$B$73)</f>
        <v>0</v>
      </c>
      <c r="BO235">
        <f>IF(BM235=0,0,-N('Исходные данные'!$B$87)-IF('Исходные данные'!$B$82="Да",IF('Исходные данные'!$B$84="С выручки",BM235,IF('Исходные данные'!$B$84="С прибыли",MAX(0,BM235+BN235-IF('Исходные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35">
        <f t="shared" si="146"/>
        <v>0</v>
      </c>
      <c r="BQ235">
        <f>IF(D235=1,Расчёты!AZ235+BE235+BH235+BK235+BP235,0)</f>
        <v>0</v>
      </c>
      <c r="BR235" t="str">
        <f t="shared" si="134"/>
        <v/>
      </c>
      <c r="BS235">
        <f>IF(OR(D235=0,'Исходные данные'!$B$9="",'Исходные данные'!$B$90=""),0,BQ235/(1+'Исходные данные'!$B$90)^((C235-'Исходные данные'!$B$9)/365))</f>
        <v>0</v>
      </c>
      <c r="BT235">
        <f>IF(D235=1,BE235+Расчёты!O235+Расчёты!Q235+Расчёты!S235+Расчёты!U235+Расчёты!W235+Расчёты!X235+BH235+BK235,0)</f>
        <v>0</v>
      </c>
      <c r="BU235">
        <f>IF(AND(D235=1,BR235&gt;=0,BR234&lt;0,MIN($BR$2:BR235)&lt;0),1,0)</f>
        <v>0</v>
      </c>
      <c r="BV235">
        <f>Расчёты!AZ235+K235+N235-P235*N('Исходные данные'!$B$50)</f>
        <v>0</v>
      </c>
      <c r="BW235">
        <f t="shared" si="135"/>
        <v>0</v>
      </c>
      <c r="BX235">
        <f>IF(AND(BW235&gt;=0,BW234&lt;0,MIN($BW$2:BW235)&lt;0),1,0)</f>
        <v>0</v>
      </c>
      <c r="BY235">
        <f>Расчёты!AZ235+AH235+AK235-AM235*N('Исходные данные'!$B$50)</f>
        <v>0</v>
      </c>
      <c r="BZ235">
        <f t="shared" si="136"/>
        <v>0</v>
      </c>
      <c r="CA235">
        <f>IF(AND(BZ235&gt;=0,BZ234&lt;0,MIN($BZ$2:BZ235)&lt;0),1,0)</f>
        <v>0</v>
      </c>
      <c r="CB235">
        <f>Расчёты!AZ235+BE235+BH235-BJ235*N('Исходные данные'!$B$50)</f>
        <v>0</v>
      </c>
      <c r="CC235">
        <f t="shared" si="137"/>
        <v>0</v>
      </c>
      <c r="CD235">
        <f>IF(AND(CC235&gt;=0,CC234&lt;0,MIN($CC$2:CC235)&lt;0),1,0)</f>
        <v>0</v>
      </c>
    </row>
    <row r="236" spans="1:82" x14ac:dyDescent="0.2">
      <c r="A236">
        <f>Расчёты!A236</f>
        <v>235</v>
      </c>
      <c r="B236" t="str">
        <f>Расчёты!B236</f>
        <v/>
      </c>
      <c r="C236" t="str">
        <f>Расчёты!D236</f>
        <v/>
      </c>
      <c r="D236">
        <f>Расчёты!E236</f>
        <v>0</v>
      </c>
      <c r="E236">
        <f>IF(Расчёты!F236=0,0,IF(Расчёты!G236=1,N('Сценарный анализ'!$B$5),IF(Расчёты!G236=2,N('Сценарный анализ'!$B$6),IF(Расчёты!G236=3,N('Сценарный анализ'!$B$7),N('Сценарный анализ'!$B$7)*(1+N('Сценарный анализ'!$B$8))^(Расчёты!G236-3)))))</f>
        <v>0</v>
      </c>
      <c r="F236">
        <f>IF(OR(Расчёты!F236=0,N('Исходные данные'!$B$5)=0,E236=0),0,N('Исходные данные'!$B$5)*E236*IF(AND(B236&lt;='Исходные данные'!$B$30,Расчёты!C236&gt;='Исходные данные'!$B$30),(Расчёты!C236-'Исходные данные'!$B$30+1)/DAY(Расчёты!C236),1))</f>
        <v>0</v>
      </c>
      <c r="G236">
        <f>IF(AND(Расчёты!F236&gt;0,Расчёты!F236&lt;=N('Исходные данные'!$B$37)),-F236,0)</f>
        <v>0</v>
      </c>
      <c r="H236">
        <f>IF(OR(Расчёты!F236=0,Расчёты!F236&lt;=N('Исходные данные'!$B$37)),0,-(F236+G236)*N('Сценарный анализ'!$B$9))</f>
        <v>0</v>
      </c>
      <c r="I236">
        <f t="shared" si="138"/>
        <v>0</v>
      </c>
      <c r="J236">
        <f>IF('Исходные данные'!$B$51="Да",I236*N('Исходные данные'!$B$52),0)</f>
        <v>0</v>
      </c>
      <c r="K236">
        <f t="shared" si="139"/>
        <v>0</v>
      </c>
      <c r="L236">
        <f>I236+(Расчёты!Y236-Расчёты!L236)</f>
        <v>0</v>
      </c>
      <c r="M236">
        <f t="shared" si="126"/>
        <v>0</v>
      </c>
      <c r="N236">
        <f>IF('Исходные данные'!$B$51="Да",-MAX(0,J236+Расчёты!R236+Расчёты!V236-Расчёты!P236-Расчёты!T236-M236),0)</f>
        <v>0</v>
      </c>
      <c r="O236">
        <f>IF('Исходные данные'!$B$51="Да",MAX(0,M236+Расчёты!P236+Расчёты!T236-J236-Расчёты!R236-Расчёты!V236),0)</f>
        <v>0</v>
      </c>
      <c r="P236">
        <f>IF('Исходные данные'!$B$53="Выручка",MAX(0,I236+(Расчёты!Q236-Расчёты!R236)+(Расчёты!U236-Расчёты!V236)),IF('Исходные данные'!$B$53="Прибыль до налога",MAX(0,I236+(Расчёты!Q236-Расчёты!R236)+(Расчёты!U236-Расчёты!V236)+N('Исходные данные'!$B$54)*((Расчёты!O236+Расчёты!P236)+(Расчёты!S236+Расчёты!T236)+Расчёты!W236+Расчёты!X236)+IF('Исходные данные'!$B$55="Да",Расчёты!AG236,0)-N('Исходные данные'!$B$56)/12),IF('Исходные данные'!$B$53="Пользовательская база",MAX(0,N('Исходные данные'!$B$57)/12),0)))</f>
        <v>0</v>
      </c>
      <c r="Q236">
        <f>IF(D236=1,-P236*N('Исходные данные'!$B$50),0)</f>
        <v>0</v>
      </c>
      <c r="R236">
        <f t="shared" si="127"/>
        <v>0</v>
      </c>
      <c r="S236">
        <f>IF(OR(D236&lt;&gt;1,B236="",'Исходные данные'!$B$91="",N('Исходные данные'!$B$80)&lt;=0,'Исходные данные'!$B$88=""),0,IF(AND(YEAR(B236)=YEAR('Исходные данные'!$B$91),MONTH(B236)=MONTH('Исходные данные'!$B$91)),MAX(0,IF('Исходные данные'!$B$88="Последние 12 месяцев",SUMIFS($L$2:$L$194,$B$2:$B$194,"&gt;="&amp;EDATE(B236,-11),$B$2:$B$194,"&lt;="&amp;B236),IF('Исходные данные'!$B$88="Пользовательский NOI",N('Исходные данные'!$B$89),R236))/N('Исходные данные'!$B$80)*(1+N('Исходные данные'!$B$81))),0))</f>
        <v>0</v>
      </c>
      <c r="T236">
        <f>-S236*N('Исходные данные'!$B$73)</f>
        <v>0</v>
      </c>
      <c r="U236">
        <f>IF(S236=0,0,-N('Исходные данные'!$B$87)-IF('Исходные данные'!$B$82="Да",IF('Исходные данные'!$B$84="С выручки",S236,IF('Исходные данные'!$B$84="С прибыли",MAX(0,S236+T236-IF('Исходные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36">
        <f t="shared" si="140"/>
        <v>0</v>
      </c>
      <c r="W236">
        <f>IF(D236=1,Расчёты!AZ236+K236+N236+Q236+V236,0)</f>
        <v>0</v>
      </c>
      <c r="X236" t="str">
        <f t="shared" si="128"/>
        <v/>
      </c>
      <c r="Y236">
        <f>IF(OR(D236=0,'Исходные данные'!$B$9="",'Исходные данные'!$B$90=""),0,W236/(1+'Исходные данные'!$B$90)^((C236-'Исходные данные'!$B$9)/365))</f>
        <v>0</v>
      </c>
      <c r="Z236">
        <f>IF(D236=1,K236+Расчёты!O236+Расчёты!Q236+Расчёты!S236+Расчёты!U236+Расчёты!W236+Расчёты!X236+N236+Q236,0)</f>
        <v>0</v>
      </c>
      <c r="AA236">
        <f>IF(AND(D236=1,X236&gt;=0,X235&lt;0,MIN($X$2:X236)&lt;0),1,0)</f>
        <v>0</v>
      </c>
      <c r="AB236">
        <f>IF(Расчёты!F236=0,0,IF(Расчёты!G236=1,N('Сценарный анализ'!$C$5),IF(Расчёты!G236=2,N('Сценарный анализ'!$C$6),IF(Расчёты!G236=3,N('Сценарный анализ'!$C$7),N('Сценарный анализ'!$C$7)*(1+N('Сценарный анализ'!$C$8))^(Расчёты!G236-3)))))</f>
        <v>0</v>
      </c>
      <c r="AC236">
        <f>IF(OR(Расчёты!F236=0,N('Исходные данные'!$B$5)=0,AB236=0),0,N('Исходные данные'!$B$5)*AB236*IF(AND(B236&lt;='Исходные данные'!$B$30,Расчёты!C236&gt;='Исходные данные'!$B$30),(Расчёты!C236-'Исходные данные'!$B$30+1)/DAY(Расчёты!C236),1))</f>
        <v>0</v>
      </c>
      <c r="AD236">
        <f>IF(AND(Расчёты!F236&gt;0,Расчёты!F236&lt;=N('Исходные данные'!$B$37)),-AC236,0)</f>
        <v>0</v>
      </c>
      <c r="AE236">
        <f>IF(OR(Расчёты!F236=0,Расчёты!F236&lt;=N('Исходные данные'!$B$37)),0,-(AC236+AD236)*N('Сценарный анализ'!$C$9))</f>
        <v>0</v>
      </c>
      <c r="AF236">
        <f t="shared" si="141"/>
        <v>0</v>
      </c>
      <c r="AG236">
        <f>IF('Исходные данные'!$B$51="Да",AF236*N('Исходные данные'!$B$52),0)</f>
        <v>0</v>
      </c>
      <c r="AH236">
        <f t="shared" si="142"/>
        <v>0</v>
      </c>
      <c r="AI236">
        <f>AF236+(Расчёты!Y236-Расчёты!L236)</f>
        <v>0</v>
      </c>
      <c r="AJ236">
        <f t="shared" si="129"/>
        <v>0</v>
      </c>
      <c r="AK236">
        <f>IF('Исходные данные'!$B$51="Да",-MAX(0,AG236+Расчёты!R236+Расчёты!V236-Расчёты!P236-Расчёты!T236-AJ236),0)</f>
        <v>0</v>
      </c>
      <c r="AL236">
        <f>IF('Исходные данные'!$B$51="Да",MAX(0,AJ236+Расчёты!P236+Расчёты!T236-AG236-Расчёты!R236-Расчёты!V236),0)</f>
        <v>0</v>
      </c>
      <c r="AM236">
        <f>IF('Исходные данные'!$B$53="Выручка",MAX(0,AF236+(Расчёты!Q236-Расчёты!R236)+(Расчёты!U236-Расчёты!V236)),IF('Исходные данные'!$B$53="Прибыль до налога",MAX(0,AF236+(Расчёты!Q236-Расчёты!R236)+(Расчёты!U236-Расчёты!V236)+N('Исходные данные'!$B$54)*((Расчёты!O236+Расчёты!P236)+(Расчёты!S236+Расчёты!T236)+Расчёты!W236+Расчёты!X236)+IF('Исходные данные'!$B$55="Да",Расчёты!AG236,0)-N('Исходные данные'!$B$56)/12),IF('Исходные данные'!$B$53="Пользовательская база",MAX(0,N('Исходные данные'!$B$57)/12),0)))</f>
        <v>0</v>
      </c>
      <c r="AN236">
        <f>IF(D236=1,-AM236*N('Исходные данные'!$B$50),0)</f>
        <v>0</v>
      </c>
      <c r="AO236">
        <f t="shared" si="130"/>
        <v>0</v>
      </c>
      <c r="AP236">
        <f>IF(OR(D236&lt;&gt;1,B236="",'Исходные данные'!$B$91="",N('Исходные данные'!$B$80)&lt;=0,'Исходные данные'!$B$88=""),0,IF(AND(YEAR(B236)=YEAR('Исходные данные'!$B$91),MONTH(B236)=MONTH('Исходные данные'!$B$91)),MAX(0,IF('Исходные данные'!$B$88="Последние 12 месяцев",SUMIFS($AI$2:$AI$194,$B$2:$B$194,"&gt;="&amp;EDATE(B236,-11),$B$2:$B$194,"&lt;="&amp;B236),IF('Исходные данные'!$B$88="Пользовательский NOI",N('Исходные данные'!$B$89),AO236))/N('Исходные данные'!$B$80)*(1+N('Исходные данные'!$B$81))),0))</f>
        <v>0</v>
      </c>
      <c r="AQ236">
        <f>-AP236*N('Исходные данные'!$B$73)</f>
        <v>0</v>
      </c>
      <c r="AR236">
        <f>IF(AP236=0,0,-N('Исходные данные'!$B$87)-IF('Исходные данные'!$B$82="Да",IF('Исходные данные'!$B$84="С выручки",AP236,IF('Исходные данные'!$B$84="С прибыли",MAX(0,AP236+AQ236-IF('Исходные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36">
        <f t="shared" si="143"/>
        <v>0</v>
      </c>
      <c r="AT236">
        <f>IF(D236=1,Расчёты!AZ236+AH236+AK236+AN236+AS236,0)</f>
        <v>0</v>
      </c>
      <c r="AU236" t="str">
        <f t="shared" si="131"/>
        <v/>
      </c>
      <c r="AV236">
        <f>IF(OR(D236=0,'Исходные данные'!$B$9="",'Исходные данные'!$B$90=""),0,AT236/(1+'Исходные данные'!$B$90)^((C236-'Исходные данные'!$B$9)/365))</f>
        <v>0</v>
      </c>
      <c r="AW236">
        <f>IF(D236=1,AH236+Расчёты!O236+Расчёты!Q236+Расчёты!S236+Расчёты!U236+Расчёты!W236+Расчёты!X236+AK236+AN236,0)</f>
        <v>0</v>
      </c>
      <c r="AX236">
        <f>IF(AND(D236=1,AU236&gt;=0,AU235&lt;0,MIN($AU$2:AU236)&lt;0),1,0)</f>
        <v>0</v>
      </c>
      <c r="AY236">
        <f>IF(Расчёты!F236=0,0,IF(Расчёты!G236=1,N('Сценарный анализ'!$D$5),IF(Расчёты!G236=2,N('Сценарный анализ'!$D$6),IF(Расчёты!G236=3,N('Сценарный анализ'!$D$7),N('Сценарный анализ'!$D$7)*(1+N('Сценарный анализ'!$D$8))^(Расчёты!G236-3)))))</f>
        <v>0</v>
      </c>
      <c r="AZ236">
        <f>IF(OR(Расчёты!F236=0,N('Исходные данные'!$B$5)=0,AY236=0),0,N('Исходные данные'!$B$5)*AY236*IF(AND(B236&lt;='Исходные данные'!$B$30,Расчёты!C236&gt;='Исходные данные'!$B$30),(Расчёты!C236-'Исходные данные'!$B$30+1)/DAY(Расчёты!C236),1))</f>
        <v>0</v>
      </c>
      <c r="BA236">
        <f>IF(AND(Расчёты!F236&gt;0,Расчёты!F236&lt;=N('Исходные данные'!$B$37)),-AZ236,0)</f>
        <v>0</v>
      </c>
      <c r="BB236">
        <f>IF(OR(Расчёты!F236=0,Расчёты!F236&lt;=N('Исходные данные'!$B$37)),0,-(AZ236+BA236)*N('Сценарный анализ'!$D$9))</f>
        <v>0</v>
      </c>
      <c r="BC236">
        <f t="shared" si="144"/>
        <v>0</v>
      </c>
      <c r="BD236">
        <f>IF('Исходные данные'!$B$51="Да",BC236*N('Исходные данные'!$B$52),0)</f>
        <v>0</v>
      </c>
      <c r="BE236">
        <f t="shared" si="145"/>
        <v>0</v>
      </c>
      <c r="BF236">
        <f>BC236+(Расчёты!Y236-Расчёты!L236)</f>
        <v>0</v>
      </c>
      <c r="BG236">
        <f t="shared" si="132"/>
        <v>0</v>
      </c>
      <c r="BH236">
        <f>IF('Исходные данные'!$B$51="Да",-MAX(0,BD236+Расчёты!R236+Расчёты!V236-Расчёты!P236-Расчёты!T236-BG236),0)</f>
        <v>0</v>
      </c>
      <c r="BI236">
        <f>IF('Исходные данные'!$B$51="Да",MAX(0,BG236+Расчёты!P236+Расчёты!T236-BD236-Расчёты!R236-Расчёты!V236),0)</f>
        <v>0</v>
      </c>
      <c r="BJ236">
        <f>IF('Исходные данные'!$B$53="Выручка",MAX(0,BC236+(Расчёты!Q236-Расчёты!R236)+(Расчёты!U236-Расчёты!V236)),IF('Исходные данные'!$B$53="Прибыль до налога",MAX(0,BC236+(Расчёты!Q236-Расчёты!R236)+(Расчёты!U236-Расчёты!V236)+N('Исходные данные'!$B$54)*((Расчёты!O236+Расчёты!P236)+(Расчёты!S236+Расчёты!T236)+Расчёты!W236+Расчёты!X236)+IF('Исходные данные'!$B$55="Да",Расчёты!AG236,0)-N('Исходные данные'!$B$56)/12),IF('Исходные данные'!$B$53="Пользовательская база",MAX(0,N('Исходные данные'!$B$57)/12),0)))</f>
        <v>0</v>
      </c>
      <c r="BK236">
        <f>IF(D236=1,-BJ236*N('Исходные данные'!$B$50),0)</f>
        <v>0</v>
      </c>
      <c r="BL236">
        <f t="shared" si="133"/>
        <v>0</v>
      </c>
      <c r="BM236">
        <f>IF(OR(D236&lt;&gt;1,B236="",'Исходные данные'!$B$91="",N('Исходные данные'!$B$80)&lt;=0,'Исходные данные'!$B$88=""),0,IF(AND(YEAR(B236)=YEAR('Исходные данные'!$B$91),MONTH(B236)=MONTH('Исходные данные'!$B$91)),MAX(0,IF('Исходные данные'!$B$88="Последние 12 месяцев",SUMIFS($BF$2:$BF$194,$B$2:$B$194,"&gt;="&amp;EDATE(B236,-11),$B$2:$B$194,"&lt;="&amp;B236),IF('Исходные данные'!$B$88="Пользовательский NOI",N('Исходные данные'!$B$89),BL236))/N('Исходные данные'!$B$80)*(1+N('Исходные данные'!$B$81))),0))</f>
        <v>0</v>
      </c>
      <c r="BN236">
        <f>-BM236*N('Исходные данные'!$B$73)</f>
        <v>0</v>
      </c>
      <c r="BO236">
        <f>IF(BM236=0,0,-N('Исходные данные'!$B$87)-IF('Исходные данные'!$B$82="Да",IF('Исходные данные'!$B$84="С выручки",BM236,IF('Исходные данные'!$B$84="С прибыли",MAX(0,BM236+BN236-IF('Исходные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36">
        <f t="shared" si="146"/>
        <v>0</v>
      </c>
      <c r="BQ236">
        <f>IF(D236=1,Расчёты!AZ236+BE236+BH236+BK236+BP236,0)</f>
        <v>0</v>
      </c>
      <c r="BR236" t="str">
        <f t="shared" si="134"/>
        <v/>
      </c>
      <c r="BS236">
        <f>IF(OR(D236=0,'Исходные данные'!$B$9="",'Исходные данные'!$B$90=""),0,BQ236/(1+'Исходные данные'!$B$90)^((C236-'Исходные данные'!$B$9)/365))</f>
        <v>0</v>
      </c>
      <c r="BT236">
        <f>IF(D236=1,BE236+Расчёты!O236+Расчёты!Q236+Расчёты!S236+Расчёты!U236+Расчёты!W236+Расчёты!X236+BH236+BK236,0)</f>
        <v>0</v>
      </c>
      <c r="BU236">
        <f>IF(AND(D236=1,BR236&gt;=0,BR235&lt;0,MIN($BR$2:BR236)&lt;0),1,0)</f>
        <v>0</v>
      </c>
      <c r="BV236">
        <f>Расчёты!AZ236+K236+N236-P236*N('Исходные данные'!$B$50)</f>
        <v>0</v>
      </c>
      <c r="BW236">
        <f t="shared" si="135"/>
        <v>0</v>
      </c>
      <c r="BX236">
        <f>IF(AND(BW236&gt;=0,BW235&lt;0,MIN($BW$2:BW236)&lt;0),1,0)</f>
        <v>0</v>
      </c>
      <c r="BY236">
        <f>Расчёты!AZ236+AH236+AK236-AM236*N('Исходные данные'!$B$50)</f>
        <v>0</v>
      </c>
      <c r="BZ236">
        <f t="shared" si="136"/>
        <v>0</v>
      </c>
      <c r="CA236">
        <f>IF(AND(BZ236&gt;=0,BZ235&lt;0,MIN($BZ$2:BZ236)&lt;0),1,0)</f>
        <v>0</v>
      </c>
      <c r="CB236">
        <f>Расчёты!AZ236+BE236+BH236-BJ236*N('Исходные данные'!$B$50)</f>
        <v>0</v>
      </c>
      <c r="CC236">
        <f t="shared" si="137"/>
        <v>0</v>
      </c>
      <c r="CD236">
        <f>IF(AND(CC236&gt;=0,CC235&lt;0,MIN($CC$2:CC236)&lt;0),1,0)</f>
        <v>0</v>
      </c>
    </row>
    <row r="237" spans="1:82" x14ac:dyDescent="0.2">
      <c r="A237">
        <f>Расчёты!A237</f>
        <v>236</v>
      </c>
      <c r="B237" t="str">
        <f>Расчёты!B237</f>
        <v/>
      </c>
      <c r="C237" t="str">
        <f>Расчёты!D237</f>
        <v/>
      </c>
      <c r="D237">
        <f>Расчёты!E237</f>
        <v>0</v>
      </c>
      <c r="E237">
        <f>IF(Расчёты!F237=0,0,IF(Расчёты!G237=1,N('Сценарный анализ'!$B$5),IF(Расчёты!G237=2,N('Сценарный анализ'!$B$6),IF(Расчёты!G237=3,N('Сценарный анализ'!$B$7),N('Сценарный анализ'!$B$7)*(1+N('Сценарный анализ'!$B$8))^(Расчёты!G237-3)))))</f>
        <v>0</v>
      </c>
      <c r="F237">
        <f>IF(OR(Расчёты!F237=0,N('Исходные данные'!$B$5)=0,E237=0),0,N('Исходные данные'!$B$5)*E237*IF(AND(B237&lt;='Исходные данные'!$B$30,Расчёты!C237&gt;='Исходные данные'!$B$30),(Расчёты!C237-'Исходные данные'!$B$30+1)/DAY(Расчёты!C237),1))</f>
        <v>0</v>
      </c>
      <c r="G237">
        <f>IF(AND(Расчёты!F237&gt;0,Расчёты!F237&lt;=N('Исходные данные'!$B$37)),-F237,0)</f>
        <v>0</v>
      </c>
      <c r="H237">
        <f>IF(OR(Расчёты!F237=0,Расчёты!F237&lt;=N('Исходные данные'!$B$37)),0,-(F237+G237)*N('Сценарный анализ'!$B$9))</f>
        <v>0</v>
      </c>
      <c r="I237">
        <f t="shared" si="138"/>
        <v>0</v>
      </c>
      <c r="J237">
        <f>IF('Исходные данные'!$B$51="Да",I237*N('Исходные данные'!$B$52),0)</f>
        <v>0</v>
      </c>
      <c r="K237">
        <f t="shared" si="139"/>
        <v>0</v>
      </c>
      <c r="L237">
        <f>I237+(Расчёты!Y237-Расчёты!L237)</f>
        <v>0</v>
      </c>
      <c r="M237">
        <f t="shared" si="126"/>
        <v>0</v>
      </c>
      <c r="N237">
        <f>IF('Исходные данные'!$B$51="Да",-MAX(0,J237+Расчёты!R237+Расчёты!V237-Расчёты!P237-Расчёты!T237-M237),0)</f>
        <v>0</v>
      </c>
      <c r="O237">
        <f>IF('Исходные данные'!$B$51="Да",MAX(0,M237+Расчёты!P237+Расчёты!T237-J237-Расчёты!R237-Расчёты!V237),0)</f>
        <v>0</v>
      </c>
      <c r="P237">
        <f>IF('Исходные данные'!$B$53="Выручка",MAX(0,I237+(Расчёты!Q237-Расчёты!R237)+(Расчёты!U237-Расчёты!V237)),IF('Исходные данные'!$B$53="Прибыль до налога",MAX(0,I237+(Расчёты!Q237-Расчёты!R237)+(Расчёты!U237-Расчёты!V237)+N('Исходные данные'!$B$54)*((Расчёты!O237+Расчёты!P237)+(Расчёты!S237+Расчёты!T237)+Расчёты!W237+Расчёты!X237)+IF('Исходные данные'!$B$55="Да",Расчёты!AG237,0)-N('Исходные данные'!$B$56)/12),IF('Исходные данные'!$B$53="Пользовательская база",MAX(0,N('Исходные данные'!$B$57)/12),0)))</f>
        <v>0</v>
      </c>
      <c r="Q237">
        <f>IF(D237=1,-P237*N('Исходные данные'!$B$50),0)</f>
        <v>0</v>
      </c>
      <c r="R237">
        <f t="shared" si="127"/>
        <v>0</v>
      </c>
      <c r="S237">
        <f>IF(OR(D237&lt;&gt;1,B237="",'Исходные данные'!$B$91="",N('Исходные данные'!$B$80)&lt;=0,'Исходные данные'!$B$88=""),0,IF(AND(YEAR(B237)=YEAR('Исходные данные'!$B$91),MONTH(B237)=MONTH('Исходные данные'!$B$91)),MAX(0,IF('Исходные данные'!$B$88="Последние 12 месяцев",SUMIFS($L$2:$L$194,$B$2:$B$194,"&gt;="&amp;EDATE(B237,-11),$B$2:$B$194,"&lt;="&amp;B237),IF('Исходные данные'!$B$88="Пользовательский NOI",N('Исходные данные'!$B$89),R237))/N('Исходные данные'!$B$80)*(1+N('Исходные данные'!$B$81))),0))</f>
        <v>0</v>
      </c>
      <c r="T237">
        <f>-S237*N('Исходные данные'!$B$73)</f>
        <v>0</v>
      </c>
      <c r="U237">
        <f>IF(S237=0,0,-N('Исходные данные'!$B$87)-IF('Исходные данные'!$B$82="Да",IF('Исходные данные'!$B$84="С выручки",S237,IF('Исходные данные'!$B$84="С прибыли",MAX(0,S237+T237-IF('Исходные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37">
        <f t="shared" si="140"/>
        <v>0</v>
      </c>
      <c r="W237">
        <f>IF(D237=1,Расчёты!AZ237+K237+N237+Q237+V237,0)</f>
        <v>0</v>
      </c>
      <c r="X237" t="str">
        <f t="shared" si="128"/>
        <v/>
      </c>
      <c r="Y237">
        <f>IF(OR(D237=0,'Исходные данные'!$B$9="",'Исходные данные'!$B$90=""),0,W237/(1+'Исходные данные'!$B$90)^((C237-'Исходные данные'!$B$9)/365))</f>
        <v>0</v>
      </c>
      <c r="Z237">
        <f>IF(D237=1,K237+Расчёты!O237+Расчёты!Q237+Расчёты!S237+Расчёты!U237+Расчёты!W237+Расчёты!X237+N237+Q237,0)</f>
        <v>0</v>
      </c>
      <c r="AA237">
        <f>IF(AND(D237=1,X237&gt;=0,X236&lt;0,MIN($X$2:X237)&lt;0),1,0)</f>
        <v>0</v>
      </c>
      <c r="AB237">
        <f>IF(Расчёты!F237=0,0,IF(Расчёты!G237=1,N('Сценарный анализ'!$C$5),IF(Расчёты!G237=2,N('Сценарный анализ'!$C$6),IF(Расчёты!G237=3,N('Сценарный анализ'!$C$7),N('Сценарный анализ'!$C$7)*(1+N('Сценарный анализ'!$C$8))^(Расчёты!G237-3)))))</f>
        <v>0</v>
      </c>
      <c r="AC237">
        <f>IF(OR(Расчёты!F237=0,N('Исходные данные'!$B$5)=0,AB237=0),0,N('Исходные данные'!$B$5)*AB237*IF(AND(B237&lt;='Исходные данные'!$B$30,Расчёты!C237&gt;='Исходные данные'!$B$30),(Расчёты!C237-'Исходные данные'!$B$30+1)/DAY(Расчёты!C237),1))</f>
        <v>0</v>
      </c>
      <c r="AD237">
        <f>IF(AND(Расчёты!F237&gt;0,Расчёты!F237&lt;=N('Исходные данные'!$B$37)),-AC237,0)</f>
        <v>0</v>
      </c>
      <c r="AE237">
        <f>IF(OR(Расчёты!F237=0,Расчёты!F237&lt;=N('Исходные данные'!$B$37)),0,-(AC237+AD237)*N('Сценарный анализ'!$C$9))</f>
        <v>0</v>
      </c>
      <c r="AF237">
        <f t="shared" si="141"/>
        <v>0</v>
      </c>
      <c r="AG237">
        <f>IF('Исходные данные'!$B$51="Да",AF237*N('Исходные данные'!$B$52),0)</f>
        <v>0</v>
      </c>
      <c r="AH237">
        <f t="shared" si="142"/>
        <v>0</v>
      </c>
      <c r="AI237">
        <f>AF237+(Расчёты!Y237-Расчёты!L237)</f>
        <v>0</v>
      </c>
      <c r="AJ237">
        <f t="shared" si="129"/>
        <v>0</v>
      </c>
      <c r="AK237">
        <f>IF('Исходные данные'!$B$51="Да",-MAX(0,AG237+Расчёты!R237+Расчёты!V237-Расчёты!P237-Расчёты!T237-AJ237),0)</f>
        <v>0</v>
      </c>
      <c r="AL237">
        <f>IF('Исходные данные'!$B$51="Да",MAX(0,AJ237+Расчёты!P237+Расчёты!T237-AG237-Расчёты!R237-Расчёты!V237),0)</f>
        <v>0</v>
      </c>
      <c r="AM237">
        <f>IF('Исходные данные'!$B$53="Выручка",MAX(0,AF237+(Расчёты!Q237-Расчёты!R237)+(Расчёты!U237-Расчёты!V237)),IF('Исходные данные'!$B$53="Прибыль до налога",MAX(0,AF237+(Расчёты!Q237-Расчёты!R237)+(Расчёты!U237-Расчёты!V237)+N('Исходные данные'!$B$54)*((Расчёты!O237+Расчёты!P237)+(Расчёты!S237+Расчёты!T237)+Расчёты!W237+Расчёты!X237)+IF('Исходные данные'!$B$55="Да",Расчёты!AG237,0)-N('Исходные данные'!$B$56)/12),IF('Исходные данные'!$B$53="Пользовательская база",MAX(0,N('Исходные данные'!$B$57)/12),0)))</f>
        <v>0</v>
      </c>
      <c r="AN237">
        <f>IF(D237=1,-AM237*N('Исходные данные'!$B$50),0)</f>
        <v>0</v>
      </c>
      <c r="AO237">
        <f t="shared" si="130"/>
        <v>0</v>
      </c>
      <c r="AP237">
        <f>IF(OR(D237&lt;&gt;1,B237="",'Исходные данные'!$B$91="",N('Исходные данные'!$B$80)&lt;=0,'Исходные данные'!$B$88=""),0,IF(AND(YEAR(B237)=YEAR('Исходные данные'!$B$91),MONTH(B237)=MONTH('Исходные данные'!$B$91)),MAX(0,IF('Исходные данные'!$B$88="Последние 12 месяцев",SUMIFS($AI$2:$AI$194,$B$2:$B$194,"&gt;="&amp;EDATE(B237,-11),$B$2:$B$194,"&lt;="&amp;B237),IF('Исходные данные'!$B$88="Пользовательский NOI",N('Исходные данные'!$B$89),AO237))/N('Исходные данные'!$B$80)*(1+N('Исходные данные'!$B$81))),0))</f>
        <v>0</v>
      </c>
      <c r="AQ237">
        <f>-AP237*N('Исходные данные'!$B$73)</f>
        <v>0</v>
      </c>
      <c r="AR237">
        <f>IF(AP237=0,0,-N('Исходные данные'!$B$87)-IF('Исходные данные'!$B$82="Да",IF('Исходные данные'!$B$84="С выручки",AP237,IF('Исходные данные'!$B$84="С прибыли",MAX(0,AP237+AQ237-IF('Исходные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37">
        <f t="shared" si="143"/>
        <v>0</v>
      </c>
      <c r="AT237">
        <f>IF(D237=1,Расчёты!AZ237+AH237+AK237+AN237+AS237,0)</f>
        <v>0</v>
      </c>
      <c r="AU237" t="str">
        <f t="shared" si="131"/>
        <v/>
      </c>
      <c r="AV237">
        <f>IF(OR(D237=0,'Исходные данные'!$B$9="",'Исходные данные'!$B$90=""),0,AT237/(1+'Исходные данные'!$B$90)^((C237-'Исходные данные'!$B$9)/365))</f>
        <v>0</v>
      </c>
      <c r="AW237">
        <f>IF(D237=1,AH237+Расчёты!O237+Расчёты!Q237+Расчёты!S237+Расчёты!U237+Расчёты!W237+Расчёты!X237+AK237+AN237,0)</f>
        <v>0</v>
      </c>
      <c r="AX237">
        <f>IF(AND(D237=1,AU237&gt;=0,AU236&lt;0,MIN($AU$2:AU237)&lt;0),1,0)</f>
        <v>0</v>
      </c>
      <c r="AY237">
        <f>IF(Расчёты!F237=0,0,IF(Расчёты!G237=1,N('Сценарный анализ'!$D$5),IF(Расчёты!G237=2,N('Сценарный анализ'!$D$6),IF(Расчёты!G237=3,N('Сценарный анализ'!$D$7),N('Сценарный анализ'!$D$7)*(1+N('Сценарный анализ'!$D$8))^(Расчёты!G237-3)))))</f>
        <v>0</v>
      </c>
      <c r="AZ237">
        <f>IF(OR(Расчёты!F237=0,N('Исходные данные'!$B$5)=0,AY237=0),0,N('Исходные данные'!$B$5)*AY237*IF(AND(B237&lt;='Исходные данные'!$B$30,Расчёты!C237&gt;='Исходные данные'!$B$30),(Расчёты!C237-'Исходные данные'!$B$30+1)/DAY(Расчёты!C237),1))</f>
        <v>0</v>
      </c>
      <c r="BA237">
        <f>IF(AND(Расчёты!F237&gt;0,Расчёты!F237&lt;=N('Исходные данные'!$B$37)),-AZ237,0)</f>
        <v>0</v>
      </c>
      <c r="BB237">
        <f>IF(OR(Расчёты!F237=0,Расчёты!F237&lt;=N('Исходные данные'!$B$37)),0,-(AZ237+BA237)*N('Сценарный анализ'!$D$9))</f>
        <v>0</v>
      </c>
      <c r="BC237">
        <f t="shared" si="144"/>
        <v>0</v>
      </c>
      <c r="BD237">
        <f>IF('Исходные данные'!$B$51="Да",BC237*N('Исходные данные'!$B$52),0)</f>
        <v>0</v>
      </c>
      <c r="BE237">
        <f t="shared" si="145"/>
        <v>0</v>
      </c>
      <c r="BF237">
        <f>BC237+(Расчёты!Y237-Расчёты!L237)</f>
        <v>0</v>
      </c>
      <c r="BG237">
        <f t="shared" si="132"/>
        <v>0</v>
      </c>
      <c r="BH237">
        <f>IF('Исходные данные'!$B$51="Да",-MAX(0,BD237+Расчёты!R237+Расчёты!V237-Расчёты!P237-Расчёты!T237-BG237),0)</f>
        <v>0</v>
      </c>
      <c r="BI237">
        <f>IF('Исходные данные'!$B$51="Да",MAX(0,BG237+Расчёты!P237+Расчёты!T237-BD237-Расчёты!R237-Расчёты!V237),0)</f>
        <v>0</v>
      </c>
      <c r="BJ237">
        <f>IF('Исходные данные'!$B$53="Выручка",MAX(0,BC237+(Расчёты!Q237-Расчёты!R237)+(Расчёты!U237-Расчёты!V237)),IF('Исходные данные'!$B$53="Прибыль до налога",MAX(0,BC237+(Расчёты!Q237-Расчёты!R237)+(Расчёты!U237-Расчёты!V237)+N('Исходные данные'!$B$54)*((Расчёты!O237+Расчёты!P237)+(Расчёты!S237+Расчёты!T237)+Расчёты!W237+Расчёты!X237)+IF('Исходные данные'!$B$55="Да",Расчёты!AG237,0)-N('Исходные данные'!$B$56)/12),IF('Исходные данные'!$B$53="Пользовательская база",MAX(0,N('Исходные данные'!$B$57)/12),0)))</f>
        <v>0</v>
      </c>
      <c r="BK237">
        <f>IF(D237=1,-BJ237*N('Исходные данные'!$B$50),0)</f>
        <v>0</v>
      </c>
      <c r="BL237">
        <f t="shared" si="133"/>
        <v>0</v>
      </c>
      <c r="BM237">
        <f>IF(OR(D237&lt;&gt;1,B237="",'Исходные данные'!$B$91="",N('Исходные данные'!$B$80)&lt;=0,'Исходные данные'!$B$88=""),0,IF(AND(YEAR(B237)=YEAR('Исходные данные'!$B$91),MONTH(B237)=MONTH('Исходные данные'!$B$91)),MAX(0,IF('Исходные данные'!$B$88="Последние 12 месяцев",SUMIFS($BF$2:$BF$194,$B$2:$B$194,"&gt;="&amp;EDATE(B237,-11),$B$2:$B$194,"&lt;="&amp;B237),IF('Исходные данные'!$B$88="Пользовательский NOI",N('Исходные данные'!$B$89),BL237))/N('Исходные данные'!$B$80)*(1+N('Исходные данные'!$B$81))),0))</f>
        <v>0</v>
      </c>
      <c r="BN237">
        <f>-BM237*N('Исходные данные'!$B$73)</f>
        <v>0</v>
      </c>
      <c r="BO237">
        <f>IF(BM237=0,0,-N('Исходные данные'!$B$87)-IF('Исходные данные'!$B$82="Да",IF('Исходные данные'!$B$84="С выручки",BM237,IF('Исходные данные'!$B$84="С прибыли",MAX(0,BM237+BN237-IF('Исходные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37">
        <f t="shared" si="146"/>
        <v>0</v>
      </c>
      <c r="BQ237">
        <f>IF(D237=1,Расчёты!AZ237+BE237+BH237+BK237+BP237,0)</f>
        <v>0</v>
      </c>
      <c r="BR237" t="str">
        <f t="shared" si="134"/>
        <v/>
      </c>
      <c r="BS237">
        <f>IF(OR(D237=0,'Исходные данные'!$B$9="",'Исходные данные'!$B$90=""),0,BQ237/(1+'Исходные данные'!$B$90)^((C237-'Исходные данные'!$B$9)/365))</f>
        <v>0</v>
      </c>
      <c r="BT237">
        <f>IF(D237=1,BE237+Расчёты!O237+Расчёты!Q237+Расчёты!S237+Расчёты!U237+Расчёты!W237+Расчёты!X237+BH237+BK237,0)</f>
        <v>0</v>
      </c>
      <c r="BU237">
        <f>IF(AND(D237=1,BR237&gt;=0,BR236&lt;0,MIN($BR$2:BR237)&lt;0),1,0)</f>
        <v>0</v>
      </c>
      <c r="BV237">
        <f>Расчёты!AZ237+K237+N237-P237*N('Исходные данные'!$B$50)</f>
        <v>0</v>
      </c>
      <c r="BW237">
        <f t="shared" si="135"/>
        <v>0</v>
      </c>
      <c r="BX237">
        <f>IF(AND(BW237&gt;=0,BW236&lt;0,MIN($BW$2:BW237)&lt;0),1,0)</f>
        <v>0</v>
      </c>
      <c r="BY237">
        <f>Расчёты!AZ237+AH237+AK237-AM237*N('Исходные данные'!$B$50)</f>
        <v>0</v>
      </c>
      <c r="BZ237">
        <f t="shared" si="136"/>
        <v>0</v>
      </c>
      <c r="CA237">
        <f>IF(AND(BZ237&gt;=0,BZ236&lt;0,MIN($BZ$2:BZ237)&lt;0),1,0)</f>
        <v>0</v>
      </c>
      <c r="CB237">
        <f>Расчёты!AZ237+BE237+BH237-BJ237*N('Исходные данные'!$B$50)</f>
        <v>0</v>
      </c>
      <c r="CC237">
        <f t="shared" si="137"/>
        <v>0</v>
      </c>
      <c r="CD237">
        <f>IF(AND(CC237&gt;=0,CC236&lt;0,MIN($CC$2:CC237)&lt;0),1,0)</f>
        <v>0</v>
      </c>
    </row>
    <row r="238" spans="1:82" x14ac:dyDescent="0.2">
      <c r="A238">
        <f>Расчёты!A238</f>
        <v>237</v>
      </c>
      <c r="B238" t="str">
        <f>Расчёты!B238</f>
        <v/>
      </c>
      <c r="C238" t="str">
        <f>Расчёты!D238</f>
        <v/>
      </c>
      <c r="D238">
        <f>Расчёты!E238</f>
        <v>0</v>
      </c>
      <c r="E238">
        <f>IF(Расчёты!F238=0,0,IF(Расчёты!G238=1,N('Сценарный анализ'!$B$5),IF(Расчёты!G238=2,N('Сценарный анализ'!$B$6),IF(Расчёты!G238=3,N('Сценарный анализ'!$B$7),N('Сценарный анализ'!$B$7)*(1+N('Сценарный анализ'!$B$8))^(Расчёты!G238-3)))))</f>
        <v>0</v>
      </c>
      <c r="F238">
        <f>IF(OR(Расчёты!F238=0,N('Исходные данные'!$B$5)=0,E238=0),0,N('Исходные данные'!$B$5)*E238*IF(AND(B238&lt;='Исходные данные'!$B$30,Расчёты!C238&gt;='Исходные данные'!$B$30),(Расчёты!C238-'Исходные данные'!$B$30+1)/DAY(Расчёты!C238),1))</f>
        <v>0</v>
      </c>
      <c r="G238">
        <f>IF(AND(Расчёты!F238&gt;0,Расчёты!F238&lt;=N('Исходные данные'!$B$37)),-F238,0)</f>
        <v>0</v>
      </c>
      <c r="H238">
        <f>IF(OR(Расчёты!F238=0,Расчёты!F238&lt;=N('Исходные данные'!$B$37)),0,-(F238+G238)*N('Сценарный анализ'!$B$9))</f>
        <v>0</v>
      </c>
      <c r="I238">
        <f t="shared" si="138"/>
        <v>0</v>
      </c>
      <c r="J238">
        <f>IF('Исходные данные'!$B$51="Да",I238*N('Исходные данные'!$B$52),0)</f>
        <v>0</v>
      </c>
      <c r="K238">
        <f t="shared" si="139"/>
        <v>0</v>
      </c>
      <c r="L238">
        <f>I238+(Расчёты!Y238-Расчёты!L238)</f>
        <v>0</v>
      </c>
      <c r="M238">
        <f t="shared" si="126"/>
        <v>0</v>
      </c>
      <c r="N238">
        <f>IF('Исходные данные'!$B$51="Да",-MAX(0,J238+Расчёты!R238+Расчёты!V238-Расчёты!P238-Расчёты!T238-M238),0)</f>
        <v>0</v>
      </c>
      <c r="O238">
        <f>IF('Исходные данные'!$B$51="Да",MAX(0,M238+Расчёты!P238+Расчёты!T238-J238-Расчёты!R238-Расчёты!V238),0)</f>
        <v>0</v>
      </c>
      <c r="P238">
        <f>IF('Исходные данные'!$B$53="Выручка",MAX(0,I238+(Расчёты!Q238-Расчёты!R238)+(Расчёты!U238-Расчёты!V238)),IF('Исходные данные'!$B$53="Прибыль до налога",MAX(0,I238+(Расчёты!Q238-Расчёты!R238)+(Расчёты!U238-Расчёты!V238)+N('Исходные данные'!$B$54)*((Расчёты!O238+Расчёты!P238)+(Расчёты!S238+Расчёты!T238)+Расчёты!W238+Расчёты!X238)+IF('Исходные данные'!$B$55="Да",Расчёты!AG238,0)-N('Исходные данные'!$B$56)/12),IF('Исходные данные'!$B$53="Пользовательская база",MAX(0,N('Исходные данные'!$B$57)/12),0)))</f>
        <v>0</v>
      </c>
      <c r="Q238">
        <f>IF(D238=1,-P238*N('Исходные данные'!$B$50),0)</f>
        <v>0</v>
      </c>
      <c r="R238">
        <f t="shared" si="127"/>
        <v>0</v>
      </c>
      <c r="S238">
        <f>IF(OR(D238&lt;&gt;1,B238="",'Исходные данные'!$B$91="",N('Исходные данные'!$B$80)&lt;=0,'Исходные данные'!$B$88=""),0,IF(AND(YEAR(B238)=YEAR('Исходные данные'!$B$91),MONTH(B238)=MONTH('Исходные данные'!$B$91)),MAX(0,IF('Исходные данные'!$B$88="Последние 12 месяцев",SUMIFS($L$2:$L$194,$B$2:$B$194,"&gt;="&amp;EDATE(B238,-11),$B$2:$B$194,"&lt;="&amp;B238),IF('Исходные данные'!$B$88="Пользовательский NOI",N('Исходные данные'!$B$89),R238))/N('Исходные данные'!$B$80)*(1+N('Исходные данные'!$B$81))),0))</f>
        <v>0</v>
      </c>
      <c r="T238">
        <f>-S238*N('Исходные данные'!$B$73)</f>
        <v>0</v>
      </c>
      <c r="U238">
        <f>IF(S238=0,0,-N('Исходные данные'!$B$87)-IF('Исходные данные'!$B$82="Да",IF('Исходные данные'!$B$84="С выручки",S238,IF('Исходные данные'!$B$84="С прибыли",MAX(0,S238+T238-IF('Исходные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38">
        <f t="shared" si="140"/>
        <v>0</v>
      </c>
      <c r="W238">
        <f>IF(D238=1,Расчёты!AZ238+K238+N238+Q238+V238,0)</f>
        <v>0</v>
      </c>
      <c r="X238" t="str">
        <f t="shared" si="128"/>
        <v/>
      </c>
      <c r="Y238">
        <f>IF(OR(D238=0,'Исходные данные'!$B$9="",'Исходные данные'!$B$90=""),0,W238/(1+'Исходные данные'!$B$90)^((C238-'Исходные данные'!$B$9)/365))</f>
        <v>0</v>
      </c>
      <c r="Z238">
        <f>IF(D238=1,K238+Расчёты!O238+Расчёты!Q238+Расчёты!S238+Расчёты!U238+Расчёты!W238+Расчёты!X238+N238+Q238,0)</f>
        <v>0</v>
      </c>
      <c r="AA238">
        <f>IF(AND(D238=1,X238&gt;=0,X237&lt;0,MIN($X$2:X238)&lt;0),1,0)</f>
        <v>0</v>
      </c>
      <c r="AB238">
        <f>IF(Расчёты!F238=0,0,IF(Расчёты!G238=1,N('Сценарный анализ'!$C$5),IF(Расчёты!G238=2,N('Сценарный анализ'!$C$6),IF(Расчёты!G238=3,N('Сценарный анализ'!$C$7),N('Сценарный анализ'!$C$7)*(1+N('Сценарный анализ'!$C$8))^(Расчёты!G238-3)))))</f>
        <v>0</v>
      </c>
      <c r="AC238">
        <f>IF(OR(Расчёты!F238=0,N('Исходные данные'!$B$5)=0,AB238=0),0,N('Исходные данные'!$B$5)*AB238*IF(AND(B238&lt;='Исходные данные'!$B$30,Расчёты!C238&gt;='Исходные данные'!$B$30),(Расчёты!C238-'Исходные данные'!$B$30+1)/DAY(Расчёты!C238),1))</f>
        <v>0</v>
      </c>
      <c r="AD238">
        <f>IF(AND(Расчёты!F238&gt;0,Расчёты!F238&lt;=N('Исходные данные'!$B$37)),-AC238,0)</f>
        <v>0</v>
      </c>
      <c r="AE238">
        <f>IF(OR(Расчёты!F238=0,Расчёты!F238&lt;=N('Исходные данные'!$B$37)),0,-(AC238+AD238)*N('Сценарный анализ'!$C$9))</f>
        <v>0</v>
      </c>
      <c r="AF238">
        <f t="shared" si="141"/>
        <v>0</v>
      </c>
      <c r="AG238">
        <f>IF('Исходные данные'!$B$51="Да",AF238*N('Исходные данные'!$B$52),0)</f>
        <v>0</v>
      </c>
      <c r="AH238">
        <f t="shared" si="142"/>
        <v>0</v>
      </c>
      <c r="AI238">
        <f>AF238+(Расчёты!Y238-Расчёты!L238)</f>
        <v>0</v>
      </c>
      <c r="AJ238">
        <f t="shared" si="129"/>
        <v>0</v>
      </c>
      <c r="AK238">
        <f>IF('Исходные данные'!$B$51="Да",-MAX(0,AG238+Расчёты!R238+Расчёты!V238-Расчёты!P238-Расчёты!T238-AJ238),0)</f>
        <v>0</v>
      </c>
      <c r="AL238">
        <f>IF('Исходные данные'!$B$51="Да",MAX(0,AJ238+Расчёты!P238+Расчёты!T238-AG238-Расчёты!R238-Расчёты!V238),0)</f>
        <v>0</v>
      </c>
      <c r="AM238">
        <f>IF('Исходные данные'!$B$53="Выручка",MAX(0,AF238+(Расчёты!Q238-Расчёты!R238)+(Расчёты!U238-Расчёты!V238)),IF('Исходные данные'!$B$53="Прибыль до налога",MAX(0,AF238+(Расчёты!Q238-Расчёты!R238)+(Расчёты!U238-Расчёты!V238)+N('Исходные данные'!$B$54)*((Расчёты!O238+Расчёты!P238)+(Расчёты!S238+Расчёты!T238)+Расчёты!W238+Расчёты!X238)+IF('Исходные данные'!$B$55="Да",Расчёты!AG238,0)-N('Исходные данные'!$B$56)/12),IF('Исходные данные'!$B$53="Пользовательская база",MAX(0,N('Исходные данные'!$B$57)/12),0)))</f>
        <v>0</v>
      </c>
      <c r="AN238">
        <f>IF(D238=1,-AM238*N('Исходные данные'!$B$50),0)</f>
        <v>0</v>
      </c>
      <c r="AO238">
        <f t="shared" si="130"/>
        <v>0</v>
      </c>
      <c r="AP238">
        <f>IF(OR(D238&lt;&gt;1,B238="",'Исходные данные'!$B$91="",N('Исходные данные'!$B$80)&lt;=0,'Исходные данные'!$B$88=""),0,IF(AND(YEAR(B238)=YEAR('Исходные данные'!$B$91),MONTH(B238)=MONTH('Исходные данные'!$B$91)),MAX(0,IF('Исходные данные'!$B$88="Последние 12 месяцев",SUMIFS($AI$2:$AI$194,$B$2:$B$194,"&gt;="&amp;EDATE(B238,-11),$B$2:$B$194,"&lt;="&amp;B238),IF('Исходные данные'!$B$88="Пользовательский NOI",N('Исходные данные'!$B$89),AO238))/N('Исходные данные'!$B$80)*(1+N('Исходные данные'!$B$81))),0))</f>
        <v>0</v>
      </c>
      <c r="AQ238">
        <f>-AP238*N('Исходные данные'!$B$73)</f>
        <v>0</v>
      </c>
      <c r="AR238">
        <f>IF(AP238=0,0,-N('Исходные данные'!$B$87)-IF('Исходные данные'!$B$82="Да",IF('Исходные данные'!$B$84="С выручки",AP238,IF('Исходные данные'!$B$84="С прибыли",MAX(0,AP238+AQ238-IF('Исходные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38">
        <f t="shared" si="143"/>
        <v>0</v>
      </c>
      <c r="AT238">
        <f>IF(D238=1,Расчёты!AZ238+AH238+AK238+AN238+AS238,0)</f>
        <v>0</v>
      </c>
      <c r="AU238" t="str">
        <f t="shared" si="131"/>
        <v/>
      </c>
      <c r="AV238">
        <f>IF(OR(D238=0,'Исходные данные'!$B$9="",'Исходные данные'!$B$90=""),0,AT238/(1+'Исходные данные'!$B$90)^((C238-'Исходные данные'!$B$9)/365))</f>
        <v>0</v>
      </c>
      <c r="AW238">
        <f>IF(D238=1,AH238+Расчёты!O238+Расчёты!Q238+Расчёты!S238+Расчёты!U238+Расчёты!W238+Расчёты!X238+AK238+AN238,0)</f>
        <v>0</v>
      </c>
      <c r="AX238">
        <f>IF(AND(D238=1,AU238&gt;=0,AU237&lt;0,MIN($AU$2:AU238)&lt;0),1,0)</f>
        <v>0</v>
      </c>
      <c r="AY238">
        <f>IF(Расчёты!F238=0,0,IF(Расчёты!G238=1,N('Сценарный анализ'!$D$5),IF(Расчёты!G238=2,N('Сценарный анализ'!$D$6),IF(Расчёты!G238=3,N('Сценарный анализ'!$D$7),N('Сценарный анализ'!$D$7)*(1+N('Сценарный анализ'!$D$8))^(Расчёты!G238-3)))))</f>
        <v>0</v>
      </c>
      <c r="AZ238">
        <f>IF(OR(Расчёты!F238=0,N('Исходные данные'!$B$5)=0,AY238=0),0,N('Исходные данные'!$B$5)*AY238*IF(AND(B238&lt;='Исходные данные'!$B$30,Расчёты!C238&gt;='Исходные данные'!$B$30),(Расчёты!C238-'Исходные данные'!$B$30+1)/DAY(Расчёты!C238),1))</f>
        <v>0</v>
      </c>
      <c r="BA238">
        <f>IF(AND(Расчёты!F238&gt;0,Расчёты!F238&lt;=N('Исходные данные'!$B$37)),-AZ238,0)</f>
        <v>0</v>
      </c>
      <c r="BB238">
        <f>IF(OR(Расчёты!F238=0,Расчёты!F238&lt;=N('Исходные данные'!$B$37)),0,-(AZ238+BA238)*N('Сценарный анализ'!$D$9))</f>
        <v>0</v>
      </c>
      <c r="BC238">
        <f t="shared" si="144"/>
        <v>0</v>
      </c>
      <c r="BD238">
        <f>IF('Исходные данные'!$B$51="Да",BC238*N('Исходные данные'!$B$52),0)</f>
        <v>0</v>
      </c>
      <c r="BE238">
        <f t="shared" si="145"/>
        <v>0</v>
      </c>
      <c r="BF238">
        <f>BC238+(Расчёты!Y238-Расчёты!L238)</f>
        <v>0</v>
      </c>
      <c r="BG238">
        <f t="shared" si="132"/>
        <v>0</v>
      </c>
      <c r="BH238">
        <f>IF('Исходные данные'!$B$51="Да",-MAX(0,BD238+Расчёты!R238+Расчёты!V238-Расчёты!P238-Расчёты!T238-BG238),0)</f>
        <v>0</v>
      </c>
      <c r="BI238">
        <f>IF('Исходные данные'!$B$51="Да",MAX(0,BG238+Расчёты!P238+Расчёты!T238-BD238-Расчёты!R238-Расчёты!V238),0)</f>
        <v>0</v>
      </c>
      <c r="BJ238">
        <f>IF('Исходные данные'!$B$53="Выручка",MAX(0,BC238+(Расчёты!Q238-Расчёты!R238)+(Расчёты!U238-Расчёты!V238)),IF('Исходные данные'!$B$53="Прибыль до налога",MAX(0,BC238+(Расчёты!Q238-Расчёты!R238)+(Расчёты!U238-Расчёты!V238)+N('Исходные данные'!$B$54)*((Расчёты!O238+Расчёты!P238)+(Расчёты!S238+Расчёты!T238)+Расчёты!W238+Расчёты!X238)+IF('Исходные данные'!$B$55="Да",Расчёты!AG238,0)-N('Исходные данные'!$B$56)/12),IF('Исходные данные'!$B$53="Пользовательская база",MAX(0,N('Исходные данные'!$B$57)/12),0)))</f>
        <v>0</v>
      </c>
      <c r="BK238">
        <f>IF(D238=1,-BJ238*N('Исходные данные'!$B$50),0)</f>
        <v>0</v>
      </c>
      <c r="BL238">
        <f t="shared" si="133"/>
        <v>0</v>
      </c>
      <c r="BM238">
        <f>IF(OR(D238&lt;&gt;1,B238="",'Исходные данные'!$B$91="",N('Исходные данные'!$B$80)&lt;=0,'Исходные данные'!$B$88=""),0,IF(AND(YEAR(B238)=YEAR('Исходные данные'!$B$91),MONTH(B238)=MONTH('Исходные данные'!$B$91)),MAX(0,IF('Исходные данные'!$B$88="Последние 12 месяцев",SUMIFS($BF$2:$BF$194,$B$2:$B$194,"&gt;="&amp;EDATE(B238,-11),$B$2:$B$194,"&lt;="&amp;B238),IF('Исходные данные'!$B$88="Пользовательский NOI",N('Исходные данные'!$B$89),BL238))/N('Исходные данные'!$B$80)*(1+N('Исходные данные'!$B$81))),0))</f>
        <v>0</v>
      </c>
      <c r="BN238">
        <f>-BM238*N('Исходные данные'!$B$73)</f>
        <v>0</v>
      </c>
      <c r="BO238">
        <f>IF(BM238=0,0,-N('Исходные данные'!$B$87)-IF('Исходные данные'!$B$82="Да",IF('Исходные данные'!$B$84="С выручки",BM238,IF('Исходные данные'!$B$84="С прибыли",MAX(0,BM238+BN238-IF('Исходные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38">
        <f t="shared" si="146"/>
        <v>0</v>
      </c>
      <c r="BQ238">
        <f>IF(D238=1,Расчёты!AZ238+BE238+BH238+BK238+BP238,0)</f>
        <v>0</v>
      </c>
      <c r="BR238" t="str">
        <f t="shared" si="134"/>
        <v/>
      </c>
      <c r="BS238">
        <f>IF(OR(D238=0,'Исходные данные'!$B$9="",'Исходные данные'!$B$90=""),0,BQ238/(1+'Исходные данные'!$B$90)^((C238-'Исходные данные'!$B$9)/365))</f>
        <v>0</v>
      </c>
      <c r="BT238">
        <f>IF(D238=1,BE238+Расчёты!O238+Расчёты!Q238+Расчёты!S238+Расчёты!U238+Расчёты!W238+Расчёты!X238+BH238+BK238,0)</f>
        <v>0</v>
      </c>
      <c r="BU238">
        <f>IF(AND(D238=1,BR238&gt;=0,BR237&lt;0,MIN($BR$2:BR238)&lt;0),1,0)</f>
        <v>0</v>
      </c>
      <c r="BV238">
        <f>Расчёты!AZ238+K238+N238-P238*N('Исходные данные'!$B$50)</f>
        <v>0</v>
      </c>
      <c r="BW238">
        <f t="shared" si="135"/>
        <v>0</v>
      </c>
      <c r="BX238">
        <f>IF(AND(BW238&gt;=0,BW237&lt;0,MIN($BW$2:BW238)&lt;0),1,0)</f>
        <v>0</v>
      </c>
      <c r="BY238">
        <f>Расчёты!AZ238+AH238+AK238-AM238*N('Исходные данные'!$B$50)</f>
        <v>0</v>
      </c>
      <c r="BZ238">
        <f t="shared" si="136"/>
        <v>0</v>
      </c>
      <c r="CA238">
        <f>IF(AND(BZ238&gt;=0,BZ237&lt;0,MIN($BZ$2:BZ238)&lt;0),1,0)</f>
        <v>0</v>
      </c>
      <c r="CB238">
        <f>Расчёты!AZ238+BE238+BH238-BJ238*N('Исходные данные'!$B$50)</f>
        <v>0</v>
      </c>
      <c r="CC238">
        <f t="shared" si="137"/>
        <v>0</v>
      </c>
      <c r="CD238">
        <f>IF(AND(CC238&gt;=0,CC237&lt;0,MIN($CC$2:CC238)&lt;0),1,0)</f>
        <v>0</v>
      </c>
    </row>
    <row r="239" spans="1:82" x14ac:dyDescent="0.2">
      <c r="A239">
        <f>Расчёты!A239</f>
        <v>238</v>
      </c>
      <c r="B239" t="str">
        <f>Расчёты!B239</f>
        <v/>
      </c>
      <c r="C239" t="str">
        <f>Расчёты!D239</f>
        <v/>
      </c>
      <c r="D239">
        <f>Расчёты!E239</f>
        <v>0</v>
      </c>
      <c r="E239">
        <f>IF(Расчёты!F239=0,0,IF(Расчёты!G239=1,N('Сценарный анализ'!$B$5),IF(Расчёты!G239=2,N('Сценарный анализ'!$B$6),IF(Расчёты!G239=3,N('Сценарный анализ'!$B$7),N('Сценарный анализ'!$B$7)*(1+N('Сценарный анализ'!$B$8))^(Расчёты!G239-3)))))</f>
        <v>0</v>
      </c>
      <c r="F239">
        <f>IF(OR(Расчёты!F239=0,N('Исходные данные'!$B$5)=0,E239=0),0,N('Исходные данные'!$B$5)*E239*IF(AND(B239&lt;='Исходные данные'!$B$30,Расчёты!C239&gt;='Исходные данные'!$B$30),(Расчёты!C239-'Исходные данные'!$B$30+1)/DAY(Расчёты!C239),1))</f>
        <v>0</v>
      </c>
      <c r="G239">
        <f>IF(AND(Расчёты!F239&gt;0,Расчёты!F239&lt;=N('Исходные данные'!$B$37)),-F239,0)</f>
        <v>0</v>
      </c>
      <c r="H239">
        <f>IF(OR(Расчёты!F239=0,Расчёты!F239&lt;=N('Исходные данные'!$B$37)),0,-(F239+G239)*N('Сценарный анализ'!$B$9))</f>
        <v>0</v>
      </c>
      <c r="I239">
        <f t="shared" si="138"/>
        <v>0</v>
      </c>
      <c r="J239">
        <f>IF('Исходные данные'!$B$51="Да",I239*N('Исходные данные'!$B$52),0)</f>
        <v>0</v>
      </c>
      <c r="K239">
        <f t="shared" si="139"/>
        <v>0</v>
      </c>
      <c r="L239">
        <f>I239+(Расчёты!Y239-Расчёты!L239)</f>
        <v>0</v>
      </c>
      <c r="M239">
        <f t="shared" si="126"/>
        <v>0</v>
      </c>
      <c r="N239">
        <f>IF('Исходные данные'!$B$51="Да",-MAX(0,J239+Расчёты!R239+Расчёты!V239-Расчёты!P239-Расчёты!T239-M239),0)</f>
        <v>0</v>
      </c>
      <c r="O239">
        <f>IF('Исходные данные'!$B$51="Да",MAX(0,M239+Расчёты!P239+Расчёты!T239-J239-Расчёты!R239-Расчёты!V239),0)</f>
        <v>0</v>
      </c>
      <c r="P239">
        <f>IF('Исходные данные'!$B$53="Выручка",MAX(0,I239+(Расчёты!Q239-Расчёты!R239)+(Расчёты!U239-Расчёты!V239)),IF('Исходные данные'!$B$53="Прибыль до налога",MAX(0,I239+(Расчёты!Q239-Расчёты!R239)+(Расчёты!U239-Расчёты!V239)+N('Исходные данные'!$B$54)*((Расчёты!O239+Расчёты!P239)+(Расчёты!S239+Расчёты!T239)+Расчёты!W239+Расчёты!X239)+IF('Исходные данные'!$B$55="Да",Расчёты!AG239,0)-N('Исходные данные'!$B$56)/12),IF('Исходные данные'!$B$53="Пользовательская база",MAX(0,N('Исходные данные'!$B$57)/12),0)))</f>
        <v>0</v>
      </c>
      <c r="Q239">
        <f>IF(D239=1,-P239*N('Исходные данные'!$B$50),0)</f>
        <v>0</v>
      </c>
      <c r="R239">
        <f t="shared" si="127"/>
        <v>0</v>
      </c>
      <c r="S239">
        <f>IF(OR(D239&lt;&gt;1,B239="",'Исходные данные'!$B$91="",N('Исходные данные'!$B$80)&lt;=0,'Исходные данные'!$B$88=""),0,IF(AND(YEAR(B239)=YEAR('Исходные данные'!$B$91),MONTH(B239)=MONTH('Исходные данные'!$B$91)),MAX(0,IF('Исходные данные'!$B$88="Последние 12 месяцев",SUMIFS($L$2:$L$194,$B$2:$B$194,"&gt;="&amp;EDATE(B239,-11),$B$2:$B$194,"&lt;="&amp;B239),IF('Исходные данные'!$B$88="Пользовательский NOI",N('Исходные данные'!$B$89),R239))/N('Исходные данные'!$B$80)*(1+N('Исходные данные'!$B$81))),0))</f>
        <v>0</v>
      </c>
      <c r="T239">
        <f>-S239*N('Исходные данные'!$B$73)</f>
        <v>0</v>
      </c>
      <c r="U239">
        <f>IF(S239=0,0,-N('Исходные данные'!$B$87)-IF('Исходные данные'!$B$82="Да",IF('Исходные данные'!$B$84="С выручки",S239,IF('Исходные данные'!$B$84="С прибыли",MAX(0,S239+T239-IF('Исходные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39">
        <f t="shared" si="140"/>
        <v>0</v>
      </c>
      <c r="W239">
        <f>IF(D239=1,Расчёты!AZ239+K239+N239+Q239+V239,0)</f>
        <v>0</v>
      </c>
      <c r="X239" t="str">
        <f t="shared" si="128"/>
        <v/>
      </c>
      <c r="Y239">
        <f>IF(OR(D239=0,'Исходные данные'!$B$9="",'Исходные данные'!$B$90=""),0,W239/(1+'Исходные данные'!$B$90)^((C239-'Исходные данные'!$B$9)/365))</f>
        <v>0</v>
      </c>
      <c r="Z239">
        <f>IF(D239=1,K239+Расчёты!O239+Расчёты!Q239+Расчёты!S239+Расчёты!U239+Расчёты!W239+Расчёты!X239+N239+Q239,0)</f>
        <v>0</v>
      </c>
      <c r="AA239">
        <f>IF(AND(D239=1,X239&gt;=0,X238&lt;0,MIN($X$2:X239)&lt;0),1,0)</f>
        <v>0</v>
      </c>
      <c r="AB239">
        <f>IF(Расчёты!F239=0,0,IF(Расчёты!G239=1,N('Сценарный анализ'!$C$5),IF(Расчёты!G239=2,N('Сценарный анализ'!$C$6),IF(Расчёты!G239=3,N('Сценарный анализ'!$C$7),N('Сценарный анализ'!$C$7)*(1+N('Сценарный анализ'!$C$8))^(Расчёты!G239-3)))))</f>
        <v>0</v>
      </c>
      <c r="AC239">
        <f>IF(OR(Расчёты!F239=0,N('Исходные данные'!$B$5)=0,AB239=0),0,N('Исходные данные'!$B$5)*AB239*IF(AND(B239&lt;='Исходные данные'!$B$30,Расчёты!C239&gt;='Исходные данные'!$B$30),(Расчёты!C239-'Исходные данные'!$B$30+1)/DAY(Расчёты!C239),1))</f>
        <v>0</v>
      </c>
      <c r="AD239">
        <f>IF(AND(Расчёты!F239&gt;0,Расчёты!F239&lt;=N('Исходные данные'!$B$37)),-AC239,0)</f>
        <v>0</v>
      </c>
      <c r="AE239">
        <f>IF(OR(Расчёты!F239=0,Расчёты!F239&lt;=N('Исходные данные'!$B$37)),0,-(AC239+AD239)*N('Сценарный анализ'!$C$9))</f>
        <v>0</v>
      </c>
      <c r="AF239">
        <f t="shared" si="141"/>
        <v>0</v>
      </c>
      <c r="AG239">
        <f>IF('Исходные данные'!$B$51="Да",AF239*N('Исходные данные'!$B$52),0)</f>
        <v>0</v>
      </c>
      <c r="AH239">
        <f t="shared" si="142"/>
        <v>0</v>
      </c>
      <c r="AI239">
        <f>AF239+(Расчёты!Y239-Расчёты!L239)</f>
        <v>0</v>
      </c>
      <c r="AJ239">
        <f t="shared" si="129"/>
        <v>0</v>
      </c>
      <c r="AK239">
        <f>IF('Исходные данные'!$B$51="Да",-MAX(0,AG239+Расчёты!R239+Расчёты!V239-Расчёты!P239-Расчёты!T239-AJ239),0)</f>
        <v>0</v>
      </c>
      <c r="AL239">
        <f>IF('Исходные данные'!$B$51="Да",MAX(0,AJ239+Расчёты!P239+Расчёты!T239-AG239-Расчёты!R239-Расчёты!V239),0)</f>
        <v>0</v>
      </c>
      <c r="AM239">
        <f>IF('Исходные данные'!$B$53="Выручка",MAX(0,AF239+(Расчёты!Q239-Расчёты!R239)+(Расчёты!U239-Расчёты!V239)),IF('Исходные данные'!$B$53="Прибыль до налога",MAX(0,AF239+(Расчёты!Q239-Расчёты!R239)+(Расчёты!U239-Расчёты!V239)+N('Исходные данные'!$B$54)*((Расчёты!O239+Расчёты!P239)+(Расчёты!S239+Расчёты!T239)+Расчёты!W239+Расчёты!X239)+IF('Исходные данные'!$B$55="Да",Расчёты!AG239,0)-N('Исходные данные'!$B$56)/12),IF('Исходные данные'!$B$53="Пользовательская база",MAX(0,N('Исходные данные'!$B$57)/12),0)))</f>
        <v>0</v>
      </c>
      <c r="AN239">
        <f>IF(D239=1,-AM239*N('Исходные данные'!$B$50),0)</f>
        <v>0</v>
      </c>
      <c r="AO239">
        <f t="shared" si="130"/>
        <v>0</v>
      </c>
      <c r="AP239">
        <f>IF(OR(D239&lt;&gt;1,B239="",'Исходные данные'!$B$91="",N('Исходные данные'!$B$80)&lt;=0,'Исходные данные'!$B$88=""),0,IF(AND(YEAR(B239)=YEAR('Исходные данные'!$B$91),MONTH(B239)=MONTH('Исходные данные'!$B$91)),MAX(0,IF('Исходные данные'!$B$88="Последние 12 месяцев",SUMIFS($AI$2:$AI$194,$B$2:$B$194,"&gt;="&amp;EDATE(B239,-11),$B$2:$B$194,"&lt;="&amp;B239),IF('Исходные данные'!$B$88="Пользовательский NOI",N('Исходные данные'!$B$89),AO239))/N('Исходные данные'!$B$80)*(1+N('Исходные данные'!$B$81))),0))</f>
        <v>0</v>
      </c>
      <c r="AQ239">
        <f>-AP239*N('Исходные данные'!$B$73)</f>
        <v>0</v>
      </c>
      <c r="AR239">
        <f>IF(AP239=0,0,-N('Исходные данные'!$B$87)-IF('Исходные данные'!$B$82="Да",IF('Исходные данные'!$B$84="С выручки",AP239,IF('Исходные данные'!$B$84="С прибыли",MAX(0,AP239+AQ239-IF('Исходные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39">
        <f t="shared" si="143"/>
        <v>0</v>
      </c>
      <c r="AT239">
        <f>IF(D239=1,Расчёты!AZ239+AH239+AK239+AN239+AS239,0)</f>
        <v>0</v>
      </c>
      <c r="AU239" t="str">
        <f t="shared" si="131"/>
        <v/>
      </c>
      <c r="AV239">
        <f>IF(OR(D239=0,'Исходные данные'!$B$9="",'Исходные данные'!$B$90=""),0,AT239/(1+'Исходные данные'!$B$90)^((C239-'Исходные данные'!$B$9)/365))</f>
        <v>0</v>
      </c>
      <c r="AW239">
        <f>IF(D239=1,AH239+Расчёты!O239+Расчёты!Q239+Расчёты!S239+Расчёты!U239+Расчёты!W239+Расчёты!X239+AK239+AN239,0)</f>
        <v>0</v>
      </c>
      <c r="AX239">
        <f>IF(AND(D239=1,AU239&gt;=0,AU238&lt;0,MIN($AU$2:AU239)&lt;0),1,0)</f>
        <v>0</v>
      </c>
      <c r="AY239">
        <f>IF(Расчёты!F239=0,0,IF(Расчёты!G239=1,N('Сценарный анализ'!$D$5),IF(Расчёты!G239=2,N('Сценарный анализ'!$D$6),IF(Расчёты!G239=3,N('Сценарный анализ'!$D$7),N('Сценарный анализ'!$D$7)*(1+N('Сценарный анализ'!$D$8))^(Расчёты!G239-3)))))</f>
        <v>0</v>
      </c>
      <c r="AZ239">
        <f>IF(OR(Расчёты!F239=0,N('Исходные данные'!$B$5)=0,AY239=0),0,N('Исходные данные'!$B$5)*AY239*IF(AND(B239&lt;='Исходные данные'!$B$30,Расчёты!C239&gt;='Исходные данные'!$B$30),(Расчёты!C239-'Исходные данные'!$B$30+1)/DAY(Расчёты!C239),1))</f>
        <v>0</v>
      </c>
      <c r="BA239">
        <f>IF(AND(Расчёты!F239&gt;0,Расчёты!F239&lt;=N('Исходные данные'!$B$37)),-AZ239,0)</f>
        <v>0</v>
      </c>
      <c r="BB239">
        <f>IF(OR(Расчёты!F239=0,Расчёты!F239&lt;=N('Исходные данные'!$B$37)),0,-(AZ239+BA239)*N('Сценарный анализ'!$D$9))</f>
        <v>0</v>
      </c>
      <c r="BC239">
        <f t="shared" si="144"/>
        <v>0</v>
      </c>
      <c r="BD239">
        <f>IF('Исходные данные'!$B$51="Да",BC239*N('Исходные данные'!$B$52),0)</f>
        <v>0</v>
      </c>
      <c r="BE239">
        <f t="shared" si="145"/>
        <v>0</v>
      </c>
      <c r="BF239">
        <f>BC239+(Расчёты!Y239-Расчёты!L239)</f>
        <v>0</v>
      </c>
      <c r="BG239">
        <f t="shared" si="132"/>
        <v>0</v>
      </c>
      <c r="BH239">
        <f>IF('Исходные данные'!$B$51="Да",-MAX(0,BD239+Расчёты!R239+Расчёты!V239-Расчёты!P239-Расчёты!T239-BG239),0)</f>
        <v>0</v>
      </c>
      <c r="BI239">
        <f>IF('Исходные данные'!$B$51="Да",MAX(0,BG239+Расчёты!P239+Расчёты!T239-BD239-Расчёты!R239-Расчёты!V239),0)</f>
        <v>0</v>
      </c>
      <c r="BJ239">
        <f>IF('Исходные данные'!$B$53="Выручка",MAX(0,BC239+(Расчёты!Q239-Расчёты!R239)+(Расчёты!U239-Расчёты!V239)),IF('Исходные данные'!$B$53="Прибыль до налога",MAX(0,BC239+(Расчёты!Q239-Расчёты!R239)+(Расчёты!U239-Расчёты!V239)+N('Исходные данные'!$B$54)*((Расчёты!O239+Расчёты!P239)+(Расчёты!S239+Расчёты!T239)+Расчёты!W239+Расчёты!X239)+IF('Исходные данные'!$B$55="Да",Расчёты!AG239,0)-N('Исходные данные'!$B$56)/12),IF('Исходные данные'!$B$53="Пользовательская база",MAX(0,N('Исходные данные'!$B$57)/12),0)))</f>
        <v>0</v>
      </c>
      <c r="BK239">
        <f>IF(D239=1,-BJ239*N('Исходные данные'!$B$50),0)</f>
        <v>0</v>
      </c>
      <c r="BL239">
        <f t="shared" si="133"/>
        <v>0</v>
      </c>
      <c r="BM239">
        <f>IF(OR(D239&lt;&gt;1,B239="",'Исходные данные'!$B$91="",N('Исходные данные'!$B$80)&lt;=0,'Исходные данные'!$B$88=""),0,IF(AND(YEAR(B239)=YEAR('Исходные данные'!$B$91),MONTH(B239)=MONTH('Исходные данные'!$B$91)),MAX(0,IF('Исходные данные'!$B$88="Последние 12 месяцев",SUMIFS($BF$2:$BF$194,$B$2:$B$194,"&gt;="&amp;EDATE(B239,-11),$B$2:$B$194,"&lt;="&amp;B239),IF('Исходные данные'!$B$88="Пользовательский NOI",N('Исходные данные'!$B$89),BL239))/N('Исходные данные'!$B$80)*(1+N('Исходные данные'!$B$81))),0))</f>
        <v>0</v>
      </c>
      <c r="BN239">
        <f>-BM239*N('Исходные данные'!$B$73)</f>
        <v>0</v>
      </c>
      <c r="BO239">
        <f>IF(BM239=0,0,-N('Исходные данные'!$B$87)-IF('Исходные данные'!$B$82="Да",IF('Исходные данные'!$B$84="С выручки",BM239,IF('Исходные данные'!$B$84="С прибыли",MAX(0,BM239+BN239-IF('Исходные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39">
        <f t="shared" si="146"/>
        <v>0</v>
      </c>
      <c r="BQ239">
        <f>IF(D239=1,Расчёты!AZ239+BE239+BH239+BK239+BP239,0)</f>
        <v>0</v>
      </c>
      <c r="BR239" t="str">
        <f t="shared" si="134"/>
        <v/>
      </c>
      <c r="BS239">
        <f>IF(OR(D239=0,'Исходные данные'!$B$9="",'Исходные данные'!$B$90=""),0,BQ239/(1+'Исходные данные'!$B$90)^((C239-'Исходные данные'!$B$9)/365))</f>
        <v>0</v>
      </c>
      <c r="BT239">
        <f>IF(D239=1,BE239+Расчёты!O239+Расчёты!Q239+Расчёты!S239+Расчёты!U239+Расчёты!W239+Расчёты!X239+BH239+BK239,0)</f>
        <v>0</v>
      </c>
      <c r="BU239">
        <f>IF(AND(D239=1,BR239&gt;=0,BR238&lt;0,MIN($BR$2:BR239)&lt;0),1,0)</f>
        <v>0</v>
      </c>
      <c r="BV239">
        <f>Расчёты!AZ239+K239+N239-P239*N('Исходные данные'!$B$50)</f>
        <v>0</v>
      </c>
      <c r="BW239">
        <f t="shared" si="135"/>
        <v>0</v>
      </c>
      <c r="BX239">
        <f>IF(AND(BW239&gt;=0,BW238&lt;0,MIN($BW$2:BW239)&lt;0),1,0)</f>
        <v>0</v>
      </c>
      <c r="BY239">
        <f>Расчёты!AZ239+AH239+AK239-AM239*N('Исходные данные'!$B$50)</f>
        <v>0</v>
      </c>
      <c r="BZ239">
        <f t="shared" si="136"/>
        <v>0</v>
      </c>
      <c r="CA239">
        <f>IF(AND(BZ239&gt;=0,BZ238&lt;0,MIN($BZ$2:BZ239)&lt;0),1,0)</f>
        <v>0</v>
      </c>
      <c r="CB239">
        <f>Расчёты!AZ239+BE239+BH239-BJ239*N('Исходные данные'!$B$50)</f>
        <v>0</v>
      </c>
      <c r="CC239">
        <f t="shared" si="137"/>
        <v>0</v>
      </c>
      <c r="CD239">
        <f>IF(AND(CC239&gt;=0,CC238&lt;0,MIN($CC$2:CC239)&lt;0),1,0)</f>
        <v>0</v>
      </c>
    </row>
    <row r="240" spans="1:82" x14ac:dyDescent="0.2">
      <c r="A240">
        <f>Расчёты!A240</f>
        <v>239</v>
      </c>
      <c r="B240" t="str">
        <f>Расчёты!B240</f>
        <v/>
      </c>
      <c r="C240" t="str">
        <f>Расчёты!D240</f>
        <v/>
      </c>
      <c r="D240">
        <f>Расчёты!E240</f>
        <v>0</v>
      </c>
      <c r="E240">
        <f>IF(Расчёты!F240=0,0,IF(Расчёты!G240=1,N('Сценарный анализ'!$B$5),IF(Расчёты!G240=2,N('Сценарный анализ'!$B$6),IF(Расчёты!G240=3,N('Сценарный анализ'!$B$7),N('Сценарный анализ'!$B$7)*(1+N('Сценарный анализ'!$B$8))^(Расчёты!G240-3)))))</f>
        <v>0</v>
      </c>
      <c r="F240">
        <f>IF(OR(Расчёты!F240=0,N('Исходные данные'!$B$5)=0,E240=0),0,N('Исходные данные'!$B$5)*E240*IF(AND(B240&lt;='Исходные данные'!$B$30,Расчёты!C240&gt;='Исходные данные'!$B$30),(Расчёты!C240-'Исходные данные'!$B$30+1)/DAY(Расчёты!C240),1))</f>
        <v>0</v>
      </c>
      <c r="G240">
        <f>IF(AND(Расчёты!F240&gt;0,Расчёты!F240&lt;=N('Исходные данные'!$B$37)),-F240,0)</f>
        <v>0</v>
      </c>
      <c r="H240">
        <f>IF(OR(Расчёты!F240=0,Расчёты!F240&lt;=N('Исходные данные'!$B$37)),0,-(F240+G240)*N('Сценарный анализ'!$B$9))</f>
        <v>0</v>
      </c>
      <c r="I240">
        <f t="shared" si="138"/>
        <v>0</v>
      </c>
      <c r="J240">
        <f>IF('Исходные данные'!$B$51="Да",I240*N('Исходные данные'!$B$52),0)</f>
        <v>0</v>
      </c>
      <c r="K240">
        <f t="shared" si="139"/>
        <v>0</v>
      </c>
      <c r="L240">
        <f>I240+(Расчёты!Y240-Расчёты!L240)</f>
        <v>0</v>
      </c>
      <c r="M240">
        <f t="shared" si="126"/>
        <v>0</v>
      </c>
      <c r="N240">
        <f>IF('Исходные данные'!$B$51="Да",-MAX(0,J240+Расчёты!R240+Расчёты!V240-Расчёты!P240-Расчёты!T240-M240),0)</f>
        <v>0</v>
      </c>
      <c r="O240">
        <f>IF('Исходные данные'!$B$51="Да",MAX(0,M240+Расчёты!P240+Расчёты!T240-J240-Расчёты!R240-Расчёты!V240),0)</f>
        <v>0</v>
      </c>
      <c r="P240">
        <f>IF('Исходные данные'!$B$53="Выручка",MAX(0,I240+(Расчёты!Q240-Расчёты!R240)+(Расчёты!U240-Расчёты!V240)),IF('Исходные данные'!$B$53="Прибыль до налога",MAX(0,I240+(Расчёты!Q240-Расчёты!R240)+(Расчёты!U240-Расчёты!V240)+N('Исходные данные'!$B$54)*((Расчёты!O240+Расчёты!P240)+(Расчёты!S240+Расчёты!T240)+Расчёты!W240+Расчёты!X240)+IF('Исходные данные'!$B$55="Да",Расчёты!AG240,0)-N('Исходные данные'!$B$56)/12),IF('Исходные данные'!$B$53="Пользовательская база",MAX(0,N('Исходные данные'!$B$57)/12),0)))</f>
        <v>0</v>
      </c>
      <c r="Q240">
        <f>IF(D240=1,-P240*N('Исходные данные'!$B$50),0)</f>
        <v>0</v>
      </c>
      <c r="R240">
        <f t="shared" si="127"/>
        <v>0</v>
      </c>
      <c r="S240">
        <f>IF(OR(D240&lt;&gt;1,B240="",'Исходные данные'!$B$91="",N('Исходные данные'!$B$80)&lt;=0,'Исходные данные'!$B$88=""),0,IF(AND(YEAR(B240)=YEAR('Исходные данные'!$B$91),MONTH(B240)=MONTH('Исходные данные'!$B$91)),MAX(0,IF('Исходные данные'!$B$88="Последние 12 месяцев",SUMIFS($L$2:$L$194,$B$2:$B$194,"&gt;="&amp;EDATE(B240,-11),$B$2:$B$194,"&lt;="&amp;B240),IF('Исходные данные'!$B$88="Пользовательский NOI",N('Исходные данные'!$B$89),R240))/N('Исходные данные'!$B$80)*(1+N('Исходные данные'!$B$81))),0))</f>
        <v>0</v>
      </c>
      <c r="T240">
        <f>-S240*N('Исходные данные'!$B$73)</f>
        <v>0</v>
      </c>
      <c r="U240">
        <f>IF(S240=0,0,-N('Исходные данные'!$B$87)-IF('Исходные данные'!$B$82="Да",IF('Исходные данные'!$B$84="С выручки",S240,IF('Исходные данные'!$B$84="С прибыли",MAX(0,S240+T240-IF('Исходные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40">
        <f t="shared" si="140"/>
        <v>0</v>
      </c>
      <c r="W240">
        <f>IF(D240=1,Расчёты!AZ240+K240+N240+Q240+V240,0)</f>
        <v>0</v>
      </c>
      <c r="X240" t="str">
        <f t="shared" si="128"/>
        <v/>
      </c>
      <c r="Y240">
        <f>IF(OR(D240=0,'Исходные данные'!$B$9="",'Исходные данные'!$B$90=""),0,W240/(1+'Исходные данные'!$B$90)^((C240-'Исходные данные'!$B$9)/365))</f>
        <v>0</v>
      </c>
      <c r="Z240">
        <f>IF(D240=1,K240+Расчёты!O240+Расчёты!Q240+Расчёты!S240+Расчёты!U240+Расчёты!W240+Расчёты!X240+N240+Q240,0)</f>
        <v>0</v>
      </c>
      <c r="AA240">
        <f>IF(AND(D240=1,X240&gt;=0,X239&lt;0,MIN($X$2:X240)&lt;0),1,0)</f>
        <v>0</v>
      </c>
      <c r="AB240">
        <f>IF(Расчёты!F240=0,0,IF(Расчёты!G240=1,N('Сценарный анализ'!$C$5),IF(Расчёты!G240=2,N('Сценарный анализ'!$C$6),IF(Расчёты!G240=3,N('Сценарный анализ'!$C$7),N('Сценарный анализ'!$C$7)*(1+N('Сценарный анализ'!$C$8))^(Расчёты!G240-3)))))</f>
        <v>0</v>
      </c>
      <c r="AC240">
        <f>IF(OR(Расчёты!F240=0,N('Исходные данные'!$B$5)=0,AB240=0),0,N('Исходные данные'!$B$5)*AB240*IF(AND(B240&lt;='Исходные данные'!$B$30,Расчёты!C240&gt;='Исходные данные'!$B$30),(Расчёты!C240-'Исходные данные'!$B$30+1)/DAY(Расчёты!C240),1))</f>
        <v>0</v>
      </c>
      <c r="AD240">
        <f>IF(AND(Расчёты!F240&gt;0,Расчёты!F240&lt;=N('Исходные данные'!$B$37)),-AC240,0)</f>
        <v>0</v>
      </c>
      <c r="AE240">
        <f>IF(OR(Расчёты!F240=0,Расчёты!F240&lt;=N('Исходные данные'!$B$37)),0,-(AC240+AD240)*N('Сценарный анализ'!$C$9))</f>
        <v>0</v>
      </c>
      <c r="AF240">
        <f t="shared" si="141"/>
        <v>0</v>
      </c>
      <c r="AG240">
        <f>IF('Исходные данные'!$B$51="Да",AF240*N('Исходные данные'!$B$52),0)</f>
        <v>0</v>
      </c>
      <c r="AH240">
        <f t="shared" si="142"/>
        <v>0</v>
      </c>
      <c r="AI240">
        <f>AF240+(Расчёты!Y240-Расчёты!L240)</f>
        <v>0</v>
      </c>
      <c r="AJ240">
        <f t="shared" si="129"/>
        <v>0</v>
      </c>
      <c r="AK240">
        <f>IF('Исходные данные'!$B$51="Да",-MAX(0,AG240+Расчёты!R240+Расчёты!V240-Расчёты!P240-Расчёты!T240-AJ240),0)</f>
        <v>0</v>
      </c>
      <c r="AL240">
        <f>IF('Исходные данные'!$B$51="Да",MAX(0,AJ240+Расчёты!P240+Расчёты!T240-AG240-Расчёты!R240-Расчёты!V240),0)</f>
        <v>0</v>
      </c>
      <c r="AM240">
        <f>IF('Исходные данные'!$B$53="Выручка",MAX(0,AF240+(Расчёты!Q240-Расчёты!R240)+(Расчёты!U240-Расчёты!V240)),IF('Исходные данные'!$B$53="Прибыль до налога",MAX(0,AF240+(Расчёты!Q240-Расчёты!R240)+(Расчёты!U240-Расчёты!V240)+N('Исходные данные'!$B$54)*((Расчёты!O240+Расчёты!P240)+(Расчёты!S240+Расчёты!T240)+Расчёты!W240+Расчёты!X240)+IF('Исходные данные'!$B$55="Да",Расчёты!AG240,0)-N('Исходные данные'!$B$56)/12),IF('Исходные данные'!$B$53="Пользовательская база",MAX(0,N('Исходные данные'!$B$57)/12),0)))</f>
        <v>0</v>
      </c>
      <c r="AN240">
        <f>IF(D240=1,-AM240*N('Исходные данные'!$B$50),0)</f>
        <v>0</v>
      </c>
      <c r="AO240">
        <f t="shared" si="130"/>
        <v>0</v>
      </c>
      <c r="AP240">
        <f>IF(OR(D240&lt;&gt;1,B240="",'Исходные данные'!$B$91="",N('Исходные данные'!$B$80)&lt;=0,'Исходные данные'!$B$88=""),0,IF(AND(YEAR(B240)=YEAR('Исходные данные'!$B$91),MONTH(B240)=MONTH('Исходные данные'!$B$91)),MAX(0,IF('Исходные данные'!$B$88="Последние 12 месяцев",SUMIFS($AI$2:$AI$194,$B$2:$B$194,"&gt;="&amp;EDATE(B240,-11),$B$2:$B$194,"&lt;="&amp;B240),IF('Исходные данные'!$B$88="Пользовательский NOI",N('Исходные данные'!$B$89),AO240))/N('Исходные данные'!$B$80)*(1+N('Исходные данные'!$B$81))),0))</f>
        <v>0</v>
      </c>
      <c r="AQ240">
        <f>-AP240*N('Исходные данные'!$B$73)</f>
        <v>0</v>
      </c>
      <c r="AR240">
        <f>IF(AP240=0,0,-N('Исходные данные'!$B$87)-IF('Исходные данные'!$B$82="Да",IF('Исходные данные'!$B$84="С выручки",AP240,IF('Исходные данные'!$B$84="С прибыли",MAX(0,AP240+AQ240-IF('Исходные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40">
        <f t="shared" si="143"/>
        <v>0</v>
      </c>
      <c r="AT240">
        <f>IF(D240=1,Расчёты!AZ240+AH240+AK240+AN240+AS240,0)</f>
        <v>0</v>
      </c>
      <c r="AU240" t="str">
        <f t="shared" si="131"/>
        <v/>
      </c>
      <c r="AV240">
        <f>IF(OR(D240=0,'Исходные данные'!$B$9="",'Исходные данные'!$B$90=""),0,AT240/(1+'Исходные данные'!$B$90)^((C240-'Исходные данные'!$B$9)/365))</f>
        <v>0</v>
      </c>
      <c r="AW240">
        <f>IF(D240=1,AH240+Расчёты!O240+Расчёты!Q240+Расчёты!S240+Расчёты!U240+Расчёты!W240+Расчёты!X240+AK240+AN240,0)</f>
        <v>0</v>
      </c>
      <c r="AX240">
        <f>IF(AND(D240=1,AU240&gt;=0,AU239&lt;0,MIN($AU$2:AU240)&lt;0),1,0)</f>
        <v>0</v>
      </c>
      <c r="AY240">
        <f>IF(Расчёты!F240=0,0,IF(Расчёты!G240=1,N('Сценарный анализ'!$D$5),IF(Расчёты!G240=2,N('Сценарный анализ'!$D$6),IF(Расчёты!G240=3,N('Сценарный анализ'!$D$7),N('Сценарный анализ'!$D$7)*(1+N('Сценарный анализ'!$D$8))^(Расчёты!G240-3)))))</f>
        <v>0</v>
      </c>
      <c r="AZ240">
        <f>IF(OR(Расчёты!F240=0,N('Исходные данные'!$B$5)=0,AY240=0),0,N('Исходные данные'!$B$5)*AY240*IF(AND(B240&lt;='Исходные данные'!$B$30,Расчёты!C240&gt;='Исходные данные'!$B$30),(Расчёты!C240-'Исходные данные'!$B$30+1)/DAY(Расчёты!C240),1))</f>
        <v>0</v>
      </c>
      <c r="BA240">
        <f>IF(AND(Расчёты!F240&gt;0,Расчёты!F240&lt;=N('Исходные данные'!$B$37)),-AZ240,0)</f>
        <v>0</v>
      </c>
      <c r="BB240">
        <f>IF(OR(Расчёты!F240=0,Расчёты!F240&lt;=N('Исходные данные'!$B$37)),0,-(AZ240+BA240)*N('Сценарный анализ'!$D$9))</f>
        <v>0</v>
      </c>
      <c r="BC240">
        <f t="shared" si="144"/>
        <v>0</v>
      </c>
      <c r="BD240">
        <f>IF('Исходные данные'!$B$51="Да",BC240*N('Исходные данные'!$B$52),0)</f>
        <v>0</v>
      </c>
      <c r="BE240">
        <f t="shared" si="145"/>
        <v>0</v>
      </c>
      <c r="BF240">
        <f>BC240+(Расчёты!Y240-Расчёты!L240)</f>
        <v>0</v>
      </c>
      <c r="BG240">
        <f t="shared" si="132"/>
        <v>0</v>
      </c>
      <c r="BH240">
        <f>IF('Исходные данные'!$B$51="Да",-MAX(0,BD240+Расчёты!R240+Расчёты!V240-Расчёты!P240-Расчёты!T240-BG240),0)</f>
        <v>0</v>
      </c>
      <c r="BI240">
        <f>IF('Исходные данные'!$B$51="Да",MAX(0,BG240+Расчёты!P240+Расчёты!T240-BD240-Расчёты!R240-Расчёты!V240),0)</f>
        <v>0</v>
      </c>
      <c r="BJ240">
        <f>IF('Исходные данные'!$B$53="Выручка",MAX(0,BC240+(Расчёты!Q240-Расчёты!R240)+(Расчёты!U240-Расчёты!V240)),IF('Исходные данные'!$B$53="Прибыль до налога",MAX(0,BC240+(Расчёты!Q240-Расчёты!R240)+(Расчёты!U240-Расчёты!V240)+N('Исходные данные'!$B$54)*((Расчёты!O240+Расчёты!P240)+(Расчёты!S240+Расчёты!T240)+Расчёты!W240+Расчёты!X240)+IF('Исходные данные'!$B$55="Да",Расчёты!AG240,0)-N('Исходные данные'!$B$56)/12),IF('Исходные данные'!$B$53="Пользовательская база",MAX(0,N('Исходные данные'!$B$57)/12),0)))</f>
        <v>0</v>
      </c>
      <c r="BK240">
        <f>IF(D240=1,-BJ240*N('Исходные данные'!$B$50),0)</f>
        <v>0</v>
      </c>
      <c r="BL240">
        <f t="shared" si="133"/>
        <v>0</v>
      </c>
      <c r="BM240">
        <f>IF(OR(D240&lt;&gt;1,B240="",'Исходные данные'!$B$91="",N('Исходные данные'!$B$80)&lt;=0,'Исходные данные'!$B$88=""),0,IF(AND(YEAR(B240)=YEAR('Исходные данные'!$B$91),MONTH(B240)=MONTH('Исходные данные'!$B$91)),MAX(0,IF('Исходные данные'!$B$88="Последние 12 месяцев",SUMIFS($BF$2:$BF$194,$B$2:$B$194,"&gt;="&amp;EDATE(B240,-11),$B$2:$B$194,"&lt;="&amp;B240),IF('Исходные данные'!$B$88="Пользовательский NOI",N('Исходные данные'!$B$89),BL240))/N('Исходные данные'!$B$80)*(1+N('Исходные данные'!$B$81))),0))</f>
        <v>0</v>
      </c>
      <c r="BN240">
        <f>-BM240*N('Исходные данные'!$B$73)</f>
        <v>0</v>
      </c>
      <c r="BO240">
        <f>IF(BM240=0,0,-N('Исходные данные'!$B$87)-IF('Исходные данные'!$B$82="Да",IF('Исходные данные'!$B$84="С выручки",BM240,IF('Исходные данные'!$B$84="С прибыли",MAX(0,BM240+BN240-IF('Исходные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40">
        <f t="shared" si="146"/>
        <v>0</v>
      </c>
      <c r="BQ240">
        <f>IF(D240=1,Расчёты!AZ240+BE240+BH240+BK240+BP240,0)</f>
        <v>0</v>
      </c>
      <c r="BR240" t="str">
        <f t="shared" si="134"/>
        <v/>
      </c>
      <c r="BS240">
        <f>IF(OR(D240=0,'Исходные данные'!$B$9="",'Исходные данные'!$B$90=""),0,BQ240/(1+'Исходные данные'!$B$90)^((C240-'Исходные данные'!$B$9)/365))</f>
        <v>0</v>
      </c>
      <c r="BT240">
        <f>IF(D240=1,BE240+Расчёты!O240+Расчёты!Q240+Расчёты!S240+Расчёты!U240+Расчёты!W240+Расчёты!X240+BH240+BK240,0)</f>
        <v>0</v>
      </c>
      <c r="BU240">
        <f>IF(AND(D240=1,BR240&gt;=0,BR239&lt;0,MIN($BR$2:BR240)&lt;0),1,0)</f>
        <v>0</v>
      </c>
      <c r="BV240">
        <f>Расчёты!AZ240+K240+N240-P240*N('Исходные данные'!$B$50)</f>
        <v>0</v>
      </c>
      <c r="BW240">
        <f t="shared" si="135"/>
        <v>0</v>
      </c>
      <c r="BX240">
        <f>IF(AND(BW240&gt;=0,BW239&lt;0,MIN($BW$2:BW240)&lt;0),1,0)</f>
        <v>0</v>
      </c>
      <c r="BY240">
        <f>Расчёты!AZ240+AH240+AK240-AM240*N('Исходные данные'!$B$50)</f>
        <v>0</v>
      </c>
      <c r="BZ240">
        <f t="shared" si="136"/>
        <v>0</v>
      </c>
      <c r="CA240">
        <f>IF(AND(BZ240&gt;=0,BZ239&lt;0,MIN($BZ$2:BZ240)&lt;0),1,0)</f>
        <v>0</v>
      </c>
      <c r="CB240">
        <f>Расчёты!AZ240+BE240+BH240-BJ240*N('Исходные данные'!$B$50)</f>
        <v>0</v>
      </c>
      <c r="CC240">
        <f t="shared" si="137"/>
        <v>0</v>
      </c>
      <c r="CD240">
        <f>IF(AND(CC240&gt;=0,CC239&lt;0,MIN($CC$2:CC240)&lt;0),1,0)</f>
        <v>0</v>
      </c>
    </row>
    <row r="241" spans="1:82" x14ac:dyDescent="0.2">
      <c r="A241">
        <f>Расчёты!A241</f>
        <v>240</v>
      </c>
      <c r="B241" t="str">
        <f>Расчёты!B241</f>
        <v/>
      </c>
      <c r="C241" t="str">
        <f>Расчёты!D241</f>
        <v/>
      </c>
      <c r="D241">
        <f>Расчёты!E241</f>
        <v>0</v>
      </c>
      <c r="E241">
        <f>IF(Расчёты!F241=0,0,IF(Расчёты!G241=1,N('Сценарный анализ'!$B$5),IF(Расчёты!G241=2,N('Сценарный анализ'!$B$6),IF(Расчёты!G241=3,N('Сценарный анализ'!$B$7),N('Сценарный анализ'!$B$7)*(1+N('Сценарный анализ'!$B$8))^(Расчёты!G241-3)))))</f>
        <v>0</v>
      </c>
      <c r="F241">
        <f>IF(OR(Расчёты!F241=0,N('Исходные данные'!$B$5)=0,E241=0),0,N('Исходные данные'!$B$5)*E241*IF(AND(B241&lt;='Исходные данные'!$B$30,Расчёты!C241&gt;='Исходные данные'!$B$30),(Расчёты!C241-'Исходные данные'!$B$30+1)/DAY(Расчёты!C241),1))</f>
        <v>0</v>
      </c>
      <c r="G241">
        <f>IF(AND(Расчёты!F241&gt;0,Расчёты!F241&lt;=N('Исходные данные'!$B$37)),-F241,0)</f>
        <v>0</v>
      </c>
      <c r="H241">
        <f>IF(OR(Расчёты!F241=0,Расчёты!F241&lt;=N('Исходные данные'!$B$37)),0,-(F241+G241)*N('Сценарный анализ'!$B$9))</f>
        <v>0</v>
      </c>
      <c r="I241">
        <f t="shared" si="138"/>
        <v>0</v>
      </c>
      <c r="J241">
        <f>IF('Исходные данные'!$B$51="Да",I241*N('Исходные данные'!$B$52),0)</f>
        <v>0</v>
      </c>
      <c r="K241">
        <f t="shared" si="139"/>
        <v>0</v>
      </c>
      <c r="L241">
        <f>I241+(Расчёты!Y241-Расчёты!L241)</f>
        <v>0</v>
      </c>
      <c r="M241">
        <f t="shared" si="126"/>
        <v>0</v>
      </c>
      <c r="N241">
        <f>IF('Исходные данные'!$B$51="Да",-MAX(0,J241+Расчёты!R241+Расчёты!V241-Расчёты!P241-Расчёты!T241-M241),0)</f>
        <v>0</v>
      </c>
      <c r="O241">
        <f>IF('Исходные данные'!$B$51="Да",MAX(0,M241+Расчёты!P241+Расчёты!T241-J241-Расчёты!R241-Расчёты!V241),0)</f>
        <v>0</v>
      </c>
      <c r="P241">
        <f>IF('Исходные данные'!$B$53="Выручка",MAX(0,I241+(Расчёты!Q241-Расчёты!R241)+(Расчёты!U241-Расчёты!V241)),IF('Исходные данные'!$B$53="Прибыль до налога",MAX(0,I241+(Расчёты!Q241-Расчёты!R241)+(Расчёты!U241-Расчёты!V241)+N('Исходные данные'!$B$54)*((Расчёты!O241+Расчёты!P241)+(Расчёты!S241+Расчёты!T241)+Расчёты!W241+Расчёты!X241)+IF('Исходные данные'!$B$55="Да",Расчёты!AG241,0)-N('Исходные данные'!$B$56)/12),IF('Исходные данные'!$B$53="Пользовательская база",MAX(0,N('Исходные данные'!$B$57)/12),0)))</f>
        <v>0</v>
      </c>
      <c r="Q241">
        <f>IF(D241=1,-P241*N('Исходные данные'!$B$50),0)</f>
        <v>0</v>
      </c>
      <c r="R241">
        <f t="shared" si="127"/>
        <v>0</v>
      </c>
      <c r="S241">
        <f>IF(OR(D241&lt;&gt;1,B241="",'Исходные данные'!$B$91="",N('Исходные данные'!$B$80)&lt;=0,'Исходные данные'!$B$88=""),0,IF(AND(YEAR(B241)=YEAR('Исходные данные'!$B$91),MONTH(B241)=MONTH('Исходные данные'!$B$91)),MAX(0,IF('Исходные данные'!$B$88="Последние 12 месяцев",SUMIFS($L$2:$L$194,$B$2:$B$194,"&gt;="&amp;EDATE(B241,-11),$B$2:$B$194,"&lt;="&amp;B241),IF('Исходные данные'!$B$88="Пользовательский NOI",N('Исходные данные'!$B$89),R241))/N('Исходные данные'!$B$80)*(1+N('Исходные данные'!$B$81))),0))</f>
        <v>0</v>
      </c>
      <c r="T241">
        <f>-S241*N('Исходные данные'!$B$73)</f>
        <v>0</v>
      </c>
      <c r="U241">
        <f>IF(S241=0,0,-N('Исходные данные'!$B$87)-IF('Исходные данные'!$B$82="Да",IF('Исходные данные'!$B$84="С выручки",S241,IF('Исходные данные'!$B$84="С прибыли",MAX(0,S241+T241-IF('Исходные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41">
        <f t="shared" si="140"/>
        <v>0</v>
      </c>
      <c r="W241">
        <f>IF(D241=1,Расчёты!AZ241+K241+N241+Q241+V241,0)</f>
        <v>0</v>
      </c>
      <c r="X241" t="str">
        <f t="shared" si="128"/>
        <v/>
      </c>
      <c r="Y241">
        <f>IF(OR(D241=0,'Исходные данные'!$B$9="",'Исходные данные'!$B$90=""),0,W241/(1+'Исходные данные'!$B$90)^((C241-'Исходные данные'!$B$9)/365))</f>
        <v>0</v>
      </c>
      <c r="Z241">
        <f>IF(D241=1,K241+Расчёты!O241+Расчёты!Q241+Расчёты!S241+Расчёты!U241+Расчёты!W241+Расчёты!X241+N241+Q241,0)</f>
        <v>0</v>
      </c>
      <c r="AA241">
        <f>IF(AND(D241=1,X241&gt;=0,X240&lt;0,MIN($X$2:X241)&lt;0),1,0)</f>
        <v>0</v>
      </c>
      <c r="AB241">
        <f>IF(Расчёты!F241=0,0,IF(Расчёты!G241=1,N('Сценарный анализ'!$C$5),IF(Расчёты!G241=2,N('Сценарный анализ'!$C$6),IF(Расчёты!G241=3,N('Сценарный анализ'!$C$7),N('Сценарный анализ'!$C$7)*(1+N('Сценарный анализ'!$C$8))^(Расчёты!G241-3)))))</f>
        <v>0</v>
      </c>
      <c r="AC241">
        <f>IF(OR(Расчёты!F241=0,N('Исходные данные'!$B$5)=0,AB241=0),0,N('Исходные данные'!$B$5)*AB241*IF(AND(B241&lt;='Исходные данные'!$B$30,Расчёты!C241&gt;='Исходные данные'!$B$30),(Расчёты!C241-'Исходные данные'!$B$30+1)/DAY(Расчёты!C241),1))</f>
        <v>0</v>
      </c>
      <c r="AD241">
        <f>IF(AND(Расчёты!F241&gt;0,Расчёты!F241&lt;=N('Исходные данные'!$B$37)),-AC241,0)</f>
        <v>0</v>
      </c>
      <c r="AE241">
        <f>IF(OR(Расчёты!F241=0,Расчёты!F241&lt;=N('Исходные данные'!$B$37)),0,-(AC241+AD241)*N('Сценарный анализ'!$C$9))</f>
        <v>0</v>
      </c>
      <c r="AF241">
        <f t="shared" si="141"/>
        <v>0</v>
      </c>
      <c r="AG241">
        <f>IF('Исходные данные'!$B$51="Да",AF241*N('Исходные данные'!$B$52),0)</f>
        <v>0</v>
      </c>
      <c r="AH241">
        <f t="shared" si="142"/>
        <v>0</v>
      </c>
      <c r="AI241">
        <f>AF241+(Расчёты!Y241-Расчёты!L241)</f>
        <v>0</v>
      </c>
      <c r="AJ241">
        <f t="shared" si="129"/>
        <v>0</v>
      </c>
      <c r="AK241">
        <f>IF('Исходные данные'!$B$51="Да",-MAX(0,AG241+Расчёты!R241+Расчёты!V241-Расчёты!P241-Расчёты!T241-AJ241),0)</f>
        <v>0</v>
      </c>
      <c r="AL241">
        <f>IF('Исходные данные'!$B$51="Да",MAX(0,AJ241+Расчёты!P241+Расчёты!T241-AG241-Расчёты!R241-Расчёты!V241),0)</f>
        <v>0</v>
      </c>
      <c r="AM241">
        <f>IF('Исходные данные'!$B$53="Выручка",MAX(0,AF241+(Расчёты!Q241-Расчёты!R241)+(Расчёты!U241-Расчёты!V241)),IF('Исходные данные'!$B$53="Прибыль до налога",MAX(0,AF241+(Расчёты!Q241-Расчёты!R241)+(Расчёты!U241-Расчёты!V241)+N('Исходные данные'!$B$54)*((Расчёты!O241+Расчёты!P241)+(Расчёты!S241+Расчёты!T241)+Расчёты!W241+Расчёты!X241)+IF('Исходные данные'!$B$55="Да",Расчёты!AG241,0)-N('Исходные данные'!$B$56)/12),IF('Исходные данные'!$B$53="Пользовательская база",MAX(0,N('Исходные данные'!$B$57)/12),0)))</f>
        <v>0</v>
      </c>
      <c r="AN241">
        <f>IF(D241=1,-AM241*N('Исходные данные'!$B$50),0)</f>
        <v>0</v>
      </c>
      <c r="AO241">
        <f t="shared" si="130"/>
        <v>0</v>
      </c>
      <c r="AP241">
        <f>IF(OR(D241&lt;&gt;1,B241="",'Исходные данные'!$B$91="",N('Исходные данные'!$B$80)&lt;=0,'Исходные данные'!$B$88=""),0,IF(AND(YEAR(B241)=YEAR('Исходные данные'!$B$91),MONTH(B241)=MONTH('Исходные данные'!$B$91)),MAX(0,IF('Исходные данные'!$B$88="Последние 12 месяцев",SUMIFS($AI$2:$AI$194,$B$2:$B$194,"&gt;="&amp;EDATE(B241,-11),$B$2:$B$194,"&lt;="&amp;B241),IF('Исходные данные'!$B$88="Пользовательский NOI",N('Исходные данные'!$B$89),AO241))/N('Исходные данные'!$B$80)*(1+N('Исходные данные'!$B$81))),0))</f>
        <v>0</v>
      </c>
      <c r="AQ241">
        <f>-AP241*N('Исходные данные'!$B$73)</f>
        <v>0</v>
      </c>
      <c r="AR241">
        <f>IF(AP241=0,0,-N('Исходные данные'!$B$87)-IF('Исходные данные'!$B$82="Да",IF('Исходные данные'!$B$84="С выручки",AP241,IF('Исходные данные'!$B$84="С прибыли",MAX(0,AP241+AQ241-IF('Исходные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41">
        <f t="shared" si="143"/>
        <v>0</v>
      </c>
      <c r="AT241">
        <f>IF(D241=1,Расчёты!AZ241+AH241+AK241+AN241+AS241,0)</f>
        <v>0</v>
      </c>
      <c r="AU241" t="str">
        <f t="shared" si="131"/>
        <v/>
      </c>
      <c r="AV241">
        <f>IF(OR(D241=0,'Исходные данные'!$B$9="",'Исходные данные'!$B$90=""),0,AT241/(1+'Исходные данные'!$B$90)^((C241-'Исходные данные'!$B$9)/365))</f>
        <v>0</v>
      </c>
      <c r="AW241">
        <f>IF(D241=1,AH241+Расчёты!O241+Расчёты!Q241+Расчёты!S241+Расчёты!U241+Расчёты!W241+Расчёты!X241+AK241+AN241,0)</f>
        <v>0</v>
      </c>
      <c r="AX241">
        <f>IF(AND(D241=1,AU241&gt;=0,AU240&lt;0,MIN($AU$2:AU241)&lt;0),1,0)</f>
        <v>0</v>
      </c>
      <c r="AY241">
        <f>IF(Расчёты!F241=0,0,IF(Расчёты!G241=1,N('Сценарный анализ'!$D$5),IF(Расчёты!G241=2,N('Сценарный анализ'!$D$6),IF(Расчёты!G241=3,N('Сценарный анализ'!$D$7),N('Сценарный анализ'!$D$7)*(1+N('Сценарный анализ'!$D$8))^(Расчёты!G241-3)))))</f>
        <v>0</v>
      </c>
      <c r="AZ241">
        <f>IF(OR(Расчёты!F241=0,N('Исходные данные'!$B$5)=0,AY241=0),0,N('Исходные данные'!$B$5)*AY241*IF(AND(B241&lt;='Исходные данные'!$B$30,Расчёты!C241&gt;='Исходные данные'!$B$30),(Расчёты!C241-'Исходные данные'!$B$30+1)/DAY(Расчёты!C241),1))</f>
        <v>0</v>
      </c>
      <c r="BA241">
        <f>IF(AND(Расчёты!F241&gt;0,Расчёты!F241&lt;=N('Исходные данные'!$B$37)),-AZ241,0)</f>
        <v>0</v>
      </c>
      <c r="BB241">
        <f>IF(OR(Расчёты!F241=0,Расчёты!F241&lt;=N('Исходные данные'!$B$37)),0,-(AZ241+BA241)*N('Сценарный анализ'!$D$9))</f>
        <v>0</v>
      </c>
      <c r="BC241">
        <f t="shared" si="144"/>
        <v>0</v>
      </c>
      <c r="BD241">
        <f>IF('Исходные данные'!$B$51="Да",BC241*N('Исходные данные'!$B$52),0)</f>
        <v>0</v>
      </c>
      <c r="BE241">
        <f t="shared" si="145"/>
        <v>0</v>
      </c>
      <c r="BF241">
        <f>BC241+(Расчёты!Y241-Расчёты!L241)</f>
        <v>0</v>
      </c>
      <c r="BG241">
        <f t="shared" si="132"/>
        <v>0</v>
      </c>
      <c r="BH241">
        <f>IF('Исходные данные'!$B$51="Да",-MAX(0,BD241+Расчёты!R241+Расчёты!V241-Расчёты!P241-Расчёты!T241-BG241),0)</f>
        <v>0</v>
      </c>
      <c r="BI241">
        <f>IF('Исходные данные'!$B$51="Да",MAX(0,BG241+Расчёты!P241+Расчёты!T241-BD241-Расчёты!R241-Расчёты!V241),0)</f>
        <v>0</v>
      </c>
      <c r="BJ241">
        <f>IF('Исходные данные'!$B$53="Выручка",MAX(0,BC241+(Расчёты!Q241-Расчёты!R241)+(Расчёты!U241-Расчёты!V241)),IF('Исходные данные'!$B$53="Прибыль до налога",MAX(0,BC241+(Расчёты!Q241-Расчёты!R241)+(Расчёты!U241-Расчёты!V241)+N('Исходные данные'!$B$54)*((Расчёты!O241+Расчёты!P241)+(Расчёты!S241+Расчёты!T241)+Расчёты!W241+Расчёты!X241)+IF('Исходные данные'!$B$55="Да",Расчёты!AG241,0)-N('Исходные данные'!$B$56)/12),IF('Исходные данные'!$B$53="Пользовательская база",MAX(0,N('Исходные данные'!$B$57)/12),0)))</f>
        <v>0</v>
      </c>
      <c r="BK241">
        <f>IF(D241=1,-BJ241*N('Исходные данные'!$B$50),0)</f>
        <v>0</v>
      </c>
      <c r="BL241">
        <f t="shared" si="133"/>
        <v>0</v>
      </c>
      <c r="BM241">
        <f>IF(OR(D241&lt;&gt;1,B241="",'Исходные данные'!$B$91="",N('Исходные данные'!$B$80)&lt;=0,'Исходные данные'!$B$88=""),0,IF(AND(YEAR(B241)=YEAR('Исходные данные'!$B$91),MONTH(B241)=MONTH('Исходные данные'!$B$91)),MAX(0,IF('Исходные данные'!$B$88="Последние 12 месяцев",SUMIFS($BF$2:$BF$194,$B$2:$B$194,"&gt;="&amp;EDATE(B241,-11),$B$2:$B$194,"&lt;="&amp;B241),IF('Исходные данные'!$B$88="Пользовательский NOI",N('Исходные данные'!$B$89),BL241))/N('Исходные данные'!$B$80)*(1+N('Исходные данные'!$B$81))),0))</f>
        <v>0</v>
      </c>
      <c r="BN241">
        <f>-BM241*N('Исходные данные'!$B$73)</f>
        <v>0</v>
      </c>
      <c r="BO241">
        <f>IF(BM241=0,0,-N('Исходные данные'!$B$87)-IF('Исходные данные'!$B$82="Да",IF('Исходные данные'!$B$84="С выручки",BM241,IF('Исходные данные'!$B$84="С прибыли",MAX(0,BM241+BN241-IF('Исходные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41">
        <f t="shared" si="146"/>
        <v>0</v>
      </c>
      <c r="BQ241">
        <f>IF(D241=1,Расчёты!AZ241+BE241+BH241+BK241+BP241,0)</f>
        <v>0</v>
      </c>
      <c r="BR241" t="str">
        <f t="shared" si="134"/>
        <v/>
      </c>
      <c r="BS241">
        <f>IF(OR(D241=0,'Исходные данные'!$B$9="",'Исходные данные'!$B$90=""),0,BQ241/(1+'Исходные данные'!$B$90)^((C241-'Исходные данные'!$B$9)/365))</f>
        <v>0</v>
      </c>
      <c r="BT241">
        <f>IF(D241=1,BE241+Расчёты!O241+Расчёты!Q241+Расчёты!S241+Расчёты!U241+Расчёты!W241+Расчёты!X241+BH241+BK241,0)</f>
        <v>0</v>
      </c>
      <c r="BU241">
        <f>IF(AND(D241=1,BR241&gt;=0,BR240&lt;0,MIN($BR$2:BR241)&lt;0),1,0)</f>
        <v>0</v>
      </c>
      <c r="BV241">
        <f>Расчёты!AZ241+K241+N241-P241*N('Исходные данные'!$B$50)</f>
        <v>0</v>
      </c>
      <c r="BW241">
        <f t="shared" si="135"/>
        <v>0</v>
      </c>
      <c r="BX241">
        <f>IF(AND(BW241&gt;=0,BW240&lt;0,MIN($BW$2:BW241)&lt;0),1,0)</f>
        <v>0</v>
      </c>
      <c r="BY241">
        <f>Расчёты!AZ241+AH241+AK241-AM241*N('Исходные данные'!$B$50)</f>
        <v>0</v>
      </c>
      <c r="BZ241">
        <f t="shared" si="136"/>
        <v>0</v>
      </c>
      <c r="CA241">
        <f>IF(AND(BZ241&gt;=0,BZ240&lt;0,MIN($BZ$2:BZ241)&lt;0),1,0)</f>
        <v>0</v>
      </c>
      <c r="CB241">
        <f>Расчёты!AZ241+BE241+BH241-BJ241*N('Исходные данные'!$B$50)</f>
        <v>0</v>
      </c>
      <c r="CC241">
        <f t="shared" si="137"/>
        <v>0</v>
      </c>
      <c r="CD241">
        <f>IF(AND(CC241&gt;=0,CC240&lt;0,MIN($CC$2:CC241)&lt;0),1,0)</f>
        <v>0</v>
      </c>
    </row>
    <row r="242" spans="1:82" x14ac:dyDescent="0.2">
      <c r="A242">
        <f>Расчёты!A242</f>
        <v>241</v>
      </c>
      <c r="B242" t="str">
        <f>Расчёты!B242</f>
        <v/>
      </c>
      <c r="C242" t="str">
        <f>Расчёты!D242</f>
        <v/>
      </c>
      <c r="D242">
        <f>Расчёты!E242</f>
        <v>0</v>
      </c>
      <c r="E242">
        <f>IF(Расчёты!F242=0,0,IF(Расчёты!G242=1,N('Сценарный анализ'!$B$5),IF(Расчёты!G242=2,N('Сценарный анализ'!$B$6),IF(Расчёты!G242=3,N('Сценарный анализ'!$B$7),N('Сценарный анализ'!$B$7)*(1+N('Сценарный анализ'!$B$8))^(Расчёты!G242-3)))))</f>
        <v>0</v>
      </c>
      <c r="F242">
        <f>IF(OR(Расчёты!F242=0,N('Исходные данные'!$B$5)=0,E242=0),0,N('Исходные данные'!$B$5)*E242*IF(AND(B242&lt;='Исходные данные'!$B$30,Расчёты!C242&gt;='Исходные данные'!$B$30),(Расчёты!C242-'Исходные данные'!$B$30+1)/DAY(Расчёты!C242),1))</f>
        <v>0</v>
      </c>
      <c r="G242">
        <f>IF(AND(Расчёты!F242&gt;0,Расчёты!F242&lt;=N('Исходные данные'!$B$37)),-F242,0)</f>
        <v>0</v>
      </c>
      <c r="H242">
        <f>IF(OR(Расчёты!F242=0,Расчёты!F242&lt;=N('Исходные данные'!$B$37)),0,-(F242+G242)*N('Сценарный анализ'!$B$9))</f>
        <v>0</v>
      </c>
      <c r="I242">
        <f t="shared" si="138"/>
        <v>0</v>
      </c>
      <c r="J242">
        <f>IF('Исходные данные'!$B$51="Да",I242*N('Исходные данные'!$B$52),0)</f>
        <v>0</v>
      </c>
      <c r="K242">
        <f t="shared" si="139"/>
        <v>0</v>
      </c>
      <c r="L242">
        <f>I242+(Расчёты!Y242-Расчёты!L242)</f>
        <v>0</v>
      </c>
      <c r="M242">
        <f t="shared" si="126"/>
        <v>0</v>
      </c>
      <c r="N242">
        <f>IF('Исходные данные'!$B$51="Да",-MAX(0,J242+Расчёты!R242+Расчёты!V242-Расчёты!P242-Расчёты!T242-M242),0)</f>
        <v>0</v>
      </c>
      <c r="O242">
        <f>IF('Исходные данные'!$B$51="Да",MAX(0,M242+Расчёты!P242+Расчёты!T242-J242-Расчёты!R242-Расчёты!V242),0)</f>
        <v>0</v>
      </c>
      <c r="P242">
        <f>IF('Исходные данные'!$B$53="Выручка",MAX(0,I242+(Расчёты!Q242-Расчёты!R242)+(Расчёты!U242-Расчёты!V242)),IF('Исходные данные'!$B$53="Прибыль до налога",MAX(0,I242+(Расчёты!Q242-Расчёты!R242)+(Расчёты!U242-Расчёты!V242)+N('Исходные данные'!$B$54)*((Расчёты!O242+Расчёты!P242)+(Расчёты!S242+Расчёты!T242)+Расчёты!W242+Расчёты!X242)+IF('Исходные данные'!$B$55="Да",Расчёты!AG242,0)-N('Исходные данные'!$B$56)/12),IF('Исходные данные'!$B$53="Пользовательская база",MAX(0,N('Исходные данные'!$B$57)/12),0)))</f>
        <v>0</v>
      </c>
      <c r="Q242">
        <f>IF(D242=1,-P242*N('Исходные данные'!$B$50),0)</f>
        <v>0</v>
      </c>
      <c r="R242">
        <f t="shared" si="127"/>
        <v>0</v>
      </c>
      <c r="S242">
        <f>IF(OR(D242&lt;&gt;1,B242="",'Исходные данные'!$B$91="",N('Исходные данные'!$B$80)&lt;=0,'Исходные данные'!$B$88=""),0,IF(AND(YEAR(B242)=YEAR('Исходные данные'!$B$91),MONTH(B242)=MONTH('Исходные данные'!$B$91)),MAX(0,IF('Исходные данные'!$B$88="Последние 12 месяцев",SUMIFS($L$2:$L$194,$B$2:$B$194,"&gt;="&amp;EDATE(B242,-11),$B$2:$B$194,"&lt;="&amp;B242),IF('Исходные данные'!$B$88="Пользовательский NOI",N('Исходные данные'!$B$89),R242))/N('Исходные данные'!$B$80)*(1+N('Исходные данные'!$B$81))),0))</f>
        <v>0</v>
      </c>
      <c r="T242">
        <f>-S242*N('Исходные данные'!$B$73)</f>
        <v>0</v>
      </c>
      <c r="U242">
        <f>IF(S242=0,0,-N('Исходные данные'!$B$87)-IF('Исходные данные'!$B$82="Да",IF('Исходные данные'!$B$84="С выручки",S242,IF('Исходные данные'!$B$84="С прибыли",MAX(0,S242+T242-IF('Исходные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42">
        <f t="shared" si="140"/>
        <v>0</v>
      </c>
      <c r="W242">
        <f>IF(D242=1,Расчёты!AZ242+K242+N242+Q242+V242,0)</f>
        <v>0</v>
      </c>
      <c r="X242" t="str">
        <f t="shared" si="128"/>
        <v/>
      </c>
      <c r="Y242">
        <f>IF(OR(D242=0,'Исходные данные'!$B$9="",'Исходные данные'!$B$90=""),0,W242/(1+'Исходные данные'!$B$90)^((C242-'Исходные данные'!$B$9)/365))</f>
        <v>0</v>
      </c>
      <c r="Z242">
        <f>IF(D242=1,K242+Расчёты!O242+Расчёты!Q242+Расчёты!S242+Расчёты!U242+Расчёты!W242+Расчёты!X242+N242+Q242,0)</f>
        <v>0</v>
      </c>
      <c r="AA242">
        <f>IF(AND(D242=1,X242&gt;=0,X241&lt;0,MIN($X$2:X242)&lt;0),1,0)</f>
        <v>0</v>
      </c>
      <c r="AB242">
        <f>IF(Расчёты!F242=0,0,IF(Расчёты!G242=1,N('Сценарный анализ'!$C$5),IF(Расчёты!G242=2,N('Сценарный анализ'!$C$6),IF(Расчёты!G242=3,N('Сценарный анализ'!$C$7),N('Сценарный анализ'!$C$7)*(1+N('Сценарный анализ'!$C$8))^(Расчёты!G242-3)))))</f>
        <v>0</v>
      </c>
      <c r="AC242">
        <f>IF(OR(Расчёты!F242=0,N('Исходные данные'!$B$5)=0,AB242=0),0,N('Исходные данные'!$B$5)*AB242*IF(AND(B242&lt;='Исходные данные'!$B$30,Расчёты!C242&gt;='Исходные данные'!$B$30),(Расчёты!C242-'Исходные данные'!$B$30+1)/DAY(Расчёты!C242),1))</f>
        <v>0</v>
      </c>
      <c r="AD242">
        <f>IF(AND(Расчёты!F242&gt;0,Расчёты!F242&lt;=N('Исходные данные'!$B$37)),-AC242,0)</f>
        <v>0</v>
      </c>
      <c r="AE242">
        <f>IF(OR(Расчёты!F242=0,Расчёты!F242&lt;=N('Исходные данные'!$B$37)),0,-(AC242+AD242)*N('Сценарный анализ'!$C$9))</f>
        <v>0</v>
      </c>
      <c r="AF242">
        <f t="shared" si="141"/>
        <v>0</v>
      </c>
      <c r="AG242">
        <f>IF('Исходные данные'!$B$51="Да",AF242*N('Исходные данные'!$B$52),0)</f>
        <v>0</v>
      </c>
      <c r="AH242">
        <f t="shared" si="142"/>
        <v>0</v>
      </c>
      <c r="AI242">
        <f>AF242+(Расчёты!Y242-Расчёты!L242)</f>
        <v>0</v>
      </c>
      <c r="AJ242">
        <f t="shared" si="129"/>
        <v>0</v>
      </c>
      <c r="AK242">
        <f>IF('Исходные данные'!$B$51="Да",-MAX(0,AG242+Расчёты!R242+Расчёты!V242-Расчёты!P242-Расчёты!T242-AJ242),0)</f>
        <v>0</v>
      </c>
      <c r="AL242">
        <f>IF('Исходные данные'!$B$51="Да",MAX(0,AJ242+Расчёты!P242+Расчёты!T242-AG242-Расчёты!R242-Расчёты!V242),0)</f>
        <v>0</v>
      </c>
      <c r="AM242">
        <f>IF('Исходные данные'!$B$53="Выручка",MAX(0,AF242+(Расчёты!Q242-Расчёты!R242)+(Расчёты!U242-Расчёты!V242)),IF('Исходные данные'!$B$53="Прибыль до налога",MAX(0,AF242+(Расчёты!Q242-Расчёты!R242)+(Расчёты!U242-Расчёты!V242)+N('Исходные данные'!$B$54)*((Расчёты!O242+Расчёты!P242)+(Расчёты!S242+Расчёты!T242)+Расчёты!W242+Расчёты!X242)+IF('Исходные данные'!$B$55="Да",Расчёты!AG242,0)-N('Исходные данные'!$B$56)/12),IF('Исходные данные'!$B$53="Пользовательская база",MAX(0,N('Исходные данные'!$B$57)/12),0)))</f>
        <v>0</v>
      </c>
      <c r="AN242">
        <f>IF(D242=1,-AM242*N('Исходные данные'!$B$50),0)</f>
        <v>0</v>
      </c>
      <c r="AO242">
        <f t="shared" si="130"/>
        <v>0</v>
      </c>
      <c r="AP242">
        <f>IF(OR(D242&lt;&gt;1,B242="",'Исходные данные'!$B$91="",N('Исходные данные'!$B$80)&lt;=0,'Исходные данные'!$B$88=""),0,IF(AND(YEAR(B242)=YEAR('Исходные данные'!$B$91),MONTH(B242)=MONTH('Исходные данные'!$B$91)),MAX(0,IF('Исходные данные'!$B$88="Последние 12 месяцев",SUMIFS($AI$2:$AI$194,$B$2:$B$194,"&gt;="&amp;EDATE(B242,-11),$B$2:$B$194,"&lt;="&amp;B242),IF('Исходные данные'!$B$88="Пользовательский NOI",N('Исходные данные'!$B$89),AO242))/N('Исходные данные'!$B$80)*(1+N('Исходные данные'!$B$81))),0))</f>
        <v>0</v>
      </c>
      <c r="AQ242">
        <f>-AP242*N('Исходные данные'!$B$73)</f>
        <v>0</v>
      </c>
      <c r="AR242">
        <f>IF(AP242=0,0,-N('Исходные данные'!$B$87)-IF('Исходные данные'!$B$82="Да",IF('Исходные данные'!$B$84="С выручки",AP242,IF('Исходные данные'!$B$84="С прибыли",MAX(0,AP242+AQ242-IF('Исходные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42">
        <f t="shared" si="143"/>
        <v>0</v>
      </c>
      <c r="AT242">
        <f>IF(D242=1,Расчёты!AZ242+AH242+AK242+AN242+AS242,0)</f>
        <v>0</v>
      </c>
      <c r="AU242" t="str">
        <f t="shared" si="131"/>
        <v/>
      </c>
      <c r="AV242">
        <f>IF(OR(D242=0,'Исходные данные'!$B$9="",'Исходные данные'!$B$90=""),0,AT242/(1+'Исходные данные'!$B$90)^((C242-'Исходные данные'!$B$9)/365))</f>
        <v>0</v>
      </c>
      <c r="AW242">
        <f>IF(D242=1,AH242+Расчёты!O242+Расчёты!Q242+Расчёты!S242+Расчёты!U242+Расчёты!W242+Расчёты!X242+AK242+AN242,0)</f>
        <v>0</v>
      </c>
      <c r="AX242">
        <f>IF(AND(D242=1,AU242&gt;=0,AU241&lt;0,MIN($AU$2:AU242)&lt;0),1,0)</f>
        <v>0</v>
      </c>
      <c r="AY242">
        <f>IF(Расчёты!F242=0,0,IF(Расчёты!G242=1,N('Сценарный анализ'!$D$5),IF(Расчёты!G242=2,N('Сценарный анализ'!$D$6),IF(Расчёты!G242=3,N('Сценарный анализ'!$D$7),N('Сценарный анализ'!$D$7)*(1+N('Сценарный анализ'!$D$8))^(Расчёты!G242-3)))))</f>
        <v>0</v>
      </c>
      <c r="AZ242">
        <f>IF(OR(Расчёты!F242=0,N('Исходные данные'!$B$5)=0,AY242=0),0,N('Исходные данные'!$B$5)*AY242*IF(AND(B242&lt;='Исходные данные'!$B$30,Расчёты!C242&gt;='Исходные данные'!$B$30),(Расчёты!C242-'Исходные данные'!$B$30+1)/DAY(Расчёты!C242),1))</f>
        <v>0</v>
      </c>
      <c r="BA242">
        <f>IF(AND(Расчёты!F242&gt;0,Расчёты!F242&lt;=N('Исходные данные'!$B$37)),-AZ242,0)</f>
        <v>0</v>
      </c>
      <c r="BB242">
        <f>IF(OR(Расчёты!F242=0,Расчёты!F242&lt;=N('Исходные данные'!$B$37)),0,-(AZ242+BA242)*N('Сценарный анализ'!$D$9))</f>
        <v>0</v>
      </c>
      <c r="BC242">
        <f t="shared" si="144"/>
        <v>0</v>
      </c>
      <c r="BD242">
        <f>IF('Исходные данные'!$B$51="Да",BC242*N('Исходные данные'!$B$52),0)</f>
        <v>0</v>
      </c>
      <c r="BE242">
        <f t="shared" si="145"/>
        <v>0</v>
      </c>
      <c r="BF242">
        <f>BC242+(Расчёты!Y242-Расчёты!L242)</f>
        <v>0</v>
      </c>
      <c r="BG242">
        <f t="shared" si="132"/>
        <v>0</v>
      </c>
      <c r="BH242">
        <f>IF('Исходные данные'!$B$51="Да",-MAX(0,BD242+Расчёты!R242+Расчёты!V242-Расчёты!P242-Расчёты!T242-BG242),0)</f>
        <v>0</v>
      </c>
      <c r="BI242">
        <f>IF('Исходные данные'!$B$51="Да",MAX(0,BG242+Расчёты!P242+Расчёты!T242-BD242-Расчёты!R242-Расчёты!V242),0)</f>
        <v>0</v>
      </c>
      <c r="BJ242">
        <f>IF('Исходные данные'!$B$53="Выручка",MAX(0,BC242+(Расчёты!Q242-Расчёты!R242)+(Расчёты!U242-Расчёты!V242)),IF('Исходные данные'!$B$53="Прибыль до налога",MAX(0,BC242+(Расчёты!Q242-Расчёты!R242)+(Расчёты!U242-Расчёты!V242)+N('Исходные данные'!$B$54)*((Расчёты!O242+Расчёты!P242)+(Расчёты!S242+Расчёты!T242)+Расчёты!W242+Расчёты!X242)+IF('Исходные данные'!$B$55="Да",Расчёты!AG242,0)-N('Исходные данные'!$B$56)/12),IF('Исходные данные'!$B$53="Пользовательская база",MAX(0,N('Исходные данные'!$B$57)/12),0)))</f>
        <v>0</v>
      </c>
      <c r="BK242">
        <f>IF(D242=1,-BJ242*N('Исходные данные'!$B$50),0)</f>
        <v>0</v>
      </c>
      <c r="BL242">
        <f t="shared" si="133"/>
        <v>0</v>
      </c>
      <c r="BM242">
        <f>IF(OR(D242&lt;&gt;1,B242="",'Исходные данные'!$B$91="",N('Исходные данные'!$B$80)&lt;=0,'Исходные данные'!$B$88=""),0,IF(AND(YEAR(B242)=YEAR('Исходные данные'!$B$91),MONTH(B242)=MONTH('Исходные данные'!$B$91)),MAX(0,IF('Исходные данные'!$B$88="Последние 12 месяцев",SUMIFS($BF$2:$BF$194,$B$2:$B$194,"&gt;="&amp;EDATE(B242,-11),$B$2:$B$194,"&lt;="&amp;B242),IF('Исходные данные'!$B$88="Пользовательский NOI",N('Исходные данные'!$B$89),BL242))/N('Исходные данные'!$B$80)*(1+N('Исходные данные'!$B$81))),0))</f>
        <v>0</v>
      </c>
      <c r="BN242">
        <f>-BM242*N('Исходные данные'!$B$73)</f>
        <v>0</v>
      </c>
      <c r="BO242">
        <f>IF(BM242=0,0,-N('Исходные данные'!$B$87)-IF('Исходные данные'!$B$82="Да",IF('Исходные данные'!$B$84="С выручки",BM242,IF('Исходные данные'!$B$84="С прибыли",MAX(0,BM242+BN242-IF('Исходные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42">
        <f t="shared" si="146"/>
        <v>0</v>
      </c>
      <c r="BQ242">
        <f>IF(D242=1,Расчёты!AZ242+BE242+BH242+BK242+BP242,0)</f>
        <v>0</v>
      </c>
      <c r="BR242" t="str">
        <f t="shared" si="134"/>
        <v/>
      </c>
      <c r="BS242">
        <f>IF(OR(D242=0,'Исходные данные'!$B$9="",'Исходные данные'!$B$90=""),0,BQ242/(1+'Исходные данные'!$B$90)^((C242-'Исходные данные'!$B$9)/365))</f>
        <v>0</v>
      </c>
      <c r="BT242">
        <f>IF(D242=1,BE242+Расчёты!O242+Расчёты!Q242+Расчёты!S242+Расчёты!U242+Расчёты!W242+Расчёты!X242+BH242+BK242,0)</f>
        <v>0</v>
      </c>
      <c r="BU242">
        <f>IF(AND(D242=1,BR242&gt;=0,BR241&lt;0,MIN($BR$2:BR242)&lt;0),1,0)</f>
        <v>0</v>
      </c>
      <c r="BV242">
        <f>Расчёты!AZ242+K242+N242-P242*N('Исходные данные'!$B$50)</f>
        <v>0</v>
      </c>
      <c r="BW242">
        <f t="shared" si="135"/>
        <v>0</v>
      </c>
      <c r="BX242">
        <f>IF(AND(BW242&gt;=0,BW241&lt;0,MIN($BW$2:BW242)&lt;0),1,0)</f>
        <v>0</v>
      </c>
      <c r="BY242">
        <f>Расчёты!AZ242+AH242+AK242-AM242*N('Исходные данные'!$B$50)</f>
        <v>0</v>
      </c>
      <c r="BZ242">
        <f t="shared" si="136"/>
        <v>0</v>
      </c>
      <c r="CA242">
        <f>IF(AND(BZ242&gt;=0,BZ241&lt;0,MIN($BZ$2:BZ242)&lt;0),1,0)</f>
        <v>0</v>
      </c>
      <c r="CB242">
        <f>Расчёты!AZ242+BE242+BH242-BJ242*N('Исходные данные'!$B$50)</f>
        <v>0</v>
      </c>
      <c r="CC242">
        <f t="shared" si="137"/>
        <v>0</v>
      </c>
      <c r="CD242">
        <f>IF(AND(CC242&gt;=0,CC241&lt;0,MIN($CC$2:CC242)&lt;0),1,0)</f>
        <v>0</v>
      </c>
    </row>
    <row r="243" spans="1:82" x14ac:dyDescent="0.2">
      <c r="A243">
        <f>Расчёты!A243</f>
        <v>242</v>
      </c>
      <c r="B243" t="str">
        <f>Расчёты!B243</f>
        <v/>
      </c>
      <c r="C243" t="str">
        <f>Расчёты!D243</f>
        <v/>
      </c>
      <c r="D243">
        <f>Расчёты!E243</f>
        <v>0</v>
      </c>
      <c r="E243">
        <f>IF(Расчёты!F243=0,0,IF(Расчёты!G243=1,N('Сценарный анализ'!$B$5),IF(Расчёты!G243=2,N('Сценарный анализ'!$B$6),IF(Расчёты!G243=3,N('Сценарный анализ'!$B$7),N('Сценарный анализ'!$B$7)*(1+N('Сценарный анализ'!$B$8))^(Расчёты!G243-3)))))</f>
        <v>0</v>
      </c>
      <c r="F243">
        <f>IF(OR(Расчёты!F243=0,N('Исходные данные'!$B$5)=0,E243=0),0,N('Исходные данные'!$B$5)*E243*IF(AND(B243&lt;='Исходные данные'!$B$30,Расчёты!C243&gt;='Исходные данные'!$B$30),(Расчёты!C243-'Исходные данные'!$B$30+1)/DAY(Расчёты!C243),1))</f>
        <v>0</v>
      </c>
      <c r="G243">
        <f>IF(AND(Расчёты!F243&gt;0,Расчёты!F243&lt;=N('Исходные данные'!$B$37)),-F243,0)</f>
        <v>0</v>
      </c>
      <c r="H243">
        <f>IF(OR(Расчёты!F243=0,Расчёты!F243&lt;=N('Исходные данные'!$B$37)),0,-(F243+G243)*N('Сценарный анализ'!$B$9))</f>
        <v>0</v>
      </c>
      <c r="I243">
        <f t="shared" si="138"/>
        <v>0</v>
      </c>
      <c r="J243">
        <f>IF('Исходные данные'!$B$51="Да",I243*N('Исходные данные'!$B$52),0)</f>
        <v>0</v>
      </c>
      <c r="K243">
        <f t="shared" si="139"/>
        <v>0</v>
      </c>
      <c r="L243">
        <f>I243+(Расчёты!Y243-Расчёты!L243)</f>
        <v>0</v>
      </c>
      <c r="M243">
        <f t="shared" si="126"/>
        <v>0</v>
      </c>
      <c r="N243">
        <f>IF('Исходные данные'!$B$51="Да",-MAX(0,J243+Расчёты!R243+Расчёты!V243-Расчёты!P243-Расчёты!T243-M243),0)</f>
        <v>0</v>
      </c>
      <c r="O243">
        <f>IF('Исходные данные'!$B$51="Да",MAX(0,M243+Расчёты!P243+Расчёты!T243-J243-Расчёты!R243-Расчёты!V243),0)</f>
        <v>0</v>
      </c>
      <c r="P243">
        <f>IF('Исходные данные'!$B$53="Выручка",MAX(0,I243+(Расчёты!Q243-Расчёты!R243)+(Расчёты!U243-Расчёты!V243)),IF('Исходные данные'!$B$53="Прибыль до налога",MAX(0,I243+(Расчёты!Q243-Расчёты!R243)+(Расчёты!U243-Расчёты!V243)+N('Исходные данные'!$B$54)*((Расчёты!O243+Расчёты!P243)+(Расчёты!S243+Расчёты!T243)+Расчёты!W243+Расчёты!X243)+IF('Исходные данные'!$B$55="Да",Расчёты!AG243,0)-N('Исходные данные'!$B$56)/12),IF('Исходные данные'!$B$53="Пользовательская база",MAX(0,N('Исходные данные'!$B$57)/12),0)))</f>
        <v>0</v>
      </c>
      <c r="Q243">
        <f>IF(D243=1,-P243*N('Исходные данные'!$B$50),0)</f>
        <v>0</v>
      </c>
      <c r="R243">
        <f t="shared" si="127"/>
        <v>0</v>
      </c>
      <c r="S243">
        <f>IF(OR(D243&lt;&gt;1,B243="",'Исходные данные'!$B$91="",N('Исходные данные'!$B$80)&lt;=0,'Исходные данные'!$B$88=""),0,IF(AND(YEAR(B243)=YEAR('Исходные данные'!$B$91),MONTH(B243)=MONTH('Исходные данные'!$B$91)),MAX(0,IF('Исходные данные'!$B$88="Последние 12 месяцев",SUMIFS($L$2:$L$194,$B$2:$B$194,"&gt;="&amp;EDATE(B243,-11),$B$2:$B$194,"&lt;="&amp;B243),IF('Исходные данные'!$B$88="Пользовательский NOI",N('Исходные данные'!$B$89),R243))/N('Исходные данные'!$B$80)*(1+N('Исходные данные'!$B$81))),0))</f>
        <v>0</v>
      </c>
      <c r="T243">
        <f>-S243*N('Исходные данные'!$B$73)</f>
        <v>0</v>
      </c>
      <c r="U243">
        <f>IF(S243=0,0,-N('Исходные данные'!$B$87)-IF('Исходные данные'!$B$82="Да",IF('Исходные данные'!$B$84="С выручки",S243,IF('Исходные данные'!$B$84="С прибыли",MAX(0,S243+T243-IF('Исходные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43">
        <f t="shared" si="140"/>
        <v>0</v>
      </c>
      <c r="W243">
        <f>IF(D243=1,Расчёты!AZ243+K243+N243+Q243+V243,0)</f>
        <v>0</v>
      </c>
      <c r="X243" t="str">
        <f t="shared" si="128"/>
        <v/>
      </c>
      <c r="Y243">
        <f>IF(OR(D243=0,'Исходные данные'!$B$9="",'Исходные данные'!$B$90=""),0,W243/(1+'Исходные данные'!$B$90)^((C243-'Исходные данные'!$B$9)/365))</f>
        <v>0</v>
      </c>
      <c r="Z243">
        <f>IF(D243=1,K243+Расчёты!O243+Расчёты!Q243+Расчёты!S243+Расчёты!U243+Расчёты!W243+Расчёты!X243+N243+Q243,0)</f>
        <v>0</v>
      </c>
      <c r="AA243">
        <f>IF(AND(D243=1,X243&gt;=0,X242&lt;0,MIN($X$2:X243)&lt;0),1,0)</f>
        <v>0</v>
      </c>
      <c r="AB243">
        <f>IF(Расчёты!F243=0,0,IF(Расчёты!G243=1,N('Сценарный анализ'!$C$5),IF(Расчёты!G243=2,N('Сценарный анализ'!$C$6),IF(Расчёты!G243=3,N('Сценарный анализ'!$C$7),N('Сценарный анализ'!$C$7)*(1+N('Сценарный анализ'!$C$8))^(Расчёты!G243-3)))))</f>
        <v>0</v>
      </c>
      <c r="AC243">
        <f>IF(OR(Расчёты!F243=0,N('Исходные данные'!$B$5)=0,AB243=0),0,N('Исходные данные'!$B$5)*AB243*IF(AND(B243&lt;='Исходные данные'!$B$30,Расчёты!C243&gt;='Исходные данные'!$B$30),(Расчёты!C243-'Исходные данные'!$B$30+1)/DAY(Расчёты!C243),1))</f>
        <v>0</v>
      </c>
      <c r="AD243">
        <f>IF(AND(Расчёты!F243&gt;0,Расчёты!F243&lt;=N('Исходные данные'!$B$37)),-AC243,0)</f>
        <v>0</v>
      </c>
      <c r="AE243">
        <f>IF(OR(Расчёты!F243=0,Расчёты!F243&lt;=N('Исходные данные'!$B$37)),0,-(AC243+AD243)*N('Сценарный анализ'!$C$9))</f>
        <v>0</v>
      </c>
      <c r="AF243">
        <f t="shared" si="141"/>
        <v>0</v>
      </c>
      <c r="AG243">
        <f>IF('Исходные данные'!$B$51="Да",AF243*N('Исходные данные'!$B$52),0)</f>
        <v>0</v>
      </c>
      <c r="AH243">
        <f t="shared" si="142"/>
        <v>0</v>
      </c>
      <c r="AI243">
        <f>AF243+(Расчёты!Y243-Расчёты!L243)</f>
        <v>0</v>
      </c>
      <c r="AJ243">
        <f t="shared" si="129"/>
        <v>0</v>
      </c>
      <c r="AK243">
        <f>IF('Исходные данные'!$B$51="Да",-MAX(0,AG243+Расчёты!R243+Расчёты!V243-Расчёты!P243-Расчёты!T243-AJ243),0)</f>
        <v>0</v>
      </c>
      <c r="AL243">
        <f>IF('Исходные данные'!$B$51="Да",MAX(0,AJ243+Расчёты!P243+Расчёты!T243-AG243-Расчёты!R243-Расчёты!V243),0)</f>
        <v>0</v>
      </c>
      <c r="AM243">
        <f>IF('Исходные данные'!$B$53="Выручка",MAX(0,AF243+(Расчёты!Q243-Расчёты!R243)+(Расчёты!U243-Расчёты!V243)),IF('Исходные данные'!$B$53="Прибыль до налога",MAX(0,AF243+(Расчёты!Q243-Расчёты!R243)+(Расчёты!U243-Расчёты!V243)+N('Исходные данные'!$B$54)*((Расчёты!O243+Расчёты!P243)+(Расчёты!S243+Расчёты!T243)+Расчёты!W243+Расчёты!X243)+IF('Исходные данные'!$B$55="Да",Расчёты!AG243,0)-N('Исходные данные'!$B$56)/12),IF('Исходные данные'!$B$53="Пользовательская база",MAX(0,N('Исходные данные'!$B$57)/12),0)))</f>
        <v>0</v>
      </c>
      <c r="AN243">
        <f>IF(D243=1,-AM243*N('Исходные данные'!$B$50),0)</f>
        <v>0</v>
      </c>
      <c r="AO243">
        <f t="shared" si="130"/>
        <v>0</v>
      </c>
      <c r="AP243">
        <f>IF(OR(D243&lt;&gt;1,B243="",'Исходные данные'!$B$91="",N('Исходные данные'!$B$80)&lt;=0,'Исходные данные'!$B$88=""),0,IF(AND(YEAR(B243)=YEAR('Исходные данные'!$B$91),MONTH(B243)=MONTH('Исходные данные'!$B$91)),MAX(0,IF('Исходные данные'!$B$88="Последние 12 месяцев",SUMIFS($AI$2:$AI$194,$B$2:$B$194,"&gt;="&amp;EDATE(B243,-11),$B$2:$B$194,"&lt;="&amp;B243),IF('Исходные данные'!$B$88="Пользовательский NOI",N('Исходные данные'!$B$89),AO243))/N('Исходные данные'!$B$80)*(1+N('Исходные данные'!$B$81))),0))</f>
        <v>0</v>
      </c>
      <c r="AQ243">
        <f>-AP243*N('Исходные данные'!$B$73)</f>
        <v>0</v>
      </c>
      <c r="AR243">
        <f>IF(AP243=0,0,-N('Исходные данные'!$B$87)-IF('Исходные данные'!$B$82="Да",IF('Исходные данные'!$B$84="С выручки",AP243,IF('Исходные данные'!$B$84="С прибыли",MAX(0,AP243+AQ243-IF('Исходные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43">
        <f t="shared" si="143"/>
        <v>0</v>
      </c>
      <c r="AT243">
        <f>IF(D243=1,Расчёты!AZ243+AH243+AK243+AN243+AS243,0)</f>
        <v>0</v>
      </c>
      <c r="AU243" t="str">
        <f t="shared" si="131"/>
        <v/>
      </c>
      <c r="AV243">
        <f>IF(OR(D243=0,'Исходные данные'!$B$9="",'Исходные данные'!$B$90=""),0,AT243/(1+'Исходные данные'!$B$90)^((C243-'Исходные данные'!$B$9)/365))</f>
        <v>0</v>
      </c>
      <c r="AW243">
        <f>IF(D243=1,AH243+Расчёты!O243+Расчёты!Q243+Расчёты!S243+Расчёты!U243+Расчёты!W243+Расчёты!X243+AK243+AN243,0)</f>
        <v>0</v>
      </c>
      <c r="AX243">
        <f>IF(AND(D243=1,AU243&gt;=0,AU242&lt;0,MIN($AU$2:AU243)&lt;0),1,0)</f>
        <v>0</v>
      </c>
      <c r="AY243">
        <f>IF(Расчёты!F243=0,0,IF(Расчёты!G243=1,N('Сценарный анализ'!$D$5),IF(Расчёты!G243=2,N('Сценарный анализ'!$D$6),IF(Расчёты!G243=3,N('Сценарный анализ'!$D$7),N('Сценарный анализ'!$D$7)*(1+N('Сценарный анализ'!$D$8))^(Расчёты!G243-3)))))</f>
        <v>0</v>
      </c>
      <c r="AZ243">
        <f>IF(OR(Расчёты!F243=0,N('Исходные данные'!$B$5)=0,AY243=0),0,N('Исходные данные'!$B$5)*AY243*IF(AND(B243&lt;='Исходные данные'!$B$30,Расчёты!C243&gt;='Исходные данные'!$B$30),(Расчёты!C243-'Исходные данные'!$B$30+1)/DAY(Расчёты!C243),1))</f>
        <v>0</v>
      </c>
      <c r="BA243">
        <f>IF(AND(Расчёты!F243&gt;0,Расчёты!F243&lt;=N('Исходные данные'!$B$37)),-AZ243,0)</f>
        <v>0</v>
      </c>
      <c r="BB243">
        <f>IF(OR(Расчёты!F243=0,Расчёты!F243&lt;=N('Исходные данные'!$B$37)),0,-(AZ243+BA243)*N('Сценарный анализ'!$D$9))</f>
        <v>0</v>
      </c>
      <c r="BC243">
        <f t="shared" si="144"/>
        <v>0</v>
      </c>
      <c r="BD243">
        <f>IF('Исходные данные'!$B$51="Да",BC243*N('Исходные данные'!$B$52),0)</f>
        <v>0</v>
      </c>
      <c r="BE243">
        <f t="shared" si="145"/>
        <v>0</v>
      </c>
      <c r="BF243">
        <f>BC243+(Расчёты!Y243-Расчёты!L243)</f>
        <v>0</v>
      </c>
      <c r="BG243">
        <f t="shared" si="132"/>
        <v>0</v>
      </c>
      <c r="BH243">
        <f>IF('Исходные данные'!$B$51="Да",-MAX(0,BD243+Расчёты!R243+Расчёты!V243-Расчёты!P243-Расчёты!T243-BG243),0)</f>
        <v>0</v>
      </c>
      <c r="BI243">
        <f>IF('Исходные данные'!$B$51="Да",MAX(0,BG243+Расчёты!P243+Расчёты!T243-BD243-Расчёты!R243-Расчёты!V243),0)</f>
        <v>0</v>
      </c>
      <c r="BJ243">
        <f>IF('Исходные данные'!$B$53="Выручка",MAX(0,BC243+(Расчёты!Q243-Расчёты!R243)+(Расчёты!U243-Расчёты!V243)),IF('Исходные данные'!$B$53="Прибыль до налога",MAX(0,BC243+(Расчёты!Q243-Расчёты!R243)+(Расчёты!U243-Расчёты!V243)+N('Исходные данные'!$B$54)*((Расчёты!O243+Расчёты!P243)+(Расчёты!S243+Расчёты!T243)+Расчёты!W243+Расчёты!X243)+IF('Исходные данные'!$B$55="Да",Расчёты!AG243,0)-N('Исходные данные'!$B$56)/12),IF('Исходные данные'!$B$53="Пользовательская база",MAX(0,N('Исходные данные'!$B$57)/12),0)))</f>
        <v>0</v>
      </c>
      <c r="BK243">
        <f>IF(D243=1,-BJ243*N('Исходные данные'!$B$50),0)</f>
        <v>0</v>
      </c>
      <c r="BL243">
        <f t="shared" si="133"/>
        <v>0</v>
      </c>
      <c r="BM243">
        <f>IF(OR(D243&lt;&gt;1,B243="",'Исходные данные'!$B$91="",N('Исходные данные'!$B$80)&lt;=0,'Исходные данные'!$B$88=""),0,IF(AND(YEAR(B243)=YEAR('Исходные данные'!$B$91),MONTH(B243)=MONTH('Исходные данные'!$B$91)),MAX(0,IF('Исходные данные'!$B$88="Последние 12 месяцев",SUMIFS($BF$2:$BF$194,$B$2:$B$194,"&gt;="&amp;EDATE(B243,-11),$B$2:$B$194,"&lt;="&amp;B243),IF('Исходные данные'!$B$88="Пользовательский NOI",N('Исходные данные'!$B$89),BL243))/N('Исходные данные'!$B$80)*(1+N('Исходные данные'!$B$81))),0))</f>
        <v>0</v>
      </c>
      <c r="BN243">
        <f>-BM243*N('Исходные данные'!$B$73)</f>
        <v>0</v>
      </c>
      <c r="BO243">
        <f>IF(BM243=0,0,-N('Исходные данные'!$B$87)-IF('Исходные данные'!$B$82="Да",IF('Исходные данные'!$B$84="С выручки",BM243,IF('Исходные данные'!$B$84="С прибыли",MAX(0,BM243+BN243-IF('Исходные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43">
        <f t="shared" si="146"/>
        <v>0</v>
      </c>
      <c r="BQ243">
        <f>IF(D243=1,Расчёты!AZ243+BE243+BH243+BK243+BP243,0)</f>
        <v>0</v>
      </c>
      <c r="BR243" t="str">
        <f t="shared" si="134"/>
        <v/>
      </c>
      <c r="BS243">
        <f>IF(OR(D243=0,'Исходные данные'!$B$9="",'Исходные данные'!$B$90=""),0,BQ243/(1+'Исходные данные'!$B$90)^((C243-'Исходные данные'!$B$9)/365))</f>
        <v>0</v>
      </c>
      <c r="BT243">
        <f>IF(D243=1,BE243+Расчёты!O243+Расчёты!Q243+Расчёты!S243+Расчёты!U243+Расчёты!W243+Расчёты!X243+BH243+BK243,0)</f>
        <v>0</v>
      </c>
      <c r="BU243">
        <f>IF(AND(D243=1,BR243&gt;=0,BR242&lt;0,MIN($BR$2:BR243)&lt;0),1,0)</f>
        <v>0</v>
      </c>
      <c r="BV243">
        <f>Расчёты!AZ243+K243+N243-P243*N('Исходные данные'!$B$50)</f>
        <v>0</v>
      </c>
      <c r="BW243">
        <f t="shared" si="135"/>
        <v>0</v>
      </c>
      <c r="BX243">
        <f>IF(AND(BW243&gt;=0,BW242&lt;0,MIN($BW$2:BW243)&lt;0),1,0)</f>
        <v>0</v>
      </c>
      <c r="BY243">
        <f>Расчёты!AZ243+AH243+AK243-AM243*N('Исходные данные'!$B$50)</f>
        <v>0</v>
      </c>
      <c r="BZ243">
        <f t="shared" si="136"/>
        <v>0</v>
      </c>
      <c r="CA243">
        <f>IF(AND(BZ243&gt;=0,BZ242&lt;0,MIN($BZ$2:BZ243)&lt;0),1,0)</f>
        <v>0</v>
      </c>
      <c r="CB243">
        <f>Расчёты!AZ243+BE243+BH243-BJ243*N('Исходные данные'!$B$50)</f>
        <v>0</v>
      </c>
      <c r="CC243">
        <f t="shared" si="137"/>
        <v>0</v>
      </c>
      <c r="CD243">
        <f>IF(AND(CC243&gt;=0,CC242&lt;0,MIN($CC$2:CC243)&lt;0),1,0)</f>
        <v>0</v>
      </c>
    </row>
    <row r="244" spans="1:82" x14ac:dyDescent="0.2">
      <c r="A244">
        <f>Расчёты!A244</f>
        <v>243</v>
      </c>
      <c r="B244" t="str">
        <f>Расчёты!B244</f>
        <v/>
      </c>
      <c r="C244" t="str">
        <f>Расчёты!D244</f>
        <v/>
      </c>
      <c r="D244">
        <f>Расчёты!E244</f>
        <v>0</v>
      </c>
      <c r="E244">
        <f>IF(Расчёты!F244=0,0,IF(Расчёты!G244=1,N('Сценарный анализ'!$B$5),IF(Расчёты!G244=2,N('Сценарный анализ'!$B$6),IF(Расчёты!G244=3,N('Сценарный анализ'!$B$7),N('Сценарный анализ'!$B$7)*(1+N('Сценарный анализ'!$B$8))^(Расчёты!G244-3)))))</f>
        <v>0</v>
      </c>
      <c r="F244">
        <f>IF(OR(Расчёты!F244=0,N('Исходные данные'!$B$5)=0,E244=0),0,N('Исходные данные'!$B$5)*E244*IF(AND(B244&lt;='Исходные данные'!$B$30,Расчёты!C244&gt;='Исходные данные'!$B$30),(Расчёты!C244-'Исходные данные'!$B$30+1)/DAY(Расчёты!C244),1))</f>
        <v>0</v>
      </c>
      <c r="G244">
        <f>IF(AND(Расчёты!F244&gt;0,Расчёты!F244&lt;=N('Исходные данные'!$B$37)),-F244,0)</f>
        <v>0</v>
      </c>
      <c r="H244">
        <f>IF(OR(Расчёты!F244=0,Расчёты!F244&lt;=N('Исходные данные'!$B$37)),0,-(F244+G244)*N('Сценарный анализ'!$B$9))</f>
        <v>0</v>
      </c>
      <c r="I244">
        <f t="shared" si="138"/>
        <v>0</v>
      </c>
      <c r="J244">
        <f>IF('Исходные данные'!$B$51="Да",I244*N('Исходные данные'!$B$52),0)</f>
        <v>0</v>
      </c>
      <c r="K244">
        <f t="shared" si="139"/>
        <v>0</v>
      </c>
      <c r="L244">
        <f>I244+(Расчёты!Y244-Расчёты!L244)</f>
        <v>0</v>
      </c>
      <c r="M244">
        <f t="shared" si="126"/>
        <v>0</v>
      </c>
      <c r="N244">
        <f>IF('Исходные данные'!$B$51="Да",-MAX(0,J244+Расчёты!R244+Расчёты!V244-Расчёты!P244-Расчёты!T244-M244),0)</f>
        <v>0</v>
      </c>
      <c r="O244">
        <f>IF('Исходные данные'!$B$51="Да",MAX(0,M244+Расчёты!P244+Расчёты!T244-J244-Расчёты!R244-Расчёты!V244),0)</f>
        <v>0</v>
      </c>
      <c r="P244">
        <f>IF('Исходные данные'!$B$53="Выручка",MAX(0,I244+(Расчёты!Q244-Расчёты!R244)+(Расчёты!U244-Расчёты!V244)),IF('Исходные данные'!$B$53="Прибыль до налога",MAX(0,I244+(Расчёты!Q244-Расчёты!R244)+(Расчёты!U244-Расчёты!V244)+N('Исходные данные'!$B$54)*((Расчёты!O244+Расчёты!P244)+(Расчёты!S244+Расчёты!T244)+Расчёты!W244+Расчёты!X244)+IF('Исходные данные'!$B$55="Да",Расчёты!AG244,0)-N('Исходные данные'!$B$56)/12),IF('Исходные данные'!$B$53="Пользовательская база",MAX(0,N('Исходные данные'!$B$57)/12),0)))</f>
        <v>0</v>
      </c>
      <c r="Q244">
        <f>IF(D244=1,-P244*N('Исходные данные'!$B$50),0)</f>
        <v>0</v>
      </c>
      <c r="R244">
        <f t="shared" si="127"/>
        <v>0</v>
      </c>
      <c r="S244">
        <f>IF(OR(D244&lt;&gt;1,B244="",'Исходные данные'!$B$91="",N('Исходные данные'!$B$80)&lt;=0,'Исходные данные'!$B$88=""),0,IF(AND(YEAR(B244)=YEAR('Исходные данные'!$B$91),MONTH(B244)=MONTH('Исходные данные'!$B$91)),MAX(0,IF('Исходные данные'!$B$88="Последние 12 месяцев",SUMIFS($L$2:$L$194,$B$2:$B$194,"&gt;="&amp;EDATE(B244,-11),$B$2:$B$194,"&lt;="&amp;B244),IF('Исходные данные'!$B$88="Пользовательский NOI",N('Исходные данные'!$B$89),R244))/N('Исходные данные'!$B$80)*(1+N('Исходные данные'!$B$81))),0))</f>
        <v>0</v>
      </c>
      <c r="T244">
        <f>-S244*N('Исходные данные'!$B$73)</f>
        <v>0</v>
      </c>
      <c r="U244">
        <f>IF(S244=0,0,-N('Исходные данные'!$B$87)-IF('Исходные данные'!$B$82="Да",IF('Исходные данные'!$B$84="С выручки",S244,IF('Исходные данные'!$B$84="С прибыли",MAX(0,S244+T244-IF('Исходные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44">
        <f t="shared" si="140"/>
        <v>0</v>
      </c>
      <c r="W244">
        <f>IF(D244=1,Расчёты!AZ244+K244+N244+Q244+V244,0)</f>
        <v>0</v>
      </c>
      <c r="X244" t="str">
        <f t="shared" si="128"/>
        <v/>
      </c>
      <c r="Y244">
        <f>IF(OR(D244=0,'Исходные данные'!$B$9="",'Исходные данные'!$B$90=""),0,W244/(1+'Исходные данные'!$B$90)^((C244-'Исходные данные'!$B$9)/365))</f>
        <v>0</v>
      </c>
      <c r="Z244">
        <f>IF(D244=1,K244+Расчёты!O244+Расчёты!Q244+Расчёты!S244+Расчёты!U244+Расчёты!W244+Расчёты!X244+N244+Q244,0)</f>
        <v>0</v>
      </c>
      <c r="AA244">
        <f>IF(AND(D244=1,X244&gt;=0,X243&lt;0,MIN($X$2:X244)&lt;0),1,0)</f>
        <v>0</v>
      </c>
      <c r="AB244">
        <f>IF(Расчёты!F244=0,0,IF(Расчёты!G244=1,N('Сценарный анализ'!$C$5),IF(Расчёты!G244=2,N('Сценарный анализ'!$C$6),IF(Расчёты!G244=3,N('Сценарный анализ'!$C$7),N('Сценарный анализ'!$C$7)*(1+N('Сценарный анализ'!$C$8))^(Расчёты!G244-3)))))</f>
        <v>0</v>
      </c>
      <c r="AC244">
        <f>IF(OR(Расчёты!F244=0,N('Исходные данные'!$B$5)=0,AB244=0),0,N('Исходные данные'!$B$5)*AB244*IF(AND(B244&lt;='Исходные данные'!$B$30,Расчёты!C244&gt;='Исходные данные'!$B$30),(Расчёты!C244-'Исходные данные'!$B$30+1)/DAY(Расчёты!C244),1))</f>
        <v>0</v>
      </c>
      <c r="AD244">
        <f>IF(AND(Расчёты!F244&gt;0,Расчёты!F244&lt;=N('Исходные данные'!$B$37)),-AC244,0)</f>
        <v>0</v>
      </c>
      <c r="AE244">
        <f>IF(OR(Расчёты!F244=0,Расчёты!F244&lt;=N('Исходные данные'!$B$37)),0,-(AC244+AD244)*N('Сценарный анализ'!$C$9))</f>
        <v>0</v>
      </c>
      <c r="AF244">
        <f t="shared" si="141"/>
        <v>0</v>
      </c>
      <c r="AG244">
        <f>IF('Исходные данные'!$B$51="Да",AF244*N('Исходные данные'!$B$52),0)</f>
        <v>0</v>
      </c>
      <c r="AH244">
        <f t="shared" si="142"/>
        <v>0</v>
      </c>
      <c r="AI244">
        <f>AF244+(Расчёты!Y244-Расчёты!L244)</f>
        <v>0</v>
      </c>
      <c r="AJ244">
        <f t="shared" si="129"/>
        <v>0</v>
      </c>
      <c r="AK244">
        <f>IF('Исходные данные'!$B$51="Да",-MAX(0,AG244+Расчёты!R244+Расчёты!V244-Расчёты!P244-Расчёты!T244-AJ244),0)</f>
        <v>0</v>
      </c>
      <c r="AL244">
        <f>IF('Исходные данные'!$B$51="Да",MAX(0,AJ244+Расчёты!P244+Расчёты!T244-AG244-Расчёты!R244-Расчёты!V244),0)</f>
        <v>0</v>
      </c>
      <c r="AM244">
        <f>IF('Исходные данные'!$B$53="Выручка",MAX(0,AF244+(Расчёты!Q244-Расчёты!R244)+(Расчёты!U244-Расчёты!V244)),IF('Исходные данные'!$B$53="Прибыль до налога",MAX(0,AF244+(Расчёты!Q244-Расчёты!R244)+(Расчёты!U244-Расчёты!V244)+N('Исходные данные'!$B$54)*((Расчёты!O244+Расчёты!P244)+(Расчёты!S244+Расчёты!T244)+Расчёты!W244+Расчёты!X244)+IF('Исходные данные'!$B$55="Да",Расчёты!AG244,0)-N('Исходные данные'!$B$56)/12),IF('Исходные данные'!$B$53="Пользовательская база",MAX(0,N('Исходные данные'!$B$57)/12),0)))</f>
        <v>0</v>
      </c>
      <c r="AN244">
        <f>IF(D244=1,-AM244*N('Исходные данные'!$B$50),0)</f>
        <v>0</v>
      </c>
      <c r="AO244">
        <f t="shared" si="130"/>
        <v>0</v>
      </c>
      <c r="AP244">
        <f>IF(OR(D244&lt;&gt;1,B244="",'Исходные данные'!$B$91="",N('Исходные данные'!$B$80)&lt;=0,'Исходные данные'!$B$88=""),0,IF(AND(YEAR(B244)=YEAR('Исходные данные'!$B$91),MONTH(B244)=MONTH('Исходные данные'!$B$91)),MAX(0,IF('Исходные данные'!$B$88="Последние 12 месяцев",SUMIFS($AI$2:$AI$194,$B$2:$B$194,"&gt;="&amp;EDATE(B244,-11),$B$2:$B$194,"&lt;="&amp;B244),IF('Исходные данные'!$B$88="Пользовательский NOI",N('Исходные данные'!$B$89),AO244))/N('Исходные данные'!$B$80)*(1+N('Исходные данные'!$B$81))),0))</f>
        <v>0</v>
      </c>
      <c r="AQ244">
        <f>-AP244*N('Исходные данные'!$B$73)</f>
        <v>0</v>
      </c>
      <c r="AR244">
        <f>IF(AP244=0,0,-N('Исходные данные'!$B$87)-IF('Исходные данные'!$B$82="Да",IF('Исходные данные'!$B$84="С выручки",AP244,IF('Исходные данные'!$B$84="С прибыли",MAX(0,AP244+AQ244-IF('Исходные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44">
        <f t="shared" si="143"/>
        <v>0</v>
      </c>
      <c r="AT244">
        <f>IF(D244=1,Расчёты!AZ244+AH244+AK244+AN244+AS244,0)</f>
        <v>0</v>
      </c>
      <c r="AU244" t="str">
        <f t="shared" si="131"/>
        <v/>
      </c>
      <c r="AV244">
        <f>IF(OR(D244=0,'Исходные данные'!$B$9="",'Исходные данные'!$B$90=""),0,AT244/(1+'Исходные данные'!$B$90)^((C244-'Исходные данные'!$B$9)/365))</f>
        <v>0</v>
      </c>
      <c r="AW244">
        <f>IF(D244=1,AH244+Расчёты!O244+Расчёты!Q244+Расчёты!S244+Расчёты!U244+Расчёты!W244+Расчёты!X244+AK244+AN244,0)</f>
        <v>0</v>
      </c>
      <c r="AX244">
        <f>IF(AND(D244=1,AU244&gt;=0,AU243&lt;0,MIN($AU$2:AU244)&lt;0),1,0)</f>
        <v>0</v>
      </c>
      <c r="AY244">
        <f>IF(Расчёты!F244=0,0,IF(Расчёты!G244=1,N('Сценарный анализ'!$D$5),IF(Расчёты!G244=2,N('Сценарный анализ'!$D$6),IF(Расчёты!G244=3,N('Сценарный анализ'!$D$7),N('Сценарный анализ'!$D$7)*(1+N('Сценарный анализ'!$D$8))^(Расчёты!G244-3)))))</f>
        <v>0</v>
      </c>
      <c r="AZ244">
        <f>IF(OR(Расчёты!F244=0,N('Исходные данные'!$B$5)=0,AY244=0),0,N('Исходные данные'!$B$5)*AY244*IF(AND(B244&lt;='Исходные данные'!$B$30,Расчёты!C244&gt;='Исходные данные'!$B$30),(Расчёты!C244-'Исходные данные'!$B$30+1)/DAY(Расчёты!C244),1))</f>
        <v>0</v>
      </c>
      <c r="BA244">
        <f>IF(AND(Расчёты!F244&gt;0,Расчёты!F244&lt;=N('Исходные данные'!$B$37)),-AZ244,0)</f>
        <v>0</v>
      </c>
      <c r="BB244">
        <f>IF(OR(Расчёты!F244=0,Расчёты!F244&lt;=N('Исходные данные'!$B$37)),0,-(AZ244+BA244)*N('Сценарный анализ'!$D$9))</f>
        <v>0</v>
      </c>
      <c r="BC244">
        <f t="shared" si="144"/>
        <v>0</v>
      </c>
      <c r="BD244">
        <f>IF('Исходные данные'!$B$51="Да",BC244*N('Исходные данные'!$B$52),0)</f>
        <v>0</v>
      </c>
      <c r="BE244">
        <f t="shared" si="145"/>
        <v>0</v>
      </c>
      <c r="BF244">
        <f>BC244+(Расчёты!Y244-Расчёты!L244)</f>
        <v>0</v>
      </c>
      <c r="BG244">
        <f t="shared" si="132"/>
        <v>0</v>
      </c>
      <c r="BH244">
        <f>IF('Исходные данные'!$B$51="Да",-MAX(0,BD244+Расчёты!R244+Расчёты!V244-Расчёты!P244-Расчёты!T244-BG244),0)</f>
        <v>0</v>
      </c>
      <c r="BI244">
        <f>IF('Исходные данные'!$B$51="Да",MAX(0,BG244+Расчёты!P244+Расчёты!T244-BD244-Расчёты!R244-Расчёты!V244),0)</f>
        <v>0</v>
      </c>
      <c r="BJ244">
        <f>IF('Исходные данные'!$B$53="Выручка",MAX(0,BC244+(Расчёты!Q244-Расчёты!R244)+(Расчёты!U244-Расчёты!V244)),IF('Исходные данные'!$B$53="Прибыль до налога",MAX(0,BC244+(Расчёты!Q244-Расчёты!R244)+(Расчёты!U244-Расчёты!V244)+N('Исходные данные'!$B$54)*((Расчёты!O244+Расчёты!P244)+(Расчёты!S244+Расчёты!T244)+Расчёты!W244+Расчёты!X244)+IF('Исходные данные'!$B$55="Да",Расчёты!AG244,0)-N('Исходные данные'!$B$56)/12),IF('Исходные данные'!$B$53="Пользовательская база",MAX(0,N('Исходные данные'!$B$57)/12),0)))</f>
        <v>0</v>
      </c>
      <c r="BK244">
        <f>IF(D244=1,-BJ244*N('Исходные данные'!$B$50),0)</f>
        <v>0</v>
      </c>
      <c r="BL244">
        <f t="shared" si="133"/>
        <v>0</v>
      </c>
      <c r="BM244">
        <f>IF(OR(D244&lt;&gt;1,B244="",'Исходные данные'!$B$91="",N('Исходные данные'!$B$80)&lt;=0,'Исходные данные'!$B$88=""),0,IF(AND(YEAR(B244)=YEAR('Исходные данные'!$B$91),MONTH(B244)=MONTH('Исходные данные'!$B$91)),MAX(0,IF('Исходные данные'!$B$88="Последние 12 месяцев",SUMIFS($BF$2:$BF$194,$B$2:$B$194,"&gt;="&amp;EDATE(B244,-11),$B$2:$B$194,"&lt;="&amp;B244),IF('Исходные данные'!$B$88="Пользовательский NOI",N('Исходные данные'!$B$89),BL244))/N('Исходные данные'!$B$80)*(1+N('Исходные данные'!$B$81))),0))</f>
        <v>0</v>
      </c>
      <c r="BN244">
        <f>-BM244*N('Исходные данные'!$B$73)</f>
        <v>0</v>
      </c>
      <c r="BO244">
        <f>IF(BM244=0,0,-N('Исходные данные'!$B$87)-IF('Исходные данные'!$B$82="Да",IF('Исходные данные'!$B$84="С выручки",BM244,IF('Исходные данные'!$B$84="С прибыли",MAX(0,BM244+BN244-IF('Исходные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44">
        <f t="shared" si="146"/>
        <v>0</v>
      </c>
      <c r="BQ244">
        <f>IF(D244=1,Расчёты!AZ244+BE244+BH244+BK244+BP244,0)</f>
        <v>0</v>
      </c>
      <c r="BR244" t="str">
        <f t="shared" si="134"/>
        <v/>
      </c>
      <c r="BS244">
        <f>IF(OR(D244=0,'Исходные данные'!$B$9="",'Исходные данные'!$B$90=""),0,BQ244/(1+'Исходные данные'!$B$90)^((C244-'Исходные данные'!$B$9)/365))</f>
        <v>0</v>
      </c>
      <c r="BT244">
        <f>IF(D244=1,BE244+Расчёты!O244+Расчёты!Q244+Расчёты!S244+Расчёты!U244+Расчёты!W244+Расчёты!X244+BH244+BK244,0)</f>
        <v>0</v>
      </c>
      <c r="BU244">
        <f>IF(AND(D244=1,BR244&gt;=0,BR243&lt;0,MIN($BR$2:BR244)&lt;0),1,0)</f>
        <v>0</v>
      </c>
      <c r="BV244">
        <f>Расчёты!AZ244+K244+N244-P244*N('Исходные данные'!$B$50)</f>
        <v>0</v>
      </c>
      <c r="BW244">
        <f t="shared" si="135"/>
        <v>0</v>
      </c>
      <c r="BX244">
        <f>IF(AND(BW244&gt;=0,BW243&lt;0,MIN($BW$2:BW244)&lt;0),1,0)</f>
        <v>0</v>
      </c>
      <c r="BY244">
        <f>Расчёты!AZ244+AH244+AK244-AM244*N('Исходные данные'!$B$50)</f>
        <v>0</v>
      </c>
      <c r="BZ244">
        <f t="shared" si="136"/>
        <v>0</v>
      </c>
      <c r="CA244">
        <f>IF(AND(BZ244&gt;=0,BZ243&lt;0,MIN($BZ$2:BZ244)&lt;0),1,0)</f>
        <v>0</v>
      </c>
      <c r="CB244">
        <f>Расчёты!AZ244+BE244+BH244-BJ244*N('Исходные данные'!$B$50)</f>
        <v>0</v>
      </c>
      <c r="CC244">
        <f t="shared" si="137"/>
        <v>0</v>
      </c>
      <c r="CD244">
        <f>IF(AND(CC244&gt;=0,CC243&lt;0,MIN($CC$2:CC244)&lt;0),1,0)</f>
        <v>0</v>
      </c>
    </row>
    <row r="245" spans="1:82" x14ac:dyDescent="0.2">
      <c r="A245">
        <f>Расчёты!A245</f>
        <v>244</v>
      </c>
      <c r="B245" t="str">
        <f>Расчёты!B245</f>
        <v/>
      </c>
      <c r="C245" t="str">
        <f>Расчёты!D245</f>
        <v/>
      </c>
      <c r="D245">
        <f>Расчёты!E245</f>
        <v>0</v>
      </c>
      <c r="E245">
        <f>IF(Расчёты!F245=0,0,IF(Расчёты!G245=1,N('Сценарный анализ'!$B$5),IF(Расчёты!G245=2,N('Сценарный анализ'!$B$6),IF(Расчёты!G245=3,N('Сценарный анализ'!$B$7),N('Сценарный анализ'!$B$7)*(1+N('Сценарный анализ'!$B$8))^(Расчёты!G245-3)))))</f>
        <v>0</v>
      </c>
      <c r="F245">
        <f>IF(OR(Расчёты!F245=0,N('Исходные данные'!$B$5)=0,E245=0),0,N('Исходные данные'!$B$5)*E245*IF(AND(B245&lt;='Исходные данные'!$B$30,Расчёты!C245&gt;='Исходные данные'!$B$30),(Расчёты!C245-'Исходные данные'!$B$30+1)/DAY(Расчёты!C245),1))</f>
        <v>0</v>
      </c>
      <c r="G245">
        <f>IF(AND(Расчёты!F245&gt;0,Расчёты!F245&lt;=N('Исходные данные'!$B$37)),-F245,0)</f>
        <v>0</v>
      </c>
      <c r="H245">
        <f>IF(OR(Расчёты!F245=0,Расчёты!F245&lt;=N('Исходные данные'!$B$37)),0,-(F245+G245)*N('Сценарный анализ'!$B$9))</f>
        <v>0</v>
      </c>
      <c r="I245">
        <f t="shared" si="138"/>
        <v>0</v>
      </c>
      <c r="J245">
        <f>IF('Исходные данные'!$B$51="Да",I245*N('Исходные данные'!$B$52),0)</f>
        <v>0</v>
      </c>
      <c r="K245">
        <f t="shared" si="139"/>
        <v>0</v>
      </c>
      <c r="L245">
        <f>I245+(Расчёты!Y245-Расчёты!L245)</f>
        <v>0</v>
      </c>
      <c r="M245">
        <f t="shared" si="126"/>
        <v>0</v>
      </c>
      <c r="N245">
        <f>IF('Исходные данные'!$B$51="Да",-MAX(0,J245+Расчёты!R245+Расчёты!V245-Расчёты!P245-Расчёты!T245-M245),0)</f>
        <v>0</v>
      </c>
      <c r="O245">
        <f>IF('Исходные данные'!$B$51="Да",MAX(0,M245+Расчёты!P245+Расчёты!T245-J245-Расчёты!R245-Расчёты!V245),0)</f>
        <v>0</v>
      </c>
      <c r="P245">
        <f>IF('Исходные данные'!$B$53="Выручка",MAX(0,I245+(Расчёты!Q245-Расчёты!R245)+(Расчёты!U245-Расчёты!V245)),IF('Исходные данные'!$B$53="Прибыль до налога",MAX(0,I245+(Расчёты!Q245-Расчёты!R245)+(Расчёты!U245-Расчёты!V245)+N('Исходные данные'!$B$54)*((Расчёты!O245+Расчёты!P245)+(Расчёты!S245+Расчёты!T245)+Расчёты!W245+Расчёты!X245)+IF('Исходные данные'!$B$55="Да",Расчёты!AG245,0)-N('Исходные данные'!$B$56)/12),IF('Исходные данные'!$B$53="Пользовательская база",MAX(0,N('Исходные данные'!$B$57)/12),0)))</f>
        <v>0</v>
      </c>
      <c r="Q245">
        <f>IF(D245=1,-P245*N('Исходные данные'!$B$50),0)</f>
        <v>0</v>
      </c>
      <c r="R245">
        <f t="shared" si="127"/>
        <v>0</v>
      </c>
      <c r="S245">
        <f>IF(OR(D245&lt;&gt;1,B245="",'Исходные данные'!$B$91="",N('Исходные данные'!$B$80)&lt;=0,'Исходные данные'!$B$88=""),0,IF(AND(YEAR(B245)=YEAR('Исходные данные'!$B$91),MONTH(B245)=MONTH('Исходные данные'!$B$91)),MAX(0,IF('Исходные данные'!$B$88="Последние 12 месяцев",SUMIFS($L$2:$L$194,$B$2:$B$194,"&gt;="&amp;EDATE(B245,-11),$B$2:$B$194,"&lt;="&amp;B245),IF('Исходные данные'!$B$88="Пользовательский NOI",N('Исходные данные'!$B$89),R245))/N('Исходные данные'!$B$80)*(1+N('Исходные данные'!$B$81))),0))</f>
        <v>0</v>
      </c>
      <c r="T245">
        <f>-S245*N('Исходные данные'!$B$73)</f>
        <v>0</v>
      </c>
      <c r="U245">
        <f>IF(S245=0,0,-N('Исходные данные'!$B$87)-IF('Исходные данные'!$B$82="Да",IF('Исходные данные'!$B$84="С выручки",S245,IF('Исходные данные'!$B$84="С прибыли",MAX(0,S245+T245-IF('Исходные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45">
        <f t="shared" si="140"/>
        <v>0</v>
      </c>
      <c r="W245">
        <f>IF(D245=1,Расчёты!AZ245+K245+N245+Q245+V245,0)</f>
        <v>0</v>
      </c>
      <c r="X245" t="str">
        <f t="shared" si="128"/>
        <v/>
      </c>
      <c r="Y245">
        <f>IF(OR(D245=0,'Исходные данные'!$B$9="",'Исходные данные'!$B$90=""),0,W245/(1+'Исходные данные'!$B$90)^((C245-'Исходные данные'!$B$9)/365))</f>
        <v>0</v>
      </c>
      <c r="Z245">
        <f>IF(D245=1,K245+Расчёты!O245+Расчёты!Q245+Расчёты!S245+Расчёты!U245+Расчёты!W245+Расчёты!X245+N245+Q245,0)</f>
        <v>0</v>
      </c>
      <c r="AA245">
        <f>IF(AND(D245=1,X245&gt;=0,X244&lt;0,MIN($X$2:X245)&lt;0),1,0)</f>
        <v>0</v>
      </c>
      <c r="AB245">
        <f>IF(Расчёты!F245=0,0,IF(Расчёты!G245=1,N('Сценарный анализ'!$C$5),IF(Расчёты!G245=2,N('Сценарный анализ'!$C$6),IF(Расчёты!G245=3,N('Сценарный анализ'!$C$7),N('Сценарный анализ'!$C$7)*(1+N('Сценарный анализ'!$C$8))^(Расчёты!G245-3)))))</f>
        <v>0</v>
      </c>
      <c r="AC245">
        <f>IF(OR(Расчёты!F245=0,N('Исходные данные'!$B$5)=0,AB245=0),0,N('Исходные данные'!$B$5)*AB245*IF(AND(B245&lt;='Исходные данные'!$B$30,Расчёты!C245&gt;='Исходные данные'!$B$30),(Расчёты!C245-'Исходные данные'!$B$30+1)/DAY(Расчёты!C245),1))</f>
        <v>0</v>
      </c>
      <c r="AD245">
        <f>IF(AND(Расчёты!F245&gt;0,Расчёты!F245&lt;=N('Исходные данные'!$B$37)),-AC245,0)</f>
        <v>0</v>
      </c>
      <c r="AE245">
        <f>IF(OR(Расчёты!F245=0,Расчёты!F245&lt;=N('Исходные данные'!$B$37)),0,-(AC245+AD245)*N('Сценарный анализ'!$C$9))</f>
        <v>0</v>
      </c>
      <c r="AF245">
        <f t="shared" si="141"/>
        <v>0</v>
      </c>
      <c r="AG245">
        <f>IF('Исходные данные'!$B$51="Да",AF245*N('Исходные данные'!$B$52),0)</f>
        <v>0</v>
      </c>
      <c r="AH245">
        <f t="shared" si="142"/>
        <v>0</v>
      </c>
      <c r="AI245">
        <f>AF245+(Расчёты!Y245-Расчёты!L245)</f>
        <v>0</v>
      </c>
      <c r="AJ245">
        <f t="shared" si="129"/>
        <v>0</v>
      </c>
      <c r="AK245">
        <f>IF('Исходные данные'!$B$51="Да",-MAX(0,AG245+Расчёты!R245+Расчёты!V245-Расчёты!P245-Расчёты!T245-AJ245),0)</f>
        <v>0</v>
      </c>
      <c r="AL245">
        <f>IF('Исходные данные'!$B$51="Да",MAX(0,AJ245+Расчёты!P245+Расчёты!T245-AG245-Расчёты!R245-Расчёты!V245),0)</f>
        <v>0</v>
      </c>
      <c r="AM245">
        <f>IF('Исходные данные'!$B$53="Выручка",MAX(0,AF245+(Расчёты!Q245-Расчёты!R245)+(Расчёты!U245-Расчёты!V245)),IF('Исходные данные'!$B$53="Прибыль до налога",MAX(0,AF245+(Расчёты!Q245-Расчёты!R245)+(Расчёты!U245-Расчёты!V245)+N('Исходные данные'!$B$54)*((Расчёты!O245+Расчёты!P245)+(Расчёты!S245+Расчёты!T245)+Расчёты!W245+Расчёты!X245)+IF('Исходные данные'!$B$55="Да",Расчёты!AG245,0)-N('Исходные данные'!$B$56)/12),IF('Исходные данные'!$B$53="Пользовательская база",MAX(0,N('Исходные данные'!$B$57)/12),0)))</f>
        <v>0</v>
      </c>
      <c r="AN245">
        <f>IF(D245=1,-AM245*N('Исходные данные'!$B$50),0)</f>
        <v>0</v>
      </c>
      <c r="AO245">
        <f t="shared" si="130"/>
        <v>0</v>
      </c>
      <c r="AP245">
        <f>IF(OR(D245&lt;&gt;1,B245="",'Исходные данные'!$B$91="",N('Исходные данные'!$B$80)&lt;=0,'Исходные данные'!$B$88=""),0,IF(AND(YEAR(B245)=YEAR('Исходные данные'!$B$91),MONTH(B245)=MONTH('Исходные данные'!$B$91)),MAX(0,IF('Исходные данные'!$B$88="Последние 12 месяцев",SUMIFS($AI$2:$AI$194,$B$2:$B$194,"&gt;="&amp;EDATE(B245,-11),$B$2:$B$194,"&lt;="&amp;B245),IF('Исходные данные'!$B$88="Пользовательский NOI",N('Исходные данные'!$B$89),AO245))/N('Исходные данные'!$B$80)*(1+N('Исходные данные'!$B$81))),0))</f>
        <v>0</v>
      </c>
      <c r="AQ245">
        <f>-AP245*N('Исходные данные'!$B$73)</f>
        <v>0</v>
      </c>
      <c r="AR245">
        <f>IF(AP245=0,0,-N('Исходные данные'!$B$87)-IF('Исходные данные'!$B$82="Да",IF('Исходные данные'!$B$84="С выручки",AP245,IF('Исходные данные'!$B$84="С прибыли",MAX(0,AP245+AQ245-IF('Исходные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45">
        <f t="shared" si="143"/>
        <v>0</v>
      </c>
      <c r="AT245">
        <f>IF(D245=1,Расчёты!AZ245+AH245+AK245+AN245+AS245,0)</f>
        <v>0</v>
      </c>
      <c r="AU245" t="str">
        <f t="shared" si="131"/>
        <v/>
      </c>
      <c r="AV245">
        <f>IF(OR(D245=0,'Исходные данные'!$B$9="",'Исходные данные'!$B$90=""),0,AT245/(1+'Исходные данные'!$B$90)^((C245-'Исходные данные'!$B$9)/365))</f>
        <v>0</v>
      </c>
      <c r="AW245">
        <f>IF(D245=1,AH245+Расчёты!O245+Расчёты!Q245+Расчёты!S245+Расчёты!U245+Расчёты!W245+Расчёты!X245+AK245+AN245,0)</f>
        <v>0</v>
      </c>
      <c r="AX245">
        <f>IF(AND(D245=1,AU245&gt;=0,AU244&lt;0,MIN($AU$2:AU245)&lt;0),1,0)</f>
        <v>0</v>
      </c>
      <c r="AY245">
        <f>IF(Расчёты!F245=0,0,IF(Расчёты!G245=1,N('Сценарный анализ'!$D$5),IF(Расчёты!G245=2,N('Сценарный анализ'!$D$6),IF(Расчёты!G245=3,N('Сценарный анализ'!$D$7),N('Сценарный анализ'!$D$7)*(1+N('Сценарный анализ'!$D$8))^(Расчёты!G245-3)))))</f>
        <v>0</v>
      </c>
      <c r="AZ245">
        <f>IF(OR(Расчёты!F245=0,N('Исходные данные'!$B$5)=0,AY245=0),0,N('Исходные данные'!$B$5)*AY245*IF(AND(B245&lt;='Исходные данные'!$B$30,Расчёты!C245&gt;='Исходные данные'!$B$30),(Расчёты!C245-'Исходные данные'!$B$30+1)/DAY(Расчёты!C245),1))</f>
        <v>0</v>
      </c>
      <c r="BA245">
        <f>IF(AND(Расчёты!F245&gt;0,Расчёты!F245&lt;=N('Исходные данные'!$B$37)),-AZ245,0)</f>
        <v>0</v>
      </c>
      <c r="BB245">
        <f>IF(OR(Расчёты!F245=0,Расчёты!F245&lt;=N('Исходные данные'!$B$37)),0,-(AZ245+BA245)*N('Сценарный анализ'!$D$9))</f>
        <v>0</v>
      </c>
      <c r="BC245">
        <f t="shared" si="144"/>
        <v>0</v>
      </c>
      <c r="BD245">
        <f>IF('Исходные данные'!$B$51="Да",BC245*N('Исходные данные'!$B$52),0)</f>
        <v>0</v>
      </c>
      <c r="BE245">
        <f t="shared" si="145"/>
        <v>0</v>
      </c>
      <c r="BF245">
        <f>BC245+(Расчёты!Y245-Расчёты!L245)</f>
        <v>0</v>
      </c>
      <c r="BG245">
        <f t="shared" si="132"/>
        <v>0</v>
      </c>
      <c r="BH245">
        <f>IF('Исходные данные'!$B$51="Да",-MAX(0,BD245+Расчёты!R245+Расчёты!V245-Расчёты!P245-Расчёты!T245-BG245),0)</f>
        <v>0</v>
      </c>
      <c r="BI245">
        <f>IF('Исходные данные'!$B$51="Да",MAX(0,BG245+Расчёты!P245+Расчёты!T245-BD245-Расчёты!R245-Расчёты!V245),0)</f>
        <v>0</v>
      </c>
      <c r="BJ245">
        <f>IF('Исходные данные'!$B$53="Выручка",MAX(0,BC245+(Расчёты!Q245-Расчёты!R245)+(Расчёты!U245-Расчёты!V245)),IF('Исходные данные'!$B$53="Прибыль до налога",MAX(0,BC245+(Расчёты!Q245-Расчёты!R245)+(Расчёты!U245-Расчёты!V245)+N('Исходные данные'!$B$54)*((Расчёты!O245+Расчёты!P245)+(Расчёты!S245+Расчёты!T245)+Расчёты!W245+Расчёты!X245)+IF('Исходные данные'!$B$55="Да",Расчёты!AG245,0)-N('Исходные данные'!$B$56)/12),IF('Исходные данные'!$B$53="Пользовательская база",MAX(0,N('Исходные данные'!$B$57)/12),0)))</f>
        <v>0</v>
      </c>
      <c r="BK245">
        <f>IF(D245=1,-BJ245*N('Исходные данные'!$B$50),0)</f>
        <v>0</v>
      </c>
      <c r="BL245">
        <f t="shared" si="133"/>
        <v>0</v>
      </c>
      <c r="BM245">
        <f>IF(OR(D245&lt;&gt;1,B245="",'Исходные данные'!$B$91="",N('Исходные данные'!$B$80)&lt;=0,'Исходные данные'!$B$88=""),0,IF(AND(YEAR(B245)=YEAR('Исходные данные'!$B$91),MONTH(B245)=MONTH('Исходные данные'!$B$91)),MAX(0,IF('Исходные данные'!$B$88="Последние 12 месяцев",SUMIFS($BF$2:$BF$194,$B$2:$B$194,"&gt;="&amp;EDATE(B245,-11),$B$2:$B$194,"&lt;="&amp;B245),IF('Исходные данные'!$B$88="Пользовательский NOI",N('Исходные данные'!$B$89),BL245))/N('Исходные данные'!$B$80)*(1+N('Исходные данные'!$B$81))),0))</f>
        <v>0</v>
      </c>
      <c r="BN245">
        <f>-BM245*N('Исходные данные'!$B$73)</f>
        <v>0</v>
      </c>
      <c r="BO245">
        <f>IF(BM245=0,0,-N('Исходные данные'!$B$87)-IF('Исходные данные'!$B$82="Да",IF('Исходные данные'!$B$84="С выручки",BM245,IF('Исходные данные'!$B$84="С прибыли",MAX(0,BM245+BN245-IF('Исходные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45">
        <f t="shared" si="146"/>
        <v>0</v>
      </c>
      <c r="BQ245">
        <f>IF(D245=1,Расчёты!AZ245+BE245+BH245+BK245+BP245,0)</f>
        <v>0</v>
      </c>
      <c r="BR245" t="str">
        <f t="shared" si="134"/>
        <v/>
      </c>
      <c r="BS245">
        <f>IF(OR(D245=0,'Исходные данные'!$B$9="",'Исходные данные'!$B$90=""),0,BQ245/(1+'Исходные данные'!$B$90)^((C245-'Исходные данные'!$B$9)/365))</f>
        <v>0</v>
      </c>
      <c r="BT245">
        <f>IF(D245=1,BE245+Расчёты!O245+Расчёты!Q245+Расчёты!S245+Расчёты!U245+Расчёты!W245+Расчёты!X245+BH245+BK245,0)</f>
        <v>0</v>
      </c>
      <c r="BU245">
        <f>IF(AND(D245=1,BR245&gt;=0,BR244&lt;0,MIN($BR$2:BR245)&lt;0),1,0)</f>
        <v>0</v>
      </c>
      <c r="BV245">
        <f>Расчёты!AZ245+K245+N245-P245*N('Исходные данные'!$B$50)</f>
        <v>0</v>
      </c>
      <c r="BW245">
        <f t="shared" si="135"/>
        <v>0</v>
      </c>
      <c r="BX245">
        <f>IF(AND(BW245&gt;=0,BW244&lt;0,MIN($BW$2:BW245)&lt;0),1,0)</f>
        <v>0</v>
      </c>
      <c r="BY245">
        <f>Расчёты!AZ245+AH245+AK245-AM245*N('Исходные данные'!$B$50)</f>
        <v>0</v>
      </c>
      <c r="BZ245">
        <f t="shared" si="136"/>
        <v>0</v>
      </c>
      <c r="CA245">
        <f>IF(AND(BZ245&gt;=0,BZ244&lt;0,MIN($BZ$2:BZ245)&lt;0),1,0)</f>
        <v>0</v>
      </c>
      <c r="CB245">
        <f>Расчёты!AZ245+BE245+BH245-BJ245*N('Исходные данные'!$B$50)</f>
        <v>0</v>
      </c>
      <c r="CC245">
        <f t="shared" si="137"/>
        <v>0</v>
      </c>
      <c r="CD245">
        <f>IF(AND(CC245&gt;=0,CC244&lt;0,MIN($CC$2:CC245)&lt;0),1,0)</f>
        <v>0</v>
      </c>
    </row>
    <row r="246" spans="1:82" x14ac:dyDescent="0.2">
      <c r="A246">
        <f>Расчёты!A246</f>
        <v>245</v>
      </c>
      <c r="B246" t="str">
        <f>Расчёты!B246</f>
        <v/>
      </c>
      <c r="C246" t="str">
        <f>Расчёты!D246</f>
        <v/>
      </c>
      <c r="D246">
        <f>Расчёты!E246</f>
        <v>0</v>
      </c>
      <c r="E246">
        <f>IF(Расчёты!F246=0,0,IF(Расчёты!G246=1,N('Сценарный анализ'!$B$5),IF(Расчёты!G246=2,N('Сценарный анализ'!$B$6),IF(Расчёты!G246=3,N('Сценарный анализ'!$B$7),N('Сценарный анализ'!$B$7)*(1+N('Сценарный анализ'!$B$8))^(Расчёты!G246-3)))))</f>
        <v>0</v>
      </c>
      <c r="F246">
        <f>IF(OR(Расчёты!F246=0,N('Исходные данные'!$B$5)=0,E246=0),0,N('Исходные данные'!$B$5)*E246*IF(AND(B246&lt;='Исходные данные'!$B$30,Расчёты!C246&gt;='Исходные данные'!$B$30),(Расчёты!C246-'Исходные данные'!$B$30+1)/DAY(Расчёты!C246),1))</f>
        <v>0</v>
      </c>
      <c r="G246">
        <f>IF(AND(Расчёты!F246&gt;0,Расчёты!F246&lt;=N('Исходные данные'!$B$37)),-F246,0)</f>
        <v>0</v>
      </c>
      <c r="H246">
        <f>IF(OR(Расчёты!F246=0,Расчёты!F246&lt;=N('Исходные данные'!$B$37)),0,-(F246+G246)*N('Сценарный анализ'!$B$9))</f>
        <v>0</v>
      </c>
      <c r="I246">
        <f t="shared" si="138"/>
        <v>0</v>
      </c>
      <c r="J246">
        <f>IF('Исходные данные'!$B$51="Да",I246*N('Исходные данные'!$B$52),0)</f>
        <v>0</v>
      </c>
      <c r="K246">
        <f t="shared" si="139"/>
        <v>0</v>
      </c>
      <c r="L246">
        <f>I246+(Расчёты!Y246-Расчёты!L246)</f>
        <v>0</v>
      </c>
      <c r="M246">
        <f t="shared" si="126"/>
        <v>0</v>
      </c>
      <c r="N246">
        <f>IF('Исходные данные'!$B$51="Да",-MAX(0,J246+Расчёты!R246+Расчёты!V246-Расчёты!P246-Расчёты!T246-M246),0)</f>
        <v>0</v>
      </c>
      <c r="O246">
        <f>IF('Исходные данные'!$B$51="Да",MAX(0,M246+Расчёты!P246+Расчёты!T246-J246-Расчёты!R246-Расчёты!V246),0)</f>
        <v>0</v>
      </c>
      <c r="P246">
        <f>IF('Исходные данные'!$B$53="Выручка",MAX(0,I246+(Расчёты!Q246-Расчёты!R246)+(Расчёты!U246-Расчёты!V246)),IF('Исходные данные'!$B$53="Прибыль до налога",MAX(0,I246+(Расчёты!Q246-Расчёты!R246)+(Расчёты!U246-Расчёты!V246)+N('Исходные данные'!$B$54)*((Расчёты!O246+Расчёты!P246)+(Расчёты!S246+Расчёты!T246)+Расчёты!W246+Расчёты!X246)+IF('Исходные данные'!$B$55="Да",Расчёты!AG246,0)-N('Исходные данные'!$B$56)/12),IF('Исходные данные'!$B$53="Пользовательская база",MAX(0,N('Исходные данные'!$B$57)/12),0)))</f>
        <v>0</v>
      </c>
      <c r="Q246">
        <f>IF(D246=1,-P246*N('Исходные данные'!$B$50),0)</f>
        <v>0</v>
      </c>
      <c r="R246">
        <f t="shared" si="127"/>
        <v>0</v>
      </c>
      <c r="S246">
        <f>IF(OR(D246&lt;&gt;1,B246="",'Исходные данные'!$B$91="",N('Исходные данные'!$B$80)&lt;=0,'Исходные данные'!$B$88=""),0,IF(AND(YEAR(B246)=YEAR('Исходные данные'!$B$91),MONTH(B246)=MONTH('Исходные данные'!$B$91)),MAX(0,IF('Исходные данные'!$B$88="Последние 12 месяцев",SUMIFS($L$2:$L$194,$B$2:$B$194,"&gt;="&amp;EDATE(B246,-11),$B$2:$B$194,"&lt;="&amp;B246),IF('Исходные данные'!$B$88="Пользовательский NOI",N('Исходные данные'!$B$89),R246))/N('Исходные данные'!$B$80)*(1+N('Исходные данные'!$B$81))),0))</f>
        <v>0</v>
      </c>
      <c r="T246">
        <f>-S246*N('Исходные данные'!$B$73)</f>
        <v>0</v>
      </c>
      <c r="U246">
        <f>IF(S246=0,0,-N('Исходные данные'!$B$87)-IF('Исходные данные'!$B$82="Да",IF('Исходные данные'!$B$84="С выручки",S246,IF('Исходные данные'!$B$84="С прибыли",MAX(0,S246+T246-IF('Исходные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46">
        <f t="shared" si="140"/>
        <v>0</v>
      </c>
      <c r="W246">
        <f>IF(D246=1,Расчёты!AZ246+K246+N246+Q246+V246,0)</f>
        <v>0</v>
      </c>
      <c r="X246" t="str">
        <f t="shared" si="128"/>
        <v/>
      </c>
      <c r="Y246">
        <f>IF(OR(D246=0,'Исходные данные'!$B$9="",'Исходные данные'!$B$90=""),0,W246/(1+'Исходные данные'!$B$90)^((C246-'Исходные данные'!$B$9)/365))</f>
        <v>0</v>
      </c>
      <c r="Z246">
        <f>IF(D246=1,K246+Расчёты!O246+Расчёты!Q246+Расчёты!S246+Расчёты!U246+Расчёты!W246+Расчёты!X246+N246+Q246,0)</f>
        <v>0</v>
      </c>
      <c r="AA246">
        <f>IF(AND(D246=1,X246&gt;=0,X245&lt;0,MIN($X$2:X246)&lt;0),1,0)</f>
        <v>0</v>
      </c>
      <c r="AB246">
        <f>IF(Расчёты!F246=0,0,IF(Расчёты!G246=1,N('Сценарный анализ'!$C$5),IF(Расчёты!G246=2,N('Сценарный анализ'!$C$6),IF(Расчёты!G246=3,N('Сценарный анализ'!$C$7),N('Сценарный анализ'!$C$7)*(1+N('Сценарный анализ'!$C$8))^(Расчёты!G246-3)))))</f>
        <v>0</v>
      </c>
      <c r="AC246">
        <f>IF(OR(Расчёты!F246=0,N('Исходные данные'!$B$5)=0,AB246=0),0,N('Исходные данные'!$B$5)*AB246*IF(AND(B246&lt;='Исходные данные'!$B$30,Расчёты!C246&gt;='Исходные данные'!$B$30),(Расчёты!C246-'Исходные данные'!$B$30+1)/DAY(Расчёты!C246),1))</f>
        <v>0</v>
      </c>
      <c r="AD246">
        <f>IF(AND(Расчёты!F246&gt;0,Расчёты!F246&lt;=N('Исходные данные'!$B$37)),-AC246,0)</f>
        <v>0</v>
      </c>
      <c r="AE246">
        <f>IF(OR(Расчёты!F246=0,Расчёты!F246&lt;=N('Исходные данные'!$B$37)),0,-(AC246+AD246)*N('Сценарный анализ'!$C$9))</f>
        <v>0</v>
      </c>
      <c r="AF246">
        <f t="shared" si="141"/>
        <v>0</v>
      </c>
      <c r="AG246">
        <f>IF('Исходные данные'!$B$51="Да",AF246*N('Исходные данные'!$B$52),0)</f>
        <v>0</v>
      </c>
      <c r="AH246">
        <f t="shared" si="142"/>
        <v>0</v>
      </c>
      <c r="AI246">
        <f>AF246+(Расчёты!Y246-Расчёты!L246)</f>
        <v>0</v>
      </c>
      <c r="AJ246">
        <f t="shared" si="129"/>
        <v>0</v>
      </c>
      <c r="AK246">
        <f>IF('Исходные данные'!$B$51="Да",-MAX(0,AG246+Расчёты!R246+Расчёты!V246-Расчёты!P246-Расчёты!T246-AJ246),0)</f>
        <v>0</v>
      </c>
      <c r="AL246">
        <f>IF('Исходные данные'!$B$51="Да",MAX(0,AJ246+Расчёты!P246+Расчёты!T246-AG246-Расчёты!R246-Расчёты!V246),0)</f>
        <v>0</v>
      </c>
      <c r="AM246">
        <f>IF('Исходные данные'!$B$53="Выручка",MAX(0,AF246+(Расчёты!Q246-Расчёты!R246)+(Расчёты!U246-Расчёты!V246)),IF('Исходные данные'!$B$53="Прибыль до налога",MAX(0,AF246+(Расчёты!Q246-Расчёты!R246)+(Расчёты!U246-Расчёты!V246)+N('Исходные данные'!$B$54)*((Расчёты!O246+Расчёты!P246)+(Расчёты!S246+Расчёты!T246)+Расчёты!W246+Расчёты!X246)+IF('Исходные данные'!$B$55="Да",Расчёты!AG246,0)-N('Исходные данные'!$B$56)/12),IF('Исходные данные'!$B$53="Пользовательская база",MAX(0,N('Исходные данные'!$B$57)/12),0)))</f>
        <v>0</v>
      </c>
      <c r="AN246">
        <f>IF(D246=1,-AM246*N('Исходные данные'!$B$50),0)</f>
        <v>0</v>
      </c>
      <c r="AO246">
        <f t="shared" si="130"/>
        <v>0</v>
      </c>
      <c r="AP246">
        <f>IF(OR(D246&lt;&gt;1,B246="",'Исходные данные'!$B$91="",N('Исходные данные'!$B$80)&lt;=0,'Исходные данные'!$B$88=""),0,IF(AND(YEAR(B246)=YEAR('Исходные данные'!$B$91),MONTH(B246)=MONTH('Исходные данные'!$B$91)),MAX(0,IF('Исходные данные'!$B$88="Последние 12 месяцев",SUMIFS($AI$2:$AI$194,$B$2:$B$194,"&gt;="&amp;EDATE(B246,-11),$B$2:$B$194,"&lt;="&amp;B246),IF('Исходные данные'!$B$88="Пользовательский NOI",N('Исходные данные'!$B$89),AO246))/N('Исходные данные'!$B$80)*(1+N('Исходные данные'!$B$81))),0))</f>
        <v>0</v>
      </c>
      <c r="AQ246">
        <f>-AP246*N('Исходные данные'!$B$73)</f>
        <v>0</v>
      </c>
      <c r="AR246">
        <f>IF(AP246=0,0,-N('Исходные данные'!$B$87)-IF('Исходные данные'!$B$82="Да",IF('Исходные данные'!$B$84="С выручки",AP246,IF('Исходные данные'!$B$84="С прибыли",MAX(0,AP246+AQ246-IF('Исходные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46">
        <f t="shared" si="143"/>
        <v>0</v>
      </c>
      <c r="AT246">
        <f>IF(D246=1,Расчёты!AZ246+AH246+AK246+AN246+AS246,0)</f>
        <v>0</v>
      </c>
      <c r="AU246" t="str">
        <f t="shared" si="131"/>
        <v/>
      </c>
      <c r="AV246">
        <f>IF(OR(D246=0,'Исходные данные'!$B$9="",'Исходные данные'!$B$90=""),0,AT246/(1+'Исходные данные'!$B$90)^((C246-'Исходные данные'!$B$9)/365))</f>
        <v>0</v>
      </c>
      <c r="AW246">
        <f>IF(D246=1,AH246+Расчёты!O246+Расчёты!Q246+Расчёты!S246+Расчёты!U246+Расчёты!W246+Расчёты!X246+AK246+AN246,0)</f>
        <v>0</v>
      </c>
      <c r="AX246">
        <f>IF(AND(D246=1,AU246&gt;=0,AU245&lt;0,MIN($AU$2:AU246)&lt;0),1,0)</f>
        <v>0</v>
      </c>
      <c r="AY246">
        <f>IF(Расчёты!F246=0,0,IF(Расчёты!G246=1,N('Сценарный анализ'!$D$5),IF(Расчёты!G246=2,N('Сценарный анализ'!$D$6),IF(Расчёты!G246=3,N('Сценарный анализ'!$D$7),N('Сценарный анализ'!$D$7)*(1+N('Сценарный анализ'!$D$8))^(Расчёты!G246-3)))))</f>
        <v>0</v>
      </c>
      <c r="AZ246">
        <f>IF(OR(Расчёты!F246=0,N('Исходные данные'!$B$5)=0,AY246=0),0,N('Исходные данные'!$B$5)*AY246*IF(AND(B246&lt;='Исходные данные'!$B$30,Расчёты!C246&gt;='Исходные данные'!$B$30),(Расчёты!C246-'Исходные данные'!$B$30+1)/DAY(Расчёты!C246),1))</f>
        <v>0</v>
      </c>
      <c r="BA246">
        <f>IF(AND(Расчёты!F246&gt;0,Расчёты!F246&lt;=N('Исходные данные'!$B$37)),-AZ246,0)</f>
        <v>0</v>
      </c>
      <c r="BB246">
        <f>IF(OR(Расчёты!F246=0,Расчёты!F246&lt;=N('Исходные данные'!$B$37)),0,-(AZ246+BA246)*N('Сценарный анализ'!$D$9))</f>
        <v>0</v>
      </c>
      <c r="BC246">
        <f t="shared" si="144"/>
        <v>0</v>
      </c>
      <c r="BD246">
        <f>IF('Исходные данные'!$B$51="Да",BC246*N('Исходные данные'!$B$52),0)</f>
        <v>0</v>
      </c>
      <c r="BE246">
        <f t="shared" si="145"/>
        <v>0</v>
      </c>
      <c r="BF246">
        <f>BC246+(Расчёты!Y246-Расчёты!L246)</f>
        <v>0</v>
      </c>
      <c r="BG246">
        <f t="shared" si="132"/>
        <v>0</v>
      </c>
      <c r="BH246">
        <f>IF('Исходные данные'!$B$51="Да",-MAX(0,BD246+Расчёты!R246+Расчёты!V246-Расчёты!P246-Расчёты!T246-BG246),0)</f>
        <v>0</v>
      </c>
      <c r="BI246">
        <f>IF('Исходные данные'!$B$51="Да",MAX(0,BG246+Расчёты!P246+Расчёты!T246-BD246-Расчёты!R246-Расчёты!V246),0)</f>
        <v>0</v>
      </c>
      <c r="BJ246">
        <f>IF('Исходные данные'!$B$53="Выручка",MAX(0,BC246+(Расчёты!Q246-Расчёты!R246)+(Расчёты!U246-Расчёты!V246)),IF('Исходные данные'!$B$53="Прибыль до налога",MAX(0,BC246+(Расчёты!Q246-Расчёты!R246)+(Расчёты!U246-Расчёты!V246)+N('Исходные данные'!$B$54)*((Расчёты!O246+Расчёты!P246)+(Расчёты!S246+Расчёты!T246)+Расчёты!W246+Расчёты!X246)+IF('Исходные данные'!$B$55="Да",Расчёты!AG246,0)-N('Исходные данные'!$B$56)/12),IF('Исходные данные'!$B$53="Пользовательская база",MAX(0,N('Исходные данные'!$B$57)/12),0)))</f>
        <v>0</v>
      </c>
      <c r="BK246">
        <f>IF(D246=1,-BJ246*N('Исходные данные'!$B$50),0)</f>
        <v>0</v>
      </c>
      <c r="BL246">
        <f t="shared" si="133"/>
        <v>0</v>
      </c>
      <c r="BM246">
        <f>IF(OR(D246&lt;&gt;1,B246="",'Исходные данные'!$B$91="",N('Исходные данные'!$B$80)&lt;=0,'Исходные данные'!$B$88=""),0,IF(AND(YEAR(B246)=YEAR('Исходные данные'!$B$91),MONTH(B246)=MONTH('Исходные данные'!$B$91)),MAX(0,IF('Исходные данные'!$B$88="Последние 12 месяцев",SUMIFS($BF$2:$BF$194,$B$2:$B$194,"&gt;="&amp;EDATE(B246,-11),$B$2:$B$194,"&lt;="&amp;B246),IF('Исходные данные'!$B$88="Пользовательский NOI",N('Исходные данные'!$B$89),BL246))/N('Исходные данные'!$B$80)*(1+N('Исходные данные'!$B$81))),0))</f>
        <v>0</v>
      </c>
      <c r="BN246">
        <f>-BM246*N('Исходные данные'!$B$73)</f>
        <v>0</v>
      </c>
      <c r="BO246">
        <f>IF(BM246=0,0,-N('Исходные данные'!$B$87)-IF('Исходные данные'!$B$82="Да",IF('Исходные данные'!$B$84="С выручки",BM246,IF('Исходные данные'!$B$84="С прибыли",MAX(0,BM246+BN246-IF('Исходные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46">
        <f t="shared" si="146"/>
        <v>0</v>
      </c>
      <c r="BQ246">
        <f>IF(D246=1,Расчёты!AZ246+BE246+BH246+BK246+BP246,0)</f>
        <v>0</v>
      </c>
      <c r="BR246" t="str">
        <f t="shared" si="134"/>
        <v/>
      </c>
      <c r="BS246">
        <f>IF(OR(D246=0,'Исходные данные'!$B$9="",'Исходные данные'!$B$90=""),0,BQ246/(1+'Исходные данные'!$B$90)^((C246-'Исходные данные'!$B$9)/365))</f>
        <v>0</v>
      </c>
      <c r="BT246">
        <f>IF(D246=1,BE246+Расчёты!O246+Расчёты!Q246+Расчёты!S246+Расчёты!U246+Расчёты!W246+Расчёты!X246+BH246+BK246,0)</f>
        <v>0</v>
      </c>
      <c r="BU246">
        <f>IF(AND(D246=1,BR246&gt;=0,BR245&lt;0,MIN($BR$2:BR246)&lt;0),1,0)</f>
        <v>0</v>
      </c>
      <c r="BV246">
        <f>Расчёты!AZ246+K246+N246-P246*N('Исходные данные'!$B$50)</f>
        <v>0</v>
      </c>
      <c r="BW246">
        <f t="shared" si="135"/>
        <v>0</v>
      </c>
      <c r="BX246">
        <f>IF(AND(BW246&gt;=0,BW245&lt;0,MIN($BW$2:BW246)&lt;0),1,0)</f>
        <v>0</v>
      </c>
      <c r="BY246">
        <f>Расчёты!AZ246+AH246+AK246-AM246*N('Исходные данные'!$B$50)</f>
        <v>0</v>
      </c>
      <c r="BZ246">
        <f t="shared" si="136"/>
        <v>0</v>
      </c>
      <c r="CA246">
        <f>IF(AND(BZ246&gt;=0,BZ245&lt;0,MIN($BZ$2:BZ246)&lt;0),1,0)</f>
        <v>0</v>
      </c>
      <c r="CB246">
        <f>Расчёты!AZ246+BE246+BH246-BJ246*N('Исходные данные'!$B$50)</f>
        <v>0</v>
      </c>
      <c r="CC246">
        <f t="shared" si="137"/>
        <v>0</v>
      </c>
      <c r="CD246">
        <f>IF(AND(CC246&gt;=0,CC245&lt;0,MIN($CC$2:CC246)&lt;0),1,0)</f>
        <v>0</v>
      </c>
    </row>
    <row r="247" spans="1:82" x14ac:dyDescent="0.2">
      <c r="A247">
        <f>Расчёты!A247</f>
        <v>246</v>
      </c>
      <c r="B247" t="str">
        <f>Расчёты!B247</f>
        <v/>
      </c>
      <c r="C247" t="str">
        <f>Расчёты!D247</f>
        <v/>
      </c>
      <c r="D247">
        <f>Расчёты!E247</f>
        <v>0</v>
      </c>
      <c r="E247">
        <f>IF(Расчёты!F247=0,0,IF(Расчёты!G247=1,N('Сценарный анализ'!$B$5),IF(Расчёты!G247=2,N('Сценарный анализ'!$B$6),IF(Расчёты!G247=3,N('Сценарный анализ'!$B$7),N('Сценарный анализ'!$B$7)*(1+N('Сценарный анализ'!$B$8))^(Расчёты!G247-3)))))</f>
        <v>0</v>
      </c>
      <c r="F247">
        <f>IF(OR(Расчёты!F247=0,N('Исходные данные'!$B$5)=0,E247=0),0,N('Исходные данные'!$B$5)*E247*IF(AND(B247&lt;='Исходные данные'!$B$30,Расчёты!C247&gt;='Исходные данные'!$B$30),(Расчёты!C247-'Исходные данные'!$B$30+1)/DAY(Расчёты!C247),1))</f>
        <v>0</v>
      </c>
      <c r="G247">
        <f>IF(AND(Расчёты!F247&gt;0,Расчёты!F247&lt;=N('Исходные данные'!$B$37)),-F247,0)</f>
        <v>0</v>
      </c>
      <c r="H247">
        <f>IF(OR(Расчёты!F247=0,Расчёты!F247&lt;=N('Исходные данные'!$B$37)),0,-(F247+G247)*N('Сценарный анализ'!$B$9))</f>
        <v>0</v>
      </c>
      <c r="I247">
        <f t="shared" si="138"/>
        <v>0</v>
      </c>
      <c r="J247">
        <f>IF('Исходные данные'!$B$51="Да",I247*N('Исходные данные'!$B$52),0)</f>
        <v>0</v>
      </c>
      <c r="K247">
        <f t="shared" si="139"/>
        <v>0</v>
      </c>
      <c r="L247">
        <f>I247+(Расчёты!Y247-Расчёты!L247)</f>
        <v>0</v>
      </c>
      <c r="M247">
        <f t="shared" si="126"/>
        <v>0</v>
      </c>
      <c r="N247">
        <f>IF('Исходные данные'!$B$51="Да",-MAX(0,J247+Расчёты!R247+Расчёты!V247-Расчёты!P247-Расчёты!T247-M247),0)</f>
        <v>0</v>
      </c>
      <c r="O247">
        <f>IF('Исходные данные'!$B$51="Да",MAX(0,M247+Расчёты!P247+Расчёты!T247-J247-Расчёты!R247-Расчёты!V247),0)</f>
        <v>0</v>
      </c>
      <c r="P247">
        <f>IF('Исходные данные'!$B$53="Выручка",MAX(0,I247+(Расчёты!Q247-Расчёты!R247)+(Расчёты!U247-Расчёты!V247)),IF('Исходные данные'!$B$53="Прибыль до налога",MAX(0,I247+(Расчёты!Q247-Расчёты!R247)+(Расчёты!U247-Расчёты!V247)+N('Исходные данные'!$B$54)*((Расчёты!O247+Расчёты!P247)+(Расчёты!S247+Расчёты!T247)+Расчёты!W247+Расчёты!X247)+IF('Исходные данные'!$B$55="Да",Расчёты!AG247,0)-N('Исходные данные'!$B$56)/12),IF('Исходные данные'!$B$53="Пользовательская база",MAX(0,N('Исходные данные'!$B$57)/12),0)))</f>
        <v>0</v>
      </c>
      <c r="Q247">
        <f>IF(D247=1,-P247*N('Исходные данные'!$B$50),0)</f>
        <v>0</v>
      </c>
      <c r="R247">
        <f t="shared" si="127"/>
        <v>0</v>
      </c>
      <c r="S247">
        <f>IF(OR(D247&lt;&gt;1,B247="",'Исходные данные'!$B$91="",N('Исходные данные'!$B$80)&lt;=0,'Исходные данные'!$B$88=""),0,IF(AND(YEAR(B247)=YEAR('Исходные данные'!$B$91),MONTH(B247)=MONTH('Исходные данные'!$B$91)),MAX(0,IF('Исходные данные'!$B$88="Последние 12 месяцев",SUMIFS($L$2:$L$194,$B$2:$B$194,"&gt;="&amp;EDATE(B247,-11),$B$2:$B$194,"&lt;="&amp;B247),IF('Исходные данные'!$B$88="Пользовательский NOI",N('Исходные данные'!$B$89),R247))/N('Исходные данные'!$B$80)*(1+N('Исходные данные'!$B$81))),0))</f>
        <v>0</v>
      </c>
      <c r="T247">
        <f>-S247*N('Исходные данные'!$B$73)</f>
        <v>0</v>
      </c>
      <c r="U247">
        <f>IF(S247=0,0,-N('Исходные данные'!$B$87)-IF('Исходные данные'!$B$82="Да",IF('Исходные данные'!$B$84="С выручки",S247,IF('Исходные данные'!$B$84="С прибыли",MAX(0,S247+T247-IF('Исходные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47">
        <f t="shared" si="140"/>
        <v>0</v>
      </c>
      <c r="W247">
        <f>IF(D247=1,Расчёты!AZ247+K247+N247+Q247+V247,0)</f>
        <v>0</v>
      </c>
      <c r="X247" t="str">
        <f t="shared" si="128"/>
        <v/>
      </c>
      <c r="Y247">
        <f>IF(OR(D247=0,'Исходные данные'!$B$9="",'Исходные данные'!$B$90=""),0,W247/(1+'Исходные данные'!$B$90)^((C247-'Исходные данные'!$B$9)/365))</f>
        <v>0</v>
      </c>
      <c r="Z247">
        <f>IF(D247=1,K247+Расчёты!O247+Расчёты!Q247+Расчёты!S247+Расчёты!U247+Расчёты!W247+Расчёты!X247+N247+Q247,0)</f>
        <v>0</v>
      </c>
      <c r="AA247">
        <f>IF(AND(D247=1,X247&gt;=0,X246&lt;0,MIN($X$2:X247)&lt;0),1,0)</f>
        <v>0</v>
      </c>
      <c r="AB247">
        <f>IF(Расчёты!F247=0,0,IF(Расчёты!G247=1,N('Сценарный анализ'!$C$5),IF(Расчёты!G247=2,N('Сценарный анализ'!$C$6),IF(Расчёты!G247=3,N('Сценарный анализ'!$C$7),N('Сценарный анализ'!$C$7)*(1+N('Сценарный анализ'!$C$8))^(Расчёты!G247-3)))))</f>
        <v>0</v>
      </c>
      <c r="AC247">
        <f>IF(OR(Расчёты!F247=0,N('Исходные данные'!$B$5)=0,AB247=0),0,N('Исходные данные'!$B$5)*AB247*IF(AND(B247&lt;='Исходные данные'!$B$30,Расчёты!C247&gt;='Исходные данные'!$B$30),(Расчёты!C247-'Исходные данные'!$B$30+1)/DAY(Расчёты!C247),1))</f>
        <v>0</v>
      </c>
      <c r="AD247">
        <f>IF(AND(Расчёты!F247&gt;0,Расчёты!F247&lt;=N('Исходные данные'!$B$37)),-AC247,0)</f>
        <v>0</v>
      </c>
      <c r="AE247">
        <f>IF(OR(Расчёты!F247=0,Расчёты!F247&lt;=N('Исходные данные'!$B$37)),0,-(AC247+AD247)*N('Сценарный анализ'!$C$9))</f>
        <v>0</v>
      </c>
      <c r="AF247">
        <f t="shared" si="141"/>
        <v>0</v>
      </c>
      <c r="AG247">
        <f>IF('Исходные данные'!$B$51="Да",AF247*N('Исходные данные'!$B$52),0)</f>
        <v>0</v>
      </c>
      <c r="AH247">
        <f t="shared" si="142"/>
        <v>0</v>
      </c>
      <c r="AI247">
        <f>AF247+(Расчёты!Y247-Расчёты!L247)</f>
        <v>0</v>
      </c>
      <c r="AJ247">
        <f t="shared" si="129"/>
        <v>0</v>
      </c>
      <c r="AK247">
        <f>IF('Исходные данные'!$B$51="Да",-MAX(0,AG247+Расчёты!R247+Расчёты!V247-Расчёты!P247-Расчёты!T247-AJ247),0)</f>
        <v>0</v>
      </c>
      <c r="AL247">
        <f>IF('Исходные данные'!$B$51="Да",MAX(0,AJ247+Расчёты!P247+Расчёты!T247-AG247-Расчёты!R247-Расчёты!V247),0)</f>
        <v>0</v>
      </c>
      <c r="AM247">
        <f>IF('Исходные данные'!$B$53="Выручка",MAX(0,AF247+(Расчёты!Q247-Расчёты!R247)+(Расчёты!U247-Расчёты!V247)),IF('Исходные данные'!$B$53="Прибыль до налога",MAX(0,AF247+(Расчёты!Q247-Расчёты!R247)+(Расчёты!U247-Расчёты!V247)+N('Исходные данные'!$B$54)*((Расчёты!O247+Расчёты!P247)+(Расчёты!S247+Расчёты!T247)+Расчёты!W247+Расчёты!X247)+IF('Исходные данные'!$B$55="Да",Расчёты!AG247,0)-N('Исходные данные'!$B$56)/12),IF('Исходные данные'!$B$53="Пользовательская база",MAX(0,N('Исходные данные'!$B$57)/12),0)))</f>
        <v>0</v>
      </c>
      <c r="AN247">
        <f>IF(D247=1,-AM247*N('Исходные данные'!$B$50),0)</f>
        <v>0</v>
      </c>
      <c r="AO247">
        <f t="shared" si="130"/>
        <v>0</v>
      </c>
      <c r="AP247">
        <f>IF(OR(D247&lt;&gt;1,B247="",'Исходные данные'!$B$91="",N('Исходные данные'!$B$80)&lt;=0,'Исходные данные'!$B$88=""),0,IF(AND(YEAR(B247)=YEAR('Исходные данные'!$B$91),MONTH(B247)=MONTH('Исходные данные'!$B$91)),MAX(0,IF('Исходные данные'!$B$88="Последние 12 месяцев",SUMIFS($AI$2:$AI$194,$B$2:$B$194,"&gt;="&amp;EDATE(B247,-11),$B$2:$B$194,"&lt;="&amp;B247),IF('Исходные данные'!$B$88="Пользовательский NOI",N('Исходные данные'!$B$89),AO247))/N('Исходные данные'!$B$80)*(1+N('Исходные данные'!$B$81))),0))</f>
        <v>0</v>
      </c>
      <c r="AQ247">
        <f>-AP247*N('Исходные данные'!$B$73)</f>
        <v>0</v>
      </c>
      <c r="AR247">
        <f>IF(AP247=0,0,-N('Исходные данные'!$B$87)-IF('Исходные данные'!$B$82="Да",IF('Исходные данные'!$B$84="С выручки",AP247,IF('Исходные данные'!$B$84="С прибыли",MAX(0,AP247+AQ247-IF('Исходные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47">
        <f t="shared" si="143"/>
        <v>0</v>
      </c>
      <c r="AT247">
        <f>IF(D247=1,Расчёты!AZ247+AH247+AK247+AN247+AS247,0)</f>
        <v>0</v>
      </c>
      <c r="AU247" t="str">
        <f t="shared" si="131"/>
        <v/>
      </c>
      <c r="AV247">
        <f>IF(OR(D247=0,'Исходные данные'!$B$9="",'Исходные данные'!$B$90=""),0,AT247/(1+'Исходные данные'!$B$90)^((C247-'Исходные данные'!$B$9)/365))</f>
        <v>0</v>
      </c>
      <c r="AW247">
        <f>IF(D247=1,AH247+Расчёты!O247+Расчёты!Q247+Расчёты!S247+Расчёты!U247+Расчёты!W247+Расчёты!X247+AK247+AN247,0)</f>
        <v>0</v>
      </c>
      <c r="AX247">
        <f>IF(AND(D247=1,AU247&gt;=0,AU246&lt;0,MIN($AU$2:AU247)&lt;0),1,0)</f>
        <v>0</v>
      </c>
      <c r="AY247">
        <f>IF(Расчёты!F247=0,0,IF(Расчёты!G247=1,N('Сценарный анализ'!$D$5),IF(Расчёты!G247=2,N('Сценарный анализ'!$D$6),IF(Расчёты!G247=3,N('Сценарный анализ'!$D$7),N('Сценарный анализ'!$D$7)*(1+N('Сценарный анализ'!$D$8))^(Расчёты!G247-3)))))</f>
        <v>0</v>
      </c>
      <c r="AZ247">
        <f>IF(OR(Расчёты!F247=0,N('Исходные данные'!$B$5)=0,AY247=0),0,N('Исходные данные'!$B$5)*AY247*IF(AND(B247&lt;='Исходные данные'!$B$30,Расчёты!C247&gt;='Исходные данные'!$B$30),(Расчёты!C247-'Исходные данные'!$B$30+1)/DAY(Расчёты!C247),1))</f>
        <v>0</v>
      </c>
      <c r="BA247">
        <f>IF(AND(Расчёты!F247&gt;0,Расчёты!F247&lt;=N('Исходные данные'!$B$37)),-AZ247,0)</f>
        <v>0</v>
      </c>
      <c r="BB247">
        <f>IF(OR(Расчёты!F247=0,Расчёты!F247&lt;=N('Исходные данные'!$B$37)),0,-(AZ247+BA247)*N('Сценарный анализ'!$D$9))</f>
        <v>0</v>
      </c>
      <c r="BC247">
        <f t="shared" si="144"/>
        <v>0</v>
      </c>
      <c r="BD247">
        <f>IF('Исходные данные'!$B$51="Да",BC247*N('Исходные данные'!$B$52),0)</f>
        <v>0</v>
      </c>
      <c r="BE247">
        <f t="shared" si="145"/>
        <v>0</v>
      </c>
      <c r="BF247">
        <f>BC247+(Расчёты!Y247-Расчёты!L247)</f>
        <v>0</v>
      </c>
      <c r="BG247">
        <f t="shared" si="132"/>
        <v>0</v>
      </c>
      <c r="BH247">
        <f>IF('Исходные данные'!$B$51="Да",-MAX(0,BD247+Расчёты!R247+Расчёты!V247-Расчёты!P247-Расчёты!T247-BG247),0)</f>
        <v>0</v>
      </c>
      <c r="BI247">
        <f>IF('Исходные данные'!$B$51="Да",MAX(0,BG247+Расчёты!P247+Расчёты!T247-BD247-Расчёты!R247-Расчёты!V247),0)</f>
        <v>0</v>
      </c>
      <c r="BJ247">
        <f>IF('Исходные данные'!$B$53="Выручка",MAX(0,BC247+(Расчёты!Q247-Расчёты!R247)+(Расчёты!U247-Расчёты!V247)),IF('Исходные данные'!$B$53="Прибыль до налога",MAX(0,BC247+(Расчёты!Q247-Расчёты!R247)+(Расчёты!U247-Расчёты!V247)+N('Исходные данные'!$B$54)*((Расчёты!O247+Расчёты!P247)+(Расчёты!S247+Расчёты!T247)+Расчёты!W247+Расчёты!X247)+IF('Исходные данные'!$B$55="Да",Расчёты!AG247,0)-N('Исходные данные'!$B$56)/12),IF('Исходные данные'!$B$53="Пользовательская база",MAX(0,N('Исходные данные'!$B$57)/12),0)))</f>
        <v>0</v>
      </c>
      <c r="BK247">
        <f>IF(D247=1,-BJ247*N('Исходные данные'!$B$50),0)</f>
        <v>0</v>
      </c>
      <c r="BL247">
        <f t="shared" si="133"/>
        <v>0</v>
      </c>
      <c r="BM247">
        <f>IF(OR(D247&lt;&gt;1,B247="",'Исходные данные'!$B$91="",N('Исходные данные'!$B$80)&lt;=0,'Исходные данные'!$B$88=""),0,IF(AND(YEAR(B247)=YEAR('Исходные данные'!$B$91),MONTH(B247)=MONTH('Исходные данные'!$B$91)),MAX(0,IF('Исходные данные'!$B$88="Последние 12 месяцев",SUMIFS($BF$2:$BF$194,$B$2:$B$194,"&gt;="&amp;EDATE(B247,-11),$B$2:$B$194,"&lt;="&amp;B247),IF('Исходные данные'!$B$88="Пользовательский NOI",N('Исходные данные'!$B$89),BL247))/N('Исходные данные'!$B$80)*(1+N('Исходные данные'!$B$81))),0))</f>
        <v>0</v>
      </c>
      <c r="BN247">
        <f>-BM247*N('Исходные данные'!$B$73)</f>
        <v>0</v>
      </c>
      <c r="BO247">
        <f>IF(BM247=0,0,-N('Исходные данные'!$B$87)-IF('Исходные данные'!$B$82="Да",IF('Исходные данные'!$B$84="С выручки",BM247,IF('Исходные данные'!$B$84="С прибыли",MAX(0,BM247+BN247-IF('Исходные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47">
        <f t="shared" si="146"/>
        <v>0</v>
      </c>
      <c r="BQ247">
        <f>IF(D247=1,Расчёты!AZ247+BE247+BH247+BK247+BP247,0)</f>
        <v>0</v>
      </c>
      <c r="BR247" t="str">
        <f t="shared" si="134"/>
        <v/>
      </c>
      <c r="BS247">
        <f>IF(OR(D247=0,'Исходные данные'!$B$9="",'Исходные данные'!$B$90=""),0,BQ247/(1+'Исходные данные'!$B$90)^((C247-'Исходные данные'!$B$9)/365))</f>
        <v>0</v>
      </c>
      <c r="BT247">
        <f>IF(D247=1,BE247+Расчёты!O247+Расчёты!Q247+Расчёты!S247+Расчёты!U247+Расчёты!W247+Расчёты!X247+BH247+BK247,0)</f>
        <v>0</v>
      </c>
      <c r="BU247">
        <f>IF(AND(D247=1,BR247&gt;=0,BR246&lt;0,MIN($BR$2:BR247)&lt;0),1,0)</f>
        <v>0</v>
      </c>
      <c r="BV247">
        <f>Расчёты!AZ247+K247+N247-P247*N('Исходные данные'!$B$50)</f>
        <v>0</v>
      </c>
      <c r="BW247">
        <f t="shared" si="135"/>
        <v>0</v>
      </c>
      <c r="BX247">
        <f>IF(AND(BW247&gt;=0,BW246&lt;0,MIN($BW$2:BW247)&lt;0),1,0)</f>
        <v>0</v>
      </c>
      <c r="BY247">
        <f>Расчёты!AZ247+AH247+AK247-AM247*N('Исходные данные'!$B$50)</f>
        <v>0</v>
      </c>
      <c r="BZ247">
        <f t="shared" si="136"/>
        <v>0</v>
      </c>
      <c r="CA247">
        <f>IF(AND(BZ247&gt;=0,BZ246&lt;0,MIN($BZ$2:BZ247)&lt;0),1,0)</f>
        <v>0</v>
      </c>
      <c r="CB247">
        <f>Расчёты!AZ247+BE247+BH247-BJ247*N('Исходные данные'!$B$50)</f>
        <v>0</v>
      </c>
      <c r="CC247">
        <f t="shared" si="137"/>
        <v>0</v>
      </c>
      <c r="CD247">
        <f>IF(AND(CC247&gt;=0,CC246&lt;0,MIN($CC$2:CC247)&lt;0),1,0)</f>
        <v>0</v>
      </c>
    </row>
    <row r="248" spans="1:82" x14ac:dyDescent="0.2">
      <c r="A248">
        <f>Расчёты!A248</f>
        <v>247</v>
      </c>
      <c r="B248" t="str">
        <f>Расчёты!B248</f>
        <v/>
      </c>
      <c r="C248" t="str">
        <f>Расчёты!D248</f>
        <v/>
      </c>
      <c r="D248">
        <f>Расчёты!E248</f>
        <v>0</v>
      </c>
      <c r="E248">
        <f>IF(Расчёты!F248=0,0,IF(Расчёты!G248=1,N('Сценарный анализ'!$B$5),IF(Расчёты!G248=2,N('Сценарный анализ'!$B$6),IF(Расчёты!G248=3,N('Сценарный анализ'!$B$7),N('Сценарный анализ'!$B$7)*(1+N('Сценарный анализ'!$B$8))^(Расчёты!G248-3)))))</f>
        <v>0</v>
      </c>
      <c r="F248">
        <f>IF(OR(Расчёты!F248=0,N('Исходные данные'!$B$5)=0,E248=0),0,N('Исходные данные'!$B$5)*E248*IF(AND(B248&lt;='Исходные данные'!$B$30,Расчёты!C248&gt;='Исходные данные'!$B$30),(Расчёты!C248-'Исходные данные'!$B$30+1)/DAY(Расчёты!C248),1))</f>
        <v>0</v>
      </c>
      <c r="G248">
        <f>IF(AND(Расчёты!F248&gt;0,Расчёты!F248&lt;=N('Исходные данные'!$B$37)),-F248,0)</f>
        <v>0</v>
      </c>
      <c r="H248">
        <f>IF(OR(Расчёты!F248=0,Расчёты!F248&lt;=N('Исходные данные'!$B$37)),0,-(F248+G248)*N('Сценарный анализ'!$B$9))</f>
        <v>0</v>
      </c>
      <c r="I248">
        <f t="shared" si="138"/>
        <v>0</v>
      </c>
      <c r="J248">
        <f>IF('Исходные данные'!$B$51="Да",I248*N('Исходные данные'!$B$52),0)</f>
        <v>0</v>
      </c>
      <c r="K248">
        <f t="shared" si="139"/>
        <v>0</v>
      </c>
      <c r="L248">
        <f>I248+(Расчёты!Y248-Расчёты!L248)</f>
        <v>0</v>
      </c>
      <c r="M248">
        <f t="shared" si="126"/>
        <v>0</v>
      </c>
      <c r="N248">
        <f>IF('Исходные данные'!$B$51="Да",-MAX(0,J248+Расчёты!R248+Расчёты!V248-Расчёты!P248-Расчёты!T248-M248),0)</f>
        <v>0</v>
      </c>
      <c r="O248">
        <f>IF('Исходные данные'!$B$51="Да",MAX(0,M248+Расчёты!P248+Расчёты!T248-J248-Расчёты!R248-Расчёты!V248),0)</f>
        <v>0</v>
      </c>
      <c r="P248">
        <f>IF('Исходные данные'!$B$53="Выручка",MAX(0,I248+(Расчёты!Q248-Расчёты!R248)+(Расчёты!U248-Расчёты!V248)),IF('Исходные данные'!$B$53="Прибыль до налога",MAX(0,I248+(Расчёты!Q248-Расчёты!R248)+(Расчёты!U248-Расчёты!V248)+N('Исходные данные'!$B$54)*((Расчёты!O248+Расчёты!P248)+(Расчёты!S248+Расчёты!T248)+Расчёты!W248+Расчёты!X248)+IF('Исходные данные'!$B$55="Да",Расчёты!AG248,0)-N('Исходные данные'!$B$56)/12),IF('Исходные данные'!$B$53="Пользовательская база",MAX(0,N('Исходные данные'!$B$57)/12),0)))</f>
        <v>0</v>
      </c>
      <c r="Q248">
        <f>IF(D248=1,-P248*N('Исходные данные'!$B$50),0)</f>
        <v>0</v>
      </c>
      <c r="R248">
        <f t="shared" si="127"/>
        <v>0</v>
      </c>
      <c r="S248">
        <f>IF(OR(D248&lt;&gt;1,B248="",'Исходные данные'!$B$91="",N('Исходные данные'!$B$80)&lt;=0,'Исходные данные'!$B$88=""),0,IF(AND(YEAR(B248)=YEAR('Исходные данные'!$B$91),MONTH(B248)=MONTH('Исходные данные'!$B$91)),MAX(0,IF('Исходные данные'!$B$88="Последние 12 месяцев",SUMIFS($L$2:$L$194,$B$2:$B$194,"&gt;="&amp;EDATE(B248,-11),$B$2:$B$194,"&lt;="&amp;B248),IF('Исходные данные'!$B$88="Пользовательский NOI",N('Исходные данные'!$B$89),R248))/N('Исходные данные'!$B$80)*(1+N('Исходные данные'!$B$81))),0))</f>
        <v>0</v>
      </c>
      <c r="T248">
        <f>-S248*N('Исходные данные'!$B$73)</f>
        <v>0</v>
      </c>
      <c r="U248">
        <f>IF(S248=0,0,-N('Исходные данные'!$B$87)-IF('Исходные данные'!$B$82="Да",IF('Исходные данные'!$B$84="С выручки",S248,IF('Исходные данные'!$B$84="С прибыли",MAX(0,S248+T248-IF('Исходные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48">
        <f t="shared" si="140"/>
        <v>0</v>
      </c>
      <c r="W248">
        <f>IF(D248=1,Расчёты!AZ248+K248+N248+Q248+V248,0)</f>
        <v>0</v>
      </c>
      <c r="X248" t="str">
        <f t="shared" si="128"/>
        <v/>
      </c>
      <c r="Y248">
        <f>IF(OR(D248=0,'Исходные данные'!$B$9="",'Исходные данные'!$B$90=""),0,W248/(1+'Исходные данные'!$B$90)^((C248-'Исходные данные'!$B$9)/365))</f>
        <v>0</v>
      </c>
      <c r="Z248">
        <f>IF(D248=1,K248+Расчёты!O248+Расчёты!Q248+Расчёты!S248+Расчёты!U248+Расчёты!W248+Расчёты!X248+N248+Q248,0)</f>
        <v>0</v>
      </c>
      <c r="AA248">
        <f>IF(AND(D248=1,X248&gt;=0,X247&lt;0,MIN($X$2:X248)&lt;0),1,0)</f>
        <v>0</v>
      </c>
      <c r="AB248">
        <f>IF(Расчёты!F248=0,0,IF(Расчёты!G248=1,N('Сценарный анализ'!$C$5),IF(Расчёты!G248=2,N('Сценарный анализ'!$C$6),IF(Расчёты!G248=3,N('Сценарный анализ'!$C$7),N('Сценарный анализ'!$C$7)*(1+N('Сценарный анализ'!$C$8))^(Расчёты!G248-3)))))</f>
        <v>0</v>
      </c>
      <c r="AC248">
        <f>IF(OR(Расчёты!F248=0,N('Исходные данные'!$B$5)=0,AB248=0),0,N('Исходные данные'!$B$5)*AB248*IF(AND(B248&lt;='Исходные данные'!$B$30,Расчёты!C248&gt;='Исходные данные'!$B$30),(Расчёты!C248-'Исходные данные'!$B$30+1)/DAY(Расчёты!C248),1))</f>
        <v>0</v>
      </c>
      <c r="AD248">
        <f>IF(AND(Расчёты!F248&gt;0,Расчёты!F248&lt;=N('Исходные данные'!$B$37)),-AC248,0)</f>
        <v>0</v>
      </c>
      <c r="AE248">
        <f>IF(OR(Расчёты!F248=0,Расчёты!F248&lt;=N('Исходные данные'!$B$37)),0,-(AC248+AD248)*N('Сценарный анализ'!$C$9))</f>
        <v>0</v>
      </c>
      <c r="AF248">
        <f t="shared" si="141"/>
        <v>0</v>
      </c>
      <c r="AG248">
        <f>IF('Исходные данные'!$B$51="Да",AF248*N('Исходные данные'!$B$52),0)</f>
        <v>0</v>
      </c>
      <c r="AH248">
        <f t="shared" si="142"/>
        <v>0</v>
      </c>
      <c r="AI248">
        <f>AF248+(Расчёты!Y248-Расчёты!L248)</f>
        <v>0</v>
      </c>
      <c r="AJ248">
        <f t="shared" si="129"/>
        <v>0</v>
      </c>
      <c r="AK248">
        <f>IF('Исходные данные'!$B$51="Да",-MAX(0,AG248+Расчёты!R248+Расчёты!V248-Расчёты!P248-Расчёты!T248-AJ248),0)</f>
        <v>0</v>
      </c>
      <c r="AL248">
        <f>IF('Исходные данные'!$B$51="Да",MAX(0,AJ248+Расчёты!P248+Расчёты!T248-AG248-Расчёты!R248-Расчёты!V248),0)</f>
        <v>0</v>
      </c>
      <c r="AM248">
        <f>IF('Исходные данные'!$B$53="Выручка",MAX(0,AF248+(Расчёты!Q248-Расчёты!R248)+(Расчёты!U248-Расчёты!V248)),IF('Исходные данные'!$B$53="Прибыль до налога",MAX(0,AF248+(Расчёты!Q248-Расчёты!R248)+(Расчёты!U248-Расчёты!V248)+N('Исходные данные'!$B$54)*((Расчёты!O248+Расчёты!P248)+(Расчёты!S248+Расчёты!T248)+Расчёты!W248+Расчёты!X248)+IF('Исходные данные'!$B$55="Да",Расчёты!AG248,0)-N('Исходные данные'!$B$56)/12),IF('Исходные данные'!$B$53="Пользовательская база",MAX(0,N('Исходные данные'!$B$57)/12),0)))</f>
        <v>0</v>
      </c>
      <c r="AN248">
        <f>IF(D248=1,-AM248*N('Исходные данные'!$B$50),0)</f>
        <v>0</v>
      </c>
      <c r="AO248">
        <f t="shared" si="130"/>
        <v>0</v>
      </c>
      <c r="AP248">
        <f>IF(OR(D248&lt;&gt;1,B248="",'Исходные данные'!$B$91="",N('Исходные данные'!$B$80)&lt;=0,'Исходные данные'!$B$88=""),0,IF(AND(YEAR(B248)=YEAR('Исходные данные'!$B$91),MONTH(B248)=MONTH('Исходные данные'!$B$91)),MAX(0,IF('Исходные данные'!$B$88="Последние 12 месяцев",SUMIFS($AI$2:$AI$194,$B$2:$B$194,"&gt;="&amp;EDATE(B248,-11),$B$2:$B$194,"&lt;="&amp;B248),IF('Исходные данные'!$B$88="Пользовательский NOI",N('Исходные данные'!$B$89),AO248))/N('Исходные данные'!$B$80)*(1+N('Исходные данные'!$B$81))),0))</f>
        <v>0</v>
      </c>
      <c r="AQ248">
        <f>-AP248*N('Исходные данные'!$B$73)</f>
        <v>0</v>
      </c>
      <c r="AR248">
        <f>IF(AP248=0,0,-N('Исходные данные'!$B$87)-IF('Исходные данные'!$B$82="Да",IF('Исходные данные'!$B$84="С выручки",AP248,IF('Исходные данные'!$B$84="С прибыли",MAX(0,AP248+AQ248-IF('Исходные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48">
        <f t="shared" si="143"/>
        <v>0</v>
      </c>
      <c r="AT248">
        <f>IF(D248=1,Расчёты!AZ248+AH248+AK248+AN248+AS248,0)</f>
        <v>0</v>
      </c>
      <c r="AU248" t="str">
        <f t="shared" si="131"/>
        <v/>
      </c>
      <c r="AV248">
        <f>IF(OR(D248=0,'Исходные данные'!$B$9="",'Исходные данные'!$B$90=""),0,AT248/(1+'Исходные данные'!$B$90)^((C248-'Исходные данные'!$B$9)/365))</f>
        <v>0</v>
      </c>
      <c r="AW248">
        <f>IF(D248=1,AH248+Расчёты!O248+Расчёты!Q248+Расчёты!S248+Расчёты!U248+Расчёты!W248+Расчёты!X248+AK248+AN248,0)</f>
        <v>0</v>
      </c>
      <c r="AX248">
        <f>IF(AND(D248=1,AU248&gt;=0,AU247&lt;0,MIN($AU$2:AU248)&lt;0),1,0)</f>
        <v>0</v>
      </c>
      <c r="AY248">
        <f>IF(Расчёты!F248=0,0,IF(Расчёты!G248=1,N('Сценарный анализ'!$D$5),IF(Расчёты!G248=2,N('Сценарный анализ'!$D$6),IF(Расчёты!G248=3,N('Сценарный анализ'!$D$7),N('Сценарный анализ'!$D$7)*(1+N('Сценарный анализ'!$D$8))^(Расчёты!G248-3)))))</f>
        <v>0</v>
      </c>
      <c r="AZ248">
        <f>IF(OR(Расчёты!F248=0,N('Исходные данные'!$B$5)=0,AY248=0),0,N('Исходные данные'!$B$5)*AY248*IF(AND(B248&lt;='Исходные данные'!$B$30,Расчёты!C248&gt;='Исходные данные'!$B$30),(Расчёты!C248-'Исходные данные'!$B$30+1)/DAY(Расчёты!C248),1))</f>
        <v>0</v>
      </c>
      <c r="BA248">
        <f>IF(AND(Расчёты!F248&gt;0,Расчёты!F248&lt;=N('Исходные данные'!$B$37)),-AZ248,0)</f>
        <v>0</v>
      </c>
      <c r="BB248">
        <f>IF(OR(Расчёты!F248=0,Расчёты!F248&lt;=N('Исходные данные'!$B$37)),0,-(AZ248+BA248)*N('Сценарный анализ'!$D$9))</f>
        <v>0</v>
      </c>
      <c r="BC248">
        <f t="shared" si="144"/>
        <v>0</v>
      </c>
      <c r="BD248">
        <f>IF('Исходные данные'!$B$51="Да",BC248*N('Исходные данные'!$B$52),0)</f>
        <v>0</v>
      </c>
      <c r="BE248">
        <f t="shared" si="145"/>
        <v>0</v>
      </c>
      <c r="BF248">
        <f>BC248+(Расчёты!Y248-Расчёты!L248)</f>
        <v>0</v>
      </c>
      <c r="BG248">
        <f t="shared" si="132"/>
        <v>0</v>
      </c>
      <c r="BH248">
        <f>IF('Исходные данные'!$B$51="Да",-MAX(0,BD248+Расчёты!R248+Расчёты!V248-Расчёты!P248-Расчёты!T248-BG248),0)</f>
        <v>0</v>
      </c>
      <c r="BI248">
        <f>IF('Исходные данные'!$B$51="Да",MAX(0,BG248+Расчёты!P248+Расчёты!T248-BD248-Расчёты!R248-Расчёты!V248),0)</f>
        <v>0</v>
      </c>
      <c r="BJ248">
        <f>IF('Исходные данные'!$B$53="Выручка",MAX(0,BC248+(Расчёты!Q248-Расчёты!R248)+(Расчёты!U248-Расчёты!V248)),IF('Исходные данные'!$B$53="Прибыль до налога",MAX(0,BC248+(Расчёты!Q248-Расчёты!R248)+(Расчёты!U248-Расчёты!V248)+N('Исходные данные'!$B$54)*((Расчёты!O248+Расчёты!P248)+(Расчёты!S248+Расчёты!T248)+Расчёты!W248+Расчёты!X248)+IF('Исходные данные'!$B$55="Да",Расчёты!AG248,0)-N('Исходные данные'!$B$56)/12),IF('Исходные данные'!$B$53="Пользовательская база",MAX(0,N('Исходные данные'!$B$57)/12),0)))</f>
        <v>0</v>
      </c>
      <c r="BK248">
        <f>IF(D248=1,-BJ248*N('Исходные данные'!$B$50),0)</f>
        <v>0</v>
      </c>
      <c r="BL248">
        <f t="shared" si="133"/>
        <v>0</v>
      </c>
      <c r="BM248">
        <f>IF(OR(D248&lt;&gt;1,B248="",'Исходные данные'!$B$91="",N('Исходные данные'!$B$80)&lt;=0,'Исходные данные'!$B$88=""),0,IF(AND(YEAR(B248)=YEAR('Исходные данные'!$B$91),MONTH(B248)=MONTH('Исходные данные'!$B$91)),MAX(0,IF('Исходные данные'!$B$88="Последние 12 месяцев",SUMIFS($BF$2:$BF$194,$B$2:$B$194,"&gt;="&amp;EDATE(B248,-11),$B$2:$B$194,"&lt;="&amp;B248),IF('Исходные данные'!$B$88="Пользовательский NOI",N('Исходные данные'!$B$89),BL248))/N('Исходные данные'!$B$80)*(1+N('Исходные данные'!$B$81))),0))</f>
        <v>0</v>
      </c>
      <c r="BN248">
        <f>-BM248*N('Исходные данные'!$B$73)</f>
        <v>0</v>
      </c>
      <c r="BO248">
        <f>IF(BM248=0,0,-N('Исходные данные'!$B$87)-IF('Исходные данные'!$B$82="Да",IF('Исходные данные'!$B$84="С выручки",BM248,IF('Исходные данные'!$B$84="С прибыли",MAX(0,BM248+BN248-IF('Исходные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48">
        <f t="shared" si="146"/>
        <v>0</v>
      </c>
      <c r="BQ248">
        <f>IF(D248=1,Расчёты!AZ248+BE248+BH248+BK248+BP248,0)</f>
        <v>0</v>
      </c>
      <c r="BR248" t="str">
        <f t="shared" si="134"/>
        <v/>
      </c>
      <c r="BS248">
        <f>IF(OR(D248=0,'Исходные данные'!$B$9="",'Исходные данные'!$B$90=""),0,BQ248/(1+'Исходные данные'!$B$90)^((C248-'Исходные данные'!$B$9)/365))</f>
        <v>0</v>
      </c>
      <c r="BT248">
        <f>IF(D248=1,BE248+Расчёты!O248+Расчёты!Q248+Расчёты!S248+Расчёты!U248+Расчёты!W248+Расчёты!X248+BH248+BK248,0)</f>
        <v>0</v>
      </c>
      <c r="BU248">
        <f>IF(AND(D248=1,BR248&gt;=0,BR247&lt;0,MIN($BR$2:BR248)&lt;0),1,0)</f>
        <v>0</v>
      </c>
      <c r="BV248">
        <f>Расчёты!AZ248+K248+N248-P248*N('Исходные данные'!$B$50)</f>
        <v>0</v>
      </c>
      <c r="BW248">
        <f t="shared" si="135"/>
        <v>0</v>
      </c>
      <c r="BX248">
        <f>IF(AND(BW248&gt;=0,BW247&lt;0,MIN($BW$2:BW248)&lt;0),1,0)</f>
        <v>0</v>
      </c>
      <c r="BY248">
        <f>Расчёты!AZ248+AH248+AK248-AM248*N('Исходные данные'!$B$50)</f>
        <v>0</v>
      </c>
      <c r="BZ248">
        <f t="shared" si="136"/>
        <v>0</v>
      </c>
      <c r="CA248">
        <f>IF(AND(BZ248&gt;=0,BZ247&lt;0,MIN($BZ$2:BZ248)&lt;0),1,0)</f>
        <v>0</v>
      </c>
      <c r="CB248">
        <f>Расчёты!AZ248+BE248+BH248-BJ248*N('Исходные данные'!$B$50)</f>
        <v>0</v>
      </c>
      <c r="CC248">
        <f t="shared" si="137"/>
        <v>0</v>
      </c>
      <c r="CD248">
        <f>IF(AND(CC248&gt;=0,CC247&lt;0,MIN($CC$2:CC248)&lt;0),1,0)</f>
        <v>0</v>
      </c>
    </row>
    <row r="249" spans="1:82" x14ac:dyDescent="0.2">
      <c r="A249">
        <f>Расчёты!A249</f>
        <v>248</v>
      </c>
      <c r="B249" t="str">
        <f>Расчёты!B249</f>
        <v/>
      </c>
      <c r="C249" t="str">
        <f>Расчёты!D249</f>
        <v/>
      </c>
      <c r="D249">
        <f>Расчёты!E249</f>
        <v>0</v>
      </c>
      <c r="E249">
        <f>IF(Расчёты!F249=0,0,IF(Расчёты!G249=1,N('Сценарный анализ'!$B$5),IF(Расчёты!G249=2,N('Сценарный анализ'!$B$6),IF(Расчёты!G249=3,N('Сценарный анализ'!$B$7),N('Сценарный анализ'!$B$7)*(1+N('Сценарный анализ'!$B$8))^(Расчёты!G249-3)))))</f>
        <v>0</v>
      </c>
      <c r="F249">
        <f>IF(OR(Расчёты!F249=0,N('Исходные данные'!$B$5)=0,E249=0),0,N('Исходные данные'!$B$5)*E249*IF(AND(B249&lt;='Исходные данные'!$B$30,Расчёты!C249&gt;='Исходные данные'!$B$30),(Расчёты!C249-'Исходные данные'!$B$30+1)/DAY(Расчёты!C249),1))</f>
        <v>0</v>
      </c>
      <c r="G249">
        <f>IF(AND(Расчёты!F249&gt;0,Расчёты!F249&lt;=N('Исходные данные'!$B$37)),-F249,0)</f>
        <v>0</v>
      </c>
      <c r="H249">
        <f>IF(OR(Расчёты!F249=0,Расчёты!F249&lt;=N('Исходные данные'!$B$37)),0,-(F249+G249)*N('Сценарный анализ'!$B$9))</f>
        <v>0</v>
      </c>
      <c r="I249">
        <f t="shared" si="138"/>
        <v>0</v>
      </c>
      <c r="J249">
        <f>IF('Исходные данные'!$B$51="Да",I249*N('Исходные данные'!$B$52),0)</f>
        <v>0</v>
      </c>
      <c r="K249">
        <f t="shared" si="139"/>
        <v>0</v>
      </c>
      <c r="L249">
        <f>I249+(Расчёты!Y249-Расчёты!L249)</f>
        <v>0</v>
      </c>
      <c r="M249">
        <f t="shared" si="126"/>
        <v>0</v>
      </c>
      <c r="N249">
        <f>IF('Исходные данные'!$B$51="Да",-MAX(0,J249+Расчёты!R249+Расчёты!V249-Расчёты!P249-Расчёты!T249-M249),0)</f>
        <v>0</v>
      </c>
      <c r="O249">
        <f>IF('Исходные данные'!$B$51="Да",MAX(0,M249+Расчёты!P249+Расчёты!T249-J249-Расчёты!R249-Расчёты!V249),0)</f>
        <v>0</v>
      </c>
      <c r="P249">
        <f>IF('Исходные данные'!$B$53="Выручка",MAX(0,I249+(Расчёты!Q249-Расчёты!R249)+(Расчёты!U249-Расчёты!V249)),IF('Исходные данные'!$B$53="Прибыль до налога",MAX(0,I249+(Расчёты!Q249-Расчёты!R249)+(Расчёты!U249-Расчёты!V249)+N('Исходные данные'!$B$54)*((Расчёты!O249+Расчёты!P249)+(Расчёты!S249+Расчёты!T249)+Расчёты!W249+Расчёты!X249)+IF('Исходные данные'!$B$55="Да",Расчёты!AG249,0)-N('Исходные данные'!$B$56)/12),IF('Исходные данные'!$B$53="Пользовательская база",MAX(0,N('Исходные данные'!$B$57)/12),0)))</f>
        <v>0</v>
      </c>
      <c r="Q249">
        <f>IF(D249=1,-P249*N('Исходные данные'!$B$50),0)</f>
        <v>0</v>
      </c>
      <c r="R249">
        <f t="shared" si="127"/>
        <v>0</v>
      </c>
      <c r="S249">
        <f>IF(OR(D249&lt;&gt;1,B249="",'Исходные данные'!$B$91="",N('Исходные данные'!$B$80)&lt;=0,'Исходные данные'!$B$88=""),0,IF(AND(YEAR(B249)=YEAR('Исходные данные'!$B$91),MONTH(B249)=MONTH('Исходные данные'!$B$91)),MAX(0,IF('Исходные данные'!$B$88="Последние 12 месяцев",SUMIFS($L$2:$L$194,$B$2:$B$194,"&gt;="&amp;EDATE(B249,-11),$B$2:$B$194,"&lt;="&amp;B249),IF('Исходные данные'!$B$88="Пользовательский NOI",N('Исходные данные'!$B$89),R249))/N('Исходные данные'!$B$80)*(1+N('Исходные данные'!$B$81))),0))</f>
        <v>0</v>
      </c>
      <c r="T249">
        <f>-S249*N('Исходные данные'!$B$73)</f>
        <v>0</v>
      </c>
      <c r="U249">
        <f>IF(S249=0,0,-N('Исходные данные'!$B$87)-IF('Исходные данные'!$B$82="Да",IF('Исходные данные'!$B$84="С выручки",S249,IF('Исходные данные'!$B$84="С прибыли",MAX(0,S249+T249-IF('Исходные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49">
        <f t="shared" si="140"/>
        <v>0</v>
      </c>
      <c r="W249">
        <f>IF(D249=1,Расчёты!AZ249+K249+N249+Q249+V249,0)</f>
        <v>0</v>
      </c>
      <c r="X249" t="str">
        <f t="shared" si="128"/>
        <v/>
      </c>
      <c r="Y249">
        <f>IF(OR(D249=0,'Исходные данные'!$B$9="",'Исходные данные'!$B$90=""),0,W249/(1+'Исходные данные'!$B$90)^((C249-'Исходные данные'!$B$9)/365))</f>
        <v>0</v>
      </c>
      <c r="Z249">
        <f>IF(D249=1,K249+Расчёты!O249+Расчёты!Q249+Расчёты!S249+Расчёты!U249+Расчёты!W249+Расчёты!X249+N249+Q249,0)</f>
        <v>0</v>
      </c>
      <c r="AA249">
        <f>IF(AND(D249=1,X249&gt;=0,X248&lt;0,MIN($X$2:X249)&lt;0),1,0)</f>
        <v>0</v>
      </c>
      <c r="AB249">
        <f>IF(Расчёты!F249=0,0,IF(Расчёты!G249=1,N('Сценарный анализ'!$C$5),IF(Расчёты!G249=2,N('Сценарный анализ'!$C$6),IF(Расчёты!G249=3,N('Сценарный анализ'!$C$7),N('Сценарный анализ'!$C$7)*(1+N('Сценарный анализ'!$C$8))^(Расчёты!G249-3)))))</f>
        <v>0</v>
      </c>
      <c r="AC249">
        <f>IF(OR(Расчёты!F249=0,N('Исходные данные'!$B$5)=0,AB249=0),0,N('Исходные данные'!$B$5)*AB249*IF(AND(B249&lt;='Исходные данные'!$B$30,Расчёты!C249&gt;='Исходные данные'!$B$30),(Расчёты!C249-'Исходные данные'!$B$30+1)/DAY(Расчёты!C249),1))</f>
        <v>0</v>
      </c>
      <c r="AD249">
        <f>IF(AND(Расчёты!F249&gt;0,Расчёты!F249&lt;=N('Исходные данные'!$B$37)),-AC249,0)</f>
        <v>0</v>
      </c>
      <c r="AE249">
        <f>IF(OR(Расчёты!F249=0,Расчёты!F249&lt;=N('Исходные данные'!$B$37)),0,-(AC249+AD249)*N('Сценарный анализ'!$C$9))</f>
        <v>0</v>
      </c>
      <c r="AF249">
        <f t="shared" si="141"/>
        <v>0</v>
      </c>
      <c r="AG249">
        <f>IF('Исходные данные'!$B$51="Да",AF249*N('Исходные данные'!$B$52),0)</f>
        <v>0</v>
      </c>
      <c r="AH249">
        <f t="shared" si="142"/>
        <v>0</v>
      </c>
      <c r="AI249">
        <f>AF249+(Расчёты!Y249-Расчёты!L249)</f>
        <v>0</v>
      </c>
      <c r="AJ249">
        <f t="shared" si="129"/>
        <v>0</v>
      </c>
      <c r="AK249">
        <f>IF('Исходные данные'!$B$51="Да",-MAX(0,AG249+Расчёты!R249+Расчёты!V249-Расчёты!P249-Расчёты!T249-AJ249),0)</f>
        <v>0</v>
      </c>
      <c r="AL249">
        <f>IF('Исходные данные'!$B$51="Да",MAX(0,AJ249+Расчёты!P249+Расчёты!T249-AG249-Расчёты!R249-Расчёты!V249),0)</f>
        <v>0</v>
      </c>
      <c r="AM249">
        <f>IF('Исходные данные'!$B$53="Выручка",MAX(0,AF249+(Расчёты!Q249-Расчёты!R249)+(Расчёты!U249-Расчёты!V249)),IF('Исходные данные'!$B$53="Прибыль до налога",MAX(0,AF249+(Расчёты!Q249-Расчёты!R249)+(Расчёты!U249-Расчёты!V249)+N('Исходные данные'!$B$54)*((Расчёты!O249+Расчёты!P249)+(Расчёты!S249+Расчёты!T249)+Расчёты!W249+Расчёты!X249)+IF('Исходные данные'!$B$55="Да",Расчёты!AG249,0)-N('Исходные данные'!$B$56)/12),IF('Исходные данные'!$B$53="Пользовательская база",MAX(0,N('Исходные данные'!$B$57)/12),0)))</f>
        <v>0</v>
      </c>
      <c r="AN249">
        <f>IF(D249=1,-AM249*N('Исходные данные'!$B$50),0)</f>
        <v>0</v>
      </c>
      <c r="AO249">
        <f t="shared" si="130"/>
        <v>0</v>
      </c>
      <c r="AP249">
        <f>IF(OR(D249&lt;&gt;1,B249="",'Исходные данные'!$B$91="",N('Исходные данные'!$B$80)&lt;=0,'Исходные данные'!$B$88=""),0,IF(AND(YEAR(B249)=YEAR('Исходные данные'!$B$91),MONTH(B249)=MONTH('Исходные данные'!$B$91)),MAX(0,IF('Исходные данные'!$B$88="Последние 12 месяцев",SUMIFS($AI$2:$AI$194,$B$2:$B$194,"&gt;="&amp;EDATE(B249,-11),$B$2:$B$194,"&lt;="&amp;B249),IF('Исходные данные'!$B$88="Пользовательский NOI",N('Исходные данные'!$B$89),AO249))/N('Исходные данные'!$B$80)*(1+N('Исходные данные'!$B$81))),0))</f>
        <v>0</v>
      </c>
      <c r="AQ249">
        <f>-AP249*N('Исходные данные'!$B$73)</f>
        <v>0</v>
      </c>
      <c r="AR249">
        <f>IF(AP249=0,0,-N('Исходные данные'!$B$87)-IF('Исходные данные'!$B$82="Да",IF('Исходные данные'!$B$84="С выручки",AP249,IF('Исходные данные'!$B$84="С прибыли",MAX(0,AP249+AQ249-IF('Исходные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49">
        <f t="shared" si="143"/>
        <v>0</v>
      </c>
      <c r="AT249">
        <f>IF(D249=1,Расчёты!AZ249+AH249+AK249+AN249+AS249,0)</f>
        <v>0</v>
      </c>
      <c r="AU249" t="str">
        <f t="shared" si="131"/>
        <v/>
      </c>
      <c r="AV249">
        <f>IF(OR(D249=0,'Исходные данные'!$B$9="",'Исходные данные'!$B$90=""),0,AT249/(1+'Исходные данные'!$B$90)^((C249-'Исходные данные'!$B$9)/365))</f>
        <v>0</v>
      </c>
      <c r="AW249">
        <f>IF(D249=1,AH249+Расчёты!O249+Расчёты!Q249+Расчёты!S249+Расчёты!U249+Расчёты!W249+Расчёты!X249+AK249+AN249,0)</f>
        <v>0</v>
      </c>
      <c r="AX249">
        <f>IF(AND(D249=1,AU249&gt;=0,AU248&lt;0,MIN($AU$2:AU249)&lt;0),1,0)</f>
        <v>0</v>
      </c>
      <c r="AY249">
        <f>IF(Расчёты!F249=0,0,IF(Расчёты!G249=1,N('Сценарный анализ'!$D$5),IF(Расчёты!G249=2,N('Сценарный анализ'!$D$6),IF(Расчёты!G249=3,N('Сценарный анализ'!$D$7),N('Сценарный анализ'!$D$7)*(1+N('Сценарный анализ'!$D$8))^(Расчёты!G249-3)))))</f>
        <v>0</v>
      </c>
      <c r="AZ249">
        <f>IF(OR(Расчёты!F249=0,N('Исходные данные'!$B$5)=0,AY249=0),0,N('Исходные данные'!$B$5)*AY249*IF(AND(B249&lt;='Исходные данные'!$B$30,Расчёты!C249&gt;='Исходные данные'!$B$30),(Расчёты!C249-'Исходные данные'!$B$30+1)/DAY(Расчёты!C249),1))</f>
        <v>0</v>
      </c>
      <c r="BA249">
        <f>IF(AND(Расчёты!F249&gt;0,Расчёты!F249&lt;=N('Исходные данные'!$B$37)),-AZ249,0)</f>
        <v>0</v>
      </c>
      <c r="BB249">
        <f>IF(OR(Расчёты!F249=0,Расчёты!F249&lt;=N('Исходные данные'!$B$37)),0,-(AZ249+BA249)*N('Сценарный анализ'!$D$9))</f>
        <v>0</v>
      </c>
      <c r="BC249">
        <f t="shared" si="144"/>
        <v>0</v>
      </c>
      <c r="BD249">
        <f>IF('Исходные данные'!$B$51="Да",BC249*N('Исходные данные'!$B$52),0)</f>
        <v>0</v>
      </c>
      <c r="BE249">
        <f t="shared" si="145"/>
        <v>0</v>
      </c>
      <c r="BF249">
        <f>BC249+(Расчёты!Y249-Расчёты!L249)</f>
        <v>0</v>
      </c>
      <c r="BG249">
        <f t="shared" si="132"/>
        <v>0</v>
      </c>
      <c r="BH249">
        <f>IF('Исходные данные'!$B$51="Да",-MAX(0,BD249+Расчёты!R249+Расчёты!V249-Расчёты!P249-Расчёты!T249-BG249),0)</f>
        <v>0</v>
      </c>
      <c r="BI249">
        <f>IF('Исходные данные'!$B$51="Да",MAX(0,BG249+Расчёты!P249+Расчёты!T249-BD249-Расчёты!R249-Расчёты!V249),0)</f>
        <v>0</v>
      </c>
      <c r="BJ249">
        <f>IF('Исходные данные'!$B$53="Выручка",MAX(0,BC249+(Расчёты!Q249-Расчёты!R249)+(Расчёты!U249-Расчёты!V249)),IF('Исходные данные'!$B$53="Прибыль до налога",MAX(0,BC249+(Расчёты!Q249-Расчёты!R249)+(Расчёты!U249-Расчёты!V249)+N('Исходные данные'!$B$54)*((Расчёты!O249+Расчёты!P249)+(Расчёты!S249+Расчёты!T249)+Расчёты!W249+Расчёты!X249)+IF('Исходные данные'!$B$55="Да",Расчёты!AG249,0)-N('Исходные данные'!$B$56)/12),IF('Исходные данные'!$B$53="Пользовательская база",MAX(0,N('Исходные данные'!$B$57)/12),0)))</f>
        <v>0</v>
      </c>
      <c r="BK249">
        <f>IF(D249=1,-BJ249*N('Исходные данные'!$B$50),0)</f>
        <v>0</v>
      </c>
      <c r="BL249">
        <f t="shared" si="133"/>
        <v>0</v>
      </c>
      <c r="BM249">
        <f>IF(OR(D249&lt;&gt;1,B249="",'Исходные данные'!$B$91="",N('Исходные данные'!$B$80)&lt;=0,'Исходные данные'!$B$88=""),0,IF(AND(YEAR(B249)=YEAR('Исходные данные'!$B$91),MONTH(B249)=MONTH('Исходные данные'!$B$91)),MAX(0,IF('Исходные данные'!$B$88="Последние 12 месяцев",SUMIFS($BF$2:$BF$194,$B$2:$B$194,"&gt;="&amp;EDATE(B249,-11),$B$2:$B$194,"&lt;="&amp;B249),IF('Исходные данные'!$B$88="Пользовательский NOI",N('Исходные данные'!$B$89),BL249))/N('Исходные данные'!$B$80)*(1+N('Исходные данные'!$B$81))),0))</f>
        <v>0</v>
      </c>
      <c r="BN249">
        <f>-BM249*N('Исходные данные'!$B$73)</f>
        <v>0</v>
      </c>
      <c r="BO249">
        <f>IF(BM249=0,0,-N('Исходные данные'!$B$87)-IF('Исходные данные'!$B$82="Да",IF('Исходные данные'!$B$84="С выручки",BM249,IF('Исходные данные'!$B$84="С прибыли",MAX(0,BM249+BN249-IF('Исходные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49">
        <f t="shared" si="146"/>
        <v>0</v>
      </c>
      <c r="BQ249">
        <f>IF(D249=1,Расчёты!AZ249+BE249+BH249+BK249+BP249,0)</f>
        <v>0</v>
      </c>
      <c r="BR249" t="str">
        <f t="shared" si="134"/>
        <v/>
      </c>
      <c r="BS249">
        <f>IF(OR(D249=0,'Исходные данные'!$B$9="",'Исходные данные'!$B$90=""),0,BQ249/(1+'Исходные данные'!$B$90)^((C249-'Исходные данные'!$B$9)/365))</f>
        <v>0</v>
      </c>
      <c r="BT249">
        <f>IF(D249=1,BE249+Расчёты!O249+Расчёты!Q249+Расчёты!S249+Расчёты!U249+Расчёты!W249+Расчёты!X249+BH249+BK249,0)</f>
        <v>0</v>
      </c>
      <c r="BU249">
        <f>IF(AND(D249=1,BR249&gt;=0,BR248&lt;0,MIN($BR$2:BR249)&lt;0),1,0)</f>
        <v>0</v>
      </c>
      <c r="BV249">
        <f>Расчёты!AZ249+K249+N249-P249*N('Исходные данные'!$B$50)</f>
        <v>0</v>
      </c>
      <c r="BW249">
        <f t="shared" si="135"/>
        <v>0</v>
      </c>
      <c r="BX249">
        <f>IF(AND(BW249&gt;=0,BW248&lt;0,MIN($BW$2:BW249)&lt;0),1,0)</f>
        <v>0</v>
      </c>
      <c r="BY249">
        <f>Расчёты!AZ249+AH249+AK249-AM249*N('Исходные данные'!$B$50)</f>
        <v>0</v>
      </c>
      <c r="BZ249">
        <f t="shared" si="136"/>
        <v>0</v>
      </c>
      <c r="CA249">
        <f>IF(AND(BZ249&gt;=0,BZ248&lt;0,MIN($BZ$2:BZ249)&lt;0),1,0)</f>
        <v>0</v>
      </c>
      <c r="CB249">
        <f>Расчёты!AZ249+BE249+BH249-BJ249*N('Исходные данные'!$B$50)</f>
        <v>0</v>
      </c>
      <c r="CC249">
        <f t="shared" si="137"/>
        <v>0</v>
      </c>
      <c r="CD249">
        <f>IF(AND(CC249&gt;=0,CC248&lt;0,MIN($CC$2:CC249)&lt;0),1,0)</f>
        <v>0</v>
      </c>
    </row>
    <row r="250" spans="1:82" x14ac:dyDescent="0.2">
      <c r="A250">
        <f>Расчёты!A250</f>
        <v>249</v>
      </c>
      <c r="B250" t="str">
        <f>Расчёты!B250</f>
        <v/>
      </c>
      <c r="C250" t="str">
        <f>Расчёты!D250</f>
        <v/>
      </c>
      <c r="D250">
        <f>Расчёты!E250</f>
        <v>0</v>
      </c>
      <c r="E250">
        <f>IF(Расчёты!F250=0,0,IF(Расчёты!G250=1,N('Сценарный анализ'!$B$5),IF(Расчёты!G250=2,N('Сценарный анализ'!$B$6),IF(Расчёты!G250=3,N('Сценарный анализ'!$B$7),N('Сценарный анализ'!$B$7)*(1+N('Сценарный анализ'!$B$8))^(Расчёты!G250-3)))))</f>
        <v>0</v>
      </c>
      <c r="F250">
        <f>IF(OR(Расчёты!F250=0,N('Исходные данные'!$B$5)=0,E250=0),0,N('Исходные данные'!$B$5)*E250*IF(AND(B250&lt;='Исходные данные'!$B$30,Расчёты!C250&gt;='Исходные данные'!$B$30),(Расчёты!C250-'Исходные данные'!$B$30+1)/DAY(Расчёты!C250),1))</f>
        <v>0</v>
      </c>
      <c r="G250">
        <f>IF(AND(Расчёты!F250&gt;0,Расчёты!F250&lt;=N('Исходные данные'!$B$37)),-F250,0)</f>
        <v>0</v>
      </c>
      <c r="H250">
        <f>IF(OR(Расчёты!F250=0,Расчёты!F250&lt;=N('Исходные данные'!$B$37)),0,-(F250+G250)*N('Сценарный анализ'!$B$9))</f>
        <v>0</v>
      </c>
      <c r="I250">
        <f t="shared" si="138"/>
        <v>0</v>
      </c>
      <c r="J250">
        <f>IF('Исходные данные'!$B$51="Да",I250*N('Исходные данные'!$B$52),0)</f>
        <v>0</v>
      </c>
      <c r="K250">
        <f t="shared" si="139"/>
        <v>0</v>
      </c>
      <c r="L250">
        <f>I250+(Расчёты!Y250-Расчёты!L250)</f>
        <v>0</v>
      </c>
      <c r="M250">
        <f t="shared" si="126"/>
        <v>0</v>
      </c>
      <c r="N250">
        <f>IF('Исходные данные'!$B$51="Да",-MAX(0,J250+Расчёты!R250+Расчёты!V250-Расчёты!P250-Расчёты!T250-M250),0)</f>
        <v>0</v>
      </c>
      <c r="O250">
        <f>IF('Исходные данные'!$B$51="Да",MAX(0,M250+Расчёты!P250+Расчёты!T250-J250-Расчёты!R250-Расчёты!V250),0)</f>
        <v>0</v>
      </c>
      <c r="P250">
        <f>IF('Исходные данные'!$B$53="Выручка",MAX(0,I250+(Расчёты!Q250-Расчёты!R250)+(Расчёты!U250-Расчёты!V250)),IF('Исходные данные'!$B$53="Прибыль до налога",MAX(0,I250+(Расчёты!Q250-Расчёты!R250)+(Расчёты!U250-Расчёты!V250)+N('Исходные данные'!$B$54)*((Расчёты!O250+Расчёты!P250)+(Расчёты!S250+Расчёты!T250)+Расчёты!W250+Расчёты!X250)+IF('Исходные данные'!$B$55="Да",Расчёты!AG250,0)-N('Исходные данные'!$B$56)/12),IF('Исходные данные'!$B$53="Пользовательская база",MAX(0,N('Исходные данные'!$B$57)/12),0)))</f>
        <v>0</v>
      </c>
      <c r="Q250">
        <f>IF(D250=1,-P250*N('Исходные данные'!$B$50),0)</f>
        <v>0</v>
      </c>
      <c r="R250">
        <f t="shared" si="127"/>
        <v>0</v>
      </c>
      <c r="S250">
        <f>IF(OR(D250&lt;&gt;1,B250="",'Исходные данные'!$B$91="",N('Исходные данные'!$B$80)&lt;=0,'Исходные данные'!$B$88=""),0,IF(AND(YEAR(B250)=YEAR('Исходные данные'!$B$91),MONTH(B250)=MONTH('Исходные данные'!$B$91)),MAX(0,IF('Исходные данные'!$B$88="Последние 12 месяцев",SUMIFS($L$2:$L$194,$B$2:$B$194,"&gt;="&amp;EDATE(B250,-11),$B$2:$B$194,"&lt;="&amp;B250),IF('Исходные данные'!$B$88="Пользовательский NOI",N('Исходные данные'!$B$89),R250))/N('Исходные данные'!$B$80)*(1+N('Исходные данные'!$B$81))),0))</f>
        <v>0</v>
      </c>
      <c r="T250">
        <f>-S250*N('Исходные данные'!$B$73)</f>
        <v>0</v>
      </c>
      <c r="U250">
        <f>IF(S250=0,0,-N('Исходные данные'!$B$87)-IF('Исходные данные'!$B$82="Да",IF('Исходные данные'!$B$84="С выручки",S250,IF('Исходные данные'!$B$84="С прибыли",MAX(0,S250+T250-IF('Исходные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50">
        <f t="shared" si="140"/>
        <v>0</v>
      </c>
      <c r="W250">
        <f>IF(D250=1,Расчёты!AZ250+K250+N250+Q250+V250,0)</f>
        <v>0</v>
      </c>
      <c r="X250" t="str">
        <f t="shared" si="128"/>
        <v/>
      </c>
      <c r="Y250">
        <f>IF(OR(D250=0,'Исходные данные'!$B$9="",'Исходные данные'!$B$90=""),0,W250/(1+'Исходные данные'!$B$90)^((C250-'Исходные данные'!$B$9)/365))</f>
        <v>0</v>
      </c>
      <c r="Z250">
        <f>IF(D250=1,K250+Расчёты!O250+Расчёты!Q250+Расчёты!S250+Расчёты!U250+Расчёты!W250+Расчёты!X250+N250+Q250,0)</f>
        <v>0</v>
      </c>
      <c r="AA250">
        <f>IF(AND(D250=1,X250&gt;=0,X249&lt;0,MIN($X$2:X250)&lt;0),1,0)</f>
        <v>0</v>
      </c>
      <c r="AB250">
        <f>IF(Расчёты!F250=0,0,IF(Расчёты!G250=1,N('Сценарный анализ'!$C$5),IF(Расчёты!G250=2,N('Сценарный анализ'!$C$6),IF(Расчёты!G250=3,N('Сценарный анализ'!$C$7),N('Сценарный анализ'!$C$7)*(1+N('Сценарный анализ'!$C$8))^(Расчёты!G250-3)))))</f>
        <v>0</v>
      </c>
      <c r="AC250">
        <f>IF(OR(Расчёты!F250=0,N('Исходные данные'!$B$5)=0,AB250=0),0,N('Исходные данные'!$B$5)*AB250*IF(AND(B250&lt;='Исходные данные'!$B$30,Расчёты!C250&gt;='Исходные данные'!$B$30),(Расчёты!C250-'Исходные данные'!$B$30+1)/DAY(Расчёты!C250),1))</f>
        <v>0</v>
      </c>
      <c r="AD250">
        <f>IF(AND(Расчёты!F250&gt;0,Расчёты!F250&lt;=N('Исходные данные'!$B$37)),-AC250,0)</f>
        <v>0</v>
      </c>
      <c r="AE250">
        <f>IF(OR(Расчёты!F250=0,Расчёты!F250&lt;=N('Исходные данные'!$B$37)),0,-(AC250+AD250)*N('Сценарный анализ'!$C$9))</f>
        <v>0</v>
      </c>
      <c r="AF250">
        <f t="shared" si="141"/>
        <v>0</v>
      </c>
      <c r="AG250">
        <f>IF('Исходные данные'!$B$51="Да",AF250*N('Исходные данные'!$B$52),0)</f>
        <v>0</v>
      </c>
      <c r="AH250">
        <f t="shared" si="142"/>
        <v>0</v>
      </c>
      <c r="AI250">
        <f>AF250+(Расчёты!Y250-Расчёты!L250)</f>
        <v>0</v>
      </c>
      <c r="AJ250">
        <f t="shared" si="129"/>
        <v>0</v>
      </c>
      <c r="AK250">
        <f>IF('Исходные данные'!$B$51="Да",-MAX(0,AG250+Расчёты!R250+Расчёты!V250-Расчёты!P250-Расчёты!T250-AJ250),0)</f>
        <v>0</v>
      </c>
      <c r="AL250">
        <f>IF('Исходные данные'!$B$51="Да",MAX(0,AJ250+Расчёты!P250+Расчёты!T250-AG250-Расчёты!R250-Расчёты!V250),0)</f>
        <v>0</v>
      </c>
      <c r="AM250">
        <f>IF('Исходные данные'!$B$53="Выручка",MAX(0,AF250+(Расчёты!Q250-Расчёты!R250)+(Расчёты!U250-Расчёты!V250)),IF('Исходные данные'!$B$53="Прибыль до налога",MAX(0,AF250+(Расчёты!Q250-Расчёты!R250)+(Расчёты!U250-Расчёты!V250)+N('Исходные данные'!$B$54)*((Расчёты!O250+Расчёты!P250)+(Расчёты!S250+Расчёты!T250)+Расчёты!W250+Расчёты!X250)+IF('Исходные данные'!$B$55="Да",Расчёты!AG250,0)-N('Исходные данные'!$B$56)/12),IF('Исходные данные'!$B$53="Пользовательская база",MAX(0,N('Исходные данные'!$B$57)/12),0)))</f>
        <v>0</v>
      </c>
      <c r="AN250">
        <f>IF(D250=1,-AM250*N('Исходные данные'!$B$50),0)</f>
        <v>0</v>
      </c>
      <c r="AO250">
        <f t="shared" si="130"/>
        <v>0</v>
      </c>
      <c r="AP250">
        <f>IF(OR(D250&lt;&gt;1,B250="",'Исходные данные'!$B$91="",N('Исходные данные'!$B$80)&lt;=0,'Исходные данные'!$B$88=""),0,IF(AND(YEAR(B250)=YEAR('Исходные данные'!$B$91),MONTH(B250)=MONTH('Исходные данные'!$B$91)),MAX(0,IF('Исходные данные'!$B$88="Последние 12 месяцев",SUMIFS($AI$2:$AI$194,$B$2:$B$194,"&gt;="&amp;EDATE(B250,-11),$B$2:$B$194,"&lt;="&amp;B250),IF('Исходные данные'!$B$88="Пользовательский NOI",N('Исходные данные'!$B$89),AO250))/N('Исходные данные'!$B$80)*(1+N('Исходные данные'!$B$81))),0))</f>
        <v>0</v>
      </c>
      <c r="AQ250">
        <f>-AP250*N('Исходные данные'!$B$73)</f>
        <v>0</v>
      </c>
      <c r="AR250">
        <f>IF(AP250=0,0,-N('Исходные данные'!$B$87)-IF('Исходные данные'!$B$82="Да",IF('Исходные данные'!$B$84="С выручки",AP250,IF('Исходные данные'!$B$84="С прибыли",MAX(0,AP250+AQ250-IF('Исходные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50">
        <f t="shared" si="143"/>
        <v>0</v>
      </c>
      <c r="AT250">
        <f>IF(D250=1,Расчёты!AZ250+AH250+AK250+AN250+AS250,0)</f>
        <v>0</v>
      </c>
      <c r="AU250" t="str">
        <f t="shared" si="131"/>
        <v/>
      </c>
      <c r="AV250">
        <f>IF(OR(D250=0,'Исходные данные'!$B$9="",'Исходные данные'!$B$90=""),0,AT250/(1+'Исходные данные'!$B$90)^((C250-'Исходные данные'!$B$9)/365))</f>
        <v>0</v>
      </c>
      <c r="AW250">
        <f>IF(D250=1,AH250+Расчёты!O250+Расчёты!Q250+Расчёты!S250+Расчёты!U250+Расчёты!W250+Расчёты!X250+AK250+AN250,0)</f>
        <v>0</v>
      </c>
      <c r="AX250">
        <f>IF(AND(D250=1,AU250&gt;=0,AU249&lt;0,MIN($AU$2:AU250)&lt;0),1,0)</f>
        <v>0</v>
      </c>
      <c r="AY250">
        <f>IF(Расчёты!F250=0,0,IF(Расчёты!G250=1,N('Сценарный анализ'!$D$5),IF(Расчёты!G250=2,N('Сценарный анализ'!$D$6),IF(Расчёты!G250=3,N('Сценарный анализ'!$D$7),N('Сценарный анализ'!$D$7)*(1+N('Сценарный анализ'!$D$8))^(Расчёты!G250-3)))))</f>
        <v>0</v>
      </c>
      <c r="AZ250">
        <f>IF(OR(Расчёты!F250=0,N('Исходные данные'!$B$5)=0,AY250=0),0,N('Исходные данные'!$B$5)*AY250*IF(AND(B250&lt;='Исходные данные'!$B$30,Расчёты!C250&gt;='Исходные данные'!$B$30),(Расчёты!C250-'Исходные данные'!$B$30+1)/DAY(Расчёты!C250),1))</f>
        <v>0</v>
      </c>
      <c r="BA250">
        <f>IF(AND(Расчёты!F250&gt;0,Расчёты!F250&lt;=N('Исходные данные'!$B$37)),-AZ250,0)</f>
        <v>0</v>
      </c>
      <c r="BB250">
        <f>IF(OR(Расчёты!F250=0,Расчёты!F250&lt;=N('Исходные данные'!$B$37)),0,-(AZ250+BA250)*N('Сценарный анализ'!$D$9))</f>
        <v>0</v>
      </c>
      <c r="BC250">
        <f t="shared" si="144"/>
        <v>0</v>
      </c>
      <c r="BD250">
        <f>IF('Исходные данные'!$B$51="Да",BC250*N('Исходные данные'!$B$52),0)</f>
        <v>0</v>
      </c>
      <c r="BE250">
        <f t="shared" si="145"/>
        <v>0</v>
      </c>
      <c r="BF250">
        <f>BC250+(Расчёты!Y250-Расчёты!L250)</f>
        <v>0</v>
      </c>
      <c r="BG250">
        <f t="shared" si="132"/>
        <v>0</v>
      </c>
      <c r="BH250">
        <f>IF('Исходные данные'!$B$51="Да",-MAX(0,BD250+Расчёты!R250+Расчёты!V250-Расчёты!P250-Расчёты!T250-BG250),0)</f>
        <v>0</v>
      </c>
      <c r="BI250">
        <f>IF('Исходные данные'!$B$51="Да",MAX(0,BG250+Расчёты!P250+Расчёты!T250-BD250-Расчёты!R250-Расчёты!V250),0)</f>
        <v>0</v>
      </c>
      <c r="BJ250">
        <f>IF('Исходные данные'!$B$53="Выручка",MAX(0,BC250+(Расчёты!Q250-Расчёты!R250)+(Расчёты!U250-Расчёты!V250)),IF('Исходные данные'!$B$53="Прибыль до налога",MAX(0,BC250+(Расчёты!Q250-Расчёты!R250)+(Расчёты!U250-Расчёты!V250)+N('Исходные данные'!$B$54)*((Расчёты!O250+Расчёты!P250)+(Расчёты!S250+Расчёты!T250)+Расчёты!W250+Расчёты!X250)+IF('Исходные данные'!$B$55="Да",Расчёты!AG250,0)-N('Исходные данные'!$B$56)/12),IF('Исходные данные'!$B$53="Пользовательская база",MAX(0,N('Исходные данные'!$B$57)/12),0)))</f>
        <v>0</v>
      </c>
      <c r="BK250">
        <f>IF(D250=1,-BJ250*N('Исходные данные'!$B$50),0)</f>
        <v>0</v>
      </c>
      <c r="BL250">
        <f t="shared" si="133"/>
        <v>0</v>
      </c>
      <c r="BM250">
        <f>IF(OR(D250&lt;&gt;1,B250="",'Исходные данные'!$B$91="",N('Исходные данные'!$B$80)&lt;=0,'Исходные данные'!$B$88=""),0,IF(AND(YEAR(B250)=YEAR('Исходные данные'!$B$91),MONTH(B250)=MONTH('Исходные данные'!$B$91)),MAX(0,IF('Исходные данные'!$B$88="Последние 12 месяцев",SUMIFS($BF$2:$BF$194,$B$2:$B$194,"&gt;="&amp;EDATE(B250,-11),$B$2:$B$194,"&lt;="&amp;B250),IF('Исходные данные'!$B$88="Пользовательский NOI",N('Исходные данные'!$B$89),BL250))/N('Исходные данные'!$B$80)*(1+N('Исходные данные'!$B$81))),0))</f>
        <v>0</v>
      </c>
      <c r="BN250">
        <f>-BM250*N('Исходные данные'!$B$73)</f>
        <v>0</v>
      </c>
      <c r="BO250">
        <f>IF(BM250=0,0,-N('Исходные данные'!$B$87)-IF('Исходные данные'!$B$82="Да",IF('Исходные данные'!$B$84="С выручки",BM250,IF('Исходные данные'!$B$84="С прибыли",MAX(0,BM250+BN250-IF('Исходные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50">
        <f t="shared" si="146"/>
        <v>0</v>
      </c>
      <c r="BQ250">
        <f>IF(D250=1,Расчёты!AZ250+BE250+BH250+BK250+BP250,0)</f>
        <v>0</v>
      </c>
      <c r="BR250" t="str">
        <f t="shared" si="134"/>
        <v/>
      </c>
      <c r="BS250">
        <f>IF(OR(D250=0,'Исходные данные'!$B$9="",'Исходные данные'!$B$90=""),0,BQ250/(1+'Исходные данные'!$B$90)^((C250-'Исходные данные'!$B$9)/365))</f>
        <v>0</v>
      </c>
      <c r="BT250">
        <f>IF(D250=1,BE250+Расчёты!O250+Расчёты!Q250+Расчёты!S250+Расчёты!U250+Расчёты!W250+Расчёты!X250+BH250+BK250,0)</f>
        <v>0</v>
      </c>
      <c r="BU250">
        <f>IF(AND(D250=1,BR250&gt;=0,BR249&lt;0,MIN($BR$2:BR250)&lt;0),1,0)</f>
        <v>0</v>
      </c>
      <c r="BV250">
        <f>Расчёты!AZ250+K250+N250-P250*N('Исходные данные'!$B$50)</f>
        <v>0</v>
      </c>
      <c r="BW250">
        <f t="shared" si="135"/>
        <v>0</v>
      </c>
      <c r="BX250">
        <f>IF(AND(BW250&gt;=0,BW249&lt;0,MIN($BW$2:BW250)&lt;0),1,0)</f>
        <v>0</v>
      </c>
      <c r="BY250">
        <f>Расчёты!AZ250+AH250+AK250-AM250*N('Исходные данные'!$B$50)</f>
        <v>0</v>
      </c>
      <c r="BZ250">
        <f t="shared" si="136"/>
        <v>0</v>
      </c>
      <c r="CA250">
        <f>IF(AND(BZ250&gt;=0,BZ249&lt;0,MIN($BZ$2:BZ250)&lt;0),1,0)</f>
        <v>0</v>
      </c>
      <c r="CB250">
        <f>Расчёты!AZ250+BE250+BH250-BJ250*N('Исходные данные'!$B$50)</f>
        <v>0</v>
      </c>
      <c r="CC250">
        <f t="shared" si="137"/>
        <v>0</v>
      </c>
      <c r="CD250">
        <f>IF(AND(CC250&gt;=0,CC249&lt;0,MIN($CC$2:CC250)&lt;0),1,0)</f>
        <v>0</v>
      </c>
    </row>
    <row r="251" spans="1:82" x14ac:dyDescent="0.2">
      <c r="A251">
        <f>Расчёты!A251</f>
        <v>250</v>
      </c>
      <c r="B251" t="str">
        <f>Расчёты!B251</f>
        <v/>
      </c>
      <c r="C251" t="str">
        <f>Расчёты!D251</f>
        <v/>
      </c>
      <c r="D251">
        <f>Расчёты!E251</f>
        <v>0</v>
      </c>
      <c r="E251">
        <f>IF(Расчёты!F251=0,0,IF(Расчёты!G251=1,N('Сценарный анализ'!$B$5),IF(Расчёты!G251=2,N('Сценарный анализ'!$B$6),IF(Расчёты!G251=3,N('Сценарный анализ'!$B$7),N('Сценарный анализ'!$B$7)*(1+N('Сценарный анализ'!$B$8))^(Расчёты!G251-3)))))</f>
        <v>0</v>
      </c>
      <c r="F251">
        <f>IF(OR(Расчёты!F251=0,N('Исходные данные'!$B$5)=0,E251=0),0,N('Исходные данные'!$B$5)*E251*IF(AND(B251&lt;='Исходные данные'!$B$30,Расчёты!C251&gt;='Исходные данные'!$B$30),(Расчёты!C251-'Исходные данные'!$B$30+1)/DAY(Расчёты!C251),1))</f>
        <v>0</v>
      </c>
      <c r="G251">
        <f>IF(AND(Расчёты!F251&gt;0,Расчёты!F251&lt;=N('Исходные данные'!$B$37)),-F251,0)</f>
        <v>0</v>
      </c>
      <c r="H251">
        <f>IF(OR(Расчёты!F251=0,Расчёты!F251&lt;=N('Исходные данные'!$B$37)),0,-(F251+G251)*N('Сценарный анализ'!$B$9))</f>
        <v>0</v>
      </c>
      <c r="I251">
        <f t="shared" si="138"/>
        <v>0</v>
      </c>
      <c r="J251">
        <f>IF('Исходные данные'!$B$51="Да",I251*N('Исходные данные'!$B$52),0)</f>
        <v>0</v>
      </c>
      <c r="K251">
        <f t="shared" si="139"/>
        <v>0</v>
      </c>
      <c r="L251">
        <f>I251+(Расчёты!Y251-Расчёты!L251)</f>
        <v>0</v>
      </c>
      <c r="M251">
        <f t="shared" si="126"/>
        <v>0</v>
      </c>
      <c r="N251">
        <f>IF('Исходные данные'!$B$51="Да",-MAX(0,J251+Расчёты!R251+Расчёты!V251-Расчёты!P251-Расчёты!T251-M251),0)</f>
        <v>0</v>
      </c>
      <c r="O251">
        <f>IF('Исходные данные'!$B$51="Да",MAX(0,M251+Расчёты!P251+Расчёты!T251-J251-Расчёты!R251-Расчёты!V251),0)</f>
        <v>0</v>
      </c>
      <c r="P251">
        <f>IF('Исходные данные'!$B$53="Выручка",MAX(0,I251+(Расчёты!Q251-Расчёты!R251)+(Расчёты!U251-Расчёты!V251)),IF('Исходные данные'!$B$53="Прибыль до налога",MAX(0,I251+(Расчёты!Q251-Расчёты!R251)+(Расчёты!U251-Расчёты!V251)+N('Исходные данные'!$B$54)*((Расчёты!O251+Расчёты!P251)+(Расчёты!S251+Расчёты!T251)+Расчёты!W251+Расчёты!X251)+IF('Исходные данные'!$B$55="Да",Расчёты!AG251,0)-N('Исходные данные'!$B$56)/12),IF('Исходные данные'!$B$53="Пользовательская база",MAX(0,N('Исходные данные'!$B$57)/12),0)))</f>
        <v>0</v>
      </c>
      <c r="Q251">
        <f>IF(D251=1,-P251*N('Исходные данные'!$B$50),0)</f>
        <v>0</v>
      </c>
      <c r="R251">
        <f t="shared" si="127"/>
        <v>0</v>
      </c>
      <c r="S251">
        <f>IF(OR(D251&lt;&gt;1,B251="",'Исходные данные'!$B$91="",N('Исходные данные'!$B$80)&lt;=0,'Исходные данные'!$B$88=""),0,IF(AND(YEAR(B251)=YEAR('Исходные данные'!$B$91),MONTH(B251)=MONTH('Исходные данные'!$B$91)),MAX(0,IF('Исходные данные'!$B$88="Последние 12 месяцев",SUMIFS($L$2:$L$194,$B$2:$B$194,"&gt;="&amp;EDATE(B251,-11),$B$2:$B$194,"&lt;="&amp;B251),IF('Исходные данные'!$B$88="Пользовательский NOI",N('Исходные данные'!$B$89),R251))/N('Исходные данные'!$B$80)*(1+N('Исходные данные'!$B$81))),0))</f>
        <v>0</v>
      </c>
      <c r="T251">
        <f>-S251*N('Исходные данные'!$B$73)</f>
        <v>0</v>
      </c>
      <c r="U251">
        <f>IF(S251=0,0,-N('Исходные данные'!$B$87)-IF('Исходные данные'!$B$82="Да",IF('Исходные данные'!$B$84="С выручки",S251,IF('Исходные данные'!$B$84="С прибыли",MAX(0,S251+T251-IF('Исходные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51">
        <f t="shared" si="140"/>
        <v>0</v>
      </c>
      <c r="W251">
        <f>IF(D251=1,Расчёты!AZ251+K251+N251+Q251+V251,0)</f>
        <v>0</v>
      </c>
      <c r="X251" t="str">
        <f t="shared" si="128"/>
        <v/>
      </c>
      <c r="Y251">
        <f>IF(OR(D251=0,'Исходные данные'!$B$9="",'Исходные данные'!$B$90=""),0,W251/(1+'Исходные данные'!$B$90)^((C251-'Исходные данные'!$B$9)/365))</f>
        <v>0</v>
      </c>
      <c r="Z251">
        <f>IF(D251=1,K251+Расчёты!O251+Расчёты!Q251+Расчёты!S251+Расчёты!U251+Расчёты!W251+Расчёты!X251+N251+Q251,0)</f>
        <v>0</v>
      </c>
      <c r="AA251">
        <f>IF(AND(D251=1,X251&gt;=0,X250&lt;0,MIN($X$2:X251)&lt;0),1,0)</f>
        <v>0</v>
      </c>
      <c r="AB251">
        <f>IF(Расчёты!F251=0,0,IF(Расчёты!G251=1,N('Сценарный анализ'!$C$5),IF(Расчёты!G251=2,N('Сценарный анализ'!$C$6),IF(Расчёты!G251=3,N('Сценарный анализ'!$C$7),N('Сценарный анализ'!$C$7)*(1+N('Сценарный анализ'!$C$8))^(Расчёты!G251-3)))))</f>
        <v>0</v>
      </c>
      <c r="AC251">
        <f>IF(OR(Расчёты!F251=0,N('Исходные данные'!$B$5)=0,AB251=0),0,N('Исходные данные'!$B$5)*AB251*IF(AND(B251&lt;='Исходные данные'!$B$30,Расчёты!C251&gt;='Исходные данные'!$B$30),(Расчёты!C251-'Исходные данные'!$B$30+1)/DAY(Расчёты!C251),1))</f>
        <v>0</v>
      </c>
      <c r="AD251">
        <f>IF(AND(Расчёты!F251&gt;0,Расчёты!F251&lt;=N('Исходные данные'!$B$37)),-AC251,0)</f>
        <v>0</v>
      </c>
      <c r="AE251">
        <f>IF(OR(Расчёты!F251=0,Расчёты!F251&lt;=N('Исходные данные'!$B$37)),0,-(AC251+AD251)*N('Сценарный анализ'!$C$9))</f>
        <v>0</v>
      </c>
      <c r="AF251">
        <f t="shared" si="141"/>
        <v>0</v>
      </c>
      <c r="AG251">
        <f>IF('Исходные данные'!$B$51="Да",AF251*N('Исходные данные'!$B$52),0)</f>
        <v>0</v>
      </c>
      <c r="AH251">
        <f t="shared" si="142"/>
        <v>0</v>
      </c>
      <c r="AI251">
        <f>AF251+(Расчёты!Y251-Расчёты!L251)</f>
        <v>0</v>
      </c>
      <c r="AJ251">
        <f t="shared" si="129"/>
        <v>0</v>
      </c>
      <c r="AK251">
        <f>IF('Исходные данные'!$B$51="Да",-MAX(0,AG251+Расчёты!R251+Расчёты!V251-Расчёты!P251-Расчёты!T251-AJ251),0)</f>
        <v>0</v>
      </c>
      <c r="AL251">
        <f>IF('Исходные данные'!$B$51="Да",MAX(0,AJ251+Расчёты!P251+Расчёты!T251-AG251-Расчёты!R251-Расчёты!V251),0)</f>
        <v>0</v>
      </c>
      <c r="AM251">
        <f>IF('Исходные данные'!$B$53="Выручка",MAX(0,AF251+(Расчёты!Q251-Расчёты!R251)+(Расчёты!U251-Расчёты!V251)),IF('Исходные данные'!$B$53="Прибыль до налога",MAX(0,AF251+(Расчёты!Q251-Расчёты!R251)+(Расчёты!U251-Расчёты!V251)+N('Исходные данные'!$B$54)*((Расчёты!O251+Расчёты!P251)+(Расчёты!S251+Расчёты!T251)+Расчёты!W251+Расчёты!X251)+IF('Исходные данные'!$B$55="Да",Расчёты!AG251,0)-N('Исходные данные'!$B$56)/12),IF('Исходные данные'!$B$53="Пользовательская база",MAX(0,N('Исходные данные'!$B$57)/12),0)))</f>
        <v>0</v>
      </c>
      <c r="AN251">
        <f>IF(D251=1,-AM251*N('Исходные данные'!$B$50),0)</f>
        <v>0</v>
      </c>
      <c r="AO251">
        <f t="shared" si="130"/>
        <v>0</v>
      </c>
      <c r="AP251">
        <f>IF(OR(D251&lt;&gt;1,B251="",'Исходные данные'!$B$91="",N('Исходные данные'!$B$80)&lt;=0,'Исходные данные'!$B$88=""),0,IF(AND(YEAR(B251)=YEAR('Исходные данные'!$B$91),MONTH(B251)=MONTH('Исходные данные'!$B$91)),MAX(0,IF('Исходные данные'!$B$88="Последние 12 месяцев",SUMIFS($AI$2:$AI$194,$B$2:$B$194,"&gt;="&amp;EDATE(B251,-11),$B$2:$B$194,"&lt;="&amp;B251),IF('Исходные данные'!$B$88="Пользовательский NOI",N('Исходные данные'!$B$89),AO251))/N('Исходные данные'!$B$80)*(1+N('Исходные данные'!$B$81))),0))</f>
        <v>0</v>
      </c>
      <c r="AQ251">
        <f>-AP251*N('Исходные данные'!$B$73)</f>
        <v>0</v>
      </c>
      <c r="AR251">
        <f>IF(AP251=0,0,-N('Исходные данные'!$B$87)-IF('Исходные данные'!$B$82="Да",IF('Исходные данные'!$B$84="С выручки",AP251,IF('Исходные данные'!$B$84="С прибыли",MAX(0,AP251+AQ251-IF('Исходные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51">
        <f t="shared" si="143"/>
        <v>0</v>
      </c>
      <c r="AT251">
        <f>IF(D251=1,Расчёты!AZ251+AH251+AK251+AN251+AS251,0)</f>
        <v>0</v>
      </c>
      <c r="AU251" t="str">
        <f t="shared" si="131"/>
        <v/>
      </c>
      <c r="AV251">
        <f>IF(OR(D251=0,'Исходные данные'!$B$9="",'Исходные данные'!$B$90=""),0,AT251/(1+'Исходные данные'!$B$90)^((C251-'Исходные данные'!$B$9)/365))</f>
        <v>0</v>
      </c>
      <c r="AW251">
        <f>IF(D251=1,AH251+Расчёты!O251+Расчёты!Q251+Расчёты!S251+Расчёты!U251+Расчёты!W251+Расчёты!X251+AK251+AN251,0)</f>
        <v>0</v>
      </c>
      <c r="AX251">
        <f>IF(AND(D251=1,AU251&gt;=0,AU250&lt;0,MIN($AU$2:AU251)&lt;0),1,0)</f>
        <v>0</v>
      </c>
      <c r="AY251">
        <f>IF(Расчёты!F251=0,0,IF(Расчёты!G251=1,N('Сценарный анализ'!$D$5),IF(Расчёты!G251=2,N('Сценарный анализ'!$D$6),IF(Расчёты!G251=3,N('Сценарный анализ'!$D$7),N('Сценарный анализ'!$D$7)*(1+N('Сценарный анализ'!$D$8))^(Расчёты!G251-3)))))</f>
        <v>0</v>
      </c>
      <c r="AZ251">
        <f>IF(OR(Расчёты!F251=0,N('Исходные данные'!$B$5)=0,AY251=0),0,N('Исходные данные'!$B$5)*AY251*IF(AND(B251&lt;='Исходные данные'!$B$30,Расчёты!C251&gt;='Исходные данные'!$B$30),(Расчёты!C251-'Исходные данные'!$B$30+1)/DAY(Расчёты!C251),1))</f>
        <v>0</v>
      </c>
      <c r="BA251">
        <f>IF(AND(Расчёты!F251&gt;0,Расчёты!F251&lt;=N('Исходные данные'!$B$37)),-AZ251,0)</f>
        <v>0</v>
      </c>
      <c r="BB251">
        <f>IF(OR(Расчёты!F251=0,Расчёты!F251&lt;=N('Исходные данные'!$B$37)),0,-(AZ251+BA251)*N('Сценарный анализ'!$D$9))</f>
        <v>0</v>
      </c>
      <c r="BC251">
        <f t="shared" si="144"/>
        <v>0</v>
      </c>
      <c r="BD251">
        <f>IF('Исходные данные'!$B$51="Да",BC251*N('Исходные данные'!$B$52),0)</f>
        <v>0</v>
      </c>
      <c r="BE251">
        <f t="shared" si="145"/>
        <v>0</v>
      </c>
      <c r="BF251">
        <f>BC251+(Расчёты!Y251-Расчёты!L251)</f>
        <v>0</v>
      </c>
      <c r="BG251">
        <f t="shared" si="132"/>
        <v>0</v>
      </c>
      <c r="BH251">
        <f>IF('Исходные данные'!$B$51="Да",-MAX(0,BD251+Расчёты!R251+Расчёты!V251-Расчёты!P251-Расчёты!T251-BG251),0)</f>
        <v>0</v>
      </c>
      <c r="BI251">
        <f>IF('Исходные данные'!$B$51="Да",MAX(0,BG251+Расчёты!P251+Расчёты!T251-BD251-Расчёты!R251-Расчёты!V251),0)</f>
        <v>0</v>
      </c>
      <c r="BJ251">
        <f>IF('Исходные данные'!$B$53="Выручка",MAX(0,BC251+(Расчёты!Q251-Расчёты!R251)+(Расчёты!U251-Расчёты!V251)),IF('Исходные данные'!$B$53="Прибыль до налога",MAX(0,BC251+(Расчёты!Q251-Расчёты!R251)+(Расчёты!U251-Расчёты!V251)+N('Исходные данные'!$B$54)*((Расчёты!O251+Расчёты!P251)+(Расчёты!S251+Расчёты!T251)+Расчёты!W251+Расчёты!X251)+IF('Исходные данные'!$B$55="Да",Расчёты!AG251,0)-N('Исходные данные'!$B$56)/12),IF('Исходные данные'!$B$53="Пользовательская база",MAX(0,N('Исходные данные'!$B$57)/12),0)))</f>
        <v>0</v>
      </c>
      <c r="BK251">
        <f>IF(D251=1,-BJ251*N('Исходные данные'!$B$50),0)</f>
        <v>0</v>
      </c>
      <c r="BL251">
        <f t="shared" si="133"/>
        <v>0</v>
      </c>
      <c r="BM251">
        <f>IF(OR(D251&lt;&gt;1,B251="",'Исходные данные'!$B$91="",N('Исходные данные'!$B$80)&lt;=0,'Исходные данные'!$B$88=""),0,IF(AND(YEAR(B251)=YEAR('Исходные данные'!$B$91),MONTH(B251)=MONTH('Исходные данные'!$B$91)),MAX(0,IF('Исходные данные'!$B$88="Последние 12 месяцев",SUMIFS($BF$2:$BF$194,$B$2:$B$194,"&gt;="&amp;EDATE(B251,-11),$B$2:$B$194,"&lt;="&amp;B251),IF('Исходные данные'!$B$88="Пользовательский NOI",N('Исходные данные'!$B$89),BL251))/N('Исходные данные'!$B$80)*(1+N('Исходные данные'!$B$81))),0))</f>
        <v>0</v>
      </c>
      <c r="BN251">
        <f>-BM251*N('Исходные данные'!$B$73)</f>
        <v>0</v>
      </c>
      <c r="BO251">
        <f>IF(BM251=0,0,-N('Исходные данные'!$B$87)-IF('Исходные данные'!$B$82="Да",IF('Исходные данные'!$B$84="С выручки",BM251,IF('Исходные данные'!$B$84="С прибыли",MAX(0,BM251+BN251-IF('Исходные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51">
        <f t="shared" si="146"/>
        <v>0</v>
      </c>
      <c r="BQ251">
        <f>IF(D251=1,Расчёты!AZ251+BE251+BH251+BK251+BP251,0)</f>
        <v>0</v>
      </c>
      <c r="BR251" t="str">
        <f t="shared" si="134"/>
        <v/>
      </c>
      <c r="BS251">
        <f>IF(OR(D251=0,'Исходные данные'!$B$9="",'Исходные данные'!$B$90=""),0,BQ251/(1+'Исходные данные'!$B$90)^((C251-'Исходные данные'!$B$9)/365))</f>
        <v>0</v>
      </c>
      <c r="BT251">
        <f>IF(D251=1,BE251+Расчёты!O251+Расчёты!Q251+Расчёты!S251+Расчёты!U251+Расчёты!W251+Расчёты!X251+BH251+BK251,0)</f>
        <v>0</v>
      </c>
      <c r="BU251">
        <f>IF(AND(D251=1,BR251&gt;=0,BR250&lt;0,MIN($BR$2:BR251)&lt;0),1,0)</f>
        <v>0</v>
      </c>
      <c r="BV251">
        <f>Расчёты!AZ251+K251+N251-P251*N('Исходные данные'!$B$50)</f>
        <v>0</v>
      </c>
      <c r="BW251">
        <f t="shared" si="135"/>
        <v>0</v>
      </c>
      <c r="BX251">
        <f>IF(AND(BW251&gt;=0,BW250&lt;0,MIN($BW$2:BW251)&lt;0),1,0)</f>
        <v>0</v>
      </c>
      <c r="BY251">
        <f>Расчёты!AZ251+AH251+AK251-AM251*N('Исходные данные'!$B$50)</f>
        <v>0</v>
      </c>
      <c r="BZ251">
        <f t="shared" si="136"/>
        <v>0</v>
      </c>
      <c r="CA251">
        <f>IF(AND(BZ251&gt;=0,BZ250&lt;0,MIN($BZ$2:BZ251)&lt;0),1,0)</f>
        <v>0</v>
      </c>
      <c r="CB251">
        <f>Расчёты!AZ251+BE251+BH251-BJ251*N('Исходные данные'!$B$50)</f>
        <v>0</v>
      </c>
      <c r="CC251">
        <f t="shared" si="137"/>
        <v>0</v>
      </c>
      <c r="CD251">
        <f>IF(AND(CC251&gt;=0,CC250&lt;0,MIN($CC$2:CC251)&lt;0),1,0)</f>
        <v>0</v>
      </c>
    </row>
    <row r="252" spans="1:82" x14ac:dyDescent="0.2">
      <c r="A252">
        <f>Расчёты!A252</f>
        <v>251</v>
      </c>
      <c r="B252" t="str">
        <f>Расчёты!B252</f>
        <v/>
      </c>
      <c r="C252" t="str">
        <f>Расчёты!D252</f>
        <v/>
      </c>
      <c r="D252">
        <f>Расчёты!E252</f>
        <v>0</v>
      </c>
      <c r="E252">
        <f>IF(Расчёты!F252=0,0,IF(Расчёты!G252=1,N('Сценарный анализ'!$B$5),IF(Расчёты!G252=2,N('Сценарный анализ'!$B$6),IF(Расчёты!G252=3,N('Сценарный анализ'!$B$7),N('Сценарный анализ'!$B$7)*(1+N('Сценарный анализ'!$B$8))^(Расчёты!G252-3)))))</f>
        <v>0</v>
      </c>
      <c r="F252">
        <f>IF(OR(Расчёты!F252=0,N('Исходные данные'!$B$5)=0,E252=0),0,N('Исходные данные'!$B$5)*E252*IF(AND(B252&lt;='Исходные данные'!$B$30,Расчёты!C252&gt;='Исходные данные'!$B$30),(Расчёты!C252-'Исходные данные'!$B$30+1)/DAY(Расчёты!C252),1))</f>
        <v>0</v>
      </c>
      <c r="G252">
        <f>IF(AND(Расчёты!F252&gt;0,Расчёты!F252&lt;=N('Исходные данные'!$B$37)),-F252,0)</f>
        <v>0</v>
      </c>
      <c r="H252">
        <f>IF(OR(Расчёты!F252=0,Расчёты!F252&lt;=N('Исходные данные'!$B$37)),0,-(F252+G252)*N('Сценарный анализ'!$B$9))</f>
        <v>0</v>
      </c>
      <c r="I252">
        <f t="shared" si="138"/>
        <v>0</v>
      </c>
      <c r="J252">
        <f>IF('Исходные данные'!$B$51="Да",I252*N('Исходные данные'!$B$52),0)</f>
        <v>0</v>
      </c>
      <c r="K252">
        <f t="shared" si="139"/>
        <v>0</v>
      </c>
      <c r="L252">
        <f>I252+(Расчёты!Y252-Расчёты!L252)</f>
        <v>0</v>
      </c>
      <c r="M252">
        <f t="shared" si="126"/>
        <v>0</v>
      </c>
      <c r="N252">
        <f>IF('Исходные данные'!$B$51="Да",-MAX(0,J252+Расчёты!R252+Расчёты!V252-Расчёты!P252-Расчёты!T252-M252),0)</f>
        <v>0</v>
      </c>
      <c r="O252">
        <f>IF('Исходные данные'!$B$51="Да",MAX(0,M252+Расчёты!P252+Расчёты!T252-J252-Расчёты!R252-Расчёты!V252),0)</f>
        <v>0</v>
      </c>
      <c r="P252">
        <f>IF('Исходные данные'!$B$53="Выручка",MAX(0,I252+(Расчёты!Q252-Расчёты!R252)+(Расчёты!U252-Расчёты!V252)),IF('Исходные данные'!$B$53="Прибыль до налога",MAX(0,I252+(Расчёты!Q252-Расчёты!R252)+(Расчёты!U252-Расчёты!V252)+N('Исходные данные'!$B$54)*((Расчёты!O252+Расчёты!P252)+(Расчёты!S252+Расчёты!T252)+Расчёты!W252+Расчёты!X252)+IF('Исходные данные'!$B$55="Да",Расчёты!AG252,0)-N('Исходные данные'!$B$56)/12),IF('Исходные данные'!$B$53="Пользовательская база",MAX(0,N('Исходные данные'!$B$57)/12),0)))</f>
        <v>0</v>
      </c>
      <c r="Q252">
        <f>IF(D252=1,-P252*N('Исходные данные'!$B$50),0)</f>
        <v>0</v>
      </c>
      <c r="R252">
        <f t="shared" si="127"/>
        <v>0</v>
      </c>
      <c r="S252">
        <f>IF(OR(D252&lt;&gt;1,B252="",'Исходные данные'!$B$91="",N('Исходные данные'!$B$80)&lt;=0,'Исходные данные'!$B$88=""),0,IF(AND(YEAR(B252)=YEAR('Исходные данные'!$B$91),MONTH(B252)=MONTH('Исходные данные'!$B$91)),MAX(0,IF('Исходные данные'!$B$88="Последние 12 месяцев",SUMIFS($L$2:$L$194,$B$2:$B$194,"&gt;="&amp;EDATE(B252,-11),$B$2:$B$194,"&lt;="&amp;B252),IF('Исходные данные'!$B$88="Пользовательский NOI",N('Исходные данные'!$B$89),R252))/N('Исходные данные'!$B$80)*(1+N('Исходные данные'!$B$81))),0))</f>
        <v>0</v>
      </c>
      <c r="T252">
        <f>-S252*N('Исходные данные'!$B$73)</f>
        <v>0</v>
      </c>
      <c r="U252">
        <f>IF(S252=0,0,-N('Исходные данные'!$B$87)-IF('Исходные данные'!$B$82="Да",IF('Исходные данные'!$B$84="С выручки",S252,IF('Исходные данные'!$B$84="С прибыли",MAX(0,S252+T252-IF('Исходные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52">
        <f t="shared" si="140"/>
        <v>0</v>
      </c>
      <c r="W252">
        <f>IF(D252=1,Расчёты!AZ252+K252+N252+Q252+V252,0)</f>
        <v>0</v>
      </c>
      <c r="X252" t="str">
        <f t="shared" si="128"/>
        <v/>
      </c>
      <c r="Y252">
        <f>IF(OR(D252=0,'Исходные данные'!$B$9="",'Исходные данные'!$B$90=""),0,W252/(1+'Исходные данные'!$B$90)^((C252-'Исходные данные'!$B$9)/365))</f>
        <v>0</v>
      </c>
      <c r="Z252">
        <f>IF(D252=1,K252+Расчёты!O252+Расчёты!Q252+Расчёты!S252+Расчёты!U252+Расчёты!W252+Расчёты!X252+N252+Q252,0)</f>
        <v>0</v>
      </c>
      <c r="AA252">
        <f>IF(AND(D252=1,X252&gt;=0,X251&lt;0,MIN($X$2:X252)&lt;0),1,0)</f>
        <v>0</v>
      </c>
      <c r="AB252">
        <f>IF(Расчёты!F252=0,0,IF(Расчёты!G252=1,N('Сценарный анализ'!$C$5),IF(Расчёты!G252=2,N('Сценарный анализ'!$C$6),IF(Расчёты!G252=3,N('Сценарный анализ'!$C$7),N('Сценарный анализ'!$C$7)*(1+N('Сценарный анализ'!$C$8))^(Расчёты!G252-3)))))</f>
        <v>0</v>
      </c>
      <c r="AC252">
        <f>IF(OR(Расчёты!F252=0,N('Исходные данные'!$B$5)=0,AB252=0),0,N('Исходные данные'!$B$5)*AB252*IF(AND(B252&lt;='Исходные данные'!$B$30,Расчёты!C252&gt;='Исходные данные'!$B$30),(Расчёты!C252-'Исходные данные'!$B$30+1)/DAY(Расчёты!C252),1))</f>
        <v>0</v>
      </c>
      <c r="AD252">
        <f>IF(AND(Расчёты!F252&gt;0,Расчёты!F252&lt;=N('Исходные данные'!$B$37)),-AC252,0)</f>
        <v>0</v>
      </c>
      <c r="AE252">
        <f>IF(OR(Расчёты!F252=0,Расчёты!F252&lt;=N('Исходные данные'!$B$37)),0,-(AC252+AD252)*N('Сценарный анализ'!$C$9))</f>
        <v>0</v>
      </c>
      <c r="AF252">
        <f t="shared" si="141"/>
        <v>0</v>
      </c>
      <c r="AG252">
        <f>IF('Исходные данные'!$B$51="Да",AF252*N('Исходные данные'!$B$52),0)</f>
        <v>0</v>
      </c>
      <c r="AH252">
        <f t="shared" si="142"/>
        <v>0</v>
      </c>
      <c r="AI252">
        <f>AF252+(Расчёты!Y252-Расчёты!L252)</f>
        <v>0</v>
      </c>
      <c r="AJ252">
        <f t="shared" si="129"/>
        <v>0</v>
      </c>
      <c r="AK252">
        <f>IF('Исходные данные'!$B$51="Да",-MAX(0,AG252+Расчёты!R252+Расчёты!V252-Расчёты!P252-Расчёты!T252-AJ252),0)</f>
        <v>0</v>
      </c>
      <c r="AL252">
        <f>IF('Исходные данные'!$B$51="Да",MAX(0,AJ252+Расчёты!P252+Расчёты!T252-AG252-Расчёты!R252-Расчёты!V252),0)</f>
        <v>0</v>
      </c>
      <c r="AM252">
        <f>IF('Исходные данные'!$B$53="Выручка",MAX(0,AF252+(Расчёты!Q252-Расчёты!R252)+(Расчёты!U252-Расчёты!V252)),IF('Исходные данные'!$B$53="Прибыль до налога",MAX(0,AF252+(Расчёты!Q252-Расчёты!R252)+(Расчёты!U252-Расчёты!V252)+N('Исходные данные'!$B$54)*((Расчёты!O252+Расчёты!P252)+(Расчёты!S252+Расчёты!T252)+Расчёты!W252+Расчёты!X252)+IF('Исходные данные'!$B$55="Да",Расчёты!AG252,0)-N('Исходные данные'!$B$56)/12),IF('Исходные данные'!$B$53="Пользовательская база",MAX(0,N('Исходные данные'!$B$57)/12),0)))</f>
        <v>0</v>
      </c>
      <c r="AN252">
        <f>IF(D252=1,-AM252*N('Исходные данные'!$B$50),0)</f>
        <v>0</v>
      </c>
      <c r="AO252">
        <f t="shared" si="130"/>
        <v>0</v>
      </c>
      <c r="AP252">
        <f>IF(OR(D252&lt;&gt;1,B252="",'Исходные данные'!$B$91="",N('Исходные данные'!$B$80)&lt;=0,'Исходные данные'!$B$88=""),0,IF(AND(YEAR(B252)=YEAR('Исходные данные'!$B$91),MONTH(B252)=MONTH('Исходные данные'!$B$91)),MAX(0,IF('Исходные данные'!$B$88="Последние 12 месяцев",SUMIFS($AI$2:$AI$194,$B$2:$B$194,"&gt;="&amp;EDATE(B252,-11),$B$2:$B$194,"&lt;="&amp;B252),IF('Исходные данные'!$B$88="Пользовательский NOI",N('Исходные данные'!$B$89),AO252))/N('Исходные данные'!$B$80)*(1+N('Исходные данные'!$B$81))),0))</f>
        <v>0</v>
      </c>
      <c r="AQ252">
        <f>-AP252*N('Исходные данные'!$B$73)</f>
        <v>0</v>
      </c>
      <c r="AR252">
        <f>IF(AP252=0,0,-N('Исходные данные'!$B$87)-IF('Исходные данные'!$B$82="Да",IF('Исходные данные'!$B$84="С выручки",AP252,IF('Исходные данные'!$B$84="С прибыли",MAX(0,AP252+AQ252-IF('Исходные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52">
        <f t="shared" si="143"/>
        <v>0</v>
      </c>
      <c r="AT252">
        <f>IF(D252=1,Расчёты!AZ252+AH252+AK252+AN252+AS252,0)</f>
        <v>0</v>
      </c>
      <c r="AU252" t="str">
        <f t="shared" si="131"/>
        <v/>
      </c>
      <c r="AV252">
        <f>IF(OR(D252=0,'Исходные данные'!$B$9="",'Исходные данные'!$B$90=""),0,AT252/(1+'Исходные данные'!$B$90)^((C252-'Исходные данные'!$B$9)/365))</f>
        <v>0</v>
      </c>
      <c r="AW252">
        <f>IF(D252=1,AH252+Расчёты!O252+Расчёты!Q252+Расчёты!S252+Расчёты!U252+Расчёты!W252+Расчёты!X252+AK252+AN252,0)</f>
        <v>0</v>
      </c>
      <c r="AX252">
        <f>IF(AND(D252=1,AU252&gt;=0,AU251&lt;0,MIN($AU$2:AU252)&lt;0),1,0)</f>
        <v>0</v>
      </c>
      <c r="AY252">
        <f>IF(Расчёты!F252=0,0,IF(Расчёты!G252=1,N('Сценарный анализ'!$D$5),IF(Расчёты!G252=2,N('Сценарный анализ'!$D$6),IF(Расчёты!G252=3,N('Сценарный анализ'!$D$7),N('Сценарный анализ'!$D$7)*(1+N('Сценарный анализ'!$D$8))^(Расчёты!G252-3)))))</f>
        <v>0</v>
      </c>
      <c r="AZ252">
        <f>IF(OR(Расчёты!F252=0,N('Исходные данные'!$B$5)=0,AY252=0),0,N('Исходные данные'!$B$5)*AY252*IF(AND(B252&lt;='Исходные данные'!$B$30,Расчёты!C252&gt;='Исходные данные'!$B$30),(Расчёты!C252-'Исходные данные'!$B$30+1)/DAY(Расчёты!C252),1))</f>
        <v>0</v>
      </c>
      <c r="BA252">
        <f>IF(AND(Расчёты!F252&gt;0,Расчёты!F252&lt;=N('Исходные данные'!$B$37)),-AZ252,0)</f>
        <v>0</v>
      </c>
      <c r="BB252">
        <f>IF(OR(Расчёты!F252=0,Расчёты!F252&lt;=N('Исходные данные'!$B$37)),0,-(AZ252+BA252)*N('Сценарный анализ'!$D$9))</f>
        <v>0</v>
      </c>
      <c r="BC252">
        <f t="shared" si="144"/>
        <v>0</v>
      </c>
      <c r="BD252">
        <f>IF('Исходные данные'!$B$51="Да",BC252*N('Исходные данные'!$B$52),0)</f>
        <v>0</v>
      </c>
      <c r="BE252">
        <f t="shared" si="145"/>
        <v>0</v>
      </c>
      <c r="BF252">
        <f>BC252+(Расчёты!Y252-Расчёты!L252)</f>
        <v>0</v>
      </c>
      <c r="BG252">
        <f t="shared" si="132"/>
        <v>0</v>
      </c>
      <c r="BH252">
        <f>IF('Исходные данные'!$B$51="Да",-MAX(0,BD252+Расчёты!R252+Расчёты!V252-Расчёты!P252-Расчёты!T252-BG252),0)</f>
        <v>0</v>
      </c>
      <c r="BI252">
        <f>IF('Исходные данные'!$B$51="Да",MAX(0,BG252+Расчёты!P252+Расчёты!T252-BD252-Расчёты!R252-Расчёты!V252),0)</f>
        <v>0</v>
      </c>
      <c r="BJ252">
        <f>IF('Исходные данные'!$B$53="Выручка",MAX(0,BC252+(Расчёты!Q252-Расчёты!R252)+(Расчёты!U252-Расчёты!V252)),IF('Исходные данные'!$B$53="Прибыль до налога",MAX(0,BC252+(Расчёты!Q252-Расчёты!R252)+(Расчёты!U252-Расчёты!V252)+N('Исходные данные'!$B$54)*((Расчёты!O252+Расчёты!P252)+(Расчёты!S252+Расчёты!T252)+Расчёты!W252+Расчёты!X252)+IF('Исходные данные'!$B$55="Да",Расчёты!AG252,0)-N('Исходные данные'!$B$56)/12),IF('Исходные данные'!$B$53="Пользовательская база",MAX(0,N('Исходные данные'!$B$57)/12),0)))</f>
        <v>0</v>
      </c>
      <c r="BK252">
        <f>IF(D252=1,-BJ252*N('Исходные данные'!$B$50),0)</f>
        <v>0</v>
      </c>
      <c r="BL252">
        <f t="shared" si="133"/>
        <v>0</v>
      </c>
      <c r="BM252">
        <f>IF(OR(D252&lt;&gt;1,B252="",'Исходные данные'!$B$91="",N('Исходные данные'!$B$80)&lt;=0,'Исходные данные'!$B$88=""),0,IF(AND(YEAR(B252)=YEAR('Исходные данные'!$B$91),MONTH(B252)=MONTH('Исходные данные'!$B$91)),MAX(0,IF('Исходные данные'!$B$88="Последние 12 месяцев",SUMIFS($BF$2:$BF$194,$B$2:$B$194,"&gt;="&amp;EDATE(B252,-11),$B$2:$B$194,"&lt;="&amp;B252),IF('Исходные данные'!$B$88="Пользовательский NOI",N('Исходные данные'!$B$89),BL252))/N('Исходные данные'!$B$80)*(1+N('Исходные данные'!$B$81))),0))</f>
        <v>0</v>
      </c>
      <c r="BN252">
        <f>-BM252*N('Исходные данные'!$B$73)</f>
        <v>0</v>
      </c>
      <c r="BO252">
        <f>IF(BM252=0,0,-N('Исходные данные'!$B$87)-IF('Исходные данные'!$B$82="Да",IF('Исходные данные'!$B$84="С выручки",BM252,IF('Исходные данные'!$B$84="С прибыли",MAX(0,BM252+BN252-IF('Исходные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52">
        <f t="shared" si="146"/>
        <v>0</v>
      </c>
      <c r="BQ252">
        <f>IF(D252=1,Расчёты!AZ252+BE252+BH252+BK252+BP252,0)</f>
        <v>0</v>
      </c>
      <c r="BR252" t="str">
        <f t="shared" si="134"/>
        <v/>
      </c>
      <c r="BS252">
        <f>IF(OR(D252=0,'Исходные данные'!$B$9="",'Исходные данные'!$B$90=""),0,BQ252/(1+'Исходные данные'!$B$90)^((C252-'Исходные данные'!$B$9)/365))</f>
        <v>0</v>
      </c>
      <c r="BT252">
        <f>IF(D252=1,BE252+Расчёты!O252+Расчёты!Q252+Расчёты!S252+Расчёты!U252+Расчёты!W252+Расчёты!X252+BH252+BK252,0)</f>
        <v>0</v>
      </c>
      <c r="BU252">
        <f>IF(AND(D252=1,BR252&gt;=0,BR251&lt;0,MIN($BR$2:BR252)&lt;0),1,0)</f>
        <v>0</v>
      </c>
      <c r="BV252">
        <f>Расчёты!AZ252+K252+N252-P252*N('Исходные данные'!$B$50)</f>
        <v>0</v>
      </c>
      <c r="BW252">
        <f t="shared" si="135"/>
        <v>0</v>
      </c>
      <c r="BX252">
        <f>IF(AND(BW252&gt;=0,BW251&lt;0,MIN($BW$2:BW252)&lt;0),1,0)</f>
        <v>0</v>
      </c>
      <c r="BY252">
        <f>Расчёты!AZ252+AH252+AK252-AM252*N('Исходные данные'!$B$50)</f>
        <v>0</v>
      </c>
      <c r="BZ252">
        <f t="shared" si="136"/>
        <v>0</v>
      </c>
      <c r="CA252">
        <f>IF(AND(BZ252&gt;=0,BZ251&lt;0,MIN($BZ$2:BZ252)&lt;0),1,0)</f>
        <v>0</v>
      </c>
      <c r="CB252">
        <f>Расчёты!AZ252+BE252+BH252-BJ252*N('Исходные данные'!$B$50)</f>
        <v>0</v>
      </c>
      <c r="CC252">
        <f t="shared" si="137"/>
        <v>0</v>
      </c>
      <c r="CD252">
        <f>IF(AND(CC252&gt;=0,CC251&lt;0,MIN($CC$2:CC252)&lt;0),1,0)</f>
        <v>0</v>
      </c>
    </row>
    <row r="253" spans="1:82" x14ac:dyDescent="0.2">
      <c r="A253">
        <f>Расчёты!A253</f>
        <v>252</v>
      </c>
      <c r="B253" t="str">
        <f>Расчёты!B253</f>
        <v/>
      </c>
      <c r="C253" t="str">
        <f>Расчёты!D253</f>
        <v/>
      </c>
      <c r="D253">
        <f>Расчёты!E253</f>
        <v>0</v>
      </c>
      <c r="E253">
        <f>IF(Расчёты!F253=0,0,IF(Расчёты!G253=1,N('Сценарный анализ'!$B$5),IF(Расчёты!G253=2,N('Сценарный анализ'!$B$6),IF(Расчёты!G253=3,N('Сценарный анализ'!$B$7),N('Сценарный анализ'!$B$7)*(1+N('Сценарный анализ'!$B$8))^(Расчёты!G253-3)))))</f>
        <v>0</v>
      </c>
      <c r="F253">
        <f>IF(OR(Расчёты!F253=0,N('Исходные данные'!$B$5)=0,E253=0),0,N('Исходные данные'!$B$5)*E253*IF(AND(B253&lt;='Исходные данные'!$B$30,Расчёты!C253&gt;='Исходные данные'!$B$30),(Расчёты!C253-'Исходные данные'!$B$30+1)/DAY(Расчёты!C253),1))</f>
        <v>0</v>
      </c>
      <c r="G253">
        <f>IF(AND(Расчёты!F253&gt;0,Расчёты!F253&lt;=N('Исходные данные'!$B$37)),-F253,0)</f>
        <v>0</v>
      </c>
      <c r="H253">
        <f>IF(OR(Расчёты!F253=0,Расчёты!F253&lt;=N('Исходные данные'!$B$37)),0,-(F253+G253)*N('Сценарный анализ'!$B$9))</f>
        <v>0</v>
      </c>
      <c r="I253">
        <f t="shared" si="138"/>
        <v>0</v>
      </c>
      <c r="J253">
        <f>IF('Исходные данные'!$B$51="Да",I253*N('Исходные данные'!$B$52),0)</f>
        <v>0</v>
      </c>
      <c r="K253">
        <f t="shared" si="139"/>
        <v>0</v>
      </c>
      <c r="L253">
        <f>I253+(Расчёты!Y253-Расчёты!L253)</f>
        <v>0</v>
      </c>
      <c r="M253">
        <f t="shared" si="126"/>
        <v>0</v>
      </c>
      <c r="N253">
        <f>IF('Исходные данные'!$B$51="Да",-MAX(0,J253+Расчёты!R253+Расчёты!V253-Расчёты!P253-Расчёты!T253-M253),0)</f>
        <v>0</v>
      </c>
      <c r="O253">
        <f>IF('Исходные данные'!$B$51="Да",MAX(0,M253+Расчёты!P253+Расчёты!T253-J253-Расчёты!R253-Расчёты!V253),0)</f>
        <v>0</v>
      </c>
      <c r="P253">
        <f>IF('Исходные данные'!$B$53="Выручка",MAX(0,I253+(Расчёты!Q253-Расчёты!R253)+(Расчёты!U253-Расчёты!V253)),IF('Исходные данные'!$B$53="Прибыль до налога",MAX(0,I253+(Расчёты!Q253-Расчёты!R253)+(Расчёты!U253-Расчёты!V253)+N('Исходные данные'!$B$54)*((Расчёты!O253+Расчёты!P253)+(Расчёты!S253+Расчёты!T253)+Расчёты!W253+Расчёты!X253)+IF('Исходные данные'!$B$55="Да",Расчёты!AG253,0)-N('Исходные данные'!$B$56)/12),IF('Исходные данные'!$B$53="Пользовательская база",MAX(0,N('Исходные данные'!$B$57)/12),0)))</f>
        <v>0</v>
      </c>
      <c r="Q253">
        <f>IF(D253=1,-P253*N('Исходные данные'!$B$50),0)</f>
        <v>0</v>
      </c>
      <c r="R253">
        <f t="shared" si="127"/>
        <v>0</v>
      </c>
      <c r="S253">
        <f>IF(OR(D253&lt;&gt;1,B253="",'Исходные данные'!$B$91="",N('Исходные данные'!$B$80)&lt;=0,'Исходные данные'!$B$88=""),0,IF(AND(YEAR(B253)=YEAR('Исходные данные'!$B$91),MONTH(B253)=MONTH('Исходные данные'!$B$91)),MAX(0,IF('Исходные данные'!$B$88="Последние 12 месяцев",SUMIFS($L$2:$L$194,$B$2:$B$194,"&gt;="&amp;EDATE(B253,-11),$B$2:$B$194,"&lt;="&amp;B253),IF('Исходные данные'!$B$88="Пользовательский NOI",N('Исходные данные'!$B$89),R253))/N('Исходные данные'!$B$80)*(1+N('Исходные данные'!$B$81))),0))</f>
        <v>0</v>
      </c>
      <c r="T253">
        <f>-S253*N('Исходные данные'!$B$73)</f>
        <v>0</v>
      </c>
      <c r="U253">
        <f>IF(S253=0,0,-N('Исходные данные'!$B$87)-IF('Исходные данные'!$B$82="Да",IF('Исходные данные'!$B$84="С выручки",S253,IF('Исходные данные'!$B$84="С прибыли",MAX(0,S253+T253-IF('Исходные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53">
        <f t="shared" si="140"/>
        <v>0</v>
      </c>
      <c r="W253">
        <f>IF(D253=1,Расчёты!AZ253+K253+N253+Q253+V253,0)</f>
        <v>0</v>
      </c>
      <c r="X253" t="str">
        <f t="shared" si="128"/>
        <v/>
      </c>
      <c r="Y253">
        <f>IF(OR(D253=0,'Исходные данные'!$B$9="",'Исходные данные'!$B$90=""),0,W253/(1+'Исходные данные'!$B$90)^((C253-'Исходные данные'!$B$9)/365))</f>
        <v>0</v>
      </c>
      <c r="Z253">
        <f>IF(D253=1,K253+Расчёты!O253+Расчёты!Q253+Расчёты!S253+Расчёты!U253+Расчёты!W253+Расчёты!X253+N253+Q253,0)</f>
        <v>0</v>
      </c>
      <c r="AA253">
        <f>IF(AND(D253=1,X253&gt;=0,X252&lt;0,MIN($X$2:X253)&lt;0),1,0)</f>
        <v>0</v>
      </c>
      <c r="AB253">
        <f>IF(Расчёты!F253=0,0,IF(Расчёты!G253=1,N('Сценарный анализ'!$C$5),IF(Расчёты!G253=2,N('Сценарный анализ'!$C$6),IF(Расчёты!G253=3,N('Сценарный анализ'!$C$7),N('Сценарный анализ'!$C$7)*(1+N('Сценарный анализ'!$C$8))^(Расчёты!G253-3)))))</f>
        <v>0</v>
      </c>
      <c r="AC253">
        <f>IF(OR(Расчёты!F253=0,N('Исходные данные'!$B$5)=0,AB253=0),0,N('Исходные данные'!$B$5)*AB253*IF(AND(B253&lt;='Исходные данные'!$B$30,Расчёты!C253&gt;='Исходные данные'!$B$30),(Расчёты!C253-'Исходные данные'!$B$30+1)/DAY(Расчёты!C253),1))</f>
        <v>0</v>
      </c>
      <c r="AD253">
        <f>IF(AND(Расчёты!F253&gt;0,Расчёты!F253&lt;=N('Исходные данные'!$B$37)),-AC253,0)</f>
        <v>0</v>
      </c>
      <c r="AE253">
        <f>IF(OR(Расчёты!F253=0,Расчёты!F253&lt;=N('Исходные данные'!$B$37)),0,-(AC253+AD253)*N('Сценарный анализ'!$C$9))</f>
        <v>0</v>
      </c>
      <c r="AF253">
        <f t="shared" si="141"/>
        <v>0</v>
      </c>
      <c r="AG253">
        <f>IF('Исходные данные'!$B$51="Да",AF253*N('Исходные данные'!$B$52),0)</f>
        <v>0</v>
      </c>
      <c r="AH253">
        <f t="shared" si="142"/>
        <v>0</v>
      </c>
      <c r="AI253">
        <f>AF253+(Расчёты!Y253-Расчёты!L253)</f>
        <v>0</v>
      </c>
      <c r="AJ253">
        <f t="shared" si="129"/>
        <v>0</v>
      </c>
      <c r="AK253">
        <f>IF('Исходные данные'!$B$51="Да",-MAX(0,AG253+Расчёты!R253+Расчёты!V253-Расчёты!P253-Расчёты!T253-AJ253),0)</f>
        <v>0</v>
      </c>
      <c r="AL253">
        <f>IF('Исходные данные'!$B$51="Да",MAX(0,AJ253+Расчёты!P253+Расчёты!T253-AG253-Расчёты!R253-Расчёты!V253),0)</f>
        <v>0</v>
      </c>
      <c r="AM253">
        <f>IF('Исходные данные'!$B$53="Выручка",MAX(0,AF253+(Расчёты!Q253-Расчёты!R253)+(Расчёты!U253-Расчёты!V253)),IF('Исходные данные'!$B$53="Прибыль до налога",MAX(0,AF253+(Расчёты!Q253-Расчёты!R253)+(Расчёты!U253-Расчёты!V253)+N('Исходные данные'!$B$54)*((Расчёты!O253+Расчёты!P253)+(Расчёты!S253+Расчёты!T253)+Расчёты!W253+Расчёты!X253)+IF('Исходные данные'!$B$55="Да",Расчёты!AG253,0)-N('Исходные данные'!$B$56)/12),IF('Исходные данные'!$B$53="Пользовательская база",MAX(0,N('Исходные данные'!$B$57)/12),0)))</f>
        <v>0</v>
      </c>
      <c r="AN253">
        <f>IF(D253=1,-AM253*N('Исходные данные'!$B$50),0)</f>
        <v>0</v>
      </c>
      <c r="AO253">
        <f t="shared" si="130"/>
        <v>0</v>
      </c>
      <c r="AP253">
        <f>IF(OR(D253&lt;&gt;1,B253="",'Исходные данные'!$B$91="",N('Исходные данные'!$B$80)&lt;=0,'Исходные данные'!$B$88=""),0,IF(AND(YEAR(B253)=YEAR('Исходные данные'!$B$91),MONTH(B253)=MONTH('Исходные данные'!$B$91)),MAX(0,IF('Исходные данные'!$B$88="Последние 12 месяцев",SUMIFS($AI$2:$AI$194,$B$2:$B$194,"&gt;="&amp;EDATE(B253,-11),$B$2:$B$194,"&lt;="&amp;B253),IF('Исходные данные'!$B$88="Пользовательский NOI",N('Исходные данные'!$B$89),AO253))/N('Исходные данные'!$B$80)*(1+N('Исходные данные'!$B$81))),0))</f>
        <v>0</v>
      </c>
      <c r="AQ253">
        <f>-AP253*N('Исходные данные'!$B$73)</f>
        <v>0</v>
      </c>
      <c r="AR253">
        <f>IF(AP253=0,0,-N('Исходные данные'!$B$87)-IF('Исходные данные'!$B$82="Да",IF('Исходные данные'!$B$84="С выручки",AP253,IF('Исходные данные'!$B$84="С прибыли",MAX(0,AP253+AQ253-IF('Исходные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53">
        <f t="shared" si="143"/>
        <v>0</v>
      </c>
      <c r="AT253">
        <f>IF(D253=1,Расчёты!AZ253+AH253+AK253+AN253+AS253,0)</f>
        <v>0</v>
      </c>
      <c r="AU253" t="str">
        <f t="shared" si="131"/>
        <v/>
      </c>
      <c r="AV253">
        <f>IF(OR(D253=0,'Исходные данные'!$B$9="",'Исходные данные'!$B$90=""),0,AT253/(1+'Исходные данные'!$B$90)^((C253-'Исходные данные'!$B$9)/365))</f>
        <v>0</v>
      </c>
      <c r="AW253">
        <f>IF(D253=1,AH253+Расчёты!O253+Расчёты!Q253+Расчёты!S253+Расчёты!U253+Расчёты!W253+Расчёты!X253+AK253+AN253,0)</f>
        <v>0</v>
      </c>
      <c r="AX253">
        <f>IF(AND(D253=1,AU253&gt;=0,AU252&lt;0,MIN($AU$2:AU253)&lt;0),1,0)</f>
        <v>0</v>
      </c>
      <c r="AY253">
        <f>IF(Расчёты!F253=0,0,IF(Расчёты!G253=1,N('Сценарный анализ'!$D$5),IF(Расчёты!G253=2,N('Сценарный анализ'!$D$6),IF(Расчёты!G253=3,N('Сценарный анализ'!$D$7),N('Сценарный анализ'!$D$7)*(1+N('Сценарный анализ'!$D$8))^(Расчёты!G253-3)))))</f>
        <v>0</v>
      </c>
      <c r="AZ253">
        <f>IF(OR(Расчёты!F253=0,N('Исходные данные'!$B$5)=0,AY253=0),0,N('Исходные данные'!$B$5)*AY253*IF(AND(B253&lt;='Исходные данные'!$B$30,Расчёты!C253&gt;='Исходные данные'!$B$30),(Расчёты!C253-'Исходные данные'!$B$30+1)/DAY(Расчёты!C253),1))</f>
        <v>0</v>
      </c>
      <c r="BA253">
        <f>IF(AND(Расчёты!F253&gt;0,Расчёты!F253&lt;=N('Исходные данные'!$B$37)),-AZ253,0)</f>
        <v>0</v>
      </c>
      <c r="BB253">
        <f>IF(OR(Расчёты!F253=0,Расчёты!F253&lt;=N('Исходные данные'!$B$37)),0,-(AZ253+BA253)*N('Сценарный анализ'!$D$9))</f>
        <v>0</v>
      </c>
      <c r="BC253">
        <f t="shared" si="144"/>
        <v>0</v>
      </c>
      <c r="BD253">
        <f>IF('Исходные данные'!$B$51="Да",BC253*N('Исходные данные'!$B$52),0)</f>
        <v>0</v>
      </c>
      <c r="BE253">
        <f t="shared" si="145"/>
        <v>0</v>
      </c>
      <c r="BF253">
        <f>BC253+(Расчёты!Y253-Расчёты!L253)</f>
        <v>0</v>
      </c>
      <c r="BG253">
        <f t="shared" si="132"/>
        <v>0</v>
      </c>
      <c r="BH253">
        <f>IF('Исходные данные'!$B$51="Да",-MAX(0,BD253+Расчёты!R253+Расчёты!V253-Расчёты!P253-Расчёты!T253-BG253),0)</f>
        <v>0</v>
      </c>
      <c r="BI253">
        <f>IF('Исходные данные'!$B$51="Да",MAX(0,BG253+Расчёты!P253+Расчёты!T253-BD253-Расчёты!R253-Расчёты!V253),0)</f>
        <v>0</v>
      </c>
      <c r="BJ253">
        <f>IF('Исходные данные'!$B$53="Выручка",MAX(0,BC253+(Расчёты!Q253-Расчёты!R253)+(Расчёты!U253-Расчёты!V253)),IF('Исходные данные'!$B$53="Прибыль до налога",MAX(0,BC253+(Расчёты!Q253-Расчёты!R253)+(Расчёты!U253-Расчёты!V253)+N('Исходные данные'!$B$54)*((Расчёты!O253+Расчёты!P253)+(Расчёты!S253+Расчёты!T253)+Расчёты!W253+Расчёты!X253)+IF('Исходные данные'!$B$55="Да",Расчёты!AG253,0)-N('Исходные данные'!$B$56)/12),IF('Исходные данные'!$B$53="Пользовательская база",MAX(0,N('Исходные данные'!$B$57)/12),0)))</f>
        <v>0</v>
      </c>
      <c r="BK253">
        <f>IF(D253=1,-BJ253*N('Исходные данные'!$B$50),0)</f>
        <v>0</v>
      </c>
      <c r="BL253">
        <f t="shared" si="133"/>
        <v>0</v>
      </c>
      <c r="BM253">
        <f>IF(OR(D253&lt;&gt;1,B253="",'Исходные данные'!$B$91="",N('Исходные данные'!$B$80)&lt;=0,'Исходные данные'!$B$88=""),0,IF(AND(YEAR(B253)=YEAR('Исходные данные'!$B$91),MONTH(B253)=MONTH('Исходные данные'!$B$91)),MAX(0,IF('Исходные данные'!$B$88="Последние 12 месяцев",SUMIFS($BF$2:$BF$194,$B$2:$B$194,"&gt;="&amp;EDATE(B253,-11),$B$2:$B$194,"&lt;="&amp;B253),IF('Исходные данные'!$B$88="Пользовательский NOI",N('Исходные данные'!$B$89),BL253))/N('Исходные данные'!$B$80)*(1+N('Исходные данные'!$B$81))),0))</f>
        <v>0</v>
      </c>
      <c r="BN253">
        <f>-BM253*N('Исходные данные'!$B$73)</f>
        <v>0</v>
      </c>
      <c r="BO253">
        <f>IF(BM253=0,0,-N('Исходные данные'!$B$87)-IF('Исходные данные'!$B$82="Да",IF('Исходные данные'!$B$84="С выручки",BM253,IF('Исходные данные'!$B$84="С прибыли",MAX(0,BM253+BN253-IF('Исходные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53">
        <f t="shared" si="146"/>
        <v>0</v>
      </c>
      <c r="BQ253">
        <f>IF(D253=1,Расчёты!AZ253+BE253+BH253+BK253+BP253,0)</f>
        <v>0</v>
      </c>
      <c r="BR253" t="str">
        <f t="shared" si="134"/>
        <v/>
      </c>
      <c r="BS253">
        <f>IF(OR(D253=0,'Исходные данные'!$B$9="",'Исходные данные'!$B$90=""),0,BQ253/(1+'Исходные данные'!$B$90)^((C253-'Исходные данные'!$B$9)/365))</f>
        <v>0</v>
      </c>
      <c r="BT253">
        <f>IF(D253=1,BE253+Расчёты!O253+Расчёты!Q253+Расчёты!S253+Расчёты!U253+Расчёты!W253+Расчёты!X253+BH253+BK253,0)</f>
        <v>0</v>
      </c>
      <c r="BU253">
        <f>IF(AND(D253=1,BR253&gt;=0,BR252&lt;0,MIN($BR$2:BR253)&lt;0),1,0)</f>
        <v>0</v>
      </c>
      <c r="BV253">
        <f>Расчёты!AZ253+K253+N253-P253*N('Исходные данные'!$B$50)</f>
        <v>0</v>
      </c>
      <c r="BW253">
        <f t="shared" si="135"/>
        <v>0</v>
      </c>
      <c r="BX253">
        <f>IF(AND(BW253&gt;=0,BW252&lt;0,MIN($BW$2:BW253)&lt;0),1,0)</f>
        <v>0</v>
      </c>
      <c r="BY253">
        <f>Расчёты!AZ253+AH253+AK253-AM253*N('Исходные данные'!$B$50)</f>
        <v>0</v>
      </c>
      <c r="BZ253">
        <f t="shared" si="136"/>
        <v>0</v>
      </c>
      <c r="CA253">
        <f>IF(AND(BZ253&gt;=0,BZ252&lt;0,MIN($BZ$2:BZ253)&lt;0),1,0)</f>
        <v>0</v>
      </c>
      <c r="CB253">
        <f>Расчёты!AZ253+BE253+BH253-BJ253*N('Исходные данные'!$B$50)</f>
        <v>0</v>
      </c>
      <c r="CC253">
        <f t="shared" si="137"/>
        <v>0</v>
      </c>
      <c r="CD253">
        <f>IF(AND(CC253&gt;=0,CC252&lt;0,MIN($CC$2:CC253)&lt;0),1,0)</f>
        <v>0</v>
      </c>
    </row>
    <row r="254" spans="1:82" x14ac:dyDescent="0.2">
      <c r="A254">
        <f>Расчёты!A254</f>
        <v>253</v>
      </c>
      <c r="B254" t="str">
        <f>Расчёты!B254</f>
        <v/>
      </c>
      <c r="C254" t="str">
        <f>Расчёты!D254</f>
        <v/>
      </c>
      <c r="D254">
        <f>Расчёты!E254</f>
        <v>0</v>
      </c>
      <c r="E254">
        <f>IF(Расчёты!F254=0,0,IF(Расчёты!G254=1,N('Сценарный анализ'!$B$5),IF(Расчёты!G254=2,N('Сценарный анализ'!$B$6),IF(Расчёты!G254=3,N('Сценарный анализ'!$B$7),N('Сценарный анализ'!$B$7)*(1+N('Сценарный анализ'!$B$8))^(Расчёты!G254-3)))))</f>
        <v>0</v>
      </c>
      <c r="F254">
        <f>IF(OR(Расчёты!F254=0,N('Исходные данные'!$B$5)=0,E254=0),0,N('Исходные данные'!$B$5)*E254*IF(AND(B254&lt;='Исходные данные'!$B$30,Расчёты!C254&gt;='Исходные данные'!$B$30),(Расчёты!C254-'Исходные данные'!$B$30+1)/DAY(Расчёты!C254),1))</f>
        <v>0</v>
      </c>
      <c r="G254">
        <f>IF(AND(Расчёты!F254&gt;0,Расчёты!F254&lt;=N('Исходные данные'!$B$37)),-F254,0)</f>
        <v>0</v>
      </c>
      <c r="H254">
        <f>IF(OR(Расчёты!F254=0,Расчёты!F254&lt;=N('Исходные данные'!$B$37)),0,-(F254+G254)*N('Сценарный анализ'!$B$9))</f>
        <v>0</v>
      </c>
      <c r="I254">
        <f t="shared" si="138"/>
        <v>0</v>
      </c>
      <c r="J254">
        <f>IF('Исходные данные'!$B$51="Да",I254*N('Исходные данные'!$B$52),0)</f>
        <v>0</v>
      </c>
      <c r="K254">
        <f t="shared" si="139"/>
        <v>0</v>
      </c>
      <c r="L254">
        <f>I254+(Расчёты!Y254-Расчёты!L254)</f>
        <v>0</v>
      </c>
      <c r="M254">
        <f t="shared" si="126"/>
        <v>0</v>
      </c>
      <c r="N254">
        <f>IF('Исходные данные'!$B$51="Да",-MAX(0,J254+Расчёты!R254+Расчёты!V254-Расчёты!P254-Расчёты!T254-M254),0)</f>
        <v>0</v>
      </c>
      <c r="O254">
        <f>IF('Исходные данные'!$B$51="Да",MAX(0,M254+Расчёты!P254+Расчёты!T254-J254-Расчёты!R254-Расчёты!V254),0)</f>
        <v>0</v>
      </c>
      <c r="P254">
        <f>IF('Исходные данные'!$B$53="Выручка",MAX(0,I254+(Расчёты!Q254-Расчёты!R254)+(Расчёты!U254-Расчёты!V254)),IF('Исходные данные'!$B$53="Прибыль до налога",MAX(0,I254+(Расчёты!Q254-Расчёты!R254)+(Расчёты!U254-Расчёты!V254)+N('Исходные данные'!$B$54)*((Расчёты!O254+Расчёты!P254)+(Расчёты!S254+Расчёты!T254)+Расчёты!W254+Расчёты!X254)+IF('Исходные данные'!$B$55="Да",Расчёты!AG254,0)-N('Исходные данные'!$B$56)/12),IF('Исходные данные'!$B$53="Пользовательская база",MAX(0,N('Исходные данные'!$B$57)/12),0)))</f>
        <v>0</v>
      </c>
      <c r="Q254">
        <f>IF(D254=1,-P254*N('Исходные данные'!$B$50),0)</f>
        <v>0</v>
      </c>
      <c r="R254">
        <f t="shared" si="127"/>
        <v>0</v>
      </c>
      <c r="S254">
        <f>IF(OR(D254&lt;&gt;1,B254="",'Исходные данные'!$B$91="",N('Исходные данные'!$B$80)&lt;=0,'Исходные данные'!$B$88=""),0,IF(AND(YEAR(B254)=YEAR('Исходные данные'!$B$91),MONTH(B254)=MONTH('Исходные данные'!$B$91)),MAX(0,IF('Исходные данные'!$B$88="Последние 12 месяцев",SUMIFS($L$2:$L$194,$B$2:$B$194,"&gt;="&amp;EDATE(B254,-11),$B$2:$B$194,"&lt;="&amp;B254),IF('Исходные данные'!$B$88="Пользовательский NOI",N('Исходные данные'!$B$89),R254))/N('Исходные данные'!$B$80)*(1+N('Исходные данные'!$B$81))),0))</f>
        <v>0</v>
      </c>
      <c r="T254">
        <f>-S254*N('Исходные данные'!$B$73)</f>
        <v>0</v>
      </c>
      <c r="U254">
        <f>IF(S254=0,0,-N('Исходные данные'!$B$87)-IF('Исходные данные'!$B$82="Да",IF('Исходные данные'!$B$84="С выручки",S254,IF('Исходные данные'!$B$84="С прибыли",MAX(0,S254+T254-IF('Исходные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54">
        <f t="shared" si="140"/>
        <v>0</v>
      </c>
      <c r="W254">
        <f>IF(D254=1,Расчёты!AZ254+K254+N254+Q254+V254,0)</f>
        <v>0</v>
      </c>
      <c r="X254" t="str">
        <f t="shared" si="128"/>
        <v/>
      </c>
      <c r="Y254">
        <f>IF(OR(D254=0,'Исходные данные'!$B$9="",'Исходные данные'!$B$90=""),0,W254/(1+'Исходные данные'!$B$90)^((C254-'Исходные данные'!$B$9)/365))</f>
        <v>0</v>
      </c>
      <c r="Z254">
        <f>IF(D254=1,K254+Расчёты!O254+Расчёты!Q254+Расчёты!S254+Расчёты!U254+Расчёты!W254+Расчёты!X254+N254+Q254,0)</f>
        <v>0</v>
      </c>
      <c r="AA254">
        <f>IF(AND(D254=1,X254&gt;=0,X253&lt;0,MIN($X$2:X254)&lt;0),1,0)</f>
        <v>0</v>
      </c>
      <c r="AB254">
        <f>IF(Расчёты!F254=0,0,IF(Расчёты!G254=1,N('Сценарный анализ'!$C$5),IF(Расчёты!G254=2,N('Сценарный анализ'!$C$6),IF(Расчёты!G254=3,N('Сценарный анализ'!$C$7),N('Сценарный анализ'!$C$7)*(1+N('Сценарный анализ'!$C$8))^(Расчёты!G254-3)))))</f>
        <v>0</v>
      </c>
      <c r="AC254">
        <f>IF(OR(Расчёты!F254=0,N('Исходные данные'!$B$5)=0,AB254=0),0,N('Исходные данные'!$B$5)*AB254*IF(AND(B254&lt;='Исходные данные'!$B$30,Расчёты!C254&gt;='Исходные данные'!$B$30),(Расчёты!C254-'Исходные данные'!$B$30+1)/DAY(Расчёты!C254),1))</f>
        <v>0</v>
      </c>
      <c r="AD254">
        <f>IF(AND(Расчёты!F254&gt;0,Расчёты!F254&lt;=N('Исходные данные'!$B$37)),-AC254,0)</f>
        <v>0</v>
      </c>
      <c r="AE254">
        <f>IF(OR(Расчёты!F254=0,Расчёты!F254&lt;=N('Исходные данные'!$B$37)),0,-(AC254+AD254)*N('Сценарный анализ'!$C$9))</f>
        <v>0</v>
      </c>
      <c r="AF254">
        <f t="shared" si="141"/>
        <v>0</v>
      </c>
      <c r="AG254">
        <f>IF('Исходные данные'!$B$51="Да",AF254*N('Исходные данные'!$B$52),0)</f>
        <v>0</v>
      </c>
      <c r="AH254">
        <f t="shared" si="142"/>
        <v>0</v>
      </c>
      <c r="AI254">
        <f>AF254+(Расчёты!Y254-Расчёты!L254)</f>
        <v>0</v>
      </c>
      <c r="AJ254">
        <f t="shared" si="129"/>
        <v>0</v>
      </c>
      <c r="AK254">
        <f>IF('Исходные данные'!$B$51="Да",-MAX(0,AG254+Расчёты!R254+Расчёты!V254-Расчёты!P254-Расчёты!T254-AJ254),0)</f>
        <v>0</v>
      </c>
      <c r="AL254">
        <f>IF('Исходные данные'!$B$51="Да",MAX(0,AJ254+Расчёты!P254+Расчёты!T254-AG254-Расчёты!R254-Расчёты!V254),0)</f>
        <v>0</v>
      </c>
      <c r="AM254">
        <f>IF('Исходные данные'!$B$53="Выручка",MAX(0,AF254+(Расчёты!Q254-Расчёты!R254)+(Расчёты!U254-Расчёты!V254)),IF('Исходные данные'!$B$53="Прибыль до налога",MAX(0,AF254+(Расчёты!Q254-Расчёты!R254)+(Расчёты!U254-Расчёты!V254)+N('Исходные данные'!$B$54)*((Расчёты!O254+Расчёты!P254)+(Расчёты!S254+Расчёты!T254)+Расчёты!W254+Расчёты!X254)+IF('Исходные данные'!$B$55="Да",Расчёты!AG254,0)-N('Исходные данные'!$B$56)/12),IF('Исходные данные'!$B$53="Пользовательская база",MAX(0,N('Исходные данные'!$B$57)/12),0)))</f>
        <v>0</v>
      </c>
      <c r="AN254">
        <f>IF(D254=1,-AM254*N('Исходные данные'!$B$50),0)</f>
        <v>0</v>
      </c>
      <c r="AO254">
        <f t="shared" si="130"/>
        <v>0</v>
      </c>
      <c r="AP254">
        <f>IF(OR(D254&lt;&gt;1,B254="",'Исходные данные'!$B$91="",N('Исходные данные'!$B$80)&lt;=0,'Исходные данные'!$B$88=""),0,IF(AND(YEAR(B254)=YEAR('Исходные данные'!$B$91),MONTH(B254)=MONTH('Исходные данные'!$B$91)),MAX(0,IF('Исходные данные'!$B$88="Последние 12 месяцев",SUMIFS($AI$2:$AI$194,$B$2:$B$194,"&gt;="&amp;EDATE(B254,-11),$B$2:$B$194,"&lt;="&amp;B254),IF('Исходные данные'!$B$88="Пользовательский NOI",N('Исходные данные'!$B$89),AO254))/N('Исходные данные'!$B$80)*(1+N('Исходные данные'!$B$81))),0))</f>
        <v>0</v>
      </c>
      <c r="AQ254">
        <f>-AP254*N('Исходные данные'!$B$73)</f>
        <v>0</v>
      </c>
      <c r="AR254">
        <f>IF(AP254=0,0,-N('Исходные данные'!$B$87)-IF('Исходные данные'!$B$82="Да",IF('Исходные данные'!$B$84="С выручки",AP254,IF('Исходные данные'!$B$84="С прибыли",MAX(0,AP254+AQ254-IF('Исходные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54">
        <f t="shared" si="143"/>
        <v>0</v>
      </c>
      <c r="AT254">
        <f>IF(D254=1,Расчёты!AZ254+AH254+AK254+AN254+AS254,0)</f>
        <v>0</v>
      </c>
      <c r="AU254" t="str">
        <f t="shared" si="131"/>
        <v/>
      </c>
      <c r="AV254">
        <f>IF(OR(D254=0,'Исходные данные'!$B$9="",'Исходные данные'!$B$90=""),0,AT254/(1+'Исходные данные'!$B$90)^((C254-'Исходные данные'!$B$9)/365))</f>
        <v>0</v>
      </c>
      <c r="AW254">
        <f>IF(D254=1,AH254+Расчёты!O254+Расчёты!Q254+Расчёты!S254+Расчёты!U254+Расчёты!W254+Расчёты!X254+AK254+AN254,0)</f>
        <v>0</v>
      </c>
      <c r="AX254">
        <f>IF(AND(D254=1,AU254&gt;=0,AU253&lt;0,MIN($AU$2:AU254)&lt;0),1,0)</f>
        <v>0</v>
      </c>
      <c r="AY254">
        <f>IF(Расчёты!F254=0,0,IF(Расчёты!G254=1,N('Сценарный анализ'!$D$5),IF(Расчёты!G254=2,N('Сценарный анализ'!$D$6),IF(Расчёты!G254=3,N('Сценарный анализ'!$D$7),N('Сценарный анализ'!$D$7)*(1+N('Сценарный анализ'!$D$8))^(Расчёты!G254-3)))))</f>
        <v>0</v>
      </c>
      <c r="AZ254">
        <f>IF(OR(Расчёты!F254=0,N('Исходные данные'!$B$5)=0,AY254=0),0,N('Исходные данные'!$B$5)*AY254*IF(AND(B254&lt;='Исходные данные'!$B$30,Расчёты!C254&gt;='Исходные данные'!$B$30),(Расчёты!C254-'Исходные данные'!$B$30+1)/DAY(Расчёты!C254),1))</f>
        <v>0</v>
      </c>
      <c r="BA254">
        <f>IF(AND(Расчёты!F254&gt;0,Расчёты!F254&lt;=N('Исходные данные'!$B$37)),-AZ254,0)</f>
        <v>0</v>
      </c>
      <c r="BB254">
        <f>IF(OR(Расчёты!F254=0,Расчёты!F254&lt;=N('Исходные данные'!$B$37)),0,-(AZ254+BA254)*N('Сценарный анализ'!$D$9))</f>
        <v>0</v>
      </c>
      <c r="BC254">
        <f t="shared" si="144"/>
        <v>0</v>
      </c>
      <c r="BD254">
        <f>IF('Исходные данные'!$B$51="Да",BC254*N('Исходные данные'!$B$52),0)</f>
        <v>0</v>
      </c>
      <c r="BE254">
        <f t="shared" si="145"/>
        <v>0</v>
      </c>
      <c r="BF254">
        <f>BC254+(Расчёты!Y254-Расчёты!L254)</f>
        <v>0</v>
      </c>
      <c r="BG254">
        <f t="shared" si="132"/>
        <v>0</v>
      </c>
      <c r="BH254">
        <f>IF('Исходные данные'!$B$51="Да",-MAX(0,BD254+Расчёты!R254+Расчёты!V254-Расчёты!P254-Расчёты!T254-BG254),0)</f>
        <v>0</v>
      </c>
      <c r="BI254">
        <f>IF('Исходные данные'!$B$51="Да",MAX(0,BG254+Расчёты!P254+Расчёты!T254-BD254-Расчёты!R254-Расчёты!V254),0)</f>
        <v>0</v>
      </c>
      <c r="BJ254">
        <f>IF('Исходные данные'!$B$53="Выручка",MAX(0,BC254+(Расчёты!Q254-Расчёты!R254)+(Расчёты!U254-Расчёты!V254)),IF('Исходные данные'!$B$53="Прибыль до налога",MAX(0,BC254+(Расчёты!Q254-Расчёты!R254)+(Расчёты!U254-Расчёты!V254)+N('Исходные данные'!$B$54)*((Расчёты!O254+Расчёты!P254)+(Расчёты!S254+Расчёты!T254)+Расчёты!W254+Расчёты!X254)+IF('Исходные данные'!$B$55="Да",Расчёты!AG254,0)-N('Исходные данные'!$B$56)/12),IF('Исходные данные'!$B$53="Пользовательская база",MAX(0,N('Исходные данные'!$B$57)/12),0)))</f>
        <v>0</v>
      </c>
      <c r="BK254">
        <f>IF(D254=1,-BJ254*N('Исходные данные'!$B$50),0)</f>
        <v>0</v>
      </c>
      <c r="BL254">
        <f t="shared" si="133"/>
        <v>0</v>
      </c>
      <c r="BM254">
        <f>IF(OR(D254&lt;&gt;1,B254="",'Исходные данные'!$B$91="",N('Исходные данные'!$B$80)&lt;=0,'Исходные данные'!$B$88=""),0,IF(AND(YEAR(B254)=YEAR('Исходные данные'!$B$91),MONTH(B254)=MONTH('Исходные данные'!$B$91)),MAX(0,IF('Исходные данные'!$B$88="Последние 12 месяцев",SUMIFS($BF$2:$BF$194,$B$2:$B$194,"&gt;="&amp;EDATE(B254,-11),$B$2:$B$194,"&lt;="&amp;B254),IF('Исходные данные'!$B$88="Пользовательский NOI",N('Исходные данные'!$B$89),BL254))/N('Исходные данные'!$B$80)*(1+N('Исходные данные'!$B$81))),0))</f>
        <v>0</v>
      </c>
      <c r="BN254">
        <f>-BM254*N('Исходные данные'!$B$73)</f>
        <v>0</v>
      </c>
      <c r="BO254">
        <f>IF(BM254=0,0,-N('Исходные данные'!$B$87)-IF('Исходные данные'!$B$82="Да",IF('Исходные данные'!$B$84="С выручки",BM254,IF('Исходные данные'!$B$84="С прибыли",MAX(0,BM254+BN254-IF('Исходные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54">
        <f t="shared" si="146"/>
        <v>0</v>
      </c>
      <c r="BQ254">
        <f>IF(D254=1,Расчёты!AZ254+BE254+BH254+BK254+BP254,0)</f>
        <v>0</v>
      </c>
      <c r="BR254" t="str">
        <f t="shared" si="134"/>
        <v/>
      </c>
      <c r="BS254">
        <f>IF(OR(D254=0,'Исходные данные'!$B$9="",'Исходные данные'!$B$90=""),0,BQ254/(1+'Исходные данные'!$B$90)^((C254-'Исходные данные'!$B$9)/365))</f>
        <v>0</v>
      </c>
      <c r="BT254">
        <f>IF(D254=1,BE254+Расчёты!O254+Расчёты!Q254+Расчёты!S254+Расчёты!U254+Расчёты!W254+Расчёты!X254+BH254+BK254,0)</f>
        <v>0</v>
      </c>
      <c r="BU254">
        <f>IF(AND(D254=1,BR254&gt;=0,BR253&lt;0,MIN($BR$2:BR254)&lt;0),1,0)</f>
        <v>0</v>
      </c>
      <c r="BV254">
        <f>Расчёты!AZ254+K254+N254-P254*N('Исходные данные'!$B$50)</f>
        <v>0</v>
      </c>
      <c r="BW254">
        <f t="shared" si="135"/>
        <v>0</v>
      </c>
      <c r="BX254">
        <f>IF(AND(BW254&gt;=0,BW253&lt;0,MIN($BW$2:BW254)&lt;0),1,0)</f>
        <v>0</v>
      </c>
      <c r="BY254">
        <f>Расчёты!AZ254+AH254+AK254-AM254*N('Исходные данные'!$B$50)</f>
        <v>0</v>
      </c>
      <c r="BZ254">
        <f t="shared" si="136"/>
        <v>0</v>
      </c>
      <c r="CA254">
        <f>IF(AND(BZ254&gt;=0,BZ253&lt;0,MIN($BZ$2:BZ254)&lt;0),1,0)</f>
        <v>0</v>
      </c>
      <c r="CB254">
        <f>Расчёты!AZ254+BE254+BH254-BJ254*N('Исходные данные'!$B$50)</f>
        <v>0</v>
      </c>
      <c r="CC254">
        <f t="shared" si="137"/>
        <v>0</v>
      </c>
      <c r="CD254">
        <f>IF(AND(CC254&gt;=0,CC253&lt;0,MIN($CC$2:CC254)&lt;0),1,0)</f>
        <v>0</v>
      </c>
    </row>
    <row r="255" spans="1:82" x14ac:dyDescent="0.2">
      <c r="A255">
        <f>Расчёты!A255</f>
        <v>254</v>
      </c>
      <c r="B255" t="str">
        <f>Расчёты!B255</f>
        <v/>
      </c>
      <c r="C255" t="str">
        <f>Расчёты!D255</f>
        <v/>
      </c>
      <c r="D255">
        <f>Расчёты!E255</f>
        <v>0</v>
      </c>
      <c r="E255">
        <f>IF(Расчёты!F255=0,0,IF(Расчёты!G255=1,N('Сценарный анализ'!$B$5),IF(Расчёты!G255=2,N('Сценарный анализ'!$B$6),IF(Расчёты!G255=3,N('Сценарный анализ'!$B$7),N('Сценарный анализ'!$B$7)*(1+N('Сценарный анализ'!$B$8))^(Расчёты!G255-3)))))</f>
        <v>0</v>
      </c>
      <c r="F255">
        <f>IF(OR(Расчёты!F255=0,N('Исходные данные'!$B$5)=0,E255=0),0,N('Исходные данные'!$B$5)*E255*IF(AND(B255&lt;='Исходные данные'!$B$30,Расчёты!C255&gt;='Исходные данные'!$B$30),(Расчёты!C255-'Исходные данные'!$B$30+1)/DAY(Расчёты!C255),1))</f>
        <v>0</v>
      </c>
      <c r="G255">
        <f>IF(AND(Расчёты!F255&gt;0,Расчёты!F255&lt;=N('Исходные данные'!$B$37)),-F255,0)</f>
        <v>0</v>
      </c>
      <c r="H255">
        <f>IF(OR(Расчёты!F255=0,Расчёты!F255&lt;=N('Исходные данные'!$B$37)),0,-(F255+G255)*N('Сценарный анализ'!$B$9))</f>
        <v>0</v>
      </c>
      <c r="I255">
        <f t="shared" si="138"/>
        <v>0</v>
      </c>
      <c r="J255">
        <f>IF('Исходные данные'!$B$51="Да",I255*N('Исходные данные'!$B$52),0)</f>
        <v>0</v>
      </c>
      <c r="K255">
        <f t="shared" si="139"/>
        <v>0</v>
      </c>
      <c r="L255">
        <f>I255+(Расчёты!Y255-Расчёты!L255)</f>
        <v>0</v>
      </c>
      <c r="M255">
        <f t="shared" si="126"/>
        <v>0</v>
      </c>
      <c r="N255">
        <f>IF('Исходные данные'!$B$51="Да",-MAX(0,J255+Расчёты!R255+Расчёты!V255-Расчёты!P255-Расчёты!T255-M255),0)</f>
        <v>0</v>
      </c>
      <c r="O255">
        <f>IF('Исходные данные'!$B$51="Да",MAX(0,M255+Расчёты!P255+Расчёты!T255-J255-Расчёты!R255-Расчёты!V255),0)</f>
        <v>0</v>
      </c>
      <c r="P255">
        <f>IF('Исходные данные'!$B$53="Выручка",MAX(0,I255+(Расчёты!Q255-Расчёты!R255)+(Расчёты!U255-Расчёты!V255)),IF('Исходные данные'!$B$53="Прибыль до налога",MAX(0,I255+(Расчёты!Q255-Расчёты!R255)+(Расчёты!U255-Расчёты!V255)+N('Исходные данные'!$B$54)*((Расчёты!O255+Расчёты!P255)+(Расчёты!S255+Расчёты!T255)+Расчёты!W255+Расчёты!X255)+IF('Исходные данные'!$B$55="Да",Расчёты!AG255,0)-N('Исходные данные'!$B$56)/12),IF('Исходные данные'!$B$53="Пользовательская база",MAX(0,N('Исходные данные'!$B$57)/12),0)))</f>
        <v>0</v>
      </c>
      <c r="Q255">
        <f>IF(D255=1,-P255*N('Исходные данные'!$B$50),0)</f>
        <v>0</v>
      </c>
      <c r="R255">
        <f t="shared" si="127"/>
        <v>0</v>
      </c>
      <c r="S255">
        <f>IF(OR(D255&lt;&gt;1,B255="",'Исходные данные'!$B$91="",N('Исходные данные'!$B$80)&lt;=0,'Исходные данные'!$B$88=""),0,IF(AND(YEAR(B255)=YEAR('Исходные данные'!$B$91),MONTH(B255)=MONTH('Исходные данные'!$B$91)),MAX(0,IF('Исходные данные'!$B$88="Последние 12 месяцев",SUMIFS($L$2:$L$194,$B$2:$B$194,"&gt;="&amp;EDATE(B255,-11),$B$2:$B$194,"&lt;="&amp;B255),IF('Исходные данные'!$B$88="Пользовательский NOI",N('Исходные данные'!$B$89),R255))/N('Исходные данные'!$B$80)*(1+N('Исходные данные'!$B$81))),0))</f>
        <v>0</v>
      </c>
      <c r="T255">
        <f>-S255*N('Исходные данные'!$B$73)</f>
        <v>0</v>
      </c>
      <c r="U255">
        <f>IF(S255=0,0,-N('Исходные данные'!$B$87)-IF('Исходные данные'!$B$82="Да",IF('Исходные данные'!$B$84="С выручки",S255,IF('Исходные данные'!$B$84="С прибыли",MAX(0,S255+T255-IF('Исходные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55">
        <f t="shared" si="140"/>
        <v>0</v>
      </c>
      <c r="W255">
        <f>IF(D255=1,Расчёты!AZ255+K255+N255+Q255+V255,0)</f>
        <v>0</v>
      </c>
      <c r="X255" t="str">
        <f t="shared" si="128"/>
        <v/>
      </c>
      <c r="Y255">
        <f>IF(OR(D255=0,'Исходные данные'!$B$9="",'Исходные данные'!$B$90=""),0,W255/(1+'Исходные данные'!$B$90)^((C255-'Исходные данные'!$B$9)/365))</f>
        <v>0</v>
      </c>
      <c r="Z255">
        <f>IF(D255=1,K255+Расчёты!O255+Расчёты!Q255+Расчёты!S255+Расчёты!U255+Расчёты!W255+Расчёты!X255+N255+Q255,0)</f>
        <v>0</v>
      </c>
      <c r="AA255">
        <f>IF(AND(D255=1,X255&gt;=0,X254&lt;0,MIN($X$2:X255)&lt;0),1,0)</f>
        <v>0</v>
      </c>
      <c r="AB255">
        <f>IF(Расчёты!F255=0,0,IF(Расчёты!G255=1,N('Сценарный анализ'!$C$5),IF(Расчёты!G255=2,N('Сценарный анализ'!$C$6),IF(Расчёты!G255=3,N('Сценарный анализ'!$C$7),N('Сценарный анализ'!$C$7)*(1+N('Сценарный анализ'!$C$8))^(Расчёты!G255-3)))))</f>
        <v>0</v>
      </c>
      <c r="AC255">
        <f>IF(OR(Расчёты!F255=0,N('Исходные данные'!$B$5)=0,AB255=0),0,N('Исходные данные'!$B$5)*AB255*IF(AND(B255&lt;='Исходные данные'!$B$30,Расчёты!C255&gt;='Исходные данные'!$B$30),(Расчёты!C255-'Исходные данные'!$B$30+1)/DAY(Расчёты!C255),1))</f>
        <v>0</v>
      </c>
      <c r="AD255">
        <f>IF(AND(Расчёты!F255&gt;0,Расчёты!F255&lt;=N('Исходные данные'!$B$37)),-AC255,0)</f>
        <v>0</v>
      </c>
      <c r="AE255">
        <f>IF(OR(Расчёты!F255=0,Расчёты!F255&lt;=N('Исходные данные'!$B$37)),0,-(AC255+AD255)*N('Сценарный анализ'!$C$9))</f>
        <v>0</v>
      </c>
      <c r="AF255">
        <f t="shared" si="141"/>
        <v>0</v>
      </c>
      <c r="AG255">
        <f>IF('Исходные данные'!$B$51="Да",AF255*N('Исходные данные'!$B$52),0)</f>
        <v>0</v>
      </c>
      <c r="AH255">
        <f t="shared" si="142"/>
        <v>0</v>
      </c>
      <c r="AI255">
        <f>AF255+(Расчёты!Y255-Расчёты!L255)</f>
        <v>0</v>
      </c>
      <c r="AJ255">
        <f t="shared" si="129"/>
        <v>0</v>
      </c>
      <c r="AK255">
        <f>IF('Исходные данные'!$B$51="Да",-MAX(0,AG255+Расчёты!R255+Расчёты!V255-Расчёты!P255-Расчёты!T255-AJ255),0)</f>
        <v>0</v>
      </c>
      <c r="AL255">
        <f>IF('Исходные данные'!$B$51="Да",MAX(0,AJ255+Расчёты!P255+Расчёты!T255-AG255-Расчёты!R255-Расчёты!V255),0)</f>
        <v>0</v>
      </c>
      <c r="AM255">
        <f>IF('Исходные данные'!$B$53="Выручка",MAX(0,AF255+(Расчёты!Q255-Расчёты!R255)+(Расчёты!U255-Расчёты!V255)),IF('Исходные данные'!$B$53="Прибыль до налога",MAX(0,AF255+(Расчёты!Q255-Расчёты!R255)+(Расчёты!U255-Расчёты!V255)+N('Исходные данные'!$B$54)*((Расчёты!O255+Расчёты!P255)+(Расчёты!S255+Расчёты!T255)+Расчёты!W255+Расчёты!X255)+IF('Исходные данные'!$B$55="Да",Расчёты!AG255,0)-N('Исходные данные'!$B$56)/12),IF('Исходные данные'!$B$53="Пользовательская база",MAX(0,N('Исходные данные'!$B$57)/12),0)))</f>
        <v>0</v>
      </c>
      <c r="AN255">
        <f>IF(D255=1,-AM255*N('Исходные данные'!$B$50),0)</f>
        <v>0</v>
      </c>
      <c r="AO255">
        <f t="shared" si="130"/>
        <v>0</v>
      </c>
      <c r="AP255">
        <f>IF(OR(D255&lt;&gt;1,B255="",'Исходные данные'!$B$91="",N('Исходные данные'!$B$80)&lt;=0,'Исходные данные'!$B$88=""),0,IF(AND(YEAR(B255)=YEAR('Исходные данные'!$B$91),MONTH(B255)=MONTH('Исходные данные'!$B$91)),MAX(0,IF('Исходные данные'!$B$88="Последние 12 месяцев",SUMIFS($AI$2:$AI$194,$B$2:$B$194,"&gt;="&amp;EDATE(B255,-11),$B$2:$B$194,"&lt;="&amp;B255),IF('Исходные данные'!$B$88="Пользовательский NOI",N('Исходные данные'!$B$89),AO255))/N('Исходные данные'!$B$80)*(1+N('Исходные данные'!$B$81))),0))</f>
        <v>0</v>
      </c>
      <c r="AQ255">
        <f>-AP255*N('Исходные данные'!$B$73)</f>
        <v>0</v>
      </c>
      <c r="AR255">
        <f>IF(AP255=0,0,-N('Исходные данные'!$B$87)-IF('Исходные данные'!$B$82="Да",IF('Исходные данные'!$B$84="С выручки",AP255,IF('Исходные данные'!$B$84="С прибыли",MAX(0,AP255+AQ255-IF('Исходные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55">
        <f t="shared" si="143"/>
        <v>0</v>
      </c>
      <c r="AT255">
        <f>IF(D255=1,Расчёты!AZ255+AH255+AK255+AN255+AS255,0)</f>
        <v>0</v>
      </c>
      <c r="AU255" t="str">
        <f t="shared" si="131"/>
        <v/>
      </c>
      <c r="AV255">
        <f>IF(OR(D255=0,'Исходные данные'!$B$9="",'Исходные данные'!$B$90=""),0,AT255/(1+'Исходные данные'!$B$90)^((C255-'Исходные данные'!$B$9)/365))</f>
        <v>0</v>
      </c>
      <c r="AW255">
        <f>IF(D255=1,AH255+Расчёты!O255+Расчёты!Q255+Расчёты!S255+Расчёты!U255+Расчёты!W255+Расчёты!X255+AK255+AN255,0)</f>
        <v>0</v>
      </c>
      <c r="AX255">
        <f>IF(AND(D255=1,AU255&gt;=0,AU254&lt;0,MIN($AU$2:AU255)&lt;0),1,0)</f>
        <v>0</v>
      </c>
      <c r="AY255">
        <f>IF(Расчёты!F255=0,0,IF(Расчёты!G255=1,N('Сценарный анализ'!$D$5),IF(Расчёты!G255=2,N('Сценарный анализ'!$D$6),IF(Расчёты!G255=3,N('Сценарный анализ'!$D$7),N('Сценарный анализ'!$D$7)*(1+N('Сценарный анализ'!$D$8))^(Расчёты!G255-3)))))</f>
        <v>0</v>
      </c>
      <c r="AZ255">
        <f>IF(OR(Расчёты!F255=0,N('Исходные данные'!$B$5)=0,AY255=0),0,N('Исходные данные'!$B$5)*AY255*IF(AND(B255&lt;='Исходные данные'!$B$30,Расчёты!C255&gt;='Исходные данные'!$B$30),(Расчёты!C255-'Исходные данные'!$B$30+1)/DAY(Расчёты!C255),1))</f>
        <v>0</v>
      </c>
      <c r="BA255">
        <f>IF(AND(Расчёты!F255&gt;0,Расчёты!F255&lt;=N('Исходные данные'!$B$37)),-AZ255,0)</f>
        <v>0</v>
      </c>
      <c r="BB255">
        <f>IF(OR(Расчёты!F255=0,Расчёты!F255&lt;=N('Исходные данные'!$B$37)),0,-(AZ255+BA255)*N('Сценарный анализ'!$D$9))</f>
        <v>0</v>
      </c>
      <c r="BC255">
        <f t="shared" si="144"/>
        <v>0</v>
      </c>
      <c r="BD255">
        <f>IF('Исходные данные'!$B$51="Да",BC255*N('Исходные данные'!$B$52),0)</f>
        <v>0</v>
      </c>
      <c r="BE255">
        <f t="shared" si="145"/>
        <v>0</v>
      </c>
      <c r="BF255">
        <f>BC255+(Расчёты!Y255-Расчёты!L255)</f>
        <v>0</v>
      </c>
      <c r="BG255">
        <f t="shared" si="132"/>
        <v>0</v>
      </c>
      <c r="BH255">
        <f>IF('Исходные данные'!$B$51="Да",-MAX(0,BD255+Расчёты!R255+Расчёты!V255-Расчёты!P255-Расчёты!T255-BG255),0)</f>
        <v>0</v>
      </c>
      <c r="BI255">
        <f>IF('Исходные данные'!$B$51="Да",MAX(0,BG255+Расчёты!P255+Расчёты!T255-BD255-Расчёты!R255-Расчёты!V255),0)</f>
        <v>0</v>
      </c>
      <c r="BJ255">
        <f>IF('Исходные данные'!$B$53="Выручка",MAX(0,BC255+(Расчёты!Q255-Расчёты!R255)+(Расчёты!U255-Расчёты!V255)),IF('Исходные данные'!$B$53="Прибыль до налога",MAX(0,BC255+(Расчёты!Q255-Расчёты!R255)+(Расчёты!U255-Расчёты!V255)+N('Исходные данные'!$B$54)*((Расчёты!O255+Расчёты!P255)+(Расчёты!S255+Расчёты!T255)+Расчёты!W255+Расчёты!X255)+IF('Исходные данные'!$B$55="Да",Расчёты!AG255,0)-N('Исходные данные'!$B$56)/12),IF('Исходные данные'!$B$53="Пользовательская база",MAX(0,N('Исходные данные'!$B$57)/12),0)))</f>
        <v>0</v>
      </c>
      <c r="BK255">
        <f>IF(D255=1,-BJ255*N('Исходные данные'!$B$50),0)</f>
        <v>0</v>
      </c>
      <c r="BL255">
        <f t="shared" si="133"/>
        <v>0</v>
      </c>
      <c r="BM255">
        <f>IF(OR(D255&lt;&gt;1,B255="",'Исходные данные'!$B$91="",N('Исходные данные'!$B$80)&lt;=0,'Исходные данные'!$B$88=""),0,IF(AND(YEAR(B255)=YEAR('Исходные данные'!$B$91),MONTH(B255)=MONTH('Исходные данные'!$B$91)),MAX(0,IF('Исходные данные'!$B$88="Последние 12 месяцев",SUMIFS($BF$2:$BF$194,$B$2:$B$194,"&gt;="&amp;EDATE(B255,-11),$B$2:$B$194,"&lt;="&amp;B255),IF('Исходные данные'!$B$88="Пользовательский NOI",N('Исходные данные'!$B$89),BL255))/N('Исходные данные'!$B$80)*(1+N('Исходные данные'!$B$81))),0))</f>
        <v>0</v>
      </c>
      <c r="BN255">
        <f>-BM255*N('Исходные данные'!$B$73)</f>
        <v>0</v>
      </c>
      <c r="BO255">
        <f>IF(BM255=0,0,-N('Исходные данные'!$B$87)-IF('Исходные данные'!$B$82="Да",IF('Исходные данные'!$B$84="С выручки",BM255,IF('Исходные данные'!$B$84="С прибыли",MAX(0,BM255+BN255-IF('Исходные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55">
        <f t="shared" si="146"/>
        <v>0</v>
      </c>
      <c r="BQ255">
        <f>IF(D255=1,Расчёты!AZ255+BE255+BH255+BK255+BP255,0)</f>
        <v>0</v>
      </c>
      <c r="BR255" t="str">
        <f t="shared" si="134"/>
        <v/>
      </c>
      <c r="BS255">
        <f>IF(OR(D255=0,'Исходные данные'!$B$9="",'Исходные данные'!$B$90=""),0,BQ255/(1+'Исходные данные'!$B$90)^((C255-'Исходные данные'!$B$9)/365))</f>
        <v>0</v>
      </c>
      <c r="BT255">
        <f>IF(D255=1,BE255+Расчёты!O255+Расчёты!Q255+Расчёты!S255+Расчёты!U255+Расчёты!W255+Расчёты!X255+BH255+BK255,0)</f>
        <v>0</v>
      </c>
      <c r="BU255">
        <f>IF(AND(D255=1,BR255&gt;=0,BR254&lt;0,MIN($BR$2:BR255)&lt;0),1,0)</f>
        <v>0</v>
      </c>
      <c r="BV255">
        <f>Расчёты!AZ255+K255+N255-P255*N('Исходные данные'!$B$50)</f>
        <v>0</v>
      </c>
      <c r="BW255">
        <f t="shared" si="135"/>
        <v>0</v>
      </c>
      <c r="BX255">
        <f>IF(AND(BW255&gt;=0,BW254&lt;0,MIN($BW$2:BW255)&lt;0),1,0)</f>
        <v>0</v>
      </c>
      <c r="BY255">
        <f>Расчёты!AZ255+AH255+AK255-AM255*N('Исходные данные'!$B$50)</f>
        <v>0</v>
      </c>
      <c r="BZ255">
        <f t="shared" si="136"/>
        <v>0</v>
      </c>
      <c r="CA255">
        <f>IF(AND(BZ255&gt;=0,BZ254&lt;0,MIN($BZ$2:BZ255)&lt;0),1,0)</f>
        <v>0</v>
      </c>
      <c r="CB255">
        <f>Расчёты!AZ255+BE255+BH255-BJ255*N('Исходные данные'!$B$50)</f>
        <v>0</v>
      </c>
      <c r="CC255">
        <f t="shared" si="137"/>
        <v>0</v>
      </c>
      <c r="CD255">
        <f>IF(AND(CC255&gt;=0,CC254&lt;0,MIN($CC$2:CC255)&lt;0),1,0)</f>
        <v>0</v>
      </c>
    </row>
    <row r="256" spans="1:82" x14ac:dyDescent="0.2">
      <c r="A256">
        <f>Расчёты!A256</f>
        <v>255</v>
      </c>
      <c r="B256" t="str">
        <f>Расчёты!B256</f>
        <v/>
      </c>
      <c r="C256" t="str">
        <f>Расчёты!D256</f>
        <v/>
      </c>
      <c r="D256">
        <f>Расчёты!E256</f>
        <v>0</v>
      </c>
      <c r="E256">
        <f>IF(Расчёты!F256=0,0,IF(Расчёты!G256=1,N('Сценарный анализ'!$B$5),IF(Расчёты!G256=2,N('Сценарный анализ'!$B$6),IF(Расчёты!G256=3,N('Сценарный анализ'!$B$7),N('Сценарный анализ'!$B$7)*(1+N('Сценарный анализ'!$B$8))^(Расчёты!G256-3)))))</f>
        <v>0</v>
      </c>
      <c r="F256">
        <f>IF(OR(Расчёты!F256=0,N('Исходные данные'!$B$5)=0,E256=0),0,N('Исходные данные'!$B$5)*E256*IF(AND(B256&lt;='Исходные данные'!$B$30,Расчёты!C256&gt;='Исходные данные'!$B$30),(Расчёты!C256-'Исходные данные'!$B$30+1)/DAY(Расчёты!C256),1))</f>
        <v>0</v>
      </c>
      <c r="G256">
        <f>IF(AND(Расчёты!F256&gt;0,Расчёты!F256&lt;=N('Исходные данные'!$B$37)),-F256,0)</f>
        <v>0</v>
      </c>
      <c r="H256">
        <f>IF(OR(Расчёты!F256=0,Расчёты!F256&lt;=N('Исходные данные'!$B$37)),0,-(F256+G256)*N('Сценарный анализ'!$B$9))</f>
        <v>0</v>
      </c>
      <c r="I256">
        <f t="shared" si="138"/>
        <v>0</v>
      </c>
      <c r="J256">
        <f>IF('Исходные данные'!$B$51="Да",I256*N('Исходные данные'!$B$52),0)</f>
        <v>0</v>
      </c>
      <c r="K256">
        <f t="shared" si="139"/>
        <v>0</v>
      </c>
      <c r="L256">
        <f>I256+(Расчёты!Y256-Расчёты!L256)</f>
        <v>0</v>
      </c>
      <c r="M256">
        <f t="shared" si="126"/>
        <v>0</v>
      </c>
      <c r="N256">
        <f>IF('Исходные данные'!$B$51="Да",-MAX(0,J256+Расчёты!R256+Расчёты!V256-Расчёты!P256-Расчёты!T256-M256),0)</f>
        <v>0</v>
      </c>
      <c r="O256">
        <f>IF('Исходные данные'!$B$51="Да",MAX(0,M256+Расчёты!P256+Расчёты!T256-J256-Расчёты!R256-Расчёты!V256),0)</f>
        <v>0</v>
      </c>
      <c r="P256">
        <f>IF('Исходные данные'!$B$53="Выручка",MAX(0,I256+(Расчёты!Q256-Расчёты!R256)+(Расчёты!U256-Расчёты!V256)),IF('Исходные данные'!$B$53="Прибыль до налога",MAX(0,I256+(Расчёты!Q256-Расчёты!R256)+(Расчёты!U256-Расчёты!V256)+N('Исходные данные'!$B$54)*((Расчёты!O256+Расчёты!P256)+(Расчёты!S256+Расчёты!T256)+Расчёты!W256+Расчёты!X256)+IF('Исходные данные'!$B$55="Да",Расчёты!AG256,0)-N('Исходные данные'!$B$56)/12),IF('Исходные данные'!$B$53="Пользовательская база",MAX(0,N('Исходные данные'!$B$57)/12),0)))</f>
        <v>0</v>
      </c>
      <c r="Q256">
        <f>IF(D256=1,-P256*N('Исходные данные'!$B$50),0)</f>
        <v>0</v>
      </c>
      <c r="R256">
        <f t="shared" si="127"/>
        <v>0</v>
      </c>
      <c r="S256">
        <f>IF(OR(D256&lt;&gt;1,B256="",'Исходные данные'!$B$91="",N('Исходные данные'!$B$80)&lt;=0,'Исходные данные'!$B$88=""),0,IF(AND(YEAR(B256)=YEAR('Исходные данные'!$B$91),MONTH(B256)=MONTH('Исходные данные'!$B$91)),MAX(0,IF('Исходные данные'!$B$88="Последние 12 месяцев",SUMIFS($L$2:$L$194,$B$2:$B$194,"&gt;="&amp;EDATE(B256,-11),$B$2:$B$194,"&lt;="&amp;B256),IF('Исходные данные'!$B$88="Пользовательский NOI",N('Исходные данные'!$B$89),R256))/N('Исходные данные'!$B$80)*(1+N('Исходные данные'!$B$81))),0))</f>
        <v>0</v>
      </c>
      <c r="T256">
        <f>-S256*N('Исходные данные'!$B$73)</f>
        <v>0</v>
      </c>
      <c r="U256">
        <f>IF(S256=0,0,-N('Исходные данные'!$B$87)-IF('Исходные данные'!$B$82="Да",IF('Исходные данные'!$B$84="С выручки",S256,IF('Исходные данные'!$B$84="С прибыли",MAX(0,S256+T256-IF('Исходные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56">
        <f t="shared" si="140"/>
        <v>0</v>
      </c>
      <c r="W256">
        <f>IF(D256=1,Расчёты!AZ256+K256+N256+Q256+V256,0)</f>
        <v>0</v>
      </c>
      <c r="X256" t="str">
        <f t="shared" si="128"/>
        <v/>
      </c>
      <c r="Y256">
        <f>IF(OR(D256=0,'Исходные данные'!$B$9="",'Исходные данные'!$B$90=""),0,W256/(1+'Исходные данные'!$B$90)^((C256-'Исходные данные'!$B$9)/365))</f>
        <v>0</v>
      </c>
      <c r="Z256">
        <f>IF(D256=1,K256+Расчёты!O256+Расчёты!Q256+Расчёты!S256+Расчёты!U256+Расчёты!W256+Расчёты!X256+N256+Q256,0)</f>
        <v>0</v>
      </c>
      <c r="AA256">
        <f>IF(AND(D256=1,X256&gt;=0,X255&lt;0,MIN($X$2:X256)&lt;0),1,0)</f>
        <v>0</v>
      </c>
      <c r="AB256">
        <f>IF(Расчёты!F256=0,0,IF(Расчёты!G256=1,N('Сценарный анализ'!$C$5),IF(Расчёты!G256=2,N('Сценарный анализ'!$C$6),IF(Расчёты!G256=3,N('Сценарный анализ'!$C$7),N('Сценарный анализ'!$C$7)*(1+N('Сценарный анализ'!$C$8))^(Расчёты!G256-3)))))</f>
        <v>0</v>
      </c>
      <c r="AC256">
        <f>IF(OR(Расчёты!F256=0,N('Исходные данные'!$B$5)=0,AB256=0),0,N('Исходные данные'!$B$5)*AB256*IF(AND(B256&lt;='Исходные данные'!$B$30,Расчёты!C256&gt;='Исходные данные'!$B$30),(Расчёты!C256-'Исходные данные'!$B$30+1)/DAY(Расчёты!C256),1))</f>
        <v>0</v>
      </c>
      <c r="AD256">
        <f>IF(AND(Расчёты!F256&gt;0,Расчёты!F256&lt;=N('Исходные данные'!$B$37)),-AC256,0)</f>
        <v>0</v>
      </c>
      <c r="AE256">
        <f>IF(OR(Расчёты!F256=0,Расчёты!F256&lt;=N('Исходные данные'!$B$37)),0,-(AC256+AD256)*N('Сценарный анализ'!$C$9))</f>
        <v>0</v>
      </c>
      <c r="AF256">
        <f t="shared" si="141"/>
        <v>0</v>
      </c>
      <c r="AG256">
        <f>IF('Исходные данные'!$B$51="Да",AF256*N('Исходные данные'!$B$52),0)</f>
        <v>0</v>
      </c>
      <c r="AH256">
        <f t="shared" si="142"/>
        <v>0</v>
      </c>
      <c r="AI256">
        <f>AF256+(Расчёты!Y256-Расчёты!L256)</f>
        <v>0</v>
      </c>
      <c r="AJ256">
        <f t="shared" si="129"/>
        <v>0</v>
      </c>
      <c r="AK256">
        <f>IF('Исходные данные'!$B$51="Да",-MAX(0,AG256+Расчёты!R256+Расчёты!V256-Расчёты!P256-Расчёты!T256-AJ256),0)</f>
        <v>0</v>
      </c>
      <c r="AL256">
        <f>IF('Исходные данные'!$B$51="Да",MAX(0,AJ256+Расчёты!P256+Расчёты!T256-AG256-Расчёты!R256-Расчёты!V256),0)</f>
        <v>0</v>
      </c>
      <c r="AM256">
        <f>IF('Исходные данные'!$B$53="Выручка",MAX(0,AF256+(Расчёты!Q256-Расчёты!R256)+(Расчёты!U256-Расчёты!V256)),IF('Исходные данные'!$B$53="Прибыль до налога",MAX(0,AF256+(Расчёты!Q256-Расчёты!R256)+(Расчёты!U256-Расчёты!V256)+N('Исходные данные'!$B$54)*((Расчёты!O256+Расчёты!P256)+(Расчёты!S256+Расчёты!T256)+Расчёты!W256+Расчёты!X256)+IF('Исходные данные'!$B$55="Да",Расчёты!AG256,0)-N('Исходные данные'!$B$56)/12),IF('Исходные данные'!$B$53="Пользовательская база",MAX(0,N('Исходные данные'!$B$57)/12),0)))</f>
        <v>0</v>
      </c>
      <c r="AN256">
        <f>IF(D256=1,-AM256*N('Исходные данные'!$B$50),0)</f>
        <v>0</v>
      </c>
      <c r="AO256">
        <f t="shared" si="130"/>
        <v>0</v>
      </c>
      <c r="AP256">
        <f>IF(OR(D256&lt;&gt;1,B256="",'Исходные данные'!$B$91="",N('Исходные данные'!$B$80)&lt;=0,'Исходные данные'!$B$88=""),0,IF(AND(YEAR(B256)=YEAR('Исходные данные'!$B$91),MONTH(B256)=MONTH('Исходные данные'!$B$91)),MAX(0,IF('Исходные данные'!$B$88="Последние 12 месяцев",SUMIFS($AI$2:$AI$194,$B$2:$B$194,"&gt;="&amp;EDATE(B256,-11),$B$2:$B$194,"&lt;="&amp;B256),IF('Исходные данные'!$B$88="Пользовательский NOI",N('Исходные данные'!$B$89),AO256))/N('Исходные данные'!$B$80)*(1+N('Исходные данные'!$B$81))),0))</f>
        <v>0</v>
      </c>
      <c r="AQ256">
        <f>-AP256*N('Исходные данные'!$B$73)</f>
        <v>0</v>
      </c>
      <c r="AR256">
        <f>IF(AP256=0,0,-N('Исходные данные'!$B$87)-IF('Исходные данные'!$B$82="Да",IF('Исходные данные'!$B$84="С выручки",AP256,IF('Исходные данные'!$B$84="С прибыли",MAX(0,AP256+AQ256-IF('Исходные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56">
        <f t="shared" si="143"/>
        <v>0</v>
      </c>
      <c r="AT256">
        <f>IF(D256=1,Расчёты!AZ256+AH256+AK256+AN256+AS256,0)</f>
        <v>0</v>
      </c>
      <c r="AU256" t="str">
        <f t="shared" si="131"/>
        <v/>
      </c>
      <c r="AV256">
        <f>IF(OR(D256=0,'Исходные данные'!$B$9="",'Исходные данные'!$B$90=""),0,AT256/(1+'Исходные данные'!$B$90)^((C256-'Исходные данные'!$B$9)/365))</f>
        <v>0</v>
      </c>
      <c r="AW256">
        <f>IF(D256=1,AH256+Расчёты!O256+Расчёты!Q256+Расчёты!S256+Расчёты!U256+Расчёты!W256+Расчёты!X256+AK256+AN256,0)</f>
        <v>0</v>
      </c>
      <c r="AX256">
        <f>IF(AND(D256=1,AU256&gt;=0,AU255&lt;0,MIN($AU$2:AU256)&lt;0),1,0)</f>
        <v>0</v>
      </c>
      <c r="AY256">
        <f>IF(Расчёты!F256=0,0,IF(Расчёты!G256=1,N('Сценарный анализ'!$D$5),IF(Расчёты!G256=2,N('Сценарный анализ'!$D$6),IF(Расчёты!G256=3,N('Сценарный анализ'!$D$7),N('Сценарный анализ'!$D$7)*(1+N('Сценарный анализ'!$D$8))^(Расчёты!G256-3)))))</f>
        <v>0</v>
      </c>
      <c r="AZ256">
        <f>IF(OR(Расчёты!F256=0,N('Исходные данные'!$B$5)=0,AY256=0),0,N('Исходные данные'!$B$5)*AY256*IF(AND(B256&lt;='Исходные данные'!$B$30,Расчёты!C256&gt;='Исходные данные'!$B$30),(Расчёты!C256-'Исходные данные'!$B$30+1)/DAY(Расчёты!C256),1))</f>
        <v>0</v>
      </c>
      <c r="BA256">
        <f>IF(AND(Расчёты!F256&gt;0,Расчёты!F256&lt;=N('Исходные данные'!$B$37)),-AZ256,0)</f>
        <v>0</v>
      </c>
      <c r="BB256">
        <f>IF(OR(Расчёты!F256=0,Расчёты!F256&lt;=N('Исходные данные'!$B$37)),0,-(AZ256+BA256)*N('Сценарный анализ'!$D$9))</f>
        <v>0</v>
      </c>
      <c r="BC256">
        <f t="shared" si="144"/>
        <v>0</v>
      </c>
      <c r="BD256">
        <f>IF('Исходные данные'!$B$51="Да",BC256*N('Исходные данные'!$B$52),0)</f>
        <v>0</v>
      </c>
      <c r="BE256">
        <f t="shared" si="145"/>
        <v>0</v>
      </c>
      <c r="BF256">
        <f>BC256+(Расчёты!Y256-Расчёты!L256)</f>
        <v>0</v>
      </c>
      <c r="BG256">
        <f t="shared" si="132"/>
        <v>0</v>
      </c>
      <c r="BH256">
        <f>IF('Исходные данные'!$B$51="Да",-MAX(0,BD256+Расчёты!R256+Расчёты!V256-Расчёты!P256-Расчёты!T256-BG256),0)</f>
        <v>0</v>
      </c>
      <c r="BI256">
        <f>IF('Исходные данные'!$B$51="Да",MAX(0,BG256+Расчёты!P256+Расчёты!T256-BD256-Расчёты!R256-Расчёты!V256),0)</f>
        <v>0</v>
      </c>
      <c r="BJ256">
        <f>IF('Исходные данные'!$B$53="Выручка",MAX(0,BC256+(Расчёты!Q256-Расчёты!R256)+(Расчёты!U256-Расчёты!V256)),IF('Исходные данные'!$B$53="Прибыль до налога",MAX(0,BC256+(Расчёты!Q256-Расчёты!R256)+(Расчёты!U256-Расчёты!V256)+N('Исходные данные'!$B$54)*((Расчёты!O256+Расчёты!P256)+(Расчёты!S256+Расчёты!T256)+Расчёты!W256+Расчёты!X256)+IF('Исходные данные'!$B$55="Да",Расчёты!AG256,0)-N('Исходные данные'!$B$56)/12),IF('Исходные данные'!$B$53="Пользовательская база",MAX(0,N('Исходные данные'!$B$57)/12),0)))</f>
        <v>0</v>
      </c>
      <c r="BK256">
        <f>IF(D256=1,-BJ256*N('Исходные данные'!$B$50),0)</f>
        <v>0</v>
      </c>
      <c r="BL256">
        <f t="shared" si="133"/>
        <v>0</v>
      </c>
      <c r="BM256">
        <f>IF(OR(D256&lt;&gt;1,B256="",'Исходные данные'!$B$91="",N('Исходные данные'!$B$80)&lt;=0,'Исходные данные'!$B$88=""),0,IF(AND(YEAR(B256)=YEAR('Исходные данные'!$B$91),MONTH(B256)=MONTH('Исходные данные'!$B$91)),MAX(0,IF('Исходные данные'!$B$88="Последние 12 месяцев",SUMIFS($BF$2:$BF$194,$B$2:$B$194,"&gt;="&amp;EDATE(B256,-11),$B$2:$B$194,"&lt;="&amp;B256),IF('Исходные данные'!$B$88="Пользовательский NOI",N('Исходные данные'!$B$89),BL256))/N('Исходные данные'!$B$80)*(1+N('Исходные данные'!$B$81))),0))</f>
        <v>0</v>
      </c>
      <c r="BN256">
        <f>-BM256*N('Исходные данные'!$B$73)</f>
        <v>0</v>
      </c>
      <c r="BO256">
        <f>IF(BM256=0,0,-N('Исходные данные'!$B$87)-IF('Исходные данные'!$B$82="Да",IF('Исходные данные'!$B$84="С выручки",BM256,IF('Исходные данные'!$B$84="С прибыли",MAX(0,BM256+BN256-IF('Исходные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56">
        <f t="shared" si="146"/>
        <v>0</v>
      </c>
      <c r="BQ256">
        <f>IF(D256=1,Расчёты!AZ256+BE256+BH256+BK256+BP256,0)</f>
        <v>0</v>
      </c>
      <c r="BR256" t="str">
        <f t="shared" si="134"/>
        <v/>
      </c>
      <c r="BS256">
        <f>IF(OR(D256=0,'Исходные данные'!$B$9="",'Исходные данные'!$B$90=""),0,BQ256/(1+'Исходные данные'!$B$90)^((C256-'Исходные данные'!$B$9)/365))</f>
        <v>0</v>
      </c>
      <c r="BT256">
        <f>IF(D256=1,BE256+Расчёты!O256+Расчёты!Q256+Расчёты!S256+Расчёты!U256+Расчёты!W256+Расчёты!X256+BH256+BK256,0)</f>
        <v>0</v>
      </c>
      <c r="BU256">
        <f>IF(AND(D256=1,BR256&gt;=0,BR255&lt;0,MIN($BR$2:BR256)&lt;0),1,0)</f>
        <v>0</v>
      </c>
      <c r="BV256">
        <f>Расчёты!AZ256+K256+N256-P256*N('Исходные данные'!$B$50)</f>
        <v>0</v>
      </c>
      <c r="BW256">
        <f t="shared" si="135"/>
        <v>0</v>
      </c>
      <c r="BX256">
        <f>IF(AND(BW256&gt;=0,BW255&lt;0,MIN($BW$2:BW256)&lt;0),1,0)</f>
        <v>0</v>
      </c>
      <c r="BY256">
        <f>Расчёты!AZ256+AH256+AK256-AM256*N('Исходные данные'!$B$50)</f>
        <v>0</v>
      </c>
      <c r="BZ256">
        <f t="shared" si="136"/>
        <v>0</v>
      </c>
      <c r="CA256">
        <f>IF(AND(BZ256&gt;=0,BZ255&lt;0,MIN($BZ$2:BZ256)&lt;0),1,0)</f>
        <v>0</v>
      </c>
      <c r="CB256">
        <f>Расчёты!AZ256+BE256+BH256-BJ256*N('Исходные данные'!$B$50)</f>
        <v>0</v>
      </c>
      <c r="CC256">
        <f t="shared" si="137"/>
        <v>0</v>
      </c>
      <c r="CD256">
        <f>IF(AND(CC256&gt;=0,CC255&lt;0,MIN($CC$2:CC256)&lt;0),1,0)</f>
        <v>0</v>
      </c>
    </row>
    <row r="257" spans="1:82" x14ac:dyDescent="0.2">
      <c r="A257">
        <f>Расчёты!A257</f>
        <v>256</v>
      </c>
      <c r="B257" t="str">
        <f>Расчёты!B257</f>
        <v/>
      </c>
      <c r="C257" t="str">
        <f>Расчёты!D257</f>
        <v/>
      </c>
      <c r="D257">
        <f>Расчёты!E257</f>
        <v>0</v>
      </c>
      <c r="E257">
        <f>IF(Расчёты!F257=0,0,IF(Расчёты!G257=1,N('Сценарный анализ'!$B$5),IF(Расчёты!G257=2,N('Сценарный анализ'!$B$6),IF(Расчёты!G257=3,N('Сценарный анализ'!$B$7),N('Сценарный анализ'!$B$7)*(1+N('Сценарный анализ'!$B$8))^(Расчёты!G257-3)))))</f>
        <v>0</v>
      </c>
      <c r="F257">
        <f>IF(OR(Расчёты!F257=0,N('Исходные данные'!$B$5)=0,E257=0),0,N('Исходные данные'!$B$5)*E257*IF(AND(B257&lt;='Исходные данные'!$B$30,Расчёты!C257&gt;='Исходные данные'!$B$30),(Расчёты!C257-'Исходные данные'!$B$30+1)/DAY(Расчёты!C257),1))</f>
        <v>0</v>
      </c>
      <c r="G257">
        <f>IF(AND(Расчёты!F257&gt;0,Расчёты!F257&lt;=N('Исходные данные'!$B$37)),-F257,0)</f>
        <v>0</v>
      </c>
      <c r="H257">
        <f>IF(OR(Расчёты!F257=0,Расчёты!F257&lt;=N('Исходные данные'!$B$37)),0,-(F257+G257)*N('Сценарный анализ'!$B$9))</f>
        <v>0</v>
      </c>
      <c r="I257">
        <f t="shared" si="138"/>
        <v>0</v>
      </c>
      <c r="J257">
        <f>IF('Исходные данные'!$B$51="Да",I257*N('Исходные данные'!$B$52),0)</f>
        <v>0</v>
      </c>
      <c r="K257">
        <f t="shared" si="139"/>
        <v>0</v>
      </c>
      <c r="L257">
        <f>I257+(Расчёты!Y257-Расчёты!L257)</f>
        <v>0</v>
      </c>
      <c r="M257">
        <f t="shared" si="126"/>
        <v>0</v>
      </c>
      <c r="N257">
        <f>IF('Исходные данные'!$B$51="Да",-MAX(0,J257+Расчёты!R257+Расчёты!V257-Расчёты!P257-Расчёты!T257-M257),0)</f>
        <v>0</v>
      </c>
      <c r="O257">
        <f>IF('Исходные данные'!$B$51="Да",MAX(0,M257+Расчёты!P257+Расчёты!T257-J257-Расчёты!R257-Расчёты!V257),0)</f>
        <v>0</v>
      </c>
      <c r="P257">
        <f>IF('Исходные данные'!$B$53="Выручка",MAX(0,I257+(Расчёты!Q257-Расчёты!R257)+(Расчёты!U257-Расчёты!V257)),IF('Исходные данные'!$B$53="Прибыль до налога",MAX(0,I257+(Расчёты!Q257-Расчёты!R257)+(Расчёты!U257-Расчёты!V257)+N('Исходные данные'!$B$54)*((Расчёты!O257+Расчёты!P257)+(Расчёты!S257+Расчёты!T257)+Расчёты!W257+Расчёты!X257)+IF('Исходные данные'!$B$55="Да",Расчёты!AG257,0)-N('Исходные данные'!$B$56)/12),IF('Исходные данные'!$B$53="Пользовательская база",MAX(0,N('Исходные данные'!$B$57)/12),0)))</f>
        <v>0</v>
      </c>
      <c r="Q257">
        <f>IF(D257=1,-P257*N('Исходные данные'!$B$50),0)</f>
        <v>0</v>
      </c>
      <c r="R257">
        <f t="shared" si="127"/>
        <v>0</v>
      </c>
      <c r="S257">
        <f>IF(OR(D257&lt;&gt;1,B257="",'Исходные данные'!$B$91="",N('Исходные данные'!$B$80)&lt;=0,'Исходные данные'!$B$88=""),0,IF(AND(YEAR(B257)=YEAR('Исходные данные'!$B$91),MONTH(B257)=MONTH('Исходные данные'!$B$91)),MAX(0,IF('Исходные данные'!$B$88="Последние 12 месяцев",SUMIFS($L$2:$L$194,$B$2:$B$194,"&gt;="&amp;EDATE(B257,-11),$B$2:$B$194,"&lt;="&amp;B257),IF('Исходные данные'!$B$88="Пользовательский NOI",N('Исходные данные'!$B$89),R257))/N('Исходные данные'!$B$80)*(1+N('Исходные данные'!$B$81))),0))</f>
        <v>0</v>
      </c>
      <c r="T257">
        <f>-S257*N('Исходные данные'!$B$73)</f>
        <v>0</v>
      </c>
      <c r="U257">
        <f>IF(S257=0,0,-N('Исходные данные'!$B$87)-IF('Исходные данные'!$B$82="Да",IF('Исходные данные'!$B$84="С выручки",S257,IF('Исходные данные'!$B$84="С прибыли",MAX(0,S257+T257-IF('Исходные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57">
        <f t="shared" si="140"/>
        <v>0</v>
      </c>
      <c r="W257">
        <f>IF(D257=1,Расчёты!AZ257+K257+N257+Q257+V257,0)</f>
        <v>0</v>
      </c>
      <c r="X257" t="str">
        <f t="shared" si="128"/>
        <v/>
      </c>
      <c r="Y257">
        <f>IF(OR(D257=0,'Исходные данные'!$B$9="",'Исходные данные'!$B$90=""),0,W257/(1+'Исходные данные'!$B$90)^((C257-'Исходные данные'!$B$9)/365))</f>
        <v>0</v>
      </c>
      <c r="Z257">
        <f>IF(D257=1,K257+Расчёты!O257+Расчёты!Q257+Расчёты!S257+Расчёты!U257+Расчёты!W257+Расчёты!X257+N257+Q257,0)</f>
        <v>0</v>
      </c>
      <c r="AA257">
        <f>IF(AND(D257=1,X257&gt;=0,X256&lt;0,MIN($X$2:X257)&lt;0),1,0)</f>
        <v>0</v>
      </c>
      <c r="AB257">
        <f>IF(Расчёты!F257=0,0,IF(Расчёты!G257=1,N('Сценарный анализ'!$C$5),IF(Расчёты!G257=2,N('Сценарный анализ'!$C$6),IF(Расчёты!G257=3,N('Сценарный анализ'!$C$7),N('Сценарный анализ'!$C$7)*(1+N('Сценарный анализ'!$C$8))^(Расчёты!G257-3)))))</f>
        <v>0</v>
      </c>
      <c r="AC257">
        <f>IF(OR(Расчёты!F257=0,N('Исходные данные'!$B$5)=0,AB257=0),0,N('Исходные данные'!$B$5)*AB257*IF(AND(B257&lt;='Исходные данные'!$B$30,Расчёты!C257&gt;='Исходные данные'!$B$30),(Расчёты!C257-'Исходные данные'!$B$30+1)/DAY(Расчёты!C257),1))</f>
        <v>0</v>
      </c>
      <c r="AD257">
        <f>IF(AND(Расчёты!F257&gt;0,Расчёты!F257&lt;=N('Исходные данные'!$B$37)),-AC257,0)</f>
        <v>0</v>
      </c>
      <c r="AE257">
        <f>IF(OR(Расчёты!F257=0,Расчёты!F257&lt;=N('Исходные данные'!$B$37)),0,-(AC257+AD257)*N('Сценарный анализ'!$C$9))</f>
        <v>0</v>
      </c>
      <c r="AF257">
        <f t="shared" si="141"/>
        <v>0</v>
      </c>
      <c r="AG257">
        <f>IF('Исходные данные'!$B$51="Да",AF257*N('Исходные данные'!$B$52),0)</f>
        <v>0</v>
      </c>
      <c r="AH257">
        <f t="shared" si="142"/>
        <v>0</v>
      </c>
      <c r="AI257">
        <f>AF257+(Расчёты!Y257-Расчёты!L257)</f>
        <v>0</v>
      </c>
      <c r="AJ257">
        <f t="shared" si="129"/>
        <v>0</v>
      </c>
      <c r="AK257">
        <f>IF('Исходные данные'!$B$51="Да",-MAX(0,AG257+Расчёты!R257+Расчёты!V257-Расчёты!P257-Расчёты!T257-AJ257),0)</f>
        <v>0</v>
      </c>
      <c r="AL257">
        <f>IF('Исходные данные'!$B$51="Да",MAX(0,AJ257+Расчёты!P257+Расчёты!T257-AG257-Расчёты!R257-Расчёты!V257),0)</f>
        <v>0</v>
      </c>
      <c r="AM257">
        <f>IF('Исходные данные'!$B$53="Выручка",MAX(0,AF257+(Расчёты!Q257-Расчёты!R257)+(Расчёты!U257-Расчёты!V257)),IF('Исходные данные'!$B$53="Прибыль до налога",MAX(0,AF257+(Расчёты!Q257-Расчёты!R257)+(Расчёты!U257-Расчёты!V257)+N('Исходные данные'!$B$54)*((Расчёты!O257+Расчёты!P257)+(Расчёты!S257+Расчёты!T257)+Расчёты!W257+Расчёты!X257)+IF('Исходные данные'!$B$55="Да",Расчёты!AG257,0)-N('Исходные данные'!$B$56)/12),IF('Исходные данные'!$B$53="Пользовательская база",MAX(0,N('Исходные данные'!$B$57)/12),0)))</f>
        <v>0</v>
      </c>
      <c r="AN257">
        <f>IF(D257=1,-AM257*N('Исходные данные'!$B$50),0)</f>
        <v>0</v>
      </c>
      <c r="AO257">
        <f t="shared" si="130"/>
        <v>0</v>
      </c>
      <c r="AP257">
        <f>IF(OR(D257&lt;&gt;1,B257="",'Исходные данные'!$B$91="",N('Исходные данные'!$B$80)&lt;=0,'Исходные данные'!$B$88=""),0,IF(AND(YEAR(B257)=YEAR('Исходные данные'!$B$91),MONTH(B257)=MONTH('Исходные данные'!$B$91)),MAX(0,IF('Исходные данные'!$B$88="Последние 12 месяцев",SUMIFS($AI$2:$AI$194,$B$2:$B$194,"&gt;="&amp;EDATE(B257,-11),$B$2:$B$194,"&lt;="&amp;B257),IF('Исходные данные'!$B$88="Пользовательский NOI",N('Исходные данные'!$B$89),AO257))/N('Исходные данные'!$B$80)*(1+N('Исходные данные'!$B$81))),0))</f>
        <v>0</v>
      </c>
      <c r="AQ257">
        <f>-AP257*N('Исходные данные'!$B$73)</f>
        <v>0</v>
      </c>
      <c r="AR257">
        <f>IF(AP257=0,0,-N('Исходные данные'!$B$87)-IF('Исходные данные'!$B$82="Да",IF('Исходные данные'!$B$84="С выручки",AP257,IF('Исходные данные'!$B$84="С прибыли",MAX(0,AP257+AQ257-IF('Исходные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57">
        <f t="shared" si="143"/>
        <v>0</v>
      </c>
      <c r="AT257">
        <f>IF(D257=1,Расчёты!AZ257+AH257+AK257+AN257+AS257,0)</f>
        <v>0</v>
      </c>
      <c r="AU257" t="str">
        <f t="shared" si="131"/>
        <v/>
      </c>
      <c r="AV257">
        <f>IF(OR(D257=0,'Исходные данные'!$B$9="",'Исходные данные'!$B$90=""),0,AT257/(1+'Исходные данные'!$B$90)^((C257-'Исходные данные'!$B$9)/365))</f>
        <v>0</v>
      </c>
      <c r="AW257">
        <f>IF(D257=1,AH257+Расчёты!O257+Расчёты!Q257+Расчёты!S257+Расчёты!U257+Расчёты!W257+Расчёты!X257+AK257+AN257,0)</f>
        <v>0</v>
      </c>
      <c r="AX257">
        <f>IF(AND(D257=1,AU257&gt;=0,AU256&lt;0,MIN($AU$2:AU257)&lt;0),1,0)</f>
        <v>0</v>
      </c>
      <c r="AY257">
        <f>IF(Расчёты!F257=0,0,IF(Расчёты!G257=1,N('Сценарный анализ'!$D$5),IF(Расчёты!G257=2,N('Сценарный анализ'!$D$6),IF(Расчёты!G257=3,N('Сценарный анализ'!$D$7),N('Сценарный анализ'!$D$7)*(1+N('Сценарный анализ'!$D$8))^(Расчёты!G257-3)))))</f>
        <v>0</v>
      </c>
      <c r="AZ257">
        <f>IF(OR(Расчёты!F257=0,N('Исходные данные'!$B$5)=0,AY257=0),0,N('Исходные данные'!$B$5)*AY257*IF(AND(B257&lt;='Исходные данные'!$B$30,Расчёты!C257&gt;='Исходные данные'!$B$30),(Расчёты!C257-'Исходные данные'!$B$30+1)/DAY(Расчёты!C257),1))</f>
        <v>0</v>
      </c>
      <c r="BA257">
        <f>IF(AND(Расчёты!F257&gt;0,Расчёты!F257&lt;=N('Исходные данные'!$B$37)),-AZ257,0)</f>
        <v>0</v>
      </c>
      <c r="BB257">
        <f>IF(OR(Расчёты!F257=0,Расчёты!F257&lt;=N('Исходные данные'!$B$37)),0,-(AZ257+BA257)*N('Сценарный анализ'!$D$9))</f>
        <v>0</v>
      </c>
      <c r="BC257">
        <f t="shared" si="144"/>
        <v>0</v>
      </c>
      <c r="BD257">
        <f>IF('Исходные данные'!$B$51="Да",BC257*N('Исходные данные'!$B$52),0)</f>
        <v>0</v>
      </c>
      <c r="BE257">
        <f t="shared" si="145"/>
        <v>0</v>
      </c>
      <c r="BF257">
        <f>BC257+(Расчёты!Y257-Расчёты!L257)</f>
        <v>0</v>
      </c>
      <c r="BG257">
        <f t="shared" si="132"/>
        <v>0</v>
      </c>
      <c r="BH257">
        <f>IF('Исходные данные'!$B$51="Да",-MAX(0,BD257+Расчёты!R257+Расчёты!V257-Расчёты!P257-Расчёты!T257-BG257),0)</f>
        <v>0</v>
      </c>
      <c r="BI257">
        <f>IF('Исходные данные'!$B$51="Да",MAX(0,BG257+Расчёты!P257+Расчёты!T257-BD257-Расчёты!R257-Расчёты!V257),0)</f>
        <v>0</v>
      </c>
      <c r="BJ257">
        <f>IF('Исходные данные'!$B$53="Выручка",MAX(0,BC257+(Расчёты!Q257-Расчёты!R257)+(Расчёты!U257-Расчёты!V257)),IF('Исходные данные'!$B$53="Прибыль до налога",MAX(0,BC257+(Расчёты!Q257-Расчёты!R257)+(Расчёты!U257-Расчёты!V257)+N('Исходные данные'!$B$54)*((Расчёты!O257+Расчёты!P257)+(Расчёты!S257+Расчёты!T257)+Расчёты!W257+Расчёты!X257)+IF('Исходные данные'!$B$55="Да",Расчёты!AG257,0)-N('Исходные данные'!$B$56)/12),IF('Исходные данные'!$B$53="Пользовательская база",MAX(0,N('Исходные данные'!$B$57)/12),0)))</f>
        <v>0</v>
      </c>
      <c r="BK257">
        <f>IF(D257=1,-BJ257*N('Исходные данные'!$B$50),0)</f>
        <v>0</v>
      </c>
      <c r="BL257">
        <f t="shared" si="133"/>
        <v>0</v>
      </c>
      <c r="BM257">
        <f>IF(OR(D257&lt;&gt;1,B257="",'Исходные данные'!$B$91="",N('Исходные данные'!$B$80)&lt;=0,'Исходные данные'!$B$88=""),0,IF(AND(YEAR(B257)=YEAR('Исходные данные'!$B$91),MONTH(B257)=MONTH('Исходные данные'!$B$91)),MAX(0,IF('Исходные данные'!$B$88="Последние 12 месяцев",SUMIFS($BF$2:$BF$194,$B$2:$B$194,"&gt;="&amp;EDATE(B257,-11),$B$2:$B$194,"&lt;="&amp;B257),IF('Исходные данные'!$B$88="Пользовательский NOI",N('Исходные данные'!$B$89),BL257))/N('Исходные данные'!$B$80)*(1+N('Исходные данные'!$B$81))),0))</f>
        <v>0</v>
      </c>
      <c r="BN257">
        <f>-BM257*N('Исходные данные'!$B$73)</f>
        <v>0</v>
      </c>
      <c r="BO257">
        <f>IF(BM257=0,0,-N('Исходные данные'!$B$87)-IF('Исходные данные'!$B$82="Да",IF('Исходные данные'!$B$84="С выручки",BM257,IF('Исходные данные'!$B$84="С прибыли",MAX(0,BM257+BN257-IF('Исходные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57">
        <f t="shared" si="146"/>
        <v>0</v>
      </c>
      <c r="BQ257">
        <f>IF(D257=1,Расчёты!AZ257+BE257+BH257+BK257+BP257,0)</f>
        <v>0</v>
      </c>
      <c r="BR257" t="str">
        <f t="shared" si="134"/>
        <v/>
      </c>
      <c r="BS257">
        <f>IF(OR(D257=0,'Исходные данные'!$B$9="",'Исходные данные'!$B$90=""),0,BQ257/(1+'Исходные данные'!$B$90)^((C257-'Исходные данные'!$B$9)/365))</f>
        <v>0</v>
      </c>
      <c r="BT257">
        <f>IF(D257=1,BE257+Расчёты!O257+Расчёты!Q257+Расчёты!S257+Расчёты!U257+Расчёты!W257+Расчёты!X257+BH257+BK257,0)</f>
        <v>0</v>
      </c>
      <c r="BU257">
        <f>IF(AND(D257=1,BR257&gt;=0,BR256&lt;0,MIN($BR$2:BR257)&lt;0),1,0)</f>
        <v>0</v>
      </c>
      <c r="BV257">
        <f>Расчёты!AZ257+K257+N257-P257*N('Исходные данные'!$B$50)</f>
        <v>0</v>
      </c>
      <c r="BW257">
        <f t="shared" si="135"/>
        <v>0</v>
      </c>
      <c r="BX257">
        <f>IF(AND(BW257&gt;=0,BW256&lt;0,MIN($BW$2:BW257)&lt;0),1,0)</f>
        <v>0</v>
      </c>
      <c r="BY257">
        <f>Расчёты!AZ257+AH257+AK257-AM257*N('Исходные данные'!$B$50)</f>
        <v>0</v>
      </c>
      <c r="BZ257">
        <f t="shared" si="136"/>
        <v>0</v>
      </c>
      <c r="CA257">
        <f>IF(AND(BZ257&gt;=0,BZ256&lt;0,MIN($BZ$2:BZ257)&lt;0),1,0)</f>
        <v>0</v>
      </c>
      <c r="CB257">
        <f>Расчёты!AZ257+BE257+BH257-BJ257*N('Исходные данные'!$B$50)</f>
        <v>0</v>
      </c>
      <c r="CC257">
        <f t="shared" si="137"/>
        <v>0</v>
      </c>
      <c r="CD257">
        <f>IF(AND(CC257&gt;=0,CC256&lt;0,MIN($CC$2:CC257)&lt;0),1,0)</f>
        <v>0</v>
      </c>
    </row>
    <row r="258" spans="1:82" x14ac:dyDescent="0.2">
      <c r="A258">
        <f>Расчёты!A258</f>
        <v>257</v>
      </c>
      <c r="B258" t="str">
        <f>Расчёты!B258</f>
        <v/>
      </c>
      <c r="C258" t="str">
        <f>Расчёты!D258</f>
        <v/>
      </c>
      <c r="D258">
        <f>Расчёты!E258</f>
        <v>0</v>
      </c>
      <c r="E258">
        <f>IF(Расчёты!F258=0,0,IF(Расчёты!G258=1,N('Сценарный анализ'!$B$5),IF(Расчёты!G258=2,N('Сценарный анализ'!$B$6),IF(Расчёты!G258=3,N('Сценарный анализ'!$B$7),N('Сценарный анализ'!$B$7)*(1+N('Сценарный анализ'!$B$8))^(Расчёты!G258-3)))))</f>
        <v>0</v>
      </c>
      <c r="F258">
        <f>IF(OR(Расчёты!F258=0,N('Исходные данные'!$B$5)=0,E258=0),0,N('Исходные данные'!$B$5)*E258*IF(AND(B258&lt;='Исходные данные'!$B$30,Расчёты!C258&gt;='Исходные данные'!$B$30),(Расчёты!C258-'Исходные данные'!$B$30+1)/DAY(Расчёты!C258),1))</f>
        <v>0</v>
      </c>
      <c r="G258">
        <f>IF(AND(Расчёты!F258&gt;0,Расчёты!F258&lt;=N('Исходные данные'!$B$37)),-F258,0)</f>
        <v>0</v>
      </c>
      <c r="H258">
        <f>IF(OR(Расчёты!F258=0,Расчёты!F258&lt;=N('Исходные данные'!$B$37)),0,-(F258+G258)*N('Сценарный анализ'!$B$9))</f>
        <v>0</v>
      </c>
      <c r="I258">
        <f t="shared" si="138"/>
        <v>0</v>
      </c>
      <c r="J258">
        <f>IF('Исходные данные'!$B$51="Да",I258*N('Исходные данные'!$B$52),0)</f>
        <v>0</v>
      </c>
      <c r="K258">
        <f t="shared" si="139"/>
        <v>0</v>
      </c>
      <c r="L258">
        <f>I258+(Расчёты!Y258-Расчёты!L258)</f>
        <v>0</v>
      </c>
      <c r="M258">
        <f t="shared" si="126"/>
        <v>0</v>
      </c>
      <c r="N258">
        <f>IF('Исходные данные'!$B$51="Да",-MAX(0,J258+Расчёты!R258+Расчёты!V258-Расчёты!P258-Расчёты!T258-M258),0)</f>
        <v>0</v>
      </c>
      <c r="O258">
        <f>IF('Исходные данные'!$B$51="Да",MAX(0,M258+Расчёты!P258+Расчёты!T258-J258-Расчёты!R258-Расчёты!V258),0)</f>
        <v>0</v>
      </c>
      <c r="P258">
        <f>IF('Исходные данные'!$B$53="Выручка",MAX(0,I258+(Расчёты!Q258-Расчёты!R258)+(Расчёты!U258-Расчёты!V258)),IF('Исходные данные'!$B$53="Прибыль до налога",MAX(0,I258+(Расчёты!Q258-Расчёты!R258)+(Расчёты!U258-Расчёты!V258)+N('Исходные данные'!$B$54)*((Расчёты!O258+Расчёты!P258)+(Расчёты!S258+Расчёты!T258)+Расчёты!W258+Расчёты!X258)+IF('Исходные данные'!$B$55="Да",Расчёты!AG258,0)-N('Исходные данные'!$B$56)/12),IF('Исходные данные'!$B$53="Пользовательская база",MAX(0,N('Исходные данные'!$B$57)/12),0)))</f>
        <v>0</v>
      </c>
      <c r="Q258">
        <f>IF(D258=1,-P258*N('Исходные данные'!$B$50),0)</f>
        <v>0</v>
      </c>
      <c r="R258">
        <f t="shared" si="127"/>
        <v>0</v>
      </c>
      <c r="S258">
        <f>IF(OR(D258&lt;&gt;1,B258="",'Исходные данные'!$B$91="",N('Исходные данные'!$B$80)&lt;=0,'Исходные данные'!$B$88=""),0,IF(AND(YEAR(B258)=YEAR('Исходные данные'!$B$91),MONTH(B258)=MONTH('Исходные данные'!$B$91)),MAX(0,IF('Исходные данные'!$B$88="Последние 12 месяцев",SUMIFS($L$2:$L$194,$B$2:$B$194,"&gt;="&amp;EDATE(B258,-11),$B$2:$B$194,"&lt;="&amp;B258),IF('Исходные данные'!$B$88="Пользовательский NOI",N('Исходные данные'!$B$89),R258))/N('Исходные данные'!$B$80)*(1+N('Исходные данные'!$B$81))),0))</f>
        <v>0</v>
      </c>
      <c r="T258">
        <f>-S258*N('Исходные данные'!$B$73)</f>
        <v>0</v>
      </c>
      <c r="U258">
        <f>IF(S258=0,0,-N('Исходные данные'!$B$87)-IF('Исходные данные'!$B$82="Да",IF('Исходные данные'!$B$84="С выручки",S258,IF('Исходные данные'!$B$84="С прибыли",MAX(0,S258+T258-IF('Исходные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58">
        <f t="shared" si="140"/>
        <v>0</v>
      </c>
      <c r="W258">
        <f>IF(D258=1,Расчёты!AZ258+K258+N258+Q258+V258,0)</f>
        <v>0</v>
      </c>
      <c r="X258" t="str">
        <f t="shared" si="128"/>
        <v/>
      </c>
      <c r="Y258">
        <f>IF(OR(D258=0,'Исходные данные'!$B$9="",'Исходные данные'!$B$90=""),0,W258/(1+'Исходные данные'!$B$90)^((C258-'Исходные данные'!$B$9)/365))</f>
        <v>0</v>
      </c>
      <c r="Z258">
        <f>IF(D258=1,K258+Расчёты!O258+Расчёты!Q258+Расчёты!S258+Расчёты!U258+Расчёты!W258+Расчёты!X258+N258+Q258,0)</f>
        <v>0</v>
      </c>
      <c r="AA258">
        <f>IF(AND(D258=1,X258&gt;=0,X257&lt;0,MIN($X$2:X258)&lt;0),1,0)</f>
        <v>0</v>
      </c>
      <c r="AB258">
        <f>IF(Расчёты!F258=0,0,IF(Расчёты!G258=1,N('Сценарный анализ'!$C$5),IF(Расчёты!G258=2,N('Сценарный анализ'!$C$6),IF(Расчёты!G258=3,N('Сценарный анализ'!$C$7),N('Сценарный анализ'!$C$7)*(1+N('Сценарный анализ'!$C$8))^(Расчёты!G258-3)))))</f>
        <v>0</v>
      </c>
      <c r="AC258">
        <f>IF(OR(Расчёты!F258=0,N('Исходные данные'!$B$5)=0,AB258=0),0,N('Исходные данные'!$B$5)*AB258*IF(AND(B258&lt;='Исходные данные'!$B$30,Расчёты!C258&gt;='Исходные данные'!$B$30),(Расчёты!C258-'Исходные данные'!$B$30+1)/DAY(Расчёты!C258),1))</f>
        <v>0</v>
      </c>
      <c r="AD258">
        <f>IF(AND(Расчёты!F258&gt;0,Расчёты!F258&lt;=N('Исходные данные'!$B$37)),-AC258,0)</f>
        <v>0</v>
      </c>
      <c r="AE258">
        <f>IF(OR(Расчёты!F258=0,Расчёты!F258&lt;=N('Исходные данные'!$B$37)),0,-(AC258+AD258)*N('Сценарный анализ'!$C$9))</f>
        <v>0</v>
      </c>
      <c r="AF258">
        <f t="shared" si="141"/>
        <v>0</v>
      </c>
      <c r="AG258">
        <f>IF('Исходные данные'!$B$51="Да",AF258*N('Исходные данные'!$B$52),0)</f>
        <v>0</v>
      </c>
      <c r="AH258">
        <f t="shared" si="142"/>
        <v>0</v>
      </c>
      <c r="AI258">
        <f>AF258+(Расчёты!Y258-Расчёты!L258)</f>
        <v>0</v>
      </c>
      <c r="AJ258">
        <f t="shared" si="129"/>
        <v>0</v>
      </c>
      <c r="AK258">
        <f>IF('Исходные данные'!$B$51="Да",-MAX(0,AG258+Расчёты!R258+Расчёты!V258-Расчёты!P258-Расчёты!T258-AJ258),0)</f>
        <v>0</v>
      </c>
      <c r="AL258">
        <f>IF('Исходные данные'!$B$51="Да",MAX(0,AJ258+Расчёты!P258+Расчёты!T258-AG258-Расчёты!R258-Расчёты!V258),0)</f>
        <v>0</v>
      </c>
      <c r="AM258">
        <f>IF('Исходные данные'!$B$53="Выручка",MAX(0,AF258+(Расчёты!Q258-Расчёты!R258)+(Расчёты!U258-Расчёты!V258)),IF('Исходные данные'!$B$53="Прибыль до налога",MAX(0,AF258+(Расчёты!Q258-Расчёты!R258)+(Расчёты!U258-Расчёты!V258)+N('Исходные данные'!$B$54)*((Расчёты!O258+Расчёты!P258)+(Расчёты!S258+Расчёты!T258)+Расчёты!W258+Расчёты!X258)+IF('Исходные данные'!$B$55="Да",Расчёты!AG258,0)-N('Исходные данные'!$B$56)/12),IF('Исходные данные'!$B$53="Пользовательская база",MAX(0,N('Исходные данные'!$B$57)/12),0)))</f>
        <v>0</v>
      </c>
      <c r="AN258">
        <f>IF(D258=1,-AM258*N('Исходные данные'!$B$50),0)</f>
        <v>0</v>
      </c>
      <c r="AO258">
        <f t="shared" si="130"/>
        <v>0</v>
      </c>
      <c r="AP258">
        <f>IF(OR(D258&lt;&gt;1,B258="",'Исходные данные'!$B$91="",N('Исходные данные'!$B$80)&lt;=0,'Исходные данные'!$B$88=""),0,IF(AND(YEAR(B258)=YEAR('Исходные данные'!$B$91),MONTH(B258)=MONTH('Исходные данные'!$B$91)),MAX(0,IF('Исходные данные'!$B$88="Последние 12 месяцев",SUMIFS($AI$2:$AI$194,$B$2:$B$194,"&gt;="&amp;EDATE(B258,-11),$B$2:$B$194,"&lt;="&amp;B258),IF('Исходные данные'!$B$88="Пользовательский NOI",N('Исходные данные'!$B$89),AO258))/N('Исходные данные'!$B$80)*(1+N('Исходные данные'!$B$81))),0))</f>
        <v>0</v>
      </c>
      <c r="AQ258">
        <f>-AP258*N('Исходные данные'!$B$73)</f>
        <v>0</v>
      </c>
      <c r="AR258">
        <f>IF(AP258=0,0,-N('Исходные данные'!$B$87)-IF('Исходные данные'!$B$82="Да",IF('Исходные данные'!$B$84="С выручки",AP258,IF('Исходные данные'!$B$84="С прибыли",MAX(0,AP258+AQ258-IF('Исходные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58">
        <f t="shared" si="143"/>
        <v>0</v>
      </c>
      <c r="AT258">
        <f>IF(D258=1,Расчёты!AZ258+AH258+AK258+AN258+AS258,0)</f>
        <v>0</v>
      </c>
      <c r="AU258" t="str">
        <f t="shared" si="131"/>
        <v/>
      </c>
      <c r="AV258">
        <f>IF(OR(D258=0,'Исходные данные'!$B$9="",'Исходные данные'!$B$90=""),0,AT258/(1+'Исходные данные'!$B$90)^((C258-'Исходные данные'!$B$9)/365))</f>
        <v>0</v>
      </c>
      <c r="AW258">
        <f>IF(D258=1,AH258+Расчёты!O258+Расчёты!Q258+Расчёты!S258+Расчёты!U258+Расчёты!W258+Расчёты!X258+AK258+AN258,0)</f>
        <v>0</v>
      </c>
      <c r="AX258">
        <f>IF(AND(D258=1,AU258&gt;=0,AU257&lt;0,MIN($AU$2:AU258)&lt;0),1,0)</f>
        <v>0</v>
      </c>
      <c r="AY258">
        <f>IF(Расчёты!F258=0,0,IF(Расчёты!G258=1,N('Сценарный анализ'!$D$5),IF(Расчёты!G258=2,N('Сценарный анализ'!$D$6),IF(Расчёты!G258=3,N('Сценарный анализ'!$D$7),N('Сценарный анализ'!$D$7)*(1+N('Сценарный анализ'!$D$8))^(Расчёты!G258-3)))))</f>
        <v>0</v>
      </c>
      <c r="AZ258">
        <f>IF(OR(Расчёты!F258=0,N('Исходные данные'!$B$5)=0,AY258=0),0,N('Исходные данные'!$B$5)*AY258*IF(AND(B258&lt;='Исходные данные'!$B$30,Расчёты!C258&gt;='Исходные данные'!$B$30),(Расчёты!C258-'Исходные данные'!$B$30+1)/DAY(Расчёты!C258),1))</f>
        <v>0</v>
      </c>
      <c r="BA258">
        <f>IF(AND(Расчёты!F258&gt;0,Расчёты!F258&lt;=N('Исходные данные'!$B$37)),-AZ258,0)</f>
        <v>0</v>
      </c>
      <c r="BB258">
        <f>IF(OR(Расчёты!F258=0,Расчёты!F258&lt;=N('Исходные данные'!$B$37)),0,-(AZ258+BA258)*N('Сценарный анализ'!$D$9))</f>
        <v>0</v>
      </c>
      <c r="BC258">
        <f t="shared" si="144"/>
        <v>0</v>
      </c>
      <c r="BD258">
        <f>IF('Исходные данные'!$B$51="Да",BC258*N('Исходные данные'!$B$52),0)</f>
        <v>0</v>
      </c>
      <c r="BE258">
        <f t="shared" si="145"/>
        <v>0</v>
      </c>
      <c r="BF258">
        <f>BC258+(Расчёты!Y258-Расчёты!L258)</f>
        <v>0</v>
      </c>
      <c r="BG258">
        <f t="shared" si="132"/>
        <v>0</v>
      </c>
      <c r="BH258">
        <f>IF('Исходные данные'!$B$51="Да",-MAX(0,BD258+Расчёты!R258+Расчёты!V258-Расчёты!P258-Расчёты!T258-BG258),0)</f>
        <v>0</v>
      </c>
      <c r="BI258">
        <f>IF('Исходные данные'!$B$51="Да",MAX(0,BG258+Расчёты!P258+Расчёты!T258-BD258-Расчёты!R258-Расчёты!V258),0)</f>
        <v>0</v>
      </c>
      <c r="BJ258">
        <f>IF('Исходные данные'!$B$53="Выручка",MAX(0,BC258+(Расчёты!Q258-Расчёты!R258)+(Расчёты!U258-Расчёты!V258)),IF('Исходные данные'!$B$53="Прибыль до налога",MAX(0,BC258+(Расчёты!Q258-Расчёты!R258)+(Расчёты!U258-Расчёты!V258)+N('Исходные данные'!$B$54)*((Расчёты!O258+Расчёты!P258)+(Расчёты!S258+Расчёты!T258)+Расчёты!W258+Расчёты!X258)+IF('Исходные данные'!$B$55="Да",Расчёты!AG258,0)-N('Исходные данные'!$B$56)/12),IF('Исходные данные'!$B$53="Пользовательская база",MAX(0,N('Исходные данные'!$B$57)/12),0)))</f>
        <v>0</v>
      </c>
      <c r="BK258">
        <f>IF(D258=1,-BJ258*N('Исходные данные'!$B$50),0)</f>
        <v>0</v>
      </c>
      <c r="BL258">
        <f t="shared" si="133"/>
        <v>0</v>
      </c>
      <c r="BM258">
        <f>IF(OR(D258&lt;&gt;1,B258="",'Исходные данные'!$B$91="",N('Исходные данные'!$B$80)&lt;=0,'Исходные данные'!$B$88=""),0,IF(AND(YEAR(B258)=YEAR('Исходные данные'!$B$91),MONTH(B258)=MONTH('Исходные данные'!$B$91)),MAX(0,IF('Исходные данные'!$B$88="Последние 12 месяцев",SUMIFS($BF$2:$BF$194,$B$2:$B$194,"&gt;="&amp;EDATE(B258,-11),$B$2:$B$194,"&lt;="&amp;B258),IF('Исходные данные'!$B$88="Пользовательский NOI",N('Исходные данные'!$B$89),BL258))/N('Исходные данные'!$B$80)*(1+N('Исходные данные'!$B$81))),0))</f>
        <v>0</v>
      </c>
      <c r="BN258">
        <f>-BM258*N('Исходные данные'!$B$73)</f>
        <v>0</v>
      </c>
      <c r="BO258">
        <f>IF(BM258=0,0,-N('Исходные данные'!$B$87)-IF('Исходные данные'!$B$82="Да",IF('Исходные данные'!$B$84="С выручки",BM258,IF('Исходные данные'!$B$84="С прибыли",MAX(0,BM258+BN258-IF('Исходные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58">
        <f t="shared" si="146"/>
        <v>0</v>
      </c>
      <c r="BQ258">
        <f>IF(D258=1,Расчёты!AZ258+BE258+BH258+BK258+BP258,0)</f>
        <v>0</v>
      </c>
      <c r="BR258" t="str">
        <f t="shared" si="134"/>
        <v/>
      </c>
      <c r="BS258">
        <f>IF(OR(D258=0,'Исходные данные'!$B$9="",'Исходные данные'!$B$90=""),0,BQ258/(1+'Исходные данные'!$B$90)^((C258-'Исходные данные'!$B$9)/365))</f>
        <v>0</v>
      </c>
      <c r="BT258">
        <f>IF(D258=1,BE258+Расчёты!O258+Расчёты!Q258+Расчёты!S258+Расчёты!U258+Расчёты!W258+Расчёты!X258+BH258+BK258,0)</f>
        <v>0</v>
      </c>
      <c r="BU258">
        <f>IF(AND(D258=1,BR258&gt;=0,BR257&lt;0,MIN($BR$2:BR258)&lt;0),1,0)</f>
        <v>0</v>
      </c>
      <c r="BV258">
        <f>Расчёты!AZ258+K258+N258-P258*N('Исходные данные'!$B$50)</f>
        <v>0</v>
      </c>
      <c r="BW258">
        <f t="shared" si="135"/>
        <v>0</v>
      </c>
      <c r="BX258">
        <f>IF(AND(BW258&gt;=0,BW257&lt;0,MIN($BW$2:BW258)&lt;0),1,0)</f>
        <v>0</v>
      </c>
      <c r="BY258">
        <f>Расчёты!AZ258+AH258+AK258-AM258*N('Исходные данные'!$B$50)</f>
        <v>0</v>
      </c>
      <c r="BZ258">
        <f t="shared" si="136"/>
        <v>0</v>
      </c>
      <c r="CA258">
        <f>IF(AND(BZ258&gt;=0,BZ257&lt;0,MIN($BZ$2:BZ258)&lt;0),1,0)</f>
        <v>0</v>
      </c>
      <c r="CB258">
        <f>Расчёты!AZ258+BE258+BH258-BJ258*N('Исходные данные'!$B$50)</f>
        <v>0</v>
      </c>
      <c r="CC258">
        <f t="shared" si="137"/>
        <v>0</v>
      </c>
      <c r="CD258">
        <f>IF(AND(CC258&gt;=0,CC257&lt;0,MIN($CC$2:CC258)&lt;0),1,0)</f>
        <v>0</v>
      </c>
    </row>
    <row r="259" spans="1:82" x14ac:dyDescent="0.2">
      <c r="A259">
        <f>Расчёты!A259</f>
        <v>258</v>
      </c>
      <c r="B259" t="str">
        <f>Расчёты!B259</f>
        <v/>
      </c>
      <c r="C259" t="str">
        <f>Расчёты!D259</f>
        <v/>
      </c>
      <c r="D259">
        <f>Расчёты!E259</f>
        <v>0</v>
      </c>
      <c r="E259">
        <f>IF(Расчёты!F259=0,0,IF(Расчёты!G259=1,N('Сценарный анализ'!$B$5),IF(Расчёты!G259=2,N('Сценарный анализ'!$B$6),IF(Расчёты!G259=3,N('Сценарный анализ'!$B$7),N('Сценарный анализ'!$B$7)*(1+N('Сценарный анализ'!$B$8))^(Расчёты!G259-3)))))</f>
        <v>0</v>
      </c>
      <c r="F259">
        <f>IF(OR(Расчёты!F259=0,N('Исходные данные'!$B$5)=0,E259=0),0,N('Исходные данные'!$B$5)*E259*IF(AND(B259&lt;='Исходные данные'!$B$30,Расчёты!C259&gt;='Исходные данные'!$B$30),(Расчёты!C259-'Исходные данные'!$B$30+1)/DAY(Расчёты!C259),1))</f>
        <v>0</v>
      </c>
      <c r="G259">
        <f>IF(AND(Расчёты!F259&gt;0,Расчёты!F259&lt;=N('Исходные данные'!$B$37)),-F259,0)</f>
        <v>0</v>
      </c>
      <c r="H259">
        <f>IF(OR(Расчёты!F259=0,Расчёты!F259&lt;=N('Исходные данные'!$B$37)),0,-(F259+G259)*N('Сценарный анализ'!$B$9))</f>
        <v>0</v>
      </c>
      <c r="I259">
        <f t="shared" si="138"/>
        <v>0</v>
      </c>
      <c r="J259">
        <f>IF('Исходные данные'!$B$51="Да",I259*N('Исходные данные'!$B$52),0)</f>
        <v>0</v>
      </c>
      <c r="K259">
        <f t="shared" si="139"/>
        <v>0</v>
      </c>
      <c r="L259">
        <f>I259+(Расчёты!Y259-Расчёты!L259)</f>
        <v>0</v>
      </c>
      <c r="M259">
        <f t="shared" ref="M259:M322" si="147">O258</f>
        <v>0</v>
      </c>
      <c r="N259">
        <f>IF('Исходные данные'!$B$51="Да",-MAX(0,J259+Расчёты!R259+Расчёты!V259-Расчёты!P259-Расчёты!T259-M259),0)</f>
        <v>0</v>
      </c>
      <c r="O259">
        <f>IF('Исходные данные'!$B$51="Да",MAX(0,M259+Расчёты!P259+Расчёты!T259-J259-Расчёты!R259-Расчёты!V259),0)</f>
        <v>0</v>
      </c>
      <c r="P259">
        <f>IF('Исходные данные'!$B$53="Выручка",MAX(0,I259+(Расчёты!Q259-Расчёты!R259)+(Расчёты!U259-Расчёты!V259)),IF('Исходные данные'!$B$53="Прибыль до налога",MAX(0,I259+(Расчёты!Q259-Расчёты!R259)+(Расчёты!U259-Расчёты!V259)+N('Исходные данные'!$B$54)*((Расчёты!O259+Расчёты!P259)+(Расчёты!S259+Расчёты!T259)+Расчёты!W259+Расчёты!X259)+IF('Исходные данные'!$B$55="Да",Расчёты!AG259,0)-N('Исходные данные'!$B$56)/12),IF('Исходные данные'!$B$53="Пользовательская база",MAX(0,N('Исходные данные'!$B$57)/12),0)))</f>
        <v>0</v>
      </c>
      <c r="Q259">
        <f>IF(D259=1,-P259*N('Исходные данные'!$B$50),0)</f>
        <v>0</v>
      </c>
      <c r="R259">
        <f t="shared" ref="R259:R322" si="148">IF(B259="",0,SUMIFS($L$2:$L$194,$B$2:$B$194,"&gt;"&amp;B259,$B$2:$B$194,"&lt;="&amp;EDATE(B259,12)))</f>
        <v>0</v>
      </c>
      <c r="S259">
        <f>IF(OR(D259&lt;&gt;1,B259="",'Исходные данные'!$B$91="",N('Исходные данные'!$B$80)&lt;=0,'Исходные данные'!$B$88=""),0,IF(AND(YEAR(B259)=YEAR('Исходные данные'!$B$91),MONTH(B259)=MONTH('Исходные данные'!$B$91)),MAX(0,IF('Исходные данные'!$B$88="Последние 12 месяцев",SUMIFS($L$2:$L$194,$B$2:$B$194,"&gt;="&amp;EDATE(B259,-11),$B$2:$B$194,"&lt;="&amp;B259),IF('Исходные данные'!$B$88="Пользовательский NOI",N('Исходные данные'!$B$89),R259))/N('Исходные данные'!$B$80)*(1+N('Исходные данные'!$B$81))),0))</f>
        <v>0</v>
      </c>
      <c r="T259">
        <f>-S259*N('Исходные данные'!$B$73)</f>
        <v>0</v>
      </c>
      <c r="U259">
        <f>IF(S259=0,0,-N('Исходные данные'!$B$87)-IF('Исходные данные'!$B$82="Да",IF('Исходные данные'!$B$84="С выручки",S259,IF('Исходные данные'!$B$84="С прибыли",MAX(0,S259+T259-IF('Исходные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59">
        <f t="shared" si="140"/>
        <v>0</v>
      </c>
      <c r="W259">
        <f>IF(D259=1,Расчёты!AZ259+K259+N259+Q259+V259,0)</f>
        <v>0</v>
      </c>
      <c r="X259" t="str">
        <f t="shared" ref="X259:X322" si="149">IF(D259=1,X258+W259,"")</f>
        <v/>
      </c>
      <c r="Y259">
        <f>IF(OR(D259=0,'Исходные данные'!$B$9="",'Исходные данные'!$B$90=""),0,W259/(1+'Исходные данные'!$B$90)^((C259-'Исходные данные'!$B$9)/365))</f>
        <v>0</v>
      </c>
      <c r="Z259">
        <f>IF(D259=1,K259+Расчёты!O259+Расчёты!Q259+Расчёты!S259+Расчёты!U259+Расчёты!W259+Расчёты!X259+N259+Q259,0)</f>
        <v>0</v>
      </c>
      <c r="AA259">
        <f>IF(AND(D259=1,X259&gt;=0,X258&lt;0,MIN($X$2:X259)&lt;0),1,0)</f>
        <v>0</v>
      </c>
      <c r="AB259">
        <f>IF(Расчёты!F259=0,0,IF(Расчёты!G259=1,N('Сценарный анализ'!$C$5),IF(Расчёты!G259=2,N('Сценарный анализ'!$C$6),IF(Расчёты!G259=3,N('Сценарный анализ'!$C$7),N('Сценарный анализ'!$C$7)*(1+N('Сценарный анализ'!$C$8))^(Расчёты!G259-3)))))</f>
        <v>0</v>
      </c>
      <c r="AC259">
        <f>IF(OR(Расчёты!F259=0,N('Исходные данные'!$B$5)=0,AB259=0),0,N('Исходные данные'!$B$5)*AB259*IF(AND(B259&lt;='Исходные данные'!$B$30,Расчёты!C259&gt;='Исходные данные'!$B$30),(Расчёты!C259-'Исходные данные'!$B$30+1)/DAY(Расчёты!C259),1))</f>
        <v>0</v>
      </c>
      <c r="AD259">
        <f>IF(AND(Расчёты!F259&gt;0,Расчёты!F259&lt;=N('Исходные данные'!$B$37)),-AC259,0)</f>
        <v>0</v>
      </c>
      <c r="AE259">
        <f>IF(OR(Расчёты!F259=0,Расчёты!F259&lt;=N('Исходные данные'!$B$37)),0,-(AC259+AD259)*N('Сценарный анализ'!$C$9))</f>
        <v>0</v>
      </c>
      <c r="AF259">
        <f t="shared" si="141"/>
        <v>0</v>
      </c>
      <c r="AG259">
        <f>IF('Исходные данные'!$B$51="Да",AF259*N('Исходные данные'!$B$52),0)</f>
        <v>0</v>
      </c>
      <c r="AH259">
        <f t="shared" si="142"/>
        <v>0</v>
      </c>
      <c r="AI259">
        <f>AF259+(Расчёты!Y259-Расчёты!L259)</f>
        <v>0</v>
      </c>
      <c r="AJ259">
        <f t="shared" ref="AJ259:AJ322" si="150">AL258</f>
        <v>0</v>
      </c>
      <c r="AK259">
        <f>IF('Исходные данные'!$B$51="Да",-MAX(0,AG259+Расчёты!R259+Расчёты!V259-Расчёты!P259-Расчёты!T259-AJ259),0)</f>
        <v>0</v>
      </c>
      <c r="AL259">
        <f>IF('Исходные данные'!$B$51="Да",MAX(0,AJ259+Расчёты!P259+Расчёты!T259-AG259-Расчёты!R259-Расчёты!V259),0)</f>
        <v>0</v>
      </c>
      <c r="AM259">
        <f>IF('Исходные данные'!$B$53="Выручка",MAX(0,AF259+(Расчёты!Q259-Расчёты!R259)+(Расчёты!U259-Расчёты!V259)),IF('Исходные данные'!$B$53="Прибыль до налога",MAX(0,AF259+(Расчёты!Q259-Расчёты!R259)+(Расчёты!U259-Расчёты!V259)+N('Исходные данные'!$B$54)*((Расчёты!O259+Расчёты!P259)+(Расчёты!S259+Расчёты!T259)+Расчёты!W259+Расчёты!X259)+IF('Исходные данные'!$B$55="Да",Расчёты!AG259,0)-N('Исходные данные'!$B$56)/12),IF('Исходные данные'!$B$53="Пользовательская база",MAX(0,N('Исходные данные'!$B$57)/12),0)))</f>
        <v>0</v>
      </c>
      <c r="AN259">
        <f>IF(D259=1,-AM259*N('Исходные данные'!$B$50),0)</f>
        <v>0</v>
      </c>
      <c r="AO259">
        <f t="shared" ref="AO259:AO322" si="151">IF(B259="",0,SUMIFS($AI$2:$AI$194,$B$2:$B$194,"&gt;"&amp;B259,$B$2:$B$194,"&lt;="&amp;EDATE(B259,12)))</f>
        <v>0</v>
      </c>
      <c r="AP259">
        <f>IF(OR(D259&lt;&gt;1,B259="",'Исходные данные'!$B$91="",N('Исходные данные'!$B$80)&lt;=0,'Исходные данные'!$B$88=""),0,IF(AND(YEAR(B259)=YEAR('Исходные данные'!$B$91),MONTH(B259)=MONTH('Исходные данные'!$B$91)),MAX(0,IF('Исходные данные'!$B$88="Последние 12 месяцев",SUMIFS($AI$2:$AI$194,$B$2:$B$194,"&gt;="&amp;EDATE(B259,-11),$B$2:$B$194,"&lt;="&amp;B259),IF('Исходные данные'!$B$88="Пользовательский NOI",N('Исходные данные'!$B$89),AO259))/N('Исходные данные'!$B$80)*(1+N('Исходные данные'!$B$81))),0))</f>
        <v>0</v>
      </c>
      <c r="AQ259">
        <f>-AP259*N('Исходные данные'!$B$73)</f>
        <v>0</v>
      </c>
      <c r="AR259">
        <f>IF(AP259=0,0,-N('Исходные данные'!$B$87)-IF('Исходные данные'!$B$82="Да",IF('Исходные данные'!$B$84="С выручки",AP259,IF('Исходные данные'!$B$84="С прибыли",MAX(0,AP259+AQ259-IF('Исходные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59">
        <f t="shared" si="143"/>
        <v>0</v>
      </c>
      <c r="AT259">
        <f>IF(D259=1,Расчёты!AZ259+AH259+AK259+AN259+AS259,0)</f>
        <v>0</v>
      </c>
      <c r="AU259" t="str">
        <f t="shared" ref="AU259:AU322" si="152">IF(D259=1,AU258+AT259,"")</f>
        <v/>
      </c>
      <c r="AV259">
        <f>IF(OR(D259=0,'Исходные данные'!$B$9="",'Исходные данные'!$B$90=""),0,AT259/(1+'Исходные данные'!$B$90)^((C259-'Исходные данные'!$B$9)/365))</f>
        <v>0</v>
      </c>
      <c r="AW259">
        <f>IF(D259=1,AH259+Расчёты!O259+Расчёты!Q259+Расчёты!S259+Расчёты!U259+Расчёты!W259+Расчёты!X259+AK259+AN259,0)</f>
        <v>0</v>
      </c>
      <c r="AX259">
        <f>IF(AND(D259=1,AU259&gt;=0,AU258&lt;0,MIN($AU$2:AU259)&lt;0),1,0)</f>
        <v>0</v>
      </c>
      <c r="AY259">
        <f>IF(Расчёты!F259=0,0,IF(Расчёты!G259=1,N('Сценарный анализ'!$D$5),IF(Расчёты!G259=2,N('Сценарный анализ'!$D$6),IF(Расчёты!G259=3,N('Сценарный анализ'!$D$7),N('Сценарный анализ'!$D$7)*(1+N('Сценарный анализ'!$D$8))^(Расчёты!G259-3)))))</f>
        <v>0</v>
      </c>
      <c r="AZ259">
        <f>IF(OR(Расчёты!F259=0,N('Исходные данные'!$B$5)=0,AY259=0),0,N('Исходные данные'!$B$5)*AY259*IF(AND(B259&lt;='Исходные данные'!$B$30,Расчёты!C259&gt;='Исходные данные'!$B$30),(Расчёты!C259-'Исходные данные'!$B$30+1)/DAY(Расчёты!C259),1))</f>
        <v>0</v>
      </c>
      <c r="BA259">
        <f>IF(AND(Расчёты!F259&gt;0,Расчёты!F259&lt;=N('Исходные данные'!$B$37)),-AZ259,0)</f>
        <v>0</v>
      </c>
      <c r="BB259">
        <f>IF(OR(Расчёты!F259=0,Расчёты!F259&lt;=N('Исходные данные'!$B$37)),0,-(AZ259+BA259)*N('Сценарный анализ'!$D$9))</f>
        <v>0</v>
      </c>
      <c r="BC259">
        <f t="shared" si="144"/>
        <v>0</v>
      </c>
      <c r="BD259">
        <f>IF('Исходные данные'!$B$51="Да",BC259*N('Исходные данные'!$B$52),0)</f>
        <v>0</v>
      </c>
      <c r="BE259">
        <f t="shared" si="145"/>
        <v>0</v>
      </c>
      <c r="BF259">
        <f>BC259+(Расчёты!Y259-Расчёты!L259)</f>
        <v>0</v>
      </c>
      <c r="BG259">
        <f t="shared" ref="BG259:BG322" si="153">BI258</f>
        <v>0</v>
      </c>
      <c r="BH259">
        <f>IF('Исходные данные'!$B$51="Да",-MAX(0,BD259+Расчёты!R259+Расчёты!V259-Расчёты!P259-Расчёты!T259-BG259),0)</f>
        <v>0</v>
      </c>
      <c r="BI259">
        <f>IF('Исходные данные'!$B$51="Да",MAX(0,BG259+Расчёты!P259+Расчёты!T259-BD259-Расчёты!R259-Расчёты!V259),0)</f>
        <v>0</v>
      </c>
      <c r="BJ259">
        <f>IF('Исходные данные'!$B$53="Выручка",MAX(0,BC259+(Расчёты!Q259-Расчёты!R259)+(Расчёты!U259-Расчёты!V259)),IF('Исходные данные'!$B$53="Прибыль до налога",MAX(0,BC259+(Расчёты!Q259-Расчёты!R259)+(Расчёты!U259-Расчёты!V259)+N('Исходные данные'!$B$54)*((Расчёты!O259+Расчёты!P259)+(Расчёты!S259+Расчёты!T259)+Расчёты!W259+Расчёты!X259)+IF('Исходные данные'!$B$55="Да",Расчёты!AG259,0)-N('Исходные данные'!$B$56)/12),IF('Исходные данные'!$B$53="Пользовательская база",MAX(0,N('Исходные данные'!$B$57)/12),0)))</f>
        <v>0</v>
      </c>
      <c r="BK259">
        <f>IF(D259=1,-BJ259*N('Исходные данные'!$B$50),0)</f>
        <v>0</v>
      </c>
      <c r="BL259">
        <f t="shared" ref="BL259:BL322" si="154">IF(B259="",0,SUMIFS($BF$2:$BF$194,$B$2:$B$194,"&gt;"&amp;B259,$B$2:$B$194,"&lt;="&amp;EDATE(B259,12)))</f>
        <v>0</v>
      </c>
      <c r="BM259">
        <f>IF(OR(D259&lt;&gt;1,B259="",'Исходные данные'!$B$91="",N('Исходные данные'!$B$80)&lt;=0,'Исходные данные'!$B$88=""),0,IF(AND(YEAR(B259)=YEAR('Исходные данные'!$B$91),MONTH(B259)=MONTH('Исходные данные'!$B$91)),MAX(0,IF('Исходные данные'!$B$88="Последние 12 месяцев",SUMIFS($BF$2:$BF$194,$B$2:$B$194,"&gt;="&amp;EDATE(B259,-11),$B$2:$B$194,"&lt;="&amp;B259),IF('Исходные данные'!$B$88="Пользовательский NOI",N('Исходные данные'!$B$89),BL259))/N('Исходные данные'!$B$80)*(1+N('Исходные данные'!$B$81))),0))</f>
        <v>0</v>
      </c>
      <c r="BN259">
        <f>-BM259*N('Исходные данные'!$B$73)</f>
        <v>0</v>
      </c>
      <c r="BO259">
        <f>IF(BM259=0,0,-N('Исходные данные'!$B$87)-IF('Исходные данные'!$B$82="Да",IF('Исходные данные'!$B$84="С выручки",BM259,IF('Исходные данные'!$B$84="С прибыли",MAX(0,BM259+BN259-IF('Исходные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59">
        <f t="shared" si="146"/>
        <v>0</v>
      </c>
      <c r="BQ259">
        <f>IF(D259=1,Расчёты!AZ259+BE259+BH259+BK259+BP259,0)</f>
        <v>0</v>
      </c>
      <c r="BR259" t="str">
        <f t="shared" ref="BR259:BR322" si="155">IF(D259=1,BR258+BQ259,"")</f>
        <v/>
      </c>
      <c r="BS259">
        <f>IF(OR(D259=0,'Исходные данные'!$B$9="",'Исходные данные'!$B$90=""),0,BQ259/(1+'Исходные данные'!$B$90)^((C259-'Исходные данные'!$B$9)/365))</f>
        <v>0</v>
      </c>
      <c r="BT259">
        <f>IF(D259=1,BE259+Расчёты!O259+Расчёты!Q259+Расчёты!S259+Расчёты!U259+Расчёты!W259+Расчёты!X259+BH259+BK259,0)</f>
        <v>0</v>
      </c>
      <c r="BU259">
        <f>IF(AND(D259=1,BR259&gt;=0,BR258&lt;0,MIN($BR$2:BR259)&lt;0),1,0)</f>
        <v>0</v>
      </c>
      <c r="BV259">
        <f>Расчёты!AZ259+K259+N259-P259*N('Исходные данные'!$B$50)</f>
        <v>0</v>
      </c>
      <c r="BW259">
        <f t="shared" ref="BW259:BW322" si="156">BW258+BV259</f>
        <v>0</v>
      </c>
      <c r="BX259">
        <f>IF(AND(BW259&gt;=0,BW258&lt;0,MIN($BW$2:BW259)&lt;0),1,0)</f>
        <v>0</v>
      </c>
      <c r="BY259">
        <f>Расчёты!AZ259+AH259+AK259-AM259*N('Исходные данные'!$B$50)</f>
        <v>0</v>
      </c>
      <c r="BZ259">
        <f t="shared" ref="BZ259:BZ322" si="157">BZ258+BY259</f>
        <v>0</v>
      </c>
      <c r="CA259">
        <f>IF(AND(BZ259&gt;=0,BZ258&lt;0,MIN($BZ$2:BZ259)&lt;0),1,0)</f>
        <v>0</v>
      </c>
      <c r="CB259">
        <f>Расчёты!AZ259+BE259+BH259-BJ259*N('Исходные данные'!$B$50)</f>
        <v>0</v>
      </c>
      <c r="CC259">
        <f t="shared" ref="CC259:CC322" si="158">CC258+CB259</f>
        <v>0</v>
      </c>
      <c r="CD259">
        <f>IF(AND(CC259&gt;=0,CC258&lt;0,MIN($CC$2:CC259)&lt;0),1,0)</f>
        <v>0</v>
      </c>
    </row>
    <row r="260" spans="1:82" x14ac:dyDescent="0.2">
      <c r="A260">
        <f>Расчёты!A260</f>
        <v>259</v>
      </c>
      <c r="B260" t="str">
        <f>Расчёты!B260</f>
        <v/>
      </c>
      <c r="C260" t="str">
        <f>Расчёты!D260</f>
        <v/>
      </c>
      <c r="D260">
        <f>Расчёты!E260</f>
        <v>0</v>
      </c>
      <c r="E260">
        <f>IF(Расчёты!F260=0,0,IF(Расчёты!G260=1,N('Сценарный анализ'!$B$5),IF(Расчёты!G260=2,N('Сценарный анализ'!$B$6),IF(Расчёты!G260=3,N('Сценарный анализ'!$B$7),N('Сценарный анализ'!$B$7)*(1+N('Сценарный анализ'!$B$8))^(Расчёты!G260-3)))))</f>
        <v>0</v>
      </c>
      <c r="F260">
        <f>IF(OR(Расчёты!F260=0,N('Исходные данные'!$B$5)=0,E260=0),0,N('Исходные данные'!$B$5)*E260*IF(AND(B260&lt;='Исходные данные'!$B$30,Расчёты!C260&gt;='Исходные данные'!$B$30),(Расчёты!C260-'Исходные данные'!$B$30+1)/DAY(Расчёты!C260),1))</f>
        <v>0</v>
      </c>
      <c r="G260">
        <f>IF(AND(Расчёты!F260&gt;0,Расчёты!F260&lt;=N('Исходные данные'!$B$37)),-F260,0)</f>
        <v>0</v>
      </c>
      <c r="H260">
        <f>IF(OR(Расчёты!F260=0,Расчёты!F260&lt;=N('Исходные данные'!$B$37)),0,-(F260+G260)*N('Сценарный анализ'!$B$9))</f>
        <v>0</v>
      </c>
      <c r="I260">
        <f t="shared" ref="I260:I323" si="159">F260+G260+H260</f>
        <v>0</v>
      </c>
      <c r="J260">
        <f>IF('Исходные данные'!$B$51="Да",I260*N('Исходные данные'!$B$52),0)</f>
        <v>0</v>
      </c>
      <c r="K260">
        <f t="shared" ref="K260:K323" si="160">I260+J260</f>
        <v>0</v>
      </c>
      <c r="L260">
        <f>I260+(Расчёты!Y260-Расчёты!L260)</f>
        <v>0</v>
      </c>
      <c r="M260">
        <f t="shared" si="147"/>
        <v>0</v>
      </c>
      <c r="N260">
        <f>IF('Исходные данные'!$B$51="Да",-MAX(0,J260+Расчёты!R260+Расчёты!V260-Расчёты!P260-Расчёты!T260-M260),0)</f>
        <v>0</v>
      </c>
      <c r="O260">
        <f>IF('Исходные данные'!$B$51="Да",MAX(0,M260+Расчёты!P260+Расчёты!T260-J260-Расчёты!R260-Расчёты!V260),0)</f>
        <v>0</v>
      </c>
      <c r="P260">
        <f>IF('Исходные данные'!$B$53="Выручка",MAX(0,I260+(Расчёты!Q260-Расчёты!R260)+(Расчёты!U260-Расчёты!V260)),IF('Исходные данные'!$B$53="Прибыль до налога",MAX(0,I260+(Расчёты!Q260-Расчёты!R260)+(Расчёты!U260-Расчёты!V260)+N('Исходные данные'!$B$54)*((Расчёты!O260+Расчёты!P260)+(Расчёты!S260+Расчёты!T260)+Расчёты!W260+Расчёты!X260)+IF('Исходные данные'!$B$55="Да",Расчёты!AG260,0)-N('Исходные данные'!$B$56)/12),IF('Исходные данные'!$B$53="Пользовательская база",MAX(0,N('Исходные данные'!$B$57)/12),0)))</f>
        <v>0</v>
      </c>
      <c r="Q260">
        <f>IF(D260=1,-P260*N('Исходные данные'!$B$50),0)</f>
        <v>0</v>
      </c>
      <c r="R260">
        <f t="shared" si="148"/>
        <v>0</v>
      </c>
      <c r="S260">
        <f>IF(OR(D260&lt;&gt;1,B260="",'Исходные данные'!$B$91="",N('Исходные данные'!$B$80)&lt;=0,'Исходные данные'!$B$88=""),0,IF(AND(YEAR(B260)=YEAR('Исходные данные'!$B$91),MONTH(B260)=MONTH('Исходные данные'!$B$91)),MAX(0,IF('Исходные данные'!$B$88="Последние 12 месяцев",SUMIFS($L$2:$L$194,$B$2:$B$194,"&gt;="&amp;EDATE(B260,-11),$B$2:$B$194,"&lt;="&amp;B260),IF('Исходные данные'!$B$88="Пользовательский NOI",N('Исходные данные'!$B$89),R260))/N('Исходные данные'!$B$80)*(1+N('Исходные данные'!$B$81))),0))</f>
        <v>0</v>
      </c>
      <c r="T260">
        <f>-S260*N('Исходные данные'!$B$73)</f>
        <v>0</v>
      </c>
      <c r="U260">
        <f>IF(S260=0,0,-N('Исходные данные'!$B$87)-IF('Исходные данные'!$B$82="Да",IF('Исходные данные'!$B$84="С выручки",S260,IF('Исходные данные'!$B$84="С прибыли",MAX(0,S260+T260-IF('Исходные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60">
        <f t="shared" ref="V260:V323" si="161">S260+T260+U260</f>
        <v>0</v>
      </c>
      <c r="W260">
        <f>IF(D260=1,Расчёты!AZ260+K260+N260+Q260+V260,0)</f>
        <v>0</v>
      </c>
      <c r="X260" t="str">
        <f t="shared" si="149"/>
        <v/>
      </c>
      <c r="Y260">
        <f>IF(OR(D260=0,'Исходные данные'!$B$9="",'Исходные данные'!$B$90=""),0,W260/(1+'Исходные данные'!$B$90)^((C260-'Исходные данные'!$B$9)/365))</f>
        <v>0</v>
      </c>
      <c r="Z260">
        <f>IF(D260=1,K260+Расчёты!O260+Расчёты!Q260+Расчёты!S260+Расчёты!U260+Расчёты!W260+Расчёты!X260+N260+Q260,0)</f>
        <v>0</v>
      </c>
      <c r="AA260">
        <f>IF(AND(D260=1,X260&gt;=0,X259&lt;0,MIN($X$2:X260)&lt;0),1,0)</f>
        <v>0</v>
      </c>
      <c r="AB260">
        <f>IF(Расчёты!F260=0,0,IF(Расчёты!G260=1,N('Сценарный анализ'!$C$5),IF(Расчёты!G260=2,N('Сценарный анализ'!$C$6),IF(Расчёты!G260=3,N('Сценарный анализ'!$C$7),N('Сценарный анализ'!$C$7)*(1+N('Сценарный анализ'!$C$8))^(Расчёты!G260-3)))))</f>
        <v>0</v>
      </c>
      <c r="AC260">
        <f>IF(OR(Расчёты!F260=0,N('Исходные данные'!$B$5)=0,AB260=0),0,N('Исходные данные'!$B$5)*AB260*IF(AND(B260&lt;='Исходные данные'!$B$30,Расчёты!C260&gt;='Исходные данные'!$B$30),(Расчёты!C260-'Исходные данные'!$B$30+1)/DAY(Расчёты!C260),1))</f>
        <v>0</v>
      </c>
      <c r="AD260">
        <f>IF(AND(Расчёты!F260&gt;0,Расчёты!F260&lt;=N('Исходные данные'!$B$37)),-AC260,0)</f>
        <v>0</v>
      </c>
      <c r="AE260">
        <f>IF(OR(Расчёты!F260=0,Расчёты!F260&lt;=N('Исходные данные'!$B$37)),0,-(AC260+AD260)*N('Сценарный анализ'!$C$9))</f>
        <v>0</v>
      </c>
      <c r="AF260">
        <f t="shared" ref="AF260:AF323" si="162">AC260+AD260+AE260</f>
        <v>0</v>
      </c>
      <c r="AG260">
        <f>IF('Исходные данные'!$B$51="Да",AF260*N('Исходные данные'!$B$52),0)</f>
        <v>0</v>
      </c>
      <c r="AH260">
        <f t="shared" ref="AH260:AH323" si="163">AF260+AG260</f>
        <v>0</v>
      </c>
      <c r="AI260">
        <f>AF260+(Расчёты!Y260-Расчёты!L260)</f>
        <v>0</v>
      </c>
      <c r="AJ260">
        <f t="shared" si="150"/>
        <v>0</v>
      </c>
      <c r="AK260">
        <f>IF('Исходные данные'!$B$51="Да",-MAX(0,AG260+Расчёты!R260+Расчёты!V260-Расчёты!P260-Расчёты!T260-AJ260),0)</f>
        <v>0</v>
      </c>
      <c r="AL260">
        <f>IF('Исходные данные'!$B$51="Да",MAX(0,AJ260+Расчёты!P260+Расчёты!T260-AG260-Расчёты!R260-Расчёты!V260),0)</f>
        <v>0</v>
      </c>
      <c r="AM260">
        <f>IF('Исходные данные'!$B$53="Выручка",MAX(0,AF260+(Расчёты!Q260-Расчёты!R260)+(Расчёты!U260-Расчёты!V260)),IF('Исходные данные'!$B$53="Прибыль до налога",MAX(0,AF260+(Расчёты!Q260-Расчёты!R260)+(Расчёты!U260-Расчёты!V260)+N('Исходные данные'!$B$54)*((Расчёты!O260+Расчёты!P260)+(Расчёты!S260+Расчёты!T260)+Расчёты!W260+Расчёты!X260)+IF('Исходные данные'!$B$55="Да",Расчёты!AG260,0)-N('Исходные данные'!$B$56)/12),IF('Исходные данные'!$B$53="Пользовательская база",MAX(0,N('Исходные данные'!$B$57)/12),0)))</f>
        <v>0</v>
      </c>
      <c r="AN260">
        <f>IF(D260=1,-AM260*N('Исходные данные'!$B$50),0)</f>
        <v>0</v>
      </c>
      <c r="AO260">
        <f t="shared" si="151"/>
        <v>0</v>
      </c>
      <c r="AP260">
        <f>IF(OR(D260&lt;&gt;1,B260="",'Исходные данные'!$B$91="",N('Исходные данные'!$B$80)&lt;=0,'Исходные данные'!$B$88=""),0,IF(AND(YEAR(B260)=YEAR('Исходные данные'!$B$91),MONTH(B260)=MONTH('Исходные данные'!$B$91)),MAX(0,IF('Исходные данные'!$B$88="Последние 12 месяцев",SUMIFS($AI$2:$AI$194,$B$2:$B$194,"&gt;="&amp;EDATE(B260,-11),$B$2:$B$194,"&lt;="&amp;B260),IF('Исходные данные'!$B$88="Пользовательский NOI",N('Исходные данные'!$B$89),AO260))/N('Исходные данные'!$B$80)*(1+N('Исходные данные'!$B$81))),0))</f>
        <v>0</v>
      </c>
      <c r="AQ260">
        <f>-AP260*N('Исходные данные'!$B$73)</f>
        <v>0</v>
      </c>
      <c r="AR260">
        <f>IF(AP260=0,0,-N('Исходные данные'!$B$87)-IF('Исходные данные'!$B$82="Да",IF('Исходные данные'!$B$84="С выручки",AP260,IF('Исходные данные'!$B$84="С прибыли",MAX(0,AP260+AQ260-IF('Исходные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60">
        <f t="shared" ref="AS260:AS323" si="164">AP260+AQ260+AR260</f>
        <v>0</v>
      </c>
      <c r="AT260">
        <f>IF(D260=1,Расчёты!AZ260+AH260+AK260+AN260+AS260,0)</f>
        <v>0</v>
      </c>
      <c r="AU260" t="str">
        <f t="shared" si="152"/>
        <v/>
      </c>
      <c r="AV260">
        <f>IF(OR(D260=0,'Исходные данные'!$B$9="",'Исходные данные'!$B$90=""),0,AT260/(1+'Исходные данные'!$B$90)^((C260-'Исходные данные'!$B$9)/365))</f>
        <v>0</v>
      </c>
      <c r="AW260">
        <f>IF(D260=1,AH260+Расчёты!O260+Расчёты!Q260+Расчёты!S260+Расчёты!U260+Расчёты!W260+Расчёты!X260+AK260+AN260,0)</f>
        <v>0</v>
      </c>
      <c r="AX260">
        <f>IF(AND(D260=1,AU260&gt;=0,AU259&lt;0,MIN($AU$2:AU260)&lt;0),1,0)</f>
        <v>0</v>
      </c>
      <c r="AY260">
        <f>IF(Расчёты!F260=0,0,IF(Расчёты!G260=1,N('Сценарный анализ'!$D$5),IF(Расчёты!G260=2,N('Сценарный анализ'!$D$6),IF(Расчёты!G260=3,N('Сценарный анализ'!$D$7),N('Сценарный анализ'!$D$7)*(1+N('Сценарный анализ'!$D$8))^(Расчёты!G260-3)))))</f>
        <v>0</v>
      </c>
      <c r="AZ260">
        <f>IF(OR(Расчёты!F260=0,N('Исходные данные'!$B$5)=0,AY260=0),0,N('Исходные данные'!$B$5)*AY260*IF(AND(B260&lt;='Исходные данные'!$B$30,Расчёты!C260&gt;='Исходные данные'!$B$30),(Расчёты!C260-'Исходные данные'!$B$30+1)/DAY(Расчёты!C260),1))</f>
        <v>0</v>
      </c>
      <c r="BA260">
        <f>IF(AND(Расчёты!F260&gt;0,Расчёты!F260&lt;=N('Исходные данные'!$B$37)),-AZ260,0)</f>
        <v>0</v>
      </c>
      <c r="BB260">
        <f>IF(OR(Расчёты!F260=0,Расчёты!F260&lt;=N('Исходные данные'!$B$37)),0,-(AZ260+BA260)*N('Сценарный анализ'!$D$9))</f>
        <v>0</v>
      </c>
      <c r="BC260">
        <f t="shared" ref="BC260:BC323" si="165">AZ260+BA260+BB260</f>
        <v>0</v>
      </c>
      <c r="BD260">
        <f>IF('Исходные данные'!$B$51="Да",BC260*N('Исходные данные'!$B$52),0)</f>
        <v>0</v>
      </c>
      <c r="BE260">
        <f t="shared" ref="BE260:BE323" si="166">BC260+BD260</f>
        <v>0</v>
      </c>
      <c r="BF260">
        <f>BC260+(Расчёты!Y260-Расчёты!L260)</f>
        <v>0</v>
      </c>
      <c r="BG260">
        <f t="shared" si="153"/>
        <v>0</v>
      </c>
      <c r="BH260">
        <f>IF('Исходные данные'!$B$51="Да",-MAX(0,BD260+Расчёты!R260+Расчёты!V260-Расчёты!P260-Расчёты!T260-BG260),0)</f>
        <v>0</v>
      </c>
      <c r="BI260">
        <f>IF('Исходные данные'!$B$51="Да",MAX(0,BG260+Расчёты!P260+Расчёты!T260-BD260-Расчёты!R260-Расчёты!V260),0)</f>
        <v>0</v>
      </c>
      <c r="BJ260">
        <f>IF('Исходные данные'!$B$53="Выручка",MAX(0,BC260+(Расчёты!Q260-Расчёты!R260)+(Расчёты!U260-Расчёты!V260)),IF('Исходные данные'!$B$53="Прибыль до налога",MAX(0,BC260+(Расчёты!Q260-Расчёты!R260)+(Расчёты!U260-Расчёты!V260)+N('Исходные данные'!$B$54)*((Расчёты!O260+Расчёты!P260)+(Расчёты!S260+Расчёты!T260)+Расчёты!W260+Расчёты!X260)+IF('Исходные данные'!$B$55="Да",Расчёты!AG260,0)-N('Исходные данные'!$B$56)/12),IF('Исходные данные'!$B$53="Пользовательская база",MAX(0,N('Исходные данные'!$B$57)/12),0)))</f>
        <v>0</v>
      </c>
      <c r="BK260">
        <f>IF(D260=1,-BJ260*N('Исходные данные'!$B$50),0)</f>
        <v>0</v>
      </c>
      <c r="BL260">
        <f t="shared" si="154"/>
        <v>0</v>
      </c>
      <c r="BM260">
        <f>IF(OR(D260&lt;&gt;1,B260="",'Исходные данные'!$B$91="",N('Исходные данные'!$B$80)&lt;=0,'Исходные данные'!$B$88=""),0,IF(AND(YEAR(B260)=YEAR('Исходные данные'!$B$91),MONTH(B260)=MONTH('Исходные данные'!$B$91)),MAX(0,IF('Исходные данные'!$B$88="Последние 12 месяцев",SUMIFS($BF$2:$BF$194,$B$2:$B$194,"&gt;="&amp;EDATE(B260,-11),$B$2:$B$194,"&lt;="&amp;B260),IF('Исходные данные'!$B$88="Пользовательский NOI",N('Исходные данные'!$B$89),BL260))/N('Исходные данные'!$B$80)*(1+N('Исходные данные'!$B$81))),0))</f>
        <v>0</v>
      </c>
      <c r="BN260">
        <f>-BM260*N('Исходные данные'!$B$73)</f>
        <v>0</v>
      </c>
      <c r="BO260">
        <f>IF(BM260=0,0,-N('Исходные данные'!$B$87)-IF('Исходные данные'!$B$82="Да",IF('Исходные данные'!$B$84="С выручки",BM260,IF('Исходные данные'!$B$84="С прибыли",MAX(0,BM260+BN260-IF('Исходные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60">
        <f t="shared" ref="BP260:BP323" si="167">BM260+BN260+BO260</f>
        <v>0</v>
      </c>
      <c r="BQ260">
        <f>IF(D260=1,Расчёты!AZ260+BE260+BH260+BK260+BP260,0)</f>
        <v>0</v>
      </c>
      <c r="BR260" t="str">
        <f t="shared" si="155"/>
        <v/>
      </c>
      <c r="BS260">
        <f>IF(OR(D260=0,'Исходные данные'!$B$9="",'Исходные данные'!$B$90=""),0,BQ260/(1+'Исходные данные'!$B$90)^((C260-'Исходные данные'!$B$9)/365))</f>
        <v>0</v>
      </c>
      <c r="BT260">
        <f>IF(D260=1,BE260+Расчёты!O260+Расчёты!Q260+Расчёты!S260+Расчёты!U260+Расчёты!W260+Расчёты!X260+BH260+BK260,0)</f>
        <v>0</v>
      </c>
      <c r="BU260">
        <f>IF(AND(D260=1,BR260&gt;=0,BR259&lt;0,MIN($BR$2:BR260)&lt;0),1,0)</f>
        <v>0</v>
      </c>
      <c r="BV260">
        <f>Расчёты!AZ260+K260+N260-P260*N('Исходные данные'!$B$50)</f>
        <v>0</v>
      </c>
      <c r="BW260">
        <f t="shared" si="156"/>
        <v>0</v>
      </c>
      <c r="BX260">
        <f>IF(AND(BW260&gt;=0,BW259&lt;0,MIN($BW$2:BW260)&lt;0),1,0)</f>
        <v>0</v>
      </c>
      <c r="BY260">
        <f>Расчёты!AZ260+AH260+AK260-AM260*N('Исходные данные'!$B$50)</f>
        <v>0</v>
      </c>
      <c r="BZ260">
        <f t="shared" si="157"/>
        <v>0</v>
      </c>
      <c r="CA260">
        <f>IF(AND(BZ260&gt;=0,BZ259&lt;0,MIN($BZ$2:BZ260)&lt;0),1,0)</f>
        <v>0</v>
      </c>
      <c r="CB260">
        <f>Расчёты!AZ260+BE260+BH260-BJ260*N('Исходные данные'!$B$50)</f>
        <v>0</v>
      </c>
      <c r="CC260">
        <f t="shared" si="158"/>
        <v>0</v>
      </c>
      <c r="CD260">
        <f>IF(AND(CC260&gt;=0,CC259&lt;0,MIN($CC$2:CC260)&lt;0),1,0)</f>
        <v>0</v>
      </c>
    </row>
    <row r="261" spans="1:82" x14ac:dyDescent="0.2">
      <c r="A261">
        <f>Расчёты!A261</f>
        <v>260</v>
      </c>
      <c r="B261" t="str">
        <f>Расчёты!B261</f>
        <v/>
      </c>
      <c r="C261" t="str">
        <f>Расчёты!D261</f>
        <v/>
      </c>
      <c r="D261">
        <f>Расчёты!E261</f>
        <v>0</v>
      </c>
      <c r="E261">
        <f>IF(Расчёты!F261=0,0,IF(Расчёты!G261=1,N('Сценарный анализ'!$B$5),IF(Расчёты!G261=2,N('Сценарный анализ'!$B$6),IF(Расчёты!G261=3,N('Сценарный анализ'!$B$7),N('Сценарный анализ'!$B$7)*(1+N('Сценарный анализ'!$B$8))^(Расчёты!G261-3)))))</f>
        <v>0</v>
      </c>
      <c r="F261">
        <f>IF(OR(Расчёты!F261=0,N('Исходные данные'!$B$5)=0,E261=0),0,N('Исходные данные'!$B$5)*E261*IF(AND(B261&lt;='Исходные данные'!$B$30,Расчёты!C261&gt;='Исходные данные'!$B$30),(Расчёты!C261-'Исходные данные'!$B$30+1)/DAY(Расчёты!C261),1))</f>
        <v>0</v>
      </c>
      <c r="G261">
        <f>IF(AND(Расчёты!F261&gt;0,Расчёты!F261&lt;=N('Исходные данные'!$B$37)),-F261,0)</f>
        <v>0</v>
      </c>
      <c r="H261">
        <f>IF(OR(Расчёты!F261=0,Расчёты!F261&lt;=N('Исходные данные'!$B$37)),0,-(F261+G261)*N('Сценарный анализ'!$B$9))</f>
        <v>0</v>
      </c>
      <c r="I261">
        <f t="shared" si="159"/>
        <v>0</v>
      </c>
      <c r="J261">
        <f>IF('Исходные данные'!$B$51="Да",I261*N('Исходные данные'!$B$52),0)</f>
        <v>0</v>
      </c>
      <c r="K261">
        <f t="shared" si="160"/>
        <v>0</v>
      </c>
      <c r="L261">
        <f>I261+(Расчёты!Y261-Расчёты!L261)</f>
        <v>0</v>
      </c>
      <c r="M261">
        <f t="shared" si="147"/>
        <v>0</v>
      </c>
      <c r="N261">
        <f>IF('Исходные данные'!$B$51="Да",-MAX(0,J261+Расчёты!R261+Расчёты!V261-Расчёты!P261-Расчёты!T261-M261),0)</f>
        <v>0</v>
      </c>
      <c r="O261">
        <f>IF('Исходные данные'!$B$51="Да",MAX(0,M261+Расчёты!P261+Расчёты!T261-J261-Расчёты!R261-Расчёты!V261),0)</f>
        <v>0</v>
      </c>
      <c r="P261">
        <f>IF('Исходные данные'!$B$53="Выручка",MAX(0,I261+(Расчёты!Q261-Расчёты!R261)+(Расчёты!U261-Расчёты!V261)),IF('Исходные данные'!$B$53="Прибыль до налога",MAX(0,I261+(Расчёты!Q261-Расчёты!R261)+(Расчёты!U261-Расчёты!V261)+N('Исходные данные'!$B$54)*((Расчёты!O261+Расчёты!P261)+(Расчёты!S261+Расчёты!T261)+Расчёты!W261+Расчёты!X261)+IF('Исходные данные'!$B$55="Да",Расчёты!AG261,0)-N('Исходные данные'!$B$56)/12),IF('Исходные данные'!$B$53="Пользовательская база",MAX(0,N('Исходные данные'!$B$57)/12),0)))</f>
        <v>0</v>
      </c>
      <c r="Q261">
        <f>IF(D261=1,-P261*N('Исходные данные'!$B$50),0)</f>
        <v>0</v>
      </c>
      <c r="R261">
        <f t="shared" si="148"/>
        <v>0</v>
      </c>
      <c r="S261">
        <f>IF(OR(D261&lt;&gt;1,B261="",'Исходные данные'!$B$91="",N('Исходные данные'!$B$80)&lt;=0,'Исходные данные'!$B$88=""),0,IF(AND(YEAR(B261)=YEAR('Исходные данные'!$B$91),MONTH(B261)=MONTH('Исходные данные'!$B$91)),MAX(0,IF('Исходные данные'!$B$88="Последние 12 месяцев",SUMIFS($L$2:$L$194,$B$2:$B$194,"&gt;="&amp;EDATE(B261,-11),$B$2:$B$194,"&lt;="&amp;B261),IF('Исходные данные'!$B$88="Пользовательский NOI",N('Исходные данные'!$B$89),R261))/N('Исходные данные'!$B$80)*(1+N('Исходные данные'!$B$81))),0))</f>
        <v>0</v>
      </c>
      <c r="T261">
        <f>-S261*N('Исходные данные'!$B$73)</f>
        <v>0</v>
      </c>
      <c r="U261">
        <f>IF(S261=0,0,-N('Исходные данные'!$B$87)-IF('Исходные данные'!$B$82="Да",IF('Исходные данные'!$B$84="С выручки",S261,IF('Исходные данные'!$B$84="С прибыли",MAX(0,S261+T261-IF('Исходные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61">
        <f t="shared" si="161"/>
        <v>0</v>
      </c>
      <c r="W261">
        <f>IF(D261=1,Расчёты!AZ261+K261+N261+Q261+V261,0)</f>
        <v>0</v>
      </c>
      <c r="X261" t="str">
        <f t="shared" si="149"/>
        <v/>
      </c>
      <c r="Y261">
        <f>IF(OR(D261=0,'Исходные данные'!$B$9="",'Исходные данные'!$B$90=""),0,W261/(1+'Исходные данные'!$B$90)^((C261-'Исходные данные'!$B$9)/365))</f>
        <v>0</v>
      </c>
      <c r="Z261">
        <f>IF(D261=1,K261+Расчёты!O261+Расчёты!Q261+Расчёты!S261+Расчёты!U261+Расчёты!W261+Расчёты!X261+N261+Q261,0)</f>
        <v>0</v>
      </c>
      <c r="AA261">
        <f>IF(AND(D261=1,X261&gt;=0,X260&lt;0,MIN($X$2:X261)&lt;0),1,0)</f>
        <v>0</v>
      </c>
      <c r="AB261">
        <f>IF(Расчёты!F261=0,0,IF(Расчёты!G261=1,N('Сценарный анализ'!$C$5),IF(Расчёты!G261=2,N('Сценарный анализ'!$C$6),IF(Расчёты!G261=3,N('Сценарный анализ'!$C$7),N('Сценарный анализ'!$C$7)*(1+N('Сценарный анализ'!$C$8))^(Расчёты!G261-3)))))</f>
        <v>0</v>
      </c>
      <c r="AC261">
        <f>IF(OR(Расчёты!F261=0,N('Исходные данные'!$B$5)=0,AB261=0),0,N('Исходные данные'!$B$5)*AB261*IF(AND(B261&lt;='Исходные данные'!$B$30,Расчёты!C261&gt;='Исходные данные'!$B$30),(Расчёты!C261-'Исходные данные'!$B$30+1)/DAY(Расчёты!C261),1))</f>
        <v>0</v>
      </c>
      <c r="AD261">
        <f>IF(AND(Расчёты!F261&gt;0,Расчёты!F261&lt;=N('Исходные данные'!$B$37)),-AC261,0)</f>
        <v>0</v>
      </c>
      <c r="AE261">
        <f>IF(OR(Расчёты!F261=0,Расчёты!F261&lt;=N('Исходные данные'!$B$37)),0,-(AC261+AD261)*N('Сценарный анализ'!$C$9))</f>
        <v>0</v>
      </c>
      <c r="AF261">
        <f t="shared" si="162"/>
        <v>0</v>
      </c>
      <c r="AG261">
        <f>IF('Исходные данные'!$B$51="Да",AF261*N('Исходные данные'!$B$52),0)</f>
        <v>0</v>
      </c>
      <c r="AH261">
        <f t="shared" si="163"/>
        <v>0</v>
      </c>
      <c r="AI261">
        <f>AF261+(Расчёты!Y261-Расчёты!L261)</f>
        <v>0</v>
      </c>
      <c r="AJ261">
        <f t="shared" si="150"/>
        <v>0</v>
      </c>
      <c r="AK261">
        <f>IF('Исходные данные'!$B$51="Да",-MAX(0,AG261+Расчёты!R261+Расчёты!V261-Расчёты!P261-Расчёты!T261-AJ261),0)</f>
        <v>0</v>
      </c>
      <c r="AL261">
        <f>IF('Исходные данные'!$B$51="Да",MAX(0,AJ261+Расчёты!P261+Расчёты!T261-AG261-Расчёты!R261-Расчёты!V261),0)</f>
        <v>0</v>
      </c>
      <c r="AM261">
        <f>IF('Исходные данные'!$B$53="Выручка",MAX(0,AF261+(Расчёты!Q261-Расчёты!R261)+(Расчёты!U261-Расчёты!V261)),IF('Исходные данные'!$B$53="Прибыль до налога",MAX(0,AF261+(Расчёты!Q261-Расчёты!R261)+(Расчёты!U261-Расчёты!V261)+N('Исходные данные'!$B$54)*((Расчёты!O261+Расчёты!P261)+(Расчёты!S261+Расчёты!T261)+Расчёты!W261+Расчёты!X261)+IF('Исходные данные'!$B$55="Да",Расчёты!AG261,0)-N('Исходные данные'!$B$56)/12),IF('Исходные данные'!$B$53="Пользовательская база",MAX(0,N('Исходные данные'!$B$57)/12),0)))</f>
        <v>0</v>
      </c>
      <c r="AN261">
        <f>IF(D261=1,-AM261*N('Исходные данные'!$B$50),0)</f>
        <v>0</v>
      </c>
      <c r="AO261">
        <f t="shared" si="151"/>
        <v>0</v>
      </c>
      <c r="AP261">
        <f>IF(OR(D261&lt;&gt;1,B261="",'Исходные данные'!$B$91="",N('Исходные данные'!$B$80)&lt;=0,'Исходные данные'!$B$88=""),0,IF(AND(YEAR(B261)=YEAR('Исходные данные'!$B$91),MONTH(B261)=MONTH('Исходные данные'!$B$91)),MAX(0,IF('Исходные данные'!$B$88="Последние 12 месяцев",SUMIFS($AI$2:$AI$194,$B$2:$B$194,"&gt;="&amp;EDATE(B261,-11),$B$2:$B$194,"&lt;="&amp;B261),IF('Исходные данные'!$B$88="Пользовательский NOI",N('Исходные данные'!$B$89),AO261))/N('Исходные данные'!$B$80)*(1+N('Исходные данные'!$B$81))),0))</f>
        <v>0</v>
      </c>
      <c r="AQ261">
        <f>-AP261*N('Исходные данные'!$B$73)</f>
        <v>0</v>
      </c>
      <c r="AR261">
        <f>IF(AP261=0,0,-N('Исходные данные'!$B$87)-IF('Исходные данные'!$B$82="Да",IF('Исходные данные'!$B$84="С выручки",AP261,IF('Исходные данные'!$B$84="С прибыли",MAX(0,AP261+AQ261-IF('Исходные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61">
        <f t="shared" si="164"/>
        <v>0</v>
      </c>
      <c r="AT261">
        <f>IF(D261=1,Расчёты!AZ261+AH261+AK261+AN261+AS261,0)</f>
        <v>0</v>
      </c>
      <c r="AU261" t="str">
        <f t="shared" si="152"/>
        <v/>
      </c>
      <c r="AV261">
        <f>IF(OR(D261=0,'Исходные данные'!$B$9="",'Исходные данные'!$B$90=""),0,AT261/(1+'Исходные данные'!$B$90)^((C261-'Исходные данные'!$B$9)/365))</f>
        <v>0</v>
      </c>
      <c r="AW261">
        <f>IF(D261=1,AH261+Расчёты!O261+Расчёты!Q261+Расчёты!S261+Расчёты!U261+Расчёты!W261+Расчёты!X261+AK261+AN261,0)</f>
        <v>0</v>
      </c>
      <c r="AX261">
        <f>IF(AND(D261=1,AU261&gt;=0,AU260&lt;0,MIN($AU$2:AU261)&lt;0),1,0)</f>
        <v>0</v>
      </c>
      <c r="AY261">
        <f>IF(Расчёты!F261=0,0,IF(Расчёты!G261=1,N('Сценарный анализ'!$D$5),IF(Расчёты!G261=2,N('Сценарный анализ'!$D$6),IF(Расчёты!G261=3,N('Сценарный анализ'!$D$7),N('Сценарный анализ'!$D$7)*(1+N('Сценарный анализ'!$D$8))^(Расчёты!G261-3)))))</f>
        <v>0</v>
      </c>
      <c r="AZ261">
        <f>IF(OR(Расчёты!F261=0,N('Исходные данные'!$B$5)=0,AY261=0),0,N('Исходные данные'!$B$5)*AY261*IF(AND(B261&lt;='Исходные данные'!$B$30,Расчёты!C261&gt;='Исходные данные'!$B$30),(Расчёты!C261-'Исходные данные'!$B$30+1)/DAY(Расчёты!C261),1))</f>
        <v>0</v>
      </c>
      <c r="BA261">
        <f>IF(AND(Расчёты!F261&gt;0,Расчёты!F261&lt;=N('Исходные данные'!$B$37)),-AZ261,0)</f>
        <v>0</v>
      </c>
      <c r="BB261">
        <f>IF(OR(Расчёты!F261=0,Расчёты!F261&lt;=N('Исходные данные'!$B$37)),0,-(AZ261+BA261)*N('Сценарный анализ'!$D$9))</f>
        <v>0</v>
      </c>
      <c r="BC261">
        <f t="shared" si="165"/>
        <v>0</v>
      </c>
      <c r="BD261">
        <f>IF('Исходные данные'!$B$51="Да",BC261*N('Исходные данные'!$B$52),0)</f>
        <v>0</v>
      </c>
      <c r="BE261">
        <f t="shared" si="166"/>
        <v>0</v>
      </c>
      <c r="BF261">
        <f>BC261+(Расчёты!Y261-Расчёты!L261)</f>
        <v>0</v>
      </c>
      <c r="BG261">
        <f t="shared" si="153"/>
        <v>0</v>
      </c>
      <c r="BH261">
        <f>IF('Исходные данные'!$B$51="Да",-MAX(0,BD261+Расчёты!R261+Расчёты!V261-Расчёты!P261-Расчёты!T261-BG261),0)</f>
        <v>0</v>
      </c>
      <c r="BI261">
        <f>IF('Исходные данные'!$B$51="Да",MAX(0,BG261+Расчёты!P261+Расчёты!T261-BD261-Расчёты!R261-Расчёты!V261),0)</f>
        <v>0</v>
      </c>
      <c r="BJ261">
        <f>IF('Исходные данные'!$B$53="Выручка",MAX(0,BC261+(Расчёты!Q261-Расчёты!R261)+(Расчёты!U261-Расчёты!V261)),IF('Исходные данные'!$B$53="Прибыль до налога",MAX(0,BC261+(Расчёты!Q261-Расчёты!R261)+(Расчёты!U261-Расчёты!V261)+N('Исходные данные'!$B$54)*((Расчёты!O261+Расчёты!P261)+(Расчёты!S261+Расчёты!T261)+Расчёты!W261+Расчёты!X261)+IF('Исходные данные'!$B$55="Да",Расчёты!AG261,0)-N('Исходные данные'!$B$56)/12),IF('Исходные данные'!$B$53="Пользовательская база",MAX(0,N('Исходные данные'!$B$57)/12),0)))</f>
        <v>0</v>
      </c>
      <c r="BK261">
        <f>IF(D261=1,-BJ261*N('Исходные данные'!$B$50),0)</f>
        <v>0</v>
      </c>
      <c r="BL261">
        <f t="shared" si="154"/>
        <v>0</v>
      </c>
      <c r="BM261">
        <f>IF(OR(D261&lt;&gt;1,B261="",'Исходные данные'!$B$91="",N('Исходные данные'!$B$80)&lt;=0,'Исходные данные'!$B$88=""),0,IF(AND(YEAR(B261)=YEAR('Исходные данные'!$B$91),MONTH(B261)=MONTH('Исходные данные'!$B$91)),MAX(0,IF('Исходные данные'!$B$88="Последние 12 месяцев",SUMIFS($BF$2:$BF$194,$B$2:$B$194,"&gt;="&amp;EDATE(B261,-11),$B$2:$B$194,"&lt;="&amp;B261),IF('Исходные данные'!$B$88="Пользовательский NOI",N('Исходные данные'!$B$89),BL261))/N('Исходные данные'!$B$80)*(1+N('Исходные данные'!$B$81))),0))</f>
        <v>0</v>
      </c>
      <c r="BN261">
        <f>-BM261*N('Исходные данные'!$B$73)</f>
        <v>0</v>
      </c>
      <c r="BO261">
        <f>IF(BM261=0,0,-N('Исходные данные'!$B$87)-IF('Исходные данные'!$B$82="Да",IF('Исходные данные'!$B$84="С выручки",BM261,IF('Исходные данные'!$B$84="С прибыли",MAX(0,BM261+BN261-IF('Исходные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61">
        <f t="shared" si="167"/>
        <v>0</v>
      </c>
      <c r="BQ261">
        <f>IF(D261=1,Расчёты!AZ261+BE261+BH261+BK261+BP261,0)</f>
        <v>0</v>
      </c>
      <c r="BR261" t="str">
        <f t="shared" si="155"/>
        <v/>
      </c>
      <c r="BS261">
        <f>IF(OR(D261=0,'Исходные данные'!$B$9="",'Исходные данные'!$B$90=""),0,BQ261/(1+'Исходные данные'!$B$90)^((C261-'Исходные данные'!$B$9)/365))</f>
        <v>0</v>
      </c>
      <c r="BT261">
        <f>IF(D261=1,BE261+Расчёты!O261+Расчёты!Q261+Расчёты!S261+Расчёты!U261+Расчёты!W261+Расчёты!X261+BH261+BK261,0)</f>
        <v>0</v>
      </c>
      <c r="BU261">
        <f>IF(AND(D261=1,BR261&gt;=0,BR260&lt;0,MIN($BR$2:BR261)&lt;0),1,0)</f>
        <v>0</v>
      </c>
      <c r="BV261">
        <f>Расчёты!AZ261+K261+N261-P261*N('Исходные данные'!$B$50)</f>
        <v>0</v>
      </c>
      <c r="BW261">
        <f t="shared" si="156"/>
        <v>0</v>
      </c>
      <c r="BX261">
        <f>IF(AND(BW261&gt;=0,BW260&lt;0,MIN($BW$2:BW261)&lt;0),1,0)</f>
        <v>0</v>
      </c>
      <c r="BY261">
        <f>Расчёты!AZ261+AH261+AK261-AM261*N('Исходные данные'!$B$50)</f>
        <v>0</v>
      </c>
      <c r="BZ261">
        <f t="shared" si="157"/>
        <v>0</v>
      </c>
      <c r="CA261">
        <f>IF(AND(BZ261&gt;=0,BZ260&lt;0,MIN($BZ$2:BZ261)&lt;0),1,0)</f>
        <v>0</v>
      </c>
      <c r="CB261">
        <f>Расчёты!AZ261+BE261+BH261-BJ261*N('Исходные данные'!$B$50)</f>
        <v>0</v>
      </c>
      <c r="CC261">
        <f t="shared" si="158"/>
        <v>0</v>
      </c>
      <c r="CD261">
        <f>IF(AND(CC261&gt;=0,CC260&lt;0,MIN($CC$2:CC261)&lt;0),1,0)</f>
        <v>0</v>
      </c>
    </row>
    <row r="262" spans="1:82" x14ac:dyDescent="0.2">
      <c r="A262">
        <f>Расчёты!A262</f>
        <v>261</v>
      </c>
      <c r="B262" t="str">
        <f>Расчёты!B262</f>
        <v/>
      </c>
      <c r="C262" t="str">
        <f>Расчёты!D262</f>
        <v/>
      </c>
      <c r="D262">
        <f>Расчёты!E262</f>
        <v>0</v>
      </c>
      <c r="E262">
        <f>IF(Расчёты!F262=0,0,IF(Расчёты!G262=1,N('Сценарный анализ'!$B$5),IF(Расчёты!G262=2,N('Сценарный анализ'!$B$6),IF(Расчёты!G262=3,N('Сценарный анализ'!$B$7),N('Сценарный анализ'!$B$7)*(1+N('Сценарный анализ'!$B$8))^(Расчёты!G262-3)))))</f>
        <v>0</v>
      </c>
      <c r="F262">
        <f>IF(OR(Расчёты!F262=0,N('Исходные данные'!$B$5)=0,E262=0),0,N('Исходные данные'!$B$5)*E262*IF(AND(B262&lt;='Исходные данные'!$B$30,Расчёты!C262&gt;='Исходные данные'!$B$30),(Расчёты!C262-'Исходные данные'!$B$30+1)/DAY(Расчёты!C262),1))</f>
        <v>0</v>
      </c>
      <c r="G262">
        <f>IF(AND(Расчёты!F262&gt;0,Расчёты!F262&lt;=N('Исходные данные'!$B$37)),-F262,0)</f>
        <v>0</v>
      </c>
      <c r="H262">
        <f>IF(OR(Расчёты!F262=0,Расчёты!F262&lt;=N('Исходные данные'!$B$37)),0,-(F262+G262)*N('Сценарный анализ'!$B$9))</f>
        <v>0</v>
      </c>
      <c r="I262">
        <f t="shared" si="159"/>
        <v>0</v>
      </c>
      <c r="J262">
        <f>IF('Исходные данные'!$B$51="Да",I262*N('Исходные данные'!$B$52),0)</f>
        <v>0</v>
      </c>
      <c r="K262">
        <f t="shared" si="160"/>
        <v>0</v>
      </c>
      <c r="L262">
        <f>I262+(Расчёты!Y262-Расчёты!L262)</f>
        <v>0</v>
      </c>
      <c r="M262">
        <f t="shared" si="147"/>
        <v>0</v>
      </c>
      <c r="N262">
        <f>IF('Исходные данные'!$B$51="Да",-MAX(0,J262+Расчёты!R262+Расчёты!V262-Расчёты!P262-Расчёты!T262-M262),0)</f>
        <v>0</v>
      </c>
      <c r="O262">
        <f>IF('Исходные данные'!$B$51="Да",MAX(0,M262+Расчёты!P262+Расчёты!T262-J262-Расчёты!R262-Расчёты!V262),0)</f>
        <v>0</v>
      </c>
      <c r="P262">
        <f>IF('Исходные данные'!$B$53="Выручка",MAX(0,I262+(Расчёты!Q262-Расчёты!R262)+(Расчёты!U262-Расчёты!V262)),IF('Исходные данные'!$B$53="Прибыль до налога",MAX(0,I262+(Расчёты!Q262-Расчёты!R262)+(Расчёты!U262-Расчёты!V262)+N('Исходные данные'!$B$54)*((Расчёты!O262+Расчёты!P262)+(Расчёты!S262+Расчёты!T262)+Расчёты!W262+Расчёты!X262)+IF('Исходные данные'!$B$55="Да",Расчёты!AG262,0)-N('Исходные данные'!$B$56)/12),IF('Исходные данные'!$B$53="Пользовательская база",MAX(0,N('Исходные данные'!$B$57)/12),0)))</f>
        <v>0</v>
      </c>
      <c r="Q262">
        <f>IF(D262=1,-P262*N('Исходные данные'!$B$50),0)</f>
        <v>0</v>
      </c>
      <c r="R262">
        <f t="shared" si="148"/>
        <v>0</v>
      </c>
      <c r="S262">
        <f>IF(OR(D262&lt;&gt;1,B262="",'Исходные данные'!$B$91="",N('Исходные данные'!$B$80)&lt;=0,'Исходные данные'!$B$88=""),0,IF(AND(YEAR(B262)=YEAR('Исходные данные'!$B$91),MONTH(B262)=MONTH('Исходные данные'!$B$91)),MAX(0,IF('Исходные данные'!$B$88="Последние 12 месяцев",SUMIFS($L$2:$L$194,$B$2:$B$194,"&gt;="&amp;EDATE(B262,-11),$B$2:$B$194,"&lt;="&amp;B262),IF('Исходные данные'!$B$88="Пользовательский NOI",N('Исходные данные'!$B$89),R262))/N('Исходные данные'!$B$80)*(1+N('Исходные данные'!$B$81))),0))</f>
        <v>0</v>
      </c>
      <c r="T262">
        <f>-S262*N('Исходные данные'!$B$73)</f>
        <v>0</v>
      </c>
      <c r="U262">
        <f>IF(S262=0,0,-N('Исходные данные'!$B$87)-IF('Исходные данные'!$B$82="Да",IF('Исходные данные'!$B$84="С выручки",S262,IF('Исходные данные'!$B$84="С прибыли",MAX(0,S262+T262-IF('Исходные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62">
        <f t="shared" si="161"/>
        <v>0</v>
      </c>
      <c r="W262">
        <f>IF(D262=1,Расчёты!AZ262+K262+N262+Q262+V262,0)</f>
        <v>0</v>
      </c>
      <c r="X262" t="str">
        <f t="shared" si="149"/>
        <v/>
      </c>
      <c r="Y262">
        <f>IF(OR(D262=0,'Исходные данные'!$B$9="",'Исходные данные'!$B$90=""),0,W262/(1+'Исходные данные'!$B$90)^((C262-'Исходные данные'!$B$9)/365))</f>
        <v>0</v>
      </c>
      <c r="Z262">
        <f>IF(D262=1,K262+Расчёты!O262+Расчёты!Q262+Расчёты!S262+Расчёты!U262+Расчёты!W262+Расчёты!X262+N262+Q262,0)</f>
        <v>0</v>
      </c>
      <c r="AA262">
        <f>IF(AND(D262=1,X262&gt;=0,X261&lt;0,MIN($X$2:X262)&lt;0),1,0)</f>
        <v>0</v>
      </c>
      <c r="AB262">
        <f>IF(Расчёты!F262=0,0,IF(Расчёты!G262=1,N('Сценарный анализ'!$C$5),IF(Расчёты!G262=2,N('Сценарный анализ'!$C$6),IF(Расчёты!G262=3,N('Сценарный анализ'!$C$7),N('Сценарный анализ'!$C$7)*(1+N('Сценарный анализ'!$C$8))^(Расчёты!G262-3)))))</f>
        <v>0</v>
      </c>
      <c r="AC262">
        <f>IF(OR(Расчёты!F262=0,N('Исходные данные'!$B$5)=0,AB262=0),0,N('Исходные данные'!$B$5)*AB262*IF(AND(B262&lt;='Исходные данные'!$B$30,Расчёты!C262&gt;='Исходные данные'!$B$30),(Расчёты!C262-'Исходные данные'!$B$30+1)/DAY(Расчёты!C262),1))</f>
        <v>0</v>
      </c>
      <c r="AD262">
        <f>IF(AND(Расчёты!F262&gt;0,Расчёты!F262&lt;=N('Исходные данные'!$B$37)),-AC262,0)</f>
        <v>0</v>
      </c>
      <c r="AE262">
        <f>IF(OR(Расчёты!F262=0,Расчёты!F262&lt;=N('Исходные данные'!$B$37)),0,-(AC262+AD262)*N('Сценарный анализ'!$C$9))</f>
        <v>0</v>
      </c>
      <c r="AF262">
        <f t="shared" si="162"/>
        <v>0</v>
      </c>
      <c r="AG262">
        <f>IF('Исходные данные'!$B$51="Да",AF262*N('Исходные данные'!$B$52),0)</f>
        <v>0</v>
      </c>
      <c r="AH262">
        <f t="shared" si="163"/>
        <v>0</v>
      </c>
      <c r="AI262">
        <f>AF262+(Расчёты!Y262-Расчёты!L262)</f>
        <v>0</v>
      </c>
      <c r="AJ262">
        <f t="shared" si="150"/>
        <v>0</v>
      </c>
      <c r="AK262">
        <f>IF('Исходные данные'!$B$51="Да",-MAX(0,AG262+Расчёты!R262+Расчёты!V262-Расчёты!P262-Расчёты!T262-AJ262),0)</f>
        <v>0</v>
      </c>
      <c r="AL262">
        <f>IF('Исходные данные'!$B$51="Да",MAX(0,AJ262+Расчёты!P262+Расчёты!T262-AG262-Расчёты!R262-Расчёты!V262),0)</f>
        <v>0</v>
      </c>
      <c r="AM262">
        <f>IF('Исходные данные'!$B$53="Выручка",MAX(0,AF262+(Расчёты!Q262-Расчёты!R262)+(Расчёты!U262-Расчёты!V262)),IF('Исходные данные'!$B$53="Прибыль до налога",MAX(0,AF262+(Расчёты!Q262-Расчёты!R262)+(Расчёты!U262-Расчёты!V262)+N('Исходные данные'!$B$54)*((Расчёты!O262+Расчёты!P262)+(Расчёты!S262+Расчёты!T262)+Расчёты!W262+Расчёты!X262)+IF('Исходные данные'!$B$55="Да",Расчёты!AG262,0)-N('Исходные данные'!$B$56)/12),IF('Исходные данные'!$B$53="Пользовательская база",MAX(0,N('Исходные данные'!$B$57)/12),0)))</f>
        <v>0</v>
      </c>
      <c r="AN262">
        <f>IF(D262=1,-AM262*N('Исходные данные'!$B$50),0)</f>
        <v>0</v>
      </c>
      <c r="AO262">
        <f t="shared" si="151"/>
        <v>0</v>
      </c>
      <c r="AP262">
        <f>IF(OR(D262&lt;&gt;1,B262="",'Исходные данные'!$B$91="",N('Исходные данные'!$B$80)&lt;=0,'Исходные данные'!$B$88=""),0,IF(AND(YEAR(B262)=YEAR('Исходные данные'!$B$91),MONTH(B262)=MONTH('Исходные данные'!$B$91)),MAX(0,IF('Исходные данные'!$B$88="Последние 12 месяцев",SUMIFS($AI$2:$AI$194,$B$2:$B$194,"&gt;="&amp;EDATE(B262,-11),$B$2:$B$194,"&lt;="&amp;B262),IF('Исходные данные'!$B$88="Пользовательский NOI",N('Исходные данные'!$B$89),AO262))/N('Исходные данные'!$B$80)*(1+N('Исходные данные'!$B$81))),0))</f>
        <v>0</v>
      </c>
      <c r="AQ262">
        <f>-AP262*N('Исходные данные'!$B$73)</f>
        <v>0</v>
      </c>
      <c r="AR262">
        <f>IF(AP262=0,0,-N('Исходные данные'!$B$87)-IF('Исходные данные'!$B$82="Да",IF('Исходные данные'!$B$84="С выручки",AP262,IF('Исходные данные'!$B$84="С прибыли",MAX(0,AP262+AQ262-IF('Исходные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62">
        <f t="shared" si="164"/>
        <v>0</v>
      </c>
      <c r="AT262">
        <f>IF(D262=1,Расчёты!AZ262+AH262+AK262+AN262+AS262,0)</f>
        <v>0</v>
      </c>
      <c r="AU262" t="str">
        <f t="shared" si="152"/>
        <v/>
      </c>
      <c r="AV262">
        <f>IF(OR(D262=0,'Исходные данные'!$B$9="",'Исходные данные'!$B$90=""),0,AT262/(1+'Исходные данные'!$B$90)^((C262-'Исходные данные'!$B$9)/365))</f>
        <v>0</v>
      </c>
      <c r="AW262">
        <f>IF(D262=1,AH262+Расчёты!O262+Расчёты!Q262+Расчёты!S262+Расчёты!U262+Расчёты!W262+Расчёты!X262+AK262+AN262,0)</f>
        <v>0</v>
      </c>
      <c r="AX262">
        <f>IF(AND(D262=1,AU262&gt;=0,AU261&lt;0,MIN($AU$2:AU262)&lt;0),1,0)</f>
        <v>0</v>
      </c>
      <c r="AY262">
        <f>IF(Расчёты!F262=0,0,IF(Расчёты!G262=1,N('Сценарный анализ'!$D$5),IF(Расчёты!G262=2,N('Сценарный анализ'!$D$6),IF(Расчёты!G262=3,N('Сценарный анализ'!$D$7),N('Сценарный анализ'!$D$7)*(1+N('Сценарный анализ'!$D$8))^(Расчёты!G262-3)))))</f>
        <v>0</v>
      </c>
      <c r="AZ262">
        <f>IF(OR(Расчёты!F262=0,N('Исходные данные'!$B$5)=0,AY262=0),0,N('Исходные данные'!$B$5)*AY262*IF(AND(B262&lt;='Исходные данные'!$B$30,Расчёты!C262&gt;='Исходные данные'!$B$30),(Расчёты!C262-'Исходные данные'!$B$30+1)/DAY(Расчёты!C262),1))</f>
        <v>0</v>
      </c>
      <c r="BA262">
        <f>IF(AND(Расчёты!F262&gt;0,Расчёты!F262&lt;=N('Исходные данные'!$B$37)),-AZ262,0)</f>
        <v>0</v>
      </c>
      <c r="BB262">
        <f>IF(OR(Расчёты!F262=0,Расчёты!F262&lt;=N('Исходные данные'!$B$37)),0,-(AZ262+BA262)*N('Сценарный анализ'!$D$9))</f>
        <v>0</v>
      </c>
      <c r="BC262">
        <f t="shared" si="165"/>
        <v>0</v>
      </c>
      <c r="BD262">
        <f>IF('Исходные данные'!$B$51="Да",BC262*N('Исходные данные'!$B$52),0)</f>
        <v>0</v>
      </c>
      <c r="BE262">
        <f t="shared" si="166"/>
        <v>0</v>
      </c>
      <c r="BF262">
        <f>BC262+(Расчёты!Y262-Расчёты!L262)</f>
        <v>0</v>
      </c>
      <c r="BG262">
        <f t="shared" si="153"/>
        <v>0</v>
      </c>
      <c r="BH262">
        <f>IF('Исходные данные'!$B$51="Да",-MAX(0,BD262+Расчёты!R262+Расчёты!V262-Расчёты!P262-Расчёты!T262-BG262),0)</f>
        <v>0</v>
      </c>
      <c r="BI262">
        <f>IF('Исходные данные'!$B$51="Да",MAX(0,BG262+Расчёты!P262+Расчёты!T262-BD262-Расчёты!R262-Расчёты!V262),0)</f>
        <v>0</v>
      </c>
      <c r="BJ262">
        <f>IF('Исходные данные'!$B$53="Выручка",MAX(0,BC262+(Расчёты!Q262-Расчёты!R262)+(Расчёты!U262-Расчёты!V262)),IF('Исходные данные'!$B$53="Прибыль до налога",MAX(0,BC262+(Расчёты!Q262-Расчёты!R262)+(Расчёты!U262-Расчёты!V262)+N('Исходные данные'!$B$54)*((Расчёты!O262+Расчёты!P262)+(Расчёты!S262+Расчёты!T262)+Расчёты!W262+Расчёты!X262)+IF('Исходные данные'!$B$55="Да",Расчёты!AG262,0)-N('Исходные данные'!$B$56)/12),IF('Исходные данные'!$B$53="Пользовательская база",MAX(0,N('Исходные данные'!$B$57)/12),0)))</f>
        <v>0</v>
      </c>
      <c r="BK262">
        <f>IF(D262=1,-BJ262*N('Исходные данные'!$B$50),0)</f>
        <v>0</v>
      </c>
      <c r="BL262">
        <f t="shared" si="154"/>
        <v>0</v>
      </c>
      <c r="BM262">
        <f>IF(OR(D262&lt;&gt;1,B262="",'Исходные данные'!$B$91="",N('Исходные данные'!$B$80)&lt;=0,'Исходные данные'!$B$88=""),0,IF(AND(YEAR(B262)=YEAR('Исходные данные'!$B$91),MONTH(B262)=MONTH('Исходные данные'!$B$91)),MAX(0,IF('Исходные данные'!$B$88="Последние 12 месяцев",SUMIFS($BF$2:$BF$194,$B$2:$B$194,"&gt;="&amp;EDATE(B262,-11),$B$2:$B$194,"&lt;="&amp;B262),IF('Исходные данные'!$B$88="Пользовательский NOI",N('Исходные данные'!$B$89),BL262))/N('Исходные данные'!$B$80)*(1+N('Исходные данные'!$B$81))),0))</f>
        <v>0</v>
      </c>
      <c r="BN262">
        <f>-BM262*N('Исходные данные'!$B$73)</f>
        <v>0</v>
      </c>
      <c r="BO262">
        <f>IF(BM262=0,0,-N('Исходные данные'!$B$87)-IF('Исходные данные'!$B$82="Да",IF('Исходные данные'!$B$84="С выручки",BM262,IF('Исходные данные'!$B$84="С прибыли",MAX(0,BM262+BN262-IF('Исходные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62">
        <f t="shared" si="167"/>
        <v>0</v>
      </c>
      <c r="BQ262">
        <f>IF(D262=1,Расчёты!AZ262+BE262+BH262+BK262+BP262,0)</f>
        <v>0</v>
      </c>
      <c r="BR262" t="str">
        <f t="shared" si="155"/>
        <v/>
      </c>
      <c r="BS262">
        <f>IF(OR(D262=0,'Исходные данные'!$B$9="",'Исходные данные'!$B$90=""),0,BQ262/(1+'Исходные данные'!$B$90)^((C262-'Исходные данные'!$B$9)/365))</f>
        <v>0</v>
      </c>
      <c r="BT262">
        <f>IF(D262=1,BE262+Расчёты!O262+Расчёты!Q262+Расчёты!S262+Расчёты!U262+Расчёты!W262+Расчёты!X262+BH262+BK262,0)</f>
        <v>0</v>
      </c>
      <c r="BU262">
        <f>IF(AND(D262=1,BR262&gt;=0,BR261&lt;0,MIN($BR$2:BR262)&lt;0),1,0)</f>
        <v>0</v>
      </c>
      <c r="BV262">
        <f>Расчёты!AZ262+K262+N262-P262*N('Исходные данные'!$B$50)</f>
        <v>0</v>
      </c>
      <c r="BW262">
        <f t="shared" si="156"/>
        <v>0</v>
      </c>
      <c r="BX262">
        <f>IF(AND(BW262&gt;=0,BW261&lt;0,MIN($BW$2:BW262)&lt;0),1,0)</f>
        <v>0</v>
      </c>
      <c r="BY262">
        <f>Расчёты!AZ262+AH262+AK262-AM262*N('Исходные данные'!$B$50)</f>
        <v>0</v>
      </c>
      <c r="BZ262">
        <f t="shared" si="157"/>
        <v>0</v>
      </c>
      <c r="CA262">
        <f>IF(AND(BZ262&gt;=0,BZ261&lt;0,MIN($BZ$2:BZ262)&lt;0),1,0)</f>
        <v>0</v>
      </c>
      <c r="CB262">
        <f>Расчёты!AZ262+BE262+BH262-BJ262*N('Исходные данные'!$B$50)</f>
        <v>0</v>
      </c>
      <c r="CC262">
        <f t="shared" si="158"/>
        <v>0</v>
      </c>
      <c r="CD262">
        <f>IF(AND(CC262&gt;=0,CC261&lt;0,MIN($CC$2:CC262)&lt;0),1,0)</f>
        <v>0</v>
      </c>
    </row>
    <row r="263" spans="1:82" x14ac:dyDescent="0.2">
      <c r="A263">
        <f>Расчёты!A263</f>
        <v>262</v>
      </c>
      <c r="B263" t="str">
        <f>Расчёты!B263</f>
        <v/>
      </c>
      <c r="C263" t="str">
        <f>Расчёты!D263</f>
        <v/>
      </c>
      <c r="D263">
        <f>Расчёты!E263</f>
        <v>0</v>
      </c>
      <c r="E263">
        <f>IF(Расчёты!F263=0,0,IF(Расчёты!G263=1,N('Сценарный анализ'!$B$5),IF(Расчёты!G263=2,N('Сценарный анализ'!$B$6),IF(Расчёты!G263=3,N('Сценарный анализ'!$B$7),N('Сценарный анализ'!$B$7)*(1+N('Сценарный анализ'!$B$8))^(Расчёты!G263-3)))))</f>
        <v>0</v>
      </c>
      <c r="F263">
        <f>IF(OR(Расчёты!F263=0,N('Исходные данные'!$B$5)=0,E263=0),0,N('Исходные данные'!$B$5)*E263*IF(AND(B263&lt;='Исходные данные'!$B$30,Расчёты!C263&gt;='Исходные данные'!$B$30),(Расчёты!C263-'Исходные данные'!$B$30+1)/DAY(Расчёты!C263),1))</f>
        <v>0</v>
      </c>
      <c r="G263">
        <f>IF(AND(Расчёты!F263&gt;0,Расчёты!F263&lt;=N('Исходные данные'!$B$37)),-F263,0)</f>
        <v>0</v>
      </c>
      <c r="H263">
        <f>IF(OR(Расчёты!F263=0,Расчёты!F263&lt;=N('Исходные данные'!$B$37)),0,-(F263+G263)*N('Сценарный анализ'!$B$9))</f>
        <v>0</v>
      </c>
      <c r="I263">
        <f t="shared" si="159"/>
        <v>0</v>
      </c>
      <c r="J263">
        <f>IF('Исходные данные'!$B$51="Да",I263*N('Исходные данные'!$B$52),0)</f>
        <v>0</v>
      </c>
      <c r="K263">
        <f t="shared" si="160"/>
        <v>0</v>
      </c>
      <c r="L263">
        <f>I263+(Расчёты!Y263-Расчёты!L263)</f>
        <v>0</v>
      </c>
      <c r="M263">
        <f t="shared" si="147"/>
        <v>0</v>
      </c>
      <c r="N263">
        <f>IF('Исходные данные'!$B$51="Да",-MAX(0,J263+Расчёты!R263+Расчёты!V263-Расчёты!P263-Расчёты!T263-M263),0)</f>
        <v>0</v>
      </c>
      <c r="O263">
        <f>IF('Исходные данные'!$B$51="Да",MAX(0,M263+Расчёты!P263+Расчёты!T263-J263-Расчёты!R263-Расчёты!V263),0)</f>
        <v>0</v>
      </c>
      <c r="P263">
        <f>IF('Исходные данные'!$B$53="Выручка",MAX(0,I263+(Расчёты!Q263-Расчёты!R263)+(Расчёты!U263-Расчёты!V263)),IF('Исходные данные'!$B$53="Прибыль до налога",MAX(0,I263+(Расчёты!Q263-Расчёты!R263)+(Расчёты!U263-Расчёты!V263)+N('Исходные данные'!$B$54)*((Расчёты!O263+Расчёты!P263)+(Расчёты!S263+Расчёты!T263)+Расчёты!W263+Расчёты!X263)+IF('Исходные данные'!$B$55="Да",Расчёты!AG263,0)-N('Исходные данные'!$B$56)/12),IF('Исходные данные'!$B$53="Пользовательская база",MAX(0,N('Исходные данные'!$B$57)/12),0)))</f>
        <v>0</v>
      </c>
      <c r="Q263">
        <f>IF(D263=1,-P263*N('Исходные данные'!$B$50),0)</f>
        <v>0</v>
      </c>
      <c r="R263">
        <f t="shared" si="148"/>
        <v>0</v>
      </c>
      <c r="S263">
        <f>IF(OR(D263&lt;&gt;1,B263="",'Исходные данные'!$B$91="",N('Исходные данные'!$B$80)&lt;=0,'Исходные данные'!$B$88=""),0,IF(AND(YEAR(B263)=YEAR('Исходные данные'!$B$91),MONTH(B263)=MONTH('Исходные данные'!$B$91)),MAX(0,IF('Исходные данные'!$B$88="Последние 12 месяцев",SUMIFS($L$2:$L$194,$B$2:$B$194,"&gt;="&amp;EDATE(B263,-11),$B$2:$B$194,"&lt;="&amp;B263),IF('Исходные данные'!$B$88="Пользовательский NOI",N('Исходные данные'!$B$89),R263))/N('Исходные данные'!$B$80)*(1+N('Исходные данные'!$B$81))),0))</f>
        <v>0</v>
      </c>
      <c r="T263">
        <f>-S263*N('Исходные данные'!$B$73)</f>
        <v>0</v>
      </c>
      <c r="U263">
        <f>IF(S263=0,0,-N('Исходные данные'!$B$87)-IF('Исходные данные'!$B$82="Да",IF('Исходные данные'!$B$84="С выручки",S263,IF('Исходные данные'!$B$84="С прибыли",MAX(0,S263+T263-IF('Исходные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63">
        <f t="shared" si="161"/>
        <v>0</v>
      </c>
      <c r="W263">
        <f>IF(D263=1,Расчёты!AZ263+K263+N263+Q263+V263,0)</f>
        <v>0</v>
      </c>
      <c r="X263" t="str">
        <f t="shared" si="149"/>
        <v/>
      </c>
      <c r="Y263">
        <f>IF(OR(D263=0,'Исходные данные'!$B$9="",'Исходные данные'!$B$90=""),0,W263/(1+'Исходные данные'!$B$90)^((C263-'Исходные данные'!$B$9)/365))</f>
        <v>0</v>
      </c>
      <c r="Z263">
        <f>IF(D263=1,K263+Расчёты!O263+Расчёты!Q263+Расчёты!S263+Расчёты!U263+Расчёты!W263+Расчёты!X263+N263+Q263,0)</f>
        <v>0</v>
      </c>
      <c r="AA263">
        <f>IF(AND(D263=1,X263&gt;=0,X262&lt;0,MIN($X$2:X263)&lt;0),1,0)</f>
        <v>0</v>
      </c>
      <c r="AB263">
        <f>IF(Расчёты!F263=0,0,IF(Расчёты!G263=1,N('Сценарный анализ'!$C$5),IF(Расчёты!G263=2,N('Сценарный анализ'!$C$6),IF(Расчёты!G263=3,N('Сценарный анализ'!$C$7),N('Сценарный анализ'!$C$7)*(1+N('Сценарный анализ'!$C$8))^(Расчёты!G263-3)))))</f>
        <v>0</v>
      </c>
      <c r="AC263">
        <f>IF(OR(Расчёты!F263=0,N('Исходные данные'!$B$5)=0,AB263=0),0,N('Исходные данные'!$B$5)*AB263*IF(AND(B263&lt;='Исходные данные'!$B$30,Расчёты!C263&gt;='Исходные данные'!$B$30),(Расчёты!C263-'Исходные данные'!$B$30+1)/DAY(Расчёты!C263),1))</f>
        <v>0</v>
      </c>
      <c r="AD263">
        <f>IF(AND(Расчёты!F263&gt;0,Расчёты!F263&lt;=N('Исходные данные'!$B$37)),-AC263,0)</f>
        <v>0</v>
      </c>
      <c r="AE263">
        <f>IF(OR(Расчёты!F263=0,Расчёты!F263&lt;=N('Исходные данные'!$B$37)),0,-(AC263+AD263)*N('Сценарный анализ'!$C$9))</f>
        <v>0</v>
      </c>
      <c r="AF263">
        <f t="shared" si="162"/>
        <v>0</v>
      </c>
      <c r="AG263">
        <f>IF('Исходные данные'!$B$51="Да",AF263*N('Исходные данные'!$B$52),0)</f>
        <v>0</v>
      </c>
      <c r="AH263">
        <f t="shared" si="163"/>
        <v>0</v>
      </c>
      <c r="AI263">
        <f>AF263+(Расчёты!Y263-Расчёты!L263)</f>
        <v>0</v>
      </c>
      <c r="AJ263">
        <f t="shared" si="150"/>
        <v>0</v>
      </c>
      <c r="AK263">
        <f>IF('Исходные данные'!$B$51="Да",-MAX(0,AG263+Расчёты!R263+Расчёты!V263-Расчёты!P263-Расчёты!T263-AJ263),0)</f>
        <v>0</v>
      </c>
      <c r="AL263">
        <f>IF('Исходные данные'!$B$51="Да",MAX(0,AJ263+Расчёты!P263+Расчёты!T263-AG263-Расчёты!R263-Расчёты!V263),0)</f>
        <v>0</v>
      </c>
      <c r="AM263">
        <f>IF('Исходные данные'!$B$53="Выручка",MAX(0,AF263+(Расчёты!Q263-Расчёты!R263)+(Расчёты!U263-Расчёты!V263)),IF('Исходные данные'!$B$53="Прибыль до налога",MAX(0,AF263+(Расчёты!Q263-Расчёты!R263)+(Расчёты!U263-Расчёты!V263)+N('Исходные данные'!$B$54)*((Расчёты!O263+Расчёты!P263)+(Расчёты!S263+Расчёты!T263)+Расчёты!W263+Расчёты!X263)+IF('Исходные данные'!$B$55="Да",Расчёты!AG263,0)-N('Исходные данные'!$B$56)/12),IF('Исходные данные'!$B$53="Пользовательская база",MAX(0,N('Исходные данные'!$B$57)/12),0)))</f>
        <v>0</v>
      </c>
      <c r="AN263">
        <f>IF(D263=1,-AM263*N('Исходные данные'!$B$50),0)</f>
        <v>0</v>
      </c>
      <c r="AO263">
        <f t="shared" si="151"/>
        <v>0</v>
      </c>
      <c r="AP263">
        <f>IF(OR(D263&lt;&gt;1,B263="",'Исходные данные'!$B$91="",N('Исходные данные'!$B$80)&lt;=0,'Исходные данные'!$B$88=""),0,IF(AND(YEAR(B263)=YEAR('Исходные данные'!$B$91),MONTH(B263)=MONTH('Исходные данные'!$B$91)),MAX(0,IF('Исходные данные'!$B$88="Последние 12 месяцев",SUMIFS($AI$2:$AI$194,$B$2:$B$194,"&gt;="&amp;EDATE(B263,-11),$B$2:$B$194,"&lt;="&amp;B263),IF('Исходные данные'!$B$88="Пользовательский NOI",N('Исходные данные'!$B$89),AO263))/N('Исходные данные'!$B$80)*(1+N('Исходные данные'!$B$81))),0))</f>
        <v>0</v>
      </c>
      <c r="AQ263">
        <f>-AP263*N('Исходные данные'!$B$73)</f>
        <v>0</v>
      </c>
      <c r="AR263">
        <f>IF(AP263=0,0,-N('Исходные данные'!$B$87)-IF('Исходные данные'!$B$82="Да",IF('Исходные данные'!$B$84="С выручки",AP263,IF('Исходные данные'!$B$84="С прибыли",MAX(0,AP263+AQ263-IF('Исходные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63">
        <f t="shared" si="164"/>
        <v>0</v>
      </c>
      <c r="AT263">
        <f>IF(D263=1,Расчёты!AZ263+AH263+AK263+AN263+AS263,0)</f>
        <v>0</v>
      </c>
      <c r="AU263" t="str">
        <f t="shared" si="152"/>
        <v/>
      </c>
      <c r="AV263">
        <f>IF(OR(D263=0,'Исходные данные'!$B$9="",'Исходные данные'!$B$90=""),0,AT263/(1+'Исходные данные'!$B$90)^((C263-'Исходные данные'!$B$9)/365))</f>
        <v>0</v>
      </c>
      <c r="AW263">
        <f>IF(D263=1,AH263+Расчёты!O263+Расчёты!Q263+Расчёты!S263+Расчёты!U263+Расчёты!W263+Расчёты!X263+AK263+AN263,0)</f>
        <v>0</v>
      </c>
      <c r="AX263">
        <f>IF(AND(D263=1,AU263&gt;=0,AU262&lt;0,MIN($AU$2:AU263)&lt;0),1,0)</f>
        <v>0</v>
      </c>
      <c r="AY263">
        <f>IF(Расчёты!F263=0,0,IF(Расчёты!G263=1,N('Сценарный анализ'!$D$5),IF(Расчёты!G263=2,N('Сценарный анализ'!$D$6),IF(Расчёты!G263=3,N('Сценарный анализ'!$D$7),N('Сценарный анализ'!$D$7)*(1+N('Сценарный анализ'!$D$8))^(Расчёты!G263-3)))))</f>
        <v>0</v>
      </c>
      <c r="AZ263">
        <f>IF(OR(Расчёты!F263=0,N('Исходные данные'!$B$5)=0,AY263=0),0,N('Исходные данные'!$B$5)*AY263*IF(AND(B263&lt;='Исходные данные'!$B$30,Расчёты!C263&gt;='Исходные данные'!$B$30),(Расчёты!C263-'Исходные данные'!$B$30+1)/DAY(Расчёты!C263),1))</f>
        <v>0</v>
      </c>
      <c r="BA263">
        <f>IF(AND(Расчёты!F263&gt;0,Расчёты!F263&lt;=N('Исходные данные'!$B$37)),-AZ263,0)</f>
        <v>0</v>
      </c>
      <c r="BB263">
        <f>IF(OR(Расчёты!F263=0,Расчёты!F263&lt;=N('Исходные данные'!$B$37)),0,-(AZ263+BA263)*N('Сценарный анализ'!$D$9))</f>
        <v>0</v>
      </c>
      <c r="BC263">
        <f t="shared" si="165"/>
        <v>0</v>
      </c>
      <c r="BD263">
        <f>IF('Исходные данные'!$B$51="Да",BC263*N('Исходные данные'!$B$52),0)</f>
        <v>0</v>
      </c>
      <c r="BE263">
        <f t="shared" si="166"/>
        <v>0</v>
      </c>
      <c r="BF263">
        <f>BC263+(Расчёты!Y263-Расчёты!L263)</f>
        <v>0</v>
      </c>
      <c r="BG263">
        <f t="shared" si="153"/>
        <v>0</v>
      </c>
      <c r="BH263">
        <f>IF('Исходные данные'!$B$51="Да",-MAX(0,BD263+Расчёты!R263+Расчёты!V263-Расчёты!P263-Расчёты!T263-BG263),0)</f>
        <v>0</v>
      </c>
      <c r="BI263">
        <f>IF('Исходные данные'!$B$51="Да",MAX(0,BG263+Расчёты!P263+Расчёты!T263-BD263-Расчёты!R263-Расчёты!V263),0)</f>
        <v>0</v>
      </c>
      <c r="BJ263">
        <f>IF('Исходные данные'!$B$53="Выручка",MAX(0,BC263+(Расчёты!Q263-Расчёты!R263)+(Расчёты!U263-Расчёты!V263)),IF('Исходные данные'!$B$53="Прибыль до налога",MAX(0,BC263+(Расчёты!Q263-Расчёты!R263)+(Расчёты!U263-Расчёты!V263)+N('Исходные данные'!$B$54)*((Расчёты!O263+Расчёты!P263)+(Расчёты!S263+Расчёты!T263)+Расчёты!W263+Расчёты!X263)+IF('Исходные данные'!$B$55="Да",Расчёты!AG263,0)-N('Исходные данные'!$B$56)/12),IF('Исходные данные'!$B$53="Пользовательская база",MAX(0,N('Исходные данные'!$B$57)/12),0)))</f>
        <v>0</v>
      </c>
      <c r="BK263">
        <f>IF(D263=1,-BJ263*N('Исходные данные'!$B$50),0)</f>
        <v>0</v>
      </c>
      <c r="BL263">
        <f t="shared" si="154"/>
        <v>0</v>
      </c>
      <c r="BM263">
        <f>IF(OR(D263&lt;&gt;1,B263="",'Исходные данные'!$B$91="",N('Исходные данные'!$B$80)&lt;=0,'Исходные данные'!$B$88=""),0,IF(AND(YEAR(B263)=YEAR('Исходные данные'!$B$91),MONTH(B263)=MONTH('Исходные данные'!$B$91)),MAX(0,IF('Исходные данные'!$B$88="Последние 12 месяцев",SUMIFS($BF$2:$BF$194,$B$2:$B$194,"&gt;="&amp;EDATE(B263,-11),$B$2:$B$194,"&lt;="&amp;B263),IF('Исходные данные'!$B$88="Пользовательский NOI",N('Исходные данные'!$B$89),BL263))/N('Исходные данные'!$B$80)*(1+N('Исходные данные'!$B$81))),0))</f>
        <v>0</v>
      </c>
      <c r="BN263">
        <f>-BM263*N('Исходные данные'!$B$73)</f>
        <v>0</v>
      </c>
      <c r="BO263">
        <f>IF(BM263=0,0,-N('Исходные данные'!$B$87)-IF('Исходные данные'!$B$82="Да",IF('Исходные данные'!$B$84="С выручки",BM263,IF('Исходные данные'!$B$84="С прибыли",MAX(0,BM263+BN263-IF('Исходные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63">
        <f t="shared" si="167"/>
        <v>0</v>
      </c>
      <c r="BQ263">
        <f>IF(D263=1,Расчёты!AZ263+BE263+BH263+BK263+BP263,0)</f>
        <v>0</v>
      </c>
      <c r="BR263" t="str">
        <f t="shared" si="155"/>
        <v/>
      </c>
      <c r="BS263">
        <f>IF(OR(D263=0,'Исходные данные'!$B$9="",'Исходные данные'!$B$90=""),0,BQ263/(1+'Исходные данные'!$B$90)^((C263-'Исходные данные'!$B$9)/365))</f>
        <v>0</v>
      </c>
      <c r="BT263">
        <f>IF(D263=1,BE263+Расчёты!O263+Расчёты!Q263+Расчёты!S263+Расчёты!U263+Расчёты!W263+Расчёты!X263+BH263+BK263,0)</f>
        <v>0</v>
      </c>
      <c r="BU263">
        <f>IF(AND(D263=1,BR263&gt;=0,BR262&lt;0,MIN($BR$2:BR263)&lt;0),1,0)</f>
        <v>0</v>
      </c>
      <c r="BV263">
        <f>Расчёты!AZ263+K263+N263-P263*N('Исходные данные'!$B$50)</f>
        <v>0</v>
      </c>
      <c r="BW263">
        <f t="shared" si="156"/>
        <v>0</v>
      </c>
      <c r="BX263">
        <f>IF(AND(BW263&gt;=0,BW262&lt;0,MIN($BW$2:BW263)&lt;0),1,0)</f>
        <v>0</v>
      </c>
      <c r="BY263">
        <f>Расчёты!AZ263+AH263+AK263-AM263*N('Исходные данные'!$B$50)</f>
        <v>0</v>
      </c>
      <c r="BZ263">
        <f t="shared" si="157"/>
        <v>0</v>
      </c>
      <c r="CA263">
        <f>IF(AND(BZ263&gt;=0,BZ262&lt;0,MIN($BZ$2:BZ263)&lt;0),1,0)</f>
        <v>0</v>
      </c>
      <c r="CB263">
        <f>Расчёты!AZ263+BE263+BH263-BJ263*N('Исходные данные'!$B$50)</f>
        <v>0</v>
      </c>
      <c r="CC263">
        <f t="shared" si="158"/>
        <v>0</v>
      </c>
      <c r="CD263">
        <f>IF(AND(CC263&gt;=0,CC262&lt;0,MIN($CC$2:CC263)&lt;0),1,0)</f>
        <v>0</v>
      </c>
    </row>
    <row r="264" spans="1:82" x14ac:dyDescent="0.2">
      <c r="A264">
        <f>Расчёты!A264</f>
        <v>263</v>
      </c>
      <c r="B264" t="str">
        <f>Расчёты!B264</f>
        <v/>
      </c>
      <c r="C264" t="str">
        <f>Расчёты!D264</f>
        <v/>
      </c>
      <c r="D264">
        <f>Расчёты!E264</f>
        <v>0</v>
      </c>
      <c r="E264">
        <f>IF(Расчёты!F264=0,0,IF(Расчёты!G264=1,N('Сценарный анализ'!$B$5),IF(Расчёты!G264=2,N('Сценарный анализ'!$B$6),IF(Расчёты!G264=3,N('Сценарный анализ'!$B$7),N('Сценарный анализ'!$B$7)*(1+N('Сценарный анализ'!$B$8))^(Расчёты!G264-3)))))</f>
        <v>0</v>
      </c>
      <c r="F264">
        <f>IF(OR(Расчёты!F264=0,N('Исходные данные'!$B$5)=0,E264=0),0,N('Исходные данные'!$B$5)*E264*IF(AND(B264&lt;='Исходные данные'!$B$30,Расчёты!C264&gt;='Исходные данные'!$B$30),(Расчёты!C264-'Исходные данные'!$B$30+1)/DAY(Расчёты!C264),1))</f>
        <v>0</v>
      </c>
      <c r="G264">
        <f>IF(AND(Расчёты!F264&gt;0,Расчёты!F264&lt;=N('Исходные данные'!$B$37)),-F264,0)</f>
        <v>0</v>
      </c>
      <c r="H264">
        <f>IF(OR(Расчёты!F264=0,Расчёты!F264&lt;=N('Исходные данные'!$B$37)),0,-(F264+G264)*N('Сценарный анализ'!$B$9))</f>
        <v>0</v>
      </c>
      <c r="I264">
        <f t="shared" si="159"/>
        <v>0</v>
      </c>
      <c r="J264">
        <f>IF('Исходные данные'!$B$51="Да",I264*N('Исходные данные'!$B$52),0)</f>
        <v>0</v>
      </c>
      <c r="K264">
        <f t="shared" si="160"/>
        <v>0</v>
      </c>
      <c r="L264">
        <f>I264+(Расчёты!Y264-Расчёты!L264)</f>
        <v>0</v>
      </c>
      <c r="M264">
        <f t="shared" si="147"/>
        <v>0</v>
      </c>
      <c r="N264">
        <f>IF('Исходные данные'!$B$51="Да",-MAX(0,J264+Расчёты!R264+Расчёты!V264-Расчёты!P264-Расчёты!T264-M264),0)</f>
        <v>0</v>
      </c>
      <c r="O264">
        <f>IF('Исходные данные'!$B$51="Да",MAX(0,M264+Расчёты!P264+Расчёты!T264-J264-Расчёты!R264-Расчёты!V264),0)</f>
        <v>0</v>
      </c>
      <c r="P264">
        <f>IF('Исходные данные'!$B$53="Выручка",MAX(0,I264+(Расчёты!Q264-Расчёты!R264)+(Расчёты!U264-Расчёты!V264)),IF('Исходные данные'!$B$53="Прибыль до налога",MAX(0,I264+(Расчёты!Q264-Расчёты!R264)+(Расчёты!U264-Расчёты!V264)+N('Исходные данные'!$B$54)*((Расчёты!O264+Расчёты!P264)+(Расчёты!S264+Расчёты!T264)+Расчёты!W264+Расчёты!X264)+IF('Исходные данные'!$B$55="Да",Расчёты!AG264,0)-N('Исходные данные'!$B$56)/12),IF('Исходные данные'!$B$53="Пользовательская база",MAX(0,N('Исходные данные'!$B$57)/12),0)))</f>
        <v>0</v>
      </c>
      <c r="Q264">
        <f>IF(D264=1,-P264*N('Исходные данные'!$B$50),0)</f>
        <v>0</v>
      </c>
      <c r="R264">
        <f t="shared" si="148"/>
        <v>0</v>
      </c>
      <c r="S264">
        <f>IF(OR(D264&lt;&gt;1,B264="",'Исходные данные'!$B$91="",N('Исходные данные'!$B$80)&lt;=0,'Исходные данные'!$B$88=""),0,IF(AND(YEAR(B264)=YEAR('Исходные данные'!$B$91),MONTH(B264)=MONTH('Исходные данные'!$B$91)),MAX(0,IF('Исходные данные'!$B$88="Последние 12 месяцев",SUMIFS($L$2:$L$194,$B$2:$B$194,"&gt;="&amp;EDATE(B264,-11),$B$2:$B$194,"&lt;="&amp;B264),IF('Исходные данные'!$B$88="Пользовательский NOI",N('Исходные данные'!$B$89),R264))/N('Исходные данные'!$B$80)*(1+N('Исходные данные'!$B$81))),0))</f>
        <v>0</v>
      </c>
      <c r="T264">
        <f>-S264*N('Исходные данные'!$B$73)</f>
        <v>0</v>
      </c>
      <c r="U264">
        <f>IF(S264=0,0,-N('Исходные данные'!$B$87)-IF('Исходные данные'!$B$82="Да",IF('Исходные данные'!$B$84="С выручки",S264,IF('Исходные данные'!$B$84="С прибыли",MAX(0,S264+T264-IF('Исходные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64">
        <f t="shared" si="161"/>
        <v>0</v>
      </c>
      <c r="W264">
        <f>IF(D264=1,Расчёты!AZ264+K264+N264+Q264+V264,0)</f>
        <v>0</v>
      </c>
      <c r="X264" t="str">
        <f t="shared" si="149"/>
        <v/>
      </c>
      <c r="Y264">
        <f>IF(OR(D264=0,'Исходные данные'!$B$9="",'Исходные данные'!$B$90=""),0,W264/(1+'Исходные данные'!$B$90)^((C264-'Исходные данные'!$B$9)/365))</f>
        <v>0</v>
      </c>
      <c r="Z264">
        <f>IF(D264=1,K264+Расчёты!O264+Расчёты!Q264+Расчёты!S264+Расчёты!U264+Расчёты!W264+Расчёты!X264+N264+Q264,0)</f>
        <v>0</v>
      </c>
      <c r="AA264">
        <f>IF(AND(D264=1,X264&gt;=0,X263&lt;0,MIN($X$2:X264)&lt;0),1,0)</f>
        <v>0</v>
      </c>
      <c r="AB264">
        <f>IF(Расчёты!F264=0,0,IF(Расчёты!G264=1,N('Сценарный анализ'!$C$5),IF(Расчёты!G264=2,N('Сценарный анализ'!$C$6),IF(Расчёты!G264=3,N('Сценарный анализ'!$C$7),N('Сценарный анализ'!$C$7)*(1+N('Сценарный анализ'!$C$8))^(Расчёты!G264-3)))))</f>
        <v>0</v>
      </c>
      <c r="AC264">
        <f>IF(OR(Расчёты!F264=0,N('Исходные данные'!$B$5)=0,AB264=0),0,N('Исходные данные'!$B$5)*AB264*IF(AND(B264&lt;='Исходные данные'!$B$30,Расчёты!C264&gt;='Исходные данные'!$B$30),(Расчёты!C264-'Исходные данные'!$B$30+1)/DAY(Расчёты!C264),1))</f>
        <v>0</v>
      </c>
      <c r="AD264">
        <f>IF(AND(Расчёты!F264&gt;0,Расчёты!F264&lt;=N('Исходные данные'!$B$37)),-AC264,0)</f>
        <v>0</v>
      </c>
      <c r="AE264">
        <f>IF(OR(Расчёты!F264=0,Расчёты!F264&lt;=N('Исходные данные'!$B$37)),0,-(AC264+AD264)*N('Сценарный анализ'!$C$9))</f>
        <v>0</v>
      </c>
      <c r="AF264">
        <f t="shared" si="162"/>
        <v>0</v>
      </c>
      <c r="AG264">
        <f>IF('Исходные данные'!$B$51="Да",AF264*N('Исходные данные'!$B$52),0)</f>
        <v>0</v>
      </c>
      <c r="AH264">
        <f t="shared" si="163"/>
        <v>0</v>
      </c>
      <c r="AI264">
        <f>AF264+(Расчёты!Y264-Расчёты!L264)</f>
        <v>0</v>
      </c>
      <c r="AJ264">
        <f t="shared" si="150"/>
        <v>0</v>
      </c>
      <c r="AK264">
        <f>IF('Исходные данные'!$B$51="Да",-MAX(0,AG264+Расчёты!R264+Расчёты!V264-Расчёты!P264-Расчёты!T264-AJ264),0)</f>
        <v>0</v>
      </c>
      <c r="AL264">
        <f>IF('Исходные данные'!$B$51="Да",MAX(0,AJ264+Расчёты!P264+Расчёты!T264-AG264-Расчёты!R264-Расчёты!V264),0)</f>
        <v>0</v>
      </c>
      <c r="AM264">
        <f>IF('Исходные данные'!$B$53="Выручка",MAX(0,AF264+(Расчёты!Q264-Расчёты!R264)+(Расчёты!U264-Расчёты!V264)),IF('Исходные данные'!$B$53="Прибыль до налога",MAX(0,AF264+(Расчёты!Q264-Расчёты!R264)+(Расчёты!U264-Расчёты!V264)+N('Исходные данные'!$B$54)*((Расчёты!O264+Расчёты!P264)+(Расчёты!S264+Расчёты!T264)+Расчёты!W264+Расчёты!X264)+IF('Исходные данные'!$B$55="Да",Расчёты!AG264,0)-N('Исходные данные'!$B$56)/12),IF('Исходные данные'!$B$53="Пользовательская база",MAX(0,N('Исходные данные'!$B$57)/12),0)))</f>
        <v>0</v>
      </c>
      <c r="AN264">
        <f>IF(D264=1,-AM264*N('Исходные данные'!$B$50),0)</f>
        <v>0</v>
      </c>
      <c r="AO264">
        <f t="shared" si="151"/>
        <v>0</v>
      </c>
      <c r="AP264">
        <f>IF(OR(D264&lt;&gt;1,B264="",'Исходные данные'!$B$91="",N('Исходные данные'!$B$80)&lt;=0,'Исходные данные'!$B$88=""),0,IF(AND(YEAR(B264)=YEAR('Исходные данные'!$B$91),MONTH(B264)=MONTH('Исходные данные'!$B$91)),MAX(0,IF('Исходные данные'!$B$88="Последние 12 месяцев",SUMIFS($AI$2:$AI$194,$B$2:$B$194,"&gt;="&amp;EDATE(B264,-11),$B$2:$B$194,"&lt;="&amp;B264),IF('Исходные данные'!$B$88="Пользовательский NOI",N('Исходные данные'!$B$89),AO264))/N('Исходные данные'!$B$80)*(1+N('Исходные данные'!$B$81))),0))</f>
        <v>0</v>
      </c>
      <c r="AQ264">
        <f>-AP264*N('Исходные данные'!$B$73)</f>
        <v>0</v>
      </c>
      <c r="AR264">
        <f>IF(AP264=0,0,-N('Исходные данные'!$B$87)-IF('Исходные данные'!$B$82="Да",IF('Исходные данные'!$B$84="С выручки",AP264,IF('Исходные данные'!$B$84="С прибыли",MAX(0,AP264+AQ264-IF('Исходные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64">
        <f t="shared" si="164"/>
        <v>0</v>
      </c>
      <c r="AT264">
        <f>IF(D264=1,Расчёты!AZ264+AH264+AK264+AN264+AS264,0)</f>
        <v>0</v>
      </c>
      <c r="AU264" t="str">
        <f t="shared" si="152"/>
        <v/>
      </c>
      <c r="AV264">
        <f>IF(OR(D264=0,'Исходные данные'!$B$9="",'Исходные данные'!$B$90=""),0,AT264/(1+'Исходные данные'!$B$90)^((C264-'Исходные данные'!$B$9)/365))</f>
        <v>0</v>
      </c>
      <c r="AW264">
        <f>IF(D264=1,AH264+Расчёты!O264+Расчёты!Q264+Расчёты!S264+Расчёты!U264+Расчёты!W264+Расчёты!X264+AK264+AN264,0)</f>
        <v>0</v>
      </c>
      <c r="AX264">
        <f>IF(AND(D264=1,AU264&gt;=0,AU263&lt;0,MIN($AU$2:AU264)&lt;0),1,0)</f>
        <v>0</v>
      </c>
      <c r="AY264">
        <f>IF(Расчёты!F264=0,0,IF(Расчёты!G264=1,N('Сценарный анализ'!$D$5),IF(Расчёты!G264=2,N('Сценарный анализ'!$D$6),IF(Расчёты!G264=3,N('Сценарный анализ'!$D$7),N('Сценарный анализ'!$D$7)*(1+N('Сценарный анализ'!$D$8))^(Расчёты!G264-3)))))</f>
        <v>0</v>
      </c>
      <c r="AZ264">
        <f>IF(OR(Расчёты!F264=0,N('Исходные данные'!$B$5)=0,AY264=0),0,N('Исходные данные'!$B$5)*AY264*IF(AND(B264&lt;='Исходные данные'!$B$30,Расчёты!C264&gt;='Исходные данные'!$B$30),(Расчёты!C264-'Исходные данные'!$B$30+1)/DAY(Расчёты!C264),1))</f>
        <v>0</v>
      </c>
      <c r="BA264">
        <f>IF(AND(Расчёты!F264&gt;0,Расчёты!F264&lt;=N('Исходные данные'!$B$37)),-AZ264,0)</f>
        <v>0</v>
      </c>
      <c r="BB264">
        <f>IF(OR(Расчёты!F264=0,Расчёты!F264&lt;=N('Исходные данные'!$B$37)),0,-(AZ264+BA264)*N('Сценарный анализ'!$D$9))</f>
        <v>0</v>
      </c>
      <c r="BC264">
        <f t="shared" si="165"/>
        <v>0</v>
      </c>
      <c r="BD264">
        <f>IF('Исходные данные'!$B$51="Да",BC264*N('Исходные данные'!$B$52),0)</f>
        <v>0</v>
      </c>
      <c r="BE264">
        <f t="shared" si="166"/>
        <v>0</v>
      </c>
      <c r="BF264">
        <f>BC264+(Расчёты!Y264-Расчёты!L264)</f>
        <v>0</v>
      </c>
      <c r="BG264">
        <f t="shared" si="153"/>
        <v>0</v>
      </c>
      <c r="BH264">
        <f>IF('Исходные данные'!$B$51="Да",-MAX(0,BD264+Расчёты!R264+Расчёты!V264-Расчёты!P264-Расчёты!T264-BG264),0)</f>
        <v>0</v>
      </c>
      <c r="BI264">
        <f>IF('Исходные данные'!$B$51="Да",MAX(0,BG264+Расчёты!P264+Расчёты!T264-BD264-Расчёты!R264-Расчёты!V264),0)</f>
        <v>0</v>
      </c>
      <c r="BJ264">
        <f>IF('Исходные данные'!$B$53="Выручка",MAX(0,BC264+(Расчёты!Q264-Расчёты!R264)+(Расчёты!U264-Расчёты!V264)),IF('Исходные данные'!$B$53="Прибыль до налога",MAX(0,BC264+(Расчёты!Q264-Расчёты!R264)+(Расчёты!U264-Расчёты!V264)+N('Исходные данные'!$B$54)*((Расчёты!O264+Расчёты!P264)+(Расчёты!S264+Расчёты!T264)+Расчёты!W264+Расчёты!X264)+IF('Исходные данные'!$B$55="Да",Расчёты!AG264,0)-N('Исходные данные'!$B$56)/12),IF('Исходные данные'!$B$53="Пользовательская база",MAX(0,N('Исходные данные'!$B$57)/12),0)))</f>
        <v>0</v>
      </c>
      <c r="BK264">
        <f>IF(D264=1,-BJ264*N('Исходные данные'!$B$50),0)</f>
        <v>0</v>
      </c>
      <c r="BL264">
        <f t="shared" si="154"/>
        <v>0</v>
      </c>
      <c r="BM264">
        <f>IF(OR(D264&lt;&gt;1,B264="",'Исходные данные'!$B$91="",N('Исходные данные'!$B$80)&lt;=0,'Исходные данные'!$B$88=""),0,IF(AND(YEAR(B264)=YEAR('Исходные данные'!$B$91),MONTH(B264)=MONTH('Исходные данные'!$B$91)),MAX(0,IF('Исходные данные'!$B$88="Последние 12 месяцев",SUMIFS($BF$2:$BF$194,$B$2:$B$194,"&gt;="&amp;EDATE(B264,-11),$B$2:$B$194,"&lt;="&amp;B264),IF('Исходные данные'!$B$88="Пользовательский NOI",N('Исходные данные'!$B$89),BL264))/N('Исходные данные'!$B$80)*(1+N('Исходные данные'!$B$81))),0))</f>
        <v>0</v>
      </c>
      <c r="BN264">
        <f>-BM264*N('Исходные данные'!$B$73)</f>
        <v>0</v>
      </c>
      <c r="BO264">
        <f>IF(BM264=0,0,-N('Исходные данные'!$B$87)-IF('Исходные данные'!$B$82="Да",IF('Исходные данные'!$B$84="С выручки",BM264,IF('Исходные данные'!$B$84="С прибыли",MAX(0,BM264+BN264-IF('Исходные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64">
        <f t="shared" si="167"/>
        <v>0</v>
      </c>
      <c r="BQ264">
        <f>IF(D264=1,Расчёты!AZ264+BE264+BH264+BK264+BP264,0)</f>
        <v>0</v>
      </c>
      <c r="BR264" t="str">
        <f t="shared" si="155"/>
        <v/>
      </c>
      <c r="BS264">
        <f>IF(OR(D264=0,'Исходные данные'!$B$9="",'Исходные данные'!$B$90=""),0,BQ264/(1+'Исходные данные'!$B$90)^((C264-'Исходные данные'!$B$9)/365))</f>
        <v>0</v>
      </c>
      <c r="BT264">
        <f>IF(D264=1,BE264+Расчёты!O264+Расчёты!Q264+Расчёты!S264+Расчёты!U264+Расчёты!W264+Расчёты!X264+BH264+BK264,0)</f>
        <v>0</v>
      </c>
      <c r="BU264">
        <f>IF(AND(D264=1,BR264&gt;=0,BR263&lt;0,MIN($BR$2:BR264)&lt;0),1,0)</f>
        <v>0</v>
      </c>
      <c r="BV264">
        <f>Расчёты!AZ264+K264+N264-P264*N('Исходные данные'!$B$50)</f>
        <v>0</v>
      </c>
      <c r="BW264">
        <f t="shared" si="156"/>
        <v>0</v>
      </c>
      <c r="BX264">
        <f>IF(AND(BW264&gt;=0,BW263&lt;0,MIN($BW$2:BW264)&lt;0),1,0)</f>
        <v>0</v>
      </c>
      <c r="BY264">
        <f>Расчёты!AZ264+AH264+AK264-AM264*N('Исходные данные'!$B$50)</f>
        <v>0</v>
      </c>
      <c r="BZ264">
        <f t="shared" si="157"/>
        <v>0</v>
      </c>
      <c r="CA264">
        <f>IF(AND(BZ264&gt;=0,BZ263&lt;0,MIN($BZ$2:BZ264)&lt;0),1,0)</f>
        <v>0</v>
      </c>
      <c r="CB264">
        <f>Расчёты!AZ264+BE264+BH264-BJ264*N('Исходные данные'!$B$50)</f>
        <v>0</v>
      </c>
      <c r="CC264">
        <f t="shared" si="158"/>
        <v>0</v>
      </c>
      <c r="CD264">
        <f>IF(AND(CC264&gt;=0,CC263&lt;0,MIN($CC$2:CC264)&lt;0),1,0)</f>
        <v>0</v>
      </c>
    </row>
    <row r="265" spans="1:82" x14ac:dyDescent="0.2">
      <c r="A265">
        <f>Расчёты!A265</f>
        <v>264</v>
      </c>
      <c r="B265" t="str">
        <f>Расчёты!B265</f>
        <v/>
      </c>
      <c r="C265" t="str">
        <f>Расчёты!D265</f>
        <v/>
      </c>
      <c r="D265">
        <f>Расчёты!E265</f>
        <v>0</v>
      </c>
      <c r="E265">
        <f>IF(Расчёты!F265=0,0,IF(Расчёты!G265=1,N('Сценарный анализ'!$B$5),IF(Расчёты!G265=2,N('Сценарный анализ'!$B$6),IF(Расчёты!G265=3,N('Сценарный анализ'!$B$7),N('Сценарный анализ'!$B$7)*(1+N('Сценарный анализ'!$B$8))^(Расчёты!G265-3)))))</f>
        <v>0</v>
      </c>
      <c r="F265">
        <f>IF(OR(Расчёты!F265=0,N('Исходные данные'!$B$5)=0,E265=0),0,N('Исходные данные'!$B$5)*E265*IF(AND(B265&lt;='Исходные данные'!$B$30,Расчёты!C265&gt;='Исходные данные'!$B$30),(Расчёты!C265-'Исходные данные'!$B$30+1)/DAY(Расчёты!C265),1))</f>
        <v>0</v>
      </c>
      <c r="G265">
        <f>IF(AND(Расчёты!F265&gt;0,Расчёты!F265&lt;=N('Исходные данные'!$B$37)),-F265,0)</f>
        <v>0</v>
      </c>
      <c r="H265">
        <f>IF(OR(Расчёты!F265=0,Расчёты!F265&lt;=N('Исходные данные'!$B$37)),0,-(F265+G265)*N('Сценарный анализ'!$B$9))</f>
        <v>0</v>
      </c>
      <c r="I265">
        <f t="shared" si="159"/>
        <v>0</v>
      </c>
      <c r="J265">
        <f>IF('Исходные данные'!$B$51="Да",I265*N('Исходные данные'!$B$52),0)</f>
        <v>0</v>
      </c>
      <c r="K265">
        <f t="shared" si="160"/>
        <v>0</v>
      </c>
      <c r="L265">
        <f>I265+(Расчёты!Y265-Расчёты!L265)</f>
        <v>0</v>
      </c>
      <c r="M265">
        <f t="shared" si="147"/>
        <v>0</v>
      </c>
      <c r="N265">
        <f>IF('Исходные данные'!$B$51="Да",-MAX(0,J265+Расчёты!R265+Расчёты!V265-Расчёты!P265-Расчёты!T265-M265),0)</f>
        <v>0</v>
      </c>
      <c r="O265">
        <f>IF('Исходные данные'!$B$51="Да",MAX(0,M265+Расчёты!P265+Расчёты!T265-J265-Расчёты!R265-Расчёты!V265),0)</f>
        <v>0</v>
      </c>
      <c r="P265">
        <f>IF('Исходные данные'!$B$53="Выручка",MAX(0,I265+(Расчёты!Q265-Расчёты!R265)+(Расчёты!U265-Расчёты!V265)),IF('Исходные данные'!$B$53="Прибыль до налога",MAX(0,I265+(Расчёты!Q265-Расчёты!R265)+(Расчёты!U265-Расчёты!V265)+N('Исходные данные'!$B$54)*((Расчёты!O265+Расчёты!P265)+(Расчёты!S265+Расчёты!T265)+Расчёты!W265+Расчёты!X265)+IF('Исходные данные'!$B$55="Да",Расчёты!AG265,0)-N('Исходные данные'!$B$56)/12),IF('Исходные данные'!$B$53="Пользовательская база",MAX(0,N('Исходные данные'!$B$57)/12),0)))</f>
        <v>0</v>
      </c>
      <c r="Q265">
        <f>IF(D265=1,-P265*N('Исходные данные'!$B$50),0)</f>
        <v>0</v>
      </c>
      <c r="R265">
        <f t="shared" si="148"/>
        <v>0</v>
      </c>
      <c r="S265">
        <f>IF(OR(D265&lt;&gt;1,B265="",'Исходные данные'!$B$91="",N('Исходные данные'!$B$80)&lt;=0,'Исходные данные'!$B$88=""),0,IF(AND(YEAR(B265)=YEAR('Исходные данные'!$B$91),MONTH(B265)=MONTH('Исходные данные'!$B$91)),MAX(0,IF('Исходные данные'!$B$88="Последние 12 месяцев",SUMIFS($L$2:$L$194,$B$2:$B$194,"&gt;="&amp;EDATE(B265,-11),$B$2:$B$194,"&lt;="&amp;B265),IF('Исходные данные'!$B$88="Пользовательский NOI",N('Исходные данные'!$B$89),R265))/N('Исходные данные'!$B$80)*(1+N('Исходные данные'!$B$81))),0))</f>
        <v>0</v>
      </c>
      <c r="T265">
        <f>-S265*N('Исходные данные'!$B$73)</f>
        <v>0</v>
      </c>
      <c r="U265">
        <f>IF(S265=0,0,-N('Исходные данные'!$B$87)-IF('Исходные данные'!$B$82="Да",IF('Исходные данные'!$B$84="С выручки",S265,IF('Исходные данные'!$B$84="С прибыли",MAX(0,S265+T265-IF('Исходные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65">
        <f t="shared" si="161"/>
        <v>0</v>
      </c>
      <c r="W265">
        <f>IF(D265=1,Расчёты!AZ265+K265+N265+Q265+V265,0)</f>
        <v>0</v>
      </c>
      <c r="X265" t="str">
        <f t="shared" si="149"/>
        <v/>
      </c>
      <c r="Y265">
        <f>IF(OR(D265=0,'Исходные данные'!$B$9="",'Исходные данные'!$B$90=""),0,W265/(1+'Исходные данные'!$B$90)^((C265-'Исходные данные'!$B$9)/365))</f>
        <v>0</v>
      </c>
      <c r="Z265">
        <f>IF(D265=1,K265+Расчёты!O265+Расчёты!Q265+Расчёты!S265+Расчёты!U265+Расчёты!W265+Расчёты!X265+N265+Q265,0)</f>
        <v>0</v>
      </c>
      <c r="AA265">
        <f>IF(AND(D265=1,X265&gt;=0,X264&lt;0,MIN($X$2:X265)&lt;0),1,0)</f>
        <v>0</v>
      </c>
      <c r="AB265">
        <f>IF(Расчёты!F265=0,0,IF(Расчёты!G265=1,N('Сценарный анализ'!$C$5),IF(Расчёты!G265=2,N('Сценарный анализ'!$C$6),IF(Расчёты!G265=3,N('Сценарный анализ'!$C$7),N('Сценарный анализ'!$C$7)*(1+N('Сценарный анализ'!$C$8))^(Расчёты!G265-3)))))</f>
        <v>0</v>
      </c>
      <c r="AC265">
        <f>IF(OR(Расчёты!F265=0,N('Исходные данные'!$B$5)=0,AB265=0),0,N('Исходные данные'!$B$5)*AB265*IF(AND(B265&lt;='Исходные данные'!$B$30,Расчёты!C265&gt;='Исходные данные'!$B$30),(Расчёты!C265-'Исходные данные'!$B$30+1)/DAY(Расчёты!C265),1))</f>
        <v>0</v>
      </c>
      <c r="AD265">
        <f>IF(AND(Расчёты!F265&gt;0,Расчёты!F265&lt;=N('Исходные данные'!$B$37)),-AC265,0)</f>
        <v>0</v>
      </c>
      <c r="AE265">
        <f>IF(OR(Расчёты!F265=0,Расчёты!F265&lt;=N('Исходные данные'!$B$37)),0,-(AC265+AD265)*N('Сценарный анализ'!$C$9))</f>
        <v>0</v>
      </c>
      <c r="AF265">
        <f t="shared" si="162"/>
        <v>0</v>
      </c>
      <c r="AG265">
        <f>IF('Исходные данные'!$B$51="Да",AF265*N('Исходные данные'!$B$52),0)</f>
        <v>0</v>
      </c>
      <c r="AH265">
        <f t="shared" si="163"/>
        <v>0</v>
      </c>
      <c r="AI265">
        <f>AF265+(Расчёты!Y265-Расчёты!L265)</f>
        <v>0</v>
      </c>
      <c r="AJ265">
        <f t="shared" si="150"/>
        <v>0</v>
      </c>
      <c r="AK265">
        <f>IF('Исходные данные'!$B$51="Да",-MAX(0,AG265+Расчёты!R265+Расчёты!V265-Расчёты!P265-Расчёты!T265-AJ265),0)</f>
        <v>0</v>
      </c>
      <c r="AL265">
        <f>IF('Исходные данные'!$B$51="Да",MAX(0,AJ265+Расчёты!P265+Расчёты!T265-AG265-Расчёты!R265-Расчёты!V265),0)</f>
        <v>0</v>
      </c>
      <c r="AM265">
        <f>IF('Исходные данные'!$B$53="Выручка",MAX(0,AF265+(Расчёты!Q265-Расчёты!R265)+(Расчёты!U265-Расчёты!V265)),IF('Исходные данные'!$B$53="Прибыль до налога",MAX(0,AF265+(Расчёты!Q265-Расчёты!R265)+(Расчёты!U265-Расчёты!V265)+N('Исходные данные'!$B$54)*((Расчёты!O265+Расчёты!P265)+(Расчёты!S265+Расчёты!T265)+Расчёты!W265+Расчёты!X265)+IF('Исходные данные'!$B$55="Да",Расчёты!AG265,0)-N('Исходные данные'!$B$56)/12),IF('Исходные данные'!$B$53="Пользовательская база",MAX(0,N('Исходные данные'!$B$57)/12),0)))</f>
        <v>0</v>
      </c>
      <c r="AN265">
        <f>IF(D265=1,-AM265*N('Исходные данные'!$B$50),0)</f>
        <v>0</v>
      </c>
      <c r="AO265">
        <f t="shared" si="151"/>
        <v>0</v>
      </c>
      <c r="AP265">
        <f>IF(OR(D265&lt;&gt;1,B265="",'Исходные данные'!$B$91="",N('Исходные данные'!$B$80)&lt;=0,'Исходные данные'!$B$88=""),0,IF(AND(YEAR(B265)=YEAR('Исходные данные'!$B$91),MONTH(B265)=MONTH('Исходные данные'!$B$91)),MAX(0,IF('Исходные данные'!$B$88="Последние 12 месяцев",SUMIFS($AI$2:$AI$194,$B$2:$B$194,"&gt;="&amp;EDATE(B265,-11),$B$2:$B$194,"&lt;="&amp;B265),IF('Исходные данные'!$B$88="Пользовательский NOI",N('Исходные данные'!$B$89),AO265))/N('Исходные данные'!$B$80)*(1+N('Исходные данные'!$B$81))),0))</f>
        <v>0</v>
      </c>
      <c r="AQ265">
        <f>-AP265*N('Исходные данные'!$B$73)</f>
        <v>0</v>
      </c>
      <c r="AR265">
        <f>IF(AP265=0,0,-N('Исходные данные'!$B$87)-IF('Исходные данные'!$B$82="Да",IF('Исходные данные'!$B$84="С выручки",AP265,IF('Исходные данные'!$B$84="С прибыли",MAX(0,AP265+AQ265-IF('Исходные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65">
        <f t="shared" si="164"/>
        <v>0</v>
      </c>
      <c r="AT265">
        <f>IF(D265=1,Расчёты!AZ265+AH265+AK265+AN265+AS265,0)</f>
        <v>0</v>
      </c>
      <c r="AU265" t="str">
        <f t="shared" si="152"/>
        <v/>
      </c>
      <c r="AV265">
        <f>IF(OR(D265=0,'Исходные данные'!$B$9="",'Исходные данные'!$B$90=""),0,AT265/(1+'Исходные данные'!$B$90)^((C265-'Исходные данные'!$B$9)/365))</f>
        <v>0</v>
      </c>
      <c r="AW265">
        <f>IF(D265=1,AH265+Расчёты!O265+Расчёты!Q265+Расчёты!S265+Расчёты!U265+Расчёты!W265+Расчёты!X265+AK265+AN265,0)</f>
        <v>0</v>
      </c>
      <c r="AX265">
        <f>IF(AND(D265=1,AU265&gt;=0,AU264&lt;0,MIN($AU$2:AU265)&lt;0),1,0)</f>
        <v>0</v>
      </c>
      <c r="AY265">
        <f>IF(Расчёты!F265=0,0,IF(Расчёты!G265=1,N('Сценарный анализ'!$D$5),IF(Расчёты!G265=2,N('Сценарный анализ'!$D$6),IF(Расчёты!G265=3,N('Сценарный анализ'!$D$7),N('Сценарный анализ'!$D$7)*(1+N('Сценарный анализ'!$D$8))^(Расчёты!G265-3)))))</f>
        <v>0</v>
      </c>
      <c r="AZ265">
        <f>IF(OR(Расчёты!F265=0,N('Исходные данные'!$B$5)=0,AY265=0),0,N('Исходные данные'!$B$5)*AY265*IF(AND(B265&lt;='Исходные данные'!$B$30,Расчёты!C265&gt;='Исходные данные'!$B$30),(Расчёты!C265-'Исходные данные'!$B$30+1)/DAY(Расчёты!C265),1))</f>
        <v>0</v>
      </c>
      <c r="BA265">
        <f>IF(AND(Расчёты!F265&gt;0,Расчёты!F265&lt;=N('Исходные данные'!$B$37)),-AZ265,0)</f>
        <v>0</v>
      </c>
      <c r="BB265">
        <f>IF(OR(Расчёты!F265=0,Расчёты!F265&lt;=N('Исходные данные'!$B$37)),0,-(AZ265+BA265)*N('Сценарный анализ'!$D$9))</f>
        <v>0</v>
      </c>
      <c r="BC265">
        <f t="shared" si="165"/>
        <v>0</v>
      </c>
      <c r="BD265">
        <f>IF('Исходные данные'!$B$51="Да",BC265*N('Исходные данные'!$B$52),0)</f>
        <v>0</v>
      </c>
      <c r="BE265">
        <f t="shared" si="166"/>
        <v>0</v>
      </c>
      <c r="BF265">
        <f>BC265+(Расчёты!Y265-Расчёты!L265)</f>
        <v>0</v>
      </c>
      <c r="BG265">
        <f t="shared" si="153"/>
        <v>0</v>
      </c>
      <c r="BH265">
        <f>IF('Исходные данные'!$B$51="Да",-MAX(0,BD265+Расчёты!R265+Расчёты!V265-Расчёты!P265-Расчёты!T265-BG265),0)</f>
        <v>0</v>
      </c>
      <c r="BI265">
        <f>IF('Исходные данные'!$B$51="Да",MAX(0,BG265+Расчёты!P265+Расчёты!T265-BD265-Расчёты!R265-Расчёты!V265),0)</f>
        <v>0</v>
      </c>
      <c r="BJ265">
        <f>IF('Исходные данные'!$B$53="Выручка",MAX(0,BC265+(Расчёты!Q265-Расчёты!R265)+(Расчёты!U265-Расчёты!V265)),IF('Исходные данные'!$B$53="Прибыль до налога",MAX(0,BC265+(Расчёты!Q265-Расчёты!R265)+(Расчёты!U265-Расчёты!V265)+N('Исходные данные'!$B$54)*((Расчёты!O265+Расчёты!P265)+(Расчёты!S265+Расчёты!T265)+Расчёты!W265+Расчёты!X265)+IF('Исходные данные'!$B$55="Да",Расчёты!AG265,0)-N('Исходные данные'!$B$56)/12),IF('Исходные данные'!$B$53="Пользовательская база",MAX(0,N('Исходные данные'!$B$57)/12),0)))</f>
        <v>0</v>
      </c>
      <c r="BK265">
        <f>IF(D265=1,-BJ265*N('Исходные данные'!$B$50),0)</f>
        <v>0</v>
      </c>
      <c r="BL265">
        <f t="shared" si="154"/>
        <v>0</v>
      </c>
      <c r="BM265">
        <f>IF(OR(D265&lt;&gt;1,B265="",'Исходные данные'!$B$91="",N('Исходные данные'!$B$80)&lt;=0,'Исходные данные'!$B$88=""),0,IF(AND(YEAR(B265)=YEAR('Исходные данные'!$B$91),MONTH(B265)=MONTH('Исходные данные'!$B$91)),MAX(0,IF('Исходные данные'!$B$88="Последние 12 месяцев",SUMIFS($BF$2:$BF$194,$B$2:$B$194,"&gt;="&amp;EDATE(B265,-11),$B$2:$B$194,"&lt;="&amp;B265),IF('Исходные данные'!$B$88="Пользовательский NOI",N('Исходные данные'!$B$89),BL265))/N('Исходные данные'!$B$80)*(1+N('Исходные данные'!$B$81))),0))</f>
        <v>0</v>
      </c>
      <c r="BN265">
        <f>-BM265*N('Исходные данные'!$B$73)</f>
        <v>0</v>
      </c>
      <c r="BO265">
        <f>IF(BM265=0,0,-N('Исходные данные'!$B$87)-IF('Исходные данные'!$B$82="Да",IF('Исходные данные'!$B$84="С выручки",BM265,IF('Исходные данные'!$B$84="С прибыли",MAX(0,BM265+BN265-IF('Исходные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65">
        <f t="shared" si="167"/>
        <v>0</v>
      </c>
      <c r="BQ265">
        <f>IF(D265=1,Расчёты!AZ265+BE265+BH265+BK265+BP265,0)</f>
        <v>0</v>
      </c>
      <c r="BR265" t="str">
        <f t="shared" si="155"/>
        <v/>
      </c>
      <c r="BS265">
        <f>IF(OR(D265=0,'Исходные данные'!$B$9="",'Исходные данные'!$B$90=""),0,BQ265/(1+'Исходные данные'!$B$90)^((C265-'Исходные данные'!$B$9)/365))</f>
        <v>0</v>
      </c>
      <c r="BT265">
        <f>IF(D265=1,BE265+Расчёты!O265+Расчёты!Q265+Расчёты!S265+Расчёты!U265+Расчёты!W265+Расчёты!X265+BH265+BK265,0)</f>
        <v>0</v>
      </c>
      <c r="BU265">
        <f>IF(AND(D265=1,BR265&gt;=0,BR264&lt;0,MIN($BR$2:BR265)&lt;0),1,0)</f>
        <v>0</v>
      </c>
      <c r="BV265">
        <f>Расчёты!AZ265+K265+N265-P265*N('Исходные данные'!$B$50)</f>
        <v>0</v>
      </c>
      <c r="BW265">
        <f t="shared" si="156"/>
        <v>0</v>
      </c>
      <c r="BX265">
        <f>IF(AND(BW265&gt;=0,BW264&lt;0,MIN($BW$2:BW265)&lt;0),1,0)</f>
        <v>0</v>
      </c>
      <c r="BY265">
        <f>Расчёты!AZ265+AH265+AK265-AM265*N('Исходные данные'!$B$50)</f>
        <v>0</v>
      </c>
      <c r="BZ265">
        <f t="shared" si="157"/>
        <v>0</v>
      </c>
      <c r="CA265">
        <f>IF(AND(BZ265&gt;=0,BZ264&lt;0,MIN($BZ$2:BZ265)&lt;0),1,0)</f>
        <v>0</v>
      </c>
      <c r="CB265">
        <f>Расчёты!AZ265+BE265+BH265-BJ265*N('Исходные данные'!$B$50)</f>
        <v>0</v>
      </c>
      <c r="CC265">
        <f t="shared" si="158"/>
        <v>0</v>
      </c>
      <c r="CD265">
        <f>IF(AND(CC265&gt;=0,CC264&lt;0,MIN($CC$2:CC265)&lt;0),1,0)</f>
        <v>0</v>
      </c>
    </row>
    <row r="266" spans="1:82" x14ac:dyDescent="0.2">
      <c r="A266">
        <f>Расчёты!A266</f>
        <v>265</v>
      </c>
      <c r="B266" t="str">
        <f>Расчёты!B266</f>
        <v/>
      </c>
      <c r="C266" t="str">
        <f>Расчёты!D266</f>
        <v/>
      </c>
      <c r="D266">
        <f>Расчёты!E266</f>
        <v>0</v>
      </c>
      <c r="E266">
        <f>IF(Расчёты!F266=0,0,IF(Расчёты!G266=1,N('Сценарный анализ'!$B$5),IF(Расчёты!G266=2,N('Сценарный анализ'!$B$6),IF(Расчёты!G266=3,N('Сценарный анализ'!$B$7),N('Сценарный анализ'!$B$7)*(1+N('Сценарный анализ'!$B$8))^(Расчёты!G266-3)))))</f>
        <v>0</v>
      </c>
      <c r="F266">
        <f>IF(OR(Расчёты!F266=0,N('Исходные данные'!$B$5)=0,E266=0),0,N('Исходные данные'!$B$5)*E266*IF(AND(B266&lt;='Исходные данные'!$B$30,Расчёты!C266&gt;='Исходные данные'!$B$30),(Расчёты!C266-'Исходные данные'!$B$30+1)/DAY(Расчёты!C266),1))</f>
        <v>0</v>
      </c>
      <c r="G266">
        <f>IF(AND(Расчёты!F266&gt;0,Расчёты!F266&lt;=N('Исходные данные'!$B$37)),-F266,0)</f>
        <v>0</v>
      </c>
      <c r="H266">
        <f>IF(OR(Расчёты!F266=0,Расчёты!F266&lt;=N('Исходные данные'!$B$37)),0,-(F266+G266)*N('Сценарный анализ'!$B$9))</f>
        <v>0</v>
      </c>
      <c r="I266">
        <f t="shared" si="159"/>
        <v>0</v>
      </c>
      <c r="J266">
        <f>IF('Исходные данные'!$B$51="Да",I266*N('Исходные данные'!$B$52),0)</f>
        <v>0</v>
      </c>
      <c r="K266">
        <f t="shared" si="160"/>
        <v>0</v>
      </c>
      <c r="L266">
        <f>I266+(Расчёты!Y266-Расчёты!L266)</f>
        <v>0</v>
      </c>
      <c r="M266">
        <f t="shared" si="147"/>
        <v>0</v>
      </c>
      <c r="N266">
        <f>IF('Исходные данные'!$B$51="Да",-MAX(0,J266+Расчёты!R266+Расчёты!V266-Расчёты!P266-Расчёты!T266-M266),0)</f>
        <v>0</v>
      </c>
      <c r="O266">
        <f>IF('Исходные данные'!$B$51="Да",MAX(0,M266+Расчёты!P266+Расчёты!T266-J266-Расчёты!R266-Расчёты!V266),0)</f>
        <v>0</v>
      </c>
      <c r="P266">
        <f>IF('Исходные данные'!$B$53="Выручка",MAX(0,I266+(Расчёты!Q266-Расчёты!R266)+(Расчёты!U266-Расчёты!V266)),IF('Исходные данные'!$B$53="Прибыль до налога",MAX(0,I266+(Расчёты!Q266-Расчёты!R266)+(Расчёты!U266-Расчёты!V266)+N('Исходные данные'!$B$54)*((Расчёты!O266+Расчёты!P266)+(Расчёты!S266+Расчёты!T266)+Расчёты!W266+Расчёты!X266)+IF('Исходные данные'!$B$55="Да",Расчёты!AG266,0)-N('Исходные данные'!$B$56)/12),IF('Исходные данные'!$B$53="Пользовательская база",MAX(0,N('Исходные данные'!$B$57)/12),0)))</f>
        <v>0</v>
      </c>
      <c r="Q266">
        <f>IF(D266=1,-P266*N('Исходные данные'!$B$50),0)</f>
        <v>0</v>
      </c>
      <c r="R266">
        <f t="shared" si="148"/>
        <v>0</v>
      </c>
      <c r="S266">
        <f>IF(OR(D266&lt;&gt;1,B266="",'Исходные данные'!$B$91="",N('Исходные данные'!$B$80)&lt;=0,'Исходные данные'!$B$88=""),0,IF(AND(YEAR(B266)=YEAR('Исходные данные'!$B$91),MONTH(B266)=MONTH('Исходные данные'!$B$91)),MAX(0,IF('Исходные данные'!$B$88="Последние 12 месяцев",SUMIFS($L$2:$L$194,$B$2:$B$194,"&gt;="&amp;EDATE(B266,-11),$B$2:$B$194,"&lt;="&amp;B266),IF('Исходные данные'!$B$88="Пользовательский NOI",N('Исходные данные'!$B$89),R266))/N('Исходные данные'!$B$80)*(1+N('Исходные данные'!$B$81))),0))</f>
        <v>0</v>
      </c>
      <c r="T266">
        <f>-S266*N('Исходные данные'!$B$73)</f>
        <v>0</v>
      </c>
      <c r="U266">
        <f>IF(S266=0,0,-N('Исходные данные'!$B$87)-IF('Исходные данные'!$B$82="Да",IF('Исходные данные'!$B$84="С выручки",S266,IF('Исходные данные'!$B$84="С прибыли",MAX(0,S266+T266-IF('Исходные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66">
        <f t="shared" si="161"/>
        <v>0</v>
      </c>
      <c r="W266">
        <f>IF(D266=1,Расчёты!AZ266+K266+N266+Q266+V266,0)</f>
        <v>0</v>
      </c>
      <c r="X266" t="str">
        <f t="shared" si="149"/>
        <v/>
      </c>
      <c r="Y266">
        <f>IF(OR(D266=0,'Исходные данные'!$B$9="",'Исходные данные'!$B$90=""),0,W266/(1+'Исходные данные'!$B$90)^((C266-'Исходные данные'!$B$9)/365))</f>
        <v>0</v>
      </c>
      <c r="Z266">
        <f>IF(D266=1,K266+Расчёты!O266+Расчёты!Q266+Расчёты!S266+Расчёты!U266+Расчёты!W266+Расчёты!X266+N266+Q266,0)</f>
        <v>0</v>
      </c>
      <c r="AA266">
        <f>IF(AND(D266=1,X266&gt;=0,X265&lt;0,MIN($X$2:X266)&lt;0),1,0)</f>
        <v>0</v>
      </c>
      <c r="AB266">
        <f>IF(Расчёты!F266=0,0,IF(Расчёты!G266=1,N('Сценарный анализ'!$C$5),IF(Расчёты!G266=2,N('Сценарный анализ'!$C$6),IF(Расчёты!G266=3,N('Сценарный анализ'!$C$7),N('Сценарный анализ'!$C$7)*(1+N('Сценарный анализ'!$C$8))^(Расчёты!G266-3)))))</f>
        <v>0</v>
      </c>
      <c r="AC266">
        <f>IF(OR(Расчёты!F266=0,N('Исходные данные'!$B$5)=0,AB266=0),0,N('Исходные данные'!$B$5)*AB266*IF(AND(B266&lt;='Исходные данные'!$B$30,Расчёты!C266&gt;='Исходные данные'!$B$30),(Расчёты!C266-'Исходные данные'!$B$30+1)/DAY(Расчёты!C266),1))</f>
        <v>0</v>
      </c>
      <c r="AD266">
        <f>IF(AND(Расчёты!F266&gt;0,Расчёты!F266&lt;=N('Исходные данные'!$B$37)),-AC266,0)</f>
        <v>0</v>
      </c>
      <c r="AE266">
        <f>IF(OR(Расчёты!F266=0,Расчёты!F266&lt;=N('Исходные данные'!$B$37)),0,-(AC266+AD266)*N('Сценарный анализ'!$C$9))</f>
        <v>0</v>
      </c>
      <c r="AF266">
        <f t="shared" si="162"/>
        <v>0</v>
      </c>
      <c r="AG266">
        <f>IF('Исходные данные'!$B$51="Да",AF266*N('Исходные данные'!$B$52),0)</f>
        <v>0</v>
      </c>
      <c r="AH266">
        <f t="shared" si="163"/>
        <v>0</v>
      </c>
      <c r="AI266">
        <f>AF266+(Расчёты!Y266-Расчёты!L266)</f>
        <v>0</v>
      </c>
      <c r="AJ266">
        <f t="shared" si="150"/>
        <v>0</v>
      </c>
      <c r="AK266">
        <f>IF('Исходные данные'!$B$51="Да",-MAX(0,AG266+Расчёты!R266+Расчёты!V266-Расчёты!P266-Расчёты!T266-AJ266),0)</f>
        <v>0</v>
      </c>
      <c r="AL266">
        <f>IF('Исходные данные'!$B$51="Да",MAX(0,AJ266+Расчёты!P266+Расчёты!T266-AG266-Расчёты!R266-Расчёты!V266),0)</f>
        <v>0</v>
      </c>
      <c r="AM266">
        <f>IF('Исходные данные'!$B$53="Выручка",MAX(0,AF266+(Расчёты!Q266-Расчёты!R266)+(Расчёты!U266-Расчёты!V266)),IF('Исходные данные'!$B$53="Прибыль до налога",MAX(0,AF266+(Расчёты!Q266-Расчёты!R266)+(Расчёты!U266-Расчёты!V266)+N('Исходные данные'!$B$54)*((Расчёты!O266+Расчёты!P266)+(Расчёты!S266+Расчёты!T266)+Расчёты!W266+Расчёты!X266)+IF('Исходные данные'!$B$55="Да",Расчёты!AG266,0)-N('Исходные данные'!$B$56)/12),IF('Исходные данные'!$B$53="Пользовательская база",MAX(0,N('Исходные данные'!$B$57)/12),0)))</f>
        <v>0</v>
      </c>
      <c r="AN266">
        <f>IF(D266=1,-AM266*N('Исходные данные'!$B$50),0)</f>
        <v>0</v>
      </c>
      <c r="AO266">
        <f t="shared" si="151"/>
        <v>0</v>
      </c>
      <c r="AP266">
        <f>IF(OR(D266&lt;&gt;1,B266="",'Исходные данные'!$B$91="",N('Исходные данные'!$B$80)&lt;=0,'Исходные данные'!$B$88=""),0,IF(AND(YEAR(B266)=YEAR('Исходные данные'!$B$91),MONTH(B266)=MONTH('Исходные данные'!$B$91)),MAX(0,IF('Исходные данные'!$B$88="Последние 12 месяцев",SUMIFS($AI$2:$AI$194,$B$2:$B$194,"&gt;="&amp;EDATE(B266,-11),$B$2:$B$194,"&lt;="&amp;B266),IF('Исходные данные'!$B$88="Пользовательский NOI",N('Исходные данные'!$B$89),AO266))/N('Исходные данные'!$B$80)*(1+N('Исходные данные'!$B$81))),0))</f>
        <v>0</v>
      </c>
      <c r="AQ266">
        <f>-AP266*N('Исходные данные'!$B$73)</f>
        <v>0</v>
      </c>
      <c r="AR266">
        <f>IF(AP266=0,0,-N('Исходные данные'!$B$87)-IF('Исходные данные'!$B$82="Да",IF('Исходные данные'!$B$84="С выручки",AP266,IF('Исходные данные'!$B$84="С прибыли",MAX(0,AP266+AQ266-IF('Исходные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66">
        <f t="shared" si="164"/>
        <v>0</v>
      </c>
      <c r="AT266">
        <f>IF(D266=1,Расчёты!AZ266+AH266+AK266+AN266+AS266,0)</f>
        <v>0</v>
      </c>
      <c r="AU266" t="str">
        <f t="shared" si="152"/>
        <v/>
      </c>
      <c r="AV266">
        <f>IF(OR(D266=0,'Исходные данные'!$B$9="",'Исходные данные'!$B$90=""),0,AT266/(1+'Исходные данные'!$B$90)^((C266-'Исходные данные'!$B$9)/365))</f>
        <v>0</v>
      </c>
      <c r="AW266">
        <f>IF(D266=1,AH266+Расчёты!O266+Расчёты!Q266+Расчёты!S266+Расчёты!U266+Расчёты!W266+Расчёты!X266+AK266+AN266,0)</f>
        <v>0</v>
      </c>
      <c r="AX266">
        <f>IF(AND(D266=1,AU266&gt;=0,AU265&lt;0,MIN($AU$2:AU266)&lt;0),1,0)</f>
        <v>0</v>
      </c>
      <c r="AY266">
        <f>IF(Расчёты!F266=0,0,IF(Расчёты!G266=1,N('Сценарный анализ'!$D$5),IF(Расчёты!G266=2,N('Сценарный анализ'!$D$6),IF(Расчёты!G266=3,N('Сценарный анализ'!$D$7),N('Сценарный анализ'!$D$7)*(1+N('Сценарный анализ'!$D$8))^(Расчёты!G266-3)))))</f>
        <v>0</v>
      </c>
      <c r="AZ266">
        <f>IF(OR(Расчёты!F266=0,N('Исходные данные'!$B$5)=0,AY266=0),0,N('Исходные данные'!$B$5)*AY266*IF(AND(B266&lt;='Исходные данные'!$B$30,Расчёты!C266&gt;='Исходные данные'!$B$30),(Расчёты!C266-'Исходные данные'!$B$30+1)/DAY(Расчёты!C266),1))</f>
        <v>0</v>
      </c>
      <c r="BA266">
        <f>IF(AND(Расчёты!F266&gt;0,Расчёты!F266&lt;=N('Исходные данные'!$B$37)),-AZ266,0)</f>
        <v>0</v>
      </c>
      <c r="BB266">
        <f>IF(OR(Расчёты!F266=0,Расчёты!F266&lt;=N('Исходные данные'!$B$37)),0,-(AZ266+BA266)*N('Сценарный анализ'!$D$9))</f>
        <v>0</v>
      </c>
      <c r="BC266">
        <f t="shared" si="165"/>
        <v>0</v>
      </c>
      <c r="BD266">
        <f>IF('Исходные данные'!$B$51="Да",BC266*N('Исходные данные'!$B$52),0)</f>
        <v>0</v>
      </c>
      <c r="BE266">
        <f t="shared" si="166"/>
        <v>0</v>
      </c>
      <c r="BF266">
        <f>BC266+(Расчёты!Y266-Расчёты!L266)</f>
        <v>0</v>
      </c>
      <c r="BG266">
        <f t="shared" si="153"/>
        <v>0</v>
      </c>
      <c r="BH266">
        <f>IF('Исходные данные'!$B$51="Да",-MAX(0,BD266+Расчёты!R266+Расчёты!V266-Расчёты!P266-Расчёты!T266-BG266),0)</f>
        <v>0</v>
      </c>
      <c r="BI266">
        <f>IF('Исходные данные'!$B$51="Да",MAX(0,BG266+Расчёты!P266+Расчёты!T266-BD266-Расчёты!R266-Расчёты!V266),0)</f>
        <v>0</v>
      </c>
      <c r="BJ266">
        <f>IF('Исходные данные'!$B$53="Выручка",MAX(0,BC266+(Расчёты!Q266-Расчёты!R266)+(Расчёты!U266-Расчёты!V266)),IF('Исходные данные'!$B$53="Прибыль до налога",MAX(0,BC266+(Расчёты!Q266-Расчёты!R266)+(Расчёты!U266-Расчёты!V266)+N('Исходные данные'!$B$54)*((Расчёты!O266+Расчёты!P266)+(Расчёты!S266+Расчёты!T266)+Расчёты!W266+Расчёты!X266)+IF('Исходные данные'!$B$55="Да",Расчёты!AG266,0)-N('Исходные данные'!$B$56)/12),IF('Исходные данные'!$B$53="Пользовательская база",MAX(0,N('Исходные данные'!$B$57)/12),0)))</f>
        <v>0</v>
      </c>
      <c r="BK266">
        <f>IF(D266=1,-BJ266*N('Исходные данные'!$B$50),0)</f>
        <v>0</v>
      </c>
      <c r="BL266">
        <f t="shared" si="154"/>
        <v>0</v>
      </c>
      <c r="BM266">
        <f>IF(OR(D266&lt;&gt;1,B266="",'Исходные данные'!$B$91="",N('Исходные данные'!$B$80)&lt;=0,'Исходные данные'!$B$88=""),0,IF(AND(YEAR(B266)=YEAR('Исходные данные'!$B$91),MONTH(B266)=MONTH('Исходные данные'!$B$91)),MAX(0,IF('Исходные данные'!$B$88="Последние 12 месяцев",SUMIFS($BF$2:$BF$194,$B$2:$B$194,"&gt;="&amp;EDATE(B266,-11),$B$2:$B$194,"&lt;="&amp;B266),IF('Исходные данные'!$B$88="Пользовательский NOI",N('Исходные данные'!$B$89),BL266))/N('Исходные данные'!$B$80)*(1+N('Исходные данные'!$B$81))),0))</f>
        <v>0</v>
      </c>
      <c r="BN266">
        <f>-BM266*N('Исходные данные'!$B$73)</f>
        <v>0</v>
      </c>
      <c r="BO266">
        <f>IF(BM266=0,0,-N('Исходные данные'!$B$87)-IF('Исходные данные'!$B$82="Да",IF('Исходные данные'!$B$84="С выручки",BM266,IF('Исходные данные'!$B$84="С прибыли",MAX(0,BM266+BN266-IF('Исходные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66">
        <f t="shared" si="167"/>
        <v>0</v>
      </c>
      <c r="BQ266">
        <f>IF(D266=1,Расчёты!AZ266+BE266+BH266+BK266+BP266,0)</f>
        <v>0</v>
      </c>
      <c r="BR266" t="str">
        <f t="shared" si="155"/>
        <v/>
      </c>
      <c r="BS266">
        <f>IF(OR(D266=0,'Исходные данные'!$B$9="",'Исходные данные'!$B$90=""),0,BQ266/(1+'Исходные данные'!$B$90)^((C266-'Исходные данные'!$B$9)/365))</f>
        <v>0</v>
      </c>
      <c r="BT266">
        <f>IF(D266=1,BE266+Расчёты!O266+Расчёты!Q266+Расчёты!S266+Расчёты!U266+Расчёты!W266+Расчёты!X266+BH266+BK266,0)</f>
        <v>0</v>
      </c>
      <c r="BU266">
        <f>IF(AND(D266=1,BR266&gt;=0,BR265&lt;0,MIN($BR$2:BR266)&lt;0),1,0)</f>
        <v>0</v>
      </c>
      <c r="BV266">
        <f>Расчёты!AZ266+K266+N266-P266*N('Исходные данные'!$B$50)</f>
        <v>0</v>
      </c>
      <c r="BW266">
        <f t="shared" si="156"/>
        <v>0</v>
      </c>
      <c r="BX266">
        <f>IF(AND(BW266&gt;=0,BW265&lt;0,MIN($BW$2:BW266)&lt;0),1,0)</f>
        <v>0</v>
      </c>
      <c r="BY266">
        <f>Расчёты!AZ266+AH266+AK266-AM266*N('Исходные данные'!$B$50)</f>
        <v>0</v>
      </c>
      <c r="BZ266">
        <f t="shared" si="157"/>
        <v>0</v>
      </c>
      <c r="CA266">
        <f>IF(AND(BZ266&gt;=0,BZ265&lt;0,MIN($BZ$2:BZ266)&lt;0),1,0)</f>
        <v>0</v>
      </c>
      <c r="CB266">
        <f>Расчёты!AZ266+BE266+BH266-BJ266*N('Исходные данные'!$B$50)</f>
        <v>0</v>
      </c>
      <c r="CC266">
        <f t="shared" si="158"/>
        <v>0</v>
      </c>
      <c r="CD266">
        <f>IF(AND(CC266&gt;=0,CC265&lt;0,MIN($CC$2:CC266)&lt;0),1,0)</f>
        <v>0</v>
      </c>
    </row>
    <row r="267" spans="1:82" x14ac:dyDescent="0.2">
      <c r="A267">
        <f>Расчёты!A267</f>
        <v>266</v>
      </c>
      <c r="B267" t="str">
        <f>Расчёты!B267</f>
        <v/>
      </c>
      <c r="C267" t="str">
        <f>Расчёты!D267</f>
        <v/>
      </c>
      <c r="D267">
        <f>Расчёты!E267</f>
        <v>0</v>
      </c>
      <c r="E267">
        <f>IF(Расчёты!F267=0,0,IF(Расчёты!G267=1,N('Сценарный анализ'!$B$5),IF(Расчёты!G267=2,N('Сценарный анализ'!$B$6),IF(Расчёты!G267=3,N('Сценарный анализ'!$B$7),N('Сценарный анализ'!$B$7)*(1+N('Сценарный анализ'!$B$8))^(Расчёты!G267-3)))))</f>
        <v>0</v>
      </c>
      <c r="F267">
        <f>IF(OR(Расчёты!F267=0,N('Исходные данные'!$B$5)=0,E267=0),0,N('Исходные данные'!$B$5)*E267*IF(AND(B267&lt;='Исходные данные'!$B$30,Расчёты!C267&gt;='Исходные данные'!$B$30),(Расчёты!C267-'Исходные данные'!$B$30+1)/DAY(Расчёты!C267),1))</f>
        <v>0</v>
      </c>
      <c r="G267">
        <f>IF(AND(Расчёты!F267&gt;0,Расчёты!F267&lt;=N('Исходные данные'!$B$37)),-F267,0)</f>
        <v>0</v>
      </c>
      <c r="H267">
        <f>IF(OR(Расчёты!F267=0,Расчёты!F267&lt;=N('Исходные данные'!$B$37)),0,-(F267+G267)*N('Сценарный анализ'!$B$9))</f>
        <v>0</v>
      </c>
      <c r="I267">
        <f t="shared" si="159"/>
        <v>0</v>
      </c>
      <c r="J267">
        <f>IF('Исходные данные'!$B$51="Да",I267*N('Исходные данные'!$B$52),0)</f>
        <v>0</v>
      </c>
      <c r="K267">
        <f t="shared" si="160"/>
        <v>0</v>
      </c>
      <c r="L267">
        <f>I267+(Расчёты!Y267-Расчёты!L267)</f>
        <v>0</v>
      </c>
      <c r="M267">
        <f t="shared" si="147"/>
        <v>0</v>
      </c>
      <c r="N267">
        <f>IF('Исходные данные'!$B$51="Да",-MAX(0,J267+Расчёты!R267+Расчёты!V267-Расчёты!P267-Расчёты!T267-M267),0)</f>
        <v>0</v>
      </c>
      <c r="O267">
        <f>IF('Исходные данные'!$B$51="Да",MAX(0,M267+Расчёты!P267+Расчёты!T267-J267-Расчёты!R267-Расчёты!V267),0)</f>
        <v>0</v>
      </c>
      <c r="P267">
        <f>IF('Исходные данные'!$B$53="Выручка",MAX(0,I267+(Расчёты!Q267-Расчёты!R267)+(Расчёты!U267-Расчёты!V267)),IF('Исходные данные'!$B$53="Прибыль до налога",MAX(0,I267+(Расчёты!Q267-Расчёты!R267)+(Расчёты!U267-Расчёты!V267)+N('Исходные данные'!$B$54)*((Расчёты!O267+Расчёты!P267)+(Расчёты!S267+Расчёты!T267)+Расчёты!W267+Расчёты!X267)+IF('Исходные данные'!$B$55="Да",Расчёты!AG267,0)-N('Исходные данные'!$B$56)/12),IF('Исходные данные'!$B$53="Пользовательская база",MAX(0,N('Исходные данные'!$B$57)/12),0)))</f>
        <v>0</v>
      </c>
      <c r="Q267">
        <f>IF(D267=1,-P267*N('Исходные данные'!$B$50),0)</f>
        <v>0</v>
      </c>
      <c r="R267">
        <f t="shared" si="148"/>
        <v>0</v>
      </c>
      <c r="S267">
        <f>IF(OR(D267&lt;&gt;1,B267="",'Исходные данные'!$B$91="",N('Исходные данные'!$B$80)&lt;=0,'Исходные данные'!$B$88=""),0,IF(AND(YEAR(B267)=YEAR('Исходные данные'!$B$91),MONTH(B267)=MONTH('Исходные данные'!$B$91)),MAX(0,IF('Исходные данные'!$B$88="Последние 12 месяцев",SUMIFS($L$2:$L$194,$B$2:$B$194,"&gt;="&amp;EDATE(B267,-11),$B$2:$B$194,"&lt;="&amp;B267),IF('Исходные данные'!$B$88="Пользовательский NOI",N('Исходные данные'!$B$89),R267))/N('Исходные данные'!$B$80)*(1+N('Исходные данные'!$B$81))),0))</f>
        <v>0</v>
      </c>
      <c r="T267">
        <f>-S267*N('Исходные данные'!$B$73)</f>
        <v>0</v>
      </c>
      <c r="U267">
        <f>IF(S267=0,0,-N('Исходные данные'!$B$87)-IF('Исходные данные'!$B$82="Да",IF('Исходные данные'!$B$84="С выручки",S267,IF('Исходные данные'!$B$84="С прибыли",MAX(0,S267+T267-IF('Исходные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67">
        <f t="shared" si="161"/>
        <v>0</v>
      </c>
      <c r="W267">
        <f>IF(D267=1,Расчёты!AZ267+K267+N267+Q267+V267,0)</f>
        <v>0</v>
      </c>
      <c r="X267" t="str">
        <f t="shared" si="149"/>
        <v/>
      </c>
      <c r="Y267">
        <f>IF(OR(D267=0,'Исходные данные'!$B$9="",'Исходные данные'!$B$90=""),0,W267/(1+'Исходные данные'!$B$90)^((C267-'Исходные данные'!$B$9)/365))</f>
        <v>0</v>
      </c>
      <c r="Z267">
        <f>IF(D267=1,K267+Расчёты!O267+Расчёты!Q267+Расчёты!S267+Расчёты!U267+Расчёты!W267+Расчёты!X267+N267+Q267,0)</f>
        <v>0</v>
      </c>
      <c r="AA267">
        <f>IF(AND(D267=1,X267&gt;=0,X266&lt;0,MIN($X$2:X267)&lt;0),1,0)</f>
        <v>0</v>
      </c>
      <c r="AB267">
        <f>IF(Расчёты!F267=0,0,IF(Расчёты!G267=1,N('Сценарный анализ'!$C$5),IF(Расчёты!G267=2,N('Сценарный анализ'!$C$6),IF(Расчёты!G267=3,N('Сценарный анализ'!$C$7),N('Сценарный анализ'!$C$7)*(1+N('Сценарный анализ'!$C$8))^(Расчёты!G267-3)))))</f>
        <v>0</v>
      </c>
      <c r="AC267">
        <f>IF(OR(Расчёты!F267=0,N('Исходные данные'!$B$5)=0,AB267=0),0,N('Исходные данные'!$B$5)*AB267*IF(AND(B267&lt;='Исходные данные'!$B$30,Расчёты!C267&gt;='Исходные данные'!$B$30),(Расчёты!C267-'Исходные данные'!$B$30+1)/DAY(Расчёты!C267),1))</f>
        <v>0</v>
      </c>
      <c r="AD267">
        <f>IF(AND(Расчёты!F267&gt;0,Расчёты!F267&lt;=N('Исходные данные'!$B$37)),-AC267,0)</f>
        <v>0</v>
      </c>
      <c r="AE267">
        <f>IF(OR(Расчёты!F267=0,Расчёты!F267&lt;=N('Исходные данные'!$B$37)),0,-(AC267+AD267)*N('Сценарный анализ'!$C$9))</f>
        <v>0</v>
      </c>
      <c r="AF267">
        <f t="shared" si="162"/>
        <v>0</v>
      </c>
      <c r="AG267">
        <f>IF('Исходные данные'!$B$51="Да",AF267*N('Исходные данные'!$B$52),0)</f>
        <v>0</v>
      </c>
      <c r="AH267">
        <f t="shared" si="163"/>
        <v>0</v>
      </c>
      <c r="AI267">
        <f>AF267+(Расчёты!Y267-Расчёты!L267)</f>
        <v>0</v>
      </c>
      <c r="AJ267">
        <f t="shared" si="150"/>
        <v>0</v>
      </c>
      <c r="AK267">
        <f>IF('Исходные данные'!$B$51="Да",-MAX(0,AG267+Расчёты!R267+Расчёты!V267-Расчёты!P267-Расчёты!T267-AJ267),0)</f>
        <v>0</v>
      </c>
      <c r="AL267">
        <f>IF('Исходные данные'!$B$51="Да",MAX(0,AJ267+Расчёты!P267+Расчёты!T267-AG267-Расчёты!R267-Расчёты!V267),0)</f>
        <v>0</v>
      </c>
      <c r="AM267">
        <f>IF('Исходные данные'!$B$53="Выручка",MAX(0,AF267+(Расчёты!Q267-Расчёты!R267)+(Расчёты!U267-Расчёты!V267)),IF('Исходные данные'!$B$53="Прибыль до налога",MAX(0,AF267+(Расчёты!Q267-Расчёты!R267)+(Расчёты!U267-Расчёты!V267)+N('Исходные данные'!$B$54)*((Расчёты!O267+Расчёты!P267)+(Расчёты!S267+Расчёты!T267)+Расчёты!W267+Расчёты!X267)+IF('Исходные данные'!$B$55="Да",Расчёты!AG267,0)-N('Исходные данные'!$B$56)/12),IF('Исходные данные'!$B$53="Пользовательская база",MAX(0,N('Исходные данные'!$B$57)/12),0)))</f>
        <v>0</v>
      </c>
      <c r="AN267">
        <f>IF(D267=1,-AM267*N('Исходные данные'!$B$50),0)</f>
        <v>0</v>
      </c>
      <c r="AO267">
        <f t="shared" si="151"/>
        <v>0</v>
      </c>
      <c r="AP267">
        <f>IF(OR(D267&lt;&gt;1,B267="",'Исходные данные'!$B$91="",N('Исходные данные'!$B$80)&lt;=0,'Исходные данные'!$B$88=""),0,IF(AND(YEAR(B267)=YEAR('Исходные данные'!$B$91),MONTH(B267)=MONTH('Исходные данные'!$B$91)),MAX(0,IF('Исходные данные'!$B$88="Последние 12 месяцев",SUMIFS($AI$2:$AI$194,$B$2:$B$194,"&gt;="&amp;EDATE(B267,-11),$B$2:$B$194,"&lt;="&amp;B267),IF('Исходные данные'!$B$88="Пользовательский NOI",N('Исходные данные'!$B$89),AO267))/N('Исходные данные'!$B$80)*(1+N('Исходные данные'!$B$81))),0))</f>
        <v>0</v>
      </c>
      <c r="AQ267">
        <f>-AP267*N('Исходные данные'!$B$73)</f>
        <v>0</v>
      </c>
      <c r="AR267">
        <f>IF(AP267=0,0,-N('Исходные данные'!$B$87)-IF('Исходные данные'!$B$82="Да",IF('Исходные данные'!$B$84="С выручки",AP267,IF('Исходные данные'!$B$84="С прибыли",MAX(0,AP267+AQ267-IF('Исходные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67">
        <f t="shared" si="164"/>
        <v>0</v>
      </c>
      <c r="AT267">
        <f>IF(D267=1,Расчёты!AZ267+AH267+AK267+AN267+AS267,0)</f>
        <v>0</v>
      </c>
      <c r="AU267" t="str">
        <f t="shared" si="152"/>
        <v/>
      </c>
      <c r="AV267">
        <f>IF(OR(D267=0,'Исходные данные'!$B$9="",'Исходные данные'!$B$90=""),0,AT267/(1+'Исходные данные'!$B$90)^((C267-'Исходные данные'!$B$9)/365))</f>
        <v>0</v>
      </c>
      <c r="AW267">
        <f>IF(D267=1,AH267+Расчёты!O267+Расчёты!Q267+Расчёты!S267+Расчёты!U267+Расчёты!W267+Расчёты!X267+AK267+AN267,0)</f>
        <v>0</v>
      </c>
      <c r="AX267">
        <f>IF(AND(D267=1,AU267&gt;=0,AU266&lt;0,MIN($AU$2:AU267)&lt;0),1,0)</f>
        <v>0</v>
      </c>
      <c r="AY267">
        <f>IF(Расчёты!F267=0,0,IF(Расчёты!G267=1,N('Сценарный анализ'!$D$5),IF(Расчёты!G267=2,N('Сценарный анализ'!$D$6),IF(Расчёты!G267=3,N('Сценарный анализ'!$D$7),N('Сценарный анализ'!$D$7)*(1+N('Сценарный анализ'!$D$8))^(Расчёты!G267-3)))))</f>
        <v>0</v>
      </c>
      <c r="AZ267">
        <f>IF(OR(Расчёты!F267=0,N('Исходные данные'!$B$5)=0,AY267=0),0,N('Исходные данные'!$B$5)*AY267*IF(AND(B267&lt;='Исходные данные'!$B$30,Расчёты!C267&gt;='Исходные данные'!$B$30),(Расчёты!C267-'Исходные данные'!$B$30+1)/DAY(Расчёты!C267),1))</f>
        <v>0</v>
      </c>
      <c r="BA267">
        <f>IF(AND(Расчёты!F267&gt;0,Расчёты!F267&lt;=N('Исходные данные'!$B$37)),-AZ267,0)</f>
        <v>0</v>
      </c>
      <c r="BB267">
        <f>IF(OR(Расчёты!F267=0,Расчёты!F267&lt;=N('Исходные данные'!$B$37)),0,-(AZ267+BA267)*N('Сценарный анализ'!$D$9))</f>
        <v>0</v>
      </c>
      <c r="BC267">
        <f t="shared" si="165"/>
        <v>0</v>
      </c>
      <c r="BD267">
        <f>IF('Исходные данные'!$B$51="Да",BC267*N('Исходные данные'!$B$52),0)</f>
        <v>0</v>
      </c>
      <c r="BE267">
        <f t="shared" si="166"/>
        <v>0</v>
      </c>
      <c r="BF267">
        <f>BC267+(Расчёты!Y267-Расчёты!L267)</f>
        <v>0</v>
      </c>
      <c r="BG267">
        <f t="shared" si="153"/>
        <v>0</v>
      </c>
      <c r="BH267">
        <f>IF('Исходные данные'!$B$51="Да",-MAX(0,BD267+Расчёты!R267+Расчёты!V267-Расчёты!P267-Расчёты!T267-BG267),0)</f>
        <v>0</v>
      </c>
      <c r="BI267">
        <f>IF('Исходные данные'!$B$51="Да",MAX(0,BG267+Расчёты!P267+Расчёты!T267-BD267-Расчёты!R267-Расчёты!V267),0)</f>
        <v>0</v>
      </c>
      <c r="BJ267">
        <f>IF('Исходные данные'!$B$53="Выручка",MAX(0,BC267+(Расчёты!Q267-Расчёты!R267)+(Расчёты!U267-Расчёты!V267)),IF('Исходные данные'!$B$53="Прибыль до налога",MAX(0,BC267+(Расчёты!Q267-Расчёты!R267)+(Расчёты!U267-Расчёты!V267)+N('Исходные данные'!$B$54)*((Расчёты!O267+Расчёты!P267)+(Расчёты!S267+Расчёты!T267)+Расчёты!W267+Расчёты!X267)+IF('Исходные данные'!$B$55="Да",Расчёты!AG267,0)-N('Исходные данные'!$B$56)/12),IF('Исходные данные'!$B$53="Пользовательская база",MAX(0,N('Исходные данные'!$B$57)/12),0)))</f>
        <v>0</v>
      </c>
      <c r="BK267">
        <f>IF(D267=1,-BJ267*N('Исходные данные'!$B$50),0)</f>
        <v>0</v>
      </c>
      <c r="BL267">
        <f t="shared" si="154"/>
        <v>0</v>
      </c>
      <c r="BM267">
        <f>IF(OR(D267&lt;&gt;1,B267="",'Исходные данные'!$B$91="",N('Исходные данные'!$B$80)&lt;=0,'Исходные данные'!$B$88=""),0,IF(AND(YEAR(B267)=YEAR('Исходные данные'!$B$91),MONTH(B267)=MONTH('Исходные данные'!$B$91)),MAX(0,IF('Исходные данные'!$B$88="Последние 12 месяцев",SUMIFS($BF$2:$BF$194,$B$2:$B$194,"&gt;="&amp;EDATE(B267,-11),$B$2:$B$194,"&lt;="&amp;B267),IF('Исходные данные'!$B$88="Пользовательский NOI",N('Исходные данные'!$B$89),BL267))/N('Исходные данные'!$B$80)*(1+N('Исходные данные'!$B$81))),0))</f>
        <v>0</v>
      </c>
      <c r="BN267">
        <f>-BM267*N('Исходные данные'!$B$73)</f>
        <v>0</v>
      </c>
      <c r="BO267">
        <f>IF(BM267=0,0,-N('Исходные данные'!$B$87)-IF('Исходные данные'!$B$82="Да",IF('Исходные данные'!$B$84="С выручки",BM267,IF('Исходные данные'!$B$84="С прибыли",MAX(0,BM267+BN267-IF('Исходные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67">
        <f t="shared" si="167"/>
        <v>0</v>
      </c>
      <c r="BQ267">
        <f>IF(D267=1,Расчёты!AZ267+BE267+BH267+BK267+BP267,0)</f>
        <v>0</v>
      </c>
      <c r="BR267" t="str">
        <f t="shared" si="155"/>
        <v/>
      </c>
      <c r="BS267">
        <f>IF(OR(D267=0,'Исходные данные'!$B$9="",'Исходные данные'!$B$90=""),0,BQ267/(1+'Исходные данные'!$B$90)^((C267-'Исходные данные'!$B$9)/365))</f>
        <v>0</v>
      </c>
      <c r="BT267">
        <f>IF(D267=1,BE267+Расчёты!O267+Расчёты!Q267+Расчёты!S267+Расчёты!U267+Расчёты!W267+Расчёты!X267+BH267+BK267,0)</f>
        <v>0</v>
      </c>
      <c r="BU267">
        <f>IF(AND(D267=1,BR267&gt;=0,BR266&lt;0,MIN($BR$2:BR267)&lt;0),1,0)</f>
        <v>0</v>
      </c>
      <c r="BV267">
        <f>Расчёты!AZ267+K267+N267-P267*N('Исходные данные'!$B$50)</f>
        <v>0</v>
      </c>
      <c r="BW267">
        <f t="shared" si="156"/>
        <v>0</v>
      </c>
      <c r="BX267">
        <f>IF(AND(BW267&gt;=0,BW266&lt;0,MIN($BW$2:BW267)&lt;0),1,0)</f>
        <v>0</v>
      </c>
      <c r="BY267">
        <f>Расчёты!AZ267+AH267+AK267-AM267*N('Исходные данные'!$B$50)</f>
        <v>0</v>
      </c>
      <c r="BZ267">
        <f t="shared" si="157"/>
        <v>0</v>
      </c>
      <c r="CA267">
        <f>IF(AND(BZ267&gt;=0,BZ266&lt;0,MIN($BZ$2:BZ267)&lt;0),1,0)</f>
        <v>0</v>
      </c>
      <c r="CB267">
        <f>Расчёты!AZ267+BE267+BH267-BJ267*N('Исходные данные'!$B$50)</f>
        <v>0</v>
      </c>
      <c r="CC267">
        <f t="shared" si="158"/>
        <v>0</v>
      </c>
      <c r="CD267">
        <f>IF(AND(CC267&gt;=0,CC266&lt;0,MIN($CC$2:CC267)&lt;0),1,0)</f>
        <v>0</v>
      </c>
    </row>
    <row r="268" spans="1:82" x14ac:dyDescent="0.2">
      <c r="A268">
        <f>Расчёты!A268</f>
        <v>267</v>
      </c>
      <c r="B268" t="str">
        <f>Расчёты!B268</f>
        <v/>
      </c>
      <c r="C268" t="str">
        <f>Расчёты!D268</f>
        <v/>
      </c>
      <c r="D268">
        <f>Расчёты!E268</f>
        <v>0</v>
      </c>
      <c r="E268">
        <f>IF(Расчёты!F268=0,0,IF(Расчёты!G268=1,N('Сценарный анализ'!$B$5),IF(Расчёты!G268=2,N('Сценарный анализ'!$B$6),IF(Расчёты!G268=3,N('Сценарный анализ'!$B$7),N('Сценарный анализ'!$B$7)*(1+N('Сценарный анализ'!$B$8))^(Расчёты!G268-3)))))</f>
        <v>0</v>
      </c>
      <c r="F268">
        <f>IF(OR(Расчёты!F268=0,N('Исходные данные'!$B$5)=0,E268=0),0,N('Исходные данные'!$B$5)*E268*IF(AND(B268&lt;='Исходные данные'!$B$30,Расчёты!C268&gt;='Исходные данные'!$B$30),(Расчёты!C268-'Исходные данные'!$B$30+1)/DAY(Расчёты!C268),1))</f>
        <v>0</v>
      </c>
      <c r="G268">
        <f>IF(AND(Расчёты!F268&gt;0,Расчёты!F268&lt;=N('Исходные данные'!$B$37)),-F268,0)</f>
        <v>0</v>
      </c>
      <c r="H268">
        <f>IF(OR(Расчёты!F268=0,Расчёты!F268&lt;=N('Исходные данные'!$B$37)),0,-(F268+G268)*N('Сценарный анализ'!$B$9))</f>
        <v>0</v>
      </c>
      <c r="I268">
        <f t="shared" si="159"/>
        <v>0</v>
      </c>
      <c r="J268">
        <f>IF('Исходные данные'!$B$51="Да",I268*N('Исходные данные'!$B$52),0)</f>
        <v>0</v>
      </c>
      <c r="K268">
        <f t="shared" si="160"/>
        <v>0</v>
      </c>
      <c r="L268">
        <f>I268+(Расчёты!Y268-Расчёты!L268)</f>
        <v>0</v>
      </c>
      <c r="M268">
        <f t="shared" si="147"/>
        <v>0</v>
      </c>
      <c r="N268">
        <f>IF('Исходные данные'!$B$51="Да",-MAX(0,J268+Расчёты!R268+Расчёты!V268-Расчёты!P268-Расчёты!T268-M268),0)</f>
        <v>0</v>
      </c>
      <c r="O268">
        <f>IF('Исходные данные'!$B$51="Да",MAX(0,M268+Расчёты!P268+Расчёты!T268-J268-Расчёты!R268-Расчёты!V268),0)</f>
        <v>0</v>
      </c>
      <c r="P268">
        <f>IF('Исходные данные'!$B$53="Выручка",MAX(0,I268+(Расчёты!Q268-Расчёты!R268)+(Расчёты!U268-Расчёты!V268)),IF('Исходные данные'!$B$53="Прибыль до налога",MAX(0,I268+(Расчёты!Q268-Расчёты!R268)+(Расчёты!U268-Расчёты!V268)+N('Исходные данные'!$B$54)*((Расчёты!O268+Расчёты!P268)+(Расчёты!S268+Расчёты!T268)+Расчёты!W268+Расчёты!X268)+IF('Исходные данные'!$B$55="Да",Расчёты!AG268,0)-N('Исходные данные'!$B$56)/12),IF('Исходные данные'!$B$53="Пользовательская база",MAX(0,N('Исходные данные'!$B$57)/12),0)))</f>
        <v>0</v>
      </c>
      <c r="Q268">
        <f>IF(D268=1,-P268*N('Исходные данные'!$B$50),0)</f>
        <v>0</v>
      </c>
      <c r="R268">
        <f t="shared" si="148"/>
        <v>0</v>
      </c>
      <c r="S268">
        <f>IF(OR(D268&lt;&gt;1,B268="",'Исходные данные'!$B$91="",N('Исходные данные'!$B$80)&lt;=0,'Исходные данные'!$B$88=""),0,IF(AND(YEAR(B268)=YEAR('Исходные данные'!$B$91),MONTH(B268)=MONTH('Исходные данные'!$B$91)),MAX(0,IF('Исходные данные'!$B$88="Последние 12 месяцев",SUMIFS($L$2:$L$194,$B$2:$B$194,"&gt;="&amp;EDATE(B268,-11),$B$2:$B$194,"&lt;="&amp;B268),IF('Исходные данные'!$B$88="Пользовательский NOI",N('Исходные данные'!$B$89),R268))/N('Исходные данные'!$B$80)*(1+N('Исходные данные'!$B$81))),0))</f>
        <v>0</v>
      </c>
      <c r="T268">
        <f>-S268*N('Исходные данные'!$B$73)</f>
        <v>0</v>
      </c>
      <c r="U268">
        <f>IF(S268=0,0,-N('Исходные данные'!$B$87)-IF('Исходные данные'!$B$82="Да",IF('Исходные данные'!$B$84="С выручки",S268,IF('Исходные данные'!$B$84="С прибыли",MAX(0,S268+T268-IF('Исходные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68">
        <f t="shared" si="161"/>
        <v>0</v>
      </c>
      <c r="W268">
        <f>IF(D268=1,Расчёты!AZ268+K268+N268+Q268+V268,0)</f>
        <v>0</v>
      </c>
      <c r="X268" t="str">
        <f t="shared" si="149"/>
        <v/>
      </c>
      <c r="Y268">
        <f>IF(OR(D268=0,'Исходные данные'!$B$9="",'Исходные данные'!$B$90=""),0,W268/(1+'Исходные данные'!$B$90)^((C268-'Исходные данные'!$B$9)/365))</f>
        <v>0</v>
      </c>
      <c r="Z268">
        <f>IF(D268=1,K268+Расчёты!O268+Расчёты!Q268+Расчёты!S268+Расчёты!U268+Расчёты!W268+Расчёты!X268+N268+Q268,0)</f>
        <v>0</v>
      </c>
      <c r="AA268">
        <f>IF(AND(D268=1,X268&gt;=0,X267&lt;0,MIN($X$2:X268)&lt;0),1,0)</f>
        <v>0</v>
      </c>
      <c r="AB268">
        <f>IF(Расчёты!F268=0,0,IF(Расчёты!G268=1,N('Сценарный анализ'!$C$5),IF(Расчёты!G268=2,N('Сценарный анализ'!$C$6),IF(Расчёты!G268=3,N('Сценарный анализ'!$C$7),N('Сценарный анализ'!$C$7)*(1+N('Сценарный анализ'!$C$8))^(Расчёты!G268-3)))))</f>
        <v>0</v>
      </c>
      <c r="AC268">
        <f>IF(OR(Расчёты!F268=0,N('Исходные данные'!$B$5)=0,AB268=0),0,N('Исходные данные'!$B$5)*AB268*IF(AND(B268&lt;='Исходные данные'!$B$30,Расчёты!C268&gt;='Исходные данные'!$B$30),(Расчёты!C268-'Исходные данные'!$B$30+1)/DAY(Расчёты!C268),1))</f>
        <v>0</v>
      </c>
      <c r="AD268">
        <f>IF(AND(Расчёты!F268&gt;0,Расчёты!F268&lt;=N('Исходные данные'!$B$37)),-AC268,0)</f>
        <v>0</v>
      </c>
      <c r="AE268">
        <f>IF(OR(Расчёты!F268=0,Расчёты!F268&lt;=N('Исходные данные'!$B$37)),0,-(AC268+AD268)*N('Сценарный анализ'!$C$9))</f>
        <v>0</v>
      </c>
      <c r="AF268">
        <f t="shared" si="162"/>
        <v>0</v>
      </c>
      <c r="AG268">
        <f>IF('Исходные данные'!$B$51="Да",AF268*N('Исходные данные'!$B$52),0)</f>
        <v>0</v>
      </c>
      <c r="AH268">
        <f t="shared" si="163"/>
        <v>0</v>
      </c>
      <c r="AI268">
        <f>AF268+(Расчёты!Y268-Расчёты!L268)</f>
        <v>0</v>
      </c>
      <c r="AJ268">
        <f t="shared" si="150"/>
        <v>0</v>
      </c>
      <c r="AK268">
        <f>IF('Исходные данные'!$B$51="Да",-MAX(0,AG268+Расчёты!R268+Расчёты!V268-Расчёты!P268-Расчёты!T268-AJ268),0)</f>
        <v>0</v>
      </c>
      <c r="AL268">
        <f>IF('Исходные данные'!$B$51="Да",MAX(0,AJ268+Расчёты!P268+Расчёты!T268-AG268-Расчёты!R268-Расчёты!V268),0)</f>
        <v>0</v>
      </c>
      <c r="AM268">
        <f>IF('Исходные данные'!$B$53="Выручка",MAX(0,AF268+(Расчёты!Q268-Расчёты!R268)+(Расчёты!U268-Расчёты!V268)),IF('Исходные данные'!$B$53="Прибыль до налога",MAX(0,AF268+(Расчёты!Q268-Расчёты!R268)+(Расчёты!U268-Расчёты!V268)+N('Исходные данные'!$B$54)*((Расчёты!O268+Расчёты!P268)+(Расчёты!S268+Расчёты!T268)+Расчёты!W268+Расчёты!X268)+IF('Исходные данные'!$B$55="Да",Расчёты!AG268,0)-N('Исходные данные'!$B$56)/12),IF('Исходные данные'!$B$53="Пользовательская база",MAX(0,N('Исходные данные'!$B$57)/12),0)))</f>
        <v>0</v>
      </c>
      <c r="AN268">
        <f>IF(D268=1,-AM268*N('Исходные данные'!$B$50),0)</f>
        <v>0</v>
      </c>
      <c r="AO268">
        <f t="shared" si="151"/>
        <v>0</v>
      </c>
      <c r="AP268">
        <f>IF(OR(D268&lt;&gt;1,B268="",'Исходные данные'!$B$91="",N('Исходные данные'!$B$80)&lt;=0,'Исходные данные'!$B$88=""),0,IF(AND(YEAR(B268)=YEAR('Исходные данные'!$B$91),MONTH(B268)=MONTH('Исходные данные'!$B$91)),MAX(0,IF('Исходные данные'!$B$88="Последние 12 месяцев",SUMIFS($AI$2:$AI$194,$B$2:$B$194,"&gt;="&amp;EDATE(B268,-11),$B$2:$B$194,"&lt;="&amp;B268),IF('Исходные данные'!$B$88="Пользовательский NOI",N('Исходные данные'!$B$89),AO268))/N('Исходные данные'!$B$80)*(1+N('Исходные данные'!$B$81))),0))</f>
        <v>0</v>
      </c>
      <c r="AQ268">
        <f>-AP268*N('Исходные данные'!$B$73)</f>
        <v>0</v>
      </c>
      <c r="AR268">
        <f>IF(AP268=0,0,-N('Исходные данные'!$B$87)-IF('Исходные данные'!$B$82="Да",IF('Исходные данные'!$B$84="С выручки",AP268,IF('Исходные данные'!$B$84="С прибыли",MAX(0,AP268+AQ268-IF('Исходные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68">
        <f t="shared" si="164"/>
        <v>0</v>
      </c>
      <c r="AT268">
        <f>IF(D268=1,Расчёты!AZ268+AH268+AK268+AN268+AS268,0)</f>
        <v>0</v>
      </c>
      <c r="AU268" t="str">
        <f t="shared" si="152"/>
        <v/>
      </c>
      <c r="AV268">
        <f>IF(OR(D268=0,'Исходные данные'!$B$9="",'Исходные данные'!$B$90=""),0,AT268/(1+'Исходные данные'!$B$90)^((C268-'Исходные данные'!$B$9)/365))</f>
        <v>0</v>
      </c>
      <c r="AW268">
        <f>IF(D268=1,AH268+Расчёты!O268+Расчёты!Q268+Расчёты!S268+Расчёты!U268+Расчёты!W268+Расчёты!X268+AK268+AN268,0)</f>
        <v>0</v>
      </c>
      <c r="AX268">
        <f>IF(AND(D268=1,AU268&gt;=0,AU267&lt;0,MIN($AU$2:AU268)&lt;0),1,0)</f>
        <v>0</v>
      </c>
      <c r="AY268">
        <f>IF(Расчёты!F268=0,0,IF(Расчёты!G268=1,N('Сценарный анализ'!$D$5),IF(Расчёты!G268=2,N('Сценарный анализ'!$D$6),IF(Расчёты!G268=3,N('Сценарный анализ'!$D$7),N('Сценарный анализ'!$D$7)*(1+N('Сценарный анализ'!$D$8))^(Расчёты!G268-3)))))</f>
        <v>0</v>
      </c>
      <c r="AZ268">
        <f>IF(OR(Расчёты!F268=0,N('Исходные данные'!$B$5)=0,AY268=0),0,N('Исходные данные'!$B$5)*AY268*IF(AND(B268&lt;='Исходные данные'!$B$30,Расчёты!C268&gt;='Исходные данные'!$B$30),(Расчёты!C268-'Исходные данные'!$B$30+1)/DAY(Расчёты!C268),1))</f>
        <v>0</v>
      </c>
      <c r="BA268">
        <f>IF(AND(Расчёты!F268&gt;0,Расчёты!F268&lt;=N('Исходные данные'!$B$37)),-AZ268,0)</f>
        <v>0</v>
      </c>
      <c r="BB268">
        <f>IF(OR(Расчёты!F268=0,Расчёты!F268&lt;=N('Исходные данные'!$B$37)),0,-(AZ268+BA268)*N('Сценарный анализ'!$D$9))</f>
        <v>0</v>
      </c>
      <c r="BC268">
        <f t="shared" si="165"/>
        <v>0</v>
      </c>
      <c r="BD268">
        <f>IF('Исходные данные'!$B$51="Да",BC268*N('Исходные данные'!$B$52),0)</f>
        <v>0</v>
      </c>
      <c r="BE268">
        <f t="shared" si="166"/>
        <v>0</v>
      </c>
      <c r="BF268">
        <f>BC268+(Расчёты!Y268-Расчёты!L268)</f>
        <v>0</v>
      </c>
      <c r="BG268">
        <f t="shared" si="153"/>
        <v>0</v>
      </c>
      <c r="BH268">
        <f>IF('Исходные данные'!$B$51="Да",-MAX(0,BD268+Расчёты!R268+Расчёты!V268-Расчёты!P268-Расчёты!T268-BG268),0)</f>
        <v>0</v>
      </c>
      <c r="BI268">
        <f>IF('Исходные данные'!$B$51="Да",MAX(0,BG268+Расчёты!P268+Расчёты!T268-BD268-Расчёты!R268-Расчёты!V268),0)</f>
        <v>0</v>
      </c>
      <c r="BJ268">
        <f>IF('Исходные данные'!$B$53="Выручка",MAX(0,BC268+(Расчёты!Q268-Расчёты!R268)+(Расчёты!U268-Расчёты!V268)),IF('Исходные данные'!$B$53="Прибыль до налога",MAX(0,BC268+(Расчёты!Q268-Расчёты!R268)+(Расчёты!U268-Расчёты!V268)+N('Исходные данные'!$B$54)*((Расчёты!O268+Расчёты!P268)+(Расчёты!S268+Расчёты!T268)+Расчёты!W268+Расчёты!X268)+IF('Исходные данные'!$B$55="Да",Расчёты!AG268,0)-N('Исходные данные'!$B$56)/12),IF('Исходные данные'!$B$53="Пользовательская база",MAX(0,N('Исходные данные'!$B$57)/12),0)))</f>
        <v>0</v>
      </c>
      <c r="BK268">
        <f>IF(D268=1,-BJ268*N('Исходные данные'!$B$50),0)</f>
        <v>0</v>
      </c>
      <c r="BL268">
        <f t="shared" si="154"/>
        <v>0</v>
      </c>
      <c r="BM268">
        <f>IF(OR(D268&lt;&gt;1,B268="",'Исходные данные'!$B$91="",N('Исходные данные'!$B$80)&lt;=0,'Исходные данные'!$B$88=""),0,IF(AND(YEAR(B268)=YEAR('Исходные данные'!$B$91),MONTH(B268)=MONTH('Исходные данные'!$B$91)),MAX(0,IF('Исходные данные'!$B$88="Последние 12 месяцев",SUMIFS($BF$2:$BF$194,$B$2:$B$194,"&gt;="&amp;EDATE(B268,-11),$B$2:$B$194,"&lt;="&amp;B268),IF('Исходные данные'!$B$88="Пользовательский NOI",N('Исходные данные'!$B$89),BL268))/N('Исходные данные'!$B$80)*(1+N('Исходные данные'!$B$81))),0))</f>
        <v>0</v>
      </c>
      <c r="BN268">
        <f>-BM268*N('Исходные данные'!$B$73)</f>
        <v>0</v>
      </c>
      <c r="BO268">
        <f>IF(BM268=0,0,-N('Исходные данные'!$B$87)-IF('Исходные данные'!$B$82="Да",IF('Исходные данные'!$B$84="С выручки",BM268,IF('Исходные данные'!$B$84="С прибыли",MAX(0,BM268+BN268-IF('Исходные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68">
        <f t="shared" si="167"/>
        <v>0</v>
      </c>
      <c r="BQ268">
        <f>IF(D268=1,Расчёты!AZ268+BE268+BH268+BK268+BP268,0)</f>
        <v>0</v>
      </c>
      <c r="BR268" t="str">
        <f t="shared" si="155"/>
        <v/>
      </c>
      <c r="BS268">
        <f>IF(OR(D268=0,'Исходные данные'!$B$9="",'Исходные данные'!$B$90=""),0,BQ268/(1+'Исходные данные'!$B$90)^((C268-'Исходные данные'!$B$9)/365))</f>
        <v>0</v>
      </c>
      <c r="BT268">
        <f>IF(D268=1,BE268+Расчёты!O268+Расчёты!Q268+Расчёты!S268+Расчёты!U268+Расчёты!W268+Расчёты!X268+BH268+BK268,0)</f>
        <v>0</v>
      </c>
      <c r="BU268">
        <f>IF(AND(D268=1,BR268&gt;=0,BR267&lt;0,MIN($BR$2:BR268)&lt;0),1,0)</f>
        <v>0</v>
      </c>
      <c r="BV268">
        <f>Расчёты!AZ268+K268+N268-P268*N('Исходные данные'!$B$50)</f>
        <v>0</v>
      </c>
      <c r="BW268">
        <f t="shared" si="156"/>
        <v>0</v>
      </c>
      <c r="BX268">
        <f>IF(AND(BW268&gt;=0,BW267&lt;0,MIN($BW$2:BW268)&lt;0),1,0)</f>
        <v>0</v>
      </c>
      <c r="BY268">
        <f>Расчёты!AZ268+AH268+AK268-AM268*N('Исходные данные'!$B$50)</f>
        <v>0</v>
      </c>
      <c r="BZ268">
        <f t="shared" si="157"/>
        <v>0</v>
      </c>
      <c r="CA268">
        <f>IF(AND(BZ268&gt;=0,BZ267&lt;0,MIN($BZ$2:BZ268)&lt;0),1,0)</f>
        <v>0</v>
      </c>
      <c r="CB268">
        <f>Расчёты!AZ268+BE268+BH268-BJ268*N('Исходные данные'!$B$50)</f>
        <v>0</v>
      </c>
      <c r="CC268">
        <f t="shared" si="158"/>
        <v>0</v>
      </c>
      <c r="CD268">
        <f>IF(AND(CC268&gt;=0,CC267&lt;0,MIN($CC$2:CC268)&lt;0),1,0)</f>
        <v>0</v>
      </c>
    </row>
    <row r="269" spans="1:82" x14ac:dyDescent="0.2">
      <c r="A269">
        <f>Расчёты!A269</f>
        <v>268</v>
      </c>
      <c r="B269" t="str">
        <f>Расчёты!B269</f>
        <v/>
      </c>
      <c r="C269" t="str">
        <f>Расчёты!D269</f>
        <v/>
      </c>
      <c r="D269">
        <f>Расчёты!E269</f>
        <v>0</v>
      </c>
      <c r="E269">
        <f>IF(Расчёты!F269=0,0,IF(Расчёты!G269=1,N('Сценарный анализ'!$B$5),IF(Расчёты!G269=2,N('Сценарный анализ'!$B$6),IF(Расчёты!G269=3,N('Сценарный анализ'!$B$7),N('Сценарный анализ'!$B$7)*(1+N('Сценарный анализ'!$B$8))^(Расчёты!G269-3)))))</f>
        <v>0</v>
      </c>
      <c r="F269">
        <f>IF(OR(Расчёты!F269=0,N('Исходные данные'!$B$5)=0,E269=0),0,N('Исходные данные'!$B$5)*E269*IF(AND(B269&lt;='Исходные данные'!$B$30,Расчёты!C269&gt;='Исходные данные'!$B$30),(Расчёты!C269-'Исходные данные'!$B$30+1)/DAY(Расчёты!C269),1))</f>
        <v>0</v>
      </c>
      <c r="G269">
        <f>IF(AND(Расчёты!F269&gt;0,Расчёты!F269&lt;=N('Исходные данные'!$B$37)),-F269,0)</f>
        <v>0</v>
      </c>
      <c r="H269">
        <f>IF(OR(Расчёты!F269=0,Расчёты!F269&lt;=N('Исходные данные'!$B$37)),0,-(F269+G269)*N('Сценарный анализ'!$B$9))</f>
        <v>0</v>
      </c>
      <c r="I269">
        <f t="shared" si="159"/>
        <v>0</v>
      </c>
      <c r="J269">
        <f>IF('Исходные данные'!$B$51="Да",I269*N('Исходные данные'!$B$52),0)</f>
        <v>0</v>
      </c>
      <c r="K269">
        <f t="shared" si="160"/>
        <v>0</v>
      </c>
      <c r="L269">
        <f>I269+(Расчёты!Y269-Расчёты!L269)</f>
        <v>0</v>
      </c>
      <c r="M269">
        <f t="shared" si="147"/>
        <v>0</v>
      </c>
      <c r="N269">
        <f>IF('Исходные данные'!$B$51="Да",-MAX(0,J269+Расчёты!R269+Расчёты!V269-Расчёты!P269-Расчёты!T269-M269),0)</f>
        <v>0</v>
      </c>
      <c r="O269">
        <f>IF('Исходные данные'!$B$51="Да",MAX(0,M269+Расчёты!P269+Расчёты!T269-J269-Расчёты!R269-Расчёты!V269),0)</f>
        <v>0</v>
      </c>
      <c r="P269">
        <f>IF('Исходные данные'!$B$53="Выручка",MAX(0,I269+(Расчёты!Q269-Расчёты!R269)+(Расчёты!U269-Расчёты!V269)),IF('Исходные данные'!$B$53="Прибыль до налога",MAX(0,I269+(Расчёты!Q269-Расчёты!R269)+(Расчёты!U269-Расчёты!V269)+N('Исходные данные'!$B$54)*((Расчёты!O269+Расчёты!P269)+(Расчёты!S269+Расчёты!T269)+Расчёты!W269+Расчёты!X269)+IF('Исходные данные'!$B$55="Да",Расчёты!AG269,0)-N('Исходные данные'!$B$56)/12),IF('Исходные данные'!$B$53="Пользовательская база",MAX(0,N('Исходные данные'!$B$57)/12),0)))</f>
        <v>0</v>
      </c>
      <c r="Q269">
        <f>IF(D269=1,-P269*N('Исходные данные'!$B$50),0)</f>
        <v>0</v>
      </c>
      <c r="R269">
        <f t="shared" si="148"/>
        <v>0</v>
      </c>
      <c r="S269">
        <f>IF(OR(D269&lt;&gt;1,B269="",'Исходные данные'!$B$91="",N('Исходные данные'!$B$80)&lt;=0,'Исходные данные'!$B$88=""),0,IF(AND(YEAR(B269)=YEAR('Исходные данные'!$B$91),MONTH(B269)=MONTH('Исходные данные'!$B$91)),MAX(0,IF('Исходные данные'!$B$88="Последние 12 месяцев",SUMIFS($L$2:$L$194,$B$2:$B$194,"&gt;="&amp;EDATE(B269,-11),$B$2:$B$194,"&lt;="&amp;B269),IF('Исходные данные'!$B$88="Пользовательский NOI",N('Исходные данные'!$B$89),R269))/N('Исходные данные'!$B$80)*(1+N('Исходные данные'!$B$81))),0))</f>
        <v>0</v>
      </c>
      <c r="T269">
        <f>-S269*N('Исходные данные'!$B$73)</f>
        <v>0</v>
      </c>
      <c r="U269">
        <f>IF(S269=0,0,-N('Исходные данные'!$B$87)-IF('Исходные данные'!$B$82="Да",IF('Исходные данные'!$B$84="С выручки",S269,IF('Исходные данные'!$B$84="С прибыли",MAX(0,S269+T269-IF('Исходные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69">
        <f t="shared" si="161"/>
        <v>0</v>
      </c>
      <c r="W269">
        <f>IF(D269=1,Расчёты!AZ269+K269+N269+Q269+V269,0)</f>
        <v>0</v>
      </c>
      <c r="X269" t="str">
        <f t="shared" si="149"/>
        <v/>
      </c>
      <c r="Y269">
        <f>IF(OR(D269=0,'Исходные данные'!$B$9="",'Исходные данные'!$B$90=""),0,W269/(1+'Исходные данные'!$B$90)^((C269-'Исходные данные'!$B$9)/365))</f>
        <v>0</v>
      </c>
      <c r="Z269">
        <f>IF(D269=1,K269+Расчёты!O269+Расчёты!Q269+Расчёты!S269+Расчёты!U269+Расчёты!W269+Расчёты!X269+N269+Q269,0)</f>
        <v>0</v>
      </c>
      <c r="AA269">
        <f>IF(AND(D269=1,X269&gt;=0,X268&lt;0,MIN($X$2:X269)&lt;0),1,0)</f>
        <v>0</v>
      </c>
      <c r="AB269">
        <f>IF(Расчёты!F269=0,0,IF(Расчёты!G269=1,N('Сценарный анализ'!$C$5),IF(Расчёты!G269=2,N('Сценарный анализ'!$C$6),IF(Расчёты!G269=3,N('Сценарный анализ'!$C$7),N('Сценарный анализ'!$C$7)*(1+N('Сценарный анализ'!$C$8))^(Расчёты!G269-3)))))</f>
        <v>0</v>
      </c>
      <c r="AC269">
        <f>IF(OR(Расчёты!F269=0,N('Исходные данные'!$B$5)=0,AB269=0),0,N('Исходные данные'!$B$5)*AB269*IF(AND(B269&lt;='Исходные данные'!$B$30,Расчёты!C269&gt;='Исходные данные'!$B$30),(Расчёты!C269-'Исходные данные'!$B$30+1)/DAY(Расчёты!C269),1))</f>
        <v>0</v>
      </c>
      <c r="AD269">
        <f>IF(AND(Расчёты!F269&gt;0,Расчёты!F269&lt;=N('Исходные данные'!$B$37)),-AC269,0)</f>
        <v>0</v>
      </c>
      <c r="AE269">
        <f>IF(OR(Расчёты!F269=0,Расчёты!F269&lt;=N('Исходные данные'!$B$37)),0,-(AC269+AD269)*N('Сценарный анализ'!$C$9))</f>
        <v>0</v>
      </c>
      <c r="AF269">
        <f t="shared" si="162"/>
        <v>0</v>
      </c>
      <c r="AG269">
        <f>IF('Исходные данные'!$B$51="Да",AF269*N('Исходные данные'!$B$52),0)</f>
        <v>0</v>
      </c>
      <c r="AH269">
        <f t="shared" si="163"/>
        <v>0</v>
      </c>
      <c r="AI269">
        <f>AF269+(Расчёты!Y269-Расчёты!L269)</f>
        <v>0</v>
      </c>
      <c r="AJ269">
        <f t="shared" si="150"/>
        <v>0</v>
      </c>
      <c r="AK269">
        <f>IF('Исходные данные'!$B$51="Да",-MAX(0,AG269+Расчёты!R269+Расчёты!V269-Расчёты!P269-Расчёты!T269-AJ269),0)</f>
        <v>0</v>
      </c>
      <c r="AL269">
        <f>IF('Исходные данные'!$B$51="Да",MAX(0,AJ269+Расчёты!P269+Расчёты!T269-AG269-Расчёты!R269-Расчёты!V269),0)</f>
        <v>0</v>
      </c>
      <c r="AM269">
        <f>IF('Исходные данные'!$B$53="Выручка",MAX(0,AF269+(Расчёты!Q269-Расчёты!R269)+(Расчёты!U269-Расчёты!V269)),IF('Исходные данные'!$B$53="Прибыль до налога",MAX(0,AF269+(Расчёты!Q269-Расчёты!R269)+(Расчёты!U269-Расчёты!V269)+N('Исходные данные'!$B$54)*((Расчёты!O269+Расчёты!P269)+(Расчёты!S269+Расчёты!T269)+Расчёты!W269+Расчёты!X269)+IF('Исходные данные'!$B$55="Да",Расчёты!AG269,0)-N('Исходные данные'!$B$56)/12),IF('Исходные данные'!$B$53="Пользовательская база",MAX(0,N('Исходные данные'!$B$57)/12),0)))</f>
        <v>0</v>
      </c>
      <c r="AN269">
        <f>IF(D269=1,-AM269*N('Исходные данные'!$B$50),0)</f>
        <v>0</v>
      </c>
      <c r="AO269">
        <f t="shared" si="151"/>
        <v>0</v>
      </c>
      <c r="AP269">
        <f>IF(OR(D269&lt;&gt;1,B269="",'Исходные данные'!$B$91="",N('Исходные данные'!$B$80)&lt;=0,'Исходные данные'!$B$88=""),0,IF(AND(YEAR(B269)=YEAR('Исходные данные'!$B$91),MONTH(B269)=MONTH('Исходные данные'!$B$91)),MAX(0,IF('Исходные данные'!$B$88="Последние 12 месяцев",SUMIFS($AI$2:$AI$194,$B$2:$B$194,"&gt;="&amp;EDATE(B269,-11),$B$2:$B$194,"&lt;="&amp;B269),IF('Исходные данные'!$B$88="Пользовательский NOI",N('Исходные данные'!$B$89),AO269))/N('Исходные данные'!$B$80)*(1+N('Исходные данные'!$B$81))),0))</f>
        <v>0</v>
      </c>
      <c r="AQ269">
        <f>-AP269*N('Исходные данные'!$B$73)</f>
        <v>0</v>
      </c>
      <c r="AR269">
        <f>IF(AP269=0,0,-N('Исходные данные'!$B$87)-IF('Исходные данные'!$B$82="Да",IF('Исходные данные'!$B$84="С выручки",AP269,IF('Исходные данные'!$B$84="С прибыли",MAX(0,AP269+AQ269-IF('Исходные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69">
        <f t="shared" si="164"/>
        <v>0</v>
      </c>
      <c r="AT269">
        <f>IF(D269=1,Расчёты!AZ269+AH269+AK269+AN269+AS269,0)</f>
        <v>0</v>
      </c>
      <c r="AU269" t="str">
        <f t="shared" si="152"/>
        <v/>
      </c>
      <c r="AV269">
        <f>IF(OR(D269=0,'Исходные данные'!$B$9="",'Исходные данные'!$B$90=""),0,AT269/(1+'Исходные данные'!$B$90)^((C269-'Исходные данные'!$B$9)/365))</f>
        <v>0</v>
      </c>
      <c r="AW269">
        <f>IF(D269=1,AH269+Расчёты!O269+Расчёты!Q269+Расчёты!S269+Расчёты!U269+Расчёты!W269+Расчёты!X269+AK269+AN269,0)</f>
        <v>0</v>
      </c>
      <c r="AX269">
        <f>IF(AND(D269=1,AU269&gt;=0,AU268&lt;0,MIN($AU$2:AU269)&lt;0),1,0)</f>
        <v>0</v>
      </c>
      <c r="AY269">
        <f>IF(Расчёты!F269=0,0,IF(Расчёты!G269=1,N('Сценарный анализ'!$D$5),IF(Расчёты!G269=2,N('Сценарный анализ'!$D$6),IF(Расчёты!G269=3,N('Сценарный анализ'!$D$7),N('Сценарный анализ'!$D$7)*(1+N('Сценарный анализ'!$D$8))^(Расчёты!G269-3)))))</f>
        <v>0</v>
      </c>
      <c r="AZ269">
        <f>IF(OR(Расчёты!F269=0,N('Исходные данные'!$B$5)=0,AY269=0),0,N('Исходные данные'!$B$5)*AY269*IF(AND(B269&lt;='Исходные данные'!$B$30,Расчёты!C269&gt;='Исходные данные'!$B$30),(Расчёты!C269-'Исходные данные'!$B$30+1)/DAY(Расчёты!C269),1))</f>
        <v>0</v>
      </c>
      <c r="BA269">
        <f>IF(AND(Расчёты!F269&gt;0,Расчёты!F269&lt;=N('Исходные данные'!$B$37)),-AZ269,0)</f>
        <v>0</v>
      </c>
      <c r="BB269">
        <f>IF(OR(Расчёты!F269=0,Расчёты!F269&lt;=N('Исходные данные'!$B$37)),0,-(AZ269+BA269)*N('Сценарный анализ'!$D$9))</f>
        <v>0</v>
      </c>
      <c r="BC269">
        <f t="shared" si="165"/>
        <v>0</v>
      </c>
      <c r="BD269">
        <f>IF('Исходные данные'!$B$51="Да",BC269*N('Исходные данные'!$B$52),0)</f>
        <v>0</v>
      </c>
      <c r="BE269">
        <f t="shared" si="166"/>
        <v>0</v>
      </c>
      <c r="BF269">
        <f>BC269+(Расчёты!Y269-Расчёты!L269)</f>
        <v>0</v>
      </c>
      <c r="BG269">
        <f t="shared" si="153"/>
        <v>0</v>
      </c>
      <c r="BH269">
        <f>IF('Исходные данные'!$B$51="Да",-MAX(0,BD269+Расчёты!R269+Расчёты!V269-Расчёты!P269-Расчёты!T269-BG269),0)</f>
        <v>0</v>
      </c>
      <c r="BI269">
        <f>IF('Исходные данные'!$B$51="Да",MAX(0,BG269+Расчёты!P269+Расчёты!T269-BD269-Расчёты!R269-Расчёты!V269),0)</f>
        <v>0</v>
      </c>
      <c r="BJ269">
        <f>IF('Исходные данные'!$B$53="Выручка",MAX(0,BC269+(Расчёты!Q269-Расчёты!R269)+(Расчёты!U269-Расчёты!V269)),IF('Исходные данные'!$B$53="Прибыль до налога",MAX(0,BC269+(Расчёты!Q269-Расчёты!R269)+(Расчёты!U269-Расчёты!V269)+N('Исходные данные'!$B$54)*((Расчёты!O269+Расчёты!P269)+(Расчёты!S269+Расчёты!T269)+Расчёты!W269+Расчёты!X269)+IF('Исходные данные'!$B$55="Да",Расчёты!AG269,0)-N('Исходные данные'!$B$56)/12),IF('Исходные данные'!$B$53="Пользовательская база",MAX(0,N('Исходные данные'!$B$57)/12),0)))</f>
        <v>0</v>
      </c>
      <c r="BK269">
        <f>IF(D269=1,-BJ269*N('Исходные данные'!$B$50),0)</f>
        <v>0</v>
      </c>
      <c r="BL269">
        <f t="shared" si="154"/>
        <v>0</v>
      </c>
      <c r="BM269">
        <f>IF(OR(D269&lt;&gt;1,B269="",'Исходные данные'!$B$91="",N('Исходные данные'!$B$80)&lt;=0,'Исходные данные'!$B$88=""),0,IF(AND(YEAR(B269)=YEAR('Исходные данные'!$B$91),MONTH(B269)=MONTH('Исходные данные'!$B$91)),MAX(0,IF('Исходные данные'!$B$88="Последние 12 месяцев",SUMIFS($BF$2:$BF$194,$B$2:$B$194,"&gt;="&amp;EDATE(B269,-11),$B$2:$B$194,"&lt;="&amp;B269),IF('Исходные данные'!$B$88="Пользовательский NOI",N('Исходные данные'!$B$89),BL269))/N('Исходные данные'!$B$80)*(1+N('Исходные данные'!$B$81))),0))</f>
        <v>0</v>
      </c>
      <c r="BN269">
        <f>-BM269*N('Исходные данные'!$B$73)</f>
        <v>0</v>
      </c>
      <c r="BO269">
        <f>IF(BM269=0,0,-N('Исходные данные'!$B$87)-IF('Исходные данные'!$B$82="Да",IF('Исходные данные'!$B$84="С выручки",BM269,IF('Исходные данные'!$B$84="С прибыли",MAX(0,BM269+BN269-IF('Исходные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69">
        <f t="shared" si="167"/>
        <v>0</v>
      </c>
      <c r="BQ269">
        <f>IF(D269=1,Расчёты!AZ269+BE269+BH269+BK269+BP269,0)</f>
        <v>0</v>
      </c>
      <c r="BR269" t="str">
        <f t="shared" si="155"/>
        <v/>
      </c>
      <c r="BS269">
        <f>IF(OR(D269=0,'Исходные данные'!$B$9="",'Исходные данные'!$B$90=""),0,BQ269/(1+'Исходные данные'!$B$90)^((C269-'Исходные данные'!$B$9)/365))</f>
        <v>0</v>
      </c>
      <c r="BT269">
        <f>IF(D269=1,BE269+Расчёты!O269+Расчёты!Q269+Расчёты!S269+Расчёты!U269+Расчёты!W269+Расчёты!X269+BH269+BK269,0)</f>
        <v>0</v>
      </c>
      <c r="BU269">
        <f>IF(AND(D269=1,BR269&gt;=0,BR268&lt;0,MIN($BR$2:BR269)&lt;0),1,0)</f>
        <v>0</v>
      </c>
      <c r="BV269">
        <f>Расчёты!AZ269+K269+N269-P269*N('Исходные данные'!$B$50)</f>
        <v>0</v>
      </c>
      <c r="BW269">
        <f t="shared" si="156"/>
        <v>0</v>
      </c>
      <c r="BX269">
        <f>IF(AND(BW269&gt;=0,BW268&lt;0,MIN($BW$2:BW269)&lt;0),1,0)</f>
        <v>0</v>
      </c>
      <c r="BY269">
        <f>Расчёты!AZ269+AH269+AK269-AM269*N('Исходные данные'!$B$50)</f>
        <v>0</v>
      </c>
      <c r="BZ269">
        <f t="shared" si="157"/>
        <v>0</v>
      </c>
      <c r="CA269">
        <f>IF(AND(BZ269&gt;=0,BZ268&lt;0,MIN($BZ$2:BZ269)&lt;0),1,0)</f>
        <v>0</v>
      </c>
      <c r="CB269">
        <f>Расчёты!AZ269+BE269+BH269-BJ269*N('Исходные данные'!$B$50)</f>
        <v>0</v>
      </c>
      <c r="CC269">
        <f t="shared" si="158"/>
        <v>0</v>
      </c>
      <c r="CD269">
        <f>IF(AND(CC269&gt;=0,CC268&lt;0,MIN($CC$2:CC269)&lt;0),1,0)</f>
        <v>0</v>
      </c>
    </row>
    <row r="270" spans="1:82" x14ac:dyDescent="0.2">
      <c r="A270">
        <f>Расчёты!A270</f>
        <v>269</v>
      </c>
      <c r="B270" t="str">
        <f>Расчёты!B270</f>
        <v/>
      </c>
      <c r="C270" t="str">
        <f>Расчёты!D270</f>
        <v/>
      </c>
      <c r="D270">
        <f>Расчёты!E270</f>
        <v>0</v>
      </c>
      <c r="E270">
        <f>IF(Расчёты!F270=0,0,IF(Расчёты!G270=1,N('Сценарный анализ'!$B$5),IF(Расчёты!G270=2,N('Сценарный анализ'!$B$6),IF(Расчёты!G270=3,N('Сценарный анализ'!$B$7),N('Сценарный анализ'!$B$7)*(1+N('Сценарный анализ'!$B$8))^(Расчёты!G270-3)))))</f>
        <v>0</v>
      </c>
      <c r="F270">
        <f>IF(OR(Расчёты!F270=0,N('Исходные данные'!$B$5)=0,E270=0),0,N('Исходные данные'!$B$5)*E270*IF(AND(B270&lt;='Исходные данные'!$B$30,Расчёты!C270&gt;='Исходные данные'!$B$30),(Расчёты!C270-'Исходные данные'!$B$30+1)/DAY(Расчёты!C270),1))</f>
        <v>0</v>
      </c>
      <c r="G270">
        <f>IF(AND(Расчёты!F270&gt;0,Расчёты!F270&lt;=N('Исходные данные'!$B$37)),-F270,0)</f>
        <v>0</v>
      </c>
      <c r="H270">
        <f>IF(OR(Расчёты!F270=0,Расчёты!F270&lt;=N('Исходные данные'!$B$37)),0,-(F270+G270)*N('Сценарный анализ'!$B$9))</f>
        <v>0</v>
      </c>
      <c r="I270">
        <f t="shared" si="159"/>
        <v>0</v>
      </c>
      <c r="J270">
        <f>IF('Исходные данные'!$B$51="Да",I270*N('Исходные данные'!$B$52),0)</f>
        <v>0</v>
      </c>
      <c r="K270">
        <f t="shared" si="160"/>
        <v>0</v>
      </c>
      <c r="L270">
        <f>I270+(Расчёты!Y270-Расчёты!L270)</f>
        <v>0</v>
      </c>
      <c r="M270">
        <f t="shared" si="147"/>
        <v>0</v>
      </c>
      <c r="N270">
        <f>IF('Исходные данные'!$B$51="Да",-MAX(0,J270+Расчёты!R270+Расчёты!V270-Расчёты!P270-Расчёты!T270-M270),0)</f>
        <v>0</v>
      </c>
      <c r="O270">
        <f>IF('Исходные данные'!$B$51="Да",MAX(0,M270+Расчёты!P270+Расчёты!T270-J270-Расчёты!R270-Расчёты!V270),0)</f>
        <v>0</v>
      </c>
      <c r="P270">
        <f>IF('Исходные данные'!$B$53="Выручка",MAX(0,I270+(Расчёты!Q270-Расчёты!R270)+(Расчёты!U270-Расчёты!V270)),IF('Исходные данные'!$B$53="Прибыль до налога",MAX(0,I270+(Расчёты!Q270-Расчёты!R270)+(Расчёты!U270-Расчёты!V270)+N('Исходные данные'!$B$54)*((Расчёты!O270+Расчёты!P270)+(Расчёты!S270+Расчёты!T270)+Расчёты!W270+Расчёты!X270)+IF('Исходные данные'!$B$55="Да",Расчёты!AG270,0)-N('Исходные данные'!$B$56)/12),IF('Исходные данные'!$B$53="Пользовательская база",MAX(0,N('Исходные данные'!$B$57)/12),0)))</f>
        <v>0</v>
      </c>
      <c r="Q270">
        <f>IF(D270=1,-P270*N('Исходные данные'!$B$50),0)</f>
        <v>0</v>
      </c>
      <c r="R270">
        <f t="shared" si="148"/>
        <v>0</v>
      </c>
      <c r="S270">
        <f>IF(OR(D270&lt;&gt;1,B270="",'Исходные данные'!$B$91="",N('Исходные данные'!$B$80)&lt;=0,'Исходные данные'!$B$88=""),0,IF(AND(YEAR(B270)=YEAR('Исходные данные'!$B$91),MONTH(B270)=MONTH('Исходные данные'!$B$91)),MAX(0,IF('Исходные данные'!$B$88="Последние 12 месяцев",SUMIFS($L$2:$L$194,$B$2:$B$194,"&gt;="&amp;EDATE(B270,-11),$B$2:$B$194,"&lt;="&amp;B270),IF('Исходные данные'!$B$88="Пользовательский NOI",N('Исходные данные'!$B$89),R270))/N('Исходные данные'!$B$80)*(1+N('Исходные данные'!$B$81))),0))</f>
        <v>0</v>
      </c>
      <c r="T270">
        <f>-S270*N('Исходные данные'!$B$73)</f>
        <v>0</v>
      </c>
      <c r="U270">
        <f>IF(S270=0,0,-N('Исходные данные'!$B$87)-IF('Исходные данные'!$B$82="Да",IF('Исходные данные'!$B$84="С выручки",S270,IF('Исходные данные'!$B$84="С прибыли",MAX(0,S270+T270-IF('Исходные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70">
        <f t="shared" si="161"/>
        <v>0</v>
      </c>
      <c r="W270">
        <f>IF(D270=1,Расчёты!AZ270+K270+N270+Q270+V270,0)</f>
        <v>0</v>
      </c>
      <c r="X270" t="str">
        <f t="shared" si="149"/>
        <v/>
      </c>
      <c r="Y270">
        <f>IF(OR(D270=0,'Исходные данные'!$B$9="",'Исходные данные'!$B$90=""),0,W270/(1+'Исходные данные'!$B$90)^((C270-'Исходные данные'!$B$9)/365))</f>
        <v>0</v>
      </c>
      <c r="Z270">
        <f>IF(D270=1,K270+Расчёты!O270+Расчёты!Q270+Расчёты!S270+Расчёты!U270+Расчёты!W270+Расчёты!X270+N270+Q270,0)</f>
        <v>0</v>
      </c>
      <c r="AA270">
        <f>IF(AND(D270=1,X270&gt;=0,X269&lt;0,MIN($X$2:X270)&lt;0),1,0)</f>
        <v>0</v>
      </c>
      <c r="AB270">
        <f>IF(Расчёты!F270=0,0,IF(Расчёты!G270=1,N('Сценарный анализ'!$C$5),IF(Расчёты!G270=2,N('Сценарный анализ'!$C$6),IF(Расчёты!G270=3,N('Сценарный анализ'!$C$7),N('Сценарный анализ'!$C$7)*(1+N('Сценарный анализ'!$C$8))^(Расчёты!G270-3)))))</f>
        <v>0</v>
      </c>
      <c r="AC270">
        <f>IF(OR(Расчёты!F270=0,N('Исходные данные'!$B$5)=0,AB270=0),0,N('Исходные данные'!$B$5)*AB270*IF(AND(B270&lt;='Исходные данные'!$B$30,Расчёты!C270&gt;='Исходные данные'!$B$30),(Расчёты!C270-'Исходные данные'!$B$30+1)/DAY(Расчёты!C270),1))</f>
        <v>0</v>
      </c>
      <c r="AD270">
        <f>IF(AND(Расчёты!F270&gt;0,Расчёты!F270&lt;=N('Исходные данные'!$B$37)),-AC270,0)</f>
        <v>0</v>
      </c>
      <c r="AE270">
        <f>IF(OR(Расчёты!F270=0,Расчёты!F270&lt;=N('Исходные данные'!$B$37)),0,-(AC270+AD270)*N('Сценарный анализ'!$C$9))</f>
        <v>0</v>
      </c>
      <c r="AF270">
        <f t="shared" si="162"/>
        <v>0</v>
      </c>
      <c r="AG270">
        <f>IF('Исходные данные'!$B$51="Да",AF270*N('Исходные данные'!$B$52),0)</f>
        <v>0</v>
      </c>
      <c r="AH270">
        <f t="shared" si="163"/>
        <v>0</v>
      </c>
      <c r="AI270">
        <f>AF270+(Расчёты!Y270-Расчёты!L270)</f>
        <v>0</v>
      </c>
      <c r="AJ270">
        <f t="shared" si="150"/>
        <v>0</v>
      </c>
      <c r="AK270">
        <f>IF('Исходные данные'!$B$51="Да",-MAX(0,AG270+Расчёты!R270+Расчёты!V270-Расчёты!P270-Расчёты!T270-AJ270),0)</f>
        <v>0</v>
      </c>
      <c r="AL270">
        <f>IF('Исходные данные'!$B$51="Да",MAX(0,AJ270+Расчёты!P270+Расчёты!T270-AG270-Расчёты!R270-Расчёты!V270),0)</f>
        <v>0</v>
      </c>
      <c r="AM270">
        <f>IF('Исходные данные'!$B$53="Выручка",MAX(0,AF270+(Расчёты!Q270-Расчёты!R270)+(Расчёты!U270-Расчёты!V270)),IF('Исходные данные'!$B$53="Прибыль до налога",MAX(0,AF270+(Расчёты!Q270-Расчёты!R270)+(Расчёты!U270-Расчёты!V270)+N('Исходные данные'!$B$54)*((Расчёты!O270+Расчёты!P270)+(Расчёты!S270+Расчёты!T270)+Расчёты!W270+Расчёты!X270)+IF('Исходные данные'!$B$55="Да",Расчёты!AG270,0)-N('Исходные данные'!$B$56)/12),IF('Исходные данные'!$B$53="Пользовательская база",MAX(0,N('Исходные данные'!$B$57)/12),0)))</f>
        <v>0</v>
      </c>
      <c r="AN270">
        <f>IF(D270=1,-AM270*N('Исходные данные'!$B$50),0)</f>
        <v>0</v>
      </c>
      <c r="AO270">
        <f t="shared" si="151"/>
        <v>0</v>
      </c>
      <c r="AP270">
        <f>IF(OR(D270&lt;&gt;1,B270="",'Исходные данные'!$B$91="",N('Исходные данные'!$B$80)&lt;=0,'Исходные данные'!$B$88=""),0,IF(AND(YEAR(B270)=YEAR('Исходные данные'!$B$91),MONTH(B270)=MONTH('Исходные данные'!$B$91)),MAX(0,IF('Исходные данные'!$B$88="Последние 12 месяцев",SUMIFS($AI$2:$AI$194,$B$2:$B$194,"&gt;="&amp;EDATE(B270,-11),$B$2:$B$194,"&lt;="&amp;B270),IF('Исходные данные'!$B$88="Пользовательский NOI",N('Исходные данные'!$B$89),AO270))/N('Исходные данные'!$B$80)*(1+N('Исходные данные'!$B$81))),0))</f>
        <v>0</v>
      </c>
      <c r="AQ270">
        <f>-AP270*N('Исходные данные'!$B$73)</f>
        <v>0</v>
      </c>
      <c r="AR270">
        <f>IF(AP270=0,0,-N('Исходные данные'!$B$87)-IF('Исходные данные'!$B$82="Да",IF('Исходные данные'!$B$84="С выручки",AP270,IF('Исходные данные'!$B$84="С прибыли",MAX(0,AP270+AQ270-IF('Исходные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70">
        <f t="shared" si="164"/>
        <v>0</v>
      </c>
      <c r="AT270">
        <f>IF(D270=1,Расчёты!AZ270+AH270+AK270+AN270+AS270,0)</f>
        <v>0</v>
      </c>
      <c r="AU270" t="str">
        <f t="shared" si="152"/>
        <v/>
      </c>
      <c r="AV270">
        <f>IF(OR(D270=0,'Исходные данные'!$B$9="",'Исходные данные'!$B$90=""),0,AT270/(1+'Исходные данные'!$B$90)^((C270-'Исходные данные'!$B$9)/365))</f>
        <v>0</v>
      </c>
      <c r="AW270">
        <f>IF(D270=1,AH270+Расчёты!O270+Расчёты!Q270+Расчёты!S270+Расчёты!U270+Расчёты!W270+Расчёты!X270+AK270+AN270,0)</f>
        <v>0</v>
      </c>
      <c r="AX270">
        <f>IF(AND(D270=1,AU270&gt;=0,AU269&lt;0,MIN($AU$2:AU270)&lt;0),1,0)</f>
        <v>0</v>
      </c>
      <c r="AY270">
        <f>IF(Расчёты!F270=0,0,IF(Расчёты!G270=1,N('Сценарный анализ'!$D$5),IF(Расчёты!G270=2,N('Сценарный анализ'!$D$6),IF(Расчёты!G270=3,N('Сценарный анализ'!$D$7),N('Сценарный анализ'!$D$7)*(1+N('Сценарный анализ'!$D$8))^(Расчёты!G270-3)))))</f>
        <v>0</v>
      </c>
      <c r="AZ270">
        <f>IF(OR(Расчёты!F270=0,N('Исходные данные'!$B$5)=0,AY270=0),0,N('Исходные данные'!$B$5)*AY270*IF(AND(B270&lt;='Исходные данные'!$B$30,Расчёты!C270&gt;='Исходные данные'!$B$30),(Расчёты!C270-'Исходные данные'!$B$30+1)/DAY(Расчёты!C270),1))</f>
        <v>0</v>
      </c>
      <c r="BA270">
        <f>IF(AND(Расчёты!F270&gt;0,Расчёты!F270&lt;=N('Исходные данные'!$B$37)),-AZ270,0)</f>
        <v>0</v>
      </c>
      <c r="BB270">
        <f>IF(OR(Расчёты!F270=0,Расчёты!F270&lt;=N('Исходные данные'!$B$37)),0,-(AZ270+BA270)*N('Сценарный анализ'!$D$9))</f>
        <v>0</v>
      </c>
      <c r="BC270">
        <f t="shared" si="165"/>
        <v>0</v>
      </c>
      <c r="BD270">
        <f>IF('Исходные данные'!$B$51="Да",BC270*N('Исходные данные'!$B$52),0)</f>
        <v>0</v>
      </c>
      <c r="BE270">
        <f t="shared" si="166"/>
        <v>0</v>
      </c>
      <c r="BF270">
        <f>BC270+(Расчёты!Y270-Расчёты!L270)</f>
        <v>0</v>
      </c>
      <c r="BG270">
        <f t="shared" si="153"/>
        <v>0</v>
      </c>
      <c r="BH270">
        <f>IF('Исходные данные'!$B$51="Да",-MAX(0,BD270+Расчёты!R270+Расчёты!V270-Расчёты!P270-Расчёты!T270-BG270),0)</f>
        <v>0</v>
      </c>
      <c r="BI270">
        <f>IF('Исходные данные'!$B$51="Да",MAX(0,BG270+Расчёты!P270+Расчёты!T270-BD270-Расчёты!R270-Расчёты!V270),0)</f>
        <v>0</v>
      </c>
      <c r="BJ270">
        <f>IF('Исходные данные'!$B$53="Выручка",MAX(0,BC270+(Расчёты!Q270-Расчёты!R270)+(Расчёты!U270-Расчёты!V270)),IF('Исходные данные'!$B$53="Прибыль до налога",MAX(0,BC270+(Расчёты!Q270-Расчёты!R270)+(Расчёты!U270-Расчёты!V270)+N('Исходные данные'!$B$54)*((Расчёты!O270+Расчёты!P270)+(Расчёты!S270+Расчёты!T270)+Расчёты!W270+Расчёты!X270)+IF('Исходные данные'!$B$55="Да",Расчёты!AG270,0)-N('Исходные данные'!$B$56)/12),IF('Исходные данные'!$B$53="Пользовательская база",MAX(0,N('Исходные данные'!$B$57)/12),0)))</f>
        <v>0</v>
      </c>
      <c r="BK270">
        <f>IF(D270=1,-BJ270*N('Исходные данные'!$B$50),0)</f>
        <v>0</v>
      </c>
      <c r="BL270">
        <f t="shared" si="154"/>
        <v>0</v>
      </c>
      <c r="BM270">
        <f>IF(OR(D270&lt;&gt;1,B270="",'Исходные данные'!$B$91="",N('Исходные данные'!$B$80)&lt;=0,'Исходные данные'!$B$88=""),0,IF(AND(YEAR(B270)=YEAR('Исходные данные'!$B$91),MONTH(B270)=MONTH('Исходные данные'!$B$91)),MAX(0,IF('Исходные данные'!$B$88="Последние 12 месяцев",SUMIFS($BF$2:$BF$194,$B$2:$B$194,"&gt;="&amp;EDATE(B270,-11),$B$2:$B$194,"&lt;="&amp;B270),IF('Исходные данные'!$B$88="Пользовательский NOI",N('Исходные данные'!$B$89),BL270))/N('Исходные данные'!$B$80)*(1+N('Исходные данные'!$B$81))),0))</f>
        <v>0</v>
      </c>
      <c r="BN270">
        <f>-BM270*N('Исходные данные'!$B$73)</f>
        <v>0</v>
      </c>
      <c r="BO270">
        <f>IF(BM270=0,0,-N('Исходные данные'!$B$87)-IF('Исходные данные'!$B$82="Да",IF('Исходные данные'!$B$84="С выручки",BM270,IF('Исходные данные'!$B$84="С прибыли",MAX(0,BM270+BN270-IF('Исходные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70">
        <f t="shared" si="167"/>
        <v>0</v>
      </c>
      <c r="BQ270">
        <f>IF(D270=1,Расчёты!AZ270+BE270+BH270+BK270+BP270,0)</f>
        <v>0</v>
      </c>
      <c r="BR270" t="str">
        <f t="shared" si="155"/>
        <v/>
      </c>
      <c r="BS270">
        <f>IF(OR(D270=0,'Исходные данные'!$B$9="",'Исходные данные'!$B$90=""),0,BQ270/(1+'Исходные данные'!$B$90)^((C270-'Исходные данные'!$B$9)/365))</f>
        <v>0</v>
      </c>
      <c r="BT270">
        <f>IF(D270=1,BE270+Расчёты!O270+Расчёты!Q270+Расчёты!S270+Расчёты!U270+Расчёты!W270+Расчёты!X270+BH270+BK270,0)</f>
        <v>0</v>
      </c>
      <c r="BU270">
        <f>IF(AND(D270=1,BR270&gt;=0,BR269&lt;0,MIN($BR$2:BR270)&lt;0),1,0)</f>
        <v>0</v>
      </c>
      <c r="BV270">
        <f>Расчёты!AZ270+K270+N270-P270*N('Исходные данные'!$B$50)</f>
        <v>0</v>
      </c>
      <c r="BW270">
        <f t="shared" si="156"/>
        <v>0</v>
      </c>
      <c r="BX270">
        <f>IF(AND(BW270&gt;=0,BW269&lt;0,MIN($BW$2:BW270)&lt;0),1,0)</f>
        <v>0</v>
      </c>
      <c r="BY270">
        <f>Расчёты!AZ270+AH270+AK270-AM270*N('Исходные данные'!$B$50)</f>
        <v>0</v>
      </c>
      <c r="BZ270">
        <f t="shared" si="157"/>
        <v>0</v>
      </c>
      <c r="CA270">
        <f>IF(AND(BZ270&gt;=0,BZ269&lt;0,MIN($BZ$2:BZ270)&lt;0),1,0)</f>
        <v>0</v>
      </c>
      <c r="CB270">
        <f>Расчёты!AZ270+BE270+BH270-BJ270*N('Исходные данные'!$B$50)</f>
        <v>0</v>
      </c>
      <c r="CC270">
        <f t="shared" si="158"/>
        <v>0</v>
      </c>
      <c r="CD270">
        <f>IF(AND(CC270&gt;=0,CC269&lt;0,MIN($CC$2:CC270)&lt;0),1,0)</f>
        <v>0</v>
      </c>
    </row>
    <row r="271" spans="1:82" x14ac:dyDescent="0.2">
      <c r="A271">
        <f>Расчёты!A271</f>
        <v>270</v>
      </c>
      <c r="B271" t="str">
        <f>Расчёты!B271</f>
        <v/>
      </c>
      <c r="C271" t="str">
        <f>Расчёты!D271</f>
        <v/>
      </c>
      <c r="D271">
        <f>Расчёты!E271</f>
        <v>0</v>
      </c>
      <c r="E271">
        <f>IF(Расчёты!F271=0,0,IF(Расчёты!G271=1,N('Сценарный анализ'!$B$5),IF(Расчёты!G271=2,N('Сценарный анализ'!$B$6),IF(Расчёты!G271=3,N('Сценарный анализ'!$B$7),N('Сценарный анализ'!$B$7)*(1+N('Сценарный анализ'!$B$8))^(Расчёты!G271-3)))))</f>
        <v>0</v>
      </c>
      <c r="F271">
        <f>IF(OR(Расчёты!F271=0,N('Исходные данные'!$B$5)=0,E271=0),0,N('Исходные данные'!$B$5)*E271*IF(AND(B271&lt;='Исходные данные'!$B$30,Расчёты!C271&gt;='Исходные данные'!$B$30),(Расчёты!C271-'Исходные данные'!$B$30+1)/DAY(Расчёты!C271),1))</f>
        <v>0</v>
      </c>
      <c r="G271">
        <f>IF(AND(Расчёты!F271&gt;0,Расчёты!F271&lt;=N('Исходные данные'!$B$37)),-F271,0)</f>
        <v>0</v>
      </c>
      <c r="H271">
        <f>IF(OR(Расчёты!F271=0,Расчёты!F271&lt;=N('Исходные данные'!$B$37)),0,-(F271+G271)*N('Сценарный анализ'!$B$9))</f>
        <v>0</v>
      </c>
      <c r="I271">
        <f t="shared" si="159"/>
        <v>0</v>
      </c>
      <c r="J271">
        <f>IF('Исходные данные'!$B$51="Да",I271*N('Исходные данные'!$B$52),0)</f>
        <v>0</v>
      </c>
      <c r="K271">
        <f t="shared" si="160"/>
        <v>0</v>
      </c>
      <c r="L271">
        <f>I271+(Расчёты!Y271-Расчёты!L271)</f>
        <v>0</v>
      </c>
      <c r="M271">
        <f t="shared" si="147"/>
        <v>0</v>
      </c>
      <c r="N271">
        <f>IF('Исходные данные'!$B$51="Да",-MAX(0,J271+Расчёты!R271+Расчёты!V271-Расчёты!P271-Расчёты!T271-M271),0)</f>
        <v>0</v>
      </c>
      <c r="O271">
        <f>IF('Исходные данные'!$B$51="Да",MAX(0,M271+Расчёты!P271+Расчёты!T271-J271-Расчёты!R271-Расчёты!V271),0)</f>
        <v>0</v>
      </c>
      <c r="P271">
        <f>IF('Исходные данные'!$B$53="Выручка",MAX(0,I271+(Расчёты!Q271-Расчёты!R271)+(Расчёты!U271-Расчёты!V271)),IF('Исходные данные'!$B$53="Прибыль до налога",MAX(0,I271+(Расчёты!Q271-Расчёты!R271)+(Расчёты!U271-Расчёты!V271)+N('Исходные данные'!$B$54)*((Расчёты!O271+Расчёты!P271)+(Расчёты!S271+Расчёты!T271)+Расчёты!W271+Расчёты!X271)+IF('Исходные данные'!$B$55="Да",Расчёты!AG271,0)-N('Исходные данные'!$B$56)/12),IF('Исходные данные'!$B$53="Пользовательская база",MAX(0,N('Исходные данные'!$B$57)/12),0)))</f>
        <v>0</v>
      </c>
      <c r="Q271">
        <f>IF(D271=1,-P271*N('Исходные данные'!$B$50),0)</f>
        <v>0</v>
      </c>
      <c r="R271">
        <f t="shared" si="148"/>
        <v>0</v>
      </c>
      <c r="S271">
        <f>IF(OR(D271&lt;&gt;1,B271="",'Исходные данные'!$B$91="",N('Исходные данные'!$B$80)&lt;=0,'Исходные данные'!$B$88=""),0,IF(AND(YEAR(B271)=YEAR('Исходные данные'!$B$91),MONTH(B271)=MONTH('Исходные данные'!$B$91)),MAX(0,IF('Исходные данные'!$B$88="Последние 12 месяцев",SUMIFS($L$2:$L$194,$B$2:$B$194,"&gt;="&amp;EDATE(B271,-11),$B$2:$B$194,"&lt;="&amp;B271),IF('Исходные данные'!$B$88="Пользовательский NOI",N('Исходные данные'!$B$89),R271))/N('Исходные данные'!$B$80)*(1+N('Исходные данные'!$B$81))),0))</f>
        <v>0</v>
      </c>
      <c r="T271">
        <f>-S271*N('Исходные данные'!$B$73)</f>
        <v>0</v>
      </c>
      <c r="U271">
        <f>IF(S271=0,0,-N('Исходные данные'!$B$87)-IF('Исходные данные'!$B$82="Да",IF('Исходные данные'!$B$84="С выручки",S271,IF('Исходные данные'!$B$84="С прибыли",MAX(0,S271+T271-IF('Исходные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71">
        <f t="shared" si="161"/>
        <v>0</v>
      </c>
      <c r="W271">
        <f>IF(D271=1,Расчёты!AZ271+K271+N271+Q271+V271,0)</f>
        <v>0</v>
      </c>
      <c r="X271" t="str">
        <f t="shared" si="149"/>
        <v/>
      </c>
      <c r="Y271">
        <f>IF(OR(D271=0,'Исходные данные'!$B$9="",'Исходные данные'!$B$90=""),0,W271/(1+'Исходные данные'!$B$90)^((C271-'Исходные данные'!$B$9)/365))</f>
        <v>0</v>
      </c>
      <c r="Z271">
        <f>IF(D271=1,K271+Расчёты!O271+Расчёты!Q271+Расчёты!S271+Расчёты!U271+Расчёты!W271+Расчёты!X271+N271+Q271,0)</f>
        <v>0</v>
      </c>
      <c r="AA271">
        <f>IF(AND(D271=1,X271&gt;=0,X270&lt;0,MIN($X$2:X271)&lt;0),1,0)</f>
        <v>0</v>
      </c>
      <c r="AB271">
        <f>IF(Расчёты!F271=0,0,IF(Расчёты!G271=1,N('Сценарный анализ'!$C$5),IF(Расчёты!G271=2,N('Сценарный анализ'!$C$6),IF(Расчёты!G271=3,N('Сценарный анализ'!$C$7),N('Сценарный анализ'!$C$7)*(1+N('Сценарный анализ'!$C$8))^(Расчёты!G271-3)))))</f>
        <v>0</v>
      </c>
      <c r="AC271">
        <f>IF(OR(Расчёты!F271=0,N('Исходные данные'!$B$5)=0,AB271=0),0,N('Исходные данные'!$B$5)*AB271*IF(AND(B271&lt;='Исходные данные'!$B$30,Расчёты!C271&gt;='Исходные данные'!$B$30),(Расчёты!C271-'Исходные данные'!$B$30+1)/DAY(Расчёты!C271),1))</f>
        <v>0</v>
      </c>
      <c r="AD271">
        <f>IF(AND(Расчёты!F271&gt;0,Расчёты!F271&lt;=N('Исходные данные'!$B$37)),-AC271,0)</f>
        <v>0</v>
      </c>
      <c r="AE271">
        <f>IF(OR(Расчёты!F271=0,Расчёты!F271&lt;=N('Исходные данные'!$B$37)),0,-(AC271+AD271)*N('Сценарный анализ'!$C$9))</f>
        <v>0</v>
      </c>
      <c r="AF271">
        <f t="shared" si="162"/>
        <v>0</v>
      </c>
      <c r="AG271">
        <f>IF('Исходные данные'!$B$51="Да",AF271*N('Исходные данные'!$B$52),0)</f>
        <v>0</v>
      </c>
      <c r="AH271">
        <f t="shared" si="163"/>
        <v>0</v>
      </c>
      <c r="AI271">
        <f>AF271+(Расчёты!Y271-Расчёты!L271)</f>
        <v>0</v>
      </c>
      <c r="AJ271">
        <f t="shared" si="150"/>
        <v>0</v>
      </c>
      <c r="AK271">
        <f>IF('Исходные данные'!$B$51="Да",-MAX(0,AG271+Расчёты!R271+Расчёты!V271-Расчёты!P271-Расчёты!T271-AJ271),0)</f>
        <v>0</v>
      </c>
      <c r="AL271">
        <f>IF('Исходные данные'!$B$51="Да",MAX(0,AJ271+Расчёты!P271+Расчёты!T271-AG271-Расчёты!R271-Расчёты!V271),0)</f>
        <v>0</v>
      </c>
      <c r="AM271">
        <f>IF('Исходные данные'!$B$53="Выручка",MAX(0,AF271+(Расчёты!Q271-Расчёты!R271)+(Расчёты!U271-Расчёты!V271)),IF('Исходные данные'!$B$53="Прибыль до налога",MAX(0,AF271+(Расчёты!Q271-Расчёты!R271)+(Расчёты!U271-Расчёты!V271)+N('Исходные данные'!$B$54)*((Расчёты!O271+Расчёты!P271)+(Расчёты!S271+Расчёты!T271)+Расчёты!W271+Расчёты!X271)+IF('Исходные данные'!$B$55="Да",Расчёты!AG271,0)-N('Исходные данные'!$B$56)/12),IF('Исходные данные'!$B$53="Пользовательская база",MAX(0,N('Исходные данные'!$B$57)/12),0)))</f>
        <v>0</v>
      </c>
      <c r="AN271">
        <f>IF(D271=1,-AM271*N('Исходные данные'!$B$50),0)</f>
        <v>0</v>
      </c>
      <c r="AO271">
        <f t="shared" si="151"/>
        <v>0</v>
      </c>
      <c r="AP271">
        <f>IF(OR(D271&lt;&gt;1,B271="",'Исходные данные'!$B$91="",N('Исходные данные'!$B$80)&lt;=0,'Исходные данные'!$B$88=""),0,IF(AND(YEAR(B271)=YEAR('Исходные данные'!$B$91),MONTH(B271)=MONTH('Исходные данные'!$B$91)),MAX(0,IF('Исходные данные'!$B$88="Последние 12 месяцев",SUMIFS($AI$2:$AI$194,$B$2:$B$194,"&gt;="&amp;EDATE(B271,-11),$B$2:$B$194,"&lt;="&amp;B271),IF('Исходные данные'!$B$88="Пользовательский NOI",N('Исходные данные'!$B$89),AO271))/N('Исходные данные'!$B$80)*(1+N('Исходные данные'!$B$81))),0))</f>
        <v>0</v>
      </c>
      <c r="AQ271">
        <f>-AP271*N('Исходные данные'!$B$73)</f>
        <v>0</v>
      </c>
      <c r="AR271">
        <f>IF(AP271=0,0,-N('Исходные данные'!$B$87)-IF('Исходные данные'!$B$82="Да",IF('Исходные данные'!$B$84="С выручки",AP271,IF('Исходные данные'!$B$84="С прибыли",MAX(0,AP271+AQ271-IF('Исходные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71">
        <f t="shared" si="164"/>
        <v>0</v>
      </c>
      <c r="AT271">
        <f>IF(D271=1,Расчёты!AZ271+AH271+AK271+AN271+AS271,0)</f>
        <v>0</v>
      </c>
      <c r="AU271" t="str">
        <f t="shared" si="152"/>
        <v/>
      </c>
      <c r="AV271">
        <f>IF(OR(D271=0,'Исходные данные'!$B$9="",'Исходные данные'!$B$90=""),0,AT271/(1+'Исходные данные'!$B$90)^((C271-'Исходные данные'!$B$9)/365))</f>
        <v>0</v>
      </c>
      <c r="AW271">
        <f>IF(D271=1,AH271+Расчёты!O271+Расчёты!Q271+Расчёты!S271+Расчёты!U271+Расчёты!W271+Расчёты!X271+AK271+AN271,0)</f>
        <v>0</v>
      </c>
      <c r="AX271">
        <f>IF(AND(D271=1,AU271&gt;=0,AU270&lt;0,MIN($AU$2:AU271)&lt;0),1,0)</f>
        <v>0</v>
      </c>
      <c r="AY271">
        <f>IF(Расчёты!F271=0,0,IF(Расчёты!G271=1,N('Сценарный анализ'!$D$5),IF(Расчёты!G271=2,N('Сценарный анализ'!$D$6),IF(Расчёты!G271=3,N('Сценарный анализ'!$D$7),N('Сценарный анализ'!$D$7)*(1+N('Сценарный анализ'!$D$8))^(Расчёты!G271-3)))))</f>
        <v>0</v>
      </c>
      <c r="AZ271">
        <f>IF(OR(Расчёты!F271=0,N('Исходные данные'!$B$5)=0,AY271=0),0,N('Исходные данные'!$B$5)*AY271*IF(AND(B271&lt;='Исходные данные'!$B$30,Расчёты!C271&gt;='Исходные данные'!$B$30),(Расчёты!C271-'Исходные данные'!$B$30+1)/DAY(Расчёты!C271),1))</f>
        <v>0</v>
      </c>
      <c r="BA271">
        <f>IF(AND(Расчёты!F271&gt;0,Расчёты!F271&lt;=N('Исходные данные'!$B$37)),-AZ271,0)</f>
        <v>0</v>
      </c>
      <c r="BB271">
        <f>IF(OR(Расчёты!F271=0,Расчёты!F271&lt;=N('Исходные данные'!$B$37)),0,-(AZ271+BA271)*N('Сценарный анализ'!$D$9))</f>
        <v>0</v>
      </c>
      <c r="BC271">
        <f t="shared" si="165"/>
        <v>0</v>
      </c>
      <c r="BD271">
        <f>IF('Исходные данные'!$B$51="Да",BC271*N('Исходные данные'!$B$52),0)</f>
        <v>0</v>
      </c>
      <c r="BE271">
        <f t="shared" si="166"/>
        <v>0</v>
      </c>
      <c r="BF271">
        <f>BC271+(Расчёты!Y271-Расчёты!L271)</f>
        <v>0</v>
      </c>
      <c r="BG271">
        <f t="shared" si="153"/>
        <v>0</v>
      </c>
      <c r="BH271">
        <f>IF('Исходные данные'!$B$51="Да",-MAX(0,BD271+Расчёты!R271+Расчёты!V271-Расчёты!P271-Расчёты!T271-BG271),0)</f>
        <v>0</v>
      </c>
      <c r="BI271">
        <f>IF('Исходные данные'!$B$51="Да",MAX(0,BG271+Расчёты!P271+Расчёты!T271-BD271-Расчёты!R271-Расчёты!V271),0)</f>
        <v>0</v>
      </c>
      <c r="BJ271">
        <f>IF('Исходные данные'!$B$53="Выручка",MAX(0,BC271+(Расчёты!Q271-Расчёты!R271)+(Расчёты!U271-Расчёты!V271)),IF('Исходные данные'!$B$53="Прибыль до налога",MAX(0,BC271+(Расчёты!Q271-Расчёты!R271)+(Расчёты!U271-Расчёты!V271)+N('Исходные данные'!$B$54)*((Расчёты!O271+Расчёты!P271)+(Расчёты!S271+Расчёты!T271)+Расчёты!W271+Расчёты!X271)+IF('Исходные данные'!$B$55="Да",Расчёты!AG271,0)-N('Исходные данные'!$B$56)/12),IF('Исходные данные'!$B$53="Пользовательская база",MAX(0,N('Исходные данные'!$B$57)/12),0)))</f>
        <v>0</v>
      </c>
      <c r="BK271">
        <f>IF(D271=1,-BJ271*N('Исходные данные'!$B$50),0)</f>
        <v>0</v>
      </c>
      <c r="BL271">
        <f t="shared" si="154"/>
        <v>0</v>
      </c>
      <c r="BM271">
        <f>IF(OR(D271&lt;&gt;1,B271="",'Исходные данные'!$B$91="",N('Исходные данные'!$B$80)&lt;=0,'Исходные данные'!$B$88=""),0,IF(AND(YEAR(B271)=YEAR('Исходные данные'!$B$91),MONTH(B271)=MONTH('Исходные данные'!$B$91)),MAX(0,IF('Исходные данные'!$B$88="Последние 12 месяцев",SUMIFS($BF$2:$BF$194,$B$2:$B$194,"&gt;="&amp;EDATE(B271,-11),$B$2:$B$194,"&lt;="&amp;B271),IF('Исходные данные'!$B$88="Пользовательский NOI",N('Исходные данные'!$B$89),BL271))/N('Исходные данные'!$B$80)*(1+N('Исходные данные'!$B$81))),0))</f>
        <v>0</v>
      </c>
      <c r="BN271">
        <f>-BM271*N('Исходные данные'!$B$73)</f>
        <v>0</v>
      </c>
      <c r="BO271">
        <f>IF(BM271=0,0,-N('Исходные данные'!$B$87)-IF('Исходные данные'!$B$82="Да",IF('Исходные данные'!$B$84="С выручки",BM271,IF('Исходные данные'!$B$84="С прибыли",MAX(0,BM271+BN271-IF('Исходные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71">
        <f t="shared" si="167"/>
        <v>0</v>
      </c>
      <c r="BQ271">
        <f>IF(D271=1,Расчёты!AZ271+BE271+BH271+BK271+BP271,0)</f>
        <v>0</v>
      </c>
      <c r="BR271" t="str">
        <f t="shared" si="155"/>
        <v/>
      </c>
      <c r="BS271">
        <f>IF(OR(D271=0,'Исходные данные'!$B$9="",'Исходные данные'!$B$90=""),0,BQ271/(1+'Исходные данные'!$B$90)^((C271-'Исходные данные'!$B$9)/365))</f>
        <v>0</v>
      </c>
      <c r="BT271">
        <f>IF(D271=1,BE271+Расчёты!O271+Расчёты!Q271+Расчёты!S271+Расчёты!U271+Расчёты!W271+Расчёты!X271+BH271+BK271,0)</f>
        <v>0</v>
      </c>
      <c r="BU271">
        <f>IF(AND(D271=1,BR271&gt;=0,BR270&lt;0,MIN($BR$2:BR271)&lt;0),1,0)</f>
        <v>0</v>
      </c>
      <c r="BV271">
        <f>Расчёты!AZ271+K271+N271-P271*N('Исходные данные'!$B$50)</f>
        <v>0</v>
      </c>
      <c r="BW271">
        <f t="shared" si="156"/>
        <v>0</v>
      </c>
      <c r="BX271">
        <f>IF(AND(BW271&gt;=0,BW270&lt;0,MIN($BW$2:BW271)&lt;0),1,0)</f>
        <v>0</v>
      </c>
      <c r="BY271">
        <f>Расчёты!AZ271+AH271+AK271-AM271*N('Исходные данные'!$B$50)</f>
        <v>0</v>
      </c>
      <c r="BZ271">
        <f t="shared" si="157"/>
        <v>0</v>
      </c>
      <c r="CA271">
        <f>IF(AND(BZ271&gt;=0,BZ270&lt;0,MIN($BZ$2:BZ271)&lt;0),1,0)</f>
        <v>0</v>
      </c>
      <c r="CB271">
        <f>Расчёты!AZ271+BE271+BH271-BJ271*N('Исходные данные'!$B$50)</f>
        <v>0</v>
      </c>
      <c r="CC271">
        <f t="shared" si="158"/>
        <v>0</v>
      </c>
      <c r="CD271">
        <f>IF(AND(CC271&gt;=0,CC270&lt;0,MIN($CC$2:CC271)&lt;0),1,0)</f>
        <v>0</v>
      </c>
    </row>
    <row r="272" spans="1:82" x14ac:dyDescent="0.2">
      <c r="A272">
        <f>Расчёты!A272</f>
        <v>271</v>
      </c>
      <c r="B272" t="str">
        <f>Расчёты!B272</f>
        <v/>
      </c>
      <c r="C272" t="str">
        <f>Расчёты!D272</f>
        <v/>
      </c>
      <c r="D272">
        <f>Расчёты!E272</f>
        <v>0</v>
      </c>
      <c r="E272">
        <f>IF(Расчёты!F272=0,0,IF(Расчёты!G272=1,N('Сценарный анализ'!$B$5),IF(Расчёты!G272=2,N('Сценарный анализ'!$B$6),IF(Расчёты!G272=3,N('Сценарный анализ'!$B$7),N('Сценарный анализ'!$B$7)*(1+N('Сценарный анализ'!$B$8))^(Расчёты!G272-3)))))</f>
        <v>0</v>
      </c>
      <c r="F272">
        <f>IF(OR(Расчёты!F272=0,N('Исходные данные'!$B$5)=0,E272=0),0,N('Исходные данные'!$B$5)*E272*IF(AND(B272&lt;='Исходные данные'!$B$30,Расчёты!C272&gt;='Исходные данные'!$B$30),(Расчёты!C272-'Исходные данные'!$B$30+1)/DAY(Расчёты!C272),1))</f>
        <v>0</v>
      </c>
      <c r="G272">
        <f>IF(AND(Расчёты!F272&gt;0,Расчёты!F272&lt;=N('Исходные данные'!$B$37)),-F272,0)</f>
        <v>0</v>
      </c>
      <c r="H272">
        <f>IF(OR(Расчёты!F272=0,Расчёты!F272&lt;=N('Исходные данные'!$B$37)),0,-(F272+G272)*N('Сценарный анализ'!$B$9))</f>
        <v>0</v>
      </c>
      <c r="I272">
        <f t="shared" si="159"/>
        <v>0</v>
      </c>
      <c r="J272">
        <f>IF('Исходные данные'!$B$51="Да",I272*N('Исходные данные'!$B$52),0)</f>
        <v>0</v>
      </c>
      <c r="K272">
        <f t="shared" si="160"/>
        <v>0</v>
      </c>
      <c r="L272">
        <f>I272+(Расчёты!Y272-Расчёты!L272)</f>
        <v>0</v>
      </c>
      <c r="M272">
        <f t="shared" si="147"/>
        <v>0</v>
      </c>
      <c r="N272">
        <f>IF('Исходные данные'!$B$51="Да",-MAX(0,J272+Расчёты!R272+Расчёты!V272-Расчёты!P272-Расчёты!T272-M272),0)</f>
        <v>0</v>
      </c>
      <c r="O272">
        <f>IF('Исходные данные'!$B$51="Да",MAX(0,M272+Расчёты!P272+Расчёты!T272-J272-Расчёты!R272-Расчёты!V272),0)</f>
        <v>0</v>
      </c>
      <c r="P272">
        <f>IF('Исходные данные'!$B$53="Выручка",MAX(0,I272+(Расчёты!Q272-Расчёты!R272)+(Расчёты!U272-Расчёты!V272)),IF('Исходные данные'!$B$53="Прибыль до налога",MAX(0,I272+(Расчёты!Q272-Расчёты!R272)+(Расчёты!U272-Расчёты!V272)+N('Исходные данные'!$B$54)*((Расчёты!O272+Расчёты!P272)+(Расчёты!S272+Расчёты!T272)+Расчёты!W272+Расчёты!X272)+IF('Исходные данные'!$B$55="Да",Расчёты!AG272,0)-N('Исходные данные'!$B$56)/12),IF('Исходные данные'!$B$53="Пользовательская база",MAX(0,N('Исходные данные'!$B$57)/12),0)))</f>
        <v>0</v>
      </c>
      <c r="Q272">
        <f>IF(D272=1,-P272*N('Исходные данные'!$B$50),0)</f>
        <v>0</v>
      </c>
      <c r="R272">
        <f t="shared" si="148"/>
        <v>0</v>
      </c>
      <c r="S272">
        <f>IF(OR(D272&lt;&gt;1,B272="",'Исходные данные'!$B$91="",N('Исходные данные'!$B$80)&lt;=0,'Исходные данные'!$B$88=""),0,IF(AND(YEAR(B272)=YEAR('Исходные данные'!$B$91),MONTH(B272)=MONTH('Исходные данные'!$B$91)),MAX(0,IF('Исходные данные'!$B$88="Последние 12 месяцев",SUMIFS($L$2:$L$194,$B$2:$B$194,"&gt;="&amp;EDATE(B272,-11),$B$2:$B$194,"&lt;="&amp;B272),IF('Исходные данные'!$B$88="Пользовательский NOI",N('Исходные данные'!$B$89),R272))/N('Исходные данные'!$B$80)*(1+N('Исходные данные'!$B$81))),0))</f>
        <v>0</v>
      </c>
      <c r="T272">
        <f>-S272*N('Исходные данные'!$B$73)</f>
        <v>0</v>
      </c>
      <c r="U272">
        <f>IF(S272=0,0,-N('Исходные данные'!$B$87)-IF('Исходные данные'!$B$82="Да",IF('Исходные данные'!$B$84="С выручки",S272,IF('Исходные данные'!$B$84="С прибыли",MAX(0,S272+T272-IF('Исходные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72">
        <f t="shared" si="161"/>
        <v>0</v>
      </c>
      <c r="W272">
        <f>IF(D272=1,Расчёты!AZ272+K272+N272+Q272+V272,0)</f>
        <v>0</v>
      </c>
      <c r="X272" t="str">
        <f t="shared" si="149"/>
        <v/>
      </c>
      <c r="Y272">
        <f>IF(OR(D272=0,'Исходные данные'!$B$9="",'Исходные данные'!$B$90=""),0,W272/(1+'Исходные данные'!$B$90)^((C272-'Исходные данные'!$B$9)/365))</f>
        <v>0</v>
      </c>
      <c r="Z272">
        <f>IF(D272=1,K272+Расчёты!O272+Расчёты!Q272+Расчёты!S272+Расчёты!U272+Расчёты!W272+Расчёты!X272+N272+Q272,0)</f>
        <v>0</v>
      </c>
      <c r="AA272">
        <f>IF(AND(D272=1,X272&gt;=0,X271&lt;0,MIN($X$2:X272)&lt;0),1,0)</f>
        <v>0</v>
      </c>
      <c r="AB272">
        <f>IF(Расчёты!F272=0,0,IF(Расчёты!G272=1,N('Сценарный анализ'!$C$5),IF(Расчёты!G272=2,N('Сценарный анализ'!$C$6),IF(Расчёты!G272=3,N('Сценарный анализ'!$C$7),N('Сценарный анализ'!$C$7)*(1+N('Сценарный анализ'!$C$8))^(Расчёты!G272-3)))))</f>
        <v>0</v>
      </c>
      <c r="AC272">
        <f>IF(OR(Расчёты!F272=0,N('Исходные данные'!$B$5)=0,AB272=0),0,N('Исходные данные'!$B$5)*AB272*IF(AND(B272&lt;='Исходные данные'!$B$30,Расчёты!C272&gt;='Исходные данные'!$B$30),(Расчёты!C272-'Исходные данные'!$B$30+1)/DAY(Расчёты!C272),1))</f>
        <v>0</v>
      </c>
      <c r="AD272">
        <f>IF(AND(Расчёты!F272&gt;0,Расчёты!F272&lt;=N('Исходные данные'!$B$37)),-AC272,0)</f>
        <v>0</v>
      </c>
      <c r="AE272">
        <f>IF(OR(Расчёты!F272=0,Расчёты!F272&lt;=N('Исходные данные'!$B$37)),0,-(AC272+AD272)*N('Сценарный анализ'!$C$9))</f>
        <v>0</v>
      </c>
      <c r="AF272">
        <f t="shared" si="162"/>
        <v>0</v>
      </c>
      <c r="AG272">
        <f>IF('Исходные данные'!$B$51="Да",AF272*N('Исходные данные'!$B$52),0)</f>
        <v>0</v>
      </c>
      <c r="AH272">
        <f t="shared" si="163"/>
        <v>0</v>
      </c>
      <c r="AI272">
        <f>AF272+(Расчёты!Y272-Расчёты!L272)</f>
        <v>0</v>
      </c>
      <c r="AJ272">
        <f t="shared" si="150"/>
        <v>0</v>
      </c>
      <c r="AK272">
        <f>IF('Исходные данные'!$B$51="Да",-MAX(0,AG272+Расчёты!R272+Расчёты!V272-Расчёты!P272-Расчёты!T272-AJ272),0)</f>
        <v>0</v>
      </c>
      <c r="AL272">
        <f>IF('Исходные данные'!$B$51="Да",MAX(0,AJ272+Расчёты!P272+Расчёты!T272-AG272-Расчёты!R272-Расчёты!V272),0)</f>
        <v>0</v>
      </c>
      <c r="AM272">
        <f>IF('Исходные данные'!$B$53="Выручка",MAX(0,AF272+(Расчёты!Q272-Расчёты!R272)+(Расчёты!U272-Расчёты!V272)),IF('Исходные данные'!$B$53="Прибыль до налога",MAX(0,AF272+(Расчёты!Q272-Расчёты!R272)+(Расчёты!U272-Расчёты!V272)+N('Исходные данные'!$B$54)*((Расчёты!O272+Расчёты!P272)+(Расчёты!S272+Расчёты!T272)+Расчёты!W272+Расчёты!X272)+IF('Исходные данные'!$B$55="Да",Расчёты!AG272,0)-N('Исходные данные'!$B$56)/12),IF('Исходные данные'!$B$53="Пользовательская база",MAX(0,N('Исходные данные'!$B$57)/12),0)))</f>
        <v>0</v>
      </c>
      <c r="AN272">
        <f>IF(D272=1,-AM272*N('Исходные данные'!$B$50),0)</f>
        <v>0</v>
      </c>
      <c r="AO272">
        <f t="shared" si="151"/>
        <v>0</v>
      </c>
      <c r="AP272">
        <f>IF(OR(D272&lt;&gt;1,B272="",'Исходные данные'!$B$91="",N('Исходные данные'!$B$80)&lt;=0,'Исходные данные'!$B$88=""),0,IF(AND(YEAR(B272)=YEAR('Исходные данные'!$B$91),MONTH(B272)=MONTH('Исходные данные'!$B$91)),MAX(0,IF('Исходные данные'!$B$88="Последние 12 месяцев",SUMIFS($AI$2:$AI$194,$B$2:$B$194,"&gt;="&amp;EDATE(B272,-11),$B$2:$B$194,"&lt;="&amp;B272),IF('Исходные данные'!$B$88="Пользовательский NOI",N('Исходные данные'!$B$89),AO272))/N('Исходные данные'!$B$80)*(1+N('Исходные данные'!$B$81))),0))</f>
        <v>0</v>
      </c>
      <c r="AQ272">
        <f>-AP272*N('Исходные данные'!$B$73)</f>
        <v>0</v>
      </c>
      <c r="AR272">
        <f>IF(AP272=0,0,-N('Исходные данные'!$B$87)-IF('Исходные данные'!$B$82="Да",IF('Исходные данные'!$B$84="С выручки",AP272,IF('Исходные данные'!$B$84="С прибыли",MAX(0,AP272+AQ272-IF('Исходные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72">
        <f t="shared" si="164"/>
        <v>0</v>
      </c>
      <c r="AT272">
        <f>IF(D272=1,Расчёты!AZ272+AH272+AK272+AN272+AS272,0)</f>
        <v>0</v>
      </c>
      <c r="AU272" t="str">
        <f t="shared" si="152"/>
        <v/>
      </c>
      <c r="AV272">
        <f>IF(OR(D272=0,'Исходные данные'!$B$9="",'Исходные данные'!$B$90=""),0,AT272/(1+'Исходные данные'!$B$90)^((C272-'Исходные данные'!$B$9)/365))</f>
        <v>0</v>
      </c>
      <c r="AW272">
        <f>IF(D272=1,AH272+Расчёты!O272+Расчёты!Q272+Расчёты!S272+Расчёты!U272+Расчёты!W272+Расчёты!X272+AK272+AN272,0)</f>
        <v>0</v>
      </c>
      <c r="AX272">
        <f>IF(AND(D272=1,AU272&gt;=0,AU271&lt;0,MIN($AU$2:AU272)&lt;0),1,0)</f>
        <v>0</v>
      </c>
      <c r="AY272">
        <f>IF(Расчёты!F272=0,0,IF(Расчёты!G272=1,N('Сценарный анализ'!$D$5),IF(Расчёты!G272=2,N('Сценарный анализ'!$D$6),IF(Расчёты!G272=3,N('Сценарный анализ'!$D$7),N('Сценарный анализ'!$D$7)*(1+N('Сценарный анализ'!$D$8))^(Расчёты!G272-3)))))</f>
        <v>0</v>
      </c>
      <c r="AZ272">
        <f>IF(OR(Расчёты!F272=0,N('Исходные данные'!$B$5)=0,AY272=0),0,N('Исходные данные'!$B$5)*AY272*IF(AND(B272&lt;='Исходные данные'!$B$30,Расчёты!C272&gt;='Исходные данные'!$B$30),(Расчёты!C272-'Исходные данные'!$B$30+1)/DAY(Расчёты!C272),1))</f>
        <v>0</v>
      </c>
      <c r="BA272">
        <f>IF(AND(Расчёты!F272&gt;0,Расчёты!F272&lt;=N('Исходные данные'!$B$37)),-AZ272,0)</f>
        <v>0</v>
      </c>
      <c r="BB272">
        <f>IF(OR(Расчёты!F272=0,Расчёты!F272&lt;=N('Исходные данные'!$B$37)),0,-(AZ272+BA272)*N('Сценарный анализ'!$D$9))</f>
        <v>0</v>
      </c>
      <c r="BC272">
        <f t="shared" si="165"/>
        <v>0</v>
      </c>
      <c r="BD272">
        <f>IF('Исходные данные'!$B$51="Да",BC272*N('Исходные данные'!$B$52),0)</f>
        <v>0</v>
      </c>
      <c r="BE272">
        <f t="shared" si="166"/>
        <v>0</v>
      </c>
      <c r="BF272">
        <f>BC272+(Расчёты!Y272-Расчёты!L272)</f>
        <v>0</v>
      </c>
      <c r="BG272">
        <f t="shared" si="153"/>
        <v>0</v>
      </c>
      <c r="BH272">
        <f>IF('Исходные данные'!$B$51="Да",-MAX(0,BD272+Расчёты!R272+Расчёты!V272-Расчёты!P272-Расчёты!T272-BG272),0)</f>
        <v>0</v>
      </c>
      <c r="BI272">
        <f>IF('Исходные данные'!$B$51="Да",MAX(0,BG272+Расчёты!P272+Расчёты!T272-BD272-Расчёты!R272-Расчёты!V272),0)</f>
        <v>0</v>
      </c>
      <c r="BJ272">
        <f>IF('Исходные данные'!$B$53="Выручка",MAX(0,BC272+(Расчёты!Q272-Расчёты!R272)+(Расчёты!U272-Расчёты!V272)),IF('Исходные данные'!$B$53="Прибыль до налога",MAX(0,BC272+(Расчёты!Q272-Расчёты!R272)+(Расчёты!U272-Расчёты!V272)+N('Исходные данные'!$B$54)*((Расчёты!O272+Расчёты!P272)+(Расчёты!S272+Расчёты!T272)+Расчёты!W272+Расчёты!X272)+IF('Исходные данные'!$B$55="Да",Расчёты!AG272,0)-N('Исходные данные'!$B$56)/12),IF('Исходные данные'!$B$53="Пользовательская база",MAX(0,N('Исходные данные'!$B$57)/12),0)))</f>
        <v>0</v>
      </c>
      <c r="BK272">
        <f>IF(D272=1,-BJ272*N('Исходные данные'!$B$50),0)</f>
        <v>0</v>
      </c>
      <c r="BL272">
        <f t="shared" si="154"/>
        <v>0</v>
      </c>
      <c r="BM272">
        <f>IF(OR(D272&lt;&gt;1,B272="",'Исходные данные'!$B$91="",N('Исходные данные'!$B$80)&lt;=0,'Исходные данные'!$B$88=""),0,IF(AND(YEAR(B272)=YEAR('Исходные данные'!$B$91),MONTH(B272)=MONTH('Исходные данные'!$B$91)),MAX(0,IF('Исходные данные'!$B$88="Последние 12 месяцев",SUMIFS($BF$2:$BF$194,$B$2:$B$194,"&gt;="&amp;EDATE(B272,-11),$B$2:$B$194,"&lt;="&amp;B272),IF('Исходные данные'!$B$88="Пользовательский NOI",N('Исходные данные'!$B$89),BL272))/N('Исходные данные'!$B$80)*(1+N('Исходные данные'!$B$81))),0))</f>
        <v>0</v>
      </c>
      <c r="BN272">
        <f>-BM272*N('Исходные данные'!$B$73)</f>
        <v>0</v>
      </c>
      <c r="BO272">
        <f>IF(BM272=0,0,-N('Исходные данные'!$B$87)-IF('Исходные данные'!$B$82="Да",IF('Исходные данные'!$B$84="С выручки",BM272,IF('Исходные данные'!$B$84="С прибыли",MAX(0,BM272+BN272-IF('Исходные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72">
        <f t="shared" si="167"/>
        <v>0</v>
      </c>
      <c r="BQ272">
        <f>IF(D272=1,Расчёты!AZ272+BE272+BH272+BK272+BP272,0)</f>
        <v>0</v>
      </c>
      <c r="BR272" t="str">
        <f t="shared" si="155"/>
        <v/>
      </c>
      <c r="BS272">
        <f>IF(OR(D272=0,'Исходные данные'!$B$9="",'Исходные данные'!$B$90=""),0,BQ272/(1+'Исходные данные'!$B$90)^((C272-'Исходные данные'!$B$9)/365))</f>
        <v>0</v>
      </c>
      <c r="BT272">
        <f>IF(D272=1,BE272+Расчёты!O272+Расчёты!Q272+Расчёты!S272+Расчёты!U272+Расчёты!W272+Расчёты!X272+BH272+BK272,0)</f>
        <v>0</v>
      </c>
      <c r="BU272">
        <f>IF(AND(D272=1,BR272&gt;=0,BR271&lt;0,MIN($BR$2:BR272)&lt;0),1,0)</f>
        <v>0</v>
      </c>
      <c r="BV272">
        <f>Расчёты!AZ272+K272+N272-P272*N('Исходные данные'!$B$50)</f>
        <v>0</v>
      </c>
      <c r="BW272">
        <f t="shared" si="156"/>
        <v>0</v>
      </c>
      <c r="BX272">
        <f>IF(AND(BW272&gt;=0,BW271&lt;0,MIN($BW$2:BW272)&lt;0),1,0)</f>
        <v>0</v>
      </c>
      <c r="BY272">
        <f>Расчёты!AZ272+AH272+AK272-AM272*N('Исходные данные'!$B$50)</f>
        <v>0</v>
      </c>
      <c r="BZ272">
        <f t="shared" si="157"/>
        <v>0</v>
      </c>
      <c r="CA272">
        <f>IF(AND(BZ272&gt;=0,BZ271&lt;0,MIN($BZ$2:BZ272)&lt;0),1,0)</f>
        <v>0</v>
      </c>
      <c r="CB272">
        <f>Расчёты!AZ272+BE272+BH272-BJ272*N('Исходные данные'!$B$50)</f>
        <v>0</v>
      </c>
      <c r="CC272">
        <f t="shared" si="158"/>
        <v>0</v>
      </c>
      <c r="CD272">
        <f>IF(AND(CC272&gt;=0,CC271&lt;0,MIN($CC$2:CC272)&lt;0),1,0)</f>
        <v>0</v>
      </c>
    </row>
    <row r="273" spans="1:82" x14ac:dyDescent="0.2">
      <c r="A273">
        <f>Расчёты!A273</f>
        <v>272</v>
      </c>
      <c r="B273" t="str">
        <f>Расчёты!B273</f>
        <v/>
      </c>
      <c r="C273" t="str">
        <f>Расчёты!D273</f>
        <v/>
      </c>
      <c r="D273">
        <f>Расчёты!E273</f>
        <v>0</v>
      </c>
      <c r="E273">
        <f>IF(Расчёты!F273=0,0,IF(Расчёты!G273=1,N('Сценарный анализ'!$B$5),IF(Расчёты!G273=2,N('Сценарный анализ'!$B$6),IF(Расчёты!G273=3,N('Сценарный анализ'!$B$7),N('Сценарный анализ'!$B$7)*(1+N('Сценарный анализ'!$B$8))^(Расчёты!G273-3)))))</f>
        <v>0</v>
      </c>
      <c r="F273">
        <f>IF(OR(Расчёты!F273=0,N('Исходные данные'!$B$5)=0,E273=0),0,N('Исходные данные'!$B$5)*E273*IF(AND(B273&lt;='Исходные данные'!$B$30,Расчёты!C273&gt;='Исходные данные'!$B$30),(Расчёты!C273-'Исходные данные'!$B$30+1)/DAY(Расчёты!C273),1))</f>
        <v>0</v>
      </c>
      <c r="G273">
        <f>IF(AND(Расчёты!F273&gt;0,Расчёты!F273&lt;=N('Исходные данные'!$B$37)),-F273,0)</f>
        <v>0</v>
      </c>
      <c r="H273">
        <f>IF(OR(Расчёты!F273=0,Расчёты!F273&lt;=N('Исходные данные'!$B$37)),0,-(F273+G273)*N('Сценарный анализ'!$B$9))</f>
        <v>0</v>
      </c>
      <c r="I273">
        <f t="shared" si="159"/>
        <v>0</v>
      </c>
      <c r="J273">
        <f>IF('Исходные данные'!$B$51="Да",I273*N('Исходные данные'!$B$52),0)</f>
        <v>0</v>
      </c>
      <c r="K273">
        <f t="shared" si="160"/>
        <v>0</v>
      </c>
      <c r="L273">
        <f>I273+(Расчёты!Y273-Расчёты!L273)</f>
        <v>0</v>
      </c>
      <c r="M273">
        <f t="shared" si="147"/>
        <v>0</v>
      </c>
      <c r="N273">
        <f>IF('Исходные данные'!$B$51="Да",-MAX(0,J273+Расчёты!R273+Расчёты!V273-Расчёты!P273-Расчёты!T273-M273),0)</f>
        <v>0</v>
      </c>
      <c r="O273">
        <f>IF('Исходные данные'!$B$51="Да",MAX(0,M273+Расчёты!P273+Расчёты!T273-J273-Расчёты!R273-Расчёты!V273),0)</f>
        <v>0</v>
      </c>
      <c r="P273">
        <f>IF('Исходные данные'!$B$53="Выручка",MAX(0,I273+(Расчёты!Q273-Расчёты!R273)+(Расчёты!U273-Расчёты!V273)),IF('Исходные данные'!$B$53="Прибыль до налога",MAX(0,I273+(Расчёты!Q273-Расчёты!R273)+(Расчёты!U273-Расчёты!V273)+N('Исходные данные'!$B$54)*((Расчёты!O273+Расчёты!P273)+(Расчёты!S273+Расчёты!T273)+Расчёты!W273+Расчёты!X273)+IF('Исходные данные'!$B$55="Да",Расчёты!AG273,0)-N('Исходные данные'!$B$56)/12),IF('Исходные данные'!$B$53="Пользовательская база",MAX(0,N('Исходные данные'!$B$57)/12),0)))</f>
        <v>0</v>
      </c>
      <c r="Q273">
        <f>IF(D273=1,-P273*N('Исходные данные'!$B$50),0)</f>
        <v>0</v>
      </c>
      <c r="R273">
        <f t="shared" si="148"/>
        <v>0</v>
      </c>
      <c r="S273">
        <f>IF(OR(D273&lt;&gt;1,B273="",'Исходные данные'!$B$91="",N('Исходные данные'!$B$80)&lt;=0,'Исходные данные'!$B$88=""),0,IF(AND(YEAR(B273)=YEAR('Исходные данные'!$B$91),MONTH(B273)=MONTH('Исходные данные'!$B$91)),MAX(0,IF('Исходные данные'!$B$88="Последние 12 месяцев",SUMIFS($L$2:$L$194,$B$2:$B$194,"&gt;="&amp;EDATE(B273,-11),$B$2:$B$194,"&lt;="&amp;B273),IF('Исходные данные'!$B$88="Пользовательский NOI",N('Исходные данные'!$B$89),R273))/N('Исходные данные'!$B$80)*(1+N('Исходные данные'!$B$81))),0))</f>
        <v>0</v>
      </c>
      <c r="T273">
        <f>-S273*N('Исходные данные'!$B$73)</f>
        <v>0</v>
      </c>
      <c r="U273">
        <f>IF(S273=0,0,-N('Исходные данные'!$B$87)-IF('Исходные данные'!$B$82="Да",IF('Исходные данные'!$B$84="С выручки",S273,IF('Исходные данные'!$B$84="С прибыли",MAX(0,S273+T273-IF('Исходные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73">
        <f t="shared" si="161"/>
        <v>0</v>
      </c>
      <c r="W273">
        <f>IF(D273=1,Расчёты!AZ273+K273+N273+Q273+V273,0)</f>
        <v>0</v>
      </c>
      <c r="X273" t="str">
        <f t="shared" si="149"/>
        <v/>
      </c>
      <c r="Y273">
        <f>IF(OR(D273=0,'Исходные данные'!$B$9="",'Исходные данные'!$B$90=""),0,W273/(1+'Исходные данные'!$B$90)^((C273-'Исходные данные'!$B$9)/365))</f>
        <v>0</v>
      </c>
      <c r="Z273">
        <f>IF(D273=1,K273+Расчёты!O273+Расчёты!Q273+Расчёты!S273+Расчёты!U273+Расчёты!W273+Расчёты!X273+N273+Q273,0)</f>
        <v>0</v>
      </c>
      <c r="AA273">
        <f>IF(AND(D273=1,X273&gt;=0,X272&lt;0,MIN($X$2:X273)&lt;0),1,0)</f>
        <v>0</v>
      </c>
      <c r="AB273">
        <f>IF(Расчёты!F273=0,0,IF(Расчёты!G273=1,N('Сценарный анализ'!$C$5),IF(Расчёты!G273=2,N('Сценарный анализ'!$C$6),IF(Расчёты!G273=3,N('Сценарный анализ'!$C$7),N('Сценарный анализ'!$C$7)*(1+N('Сценарный анализ'!$C$8))^(Расчёты!G273-3)))))</f>
        <v>0</v>
      </c>
      <c r="AC273">
        <f>IF(OR(Расчёты!F273=0,N('Исходные данные'!$B$5)=0,AB273=0),0,N('Исходные данные'!$B$5)*AB273*IF(AND(B273&lt;='Исходные данные'!$B$30,Расчёты!C273&gt;='Исходные данные'!$B$30),(Расчёты!C273-'Исходные данные'!$B$30+1)/DAY(Расчёты!C273),1))</f>
        <v>0</v>
      </c>
      <c r="AD273">
        <f>IF(AND(Расчёты!F273&gt;0,Расчёты!F273&lt;=N('Исходные данные'!$B$37)),-AC273,0)</f>
        <v>0</v>
      </c>
      <c r="AE273">
        <f>IF(OR(Расчёты!F273=0,Расчёты!F273&lt;=N('Исходные данные'!$B$37)),0,-(AC273+AD273)*N('Сценарный анализ'!$C$9))</f>
        <v>0</v>
      </c>
      <c r="AF273">
        <f t="shared" si="162"/>
        <v>0</v>
      </c>
      <c r="AG273">
        <f>IF('Исходные данные'!$B$51="Да",AF273*N('Исходные данные'!$B$52),0)</f>
        <v>0</v>
      </c>
      <c r="AH273">
        <f t="shared" si="163"/>
        <v>0</v>
      </c>
      <c r="AI273">
        <f>AF273+(Расчёты!Y273-Расчёты!L273)</f>
        <v>0</v>
      </c>
      <c r="AJ273">
        <f t="shared" si="150"/>
        <v>0</v>
      </c>
      <c r="AK273">
        <f>IF('Исходные данные'!$B$51="Да",-MAX(0,AG273+Расчёты!R273+Расчёты!V273-Расчёты!P273-Расчёты!T273-AJ273),0)</f>
        <v>0</v>
      </c>
      <c r="AL273">
        <f>IF('Исходные данные'!$B$51="Да",MAX(0,AJ273+Расчёты!P273+Расчёты!T273-AG273-Расчёты!R273-Расчёты!V273),0)</f>
        <v>0</v>
      </c>
      <c r="AM273">
        <f>IF('Исходные данные'!$B$53="Выручка",MAX(0,AF273+(Расчёты!Q273-Расчёты!R273)+(Расчёты!U273-Расчёты!V273)),IF('Исходные данные'!$B$53="Прибыль до налога",MAX(0,AF273+(Расчёты!Q273-Расчёты!R273)+(Расчёты!U273-Расчёты!V273)+N('Исходные данные'!$B$54)*((Расчёты!O273+Расчёты!P273)+(Расчёты!S273+Расчёты!T273)+Расчёты!W273+Расчёты!X273)+IF('Исходные данные'!$B$55="Да",Расчёты!AG273,0)-N('Исходные данные'!$B$56)/12),IF('Исходные данные'!$B$53="Пользовательская база",MAX(0,N('Исходные данные'!$B$57)/12),0)))</f>
        <v>0</v>
      </c>
      <c r="AN273">
        <f>IF(D273=1,-AM273*N('Исходные данные'!$B$50),0)</f>
        <v>0</v>
      </c>
      <c r="AO273">
        <f t="shared" si="151"/>
        <v>0</v>
      </c>
      <c r="AP273">
        <f>IF(OR(D273&lt;&gt;1,B273="",'Исходные данные'!$B$91="",N('Исходные данные'!$B$80)&lt;=0,'Исходные данные'!$B$88=""),0,IF(AND(YEAR(B273)=YEAR('Исходные данные'!$B$91),MONTH(B273)=MONTH('Исходные данные'!$B$91)),MAX(0,IF('Исходные данные'!$B$88="Последние 12 месяцев",SUMIFS($AI$2:$AI$194,$B$2:$B$194,"&gt;="&amp;EDATE(B273,-11),$B$2:$B$194,"&lt;="&amp;B273),IF('Исходные данные'!$B$88="Пользовательский NOI",N('Исходные данные'!$B$89),AO273))/N('Исходные данные'!$B$80)*(1+N('Исходные данные'!$B$81))),0))</f>
        <v>0</v>
      </c>
      <c r="AQ273">
        <f>-AP273*N('Исходные данные'!$B$73)</f>
        <v>0</v>
      </c>
      <c r="AR273">
        <f>IF(AP273=0,0,-N('Исходные данные'!$B$87)-IF('Исходные данные'!$B$82="Да",IF('Исходные данные'!$B$84="С выручки",AP273,IF('Исходные данные'!$B$84="С прибыли",MAX(0,AP273+AQ273-IF('Исходные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73">
        <f t="shared" si="164"/>
        <v>0</v>
      </c>
      <c r="AT273">
        <f>IF(D273=1,Расчёты!AZ273+AH273+AK273+AN273+AS273,0)</f>
        <v>0</v>
      </c>
      <c r="AU273" t="str">
        <f t="shared" si="152"/>
        <v/>
      </c>
      <c r="AV273">
        <f>IF(OR(D273=0,'Исходные данные'!$B$9="",'Исходные данные'!$B$90=""),0,AT273/(1+'Исходные данные'!$B$90)^((C273-'Исходные данные'!$B$9)/365))</f>
        <v>0</v>
      </c>
      <c r="AW273">
        <f>IF(D273=1,AH273+Расчёты!O273+Расчёты!Q273+Расчёты!S273+Расчёты!U273+Расчёты!W273+Расчёты!X273+AK273+AN273,0)</f>
        <v>0</v>
      </c>
      <c r="AX273">
        <f>IF(AND(D273=1,AU273&gt;=0,AU272&lt;0,MIN($AU$2:AU273)&lt;0),1,0)</f>
        <v>0</v>
      </c>
      <c r="AY273">
        <f>IF(Расчёты!F273=0,0,IF(Расчёты!G273=1,N('Сценарный анализ'!$D$5),IF(Расчёты!G273=2,N('Сценарный анализ'!$D$6),IF(Расчёты!G273=3,N('Сценарный анализ'!$D$7),N('Сценарный анализ'!$D$7)*(1+N('Сценарный анализ'!$D$8))^(Расчёты!G273-3)))))</f>
        <v>0</v>
      </c>
      <c r="AZ273">
        <f>IF(OR(Расчёты!F273=0,N('Исходные данные'!$B$5)=0,AY273=0),0,N('Исходные данные'!$B$5)*AY273*IF(AND(B273&lt;='Исходные данные'!$B$30,Расчёты!C273&gt;='Исходные данные'!$B$30),(Расчёты!C273-'Исходные данные'!$B$30+1)/DAY(Расчёты!C273),1))</f>
        <v>0</v>
      </c>
      <c r="BA273">
        <f>IF(AND(Расчёты!F273&gt;0,Расчёты!F273&lt;=N('Исходные данные'!$B$37)),-AZ273,0)</f>
        <v>0</v>
      </c>
      <c r="BB273">
        <f>IF(OR(Расчёты!F273=0,Расчёты!F273&lt;=N('Исходные данные'!$B$37)),0,-(AZ273+BA273)*N('Сценарный анализ'!$D$9))</f>
        <v>0</v>
      </c>
      <c r="BC273">
        <f t="shared" si="165"/>
        <v>0</v>
      </c>
      <c r="BD273">
        <f>IF('Исходные данные'!$B$51="Да",BC273*N('Исходные данные'!$B$52),0)</f>
        <v>0</v>
      </c>
      <c r="BE273">
        <f t="shared" si="166"/>
        <v>0</v>
      </c>
      <c r="BF273">
        <f>BC273+(Расчёты!Y273-Расчёты!L273)</f>
        <v>0</v>
      </c>
      <c r="BG273">
        <f t="shared" si="153"/>
        <v>0</v>
      </c>
      <c r="BH273">
        <f>IF('Исходные данные'!$B$51="Да",-MAX(0,BD273+Расчёты!R273+Расчёты!V273-Расчёты!P273-Расчёты!T273-BG273),0)</f>
        <v>0</v>
      </c>
      <c r="BI273">
        <f>IF('Исходные данные'!$B$51="Да",MAX(0,BG273+Расчёты!P273+Расчёты!T273-BD273-Расчёты!R273-Расчёты!V273),0)</f>
        <v>0</v>
      </c>
      <c r="BJ273">
        <f>IF('Исходные данные'!$B$53="Выручка",MAX(0,BC273+(Расчёты!Q273-Расчёты!R273)+(Расчёты!U273-Расчёты!V273)),IF('Исходные данные'!$B$53="Прибыль до налога",MAX(0,BC273+(Расчёты!Q273-Расчёты!R273)+(Расчёты!U273-Расчёты!V273)+N('Исходные данные'!$B$54)*((Расчёты!O273+Расчёты!P273)+(Расчёты!S273+Расчёты!T273)+Расчёты!W273+Расчёты!X273)+IF('Исходные данные'!$B$55="Да",Расчёты!AG273,0)-N('Исходные данные'!$B$56)/12),IF('Исходные данные'!$B$53="Пользовательская база",MAX(0,N('Исходные данные'!$B$57)/12),0)))</f>
        <v>0</v>
      </c>
      <c r="BK273">
        <f>IF(D273=1,-BJ273*N('Исходные данные'!$B$50),0)</f>
        <v>0</v>
      </c>
      <c r="BL273">
        <f t="shared" si="154"/>
        <v>0</v>
      </c>
      <c r="BM273">
        <f>IF(OR(D273&lt;&gt;1,B273="",'Исходные данные'!$B$91="",N('Исходные данные'!$B$80)&lt;=0,'Исходные данные'!$B$88=""),0,IF(AND(YEAR(B273)=YEAR('Исходные данные'!$B$91),MONTH(B273)=MONTH('Исходные данные'!$B$91)),MAX(0,IF('Исходные данные'!$B$88="Последние 12 месяцев",SUMIFS($BF$2:$BF$194,$B$2:$B$194,"&gt;="&amp;EDATE(B273,-11),$B$2:$B$194,"&lt;="&amp;B273),IF('Исходные данные'!$B$88="Пользовательский NOI",N('Исходные данные'!$B$89),BL273))/N('Исходные данные'!$B$80)*(1+N('Исходные данные'!$B$81))),0))</f>
        <v>0</v>
      </c>
      <c r="BN273">
        <f>-BM273*N('Исходные данные'!$B$73)</f>
        <v>0</v>
      </c>
      <c r="BO273">
        <f>IF(BM273=0,0,-N('Исходные данные'!$B$87)-IF('Исходные данные'!$B$82="Да",IF('Исходные данные'!$B$84="С выручки",BM273,IF('Исходные данные'!$B$84="С прибыли",MAX(0,BM273+BN273-IF('Исходные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73">
        <f t="shared" si="167"/>
        <v>0</v>
      </c>
      <c r="BQ273">
        <f>IF(D273=1,Расчёты!AZ273+BE273+BH273+BK273+BP273,0)</f>
        <v>0</v>
      </c>
      <c r="BR273" t="str">
        <f t="shared" si="155"/>
        <v/>
      </c>
      <c r="BS273">
        <f>IF(OR(D273=0,'Исходные данные'!$B$9="",'Исходные данные'!$B$90=""),0,BQ273/(1+'Исходные данные'!$B$90)^((C273-'Исходные данные'!$B$9)/365))</f>
        <v>0</v>
      </c>
      <c r="BT273">
        <f>IF(D273=1,BE273+Расчёты!O273+Расчёты!Q273+Расчёты!S273+Расчёты!U273+Расчёты!W273+Расчёты!X273+BH273+BK273,0)</f>
        <v>0</v>
      </c>
      <c r="BU273">
        <f>IF(AND(D273=1,BR273&gt;=0,BR272&lt;0,MIN($BR$2:BR273)&lt;0),1,0)</f>
        <v>0</v>
      </c>
      <c r="BV273">
        <f>Расчёты!AZ273+K273+N273-P273*N('Исходные данные'!$B$50)</f>
        <v>0</v>
      </c>
      <c r="BW273">
        <f t="shared" si="156"/>
        <v>0</v>
      </c>
      <c r="BX273">
        <f>IF(AND(BW273&gt;=0,BW272&lt;0,MIN($BW$2:BW273)&lt;0),1,0)</f>
        <v>0</v>
      </c>
      <c r="BY273">
        <f>Расчёты!AZ273+AH273+AK273-AM273*N('Исходные данные'!$B$50)</f>
        <v>0</v>
      </c>
      <c r="BZ273">
        <f t="shared" si="157"/>
        <v>0</v>
      </c>
      <c r="CA273">
        <f>IF(AND(BZ273&gt;=0,BZ272&lt;0,MIN($BZ$2:BZ273)&lt;0),1,0)</f>
        <v>0</v>
      </c>
      <c r="CB273">
        <f>Расчёты!AZ273+BE273+BH273-BJ273*N('Исходные данные'!$B$50)</f>
        <v>0</v>
      </c>
      <c r="CC273">
        <f t="shared" si="158"/>
        <v>0</v>
      </c>
      <c r="CD273">
        <f>IF(AND(CC273&gt;=0,CC272&lt;0,MIN($CC$2:CC273)&lt;0),1,0)</f>
        <v>0</v>
      </c>
    </row>
    <row r="274" spans="1:82" x14ac:dyDescent="0.2">
      <c r="A274">
        <f>Расчёты!A274</f>
        <v>273</v>
      </c>
      <c r="B274" t="str">
        <f>Расчёты!B274</f>
        <v/>
      </c>
      <c r="C274" t="str">
        <f>Расчёты!D274</f>
        <v/>
      </c>
      <c r="D274">
        <f>Расчёты!E274</f>
        <v>0</v>
      </c>
      <c r="E274">
        <f>IF(Расчёты!F274=0,0,IF(Расчёты!G274=1,N('Сценарный анализ'!$B$5),IF(Расчёты!G274=2,N('Сценарный анализ'!$B$6),IF(Расчёты!G274=3,N('Сценарный анализ'!$B$7),N('Сценарный анализ'!$B$7)*(1+N('Сценарный анализ'!$B$8))^(Расчёты!G274-3)))))</f>
        <v>0</v>
      </c>
      <c r="F274">
        <f>IF(OR(Расчёты!F274=0,N('Исходные данные'!$B$5)=0,E274=0),0,N('Исходные данные'!$B$5)*E274*IF(AND(B274&lt;='Исходные данные'!$B$30,Расчёты!C274&gt;='Исходные данные'!$B$30),(Расчёты!C274-'Исходные данные'!$B$30+1)/DAY(Расчёты!C274),1))</f>
        <v>0</v>
      </c>
      <c r="G274">
        <f>IF(AND(Расчёты!F274&gt;0,Расчёты!F274&lt;=N('Исходные данные'!$B$37)),-F274,0)</f>
        <v>0</v>
      </c>
      <c r="H274">
        <f>IF(OR(Расчёты!F274=0,Расчёты!F274&lt;=N('Исходные данные'!$B$37)),0,-(F274+G274)*N('Сценарный анализ'!$B$9))</f>
        <v>0</v>
      </c>
      <c r="I274">
        <f t="shared" si="159"/>
        <v>0</v>
      </c>
      <c r="J274">
        <f>IF('Исходные данные'!$B$51="Да",I274*N('Исходные данные'!$B$52),0)</f>
        <v>0</v>
      </c>
      <c r="K274">
        <f t="shared" si="160"/>
        <v>0</v>
      </c>
      <c r="L274">
        <f>I274+(Расчёты!Y274-Расчёты!L274)</f>
        <v>0</v>
      </c>
      <c r="M274">
        <f t="shared" si="147"/>
        <v>0</v>
      </c>
      <c r="N274">
        <f>IF('Исходные данные'!$B$51="Да",-MAX(0,J274+Расчёты!R274+Расчёты!V274-Расчёты!P274-Расчёты!T274-M274),0)</f>
        <v>0</v>
      </c>
      <c r="O274">
        <f>IF('Исходные данные'!$B$51="Да",MAX(0,M274+Расчёты!P274+Расчёты!T274-J274-Расчёты!R274-Расчёты!V274),0)</f>
        <v>0</v>
      </c>
      <c r="P274">
        <f>IF('Исходные данные'!$B$53="Выручка",MAX(0,I274+(Расчёты!Q274-Расчёты!R274)+(Расчёты!U274-Расчёты!V274)),IF('Исходные данные'!$B$53="Прибыль до налога",MAX(0,I274+(Расчёты!Q274-Расчёты!R274)+(Расчёты!U274-Расчёты!V274)+N('Исходные данные'!$B$54)*((Расчёты!O274+Расчёты!P274)+(Расчёты!S274+Расчёты!T274)+Расчёты!W274+Расчёты!X274)+IF('Исходные данные'!$B$55="Да",Расчёты!AG274,0)-N('Исходные данные'!$B$56)/12),IF('Исходные данные'!$B$53="Пользовательская база",MAX(0,N('Исходные данные'!$B$57)/12),0)))</f>
        <v>0</v>
      </c>
      <c r="Q274">
        <f>IF(D274=1,-P274*N('Исходные данные'!$B$50),0)</f>
        <v>0</v>
      </c>
      <c r="R274">
        <f t="shared" si="148"/>
        <v>0</v>
      </c>
      <c r="S274">
        <f>IF(OR(D274&lt;&gt;1,B274="",'Исходные данные'!$B$91="",N('Исходные данные'!$B$80)&lt;=0,'Исходные данные'!$B$88=""),0,IF(AND(YEAR(B274)=YEAR('Исходные данные'!$B$91),MONTH(B274)=MONTH('Исходные данные'!$B$91)),MAX(0,IF('Исходные данные'!$B$88="Последние 12 месяцев",SUMIFS($L$2:$L$194,$B$2:$B$194,"&gt;="&amp;EDATE(B274,-11),$B$2:$B$194,"&lt;="&amp;B274),IF('Исходные данные'!$B$88="Пользовательский NOI",N('Исходные данные'!$B$89),R274))/N('Исходные данные'!$B$80)*(1+N('Исходные данные'!$B$81))),0))</f>
        <v>0</v>
      </c>
      <c r="T274">
        <f>-S274*N('Исходные данные'!$B$73)</f>
        <v>0</v>
      </c>
      <c r="U274">
        <f>IF(S274=0,0,-N('Исходные данные'!$B$87)-IF('Исходные данные'!$B$82="Да",IF('Исходные данные'!$B$84="С выручки",S274,IF('Исходные данные'!$B$84="С прибыли",MAX(0,S274+T274-IF('Исходные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74">
        <f t="shared" si="161"/>
        <v>0</v>
      </c>
      <c r="W274">
        <f>IF(D274=1,Расчёты!AZ274+K274+N274+Q274+V274,0)</f>
        <v>0</v>
      </c>
      <c r="X274" t="str">
        <f t="shared" si="149"/>
        <v/>
      </c>
      <c r="Y274">
        <f>IF(OR(D274=0,'Исходные данные'!$B$9="",'Исходные данные'!$B$90=""),0,W274/(1+'Исходные данные'!$B$90)^((C274-'Исходные данные'!$B$9)/365))</f>
        <v>0</v>
      </c>
      <c r="Z274">
        <f>IF(D274=1,K274+Расчёты!O274+Расчёты!Q274+Расчёты!S274+Расчёты!U274+Расчёты!W274+Расчёты!X274+N274+Q274,0)</f>
        <v>0</v>
      </c>
      <c r="AA274">
        <f>IF(AND(D274=1,X274&gt;=0,X273&lt;0,MIN($X$2:X274)&lt;0),1,0)</f>
        <v>0</v>
      </c>
      <c r="AB274">
        <f>IF(Расчёты!F274=0,0,IF(Расчёты!G274=1,N('Сценарный анализ'!$C$5),IF(Расчёты!G274=2,N('Сценарный анализ'!$C$6),IF(Расчёты!G274=3,N('Сценарный анализ'!$C$7),N('Сценарный анализ'!$C$7)*(1+N('Сценарный анализ'!$C$8))^(Расчёты!G274-3)))))</f>
        <v>0</v>
      </c>
      <c r="AC274">
        <f>IF(OR(Расчёты!F274=0,N('Исходные данные'!$B$5)=0,AB274=0),0,N('Исходные данные'!$B$5)*AB274*IF(AND(B274&lt;='Исходные данные'!$B$30,Расчёты!C274&gt;='Исходные данные'!$B$30),(Расчёты!C274-'Исходные данные'!$B$30+1)/DAY(Расчёты!C274),1))</f>
        <v>0</v>
      </c>
      <c r="AD274">
        <f>IF(AND(Расчёты!F274&gt;0,Расчёты!F274&lt;=N('Исходные данные'!$B$37)),-AC274,0)</f>
        <v>0</v>
      </c>
      <c r="AE274">
        <f>IF(OR(Расчёты!F274=0,Расчёты!F274&lt;=N('Исходные данные'!$B$37)),0,-(AC274+AD274)*N('Сценарный анализ'!$C$9))</f>
        <v>0</v>
      </c>
      <c r="AF274">
        <f t="shared" si="162"/>
        <v>0</v>
      </c>
      <c r="AG274">
        <f>IF('Исходные данные'!$B$51="Да",AF274*N('Исходные данные'!$B$52),0)</f>
        <v>0</v>
      </c>
      <c r="AH274">
        <f t="shared" si="163"/>
        <v>0</v>
      </c>
      <c r="AI274">
        <f>AF274+(Расчёты!Y274-Расчёты!L274)</f>
        <v>0</v>
      </c>
      <c r="AJ274">
        <f t="shared" si="150"/>
        <v>0</v>
      </c>
      <c r="AK274">
        <f>IF('Исходные данные'!$B$51="Да",-MAX(0,AG274+Расчёты!R274+Расчёты!V274-Расчёты!P274-Расчёты!T274-AJ274),0)</f>
        <v>0</v>
      </c>
      <c r="AL274">
        <f>IF('Исходные данные'!$B$51="Да",MAX(0,AJ274+Расчёты!P274+Расчёты!T274-AG274-Расчёты!R274-Расчёты!V274),0)</f>
        <v>0</v>
      </c>
      <c r="AM274">
        <f>IF('Исходные данные'!$B$53="Выручка",MAX(0,AF274+(Расчёты!Q274-Расчёты!R274)+(Расчёты!U274-Расчёты!V274)),IF('Исходные данные'!$B$53="Прибыль до налога",MAX(0,AF274+(Расчёты!Q274-Расчёты!R274)+(Расчёты!U274-Расчёты!V274)+N('Исходные данные'!$B$54)*((Расчёты!O274+Расчёты!P274)+(Расчёты!S274+Расчёты!T274)+Расчёты!W274+Расчёты!X274)+IF('Исходные данные'!$B$55="Да",Расчёты!AG274,0)-N('Исходные данные'!$B$56)/12),IF('Исходные данные'!$B$53="Пользовательская база",MAX(0,N('Исходные данные'!$B$57)/12),0)))</f>
        <v>0</v>
      </c>
      <c r="AN274">
        <f>IF(D274=1,-AM274*N('Исходные данные'!$B$50),0)</f>
        <v>0</v>
      </c>
      <c r="AO274">
        <f t="shared" si="151"/>
        <v>0</v>
      </c>
      <c r="AP274">
        <f>IF(OR(D274&lt;&gt;1,B274="",'Исходные данные'!$B$91="",N('Исходные данные'!$B$80)&lt;=0,'Исходные данные'!$B$88=""),0,IF(AND(YEAR(B274)=YEAR('Исходные данные'!$B$91),MONTH(B274)=MONTH('Исходные данные'!$B$91)),MAX(0,IF('Исходные данные'!$B$88="Последние 12 месяцев",SUMIFS($AI$2:$AI$194,$B$2:$B$194,"&gt;="&amp;EDATE(B274,-11),$B$2:$B$194,"&lt;="&amp;B274),IF('Исходные данные'!$B$88="Пользовательский NOI",N('Исходные данные'!$B$89),AO274))/N('Исходные данные'!$B$80)*(1+N('Исходные данные'!$B$81))),0))</f>
        <v>0</v>
      </c>
      <c r="AQ274">
        <f>-AP274*N('Исходные данные'!$B$73)</f>
        <v>0</v>
      </c>
      <c r="AR274">
        <f>IF(AP274=0,0,-N('Исходные данные'!$B$87)-IF('Исходные данные'!$B$82="Да",IF('Исходные данные'!$B$84="С выручки",AP274,IF('Исходные данные'!$B$84="С прибыли",MAX(0,AP274+AQ274-IF('Исходные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74">
        <f t="shared" si="164"/>
        <v>0</v>
      </c>
      <c r="AT274">
        <f>IF(D274=1,Расчёты!AZ274+AH274+AK274+AN274+AS274,0)</f>
        <v>0</v>
      </c>
      <c r="AU274" t="str">
        <f t="shared" si="152"/>
        <v/>
      </c>
      <c r="AV274">
        <f>IF(OR(D274=0,'Исходные данные'!$B$9="",'Исходные данные'!$B$90=""),0,AT274/(1+'Исходные данные'!$B$90)^((C274-'Исходные данные'!$B$9)/365))</f>
        <v>0</v>
      </c>
      <c r="AW274">
        <f>IF(D274=1,AH274+Расчёты!O274+Расчёты!Q274+Расчёты!S274+Расчёты!U274+Расчёты!W274+Расчёты!X274+AK274+AN274,0)</f>
        <v>0</v>
      </c>
      <c r="AX274">
        <f>IF(AND(D274=1,AU274&gt;=0,AU273&lt;0,MIN($AU$2:AU274)&lt;0),1,0)</f>
        <v>0</v>
      </c>
      <c r="AY274">
        <f>IF(Расчёты!F274=0,0,IF(Расчёты!G274=1,N('Сценарный анализ'!$D$5),IF(Расчёты!G274=2,N('Сценарный анализ'!$D$6),IF(Расчёты!G274=3,N('Сценарный анализ'!$D$7),N('Сценарный анализ'!$D$7)*(1+N('Сценарный анализ'!$D$8))^(Расчёты!G274-3)))))</f>
        <v>0</v>
      </c>
      <c r="AZ274">
        <f>IF(OR(Расчёты!F274=0,N('Исходные данные'!$B$5)=0,AY274=0),0,N('Исходные данные'!$B$5)*AY274*IF(AND(B274&lt;='Исходные данные'!$B$30,Расчёты!C274&gt;='Исходные данные'!$B$30),(Расчёты!C274-'Исходные данные'!$B$30+1)/DAY(Расчёты!C274),1))</f>
        <v>0</v>
      </c>
      <c r="BA274">
        <f>IF(AND(Расчёты!F274&gt;0,Расчёты!F274&lt;=N('Исходные данные'!$B$37)),-AZ274,0)</f>
        <v>0</v>
      </c>
      <c r="BB274">
        <f>IF(OR(Расчёты!F274=0,Расчёты!F274&lt;=N('Исходные данные'!$B$37)),0,-(AZ274+BA274)*N('Сценарный анализ'!$D$9))</f>
        <v>0</v>
      </c>
      <c r="BC274">
        <f t="shared" si="165"/>
        <v>0</v>
      </c>
      <c r="BD274">
        <f>IF('Исходные данные'!$B$51="Да",BC274*N('Исходные данные'!$B$52),0)</f>
        <v>0</v>
      </c>
      <c r="BE274">
        <f t="shared" si="166"/>
        <v>0</v>
      </c>
      <c r="BF274">
        <f>BC274+(Расчёты!Y274-Расчёты!L274)</f>
        <v>0</v>
      </c>
      <c r="BG274">
        <f t="shared" si="153"/>
        <v>0</v>
      </c>
      <c r="BH274">
        <f>IF('Исходные данные'!$B$51="Да",-MAX(0,BD274+Расчёты!R274+Расчёты!V274-Расчёты!P274-Расчёты!T274-BG274),0)</f>
        <v>0</v>
      </c>
      <c r="BI274">
        <f>IF('Исходные данные'!$B$51="Да",MAX(0,BG274+Расчёты!P274+Расчёты!T274-BD274-Расчёты!R274-Расчёты!V274),0)</f>
        <v>0</v>
      </c>
      <c r="BJ274">
        <f>IF('Исходные данные'!$B$53="Выручка",MAX(0,BC274+(Расчёты!Q274-Расчёты!R274)+(Расчёты!U274-Расчёты!V274)),IF('Исходные данные'!$B$53="Прибыль до налога",MAX(0,BC274+(Расчёты!Q274-Расчёты!R274)+(Расчёты!U274-Расчёты!V274)+N('Исходные данные'!$B$54)*((Расчёты!O274+Расчёты!P274)+(Расчёты!S274+Расчёты!T274)+Расчёты!W274+Расчёты!X274)+IF('Исходные данные'!$B$55="Да",Расчёты!AG274,0)-N('Исходные данные'!$B$56)/12),IF('Исходные данные'!$B$53="Пользовательская база",MAX(0,N('Исходные данные'!$B$57)/12),0)))</f>
        <v>0</v>
      </c>
      <c r="BK274">
        <f>IF(D274=1,-BJ274*N('Исходные данные'!$B$50),0)</f>
        <v>0</v>
      </c>
      <c r="BL274">
        <f t="shared" si="154"/>
        <v>0</v>
      </c>
      <c r="BM274">
        <f>IF(OR(D274&lt;&gt;1,B274="",'Исходные данные'!$B$91="",N('Исходные данные'!$B$80)&lt;=0,'Исходные данные'!$B$88=""),0,IF(AND(YEAR(B274)=YEAR('Исходные данные'!$B$91),MONTH(B274)=MONTH('Исходные данные'!$B$91)),MAX(0,IF('Исходные данные'!$B$88="Последние 12 месяцев",SUMIFS($BF$2:$BF$194,$B$2:$B$194,"&gt;="&amp;EDATE(B274,-11),$B$2:$B$194,"&lt;="&amp;B274),IF('Исходные данные'!$B$88="Пользовательский NOI",N('Исходные данные'!$B$89),BL274))/N('Исходные данные'!$B$80)*(1+N('Исходные данные'!$B$81))),0))</f>
        <v>0</v>
      </c>
      <c r="BN274">
        <f>-BM274*N('Исходные данные'!$B$73)</f>
        <v>0</v>
      </c>
      <c r="BO274">
        <f>IF(BM274=0,0,-N('Исходные данные'!$B$87)-IF('Исходные данные'!$B$82="Да",IF('Исходные данные'!$B$84="С выручки",BM274,IF('Исходные данные'!$B$84="С прибыли",MAX(0,BM274+BN274-IF('Исходные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74">
        <f t="shared" si="167"/>
        <v>0</v>
      </c>
      <c r="BQ274">
        <f>IF(D274=1,Расчёты!AZ274+BE274+BH274+BK274+BP274,0)</f>
        <v>0</v>
      </c>
      <c r="BR274" t="str">
        <f t="shared" si="155"/>
        <v/>
      </c>
      <c r="BS274">
        <f>IF(OR(D274=0,'Исходные данные'!$B$9="",'Исходные данные'!$B$90=""),0,BQ274/(1+'Исходные данные'!$B$90)^((C274-'Исходные данные'!$B$9)/365))</f>
        <v>0</v>
      </c>
      <c r="BT274">
        <f>IF(D274=1,BE274+Расчёты!O274+Расчёты!Q274+Расчёты!S274+Расчёты!U274+Расчёты!W274+Расчёты!X274+BH274+BK274,0)</f>
        <v>0</v>
      </c>
      <c r="BU274">
        <f>IF(AND(D274=1,BR274&gt;=0,BR273&lt;0,MIN($BR$2:BR274)&lt;0),1,0)</f>
        <v>0</v>
      </c>
      <c r="BV274">
        <f>Расчёты!AZ274+K274+N274-P274*N('Исходные данные'!$B$50)</f>
        <v>0</v>
      </c>
      <c r="BW274">
        <f t="shared" si="156"/>
        <v>0</v>
      </c>
      <c r="BX274">
        <f>IF(AND(BW274&gt;=0,BW273&lt;0,MIN($BW$2:BW274)&lt;0),1,0)</f>
        <v>0</v>
      </c>
      <c r="BY274">
        <f>Расчёты!AZ274+AH274+AK274-AM274*N('Исходные данные'!$B$50)</f>
        <v>0</v>
      </c>
      <c r="BZ274">
        <f t="shared" si="157"/>
        <v>0</v>
      </c>
      <c r="CA274">
        <f>IF(AND(BZ274&gt;=0,BZ273&lt;0,MIN($BZ$2:BZ274)&lt;0),1,0)</f>
        <v>0</v>
      </c>
      <c r="CB274">
        <f>Расчёты!AZ274+BE274+BH274-BJ274*N('Исходные данные'!$B$50)</f>
        <v>0</v>
      </c>
      <c r="CC274">
        <f t="shared" si="158"/>
        <v>0</v>
      </c>
      <c r="CD274">
        <f>IF(AND(CC274&gt;=0,CC273&lt;0,MIN($CC$2:CC274)&lt;0),1,0)</f>
        <v>0</v>
      </c>
    </row>
    <row r="275" spans="1:82" x14ac:dyDescent="0.2">
      <c r="A275">
        <f>Расчёты!A275</f>
        <v>274</v>
      </c>
      <c r="B275" t="str">
        <f>Расчёты!B275</f>
        <v/>
      </c>
      <c r="C275" t="str">
        <f>Расчёты!D275</f>
        <v/>
      </c>
      <c r="D275">
        <f>Расчёты!E275</f>
        <v>0</v>
      </c>
      <c r="E275">
        <f>IF(Расчёты!F275=0,0,IF(Расчёты!G275=1,N('Сценарный анализ'!$B$5),IF(Расчёты!G275=2,N('Сценарный анализ'!$B$6),IF(Расчёты!G275=3,N('Сценарный анализ'!$B$7),N('Сценарный анализ'!$B$7)*(1+N('Сценарный анализ'!$B$8))^(Расчёты!G275-3)))))</f>
        <v>0</v>
      </c>
      <c r="F275">
        <f>IF(OR(Расчёты!F275=0,N('Исходные данные'!$B$5)=0,E275=0),0,N('Исходные данные'!$B$5)*E275*IF(AND(B275&lt;='Исходные данные'!$B$30,Расчёты!C275&gt;='Исходные данные'!$B$30),(Расчёты!C275-'Исходные данные'!$B$30+1)/DAY(Расчёты!C275),1))</f>
        <v>0</v>
      </c>
      <c r="G275">
        <f>IF(AND(Расчёты!F275&gt;0,Расчёты!F275&lt;=N('Исходные данные'!$B$37)),-F275,0)</f>
        <v>0</v>
      </c>
      <c r="H275">
        <f>IF(OR(Расчёты!F275=0,Расчёты!F275&lt;=N('Исходные данные'!$B$37)),0,-(F275+G275)*N('Сценарный анализ'!$B$9))</f>
        <v>0</v>
      </c>
      <c r="I275">
        <f t="shared" si="159"/>
        <v>0</v>
      </c>
      <c r="J275">
        <f>IF('Исходные данные'!$B$51="Да",I275*N('Исходные данные'!$B$52),0)</f>
        <v>0</v>
      </c>
      <c r="K275">
        <f t="shared" si="160"/>
        <v>0</v>
      </c>
      <c r="L275">
        <f>I275+(Расчёты!Y275-Расчёты!L275)</f>
        <v>0</v>
      </c>
      <c r="M275">
        <f t="shared" si="147"/>
        <v>0</v>
      </c>
      <c r="N275">
        <f>IF('Исходные данные'!$B$51="Да",-MAX(0,J275+Расчёты!R275+Расчёты!V275-Расчёты!P275-Расчёты!T275-M275),0)</f>
        <v>0</v>
      </c>
      <c r="O275">
        <f>IF('Исходные данные'!$B$51="Да",MAX(0,M275+Расчёты!P275+Расчёты!T275-J275-Расчёты!R275-Расчёты!V275),0)</f>
        <v>0</v>
      </c>
      <c r="P275">
        <f>IF('Исходные данные'!$B$53="Выручка",MAX(0,I275+(Расчёты!Q275-Расчёты!R275)+(Расчёты!U275-Расчёты!V275)),IF('Исходные данные'!$B$53="Прибыль до налога",MAX(0,I275+(Расчёты!Q275-Расчёты!R275)+(Расчёты!U275-Расчёты!V275)+N('Исходные данные'!$B$54)*((Расчёты!O275+Расчёты!P275)+(Расчёты!S275+Расчёты!T275)+Расчёты!W275+Расчёты!X275)+IF('Исходные данные'!$B$55="Да",Расчёты!AG275,0)-N('Исходные данные'!$B$56)/12),IF('Исходные данные'!$B$53="Пользовательская база",MAX(0,N('Исходные данные'!$B$57)/12),0)))</f>
        <v>0</v>
      </c>
      <c r="Q275">
        <f>IF(D275=1,-P275*N('Исходные данные'!$B$50),0)</f>
        <v>0</v>
      </c>
      <c r="R275">
        <f t="shared" si="148"/>
        <v>0</v>
      </c>
      <c r="S275">
        <f>IF(OR(D275&lt;&gt;1,B275="",'Исходные данные'!$B$91="",N('Исходные данные'!$B$80)&lt;=0,'Исходные данные'!$B$88=""),0,IF(AND(YEAR(B275)=YEAR('Исходные данные'!$B$91),MONTH(B275)=MONTH('Исходные данные'!$B$91)),MAX(0,IF('Исходные данные'!$B$88="Последние 12 месяцев",SUMIFS($L$2:$L$194,$B$2:$B$194,"&gt;="&amp;EDATE(B275,-11),$B$2:$B$194,"&lt;="&amp;B275),IF('Исходные данные'!$B$88="Пользовательский NOI",N('Исходные данные'!$B$89),R275))/N('Исходные данные'!$B$80)*(1+N('Исходные данные'!$B$81))),0))</f>
        <v>0</v>
      </c>
      <c r="T275">
        <f>-S275*N('Исходные данные'!$B$73)</f>
        <v>0</v>
      </c>
      <c r="U275">
        <f>IF(S275=0,0,-N('Исходные данные'!$B$87)-IF('Исходные данные'!$B$82="Да",IF('Исходные данные'!$B$84="С выручки",S275,IF('Исходные данные'!$B$84="С прибыли",MAX(0,S275+T275-IF('Исходные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75">
        <f t="shared" si="161"/>
        <v>0</v>
      </c>
      <c r="W275">
        <f>IF(D275=1,Расчёты!AZ275+K275+N275+Q275+V275,0)</f>
        <v>0</v>
      </c>
      <c r="X275" t="str">
        <f t="shared" si="149"/>
        <v/>
      </c>
      <c r="Y275">
        <f>IF(OR(D275=0,'Исходные данные'!$B$9="",'Исходные данные'!$B$90=""),0,W275/(1+'Исходные данные'!$B$90)^((C275-'Исходные данные'!$B$9)/365))</f>
        <v>0</v>
      </c>
      <c r="Z275">
        <f>IF(D275=1,K275+Расчёты!O275+Расчёты!Q275+Расчёты!S275+Расчёты!U275+Расчёты!W275+Расчёты!X275+N275+Q275,0)</f>
        <v>0</v>
      </c>
      <c r="AA275">
        <f>IF(AND(D275=1,X275&gt;=0,X274&lt;0,MIN($X$2:X275)&lt;0),1,0)</f>
        <v>0</v>
      </c>
      <c r="AB275">
        <f>IF(Расчёты!F275=0,0,IF(Расчёты!G275=1,N('Сценарный анализ'!$C$5),IF(Расчёты!G275=2,N('Сценарный анализ'!$C$6),IF(Расчёты!G275=3,N('Сценарный анализ'!$C$7),N('Сценарный анализ'!$C$7)*(1+N('Сценарный анализ'!$C$8))^(Расчёты!G275-3)))))</f>
        <v>0</v>
      </c>
      <c r="AC275">
        <f>IF(OR(Расчёты!F275=0,N('Исходные данные'!$B$5)=0,AB275=0),0,N('Исходные данные'!$B$5)*AB275*IF(AND(B275&lt;='Исходные данные'!$B$30,Расчёты!C275&gt;='Исходные данные'!$B$30),(Расчёты!C275-'Исходные данные'!$B$30+1)/DAY(Расчёты!C275),1))</f>
        <v>0</v>
      </c>
      <c r="AD275">
        <f>IF(AND(Расчёты!F275&gt;0,Расчёты!F275&lt;=N('Исходные данные'!$B$37)),-AC275,0)</f>
        <v>0</v>
      </c>
      <c r="AE275">
        <f>IF(OR(Расчёты!F275=0,Расчёты!F275&lt;=N('Исходные данные'!$B$37)),0,-(AC275+AD275)*N('Сценарный анализ'!$C$9))</f>
        <v>0</v>
      </c>
      <c r="AF275">
        <f t="shared" si="162"/>
        <v>0</v>
      </c>
      <c r="AG275">
        <f>IF('Исходные данные'!$B$51="Да",AF275*N('Исходные данные'!$B$52),0)</f>
        <v>0</v>
      </c>
      <c r="AH275">
        <f t="shared" si="163"/>
        <v>0</v>
      </c>
      <c r="AI275">
        <f>AF275+(Расчёты!Y275-Расчёты!L275)</f>
        <v>0</v>
      </c>
      <c r="AJ275">
        <f t="shared" si="150"/>
        <v>0</v>
      </c>
      <c r="AK275">
        <f>IF('Исходные данные'!$B$51="Да",-MAX(0,AG275+Расчёты!R275+Расчёты!V275-Расчёты!P275-Расчёты!T275-AJ275),0)</f>
        <v>0</v>
      </c>
      <c r="AL275">
        <f>IF('Исходные данные'!$B$51="Да",MAX(0,AJ275+Расчёты!P275+Расчёты!T275-AG275-Расчёты!R275-Расчёты!V275),0)</f>
        <v>0</v>
      </c>
      <c r="AM275">
        <f>IF('Исходные данные'!$B$53="Выручка",MAX(0,AF275+(Расчёты!Q275-Расчёты!R275)+(Расчёты!U275-Расчёты!V275)),IF('Исходные данные'!$B$53="Прибыль до налога",MAX(0,AF275+(Расчёты!Q275-Расчёты!R275)+(Расчёты!U275-Расчёты!V275)+N('Исходные данные'!$B$54)*((Расчёты!O275+Расчёты!P275)+(Расчёты!S275+Расчёты!T275)+Расчёты!W275+Расчёты!X275)+IF('Исходные данные'!$B$55="Да",Расчёты!AG275,0)-N('Исходные данные'!$B$56)/12),IF('Исходные данные'!$B$53="Пользовательская база",MAX(0,N('Исходные данные'!$B$57)/12),0)))</f>
        <v>0</v>
      </c>
      <c r="AN275">
        <f>IF(D275=1,-AM275*N('Исходные данные'!$B$50),0)</f>
        <v>0</v>
      </c>
      <c r="AO275">
        <f t="shared" si="151"/>
        <v>0</v>
      </c>
      <c r="AP275">
        <f>IF(OR(D275&lt;&gt;1,B275="",'Исходные данные'!$B$91="",N('Исходные данные'!$B$80)&lt;=0,'Исходные данные'!$B$88=""),0,IF(AND(YEAR(B275)=YEAR('Исходные данные'!$B$91),MONTH(B275)=MONTH('Исходные данные'!$B$91)),MAX(0,IF('Исходные данные'!$B$88="Последние 12 месяцев",SUMIFS($AI$2:$AI$194,$B$2:$B$194,"&gt;="&amp;EDATE(B275,-11),$B$2:$B$194,"&lt;="&amp;B275),IF('Исходные данные'!$B$88="Пользовательский NOI",N('Исходные данные'!$B$89),AO275))/N('Исходные данные'!$B$80)*(1+N('Исходные данные'!$B$81))),0))</f>
        <v>0</v>
      </c>
      <c r="AQ275">
        <f>-AP275*N('Исходные данные'!$B$73)</f>
        <v>0</v>
      </c>
      <c r="AR275">
        <f>IF(AP275=0,0,-N('Исходные данные'!$B$87)-IF('Исходные данные'!$B$82="Да",IF('Исходные данные'!$B$84="С выручки",AP275,IF('Исходные данные'!$B$84="С прибыли",MAX(0,AP275+AQ275-IF('Исходные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75">
        <f t="shared" si="164"/>
        <v>0</v>
      </c>
      <c r="AT275">
        <f>IF(D275=1,Расчёты!AZ275+AH275+AK275+AN275+AS275,0)</f>
        <v>0</v>
      </c>
      <c r="AU275" t="str">
        <f t="shared" si="152"/>
        <v/>
      </c>
      <c r="AV275">
        <f>IF(OR(D275=0,'Исходные данные'!$B$9="",'Исходные данные'!$B$90=""),0,AT275/(1+'Исходные данные'!$B$90)^((C275-'Исходные данные'!$B$9)/365))</f>
        <v>0</v>
      </c>
      <c r="AW275">
        <f>IF(D275=1,AH275+Расчёты!O275+Расчёты!Q275+Расчёты!S275+Расчёты!U275+Расчёты!W275+Расчёты!X275+AK275+AN275,0)</f>
        <v>0</v>
      </c>
      <c r="AX275">
        <f>IF(AND(D275=1,AU275&gt;=0,AU274&lt;0,MIN($AU$2:AU275)&lt;0),1,0)</f>
        <v>0</v>
      </c>
      <c r="AY275">
        <f>IF(Расчёты!F275=0,0,IF(Расчёты!G275=1,N('Сценарный анализ'!$D$5),IF(Расчёты!G275=2,N('Сценарный анализ'!$D$6),IF(Расчёты!G275=3,N('Сценарный анализ'!$D$7),N('Сценарный анализ'!$D$7)*(1+N('Сценарный анализ'!$D$8))^(Расчёты!G275-3)))))</f>
        <v>0</v>
      </c>
      <c r="AZ275">
        <f>IF(OR(Расчёты!F275=0,N('Исходные данные'!$B$5)=0,AY275=0),0,N('Исходные данные'!$B$5)*AY275*IF(AND(B275&lt;='Исходные данные'!$B$30,Расчёты!C275&gt;='Исходные данные'!$B$30),(Расчёты!C275-'Исходные данные'!$B$30+1)/DAY(Расчёты!C275),1))</f>
        <v>0</v>
      </c>
      <c r="BA275">
        <f>IF(AND(Расчёты!F275&gt;0,Расчёты!F275&lt;=N('Исходные данные'!$B$37)),-AZ275,0)</f>
        <v>0</v>
      </c>
      <c r="BB275">
        <f>IF(OR(Расчёты!F275=0,Расчёты!F275&lt;=N('Исходные данные'!$B$37)),0,-(AZ275+BA275)*N('Сценарный анализ'!$D$9))</f>
        <v>0</v>
      </c>
      <c r="BC275">
        <f t="shared" si="165"/>
        <v>0</v>
      </c>
      <c r="BD275">
        <f>IF('Исходные данные'!$B$51="Да",BC275*N('Исходные данные'!$B$52),0)</f>
        <v>0</v>
      </c>
      <c r="BE275">
        <f t="shared" si="166"/>
        <v>0</v>
      </c>
      <c r="BF275">
        <f>BC275+(Расчёты!Y275-Расчёты!L275)</f>
        <v>0</v>
      </c>
      <c r="BG275">
        <f t="shared" si="153"/>
        <v>0</v>
      </c>
      <c r="BH275">
        <f>IF('Исходные данные'!$B$51="Да",-MAX(0,BD275+Расчёты!R275+Расчёты!V275-Расчёты!P275-Расчёты!T275-BG275),0)</f>
        <v>0</v>
      </c>
      <c r="BI275">
        <f>IF('Исходные данные'!$B$51="Да",MAX(0,BG275+Расчёты!P275+Расчёты!T275-BD275-Расчёты!R275-Расчёты!V275),0)</f>
        <v>0</v>
      </c>
      <c r="BJ275">
        <f>IF('Исходные данные'!$B$53="Выручка",MAX(0,BC275+(Расчёты!Q275-Расчёты!R275)+(Расчёты!U275-Расчёты!V275)),IF('Исходные данные'!$B$53="Прибыль до налога",MAX(0,BC275+(Расчёты!Q275-Расчёты!R275)+(Расчёты!U275-Расчёты!V275)+N('Исходные данные'!$B$54)*((Расчёты!O275+Расчёты!P275)+(Расчёты!S275+Расчёты!T275)+Расчёты!W275+Расчёты!X275)+IF('Исходные данные'!$B$55="Да",Расчёты!AG275,0)-N('Исходные данные'!$B$56)/12),IF('Исходные данные'!$B$53="Пользовательская база",MAX(0,N('Исходные данные'!$B$57)/12),0)))</f>
        <v>0</v>
      </c>
      <c r="BK275">
        <f>IF(D275=1,-BJ275*N('Исходные данные'!$B$50),0)</f>
        <v>0</v>
      </c>
      <c r="BL275">
        <f t="shared" si="154"/>
        <v>0</v>
      </c>
      <c r="BM275">
        <f>IF(OR(D275&lt;&gt;1,B275="",'Исходные данные'!$B$91="",N('Исходные данные'!$B$80)&lt;=0,'Исходные данные'!$B$88=""),0,IF(AND(YEAR(B275)=YEAR('Исходные данные'!$B$91),MONTH(B275)=MONTH('Исходные данные'!$B$91)),MAX(0,IF('Исходные данные'!$B$88="Последние 12 месяцев",SUMIFS($BF$2:$BF$194,$B$2:$B$194,"&gt;="&amp;EDATE(B275,-11),$B$2:$B$194,"&lt;="&amp;B275),IF('Исходные данные'!$B$88="Пользовательский NOI",N('Исходные данные'!$B$89),BL275))/N('Исходные данные'!$B$80)*(1+N('Исходные данные'!$B$81))),0))</f>
        <v>0</v>
      </c>
      <c r="BN275">
        <f>-BM275*N('Исходные данные'!$B$73)</f>
        <v>0</v>
      </c>
      <c r="BO275">
        <f>IF(BM275=0,0,-N('Исходные данные'!$B$87)-IF('Исходные данные'!$B$82="Да",IF('Исходные данные'!$B$84="С выручки",BM275,IF('Исходные данные'!$B$84="С прибыли",MAX(0,BM275+BN275-IF('Исходные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75">
        <f t="shared" si="167"/>
        <v>0</v>
      </c>
      <c r="BQ275">
        <f>IF(D275=1,Расчёты!AZ275+BE275+BH275+BK275+BP275,0)</f>
        <v>0</v>
      </c>
      <c r="BR275" t="str">
        <f t="shared" si="155"/>
        <v/>
      </c>
      <c r="BS275">
        <f>IF(OR(D275=0,'Исходные данные'!$B$9="",'Исходные данные'!$B$90=""),0,BQ275/(1+'Исходные данные'!$B$90)^((C275-'Исходные данные'!$B$9)/365))</f>
        <v>0</v>
      </c>
      <c r="BT275">
        <f>IF(D275=1,BE275+Расчёты!O275+Расчёты!Q275+Расчёты!S275+Расчёты!U275+Расчёты!W275+Расчёты!X275+BH275+BK275,0)</f>
        <v>0</v>
      </c>
      <c r="BU275">
        <f>IF(AND(D275=1,BR275&gt;=0,BR274&lt;0,MIN($BR$2:BR275)&lt;0),1,0)</f>
        <v>0</v>
      </c>
      <c r="BV275">
        <f>Расчёты!AZ275+K275+N275-P275*N('Исходные данные'!$B$50)</f>
        <v>0</v>
      </c>
      <c r="BW275">
        <f t="shared" si="156"/>
        <v>0</v>
      </c>
      <c r="BX275">
        <f>IF(AND(BW275&gt;=0,BW274&lt;0,MIN($BW$2:BW275)&lt;0),1,0)</f>
        <v>0</v>
      </c>
      <c r="BY275">
        <f>Расчёты!AZ275+AH275+AK275-AM275*N('Исходные данные'!$B$50)</f>
        <v>0</v>
      </c>
      <c r="BZ275">
        <f t="shared" si="157"/>
        <v>0</v>
      </c>
      <c r="CA275">
        <f>IF(AND(BZ275&gt;=0,BZ274&lt;0,MIN($BZ$2:BZ275)&lt;0),1,0)</f>
        <v>0</v>
      </c>
      <c r="CB275">
        <f>Расчёты!AZ275+BE275+BH275-BJ275*N('Исходные данные'!$B$50)</f>
        <v>0</v>
      </c>
      <c r="CC275">
        <f t="shared" si="158"/>
        <v>0</v>
      </c>
      <c r="CD275">
        <f>IF(AND(CC275&gt;=0,CC274&lt;0,MIN($CC$2:CC275)&lt;0),1,0)</f>
        <v>0</v>
      </c>
    </row>
    <row r="276" spans="1:82" x14ac:dyDescent="0.2">
      <c r="A276">
        <f>Расчёты!A276</f>
        <v>275</v>
      </c>
      <c r="B276" t="str">
        <f>Расчёты!B276</f>
        <v/>
      </c>
      <c r="C276" t="str">
        <f>Расчёты!D276</f>
        <v/>
      </c>
      <c r="D276">
        <f>Расчёты!E276</f>
        <v>0</v>
      </c>
      <c r="E276">
        <f>IF(Расчёты!F276=0,0,IF(Расчёты!G276=1,N('Сценарный анализ'!$B$5),IF(Расчёты!G276=2,N('Сценарный анализ'!$B$6),IF(Расчёты!G276=3,N('Сценарный анализ'!$B$7),N('Сценарный анализ'!$B$7)*(1+N('Сценарный анализ'!$B$8))^(Расчёты!G276-3)))))</f>
        <v>0</v>
      </c>
      <c r="F276">
        <f>IF(OR(Расчёты!F276=0,N('Исходные данные'!$B$5)=0,E276=0),0,N('Исходные данные'!$B$5)*E276*IF(AND(B276&lt;='Исходные данные'!$B$30,Расчёты!C276&gt;='Исходные данные'!$B$30),(Расчёты!C276-'Исходные данные'!$B$30+1)/DAY(Расчёты!C276),1))</f>
        <v>0</v>
      </c>
      <c r="G276">
        <f>IF(AND(Расчёты!F276&gt;0,Расчёты!F276&lt;=N('Исходные данные'!$B$37)),-F276,0)</f>
        <v>0</v>
      </c>
      <c r="H276">
        <f>IF(OR(Расчёты!F276=0,Расчёты!F276&lt;=N('Исходные данные'!$B$37)),0,-(F276+G276)*N('Сценарный анализ'!$B$9))</f>
        <v>0</v>
      </c>
      <c r="I276">
        <f t="shared" si="159"/>
        <v>0</v>
      </c>
      <c r="J276">
        <f>IF('Исходные данные'!$B$51="Да",I276*N('Исходные данные'!$B$52),0)</f>
        <v>0</v>
      </c>
      <c r="K276">
        <f t="shared" si="160"/>
        <v>0</v>
      </c>
      <c r="L276">
        <f>I276+(Расчёты!Y276-Расчёты!L276)</f>
        <v>0</v>
      </c>
      <c r="M276">
        <f t="shared" si="147"/>
        <v>0</v>
      </c>
      <c r="N276">
        <f>IF('Исходные данные'!$B$51="Да",-MAX(0,J276+Расчёты!R276+Расчёты!V276-Расчёты!P276-Расчёты!T276-M276),0)</f>
        <v>0</v>
      </c>
      <c r="O276">
        <f>IF('Исходные данные'!$B$51="Да",MAX(0,M276+Расчёты!P276+Расчёты!T276-J276-Расчёты!R276-Расчёты!V276),0)</f>
        <v>0</v>
      </c>
      <c r="P276">
        <f>IF('Исходные данные'!$B$53="Выручка",MAX(0,I276+(Расчёты!Q276-Расчёты!R276)+(Расчёты!U276-Расчёты!V276)),IF('Исходные данные'!$B$53="Прибыль до налога",MAX(0,I276+(Расчёты!Q276-Расчёты!R276)+(Расчёты!U276-Расчёты!V276)+N('Исходные данные'!$B$54)*((Расчёты!O276+Расчёты!P276)+(Расчёты!S276+Расчёты!T276)+Расчёты!W276+Расчёты!X276)+IF('Исходные данные'!$B$55="Да",Расчёты!AG276,0)-N('Исходные данные'!$B$56)/12),IF('Исходные данные'!$B$53="Пользовательская база",MAX(0,N('Исходные данные'!$B$57)/12),0)))</f>
        <v>0</v>
      </c>
      <c r="Q276">
        <f>IF(D276=1,-P276*N('Исходные данные'!$B$50),0)</f>
        <v>0</v>
      </c>
      <c r="R276">
        <f t="shared" si="148"/>
        <v>0</v>
      </c>
      <c r="S276">
        <f>IF(OR(D276&lt;&gt;1,B276="",'Исходные данные'!$B$91="",N('Исходные данные'!$B$80)&lt;=0,'Исходные данные'!$B$88=""),0,IF(AND(YEAR(B276)=YEAR('Исходные данные'!$B$91),MONTH(B276)=MONTH('Исходные данные'!$B$91)),MAX(0,IF('Исходные данные'!$B$88="Последние 12 месяцев",SUMIFS($L$2:$L$194,$B$2:$B$194,"&gt;="&amp;EDATE(B276,-11),$B$2:$B$194,"&lt;="&amp;B276),IF('Исходные данные'!$B$88="Пользовательский NOI",N('Исходные данные'!$B$89),R276))/N('Исходные данные'!$B$80)*(1+N('Исходные данные'!$B$81))),0))</f>
        <v>0</v>
      </c>
      <c r="T276">
        <f>-S276*N('Исходные данные'!$B$73)</f>
        <v>0</v>
      </c>
      <c r="U276">
        <f>IF(S276=0,0,-N('Исходные данные'!$B$87)-IF('Исходные данные'!$B$82="Да",IF('Исходные данные'!$B$84="С выручки",S276,IF('Исходные данные'!$B$84="С прибыли",MAX(0,S276+T276-IF('Исходные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76">
        <f t="shared" si="161"/>
        <v>0</v>
      </c>
      <c r="W276">
        <f>IF(D276=1,Расчёты!AZ276+K276+N276+Q276+V276,0)</f>
        <v>0</v>
      </c>
      <c r="X276" t="str">
        <f t="shared" si="149"/>
        <v/>
      </c>
      <c r="Y276">
        <f>IF(OR(D276=0,'Исходные данные'!$B$9="",'Исходные данные'!$B$90=""),0,W276/(1+'Исходные данные'!$B$90)^((C276-'Исходные данные'!$B$9)/365))</f>
        <v>0</v>
      </c>
      <c r="Z276">
        <f>IF(D276=1,K276+Расчёты!O276+Расчёты!Q276+Расчёты!S276+Расчёты!U276+Расчёты!W276+Расчёты!X276+N276+Q276,0)</f>
        <v>0</v>
      </c>
      <c r="AA276">
        <f>IF(AND(D276=1,X276&gt;=0,X275&lt;0,MIN($X$2:X276)&lt;0),1,0)</f>
        <v>0</v>
      </c>
      <c r="AB276">
        <f>IF(Расчёты!F276=0,0,IF(Расчёты!G276=1,N('Сценарный анализ'!$C$5),IF(Расчёты!G276=2,N('Сценарный анализ'!$C$6),IF(Расчёты!G276=3,N('Сценарный анализ'!$C$7),N('Сценарный анализ'!$C$7)*(1+N('Сценарный анализ'!$C$8))^(Расчёты!G276-3)))))</f>
        <v>0</v>
      </c>
      <c r="AC276">
        <f>IF(OR(Расчёты!F276=0,N('Исходные данные'!$B$5)=0,AB276=0),0,N('Исходные данные'!$B$5)*AB276*IF(AND(B276&lt;='Исходные данные'!$B$30,Расчёты!C276&gt;='Исходные данные'!$B$30),(Расчёты!C276-'Исходные данные'!$B$30+1)/DAY(Расчёты!C276),1))</f>
        <v>0</v>
      </c>
      <c r="AD276">
        <f>IF(AND(Расчёты!F276&gt;0,Расчёты!F276&lt;=N('Исходные данные'!$B$37)),-AC276,0)</f>
        <v>0</v>
      </c>
      <c r="AE276">
        <f>IF(OR(Расчёты!F276=0,Расчёты!F276&lt;=N('Исходные данные'!$B$37)),0,-(AC276+AD276)*N('Сценарный анализ'!$C$9))</f>
        <v>0</v>
      </c>
      <c r="AF276">
        <f t="shared" si="162"/>
        <v>0</v>
      </c>
      <c r="AG276">
        <f>IF('Исходные данные'!$B$51="Да",AF276*N('Исходные данные'!$B$52),0)</f>
        <v>0</v>
      </c>
      <c r="AH276">
        <f t="shared" si="163"/>
        <v>0</v>
      </c>
      <c r="AI276">
        <f>AF276+(Расчёты!Y276-Расчёты!L276)</f>
        <v>0</v>
      </c>
      <c r="AJ276">
        <f t="shared" si="150"/>
        <v>0</v>
      </c>
      <c r="AK276">
        <f>IF('Исходные данные'!$B$51="Да",-MAX(0,AG276+Расчёты!R276+Расчёты!V276-Расчёты!P276-Расчёты!T276-AJ276),0)</f>
        <v>0</v>
      </c>
      <c r="AL276">
        <f>IF('Исходные данные'!$B$51="Да",MAX(0,AJ276+Расчёты!P276+Расчёты!T276-AG276-Расчёты!R276-Расчёты!V276),0)</f>
        <v>0</v>
      </c>
      <c r="AM276">
        <f>IF('Исходные данные'!$B$53="Выручка",MAX(0,AF276+(Расчёты!Q276-Расчёты!R276)+(Расчёты!U276-Расчёты!V276)),IF('Исходные данные'!$B$53="Прибыль до налога",MAX(0,AF276+(Расчёты!Q276-Расчёты!R276)+(Расчёты!U276-Расчёты!V276)+N('Исходные данные'!$B$54)*((Расчёты!O276+Расчёты!P276)+(Расчёты!S276+Расчёты!T276)+Расчёты!W276+Расчёты!X276)+IF('Исходные данные'!$B$55="Да",Расчёты!AG276,0)-N('Исходные данные'!$B$56)/12),IF('Исходные данные'!$B$53="Пользовательская база",MAX(0,N('Исходные данные'!$B$57)/12),0)))</f>
        <v>0</v>
      </c>
      <c r="AN276">
        <f>IF(D276=1,-AM276*N('Исходные данные'!$B$50),0)</f>
        <v>0</v>
      </c>
      <c r="AO276">
        <f t="shared" si="151"/>
        <v>0</v>
      </c>
      <c r="AP276">
        <f>IF(OR(D276&lt;&gt;1,B276="",'Исходные данные'!$B$91="",N('Исходные данные'!$B$80)&lt;=0,'Исходные данные'!$B$88=""),0,IF(AND(YEAR(B276)=YEAR('Исходные данные'!$B$91),MONTH(B276)=MONTH('Исходные данные'!$B$91)),MAX(0,IF('Исходные данные'!$B$88="Последние 12 месяцев",SUMIFS($AI$2:$AI$194,$B$2:$B$194,"&gt;="&amp;EDATE(B276,-11),$B$2:$B$194,"&lt;="&amp;B276),IF('Исходные данные'!$B$88="Пользовательский NOI",N('Исходные данные'!$B$89),AO276))/N('Исходные данные'!$B$80)*(1+N('Исходные данные'!$B$81))),0))</f>
        <v>0</v>
      </c>
      <c r="AQ276">
        <f>-AP276*N('Исходные данные'!$B$73)</f>
        <v>0</v>
      </c>
      <c r="AR276">
        <f>IF(AP276=0,0,-N('Исходные данные'!$B$87)-IF('Исходные данные'!$B$82="Да",IF('Исходные данные'!$B$84="С выручки",AP276,IF('Исходные данные'!$B$84="С прибыли",MAX(0,AP276+AQ276-IF('Исходные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76">
        <f t="shared" si="164"/>
        <v>0</v>
      </c>
      <c r="AT276">
        <f>IF(D276=1,Расчёты!AZ276+AH276+AK276+AN276+AS276,0)</f>
        <v>0</v>
      </c>
      <c r="AU276" t="str">
        <f t="shared" si="152"/>
        <v/>
      </c>
      <c r="AV276">
        <f>IF(OR(D276=0,'Исходные данные'!$B$9="",'Исходные данные'!$B$90=""),0,AT276/(1+'Исходные данные'!$B$90)^((C276-'Исходные данные'!$B$9)/365))</f>
        <v>0</v>
      </c>
      <c r="AW276">
        <f>IF(D276=1,AH276+Расчёты!O276+Расчёты!Q276+Расчёты!S276+Расчёты!U276+Расчёты!W276+Расчёты!X276+AK276+AN276,0)</f>
        <v>0</v>
      </c>
      <c r="AX276">
        <f>IF(AND(D276=1,AU276&gt;=0,AU275&lt;0,MIN($AU$2:AU276)&lt;0),1,0)</f>
        <v>0</v>
      </c>
      <c r="AY276">
        <f>IF(Расчёты!F276=0,0,IF(Расчёты!G276=1,N('Сценарный анализ'!$D$5),IF(Расчёты!G276=2,N('Сценарный анализ'!$D$6),IF(Расчёты!G276=3,N('Сценарный анализ'!$D$7),N('Сценарный анализ'!$D$7)*(1+N('Сценарный анализ'!$D$8))^(Расчёты!G276-3)))))</f>
        <v>0</v>
      </c>
      <c r="AZ276">
        <f>IF(OR(Расчёты!F276=0,N('Исходные данные'!$B$5)=0,AY276=0),0,N('Исходные данные'!$B$5)*AY276*IF(AND(B276&lt;='Исходные данные'!$B$30,Расчёты!C276&gt;='Исходные данные'!$B$30),(Расчёты!C276-'Исходные данные'!$B$30+1)/DAY(Расчёты!C276),1))</f>
        <v>0</v>
      </c>
      <c r="BA276">
        <f>IF(AND(Расчёты!F276&gt;0,Расчёты!F276&lt;=N('Исходные данные'!$B$37)),-AZ276,0)</f>
        <v>0</v>
      </c>
      <c r="BB276">
        <f>IF(OR(Расчёты!F276=0,Расчёты!F276&lt;=N('Исходные данные'!$B$37)),0,-(AZ276+BA276)*N('Сценарный анализ'!$D$9))</f>
        <v>0</v>
      </c>
      <c r="BC276">
        <f t="shared" si="165"/>
        <v>0</v>
      </c>
      <c r="BD276">
        <f>IF('Исходные данные'!$B$51="Да",BC276*N('Исходные данные'!$B$52),0)</f>
        <v>0</v>
      </c>
      <c r="BE276">
        <f t="shared" si="166"/>
        <v>0</v>
      </c>
      <c r="BF276">
        <f>BC276+(Расчёты!Y276-Расчёты!L276)</f>
        <v>0</v>
      </c>
      <c r="BG276">
        <f t="shared" si="153"/>
        <v>0</v>
      </c>
      <c r="BH276">
        <f>IF('Исходные данные'!$B$51="Да",-MAX(0,BD276+Расчёты!R276+Расчёты!V276-Расчёты!P276-Расчёты!T276-BG276),0)</f>
        <v>0</v>
      </c>
      <c r="BI276">
        <f>IF('Исходные данные'!$B$51="Да",MAX(0,BG276+Расчёты!P276+Расчёты!T276-BD276-Расчёты!R276-Расчёты!V276),0)</f>
        <v>0</v>
      </c>
      <c r="BJ276">
        <f>IF('Исходные данные'!$B$53="Выручка",MAX(0,BC276+(Расчёты!Q276-Расчёты!R276)+(Расчёты!U276-Расчёты!V276)),IF('Исходные данные'!$B$53="Прибыль до налога",MAX(0,BC276+(Расчёты!Q276-Расчёты!R276)+(Расчёты!U276-Расчёты!V276)+N('Исходные данные'!$B$54)*((Расчёты!O276+Расчёты!P276)+(Расчёты!S276+Расчёты!T276)+Расчёты!W276+Расчёты!X276)+IF('Исходные данные'!$B$55="Да",Расчёты!AG276,0)-N('Исходные данные'!$B$56)/12),IF('Исходные данные'!$B$53="Пользовательская база",MAX(0,N('Исходные данные'!$B$57)/12),0)))</f>
        <v>0</v>
      </c>
      <c r="BK276">
        <f>IF(D276=1,-BJ276*N('Исходные данные'!$B$50),0)</f>
        <v>0</v>
      </c>
      <c r="BL276">
        <f t="shared" si="154"/>
        <v>0</v>
      </c>
      <c r="BM276">
        <f>IF(OR(D276&lt;&gt;1,B276="",'Исходные данные'!$B$91="",N('Исходные данные'!$B$80)&lt;=0,'Исходные данные'!$B$88=""),0,IF(AND(YEAR(B276)=YEAR('Исходные данные'!$B$91),MONTH(B276)=MONTH('Исходные данные'!$B$91)),MAX(0,IF('Исходные данные'!$B$88="Последние 12 месяцев",SUMIFS($BF$2:$BF$194,$B$2:$B$194,"&gt;="&amp;EDATE(B276,-11),$B$2:$B$194,"&lt;="&amp;B276),IF('Исходные данные'!$B$88="Пользовательский NOI",N('Исходные данные'!$B$89),BL276))/N('Исходные данные'!$B$80)*(1+N('Исходные данные'!$B$81))),0))</f>
        <v>0</v>
      </c>
      <c r="BN276">
        <f>-BM276*N('Исходные данные'!$B$73)</f>
        <v>0</v>
      </c>
      <c r="BO276">
        <f>IF(BM276=0,0,-N('Исходные данные'!$B$87)-IF('Исходные данные'!$B$82="Да",IF('Исходные данные'!$B$84="С выручки",BM276,IF('Исходные данные'!$B$84="С прибыли",MAX(0,BM276+BN276-IF('Исходные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76">
        <f t="shared" si="167"/>
        <v>0</v>
      </c>
      <c r="BQ276">
        <f>IF(D276=1,Расчёты!AZ276+BE276+BH276+BK276+BP276,0)</f>
        <v>0</v>
      </c>
      <c r="BR276" t="str">
        <f t="shared" si="155"/>
        <v/>
      </c>
      <c r="BS276">
        <f>IF(OR(D276=0,'Исходные данные'!$B$9="",'Исходные данные'!$B$90=""),0,BQ276/(1+'Исходные данные'!$B$90)^((C276-'Исходные данные'!$B$9)/365))</f>
        <v>0</v>
      </c>
      <c r="BT276">
        <f>IF(D276=1,BE276+Расчёты!O276+Расчёты!Q276+Расчёты!S276+Расчёты!U276+Расчёты!W276+Расчёты!X276+BH276+BK276,0)</f>
        <v>0</v>
      </c>
      <c r="BU276">
        <f>IF(AND(D276=1,BR276&gt;=0,BR275&lt;0,MIN($BR$2:BR276)&lt;0),1,0)</f>
        <v>0</v>
      </c>
      <c r="BV276">
        <f>Расчёты!AZ276+K276+N276-P276*N('Исходные данные'!$B$50)</f>
        <v>0</v>
      </c>
      <c r="BW276">
        <f t="shared" si="156"/>
        <v>0</v>
      </c>
      <c r="BX276">
        <f>IF(AND(BW276&gt;=0,BW275&lt;0,MIN($BW$2:BW276)&lt;0),1,0)</f>
        <v>0</v>
      </c>
      <c r="BY276">
        <f>Расчёты!AZ276+AH276+AK276-AM276*N('Исходные данные'!$B$50)</f>
        <v>0</v>
      </c>
      <c r="BZ276">
        <f t="shared" si="157"/>
        <v>0</v>
      </c>
      <c r="CA276">
        <f>IF(AND(BZ276&gt;=0,BZ275&lt;0,MIN($BZ$2:BZ276)&lt;0),1,0)</f>
        <v>0</v>
      </c>
      <c r="CB276">
        <f>Расчёты!AZ276+BE276+BH276-BJ276*N('Исходные данные'!$B$50)</f>
        <v>0</v>
      </c>
      <c r="CC276">
        <f t="shared" si="158"/>
        <v>0</v>
      </c>
      <c r="CD276">
        <f>IF(AND(CC276&gt;=0,CC275&lt;0,MIN($CC$2:CC276)&lt;0),1,0)</f>
        <v>0</v>
      </c>
    </row>
    <row r="277" spans="1:82" x14ac:dyDescent="0.2">
      <c r="A277">
        <f>Расчёты!A277</f>
        <v>276</v>
      </c>
      <c r="B277" t="str">
        <f>Расчёты!B277</f>
        <v/>
      </c>
      <c r="C277" t="str">
        <f>Расчёты!D277</f>
        <v/>
      </c>
      <c r="D277">
        <f>Расчёты!E277</f>
        <v>0</v>
      </c>
      <c r="E277">
        <f>IF(Расчёты!F277=0,0,IF(Расчёты!G277=1,N('Сценарный анализ'!$B$5),IF(Расчёты!G277=2,N('Сценарный анализ'!$B$6),IF(Расчёты!G277=3,N('Сценарный анализ'!$B$7),N('Сценарный анализ'!$B$7)*(1+N('Сценарный анализ'!$B$8))^(Расчёты!G277-3)))))</f>
        <v>0</v>
      </c>
      <c r="F277">
        <f>IF(OR(Расчёты!F277=0,N('Исходные данные'!$B$5)=0,E277=0),0,N('Исходные данные'!$B$5)*E277*IF(AND(B277&lt;='Исходные данные'!$B$30,Расчёты!C277&gt;='Исходные данные'!$B$30),(Расчёты!C277-'Исходные данные'!$B$30+1)/DAY(Расчёты!C277),1))</f>
        <v>0</v>
      </c>
      <c r="G277">
        <f>IF(AND(Расчёты!F277&gt;0,Расчёты!F277&lt;=N('Исходные данные'!$B$37)),-F277,0)</f>
        <v>0</v>
      </c>
      <c r="H277">
        <f>IF(OR(Расчёты!F277=0,Расчёты!F277&lt;=N('Исходные данные'!$B$37)),0,-(F277+G277)*N('Сценарный анализ'!$B$9))</f>
        <v>0</v>
      </c>
      <c r="I277">
        <f t="shared" si="159"/>
        <v>0</v>
      </c>
      <c r="J277">
        <f>IF('Исходные данные'!$B$51="Да",I277*N('Исходные данные'!$B$52),0)</f>
        <v>0</v>
      </c>
      <c r="K277">
        <f t="shared" si="160"/>
        <v>0</v>
      </c>
      <c r="L277">
        <f>I277+(Расчёты!Y277-Расчёты!L277)</f>
        <v>0</v>
      </c>
      <c r="M277">
        <f t="shared" si="147"/>
        <v>0</v>
      </c>
      <c r="N277">
        <f>IF('Исходные данные'!$B$51="Да",-MAX(0,J277+Расчёты!R277+Расчёты!V277-Расчёты!P277-Расчёты!T277-M277),0)</f>
        <v>0</v>
      </c>
      <c r="O277">
        <f>IF('Исходные данные'!$B$51="Да",MAX(0,M277+Расчёты!P277+Расчёты!T277-J277-Расчёты!R277-Расчёты!V277),0)</f>
        <v>0</v>
      </c>
      <c r="P277">
        <f>IF('Исходные данные'!$B$53="Выручка",MAX(0,I277+(Расчёты!Q277-Расчёты!R277)+(Расчёты!U277-Расчёты!V277)),IF('Исходные данные'!$B$53="Прибыль до налога",MAX(0,I277+(Расчёты!Q277-Расчёты!R277)+(Расчёты!U277-Расчёты!V277)+N('Исходные данные'!$B$54)*((Расчёты!O277+Расчёты!P277)+(Расчёты!S277+Расчёты!T277)+Расчёты!W277+Расчёты!X277)+IF('Исходные данные'!$B$55="Да",Расчёты!AG277,0)-N('Исходные данные'!$B$56)/12),IF('Исходные данные'!$B$53="Пользовательская база",MAX(0,N('Исходные данные'!$B$57)/12),0)))</f>
        <v>0</v>
      </c>
      <c r="Q277">
        <f>IF(D277=1,-P277*N('Исходные данные'!$B$50),0)</f>
        <v>0</v>
      </c>
      <c r="R277">
        <f t="shared" si="148"/>
        <v>0</v>
      </c>
      <c r="S277">
        <f>IF(OR(D277&lt;&gt;1,B277="",'Исходные данные'!$B$91="",N('Исходные данные'!$B$80)&lt;=0,'Исходные данные'!$B$88=""),0,IF(AND(YEAR(B277)=YEAR('Исходные данные'!$B$91),MONTH(B277)=MONTH('Исходные данные'!$B$91)),MAX(0,IF('Исходные данные'!$B$88="Последние 12 месяцев",SUMIFS($L$2:$L$194,$B$2:$B$194,"&gt;="&amp;EDATE(B277,-11),$B$2:$B$194,"&lt;="&amp;B277),IF('Исходные данные'!$B$88="Пользовательский NOI",N('Исходные данные'!$B$89),R277))/N('Исходные данные'!$B$80)*(1+N('Исходные данные'!$B$81))),0))</f>
        <v>0</v>
      </c>
      <c r="T277">
        <f>-S277*N('Исходные данные'!$B$73)</f>
        <v>0</v>
      </c>
      <c r="U277">
        <f>IF(S277=0,0,-N('Исходные данные'!$B$87)-IF('Исходные данные'!$B$82="Да",IF('Исходные данные'!$B$84="С выручки",S277,IF('Исходные данные'!$B$84="С прибыли",MAX(0,S277+T277-IF('Исходные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77">
        <f t="shared" si="161"/>
        <v>0</v>
      </c>
      <c r="W277">
        <f>IF(D277=1,Расчёты!AZ277+K277+N277+Q277+V277,0)</f>
        <v>0</v>
      </c>
      <c r="X277" t="str">
        <f t="shared" si="149"/>
        <v/>
      </c>
      <c r="Y277">
        <f>IF(OR(D277=0,'Исходные данные'!$B$9="",'Исходные данные'!$B$90=""),0,W277/(1+'Исходные данные'!$B$90)^((C277-'Исходные данные'!$B$9)/365))</f>
        <v>0</v>
      </c>
      <c r="Z277">
        <f>IF(D277=1,K277+Расчёты!O277+Расчёты!Q277+Расчёты!S277+Расчёты!U277+Расчёты!W277+Расчёты!X277+N277+Q277,0)</f>
        <v>0</v>
      </c>
      <c r="AA277">
        <f>IF(AND(D277=1,X277&gt;=0,X276&lt;0,MIN($X$2:X277)&lt;0),1,0)</f>
        <v>0</v>
      </c>
      <c r="AB277">
        <f>IF(Расчёты!F277=0,0,IF(Расчёты!G277=1,N('Сценарный анализ'!$C$5),IF(Расчёты!G277=2,N('Сценарный анализ'!$C$6),IF(Расчёты!G277=3,N('Сценарный анализ'!$C$7),N('Сценарный анализ'!$C$7)*(1+N('Сценарный анализ'!$C$8))^(Расчёты!G277-3)))))</f>
        <v>0</v>
      </c>
      <c r="AC277">
        <f>IF(OR(Расчёты!F277=0,N('Исходные данные'!$B$5)=0,AB277=0),0,N('Исходные данные'!$B$5)*AB277*IF(AND(B277&lt;='Исходные данные'!$B$30,Расчёты!C277&gt;='Исходные данные'!$B$30),(Расчёты!C277-'Исходные данные'!$B$30+1)/DAY(Расчёты!C277),1))</f>
        <v>0</v>
      </c>
      <c r="AD277">
        <f>IF(AND(Расчёты!F277&gt;0,Расчёты!F277&lt;=N('Исходные данные'!$B$37)),-AC277,0)</f>
        <v>0</v>
      </c>
      <c r="AE277">
        <f>IF(OR(Расчёты!F277=0,Расчёты!F277&lt;=N('Исходные данные'!$B$37)),0,-(AC277+AD277)*N('Сценарный анализ'!$C$9))</f>
        <v>0</v>
      </c>
      <c r="AF277">
        <f t="shared" si="162"/>
        <v>0</v>
      </c>
      <c r="AG277">
        <f>IF('Исходные данные'!$B$51="Да",AF277*N('Исходные данные'!$B$52),0)</f>
        <v>0</v>
      </c>
      <c r="AH277">
        <f t="shared" si="163"/>
        <v>0</v>
      </c>
      <c r="AI277">
        <f>AF277+(Расчёты!Y277-Расчёты!L277)</f>
        <v>0</v>
      </c>
      <c r="AJ277">
        <f t="shared" si="150"/>
        <v>0</v>
      </c>
      <c r="AK277">
        <f>IF('Исходные данные'!$B$51="Да",-MAX(0,AG277+Расчёты!R277+Расчёты!V277-Расчёты!P277-Расчёты!T277-AJ277),0)</f>
        <v>0</v>
      </c>
      <c r="AL277">
        <f>IF('Исходные данные'!$B$51="Да",MAX(0,AJ277+Расчёты!P277+Расчёты!T277-AG277-Расчёты!R277-Расчёты!V277),0)</f>
        <v>0</v>
      </c>
      <c r="AM277">
        <f>IF('Исходные данные'!$B$53="Выручка",MAX(0,AF277+(Расчёты!Q277-Расчёты!R277)+(Расчёты!U277-Расчёты!V277)),IF('Исходные данные'!$B$53="Прибыль до налога",MAX(0,AF277+(Расчёты!Q277-Расчёты!R277)+(Расчёты!U277-Расчёты!V277)+N('Исходные данные'!$B$54)*((Расчёты!O277+Расчёты!P277)+(Расчёты!S277+Расчёты!T277)+Расчёты!W277+Расчёты!X277)+IF('Исходные данные'!$B$55="Да",Расчёты!AG277,0)-N('Исходные данные'!$B$56)/12),IF('Исходные данные'!$B$53="Пользовательская база",MAX(0,N('Исходные данные'!$B$57)/12),0)))</f>
        <v>0</v>
      </c>
      <c r="AN277">
        <f>IF(D277=1,-AM277*N('Исходные данные'!$B$50),0)</f>
        <v>0</v>
      </c>
      <c r="AO277">
        <f t="shared" si="151"/>
        <v>0</v>
      </c>
      <c r="AP277">
        <f>IF(OR(D277&lt;&gt;1,B277="",'Исходные данные'!$B$91="",N('Исходные данные'!$B$80)&lt;=0,'Исходные данные'!$B$88=""),0,IF(AND(YEAR(B277)=YEAR('Исходные данные'!$B$91),MONTH(B277)=MONTH('Исходные данные'!$B$91)),MAX(0,IF('Исходные данные'!$B$88="Последние 12 месяцев",SUMIFS($AI$2:$AI$194,$B$2:$B$194,"&gt;="&amp;EDATE(B277,-11),$B$2:$B$194,"&lt;="&amp;B277),IF('Исходные данные'!$B$88="Пользовательский NOI",N('Исходные данные'!$B$89),AO277))/N('Исходные данные'!$B$80)*(1+N('Исходные данные'!$B$81))),0))</f>
        <v>0</v>
      </c>
      <c r="AQ277">
        <f>-AP277*N('Исходные данные'!$B$73)</f>
        <v>0</v>
      </c>
      <c r="AR277">
        <f>IF(AP277=0,0,-N('Исходные данные'!$B$87)-IF('Исходные данные'!$B$82="Да",IF('Исходные данные'!$B$84="С выручки",AP277,IF('Исходные данные'!$B$84="С прибыли",MAX(0,AP277+AQ277-IF('Исходные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77">
        <f t="shared" si="164"/>
        <v>0</v>
      </c>
      <c r="AT277">
        <f>IF(D277=1,Расчёты!AZ277+AH277+AK277+AN277+AS277,0)</f>
        <v>0</v>
      </c>
      <c r="AU277" t="str">
        <f t="shared" si="152"/>
        <v/>
      </c>
      <c r="AV277">
        <f>IF(OR(D277=0,'Исходные данные'!$B$9="",'Исходные данные'!$B$90=""),0,AT277/(1+'Исходные данные'!$B$90)^((C277-'Исходные данные'!$B$9)/365))</f>
        <v>0</v>
      </c>
      <c r="AW277">
        <f>IF(D277=1,AH277+Расчёты!O277+Расчёты!Q277+Расчёты!S277+Расчёты!U277+Расчёты!W277+Расчёты!X277+AK277+AN277,0)</f>
        <v>0</v>
      </c>
      <c r="AX277">
        <f>IF(AND(D277=1,AU277&gt;=0,AU276&lt;0,MIN($AU$2:AU277)&lt;0),1,0)</f>
        <v>0</v>
      </c>
      <c r="AY277">
        <f>IF(Расчёты!F277=0,0,IF(Расчёты!G277=1,N('Сценарный анализ'!$D$5),IF(Расчёты!G277=2,N('Сценарный анализ'!$D$6),IF(Расчёты!G277=3,N('Сценарный анализ'!$D$7),N('Сценарный анализ'!$D$7)*(1+N('Сценарный анализ'!$D$8))^(Расчёты!G277-3)))))</f>
        <v>0</v>
      </c>
      <c r="AZ277">
        <f>IF(OR(Расчёты!F277=0,N('Исходные данные'!$B$5)=0,AY277=0),0,N('Исходные данные'!$B$5)*AY277*IF(AND(B277&lt;='Исходные данные'!$B$30,Расчёты!C277&gt;='Исходные данные'!$B$30),(Расчёты!C277-'Исходные данные'!$B$30+1)/DAY(Расчёты!C277),1))</f>
        <v>0</v>
      </c>
      <c r="BA277">
        <f>IF(AND(Расчёты!F277&gt;0,Расчёты!F277&lt;=N('Исходные данные'!$B$37)),-AZ277,0)</f>
        <v>0</v>
      </c>
      <c r="BB277">
        <f>IF(OR(Расчёты!F277=0,Расчёты!F277&lt;=N('Исходные данные'!$B$37)),0,-(AZ277+BA277)*N('Сценарный анализ'!$D$9))</f>
        <v>0</v>
      </c>
      <c r="BC277">
        <f t="shared" si="165"/>
        <v>0</v>
      </c>
      <c r="BD277">
        <f>IF('Исходные данные'!$B$51="Да",BC277*N('Исходные данные'!$B$52),0)</f>
        <v>0</v>
      </c>
      <c r="BE277">
        <f t="shared" si="166"/>
        <v>0</v>
      </c>
      <c r="BF277">
        <f>BC277+(Расчёты!Y277-Расчёты!L277)</f>
        <v>0</v>
      </c>
      <c r="BG277">
        <f t="shared" si="153"/>
        <v>0</v>
      </c>
      <c r="BH277">
        <f>IF('Исходные данные'!$B$51="Да",-MAX(0,BD277+Расчёты!R277+Расчёты!V277-Расчёты!P277-Расчёты!T277-BG277),0)</f>
        <v>0</v>
      </c>
      <c r="BI277">
        <f>IF('Исходные данные'!$B$51="Да",MAX(0,BG277+Расчёты!P277+Расчёты!T277-BD277-Расчёты!R277-Расчёты!V277),0)</f>
        <v>0</v>
      </c>
      <c r="BJ277">
        <f>IF('Исходные данные'!$B$53="Выручка",MAX(0,BC277+(Расчёты!Q277-Расчёты!R277)+(Расчёты!U277-Расчёты!V277)),IF('Исходные данные'!$B$53="Прибыль до налога",MAX(0,BC277+(Расчёты!Q277-Расчёты!R277)+(Расчёты!U277-Расчёты!V277)+N('Исходные данные'!$B$54)*((Расчёты!O277+Расчёты!P277)+(Расчёты!S277+Расчёты!T277)+Расчёты!W277+Расчёты!X277)+IF('Исходные данные'!$B$55="Да",Расчёты!AG277,0)-N('Исходные данные'!$B$56)/12),IF('Исходные данные'!$B$53="Пользовательская база",MAX(0,N('Исходные данные'!$B$57)/12),0)))</f>
        <v>0</v>
      </c>
      <c r="BK277">
        <f>IF(D277=1,-BJ277*N('Исходные данные'!$B$50),0)</f>
        <v>0</v>
      </c>
      <c r="BL277">
        <f t="shared" si="154"/>
        <v>0</v>
      </c>
      <c r="BM277">
        <f>IF(OR(D277&lt;&gt;1,B277="",'Исходные данные'!$B$91="",N('Исходные данные'!$B$80)&lt;=0,'Исходные данные'!$B$88=""),0,IF(AND(YEAR(B277)=YEAR('Исходные данные'!$B$91),MONTH(B277)=MONTH('Исходные данные'!$B$91)),MAX(0,IF('Исходные данные'!$B$88="Последние 12 месяцев",SUMIFS($BF$2:$BF$194,$B$2:$B$194,"&gt;="&amp;EDATE(B277,-11),$B$2:$B$194,"&lt;="&amp;B277),IF('Исходные данные'!$B$88="Пользовательский NOI",N('Исходные данные'!$B$89),BL277))/N('Исходные данные'!$B$80)*(1+N('Исходные данные'!$B$81))),0))</f>
        <v>0</v>
      </c>
      <c r="BN277">
        <f>-BM277*N('Исходные данные'!$B$73)</f>
        <v>0</v>
      </c>
      <c r="BO277">
        <f>IF(BM277=0,0,-N('Исходные данные'!$B$87)-IF('Исходные данные'!$B$82="Да",IF('Исходные данные'!$B$84="С выручки",BM277,IF('Исходные данные'!$B$84="С прибыли",MAX(0,BM277+BN277-IF('Исходные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77">
        <f t="shared" si="167"/>
        <v>0</v>
      </c>
      <c r="BQ277">
        <f>IF(D277=1,Расчёты!AZ277+BE277+BH277+BK277+BP277,0)</f>
        <v>0</v>
      </c>
      <c r="BR277" t="str">
        <f t="shared" si="155"/>
        <v/>
      </c>
      <c r="BS277">
        <f>IF(OR(D277=0,'Исходные данные'!$B$9="",'Исходные данные'!$B$90=""),0,BQ277/(1+'Исходные данные'!$B$90)^((C277-'Исходные данные'!$B$9)/365))</f>
        <v>0</v>
      </c>
      <c r="BT277">
        <f>IF(D277=1,BE277+Расчёты!O277+Расчёты!Q277+Расчёты!S277+Расчёты!U277+Расчёты!W277+Расчёты!X277+BH277+BK277,0)</f>
        <v>0</v>
      </c>
      <c r="BU277">
        <f>IF(AND(D277=1,BR277&gt;=0,BR276&lt;0,MIN($BR$2:BR277)&lt;0),1,0)</f>
        <v>0</v>
      </c>
      <c r="BV277">
        <f>Расчёты!AZ277+K277+N277-P277*N('Исходные данные'!$B$50)</f>
        <v>0</v>
      </c>
      <c r="BW277">
        <f t="shared" si="156"/>
        <v>0</v>
      </c>
      <c r="BX277">
        <f>IF(AND(BW277&gt;=0,BW276&lt;0,MIN($BW$2:BW277)&lt;0),1,0)</f>
        <v>0</v>
      </c>
      <c r="BY277">
        <f>Расчёты!AZ277+AH277+AK277-AM277*N('Исходные данные'!$B$50)</f>
        <v>0</v>
      </c>
      <c r="BZ277">
        <f t="shared" si="157"/>
        <v>0</v>
      </c>
      <c r="CA277">
        <f>IF(AND(BZ277&gt;=0,BZ276&lt;0,MIN($BZ$2:BZ277)&lt;0),1,0)</f>
        <v>0</v>
      </c>
      <c r="CB277">
        <f>Расчёты!AZ277+BE277+BH277-BJ277*N('Исходные данные'!$B$50)</f>
        <v>0</v>
      </c>
      <c r="CC277">
        <f t="shared" si="158"/>
        <v>0</v>
      </c>
      <c r="CD277">
        <f>IF(AND(CC277&gt;=0,CC276&lt;0,MIN($CC$2:CC277)&lt;0),1,0)</f>
        <v>0</v>
      </c>
    </row>
    <row r="278" spans="1:82" x14ac:dyDescent="0.2">
      <c r="A278">
        <f>Расчёты!A278</f>
        <v>277</v>
      </c>
      <c r="B278" t="str">
        <f>Расчёты!B278</f>
        <v/>
      </c>
      <c r="C278" t="str">
        <f>Расчёты!D278</f>
        <v/>
      </c>
      <c r="D278">
        <f>Расчёты!E278</f>
        <v>0</v>
      </c>
      <c r="E278">
        <f>IF(Расчёты!F278=0,0,IF(Расчёты!G278=1,N('Сценарный анализ'!$B$5),IF(Расчёты!G278=2,N('Сценарный анализ'!$B$6),IF(Расчёты!G278=3,N('Сценарный анализ'!$B$7),N('Сценарный анализ'!$B$7)*(1+N('Сценарный анализ'!$B$8))^(Расчёты!G278-3)))))</f>
        <v>0</v>
      </c>
      <c r="F278">
        <f>IF(OR(Расчёты!F278=0,N('Исходные данные'!$B$5)=0,E278=0),0,N('Исходные данные'!$B$5)*E278*IF(AND(B278&lt;='Исходные данные'!$B$30,Расчёты!C278&gt;='Исходные данные'!$B$30),(Расчёты!C278-'Исходные данные'!$B$30+1)/DAY(Расчёты!C278),1))</f>
        <v>0</v>
      </c>
      <c r="G278">
        <f>IF(AND(Расчёты!F278&gt;0,Расчёты!F278&lt;=N('Исходные данные'!$B$37)),-F278,0)</f>
        <v>0</v>
      </c>
      <c r="H278">
        <f>IF(OR(Расчёты!F278=0,Расчёты!F278&lt;=N('Исходные данные'!$B$37)),0,-(F278+G278)*N('Сценарный анализ'!$B$9))</f>
        <v>0</v>
      </c>
      <c r="I278">
        <f t="shared" si="159"/>
        <v>0</v>
      </c>
      <c r="J278">
        <f>IF('Исходные данные'!$B$51="Да",I278*N('Исходные данные'!$B$52),0)</f>
        <v>0</v>
      </c>
      <c r="K278">
        <f t="shared" si="160"/>
        <v>0</v>
      </c>
      <c r="L278">
        <f>I278+(Расчёты!Y278-Расчёты!L278)</f>
        <v>0</v>
      </c>
      <c r="M278">
        <f t="shared" si="147"/>
        <v>0</v>
      </c>
      <c r="N278">
        <f>IF('Исходные данные'!$B$51="Да",-MAX(0,J278+Расчёты!R278+Расчёты!V278-Расчёты!P278-Расчёты!T278-M278),0)</f>
        <v>0</v>
      </c>
      <c r="O278">
        <f>IF('Исходные данные'!$B$51="Да",MAX(0,M278+Расчёты!P278+Расчёты!T278-J278-Расчёты!R278-Расчёты!V278),0)</f>
        <v>0</v>
      </c>
      <c r="P278">
        <f>IF('Исходные данные'!$B$53="Выручка",MAX(0,I278+(Расчёты!Q278-Расчёты!R278)+(Расчёты!U278-Расчёты!V278)),IF('Исходные данные'!$B$53="Прибыль до налога",MAX(0,I278+(Расчёты!Q278-Расчёты!R278)+(Расчёты!U278-Расчёты!V278)+N('Исходные данные'!$B$54)*((Расчёты!O278+Расчёты!P278)+(Расчёты!S278+Расчёты!T278)+Расчёты!W278+Расчёты!X278)+IF('Исходные данные'!$B$55="Да",Расчёты!AG278,0)-N('Исходные данные'!$B$56)/12),IF('Исходные данные'!$B$53="Пользовательская база",MAX(0,N('Исходные данные'!$B$57)/12),0)))</f>
        <v>0</v>
      </c>
      <c r="Q278">
        <f>IF(D278=1,-P278*N('Исходные данные'!$B$50),0)</f>
        <v>0</v>
      </c>
      <c r="R278">
        <f t="shared" si="148"/>
        <v>0</v>
      </c>
      <c r="S278">
        <f>IF(OR(D278&lt;&gt;1,B278="",'Исходные данные'!$B$91="",N('Исходные данные'!$B$80)&lt;=0,'Исходные данные'!$B$88=""),0,IF(AND(YEAR(B278)=YEAR('Исходные данные'!$B$91),MONTH(B278)=MONTH('Исходные данные'!$B$91)),MAX(0,IF('Исходные данные'!$B$88="Последние 12 месяцев",SUMIFS($L$2:$L$194,$B$2:$B$194,"&gt;="&amp;EDATE(B278,-11),$B$2:$B$194,"&lt;="&amp;B278),IF('Исходные данные'!$B$88="Пользовательский NOI",N('Исходные данные'!$B$89),R278))/N('Исходные данные'!$B$80)*(1+N('Исходные данные'!$B$81))),0))</f>
        <v>0</v>
      </c>
      <c r="T278">
        <f>-S278*N('Исходные данные'!$B$73)</f>
        <v>0</v>
      </c>
      <c r="U278">
        <f>IF(S278=0,0,-N('Исходные данные'!$B$87)-IF('Исходные данные'!$B$82="Да",IF('Исходные данные'!$B$84="С выручки",S278,IF('Исходные данные'!$B$84="С прибыли",MAX(0,S278+T278-IF('Исходные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78">
        <f t="shared" si="161"/>
        <v>0</v>
      </c>
      <c r="W278">
        <f>IF(D278=1,Расчёты!AZ278+K278+N278+Q278+V278,0)</f>
        <v>0</v>
      </c>
      <c r="X278" t="str">
        <f t="shared" si="149"/>
        <v/>
      </c>
      <c r="Y278">
        <f>IF(OR(D278=0,'Исходные данные'!$B$9="",'Исходные данные'!$B$90=""),0,W278/(1+'Исходные данные'!$B$90)^((C278-'Исходные данные'!$B$9)/365))</f>
        <v>0</v>
      </c>
      <c r="Z278">
        <f>IF(D278=1,K278+Расчёты!O278+Расчёты!Q278+Расчёты!S278+Расчёты!U278+Расчёты!W278+Расчёты!X278+N278+Q278,0)</f>
        <v>0</v>
      </c>
      <c r="AA278">
        <f>IF(AND(D278=1,X278&gt;=0,X277&lt;0,MIN($X$2:X278)&lt;0),1,0)</f>
        <v>0</v>
      </c>
      <c r="AB278">
        <f>IF(Расчёты!F278=0,0,IF(Расчёты!G278=1,N('Сценарный анализ'!$C$5),IF(Расчёты!G278=2,N('Сценарный анализ'!$C$6),IF(Расчёты!G278=3,N('Сценарный анализ'!$C$7),N('Сценарный анализ'!$C$7)*(1+N('Сценарный анализ'!$C$8))^(Расчёты!G278-3)))))</f>
        <v>0</v>
      </c>
      <c r="AC278">
        <f>IF(OR(Расчёты!F278=0,N('Исходные данные'!$B$5)=0,AB278=0),0,N('Исходные данные'!$B$5)*AB278*IF(AND(B278&lt;='Исходные данные'!$B$30,Расчёты!C278&gt;='Исходные данные'!$B$30),(Расчёты!C278-'Исходные данные'!$B$30+1)/DAY(Расчёты!C278),1))</f>
        <v>0</v>
      </c>
      <c r="AD278">
        <f>IF(AND(Расчёты!F278&gt;0,Расчёты!F278&lt;=N('Исходные данные'!$B$37)),-AC278,0)</f>
        <v>0</v>
      </c>
      <c r="AE278">
        <f>IF(OR(Расчёты!F278=0,Расчёты!F278&lt;=N('Исходные данные'!$B$37)),0,-(AC278+AD278)*N('Сценарный анализ'!$C$9))</f>
        <v>0</v>
      </c>
      <c r="AF278">
        <f t="shared" si="162"/>
        <v>0</v>
      </c>
      <c r="AG278">
        <f>IF('Исходные данные'!$B$51="Да",AF278*N('Исходные данные'!$B$52),0)</f>
        <v>0</v>
      </c>
      <c r="AH278">
        <f t="shared" si="163"/>
        <v>0</v>
      </c>
      <c r="AI278">
        <f>AF278+(Расчёты!Y278-Расчёты!L278)</f>
        <v>0</v>
      </c>
      <c r="AJ278">
        <f t="shared" si="150"/>
        <v>0</v>
      </c>
      <c r="AK278">
        <f>IF('Исходные данные'!$B$51="Да",-MAX(0,AG278+Расчёты!R278+Расчёты!V278-Расчёты!P278-Расчёты!T278-AJ278),0)</f>
        <v>0</v>
      </c>
      <c r="AL278">
        <f>IF('Исходные данные'!$B$51="Да",MAX(0,AJ278+Расчёты!P278+Расчёты!T278-AG278-Расчёты!R278-Расчёты!V278),0)</f>
        <v>0</v>
      </c>
      <c r="AM278">
        <f>IF('Исходные данные'!$B$53="Выручка",MAX(0,AF278+(Расчёты!Q278-Расчёты!R278)+(Расчёты!U278-Расчёты!V278)),IF('Исходные данные'!$B$53="Прибыль до налога",MAX(0,AF278+(Расчёты!Q278-Расчёты!R278)+(Расчёты!U278-Расчёты!V278)+N('Исходные данные'!$B$54)*((Расчёты!O278+Расчёты!P278)+(Расчёты!S278+Расчёты!T278)+Расчёты!W278+Расчёты!X278)+IF('Исходные данные'!$B$55="Да",Расчёты!AG278,0)-N('Исходные данные'!$B$56)/12),IF('Исходные данные'!$B$53="Пользовательская база",MAX(0,N('Исходные данные'!$B$57)/12),0)))</f>
        <v>0</v>
      </c>
      <c r="AN278">
        <f>IF(D278=1,-AM278*N('Исходные данные'!$B$50),0)</f>
        <v>0</v>
      </c>
      <c r="AO278">
        <f t="shared" si="151"/>
        <v>0</v>
      </c>
      <c r="AP278">
        <f>IF(OR(D278&lt;&gt;1,B278="",'Исходные данные'!$B$91="",N('Исходные данные'!$B$80)&lt;=0,'Исходные данные'!$B$88=""),0,IF(AND(YEAR(B278)=YEAR('Исходные данные'!$B$91),MONTH(B278)=MONTH('Исходные данные'!$B$91)),MAX(0,IF('Исходные данные'!$B$88="Последние 12 месяцев",SUMIFS($AI$2:$AI$194,$B$2:$B$194,"&gt;="&amp;EDATE(B278,-11),$B$2:$B$194,"&lt;="&amp;B278),IF('Исходные данные'!$B$88="Пользовательский NOI",N('Исходные данные'!$B$89),AO278))/N('Исходные данные'!$B$80)*(1+N('Исходные данные'!$B$81))),0))</f>
        <v>0</v>
      </c>
      <c r="AQ278">
        <f>-AP278*N('Исходные данные'!$B$73)</f>
        <v>0</v>
      </c>
      <c r="AR278">
        <f>IF(AP278=0,0,-N('Исходные данные'!$B$87)-IF('Исходные данные'!$B$82="Да",IF('Исходные данные'!$B$84="С выручки",AP278,IF('Исходные данные'!$B$84="С прибыли",MAX(0,AP278+AQ278-IF('Исходные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78">
        <f t="shared" si="164"/>
        <v>0</v>
      </c>
      <c r="AT278">
        <f>IF(D278=1,Расчёты!AZ278+AH278+AK278+AN278+AS278,0)</f>
        <v>0</v>
      </c>
      <c r="AU278" t="str">
        <f t="shared" si="152"/>
        <v/>
      </c>
      <c r="AV278">
        <f>IF(OR(D278=0,'Исходные данные'!$B$9="",'Исходные данные'!$B$90=""),0,AT278/(1+'Исходные данные'!$B$90)^((C278-'Исходные данные'!$B$9)/365))</f>
        <v>0</v>
      </c>
      <c r="AW278">
        <f>IF(D278=1,AH278+Расчёты!O278+Расчёты!Q278+Расчёты!S278+Расчёты!U278+Расчёты!W278+Расчёты!X278+AK278+AN278,0)</f>
        <v>0</v>
      </c>
      <c r="AX278">
        <f>IF(AND(D278=1,AU278&gt;=0,AU277&lt;0,MIN($AU$2:AU278)&lt;0),1,0)</f>
        <v>0</v>
      </c>
      <c r="AY278">
        <f>IF(Расчёты!F278=0,0,IF(Расчёты!G278=1,N('Сценарный анализ'!$D$5),IF(Расчёты!G278=2,N('Сценарный анализ'!$D$6),IF(Расчёты!G278=3,N('Сценарный анализ'!$D$7),N('Сценарный анализ'!$D$7)*(1+N('Сценарный анализ'!$D$8))^(Расчёты!G278-3)))))</f>
        <v>0</v>
      </c>
      <c r="AZ278">
        <f>IF(OR(Расчёты!F278=0,N('Исходные данные'!$B$5)=0,AY278=0),0,N('Исходные данные'!$B$5)*AY278*IF(AND(B278&lt;='Исходные данные'!$B$30,Расчёты!C278&gt;='Исходные данные'!$B$30),(Расчёты!C278-'Исходные данные'!$B$30+1)/DAY(Расчёты!C278),1))</f>
        <v>0</v>
      </c>
      <c r="BA278">
        <f>IF(AND(Расчёты!F278&gt;0,Расчёты!F278&lt;=N('Исходные данные'!$B$37)),-AZ278,0)</f>
        <v>0</v>
      </c>
      <c r="BB278">
        <f>IF(OR(Расчёты!F278=0,Расчёты!F278&lt;=N('Исходные данные'!$B$37)),0,-(AZ278+BA278)*N('Сценарный анализ'!$D$9))</f>
        <v>0</v>
      </c>
      <c r="BC278">
        <f t="shared" si="165"/>
        <v>0</v>
      </c>
      <c r="BD278">
        <f>IF('Исходные данные'!$B$51="Да",BC278*N('Исходные данные'!$B$52),0)</f>
        <v>0</v>
      </c>
      <c r="BE278">
        <f t="shared" si="166"/>
        <v>0</v>
      </c>
      <c r="BF278">
        <f>BC278+(Расчёты!Y278-Расчёты!L278)</f>
        <v>0</v>
      </c>
      <c r="BG278">
        <f t="shared" si="153"/>
        <v>0</v>
      </c>
      <c r="BH278">
        <f>IF('Исходные данные'!$B$51="Да",-MAX(0,BD278+Расчёты!R278+Расчёты!V278-Расчёты!P278-Расчёты!T278-BG278),0)</f>
        <v>0</v>
      </c>
      <c r="BI278">
        <f>IF('Исходные данные'!$B$51="Да",MAX(0,BG278+Расчёты!P278+Расчёты!T278-BD278-Расчёты!R278-Расчёты!V278),0)</f>
        <v>0</v>
      </c>
      <c r="BJ278">
        <f>IF('Исходные данные'!$B$53="Выручка",MAX(0,BC278+(Расчёты!Q278-Расчёты!R278)+(Расчёты!U278-Расчёты!V278)),IF('Исходные данные'!$B$53="Прибыль до налога",MAX(0,BC278+(Расчёты!Q278-Расчёты!R278)+(Расчёты!U278-Расчёты!V278)+N('Исходные данные'!$B$54)*((Расчёты!O278+Расчёты!P278)+(Расчёты!S278+Расчёты!T278)+Расчёты!W278+Расчёты!X278)+IF('Исходные данные'!$B$55="Да",Расчёты!AG278,0)-N('Исходные данные'!$B$56)/12),IF('Исходные данные'!$B$53="Пользовательская база",MAX(0,N('Исходные данные'!$B$57)/12),0)))</f>
        <v>0</v>
      </c>
      <c r="BK278">
        <f>IF(D278=1,-BJ278*N('Исходные данные'!$B$50),0)</f>
        <v>0</v>
      </c>
      <c r="BL278">
        <f t="shared" si="154"/>
        <v>0</v>
      </c>
      <c r="BM278">
        <f>IF(OR(D278&lt;&gt;1,B278="",'Исходные данные'!$B$91="",N('Исходные данные'!$B$80)&lt;=0,'Исходные данные'!$B$88=""),0,IF(AND(YEAR(B278)=YEAR('Исходные данные'!$B$91),MONTH(B278)=MONTH('Исходные данные'!$B$91)),MAX(0,IF('Исходные данные'!$B$88="Последние 12 месяцев",SUMIFS($BF$2:$BF$194,$B$2:$B$194,"&gt;="&amp;EDATE(B278,-11),$B$2:$B$194,"&lt;="&amp;B278),IF('Исходные данные'!$B$88="Пользовательский NOI",N('Исходные данные'!$B$89),BL278))/N('Исходные данные'!$B$80)*(1+N('Исходные данные'!$B$81))),0))</f>
        <v>0</v>
      </c>
      <c r="BN278">
        <f>-BM278*N('Исходные данные'!$B$73)</f>
        <v>0</v>
      </c>
      <c r="BO278">
        <f>IF(BM278=0,0,-N('Исходные данные'!$B$87)-IF('Исходные данные'!$B$82="Да",IF('Исходные данные'!$B$84="С выручки",BM278,IF('Исходные данные'!$B$84="С прибыли",MAX(0,BM278+BN278-IF('Исходные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78">
        <f t="shared" si="167"/>
        <v>0</v>
      </c>
      <c r="BQ278">
        <f>IF(D278=1,Расчёты!AZ278+BE278+BH278+BK278+BP278,0)</f>
        <v>0</v>
      </c>
      <c r="BR278" t="str">
        <f t="shared" si="155"/>
        <v/>
      </c>
      <c r="BS278">
        <f>IF(OR(D278=0,'Исходные данные'!$B$9="",'Исходные данные'!$B$90=""),0,BQ278/(1+'Исходные данные'!$B$90)^((C278-'Исходные данные'!$B$9)/365))</f>
        <v>0</v>
      </c>
      <c r="BT278">
        <f>IF(D278=1,BE278+Расчёты!O278+Расчёты!Q278+Расчёты!S278+Расчёты!U278+Расчёты!W278+Расчёты!X278+BH278+BK278,0)</f>
        <v>0</v>
      </c>
      <c r="BU278">
        <f>IF(AND(D278=1,BR278&gt;=0,BR277&lt;0,MIN($BR$2:BR278)&lt;0),1,0)</f>
        <v>0</v>
      </c>
      <c r="BV278">
        <f>Расчёты!AZ278+K278+N278-P278*N('Исходные данные'!$B$50)</f>
        <v>0</v>
      </c>
      <c r="BW278">
        <f t="shared" si="156"/>
        <v>0</v>
      </c>
      <c r="BX278">
        <f>IF(AND(BW278&gt;=0,BW277&lt;0,MIN($BW$2:BW278)&lt;0),1,0)</f>
        <v>0</v>
      </c>
      <c r="BY278">
        <f>Расчёты!AZ278+AH278+AK278-AM278*N('Исходные данные'!$B$50)</f>
        <v>0</v>
      </c>
      <c r="BZ278">
        <f t="shared" si="157"/>
        <v>0</v>
      </c>
      <c r="CA278">
        <f>IF(AND(BZ278&gt;=0,BZ277&lt;0,MIN($BZ$2:BZ278)&lt;0),1,0)</f>
        <v>0</v>
      </c>
      <c r="CB278">
        <f>Расчёты!AZ278+BE278+BH278-BJ278*N('Исходные данные'!$B$50)</f>
        <v>0</v>
      </c>
      <c r="CC278">
        <f t="shared" si="158"/>
        <v>0</v>
      </c>
      <c r="CD278">
        <f>IF(AND(CC278&gt;=0,CC277&lt;0,MIN($CC$2:CC278)&lt;0),1,0)</f>
        <v>0</v>
      </c>
    </row>
    <row r="279" spans="1:82" x14ac:dyDescent="0.2">
      <c r="A279">
        <f>Расчёты!A279</f>
        <v>278</v>
      </c>
      <c r="B279" t="str">
        <f>Расчёты!B279</f>
        <v/>
      </c>
      <c r="C279" t="str">
        <f>Расчёты!D279</f>
        <v/>
      </c>
      <c r="D279">
        <f>Расчёты!E279</f>
        <v>0</v>
      </c>
      <c r="E279">
        <f>IF(Расчёты!F279=0,0,IF(Расчёты!G279=1,N('Сценарный анализ'!$B$5),IF(Расчёты!G279=2,N('Сценарный анализ'!$B$6),IF(Расчёты!G279=3,N('Сценарный анализ'!$B$7),N('Сценарный анализ'!$B$7)*(1+N('Сценарный анализ'!$B$8))^(Расчёты!G279-3)))))</f>
        <v>0</v>
      </c>
      <c r="F279">
        <f>IF(OR(Расчёты!F279=0,N('Исходные данные'!$B$5)=0,E279=0),0,N('Исходные данные'!$B$5)*E279*IF(AND(B279&lt;='Исходные данные'!$B$30,Расчёты!C279&gt;='Исходные данные'!$B$30),(Расчёты!C279-'Исходные данные'!$B$30+1)/DAY(Расчёты!C279),1))</f>
        <v>0</v>
      </c>
      <c r="G279">
        <f>IF(AND(Расчёты!F279&gt;0,Расчёты!F279&lt;=N('Исходные данные'!$B$37)),-F279,0)</f>
        <v>0</v>
      </c>
      <c r="H279">
        <f>IF(OR(Расчёты!F279=0,Расчёты!F279&lt;=N('Исходные данные'!$B$37)),0,-(F279+G279)*N('Сценарный анализ'!$B$9))</f>
        <v>0</v>
      </c>
      <c r="I279">
        <f t="shared" si="159"/>
        <v>0</v>
      </c>
      <c r="J279">
        <f>IF('Исходные данные'!$B$51="Да",I279*N('Исходные данные'!$B$52),0)</f>
        <v>0</v>
      </c>
      <c r="K279">
        <f t="shared" si="160"/>
        <v>0</v>
      </c>
      <c r="L279">
        <f>I279+(Расчёты!Y279-Расчёты!L279)</f>
        <v>0</v>
      </c>
      <c r="M279">
        <f t="shared" si="147"/>
        <v>0</v>
      </c>
      <c r="N279">
        <f>IF('Исходные данные'!$B$51="Да",-MAX(0,J279+Расчёты!R279+Расчёты!V279-Расчёты!P279-Расчёты!T279-M279),0)</f>
        <v>0</v>
      </c>
      <c r="O279">
        <f>IF('Исходные данные'!$B$51="Да",MAX(0,M279+Расчёты!P279+Расчёты!T279-J279-Расчёты!R279-Расчёты!V279),0)</f>
        <v>0</v>
      </c>
      <c r="P279">
        <f>IF('Исходные данные'!$B$53="Выручка",MAX(0,I279+(Расчёты!Q279-Расчёты!R279)+(Расчёты!U279-Расчёты!V279)),IF('Исходные данные'!$B$53="Прибыль до налога",MAX(0,I279+(Расчёты!Q279-Расчёты!R279)+(Расчёты!U279-Расчёты!V279)+N('Исходные данные'!$B$54)*((Расчёты!O279+Расчёты!P279)+(Расчёты!S279+Расчёты!T279)+Расчёты!W279+Расчёты!X279)+IF('Исходные данные'!$B$55="Да",Расчёты!AG279,0)-N('Исходные данные'!$B$56)/12),IF('Исходные данные'!$B$53="Пользовательская база",MAX(0,N('Исходные данные'!$B$57)/12),0)))</f>
        <v>0</v>
      </c>
      <c r="Q279">
        <f>IF(D279=1,-P279*N('Исходные данные'!$B$50),0)</f>
        <v>0</v>
      </c>
      <c r="R279">
        <f t="shared" si="148"/>
        <v>0</v>
      </c>
      <c r="S279">
        <f>IF(OR(D279&lt;&gt;1,B279="",'Исходные данные'!$B$91="",N('Исходные данные'!$B$80)&lt;=0,'Исходные данные'!$B$88=""),0,IF(AND(YEAR(B279)=YEAR('Исходные данные'!$B$91),MONTH(B279)=MONTH('Исходные данные'!$B$91)),MAX(0,IF('Исходные данные'!$B$88="Последние 12 месяцев",SUMIFS($L$2:$L$194,$B$2:$B$194,"&gt;="&amp;EDATE(B279,-11),$B$2:$B$194,"&lt;="&amp;B279),IF('Исходные данные'!$B$88="Пользовательский NOI",N('Исходные данные'!$B$89),R279))/N('Исходные данные'!$B$80)*(1+N('Исходные данные'!$B$81))),0))</f>
        <v>0</v>
      </c>
      <c r="T279">
        <f>-S279*N('Исходные данные'!$B$73)</f>
        <v>0</v>
      </c>
      <c r="U279">
        <f>IF(S279=0,0,-N('Исходные данные'!$B$87)-IF('Исходные данные'!$B$82="Да",IF('Исходные данные'!$B$84="С выручки",S279,IF('Исходные данные'!$B$84="С прибыли",MAX(0,S279+T279-IF('Исходные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79">
        <f t="shared" si="161"/>
        <v>0</v>
      </c>
      <c r="W279">
        <f>IF(D279=1,Расчёты!AZ279+K279+N279+Q279+V279,0)</f>
        <v>0</v>
      </c>
      <c r="X279" t="str">
        <f t="shared" si="149"/>
        <v/>
      </c>
      <c r="Y279">
        <f>IF(OR(D279=0,'Исходные данные'!$B$9="",'Исходные данные'!$B$90=""),0,W279/(1+'Исходные данные'!$B$90)^((C279-'Исходные данные'!$B$9)/365))</f>
        <v>0</v>
      </c>
      <c r="Z279">
        <f>IF(D279=1,K279+Расчёты!O279+Расчёты!Q279+Расчёты!S279+Расчёты!U279+Расчёты!W279+Расчёты!X279+N279+Q279,0)</f>
        <v>0</v>
      </c>
      <c r="AA279">
        <f>IF(AND(D279=1,X279&gt;=0,X278&lt;0,MIN($X$2:X279)&lt;0),1,0)</f>
        <v>0</v>
      </c>
      <c r="AB279">
        <f>IF(Расчёты!F279=0,0,IF(Расчёты!G279=1,N('Сценарный анализ'!$C$5),IF(Расчёты!G279=2,N('Сценарный анализ'!$C$6),IF(Расчёты!G279=3,N('Сценарный анализ'!$C$7),N('Сценарный анализ'!$C$7)*(1+N('Сценарный анализ'!$C$8))^(Расчёты!G279-3)))))</f>
        <v>0</v>
      </c>
      <c r="AC279">
        <f>IF(OR(Расчёты!F279=0,N('Исходные данные'!$B$5)=0,AB279=0),0,N('Исходные данные'!$B$5)*AB279*IF(AND(B279&lt;='Исходные данные'!$B$30,Расчёты!C279&gt;='Исходные данные'!$B$30),(Расчёты!C279-'Исходные данные'!$B$30+1)/DAY(Расчёты!C279),1))</f>
        <v>0</v>
      </c>
      <c r="AD279">
        <f>IF(AND(Расчёты!F279&gt;0,Расчёты!F279&lt;=N('Исходные данные'!$B$37)),-AC279,0)</f>
        <v>0</v>
      </c>
      <c r="AE279">
        <f>IF(OR(Расчёты!F279=0,Расчёты!F279&lt;=N('Исходные данные'!$B$37)),0,-(AC279+AD279)*N('Сценарный анализ'!$C$9))</f>
        <v>0</v>
      </c>
      <c r="AF279">
        <f t="shared" si="162"/>
        <v>0</v>
      </c>
      <c r="AG279">
        <f>IF('Исходные данные'!$B$51="Да",AF279*N('Исходные данные'!$B$52),0)</f>
        <v>0</v>
      </c>
      <c r="AH279">
        <f t="shared" si="163"/>
        <v>0</v>
      </c>
      <c r="AI279">
        <f>AF279+(Расчёты!Y279-Расчёты!L279)</f>
        <v>0</v>
      </c>
      <c r="AJ279">
        <f t="shared" si="150"/>
        <v>0</v>
      </c>
      <c r="AK279">
        <f>IF('Исходные данные'!$B$51="Да",-MAX(0,AG279+Расчёты!R279+Расчёты!V279-Расчёты!P279-Расчёты!T279-AJ279),0)</f>
        <v>0</v>
      </c>
      <c r="AL279">
        <f>IF('Исходные данные'!$B$51="Да",MAX(0,AJ279+Расчёты!P279+Расчёты!T279-AG279-Расчёты!R279-Расчёты!V279),0)</f>
        <v>0</v>
      </c>
      <c r="AM279">
        <f>IF('Исходные данные'!$B$53="Выручка",MAX(0,AF279+(Расчёты!Q279-Расчёты!R279)+(Расчёты!U279-Расчёты!V279)),IF('Исходные данные'!$B$53="Прибыль до налога",MAX(0,AF279+(Расчёты!Q279-Расчёты!R279)+(Расчёты!U279-Расчёты!V279)+N('Исходные данные'!$B$54)*((Расчёты!O279+Расчёты!P279)+(Расчёты!S279+Расчёты!T279)+Расчёты!W279+Расчёты!X279)+IF('Исходные данные'!$B$55="Да",Расчёты!AG279,0)-N('Исходные данные'!$B$56)/12),IF('Исходные данные'!$B$53="Пользовательская база",MAX(0,N('Исходные данные'!$B$57)/12),0)))</f>
        <v>0</v>
      </c>
      <c r="AN279">
        <f>IF(D279=1,-AM279*N('Исходные данные'!$B$50),0)</f>
        <v>0</v>
      </c>
      <c r="AO279">
        <f t="shared" si="151"/>
        <v>0</v>
      </c>
      <c r="AP279">
        <f>IF(OR(D279&lt;&gt;1,B279="",'Исходные данные'!$B$91="",N('Исходные данные'!$B$80)&lt;=0,'Исходные данные'!$B$88=""),0,IF(AND(YEAR(B279)=YEAR('Исходные данные'!$B$91),MONTH(B279)=MONTH('Исходные данные'!$B$91)),MAX(0,IF('Исходные данные'!$B$88="Последние 12 месяцев",SUMIFS($AI$2:$AI$194,$B$2:$B$194,"&gt;="&amp;EDATE(B279,-11),$B$2:$B$194,"&lt;="&amp;B279),IF('Исходные данные'!$B$88="Пользовательский NOI",N('Исходные данные'!$B$89),AO279))/N('Исходные данные'!$B$80)*(1+N('Исходные данные'!$B$81))),0))</f>
        <v>0</v>
      </c>
      <c r="AQ279">
        <f>-AP279*N('Исходные данные'!$B$73)</f>
        <v>0</v>
      </c>
      <c r="AR279">
        <f>IF(AP279=0,0,-N('Исходные данные'!$B$87)-IF('Исходные данные'!$B$82="Да",IF('Исходные данные'!$B$84="С выручки",AP279,IF('Исходные данные'!$B$84="С прибыли",MAX(0,AP279+AQ279-IF('Исходные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79">
        <f t="shared" si="164"/>
        <v>0</v>
      </c>
      <c r="AT279">
        <f>IF(D279=1,Расчёты!AZ279+AH279+AK279+AN279+AS279,0)</f>
        <v>0</v>
      </c>
      <c r="AU279" t="str">
        <f t="shared" si="152"/>
        <v/>
      </c>
      <c r="AV279">
        <f>IF(OR(D279=0,'Исходные данные'!$B$9="",'Исходные данные'!$B$90=""),0,AT279/(1+'Исходные данные'!$B$90)^((C279-'Исходные данные'!$B$9)/365))</f>
        <v>0</v>
      </c>
      <c r="AW279">
        <f>IF(D279=1,AH279+Расчёты!O279+Расчёты!Q279+Расчёты!S279+Расчёты!U279+Расчёты!W279+Расчёты!X279+AK279+AN279,0)</f>
        <v>0</v>
      </c>
      <c r="AX279">
        <f>IF(AND(D279=1,AU279&gt;=0,AU278&lt;0,MIN($AU$2:AU279)&lt;0),1,0)</f>
        <v>0</v>
      </c>
      <c r="AY279">
        <f>IF(Расчёты!F279=0,0,IF(Расчёты!G279=1,N('Сценарный анализ'!$D$5),IF(Расчёты!G279=2,N('Сценарный анализ'!$D$6),IF(Расчёты!G279=3,N('Сценарный анализ'!$D$7),N('Сценарный анализ'!$D$7)*(1+N('Сценарный анализ'!$D$8))^(Расчёты!G279-3)))))</f>
        <v>0</v>
      </c>
      <c r="AZ279">
        <f>IF(OR(Расчёты!F279=0,N('Исходные данные'!$B$5)=0,AY279=0),0,N('Исходные данные'!$B$5)*AY279*IF(AND(B279&lt;='Исходные данные'!$B$30,Расчёты!C279&gt;='Исходные данные'!$B$30),(Расчёты!C279-'Исходные данные'!$B$30+1)/DAY(Расчёты!C279),1))</f>
        <v>0</v>
      </c>
      <c r="BA279">
        <f>IF(AND(Расчёты!F279&gt;0,Расчёты!F279&lt;=N('Исходные данные'!$B$37)),-AZ279,0)</f>
        <v>0</v>
      </c>
      <c r="BB279">
        <f>IF(OR(Расчёты!F279=0,Расчёты!F279&lt;=N('Исходные данные'!$B$37)),0,-(AZ279+BA279)*N('Сценарный анализ'!$D$9))</f>
        <v>0</v>
      </c>
      <c r="BC279">
        <f t="shared" si="165"/>
        <v>0</v>
      </c>
      <c r="BD279">
        <f>IF('Исходные данные'!$B$51="Да",BC279*N('Исходные данные'!$B$52),0)</f>
        <v>0</v>
      </c>
      <c r="BE279">
        <f t="shared" si="166"/>
        <v>0</v>
      </c>
      <c r="BF279">
        <f>BC279+(Расчёты!Y279-Расчёты!L279)</f>
        <v>0</v>
      </c>
      <c r="BG279">
        <f t="shared" si="153"/>
        <v>0</v>
      </c>
      <c r="BH279">
        <f>IF('Исходные данные'!$B$51="Да",-MAX(0,BD279+Расчёты!R279+Расчёты!V279-Расчёты!P279-Расчёты!T279-BG279),0)</f>
        <v>0</v>
      </c>
      <c r="BI279">
        <f>IF('Исходные данные'!$B$51="Да",MAX(0,BG279+Расчёты!P279+Расчёты!T279-BD279-Расчёты!R279-Расчёты!V279),0)</f>
        <v>0</v>
      </c>
      <c r="BJ279">
        <f>IF('Исходные данные'!$B$53="Выручка",MAX(0,BC279+(Расчёты!Q279-Расчёты!R279)+(Расчёты!U279-Расчёты!V279)),IF('Исходные данные'!$B$53="Прибыль до налога",MAX(0,BC279+(Расчёты!Q279-Расчёты!R279)+(Расчёты!U279-Расчёты!V279)+N('Исходные данные'!$B$54)*((Расчёты!O279+Расчёты!P279)+(Расчёты!S279+Расчёты!T279)+Расчёты!W279+Расчёты!X279)+IF('Исходные данные'!$B$55="Да",Расчёты!AG279,0)-N('Исходные данные'!$B$56)/12),IF('Исходные данные'!$B$53="Пользовательская база",MAX(0,N('Исходные данные'!$B$57)/12),0)))</f>
        <v>0</v>
      </c>
      <c r="BK279">
        <f>IF(D279=1,-BJ279*N('Исходные данные'!$B$50),0)</f>
        <v>0</v>
      </c>
      <c r="BL279">
        <f t="shared" si="154"/>
        <v>0</v>
      </c>
      <c r="BM279">
        <f>IF(OR(D279&lt;&gt;1,B279="",'Исходные данные'!$B$91="",N('Исходные данные'!$B$80)&lt;=0,'Исходные данные'!$B$88=""),0,IF(AND(YEAR(B279)=YEAR('Исходные данные'!$B$91),MONTH(B279)=MONTH('Исходные данные'!$B$91)),MAX(0,IF('Исходные данные'!$B$88="Последние 12 месяцев",SUMIFS($BF$2:$BF$194,$B$2:$B$194,"&gt;="&amp;EDATE(B279,-11),$B$2:$B$194,"&lt;="&amp;B279),IF('Исходные данные'!$B$88="Пользовательский NOI",N('Исходные данные'!$B$89),BL279))/N('Исходные данные'!$B$80)*(1+N('Исходные данные'!$B$81))),0))</f>
        <v>0</v>
      </c>
      <c r="BN279">
        <f>-BM279*N('Исходные данные'!$B$73)</f>
        <v>0</v>
      </c>
      <c r="BO279">
        <f>IF(BM279=0,0,-N('Исходные данные'!$B$87)-IF('Исходные данные'!$B$82="Да",IF('Исходные данные'!$B$84="С выручки",BM279,IF('Исходные данные'!$B$84="С прибыли",MAX(0,BM279+BN279-IF('Исходные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79">
        <f t="shared" si="167"/>
        <v>0</v>
      </c>
      <c r="BQ279">
        <f>IF(D279=1,Расчёты!AZ279+BE279+BH279+BK279+BP279,0)</f>
        <v>0</v>
      </c>
      <c r="BR279" t="str">
        <f t="shared" si="155"/>
        <v/>
      </c>
      <c r="BS279">
        <f>IF(OR(D279=0,'Исходные данные'!$B$9="",'Исходные данные'!$B$90=""),0,BQ279/(1+'Исходные данные'!$B$90)^((C279-'Исходные данные'!$B$9)/365))</f>
        <v>0</v>
      </c>
      <c r="BT279">
        <f>IF(D279=1,BE279+Расчёты!O279+Расчёты!Q279+Расчёты!S279+Расчёты!U279+Расчёты!W279+Расчёты!X279+BH279+BK279,0)</f>
        <v>0</v>
      </c>
      <c r="BU279">
        <f>IF(AND(D279=1,BR279&gt;=0,BR278&lt;0,MIN($BR$2:BR279)&lt;0),1,0)</f>
        <v>0</v>
      </c>
      <c r="BV279">
        <f>Расчёты!AZ279+K279+N279-P279*N('Исходные данные'!$B$50)</f>
        <v>0</v>
      </c>
      <c r="BW279">
        <f t="shared" si="156"/>
        <v>0</v>
      </c>
      <c r="BX279">
        <f>IF(AND(BW279&gt;=0,BW278&lt;0,MIN($BW$2:BW279)&lt;0),1,0)</f>
        <v>0</v>
      </c>
      <c r="BY279">
        <f>Расчёты!AZ279+AH279+AK279-AM279*N('Исходные данные'!$B$50)</f>
        <v>0</v>
      </c>
      <c r="BZ279">
        <f t="shared" si="157"/>
        <v>0</v>
      </c>
      <c r="CA279">
        <f>IF(AND(BZ279&gt;=0,BZ278&lt;0,MIN($BZ$2:BZ279)&lt;0),1,0)</f>
        <v>0</v>
      </c>
      <c r="CB279">
        <f>Расчёты!AZ279+BE279+BH279-BJ279*N('Исходные данные'!$B$50)</f>
        <v>0</v>
      </c>
      <c r="CC279">
        <f t="shared" si="158"/>
        <v>0</v>
      </c>
      <c r="CD279">
        <f>IF(AND(CC279&gt;=0,CC278&lt;0,MIN($CC$2:CC279)&lt;0),1,0)</f>
        <v>0</v>
      </c>
    </row>
    <row r="280" spans="1:82" x14ac:dyDescent="0.2">
      <c r="A280">
        <f>Расчёты!A280</f>
        <v>279</v>
      </c>
      <c r="B280" t="str">
        <f>Расчёты!B280</f>
        <v/>
      </c>
      <c r="C280" t="str">
        <f>Расчёты!D280</f>
        <v/>
      </c>
      <c r="D280">
        <f>Расчёты!E280</f>
        <v>0</v>
      </c>
      <c r="E280">
        <f>IF(Расчёты!F280=0,0,IF(Расчёты!G280=1,N('Сценарный анализ'!$B$5),IF(Расчёты!G280=2,N('Сценарный анализ'!$B$6),IF(Расчёты!G280=3,N('Сценарный анализ'!$B$7),N('Сценарный анализ'!$B$7)*(1+N('Сценарный анализ'!$B$8))^(Расчёты!G280-3)))))</f>
        <v>0</v>
      </c>
      <c r="F280">
        <f>IF(OR(Расчёты!F280=0,N('Исходные данные'!$B$5)=0,E280=0),0,N('Исходные данные'!$B$5)*E280*IF(AND(B280&lt;='Исходные данные'!$B$30,Расчёты!C280&gt;='Исходные данные'!$B$30),(Расчёты!C280-'Исходные данные'!$B$30+1)/DAY(Расчёты!C280),1))</f>
        <v>0</v>
      </c>
      <c r="G280">
        <f>IF(AND(Расчёты!F280&gt;0,Расчёты!F280&lt;=N('Исходные данные'!$B$37)),-F280,0)</f>
        <v>0</v>
      </c>
      <c r="H280">
        <f>IF(OR(Расчёты!F280=0,Расчёты!F280&lt;=N('Исходные данные'!$B$37)),0,-(F280+G280)*N('Сценарный анализ'!$B$9))</f>
        <v>0</v>
      </c>
      <c r="I280">
        <f t="shared" si="159"/>
        <v>0</v>
      </c>
      <c r="J280">
        <f>IF('Исходные данные'!$B$51="Да",I280*N('Исходные данные'!$B$52),0)</f>
        <v>0</v>
      </c>
      <c r="K280">
        <f t="shared" si="160"/>
        <v>0</v>
      </c>
      <c r="L280">
        <f>I280+(Расчёты!Y280-Расчёты!L280)</f>
        <v>0</v>
      </c>
      <c r="M280">
        <f t="shared" si="147"/>
        <v>0</v>
      </c>
      <c r="N280">
        <f>IF('Исходные данные'!$B$51="Да",-MAX(0,J280+Расчёты!R280+Расчёты!V280-Расчёты!P280-Расчёты!T280-M280),0)</f>
        <v>0</v>
      </c>
      <c r="O280">
        <f>IF('Исходные данные'!$B$51="Да",MAX(0,M280+Расчёты!P280+Расчёты!T280-J280-Расчёты!R280-Расчёты!V280),0)</f>
        <v>0</v>
      </c>
      <c r="P280">
        <f>IF('Исходные данные'!$B$53="Выручка",MAX(0,I280+(Расчёты!Q280-Расчёты!R280)+(Расчёты!U280-Расчёты!V280)),IF('Исходные данные'!$B$53="Прибыль до налога",MAX(0,I280+(Расчёты!Q280-Расчёты!R280)+(Расчёты!U280-Расчёты!V280)+N('Исходные данные'!$B$54)*((Расчёты!O280+Расчёты!P280)+(Расчёты!S280+Расчёты!T280)+Расчёты!W280+Расчёты!X280)+IF('Исходные данные'!$B$55="Да",Расчёты!AG280,0)-N('Исходные данные'!$B$56)/12),IF('Исходные данные'!$B$53="Пользовательская база",MAX(0,N('Исходные данные'!$B$57)/12),0)))</f>
        <v>0</v>
      </c>
      <c r="Q280">
        <f>IF(D280=1,-P280*N('Исходные данные'!$B$50),0)</f>
        <v>0</v>
      </c>
      <c r="R280">
        <f t="shared" si="148"/>
        <v>0</v>
      </c>
      <c r="S280">
        <f>IF(OR(D280&lt;&gt;1,B280="",'Исходные данные'!$B$91="",N('Исходные данные'!$B$80)&lt;=0,'Исходные данные'!$B$88=""),0,IF(AND(YEAR(B280)=YEAR('Исходные данные'!$B$91),MONTH(B280)=MONTH('Исходные данные'!$B$91)),MAX(0,IF('Исходные данные'!$B$88="Последние 12 месяцев",SUMIFS($L$2:$L$194,$B$2:$B$194,"&gt;="&amp;EDATE(B280,-11),$B$2:$B$194,"&lt;="&amp;B280),IF('Исходные данные'!$B$88="Пользовательский NOI",N('Исходные данные'!$B$89),R280))/N('Исходные данные'!$B$80)*(1+N('Исходные данные'!$B$81))),0))</f>
        <v>0</v>
      </c>
      <c r="T280">
        <f>-S280*N('Исходные данные'!$B$73)</f>
        <v>0</v>
      </c>
      <c r="U280">
        <f>IF(S280=0,0,-N('Исходные данные'!$B$87)-IF('Исходные данные'!$B$82="Да",IF('Исходные данные'!$B$84="С выручки",S280,IF('Исходные данные'!$B$84="С прибыли",MAX(0,S280+T280-IF('Исходные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80">
        <f t="shared" si="161"/>
        <v>0</v>
      </c>
      <c r="W280">
        <f>IF(D280=1,Расчёты!AZ280+K280+N280+Q280+V280,0)</f>
        <v>0</v>
      </c>
      <c r="X280" t="str">
        <f t="shared" si="149"/>
        <v/>
      </c>
      <c r="Y280">
        <f>IF(OR(D280=0,'Исходные данные'!$B$9="",'Исходные данные'!$B$90=""),0,W280/(1+'Исходные данные'!$B$90)^((C280-'Исходные данные'!$B$9)/365))</f>
        <v>0</v>
      </c>
      <c r="Z280">
        <f>IF(D280=1,K280+Расчёты!O280+Расчёты!Q280+Расчёты!S280+Расчёты!U280+Расчёты!W280+Расчёты!X280+N280+Q280,0)</f>
        <v>0</v>
      </c>
      <c r="AA280">
        <f>IF(AND(D280=1,X280&gt;=0,X279&lt;0,MIN($X$2:X280)&lt;0),1,0)</f>
        <v>0</v>
      </c>
      <c r="AB280">
        <f>IF(Расчёты!F280=0,0,IF(Расчёты!G280=1,N('Сценарный анализ'!$C$5),IF(Расчёты!G280=2,N('Сценарный анализ'!$C$6),IF(Расчёты!G280=3,N('Сценарный анализ'!$C$7),N('Сценарный анализ'!$C$7)*(1+N('Сценарный анализ'!$C$8))^(Расчёты!G280-3)))))</f>
        <v>0</v>
      </c>
      <c r="AC280">
        <f>IF(OR(Расчёты!F280=0,N('Исходные данные'!$B$5)=0,AB280=0),0,N('Исходные данные'!$B$5)*AB280*IF(AND(B280&lt;='Исходные данные'!$B$30,Расчёты!C280&gt;='Исходные данные'!$B$30),(Расчёты!C280-'Исходные данные'!$B$30+1)/DAY(Расчёты!C280),1))</f>
        <v>0</v>
      </c>
      <c r="AD280">
        <f>IF(AND(Расчёты!F280&gt;0,Расчёты!F280&lt;=N('Исходные данные'!$B$37)),-AC280,0)</f>
        <v>0</v>
      </c>
      <c r="AE280">
        <f>IF(OR(Расчёты!F280=0,Расчёты!F280&lt;=N('Исходные данные'!$B$37)),0,-(AC280+AD280)*N('Сценарный анализ'!$C$9))</f>
        <v>0</v>
      </c>
      <c r="AF280">
        <f t="shared" si="162"/>
        <v>0</v>
      </c>
      <c r="AG280">
        <f>IF('Исходные данные'!$B$51="Да",AF280*N('Исходные данные'!$B$52),0)</f>
        <v>0</v>
      </c>
      <c r="AH280">
        <f t="shared" si="163"/>
        <v>0</v>
      </c>
      <c r="AI280">
        <f>AF280+(Расчёты!Y280-Расчёты!L280)</f>
        <v>0</v>
      </c>
      <c r="AJ280">
        <f t="shared" si="150"/>
        <v>0</v>
      </c>
      <c r="AK280">
        <f>IF('Исходные данные'!$B$51="Да",-MAX(0,AG280+Расчёты!R280+Расчёты!V280-Расчёты!P280-Расчёты!T280-AJ280),0)</f>
        <v>0</v>
      </c>
      <c r="AL280">
        <f>IF('Исходные данные'!$B$51="Да",MAX(0,AJ280+Расчёты!P280+Расчёты!T280-AG280-Расчёты!R280-Расчёты!V280),0)</f>
        <v>0</v>
      </c>
      <c r="AM280">
        <f>IF('Исходные данные'!$B$53="Выручка",MAX(0,AF280+(Расчёты!Q280-Расчёты!R280)+(Расчёты!U280-Расчёты!V280)),IF('Исходные данные'!$B$53="Прибыль до налога",MAX(0,AF280+(Расчёты!Q280-Расчёты!R280)+(Расчёты!U280-Расчёты!V280)+N('Исходные данные'!$B$54)*((Расчёты!O280+Расчёты!P280)+(Расчёты!S280+Расчёты!T280)+Расчёты!W280+Расчёты!X280)+IF('Исходные данные'!$B$55="Да",Расчёты!AG280,0)-N('Исходные данные'!$B$56)/12),IF('Исходные данные'!$B$53="Пользовательская база",MAX(0,N('Исходные данные'!$B$57)/12),0)))</f>
        <v>0</v>
      </c>
      <c r="AN280">
        <f>IF(D280=1,-AM280*N('Исходные данные'!$B$50),0)</f>
        <v>0</v>
      </c>
      <c r="AO280">
        <f t="shared" si="151"/>
        <v>0</v>
      </c>
      <c r="AP280">
        <f>IF(OR(D280&lt;&gt;1,B280="",'Исходные данные'!$B$91="",N('Исходные данные'!$B$80)&lt;=0,'Исходные данные'!$B$88=""),0,IF(AND(YEAR(B280)=YEAR('Исходные данные'!$B$91),MONTH(B280)=MONTH('Исходные данные'!$B$91)),MAX(0,IF('Исходные данные'!$B$88="Последние 12 месяцев",SUMIFS($AI$2:$AI$194,$B$2:$B$194,"&gt;="&amp;EDATE(B280,-11),$B$2:$B$194,"&lt;="&amp;B280),IF('Исходные данные'!$B$88="Пользовательский NOI",N('Исходные данные'!$B$89),AO280))/N('Исходные данные'!$B$80)*(1+N('Исходные данные'!$B$81))),0))</f>
        <v>0</v>
      </c>
      <c r="AQ280">
        <f>-AP280*N('Исходные данные'!$B$73)</f>
        <v>0</v>
      </c>
      <c r="AR280">
        <f>IF(AP280=0,0,-N('Исходные данные'!$B$87)-IF('Исходные данные'!$B$82="Да",IF('Исходные данные'!$B$84="С выручки",AP280,IF('Исходные данные'!$B$84="С прибыли",MAX(0,AP280+AQ280-IF('Исходные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80">
        <f t="shared" si="164"/>
        <v>0</v>
      </c>
      <c r="AT280">
        <f>IF(D280=1,Расчёты!AZ280+AH280+AK280+AN280+AS280,0)</f>
        <v>0</v>
      </c>
      <c r="AU280" t="str">
        <f t="shared" si="152"/>
        <v/>
      </c>
      <c r="AV280">
        <f>IF(OR(D280=0,'Исходные данные'!$B$9="",'Исходные данные'!$B$90=""),0,AT280/(1+'Исходные данные'!$B$90)^((C280-'Исходные данные'!$B$9)/365))</f>
        <v>0</v>
      </c>
      <c r="AW280">
        <f>IF(D280=1,AH280+Расчёты!O280+Расчёты!Q280+Расчёты!S280+Расчёты!U280+Расчёты!W280+Расчёты!X280+AK280+AN280,0)</f>
        <v>0</v>
      </c>
      <c r="AX280">
        <f>IF(AND(D280=1,AU280&gt;=0,AU279&lt;0,MIN($AU$2:AU280)&lt;0),1,0)</f>
        <v>0</v>
      </c>
      <c r="AY280">
        <f>IF(Расчёты!F280=0,0,IF(Расчёты!G280=1,N('Сценарный анализ'!$D$5),IF(Расчёты!G280=2,N('Сценарный анализ'!$D$6),IF(Расчёты!G280=3,N('Сценарный анализ'!$D$7),N('Сценарный анализ'!$D$7)*(1+N('Сценарный анализ'!$D$8))^(Расчёты!G280-3)))))</f>
        <v>0</v>
      </c>
      <c r="AZ280">
        <f>IF(OR(Расчёты!F280=0,N('Исходные данные'!$B$5)=0,AY280=0),0,N('Исходные данные'!$B$5)*AY280*IF(AND(B280&lt;='Исходные данные'!$B$30,Расчёты!C280&gt;='Исходные данные'!$B$30),(Расчёты!C280-'Исходные данные'!$B$30+1)/DAY(Расчёты!C280),1))</f>
        <v>0</v>
      </c>
      <c r="BA280">
        <f>IF(AND(Расчёты!F280&gt;0,Расчёты!F280&lt;=N('Исходные данные'!$B$37)),-AZ280,0)</f>
        <v>0</v>
      </c>
      <c r="BB280">
        <f>IF(OR(Расчёты!F280=0,Расчёты!F280&lt;=N('Исходные данные'!$B$37)),0,-(AZ280+BA280)*N('Сценарный анализ'!$D$9))</f>
        <v>0</v>
      </c>
      <c r="BC280">
        <f t="shared" si="165"/>
        <v>0</v>
      </c>
      <c r="BD280">
        <f>IF('Исходные данные'!$B$51="Да",BC280*N('Исходные данные'!$B$52),0)</f>
        <v>0</v>
      </c>
      <c r="BE280">
        <f t="shared" si="166"/>
        <v>0</v>
      </c>
      <c r="BF280">
        <f>BC280+(Расчёты!Y280-Расчёты!L280)</f>
        <v>0</v>
      </c>
      <c r="BG280">
        <f t="shared" si="153"/>
        <v>0</v>
      </c>
      <c r="BH280">
        <f>IF('Исходные данные'!$B$51="Да",-MAX(0,BD280+Расчёты!R280+Расчёты!V280-Расчёты!P280-Расчёты!T280-BG280),0)</f>
        <v>0</v>
      </c>
      <c r="BI280">
        <f>IF('Исходные данные'!$B$51="Да",MAX(0,BG280+Расчёты!P280+Расчёты!T280-BD280-Расчёты!R280-Расчёты!V280),0)</f>
        <v>0</v>
      </c>
      <c r="BJ280">
        <f>IF('Исходные данные'!$B$53="Выручка",MAX(0,BC280+(Расчёты!Q280-Расчёты!R280)+(Расчёты!U280-Расчёты!V280)),IF('Исходные данные'!$B$53="Прибыль до налога",MAX(0,BC280+(Расчёты!Q280-Расчёты!R280)+(Расчёты!U280-Расчёты!V280)+N('Исходные данные'!$B$54)*((Расчёты!O280+Расчёты!P280)+(Расчёты!S280+Расчёты!T280)+Расчёты!W280+Расчёты!X280)+IF('Исходные данные'!$B$55="Да",Расчёты!AG280,0)-N('Исходные данные'!$B$56)/12),IF('Исходные данные'!$B$53="Пользовательская база",MAX(0,N('Исходные данные'!$B$57)/12),0)))</f>
        <v>0</v>
      </c>
      <c r="BK280">
        <f>IF(D280=1,-BJ280*N('Исходные данные'!$B$50),0)</f>
        <v>0</v>
      </c>
      <c r="BL280">
        <f t="shared" si="154"/>
        <v>0</v>
      </c>
      <c r="BM280">
        <f>IF(OR(D280&lt;&gt;1,B280="",'Исходные данные'!$B$91="",N('Исходные данные'!$B$80)&lt;=0,'Исходные данные'!$B$88=""),0,IF(AND(YEAR(B280)=YEAR('Исходные данные'!$B$91),MONTH(B280)=MONTH('Исходные данные'!$B$91)),MAX(0,IF('Исходные данные'!$B$88="Последние 12 месяцев",SUMIFS($BF$2:$BF$194,$B$2:$B$194,"&gt;="&amp;EDATE(B280,-11),$B$2:$B$194,"&lt;="&amp;B280),IF('Исходные данные'!$B$88="Пользовательский NOI",N('Исходные данные'!$B$89),BL280))/N('Исходные данные'!$B$80)*(1+N('Исходные данные'!$B$81))),0))</f>
        <v>0</v>
      </c>
      <c r="BN280">
        <f>-BM280*N('Исходные данные'!$B$73)</f>
        <v>0</v>
      </c>
      <c r="BO280">
        <f>IF(BM280=0,0,-N('Исходные данные'!$B$87)-IF('Исходные данные'!$B$82="Да",IF('Исходные данные'!$B$84="С выручки",BM280,IF('Исходные данные'!$B$84="С прибыли",MAX(0,BM280+BN280-IF('Исходные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80">
        <f t="shared" si="167"/>
        <v>0</v>
      </c>
      <c r="BQ280">
        <f>IF(D280=1,Расчёты!AZ280+BE280+BH280+BK280+BP280,0)</f>
        <v>0</v>
      </c>
      <c r="BR280" t="str">
        <f t="shared" si="155"/>
        <v/>
      </c>
      <c r="BS280">
        <f>IF(OR(D280=0,'Исходные данные'!$B$9="",'Исходные данные'!$B$90=""),0,BQ280/(1+'Исходные данные'!$B$90)^((C280-'Исходные данные'!$B$9)/365))</f>
        <v>0</v>
      </c>
      <c r="BT280">
        <f>IF(D280=1,BE280+Расчёты!O280+Расчёты!Q280+Расчёты!S280+Расчёты!U280+Расчёты!W280+Расчёты!X280+BH280+BK280,0)</f>
        <v>0</v>
      </c>
      <c r="BU280">
        <f>IF(AND(D280=1,BR280&gt;=0,BR279&lt;0,MIN($BR$2:BR280)&lt;0),1,0)</f>
        <v>0</v>
      </c>
      <c r="BV280">
        <f>Расчёты!AZ280+K280+N280-P280*N('Исходные данные'!$B$50)</f>
        <v>0</v>
      </c>
      <c r="BW280">
        <f t="shared" si="156"/>
        <v>0</v>
      </c>
      <c r="BX280">
        <f>IF(AND(BW280&gt;=0,BW279&lt;0,MIN($BW$2:BW280)&lt;0),1,0)</f>
        <v>0</v>
      </c>
      <c r="BY280">
        <f>Расчёты!AZ280+AH280+AK280-AM280*N('Исходные данные'!$B$50)</f>
        <v>0</v>
      </c>
      <c r="BZ280">
        <f t="shared" si="157"/>
        <v>0</v>
      </c>
      <c r="CA280">
        <f>IF(AND(BZ280&gt;=0,BZ279&lt;0,MIN($BZ$2:BZ280)&lt;0),1,0)</f>
        <v>0</v>
      </c>
      <c r="CB280">
        <f>Расчёты!AZ280+BE280+BH280-BJ280*N('Исходные данные'!$B$50)</f>
        <v>0</v>
      </c>
      <c r="CC280">
        <f t="shared" si="158"/>
        <v>0</v>
      </c>
      <c r="CD280">
        <f>IF(AND(CC280&gt;=0,CC279&lt;0,MIN($CC$2:CC280)&lt;0),1,0)</f>
        <v>0</v>
      </c>
    </row>
    <row r="281" spans="1:82" x14ac:dyDescent="0.2">
      <c r="A281">
        <f>Расчёты!A281</f>
        <v>280</v>
      </c>
      <c r="B281" t="str">
        <f>Расчёты!B281</f>
        <v/>
      </c>
      <c r="C281" t="str">
        <f>Расчёты!D281</f>
        <v/>
      </c>
      <c r="D281">
        <f>Расчёты!E281</f>
        <v>0</v>
      </c>
      <c r="E281">
        <f>IF(Расчёты!F281=0,0,IF(Расчёты!G281=1,N('Сценарный анализ'!$B$5),IF(Расчёты!G281=2,N('Сценарный анализ'!$B$6),IF(Расчёты!G281=3,N('Сценарный анализ'!$B$7),N('Сценарный анализ'!$B$7)*(1+N('Сценарный анализ'!$B$8))^(Расчёты!G281-3)))))</f>
        <v>0</v>
      </c>
      <c r="F281">
        <f>IF(OR(Расчёты!F281=0,N('Исходные данные'!$B$5)=0,E281=0),0,N('Исходные данные'!$B$5)*E281*IF(AND(B281&lt;='Исходные данные'!$B$30,Расчёты!C281&gt;='Исходные данные'!$B$30),(Расчёты!C281-'Исходные данные'!$B$30+1)/DAY(Расчёты!C281),1))</f>
        <v>0</v>
      </c>
      <c r="G281">
        <f>IF(AND(Расчёты!F281&gt;0,Расчёты!F281&lt;=N('Исходные данные'!$B$37)),-F281,0)</f>
        <v>0</v>
      </c>
      <c r="H281">
        <f>IF(OR(Расчёты!F281=0,Расчёты!F281&lt;=N('Исходные данные'!$B$37)),0,-(F281+G281)*N('Сценарный анализ'!$B$9))</f>
        <v>0</v>
      </c>
      <c r="I281">
        <f t="shared" si="159"/>
        <v>0</v>
      </c>
      <c r="J281">
        <f>IF('Исходные данные'!$B$51="Да",I281*N('Исходные данные'!$B$52),0)</f>
        <v>0</v>
      </c>
      <c r="K281">
        <f t="shared" si="160"/>
        <v>0</v>
      </c>
      <c r="L281">
        <f>I281+(Расчёты!Y281-Расчёты!L281)</f>
        <v>0</v>
      </c>
      <c r="M281">
        <f t="shared" si="147"/>
        <v>0</v>
      </c>
      <c r="N281">
        <f>IF('Исходные данные'!$B$51="Да",-MAX(0,J281+Расчёты!R281+Расчёты!V281-Расчёты!P281-Расчёты!T281-M281),0)</f>
        <v>0</v>
      </c>
      <c r="O281">
        <f>IF('Исходные данные'!$B$51="Да",MAX(0,M281+Расчёты!P281+Расчёты!T281-J281-Расчёты!R281-Расчёты!V281),0)</f>
        <v>0</v>
      </c>
      <c r="P281">
        <f>IF('Исходные данные'!$B$53="Выручка",MAX(0,I281+(Расчёты!Q281-Расчёты!R281)+(Расчёты!U281-Расчёты!V281)),IF('Исходные данные'!$B$53="Прибыль до налога",MAX(0,I281+(Расчёты!Q281-Расчёты!R281)+(Расчёты!U281-Расчёты!V281)+N('Исходные данные'!$B$54)*((Расчёты!O281+Расчёты!P281)+(Расчёты!S281+Расчёты!T281)+Расчёты!W281+Расчёты!X281)+IF('Исходные данные'!$B$55="Да",Расчёты!AG281,0)-N('Исходные данные'!$B$56)/12),IF('Исходные данные'!$B$53="Пользовательская база",MAX(0,N('Исходные данные'!$B$57)/12),0)))</f>
        <v>0</v>
      </c>
      <c r="Q281">
        <f>IF(D281=1,-P281*N('Исходные данные'!$B$50),0)</f>
        <v>0</v>
      </c>
      <c r="R281">
        <f t="shared" si="148"/>
        <v>0</v>
      </c>
      <c r="S281">
        <f>IF(OR(D281&lt;&gt;1,B281="",'Исходные данные'!$B$91="",N('Исходные данные'!$B$80)&lt;=0,'Исходные данные'!$B$88=""),0,IF(AND(YEAR(B281)=YEAR('Исходные данные'!$B$91),MONTH(B281)=MONTH('Исходные данные'!$B$91)),MAX(0,IF('Исходные данные'!$B$88="Последние 12 месяцев",SUMIFS($L$2:$L$194,$B$2:$B$194,"&gt;="&amp;EDATE(B281,-11),$B$2:$B$194,"&lt;="&amp;B281),IF('Исходные данные'!$B$88="Пользовательский NOI",N('Исходные данные'!$B$89),R281))/N('Исходные данные'!$B$80)*(1+N('Исходные данные'!$B$81))),0))</f>
        <v>0</v>
      </c>
      <c r="T281">
        <f>-S281*N('Исходные данные'!$B$73)</f>
        <v>0</v>
      </c>
      <c r="U281">
        <f>IF(S281=0,0,-N('Исходные данные'!$B$87)-IF('Исходные данные'!$B$82="Да",IF('Исходные данные'!$B$84="С выручки",S281,IF('Исходные данные'!$B$84="С прибыли",MAX(0,S281+T281-IF('Исходные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81">
        <f t="shared" si="161"/>
        <v>0</v>
      </c>
      <c r="W281">
        <f>IF(D281=1,Расчёты!AZ281+K281+N281+Q281+V281,0)</f>
        <v>0</v>
      </c>
      <c r="X281" t="str">
        <f t="shared" si="149"/>
        <v/>
      </c>
      <c r="Y281">
        <f>IF(OR(D281=0,'Исходные данные'!$B$9="",'Исходные данные'!$B$90=""),0,W281/(1+'Исходные данные'!$B$90)^((C281-'Исходные данные'!$B$9)/365))</f>
        <v>0</v>
      </c>
      <c r="Z281">
        <f>IF(D281=1,K281+Расчёты!O281+Расчёты!Q281+Расчёты!S281+Расчёты!U281+Расчёты!W281+Расчёты!X281+N281+Q281,0)</f>
        <v>0</v>
      </c>
      <c r="AA281">
        <f>IF(AND(D281=1,X281&gt;=0,X280&lt;0,MIN($X$2:X281)&lt;0),1,0)</f>
        <v>0</v>
      </c>
      <c r="AB281">
        <f>IF(Расчёты!F281=0,0,IF(Расчёты!G281=1,N('Сценарный анализ'!$C$5),IF(Расчёты!G281=2,N('Сценарный анализ'!$C$6),IF(Расчёты!G281=3,N('Сценарный анализ'!$C$7),N('Сценарный анализ'!$C$7)*(1+N('Сценарный анализ'!$C$8))^(Расчёты!G281-3)))))</f>
        <v>0</v>
      </c>
      <c r="AC281">
        <f>IF(OR(Расчёты!F281=0,N('Исходные данные'!$B$5)=0,AB281=0),0,N('Исходные данные'!$B$5)*AB281*IF(AND(B281&lt;='Исходные данные'!$B$30,Расчёты!C281&gt;='Исходные данные'!$B$30),(Расчёты!C281-'Исходные данные'!$B$30+1)/DAY(Расчёты!C281),1))</f>
        <v>0</v>
      </c>
      <c r="AD281">
        <f>IF(AND(Расчёты!F281&gt;0,Расчёты!F281&lt;=N('Исходные данные'!$B$37)),-AC281,0)</f>
        <v>0</v>
      </c>
      <c r="AE281">
        <f>IF(OR(Расчёты!F281=0,Расчёты!F281&lt;=N('Исходные данные'!$B$37)),0,-(AC281+AD281)*N('Сценарный анализ'!$C$9))</f>
        <v>0</v>
      </c>
      <c r="AF281">
        <f t="shared" si="162"/>
        <v>0</v>
      </c>
      <c r="AG281">
        <f>IF('Исходные данные'!$B$51="Да",AF281*N('Исходные данные'!$B$52),0)</f>
        <v>0</v>
      </c>
      <c r="AH281">
        <f t="shared" si="163"/>
        <v>0</v>
      </c>
      <c r="AI281">
        <f>AF281+(Расчёты!Y281-Расчёты!L281)</f>
        <v>0</v>
      </c>
      <c r="AJ281">
        <f t="shared" si="150"/>
        <v>0</v>
      </c>
      <c r="AK281">
        <f>IF('Исходные данные'!$B$51="Да",-MAX(0,AG281+Расчёты!R281+Расчёты!V281-Расчёты!P281-Расчёты!T281-AJ281),0)</f>
        <v>0</v>
      </c>
      <c r="AL281">
        <f>IF('Исходные данные'!$B$51="Да",MAX(0,AJ281+Расчёты!P281+Расчёты!T281-AG281-Расчёты!R281-Расчёты!V281),0)</f>
        <v>0</v>
      </c>
      <c r="AM281">
        <f>IF('Исходные данные'!$B$53="Выручка",MAX(0,AF281+(Расчёты!Q281-Расчёты!R281)+(Расчёты!U281-Расчёты!V281)),IF('Исходные данные'!$B$53="Прибыль до налога",MAX(0,AF281+(Расчёты!Q281-Расчёты!R281)+(Расчёты!U281-Расчёты!V281)+N('Исходные данные'!$B$54)*((Расчёты!O281+Расчёты!P281)+(Расчёты!S281+Расчёты!T281)+Расчёты!W281+Расчёты!X281)+IF('Исходные данные'!$B$55="Да",Расчёты!AG281,0)-N('Исходные данные'!$B$56)/12),IF('Исходные данные'!$B$53="Пользовательская база",MAX(0,N('Исходные данные'!$B$57)/12),0)))</f>
        <v>0</v>
      </c>
      <c r="AN281">
        <f>IF(D281=1,-AM281*N('Исходные данные'!$B$50),0)</f>
        <v>0</v>
      </c>
      <c r="AO281">
        <f t="shared" si="151"/>
        <v>0</v>
      </c>
      <c r="AP281">
        <f>IF(OR(D281&lt;&gt;1,B281="",'Исходные данные'!$B$91="",N('Исходные данные'!$B$80)&lt;=0,'Исходные данные'!$B$88=""),0,IF(AND(YEAR(B281)=YEAR('Исходные данные'!$B$91),MONTH(B281)=MONTH('Исходные данные'!$B$91)),MAX(0,IF('Исходные данные'!$B$88="Последние 12 месяцев",SUMIFS($AI$2:$AI$194,$B$2:$B$194,"&gt;="&amp;EDATE(B281,-11),$B$2:$B$194,"&lt;="&amp;B281),IF('Исходные данные'!$B$88="Пользовательский NOI",N('Исходные данные'!$B$89),AO281))/N('Исходные данные'!$B$80)*(1+N('Исходные данные'!$B$81))),0))</f>
        <v>0</v>
      </c>
      <c r="AQ281">
        <f>-AP281*N('Исходные данные'!$B$73)</f>
        <v>0</v>
      </c>
      <c r="AR281">
        <f>IF(AP281=0,0,-N('Исходные данные'!$B$87)-IF('Исходные данные'!$B$82="Да",IF('Исходные данные'!$B$84="С выручки",AP281,IF('Исходные данные'!$B$84="С прибыли",MAX(0,AP281+AQ281-IF('Исходные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81">
        <f t="shared" si="164"/>
        <v>0</v>
      </c>
      <c r="AT281">
        <f>IF(D281=1,Расчёты!AZ281+AH281+AK281+AN281+AS281,0)</f>
        <v>0</v>
      </c>
      <c r="AU281" t="str">
        <f t="shared" si="152"/>
        <v/>
      </c>
      <c r="AV281">
        <f>IF(OR(D281=0,'Исходные данные'!$B$9="",'Исходные данные'!$B$90=""),0,AT281/(1+'Исходные данные'!$B$90)^((C281-'Исходные данные'!$B$9)/365))</f>
        <v>0</v>
      </c>
      <c r="AW281">
        <f>IF(D281=1,AH281+Расчёты!O281+Расчёты!Q281+Расчёты!S281+Расчёты!U281+Расчёты!W281+Расчёты!X281+AK281+AN281,0)</f>
        <v>0</v>
      </c>
      <c r="AX281">
        <f>IF(AND(D281=1,AU281&gt;=0,AU280&lt;0,MIN($AU$2:AU281)&lt;0),1,0)</f>
        <v>0</v>
      </c>
      <c r="AY281">
        <f>IF(Расчёты!F281=0,0,IF(Расчёты!G281=1,N('Сценарный анализ'!$D$5),IF(Расчёты!G281=2,N('Сценарный анализ'!$D$6),IF(Расчёты!G281=3,N('Сценарный анализ'!$D$7),N('Сценарный анализ'!$D$7)*(1+N('Сценарный анализ'!$D$8))^(Расчёты!G281-3)))))</f>
        <v>0</v>
      </c>
      <c r="AZ281">
        <f>IF(OR(Расчёты!F281=0,N('Исходные данные'!$B$5)=0,AY281=0),0,N('Исходные данные'!$B$5)*AY281*IF(AND(B281&lt;='Исходные данные'!$B$30,Расчёты!C281&gt;='Исходные данные'!$B$30),(Расчёты!C281-'Исходные данные'!$B$30+1)/DAY(Расчёты!C281),1))</f>
        <v>0</v>
      </c>
      <c r="BA281">
        <f>IF(AND(Расчёты!F281&gt;0,Расчёты!F281&lt;=N('Исходные данные'!$B$37)),-AZ281,0)</f>
        <v>0</v>
      </c>
      <c r="BB281">
        <f>IF(OR(Расчёты!F281=0,Расчёты!F281&lt;=N('Исходные данные'!$B$37)),0,-(AZ281+BA281)*N('Сценарный анализ'!$D$9))</f>
        <v>0</v>
      </c>
      <c r="BC281">
        <f t="shared" si="165"/>
        <v>0</v>
      </c>
      <c r="BD281">
        <f>IF('Исходные данные'!$B$51="Да",BC281*N('Исходные данные'!$B$52),0)</f>
        <v>0</v>
      </c>
      <c r="BE281">
        <f t="shared" si="166"/>
        <v>0</v>
      </c>
      <c r="BF281">
        <f>BC281+(Расчёты!Y281-Расчёты!L281)</f>
        <v>0</v>
      </c>
      <c r="BG281">
        <f t="shared" si="153"/>
        <v>0</v>
      </c>
      <c r="BH281">
        <f>IF('Исходные данные'!$B$51="Да",-MAX(0,BD281+Расчёты!R281+Расчёты!V281-Расчёты!P281-Расчёты!T281-BG281),0)</f>
        <v>0</v>
      </c>
      <c r="BI281">
        <f>IF('Исходные данные'!$B$51="Да",MAX(0,BG281+Расчёты!P281+Расчёты!T281-BD281-Расчёты!R281-Расчёты!V281),0)</f>
        <v>0</v>
      </c>
      <c r="BJ281">
        <f>IF('Исходные данные'!$B$53="Выручка",MAX(0,BC281+(Расчёты!Q281-Расчёты!R281)+(Расчёты!U281-Расчёты!V281)),IF('Исходные данные'!$B$53="Прибыль до налога",MAX(0,BC281+(Расчёты!Q281-Расчёты!R281)+(Расчёты!U281-Расчёты!V281)+N('Исходные данные'!$B$54)*((Расчёты!O281+Расчёты!P281)+(Расчёты!S281+Расчёты!T281)+Расчёты!W281+Расчёты!X281)+IF('Исходные данные'!$B$55="Да",Расчёты!AG281,0)-N('Исходные данные'!$B$56)/12),IF('Исходные данные'!$B$53="Пользовательская база",MAX(0,N('Исходные данные'!$B$57)/12),0)))</f>
        <v>0</v>
      </c>
      <c r="BK281">
        <f>IF(D281=1,-BJ281*N('Исходные данные'!$B$50),0)</f>
        <v>0</v>
      </c>
      <c r="BL281">
        <f t="shared" si="154"/>
        <v>0</v>
      </c>
      <c r="BM281">
        <f>IF(OR(D281&lt;&gt;1,B281="",'Исходные данные'!$B$91="",N('Исходные данные'!$B$80)&lt;=0,'Исходные данные'!$B$88=""),0,IF(AND(YEAR(B281)=YEAR('Исходные данные'!$B$91),MONTH(B281)=MONTH('Исходные данные'!$B$91)),MAX(0,IF('Исходные данные'!$B$88="Последние 12 месяцев",SUMIFS($BF$2:$BF$194,$B$2:$B$194,"&gt;="&amp;EDATE(B281,-11),$B$2:$B$194,"&lt;="&amp;B281),IF('Исходные данные'!$B$88="Пользовательский NOI",N('Исходные данные'!$B$89),BL281))/N('Исходные данные'!$B$80)*(1+N('Исходные данные'!$B$81))),0))</f>
        <v>0</v>
      </c>
      <c r="BN281">
        <f>-BM281*N('Исходные данные'!$B$73)</f>
        <v>0</v>
      </c>
      <c r="BO281">
        <f>IF(BM281=0,0,-N('Исходные данные'!$B$87)-IF('Исходные данные'!$B$82="Да",IF('Исходные данные'!$B$84="С выручки",BM281,IF('Исходные данные'!$B$84="С прибыли",MAX(0,BM281+BN281-IF('Исходные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81">
        <f t="shared" si="167"/>
        <v>0</v>
      </c>
      <c r="BQ281">
        <f>IF(D281=1,Расчёты!AZ281+BE281+BH281+BK281+BP281,0)</f>
        <v>0</v>
      </c>
      <c r="BR281" t="str">
        <f t="shared" si="155"/>
        <v/>
      </c>
      <c r="BS281">
        <f>IF(OR(D281=0,'Исходные данные'!$B$9="",'Исходные данные'!$B$90=""),0,BQ281/(1+'Исходные данные'!$B$90)^((C281-'Исходные данные'!$B$9)/365))</f>
        <v>0</v>
      </c>
      <c r="BT281">
        <f>IF(D281=1,BE281+Расчёты!O281+Расчёты!Q281+Расчёты!S281+Расчёты!U281+Расчёты!W281+Расчёты!X281+BH281+BK281,0)</f>
        <v>0</v>
      </c>
      <c r="BU281">
        <f>IF(AND(D281=1,BR281&gt;=0,BR280&lt;0,MIN($BR$2:BR281)&lt;0),1,0)</f>
        <v>0</v>
      </c>
      <c r="BV281">
        <f>Расчёты!AZ281+K281+N281-P281*N('Исходные данные'!$B$50)</f>
        <v>0</v>
      </c>
      <c r="BW281">
        <f t="shared" si="156"/>
        <v>0</v>
      </c>
      <c r="BX281">
        <f>IF(AND(BW281&gt;=0,BW280&lt;0,MIN($BW$2:BW281)&lt;0),1,0)</f>
        <v>0</v>
      </c>
      <c r="BY281">
        <f>Расчёты!AZ281+AH281+AK281-AM281*N('Исходные данные'!$B$50)</f>
        <v>0</v>
      </c>
      <c r="BZ281">
        <f t="shared" si="157"/>
        <v>0</v>
      </c>
      <c r="CA281">
        <f>IF(AND(BZ281&gt;=0,BZ280&lt;0,MIN($BZ$2:BZ281)&lt;0),1,0)</f>
        <v>0</v>
      </c>
      <c r="CB281">
        <f>Расчёты!AZ281+BE281+BH281-BJ281*N('Исходные данные'!$B$50)</f>
        <v>0</v>
      </c>
      <c r="CC281">
        <f t="shared" si="158"/>
        <v>0</v>
      </c>
      <c r="CD281">
        <f>IF(AND(CC281&gt;=0,CC280&lt;0,MIN($CC$2:CC281)&lt;0),1,0)</f>
        <v>0</v>
      </c>
    </row>
    <row r="282" spans="1:82" x14ac:dyDescent="0.2">
      <c r="A282">
        <f>Расчёты!A282</f>
        <v>281</v>
      </c>
      <c r="B282" t="str">
        <f>Расчёты!B282</f>
        <v/>
      </c>
      <c r="C282" t="str">
        <f>Расчёты!D282</f>
        <v/>
      </c>
      <c r="D282">
        <f>Расчёты!E282</f>
        <v>0</v>
      </c>
      <c r="E282">
        <f>IF(Расчёты!F282=0,0,IF(Расчёты!G282=1,N('Сценарный анализ'!$B$5),IF(Расчёты!G282=2,N('Сценарный анализ'!$B$6),IF(Расчёты!G282=3,N('Сценарный анализ'!$B$7),N('Сценарный анализ'!$B$7)*(1+N('Сценарный анализ'!$B$8))^(Расчёты!G282-3)))))</f>
        <v>0</v>
      </c>
      <c r="F282">
        <f>IF(OR(Расчёты!F282=0,N('Исходные данные'!$B$5)=0,E282=0),0,N('Исходные данные'!$B$5)*E282*IF(AND(B282&lt;='Исходные данные'!$B$30,Расчёты!C282&gt;='Исходные данные'!$B$30),(Расчёты!C282-'Исходные данные'!$B$30+1)/DAY(Расчёты!C282),1))</f>
        <v>0</v>
      </c>
      <c r="G282">
        <f>IF(AND(Расчёты!F282&gt;0,Расчёты!F282&lt;=N('Исходные данные'!$B$37)),-F282,0)</f>
        <v>0</v>
      </c>
      <c r="H282">
        <f>IF(OR(Расчёты!F282=0,Расчёты!F282&lt;=N('Исходные данные'!$B$37)),0,-(F282+G282)*N('Сценарный анализ'!$B$9))</f>
        <v>0</v>
      </c>
      <c r="I282">
        <f t="shared" si="159"/>
        <v>0</v>
      </c>
      <c r="J282">
        <f>IF('Исходные данные'!$B$51="Да",I282*N('Исходные данные'!$B$52),0)</f>
        <v>0</v>
      </c>
      <c r="K282">
        <f t="shared" si="160"/>
        <v>0</v>
      </c>
      <c r="L282">
        <f>I282+(Расчёты!Y282-Расчёты!L282)</f>
        <v>0</v>
      </c>
      <c r="M282">
        <f t="shared" si="147"/>
        <v>0</v>
      </c>
      <c r="N282">
        <f>IF('Исходные данные'!$B$51="Да",-MAX(0,J282+Расчёты!R282+Расчёты!V282-Расчёты!P282-Расчёты!T282-M282),0)</f>
        <v>0</v>
      </c>
      <c r="O282">
        <f>IF('Исходные данные'!$B$51="Да",MAX(0,M282+Расчёты!P282+Расчёты!T282-J282-Расчёты!R282-Расчёты!V282),0)</f>
        <v>0</v>
      </c>
      <c r="P282">
        <f>IF('Исходные данные'!$B$53="Выручка",MAX(0,I282+(Расчёты!Q282-Расчёты!R282)+(Расчёты!U282-Расчёты!V282)),IF('Исходные данные'!$B$53="Прибыль до налога",MAX(0,I282+(Расчёты!Q282-Расчёты!R282)+(Расчёты!U282-Расчёты!V282)+N('Исходные данные'!$B$54)*((Расчёты!O282+Расчёты!P282)+(Расчёты!S282+Расчёты!T282)+Расчёты!W282+Расчёты!X282)+IF('Исходные данные'!$B$55="Да",Расчёты!AG282,0)-N('Исходные данные'!$B$56)/12),IF('Исходные данные'!$B$53="Пользовательская база",MAX(0,N('Исходные данные'!$B$57)/12),0)))</f>
        <v>0</v>
      </c>
      <c r="Q282">
        <f>IF(D282=1,-P282*N('Исходные данные'!$B$50),0)</f>
        <v>0</v>
      </c>
      <c r="R282">
        <f t="shared" si="148"/>
        <v>0</v>
      </c>
      <c r="S282">
        <f>IF(OR(D282&lt;&gt;1,B282="",'Исходные данные'!$B$91="",N('Исходные данные'!$B$80)&lt;=0,'Исходные данные'!$B$88=""),0,IF(AND(YEAR(B282)=YEAR('Исходные данные'!$B$91),MONTH(B282)=MONTH('Исходные данные'!$B$91)),MAX(0,IF('Исходные данные'!$B$88="Последние 12 месяцев",SUMIFS($L$2:$L$194,$B$2:$B$194,"&gt;="&amp;EDATE(B282,-11),$B$2:$B$194,"&lt;="&amp;B282),IF('Исходные данные'!$B$88="Пользовательский NOI",N('Исходные данные'!$B$89),R282))/N('Исходные данные'!$B$80)*(1+N('Исходные данные'!$B$81))),0))</f>
        <v>0</v>
      </c>
      <c r="T282">
        <f>-S282*N('Исходные данные'!$B$73)</f>
        <v>0</v>
      </c>
      <c r="U282">
        <f>IF(S282=0,0,-N('Исходные данные'!$B$87)-IF('Исходные данные'!$B$82="Да",IF('Исходные данные'!$B$84="С выручки",S282,IF('Исходные данные'!$B$84="С прибыли",MAX(0,S282+T282-IF('Исходные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82">
        <f t="shared" si="161"/>
        <v>0</v>
      </c>
      <c r="W282">
        <f>IF(D282=1,Расчёты!AZ282+K282+N282+Q282+V282,0)</f>
        <v>0</v>
      </c>
      <c r="X282" t="str">
        <f t="shared" si="149"/>
        <v/>
      </c>
      <c r="Y282">
        <f>IF(OR(D282=0,'Исходные данные'!$B$9="",'Исходные данные'!$B$90=""),0,W282/(1+'Исходные данные'!$B$90)^((C282-'Исходные данные'!$B$9)/365))</f>
        <v>0</v>
      </c>
      <c r="Z282">
        <f>IF(D282=1,K282+Расчёты!O282+Расчёты!Q282+Расчёты!S282+Расчёты!U282+Расчёты!W282+Расчёты!X282+N282+Q282,0)</f>
        <v>0</v>
      </c>
      <c r="AA282">
        <f>IF(AND(D282=1,X282&gt;=0,X281&lt;0,MIN($X$2:X282)&lt;0),1,0)</f>
        <v>0</v>
      </c>
      <c r="AB282">
        <f>IF(Расчёты!F282=0,0,IF(Расчёты!G282=1,N('Сценарный анализ'!$C$5),IF(Расчёты!G282=2,N('Сценарный анализ'!$C$6),IF(Расчёты!G282=3,N('Сценарный анализ'!$C$7),N('Сценарный анализ'!$C$7)*(1+N('Сценарный анализ'!$C$8))^(Расчёты!G282-3)))))</f>
        <v>0</v>
      </c>
      <c r="AC282">
        <f>IF(OR(Расчёты!F282=0,N('Исходные данные'!$B$5)=0,AB282=0),0,N('Исходные данные'!$B$5)*AB282*IF(AND(B282&lt;='Исходные данные'!$B$30,Расчёты!C282&gt;='Исходные данные'!$B$30),(Расчёты!C282-'Исходные данные'!$B$30+1)/DAY(Расчёты!C282),1))</f>
        <v>0</v>
      </c>
      <c r="AD282">
        <f>IF(AND(Расчёты!F282&gt;0,Расчёты!F282&lt;=N('Исходные данные'!$B$37)),-AC282,0)</f>
        <v>0</v>
      </c>
      <c r="AE282">
        <f>IF(OR(Расчёты!F282=0,Расчёты!F282&lt;=N('Исходные данные'!$B$37)),0,-(AC282+AD282)*N('Сценарный анализ'!$C$9))</f>
        <v>0</v>
      </c>
      <c r="AF282">
        <f t="shared" si="162"/>
        <v>0</v>
      </c>
      <c r="AG282">
        <f>IF('Исходные данные'!$B$51="Да",AF282*N('Исходные данные'!$B$52),0)</f>
        <v>0</v>
      </c>
      <c r="AH282">
        <f t="shared" si="163"/>
        <v>0</v>
      </c>
      <c r="AI282">
        <f>AF282+(Расчёты!Y282-Расчёты!L282)</f>
        <v>0</v>
      </c>
      <c r="AJ282">
        <f t="shared" si="150"/>
        <v>0</v>
      </c>
      <c r="AK282">
        <f>IF('Исходные данные'!$B$51="Да",-MAX(0,AG282+Расчёты!R282+Расчёты!V282-Расчёты!P282-Расчёты!T282-AJ282),0)</f>
        <v>0</v>
      </c>
      <c r="AL282">
        <f>IF('Исходные данные'!$B$51="Да",MAX(0,AJ282+Расчёты!P282+Расчёты!T282-AG282-Расчёты!R282-Расчёты!V282),0)</f>
        <v>0</v>
      </c>
      <c r="AM282">
        <f>IF('Исходные данные'!$B$53="Выручка",MAX(0,AF282+(Расчёты!Q282-Расчёты!R282)+(Расчёты!U282-Расчёты!V282)),IF('Исходные данные'!$B$53="Прибыль до налога",MAX(0,AF282+(Расчёты!Q282-Расчёты!R282)+(Расчёты!U282-Расчёты!V282)+N('Исходные данные'!$B$54)*((Расчёты!O282+Расчёты!P282)+(Расчёты!S282+Расчёты!T282)+Расчёты!W282+Расчёты!X282)+IF('Исходные данные'!$B$55="Да",Расчёты!AG282,0)-N('Исходные данные'!$B$56)/12),IF('Исходные данные'!$B$53="Пользовательская база",MAX(0,N('Исходные данные'!$B$57)/12),0)))</f>
        <v>0</v>
      </c>
      <c r="AN282">
        <f>IF(D282=1,-AM282*N('Исходные данные'!$B$50),0)</f>
        <v>0</v>
      </c>
      <c r="AO282">
        <f t="shared" si="151"/>
        <v>0</v>
      </c>
      <c r="AP282">
        <f>IF(OR(D282&lt;&gt;1,B282="",'Исходные данные'!$B$91="",N('Исходные данные'!$B$80)&lt;=0,'Исходные данные'!$B$88=""),0,IF(AND(YEAR(B282)=YEAR('Исходные данные'!$B$91),MONTH(B282)=MONTH('Исходные данные'!$B$91)),MAX(0,IF('Исходные данные'!$B$88="Последние 12 месяцев",SUMIFS($AI$2:$AI$194,$B$2:$B$194,"&gt;="&amp;EDATE(B282,-11),$B$2:$B$194,"&lt;="&amp;B282),IF('Исходные данные'!$B$88="Пользовательский NOI",N('Исходные данные'!$B$89),AO282))/N('Исходные данные'!$B$80)*(1+N('Исходные данные'!$B$81))),0))</f>
        <v>0</v>
      </c>
      <c r="AQ282">
        <f>-AP282*N('Исходные данные'!$B$73)</f>
        <v>0</v>
      </c>
      <c r="AR282">
        <f>IF(AP282=0,0,-N('Исходные данные'!$B$87)-IF('Исходные данные'!$B$82="Да",IF('Исходные данные'!$B$84="С выручки",AP282,IF('Исходные данные'!$B$84="С прибыли",MAX(0,AP282+AQ282-IF('Исходные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82">
        <f t="shared" si="164"/>
        <v>0</v>
      </c>
      <c r="AT282">
        <f>IF(D282=1,Расчёты!AZ282+AH282+AK282+AN282+AS282,0)</f>
        <v>0</v>
      </c>
      <c r="AU282" t="str">
        <f t="shared" si="152"/>
        <v/>
      </c>
      <c r="AV282">
        <f>IF(OR(D282=0,'Исходные данные'!$B$9="",'Исходные данные'!$B$90=""),0,AT282/(1+'Исходные данные'!$B$90)^((C282-'Исходные данные'!$B$9)/365))</f>
        <v>0</v>
      </c>
      <c r="AW282">
        <f>IF(D282=1,AH282+Расчёты!O282+Расчёты!Q282+Расчёты!S282+Расчёты!U282+Расчёты!W282+Расчёты!X282+AK282+AN282,0)</f>
        <v>0</v>
      </c>
      <c r="AX282">
        <f>IF(AND(D282=1,AU282&gt;=0,AU281&lt;0,MIN($AU$2:AU282)&lt;0),1,0)</f>
        <v>0</v>
      </c>
      <c r="AY282">
        <f>IF(Расчёты!F282=0,0,IF(Расчёты!G282=1,N('Сценарный анализ'!$D$5),IF(Расчёты!G282=2,N('Сценарный анализ'!$D$6),IF(Расчёты!G282=3,N('Сценарный анализ'!$D$7),N('Сценарный анализ'!$D$7)*(1+N('Сценарный анализ'!$D$8))^(Расчёты!G282-3)))))</f>
        <v>0</v>
      </c>
      <c r="AZ282">
        <f>IF(OR(Расчёты!F282=0,N('Исходные данные'!$B$5)=0,AY282=0),0,N('Исходные данные'!$B$5)*AY282*IF(AND(B282&lt;='Исходные данные'!$B$30,Расчёты!C282&gt;='Исходные данные'!$B$30),(Расчёты!C282-'Исходные данные'!$B$30+1)/DAY(Расчёты!C282),1))</f>
        <v>0</v>
      </c>
      <c r="BA282">
        <f>IF(AND(Расчёты!F282&gt;0,Расчёты!F282&lt;=N('Исходные данные'!$B$37)),-AZ282,0)</f>
        <v>0</v>
      </c>
      <c r="BB282">
        <f>IF(OR(Расчёты!F282=0,Расчёты!F282&lt;=N('Исходные данные'!$B$37)),0,-(AZ282+BA282)*N('Сценарный анализ'!$D$9))</f>
        <v>0</v>
      </c>
      <c r="BC282">
        <f t="shared" si="165"/>
        <v>0</v>
      </c>
      <c r="BD282">
        <f>IF('Исходные данные'!$B$51="Да",BC282*N('Исходные данные'!$B$52),0)</f>
        <v>0</v>
      </c>
      <c r="BE282">
        <f t="shared" si="166"/>
        <v>0</v>
      </c>
      <c r="BF282">
        <f>BC282+(Расчёты!Y282-Расчёты!L282)</f>
        <v>0</v>
      </c>
      <c r="BG282">
        <f t="shared" si="153"/>
        <v>0</v>
      </c>
      <c r="BH282">
        <f>IF('Исходные данные'!$B$51="Да",-MAX(0,BD282+Расчёты!R282+Расчёты!V282-Расчёты!P282-Расчёты!T282-BG282),0)</f>
        <v>0</v>
      </c>
      <c r="BI282">
        <f>IF('Исходные данные'!$B$51="Да",MAX(0,BG282+Расчёты!P282+Расчёты!T282-BD282-Расчёты!R282-Расчёты!V282),0)</f>
        <v>0</v>
      </c>
      <c r="BJ282">
        <f>IF('Исходные данные'!$B$53="Выручка",MAX(0,BC282+(Расчёты!Q282-Расчёты!R282)+(Расчёты!U282-Расчёты!V282)),IF('Исходные данные'!$B$53="Прибыль до налога",MAX(0,BC282+(Расчёты!Q282-Расчёты!R282)+(Расчёты!U282-Расчёты!V282)+N('Исходные данные'!$B$54)*((Расчёты!O282+Расчёты!P282)+(Расчёты!S282+Расчёты!T282)+Расчёты!W282+Расчёты!X282)+IF('Исходные данные'!$B$55="Да",Расчёты!AG282,0)-N('Исходные данные'!$B$56)/12),IF('Исходные данные'!$B$53="Пользовательская база",MAX(0,N('Исходные данные'!$B$57)/12),0)))</f>
        <v>0</v>
      </c>
      <c r="BK282">
        <f>IF(D282=1,-BJ282*N('Исходные данные'!$B$50),0)</f>
        <v>0</v>
      </c>
      <c r="BL282">
        <f t="shared" si="154"/>
        <v>0</v>
      </c>
      <c r="BM282">
        <f>IF(OR(D282&lt;&gt;1,B282="",'Исходные данные'!$B$91="",N('Исходные данные'!$B$80)&lt;=0,'Исходные данные'!$B$88=""),0,IF(AND(YEAR(B282)=YEAR('Исходные данные'!$B$91),MONTH(B282)=MONTH('Исходные данные'!$B$91)),MAX(0,IF('Исходные данные'!$B$88="Последние 12 месяцев",SUMIFS($BF$2:$BF$194,$B$2:$B$194,"&gt;="&amp;EDATE(B282,-11),$B$2:$B$194,"&lt;="&amp;B282),IF('Исходные данные'!$B$88="Пользовательский NOI",N('Исходные данные'!$B$89),BL282))/N('Исходные данные'!$B$80)*(1+N('Исходные данные'!$B$81))),0))</f>
        <v>0</v>
      </c>
      <c r="BN282">
        <f>-BM282*N('Исходные данные'!$B$73)</f>
        <v>0</v>
      </c>
      <c r="BO282">
        <f>IF(BM282=0,0,-N('Исходные данные'!$B$87)-IF('Исходные данные'!$B$82="Да",IF('Исходные данные'!$B$84="С выручки",BM282,IF('Исходные данные'!$B$84="С прибыли",MAX(0,BM282+BN282-IF('Исходные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82">
        <f t="shared" si="167"/>
        <v>0</v>
      </c>
      <c r="BQ282">
        <f>IF(D282=1,Расчёты!AZ282+BE282+BH282+BK282+BP282,0)</f>
        <v>0</v>
      </c>
      <c r="BR282" t="str">
        <f t="shared" si="155"/>
        <v/>
      </c>
      <c r="BS282">
        <f>IF(OR(D282=0,'Исходные данные'!$B$9="",'Исходные данные'!$B$90=""),0,BQ282/(1+'Исходные данные'!$B$90)^((C282-'Исходные данные'!$B$9)/365))</f>
        <v>0</v>
      </c>
      <c r="BT282">
        <f>IF(D282=1,BE282+Расчёты!O282+Расчёты!Q282+Расчёты!S282+Расчёты!U282+Расчёты!W282+Расчёты!X282+BH282+BK282,0)</f>
        <v>0</v>
      </c>
      <c r="BU282">
        <f>IF(AND(D282=1,BR282&gt;=0,BR281&lt;0,MIN($BR$2:BR282)&lt;0),1,0)</f>
        <v>0</v>
      </c>
      <c r="BV282">
        <f>Расчёты!AZ282+K282+N282-P282*N('Исходные данные'!$B$50)</f>
        <v>0</v>
      </c>
      <c r="BW282">
        <f t="shared" si="156"/>
        <v>0</v>
      </c>
      <c r="BX282">
        <f>IF(AND(BW282&gt;=0,BW281&lt;0,MIN($BW$2:BW282)&lt;0),1,0)</f>
        <v>0</v>
      </c>
      <c r="BY282">
        <f>Расчёты!AZ282+AH282+AK282-AM282*N('Исходные данные'!$B$50)</f>
        <v>0</v>
      </c>
      <c r="BZ282">
        <f t="shared" si="157"/>
        <v>0</v>
      </c>
      <c r="CA282">
        <f>IF(AND(BZ282&gt;=0,BZ281&lt;0,MIN($BZ$2:BZ282)&lt;0),1,0)</f>
        <v>0</v>
      </c>
      <c r="CB282">
        <f>Расчёты!AZ282+BE282+BH282-BJ282*N('Исходные данные'!$B$50)</f>
        <v>0</v>
      </c>
      <c r="CC282">
        <f t="shared" si="158"/>
        <v>0</v>
      </c>
      <c r="CD282">
        <f>IF(AND(CC282&gt;=0,CC281&lt;0,MIN($CC$2:CC282)&lt;0),1,0)</f>
        <v>0</v>
      </c>
    </row>
    <row r="283" spans="1:82" x14ac:dyDescent="0.2">
      <c r="A283">
        <f>Расчёты!A283</f>
        <v>282</v>
      </c>
      <c r="B283" t="str">
        <f>Расчёты!B283</f>
        <v/>
      </c>
      <c r="C283" t="str">
        <f>Расчёты!D283</f>
        <v/>
      </c>
      <c r="D283">
        <f>Расчёты!E283</f>
        <v>0</v>
      </c>
      <c r="E283">
        <f>IF(Расчёты!F283=0,0,IF(Расчёты!G283=1,N('Сценарный анализ'!$B$5),IF(Расчёты!G283=2,N('Сценарный анализ'!$B$6),IF(Расчёты!G283=3,N('Сценарный анализ'!$B$7),N('Сценарный анализ'!$B$7)*(1+N('Сценарный анализ'!$B$8))^(Расчёты!G283-3)))))</f>
        <v>0</v>
      </c>
      <c r="F283">
        <f>IF(OR(Расчёты!F283=0,N('Исходные данные'!$B$5)=0,E283=0),0,N('Исходные данные'!$B$5)*E283*IF(AND(B283&lt;='Исходные данные'!$B$30,Расчёты!C283&gt;='Исходные данные'!$B$30),(Расчёты!C283-'Исходные данные'!$B$30+1)/DAY(Расчёты!C283),1))</f>
        <v>0</v>
      </c>
      <c r="G283">
        <f>IF(AND(Расчёты!F283&gt;0,Расчёты!F283&lt;=N('Исходные данные'!$B$37)),-F283,0)</f>
        <v>0</v>
      </c>
      <c r="H283">
        <f>IF(OR(Расчёты!F283=0,Расчёты!F283&lt;=N('Исходные данные'!$B$37)),0,-(F283+G283)*N('Сценарный анализ'!$B$9))</f>
        <v>0</v>
      </c>
      <c r="I283">
        <f t="shared" si="159"/>
        <v>0</v>
      </c>
      <c r="J283">
        <f>IF('Исходные данные'!$B$51="Да",I283*N('Исходные данные'!$B$52),0)</f>
        <v>0</v>
      </c>
      <c r="K283">
        <f t="shared" si="160"/>
        <v>0</v>
      </c>
      <c r="L283">
        <f>I283+(Расчёты!Y283-Расчёты!L283)</f>
        <v>0</v>
      </c>
      <c r="M283">
        <f t="shared" si="147"/>
        <v>0</v>
      </c>
      <c r="N283">
        <f>IF('Исходные данные'!$B$51="Да",-MAX(0,J283+Расчёты!R283+Расчёты!V283-Расчёты!P283-Расчёты!T283-M283),0)</f>
        <v>0</v>
      </c>
      <c r="O283">
        <f>IF('Исходные данные'!$B$51="Да",MAX(0,M283+Расчёты!P283+Расчёты!T283-J283-Расчёты!R283-Расчёты!V283),0)</f>
        <v>0</v>
      </c>
      <c r="P283">
        <f>IF('Исходные данные'!$B$53="Выручка",MAX(0,I283+(Расчёты!Q283-Расчёты!R283)+(Расчёты!U283-Расчёты!V283)),IF('Исходные данные'!$B$53="Прибыль до налога",MAX(0,I283+(Расчёты!Q283-Расчёты!R283)+(Расчёты!U283-Расчёты!V283)+N('Исходные данные'!$B$54)*((Расчёты!O283+Расчёты!P283)+(Расчёты!S283+Расчёты!T283)+Расчёты!W283+Расчёты!X283)+IF('Исходные данные'!$B$55="Да",Расчёты!AG283,0)-N('Исходные данные'!$B$56)/12),IF('Исходные данные'!$B$53="Пользовательская база",MAX(0,N('Исходные данные'!$B$57)/12),0)))</f>
        <v>0</v>
      </c>
      <c r="Q283">
        <f>IF(D283=1,-P283*N('Исходные данные'!$B$50),0)</f>
        <v>0</v>
      </c>
      <c r="R283">
        <f t="shared" si="148"/>
        <v>0</v>
      </c>
      <c r="S283">
        <f>IF(OR(D283&lt;&gt;1,B283="",'Исходные данные'!$B$91="",N('Исходные данные'!$B$80)&lt;=0,'Исходные данные'!$B$88=""),0,IF(AND(YEAR(B283)=YEAR('Исходные данные'!$B$91),MONTH(B283)=MONTH('Исходные данные'!$B$91)),MAX(0,IF('Исходные данные'!$B$88="Последние 12 месяцев",SUMIFS($L$2:$L$194,$B$2:$B$194,"&gt;="&amp;EDATE(B283,-11),$B$2:$B$194,"&lt;="&amp;B283),IF('Исходные данные'!$B$88="Пользовательский NOI",N('Исходные данные'!$B$89),R283))/N('Исходные данные'!$B$80)*(1+N('Исходные данные'!$B$81))),0))</f>
        <v>0</v>
      </c>
      <c r="T283">
        <f>-S283*N('Исходные данные'!$B$73)</f>
        <v>0</v>
      </c>
      <c r="U283">
        <f>IF(S283=0,0,-N('Исходные данные'!$B$87)-IF('Исходные данные'!$B$82="Да",IF('Исходные данные'!$B$84="С выручки",S283,IF('Исходные данные'!$B$84="С прибыли",MAX(0,S283+T283-IF('Исходные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83">
        <f t="shared" si="161"/>
        <v>0</v>
      </c>
      <c r="W283">
        <f>IF(D283=1,Расчёты!AZ283+K283+N283+Q283+V283,0)</f>
        <v>0</v>
      </c>
      <c r="X283" t="str">
        <f t="shared" si="149"/>
        <v/>
      </c>
      <c r="Y283">
        <f>IF(OR(D283=0,'Исходные данные'!$B$9="",'Исходные данные'!$B$90=""),0,W283/(1+'Исходные данные'!$B$90)^((C283-'Исходные данные'!$B$9)/365))</f>
        <v>0</v>
      </c>
      <c r="Z283">
        <f>IF(D283=1,K283+Расчёты!O283+Расчёты!Q283+Расчёты!S283+Расчёты!U283+Расчёты!W283+Расчёты!X283+N283+Q283,0)</f>
        <v>0</v>
      </c>
      <c r="AA283">
        <f>IF(AND(D283=1,X283&gt;=0,X282&lt;0,MIN($X$2:X283)&lt;0),1,0)</f>
        <v>0</v>
      </c>
      <c r="AB283">
        <f>IF(Расчёты!F283=0,0,IF(Расчёты!G283=1,N('Сценарный анализ'!$C$5),IF(Расчёты!G283=2,N('Сценарный анализ'!$C$6),IF(Расчёты!G283=3,N('Сценарный анализ'!$C$7),N('Сценарный анализ'!$C$7)*(1+N('Сценарный анализ'!$C$8))^(Расчёты!G283-3)))))</f>
        <v>0</v>
      </c>
      <c r="AC283">
        <f>IF(OR(Расчёты!F283=0,N('Исходные данные'!$B$5)=0,AB283=0),0,N('Исходные данные'!$B$5)*AB283*IF(AND(B283&lt;='Исходные данные'!$B$30,Расчёты!C283&gt;='Исходные данные'!$B$30),(Расчёты!C283-'Исходные данные'!$B$30+1)/DAY(Расчёты!C283),1))</f>
        <v>0</v>
      </c>
      <c r="AD283">
        <f>IF(AND(Расчёты!F283&gt;0,Расчёты!F283&lt;=N('Исходные данные'!$B$37)),-AC283,0)</f>
        <v>0</v>
      </c>
      <c r="AE283">
        <f>IF(OR(Расчёты!F283=0,Расчёты!F283&lt;=N('Исходные данные'!$B$37)),0,-(AC283+AD283)*N('Сценарный анализ'!$C$9))</f>
        <v>0</v>
      </c>
      <c r="AF283">
        <f t="shared" si="162"/>
        <v>0</v>
      </c>
      <c r="AG283">
        <f>IF('Исходные данные'!$B$51="Да",AF283*N('Исходные данные'!$B$52),0)</f>
        <v>0</v>
      </c>
      <c r="AH283">
        <f t="shared" si="163"/>
        <v>0</v>
      </c>
      <c r="AI283">
        <f>AF283+(Расчёты!Y283-Расчёты!L283)</f>
        <v>0</v>
      </c>
      <c r="AJ283">
        <f t="shared" si="150"/>
        <v>0</v>
      </c>
      <c r="AK283">
        <f>IF('Исходные данные'!$B$51="Да",-MAX(0,AG283+Расчёты!R283+Расчёты!V283-Расчёты!P283-Расчёты!T283-AJ283),0)</f>
        <v>0</v>
      </c>
      <c r="AL283">
        <f>IF('Исходные данные'!$B$51="Да",MAX(0,AJ283+Расчёты!P283+Расчёты!T283-AG283-Расчёты!R283-Расчёты!V283),0)</f>
        <v>0</v>
      </c>
      <c r="AM283">
        <f>IF('Исходные данные'!$B$53="Выручка",MAX(0,AF283+(Расчёты!Q283-Расчёты!R283)+(Расчёты!U283-Расчёты!V283)),IF('Исходные данные'!$B$53="Прибыль до налога",MAX(0,AF283+(Расчёты!Q283-Расчёты!R283)+(Расчёты!U283-Расчёты!V283)+N('Исходные данные'!$B$54)*((Расчёты!O283+Расчёты!P283)+(Расчёты!S283+Расчёты!T283)+Расчёты!W283+Расчёты!X283)+IF('Исходные данные'!$B$55="Да",Расчёты!AG283,0)-N('Исходные данные'!$B$56)/12),IF('Исходные данные'!$B$53="Пользовательская база",MAX(0,N('Исходные данные'!$B$57)/12),0)))</f>
        <v>0</v>
      </c>
      <c r="AN283">
        <f>IF(D283=1,-AM283*N('Исходные данные'!$B$50),0)</f>
        <v>0</v>
      </c>
      <c r="AO283">
        <f t="shared" si="151"/>
        <v>0</v>
      </c>
      <c r="AP283">
        <f>IF(OR(D283&lt;&gt;1,B283="",'Исходные данные'!$B$91="",N('Исходные данные'!$B$80)&lt;=0,'Исходные данные'!$B$88=""),0,IF(AND(YEAR(B283)=YEAR('Исходные данные'!$B$91),MONTH(B283)=MONTH('Исходные данные'!$B$91)),MAX(0,IF('Исходные данные'!$B$88="Последние 12 месяцев",SUMIFS($AI$2:$AI$194,$B$2:$B$194,"&gt;="&amp;EDATE(B283,-11),$B$2:$B$194,"&lt;="&amp;B283),IF('Исходные данные'!$B$88="Пользовательский NOI",N('Исходные данные'!$B$89),AO283))/N('Исходные данные'!$B$80)*(1+N('Исходные данные'!$B$81))),0))</f>
        <v>0</v>
      </c>
      <c r="AQ283">
        <f>-AP283*N('Исходные данные'!$B$73)</f>
        <v>0</v>
      </c>
      <c r="AR283">
        <f>IF(AP283=0,0,-N('Исходные данные'!$B$87)-IF('Исходные данные'!$B$82="Да",IF('Исходные данные'!$B$84="С выручки",AP283,IF('Исходные данные'!$B$84="С прибыли",MAX(0,AP283+AQ283-IF('Исходные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83">
        <f t="shared" si="164"/>
        <v>0</v>
      </c>
      <c r="AT283">
        <f>IF(D283=1,Расчёты!AZ283+AH283+AK283+AN283+AS283,0)</f>
        <v>0</v>
      </c>
      <c r="AU283" t="str">
        <f t="shared" si="152"/>
        <v/>
      </c>
      <c r="AV283">
        <f>IF(OR(D283=0,'Исходные данные'!$B$9="",'Исходные данные'!$B$90=""),0,AT283/(1+'Исходные данные'!$B$90)^((C283-'Исходные данные'!$B$9)/365))</f>
        <v>0</v>
      </c>
      <c r="AW283">
        <f>IF(D283=1,AH283+Расчёты!O283+Расчёты!Q283+Расчёты!S283+Расчёты!U283+Расчёты!W283+Расчёты!X283+AK283+AN283,0)</f>
        <v>0</v>
      </c>
      <c r="AX283">
        <f>IF(AND(D283=1,AU283&gt;=0,AU282&lt;0,MIN($AU$2:AU283)&lt;0),1,0)</f>
        <v>0</v>
      </c>
      <c r="AY283">
        <f>IF(Расчёты!F283=0,0,IF(Расчёты!G283=1,N('Сценарный анализ'!$D$5),IF(Расчёты!G283=2,N('Сценарный анализ'!$D$6),IF(Расчёты!G283=3,N('Сценарный анализ'!$D$7),N('Сценарный анализ'!$D$7)*(1+N('Сценарный анализ'!$D$8))^(Расчёты!G283-3)))))</f>
        <v>0</v>
      </c>
      <c r="AZ283">
        <f>IF(OR(Расчёты!F283=0,N('Исходные данные'!$B$5)=0,AY283=0),0,N('Исходные данные'!$B$5)*AY283*IF(AND(B283&lt;='Исходные данные'!$B$30,Расчёты!C283&gt;='Исходные данные'!$B$30),(Расчёты!C283-'Исходные данные'!$B$30+1)/DAY(Расчёты!C283),1))</f>
        <v>0</v>
      </c>
      <c r="BA283">
        <f>IF(AND(Расчёты!F283&gt;0,Расчёты!F283&lt;=N('Исходные данные'!$B$37)),-AZ283,0)</f>
        <v>0</v>
      </c>
      <c r="BB283">
        <f>IF(OR(Расчёты!F283=0,Расчёты!F283&lt;=N('Исходные данные'!$B$37)),0,-(AZ283+BA283)*N('Сценарный анализ'!$D$9))</f>
        <v>0</v>
      </c>
      <c r="BC283">
        <f t="shared" si="165"/>
        <v>0</v>
      </c>
      <c r="BD283">
        <f>IF('Исходные данные'!$B$51="Да",BC283*N('Исходные данные'!$B$52),0)</f>
        <v>0</v>
      </c>
      <c r="BE283">
        <f t="shared" si="166"/>
        <v>0</v>
      </c>
      <c r="BF283">
        <f>BC283+(Расчёты!Y283-Расчёты!L283)</f>
        <v>0</v>
      </c>
      <c r="BG283">
        <f t="shared" si="153"/>
        <v>0</v>
      </c>
      <c r="BH283">
        <f>IF('Исходные данные'!$B$51="Да",-MAX(0,BD283+Расчёты!R283+Расчёты!V283-Расчёты!P283-Расчёты!T283-BG283),0)</f>
        <v>0</v>
      </c>
      <c r="BI283">
        <f>IF('Исходные данные'!$B$51="Да",MAX(0,BG283+Расчёты!P283+Расчёты!T283-BD283-Расчёты!R283-Расчёты!V283),0)</f>
        <v>0</v>
      </c>
      <c r="BJ283">
        <f>IF('Исходные данные'!$B$53="Выручка",MAX(0,BC283+(Расчёты!Q283-Расчёты!R283)+(Расчёты!U283-Расчёты!V283)),IF('Исходные данные'!$B$53="Прибыль до налога",MAX(0,BC283+(Расчёты!Q283-Расчёты!R283)+(Расчёты!U283-Расчёты!V283)+N('Исходные данные'!$B$54)*((Расчёты!O283+Расчёты!P283)+(Расчёты!S283+Расчёты!T283)+Расчёты!W283+Расчёты!X283)+IF('Исходные данные'!$B$55="Да",Расчёты!AG283,0)-N('Исходные данные'!$B$56)/12),IF('Исходные данные'!$B$53="Пользовательская база",MAX(0,N('Исходные данные'!$B$57)/12),0)))</f>
        <v>0</v>
      </c>
      <c r="BK283">
        <f>IF(D283=1,-BJ283*N('Исходные данные'!$B$50),0)</f>
        <v>0</v>
      </c>
      <c r="BL283">
        <f t="shared" si="154"/>
        <v>0</v>
      </c>
      <c r="BM283">
        <f>IF(OR(D283&lt;&gt;1,B283="",'Исходные данные'!$B$91="",N('Исходные данные'!$B$80)&lt;=0,'Исходные данные'!$B$88=""),0,IF(AND(YEAR(B283)=YEAR('Исходные данные'!$B$91),MONTH(B283)=MONTH('Исходные данные'!$B$91)),MAX(0,IF('Исходные данные'!$B$88="Последние 12 месяцев",SUMIFS($BF$2:$BF$194,$B$2:$B$194,"&gt;="&amp;EDATE(B283,-11),$B$2:$B$194,"&lt;="&amp;B283),IF('Исходные данные'!$B$88="Пользовательский NOI",N('Исходные данные'!$B$89),BL283))/N('Исходные данные'!$B$80)*(1+N('Исходные данные'!$B$81))),0))</f>
        <v>0</v>
      </c>
      <c r="BN283">
        <f>-BM283*N('Исходные данные'!$B$73)</f>
        <v>0</v>
      </c>
      <c r="BO283">
        <f>IF(BM283=0,0,-N('Исходные данные'!$B$87)-IF('Исходные данные'!$B$82="Да",IF('Исходные данные'!$B$84="С выручки",BM283,IF('Исходные данные'!$B$84="С прибыли",MAX(0,BM283+BN283-IF('Исходные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83">
        <f t="shared" si="167"/>
        <v>0</v>
      </c>
      <c r="BQ283">
        <f>IF(D283=1,Расчёты!AZ283+BE283+BH283+BK283+BP283,0)</f>
        <v>0</v>
      </c>
      <c r="BR283" t="str">
        <f t="shared" si="155"/>
        <v/>
      </c>
      <c r="BS283">
        <f>IF(OR(D283=0,'Исходные данные'!$B$9="",'Исходные данные'!$B$90=""),0,BQ283/(1+'Исходные данные'!$B$90)^((C283-'Исходные данные'!$B$9)/365))</f>
        <v>0</v>
      </c>
      <c r="BT283">
        <f>IF(D283=1,BE283+Расчёты!O283+Расчёты!Q283+Расчёты!S283+Расчёты!U283+Расчёты!W283+Расчёты!X283+BH283+BK283,0)</f>
        <v>0</v>
      </c>
      <c r="BU283">
        <f>IF(AND(D283=1,BR283&gt;=0,BR282&lt;0,MIN($BR$2:BR283)&lt;0),1,0)</f>
        <v>0</v>
      </c>
      <c r="BV283">
        <f>Расчёты!AZ283+K283+N283-P283*N('Исходные данные'!$B$50)</f>
        <v>0</v>
      </c>
      <c r="BW283">
        <f t="shared" si="156"/>
        <v>0</v>
      </c>
      <c r="BX283">
        <f>IF(AND(BW283&gt;=0,BW282&lt;0,MIN($BW$2:BW283)&lt;0),1,0)</f>
        <v>0</v>
      </c>
      <c r="BY283">
        <f>Расчёты!AZ283+AH283+AK283-AM283*N('Исходные данные'!$B$50)</f>
        <v>0</v>
      </c>
      <c r="BZ283">
        <f t="shared" si="157"/>
        <v>0</v>
      </c>
      <c r="CA283">
        <f>IF(AND(BZ283&gt;=0,BZ282&lt;0,MIN($BZ$2:BZ283)&lt;0),1,0)</f>
        <v>0</v>
      </c>
      <c r="CB283">
        <f>Расчёты!AZ283+BE283+BH283-BJ283*N('Исходные данные'!$B$50)</f>
        <v>0</v>
      </c>
      <c r="CC283">
        <f t="shared" si="158"/>
        <v>0</v>
      </c>
      <c r="CD283">
        <f>IF(AND(CC283&gt;=0,CC282&lt;0,MIN($CC$2:CC283)&lt;0),1,0)</f>
        <v>0</v>
      </c>
    </row>
    <row r="284" spans="1:82" x14ac:dyDescent="0.2">
      <c r="A284">
        <f>Расчёты!A284</f>
        <v>283</v>
      </c>
      <c r="B284" t="str">
        <f>Расчёты!B284</f>
        <v/>
      </c>
      <c r="C284" t="str">
        <f>Расчёты!D284</f>
        <v/>
      </c>
      <c r="D284">
        <f>Расчёты!E284</f>
        <v>0</v>
      </c>
      <c r="E284">
        <f>IF(Расчёты!F284=0,0,IF(Расчёты!G284=1,N('Сценарный анализ'!$B$5),IF(Расчёты!G284=2,N('Сценарный анализ'!$B$6),IF(Расчёты!G284=3,N('Сценарный анализ'!$B$7),N('Сценарный анализ'!$B$7)*(1+N('Сценарный анализ'!$B$8))^(Расчёты!G284-3)))))</f>
        <v>0</v>
      </c>
      <c r="F284">
        <f>IF(OR(Расчёты!F284=0,N('Исходные данные'!$B$5)=0,E284=0),0,N('Исходные данные'!$B$5)*E284*IF(AND(B284&lt;='Исходные данные'!$B$30,Расчёты!C284&gt;='Исходные данные'!$B$30),(Расчёты!C284-'Исходные данные'!$B$30+1)/DAY(Расчёты!C284),1))</f>
        <v>0</v>
      </c>
      <c r="G284">
        <f>IF(AND(Расчёты!F284&gt;0,Расчёты!F284&lt;=N('Исходные данные'!$B$37)),-F284,0)</f>
        <v>0</v>
      </c>
      <c r="H284">
        <f>IF(OR(Расчёты!F284=0,Расчёты!F284&lt;=N('Исходные данные'!$B$37)),0,-(F284+G284)*N('Сценарный анализ'!$B$9))</f>
        <v>0</v>
      </c>
      <c r="I284">
        <f t="shared" si="159"/>
        <v>0</v>
      </c>
      <c r="J284">
        <f>IF('Исходные данные'!$B$51="Да",I284*N('Исходные данные'!$B$52),0)</f>
        <v>0</v>
      </c>
      <c r="K284">
        <f t="shared" si="160"/>
        <v>0</v>
      </c>
      <c r="L284">
        <f>I284+(Расчёты!Y284-Расчёты!L284)</f>
        <v>0</v>
      </c>
      <c r="M284">
        <f t="shared" si="147"/>
        <v>0</v>
      </c>
      <c r="N284">
        <f>IF('Исходные данные'!$B$51="Да",-MAX(0,J284+Расчёты!R284+Расчёты!V284-Расчёты!P284-Расчёты!T284-M284),0)</f>
        <v>0</v>
      </c>
      <c r="O284">
        <f>IF('Исходные данные'!$B$51="Да",MAX(0,M284+Расчёты!P284+Расчёты!T284-J284-Расчёты!R284-Расчёты!V284),0)</f>
        <v>0</v>
      </c>
      <c r="P284">
        <f>IF('Исходные данные'!$B$53="Выручка",MAX(0,I284+(Расчёты!Q284-Расчёты!R284)+(Расчёты!U284-Расчёты!V284)),IF('Исходные данные'!$B$53="Прибыль до налога",MAX(0,I284+(Расчёты!Q284-Расчёты!R284)+(Расчёты!U284-Расчёты!V284)+N('Исходные данные'!$B$54)*((Расчёты!O284+Расчёты!P284)+(Расчёты!S284+Расчёты!T284)+Расчёты!W284+Расчёты!X284)+IF('Исходные данные'!$B$55="Да",Расчёты!AG284,0)-N('Исходные данные'!$B$56)/12),IF('Исходные данные'!$B$53="Пользовательская база",MAX(0,N('Исходные данные'!$B$57)/12),0)))</f>
        <v>0</v>
      </c>
      <c r="Q284">
        <f>IF(D284=1,-P284*N('Исходные данные'!$B$50),0)</f>
        <v>0</v>
      </c>
      <c r="R284">
        <f t="shared" si="148"/>
        <v>0</v>
      </c>
      <c r="S284">
        <f>IF(OR(D284&lt;&gt;1,B284="",'Исходные данные'!$B$91="",N('Исходные данные'!$B$80)&lt;=0,'Исходные данные'!$B$88=""),0,IF(AND(YEAR(B284)=YEAR('Исходные данные'!$B$91),MONTH(B284)=MONTH('Исходные данные'!$B$91)),MAX(0,IF('Исходные данные'!$B$88="Последние 12 месяцев",SUMIFS($L$2:$L$194,$B$2:$B$194,"&gt;="&amp;EDATE(B284,-11),$B$2:$B$194,"&lt;="&amp;B284),IF('Исходные данные'!$B$88="Пользовательский NOI",N('Исходные данные'!$B$89),R284))/N('Исходные данные'!$B$80)*(1+N('Исходные данные'!$B$81))),0))</f>
        <v>0</v>
      </c>
      <c r="T284">
        <f>-S284*N('Исходные данные'!$B$73)</f>
        <v>0</v>
      </c>
      <c r="U284">
        <f>IF(S284=0,0,-N('Исходные данные'!$B$87)-IF('Исходные данные'!$B$82="Да",IF('Исходные данные'!$B$84="С выручки",S284,IF('Исходные данные'!$B$84="С прибыли",MAX(0,S284+T284-IF('Исходные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84">
        <f t="shared" si="161"/>
        <v>0</v>
      </c>
      <c r="W284">
        <f>IF(D284=1,Расчёты!AZ284+K284+N284+Q284+V284,0)</f>
        <v>0</v>
      </c>
      <c r="X284" t="str">
        <f t="shared" si="149"/>
        <v/>
      </c>
      <c r="Y284">
        <f>IF(OR(D284=0,'Исходные данные'!$B$9="",'Исходные данные'!$B$90=""),0,W284/(1+'Исходные данные'!$B$90)^((C284-'Исходные данные'!$B$9)/365))</f>
        <v>0</v>
      </c>
      <c r="Z284">
        <f>IF(D284=1,K284+Расчёты!O284+Расчёты!Q284+Расчёты!S284+Расчёты!U284+Расчёты!W284+Расчёты!X284+N284+Q284,0)</f>
        <v>0</v>
      </c>
      <c r="AA284">
        <f>IF(AND(D284=1,X284&gt;=0,X283&lt;0,MIN($X$2:X284)&lt;0),1,0)</f>
        <v>0</v>
      </c>
      <c r="AB284">
        <f>IF(Расчёты!F284=0,0,IF(Расчёты!G284=1,N('Сценарный анализ'!$C$5),IF(Расчёты!G284=2,N('Сценарный анализ'!$C$6),IF(Расчёты!G284=3,N('Сценарный анализ'!$C$7),N('Сценарный анализ'!$C$7)*(1+N('Сценарный анализ'!$C$8))^(Расчёты!G284-3)))))</f>
        <v>0</v>
      </c>
      <c r="AC284">
        <f>IF(OR(Расчёты!F284=0,N('Исходные данные'!$B$5)=0,AB284=0),0,N('Исходные данные'!$B$5)*AB284*IF(AND(B284&lt;='Исходные данные'!$B$30,Расчёты!C284&gt;='Исходные данные'!$B$30),(Расчёты!C284-'Исходные данные'!$B$30+1)/DAY(Расчёты!C284),1))</f>
        <v>0</v>
      </c>
      <c r="AD284">
        <f>IF(AND(Расчёты!F284&gt;0,Расчёты!F284&lt;=N('Исходные данные'!$B$37)),-AC284,0)</f>
        <v>0</v>
      </c>
      <c r="AE284">
        <f>IF(OR(Расчёты!F284=0,Расчёты!F284&lt;=N('Исходные данные'!$B$37)),0,-(AC284+AD284)*N('Сценарный анализ'!$C$9))</f>
        <v>0</v>
      </c>
      <c r="AF284">
        <f t="shared" si="162"/>
        <v>0</v>
      </c>
      <c r="AG284">
        <f>IF('Исходные данные'!$B$51="Да",AF284*N('Исходные данные'!$B$52),0)</f>
        <v>0</v>
      </c>
      <c r="AH284">
        <f t="shared" si="163"/>
        <v>0</v>
      </c>
      <c r="AI284">
        <f>AF284+(Расчёты!Y284-Расчёты!L284)</f>
        <v>0</v>
      </c>
      <c r="AJ284">
        <f t="shared" si="150"/>
        <v>0</v>
      </c>
      <c r="AK284">
        <f>IF('Исходные данные'!$B$51="Да",-MAX(0,AG284+Расчёты!R284+Расчёты!V284-Расчёты!P284-Расчёты!T284-AJ284),0)</f>
        <v>0</v>
      </c>
      <c r="AL284">
        <f>IF('Исходные данные'!$B$51="Да",MAX(0,AJ284+Расчёты!P284+Расчёты!T284-AG284-Расчёты!R284-Расчёты!V284),0)</f>
        <v>0</v>
      </c>
      <c r="AM284">
        <f>IF('Исходные данные'!$B$53="Выручка",MAX(0,AF284+(Расчёты!Q284-Расчёты!R284)+(Расчёты!U284-Расчёты!V284)),IF('Исходные данные'!$B$53="Прибыль до налога",MAX(0,AF284+(Расчёты!Q284-Расчёты!R284)+(Расчёты!U284-Расчёты!V284)+N('Исходные данные'!$B$54)*((Расчёты!O284+Расчёты!P284)+(Расчёты!S284+Расчёты!T284)+Расчёты!W284+Расчёты!X284)+IF('Исходные данные'!$B$55="Да",Расчёты!AG284,0)-N('Исходные данные'!$B$56)/12),IF('Исходные данные'!$B$53="Пользовательская база",MAX(0,N('Исходные данные'!$B$57)/12),0)))</f>
        <v>0</v>
      </c>
      <c r="AN284">
        <f>IF(D284=1,-AM284*N('Исходные данные'!$B$50),0)</f>
        <v>0</v>
      </c>
      <c r="AO284">
        <f t="shared" si="151"/>
        <v>0</v>
      </c>
      <c r="AP284">
        <f>IF(OR(D284&lt;&gt;1,B284="",'Исходные данные'!$B$91="",N('Исходные данные'!$B$80)&lt;=0,'Исходные данные'!$B$88=""),0,IF(AND(YEAR(B284)=YEAR('Исходные данные'!$B$91),MONTH(B284)=MONTH('Исходные данные'!$B$91)),MAX(0,IF('Исходные данные'!$B$88="Последние 12 месяцев",SUMIFS($AI$2:$AI$194,$B$2:$B$194,"&gt;="&amp;EDATE(B284,-11),$B$2:$B$194,"&lt;="&amp;B284),IF('Исходные данные'!$B$88="Пользовательский NOI",N('Исходные данные'!$B$89),AO284))/N('Исходные данные'!$B$80)*(1+N('Исходные данные'!$B$81))),0))</f>
        <v>0</v>
      </c>
      <c r="AQ284">
        <f>-AP284*N('Исходные данные'!$B$73)</f>
        <v>0</v>
      </c>
      <c r="AR284">
        <f>IF(AP284=0,0,-N('Исходные данные'!$B$87)-IF('Исходные данные'!$B$82="Да",IF('Исходные данные'!$B$84="С выручки",AP284,IF('Исходные данные'!$B$84="С прибыли",MAX(0,AP284+AQ284-IF('Исходные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84">
        <f t="shared" si="164"/>
        <v>0</v>
      </c>
      <c r="AT284">
        <f>IF(D284=1,Расчёты!AZ284+AH284+AK284+AN284+AS284,0)</f>
        <v>0</v>
      </c>
      <c r="AU284" t="str">
        <f t="shared" si="152"/>
        <v/>
      </c>
      <c r="AV284">
        <f>IF(OR(D284=0,'Исходные данные'!$B$9="",'Исходные данные'!$B$90=""),0,AT284/(1+'Исходные данные'!$B$90)^((C284-'Исходные данные'!$B$9)/365))</f>
        <v>0</v>
      </c>
      <c r="AW284">
        <f>IF(D284=1,AH284+Расчёты!O284+Расчёты!Q284+Расчёты!S284+Расчёты!U284+Расчёты!W284+Расчёты!X284+AK284+AN284,0)</f>
        <v>0</v>
      </c>
      <c r="AX284">
        <f>IF(AND(D284=1,AU284&gt;=0,AU283&lt;0,MIN($AU$2:AU284)&lt;0),1,0)</f>
        <v>0</v>
      </c>
      <c r="AY284">
        <f>IF(Расчёты!F284=0,0,IF(Расчёты!G284=1,N('Сценарный анализ'!$D$5),IF(Расчёты!G284=2,N('Сценарный анализ'!$D$6),IF(Расчёты!G284=3,N('Сценарный анализ'!$D$7),N('Сценарный анализ'!$D$7)*(1+N('Сценарный анализ'!$D$8))^(Расчёты!G284-3)))))</f>
        <v>0</v>
      </c>
      <c r="AZ284">
        <f>IF(OR(Расчёты!F284=0,N('Исходные данные'!$B$5)=0,AY284=0),0,N('Исходные данные'!$B$5)*AY284*IF(AND(B284&lt;='Исходные данные'!$B$30,Расчёты!C284&gt;='Исходные данные'!$B$30),(Расчёты!C284-'Исходные данные'!$B$30+1)/DAY(Расчёты!C284),1))</f>
        <v>0</v>
      </c>
      <c r="BA284">
        <f>IF(AND(Расчёты!F284&gt;0,Расчёты!F284&lt;=N('Исходные данные'!$B$37)),-AZ284,0)</f>
        <v>0</v>
      </c>
      <c r="BB284">
        <f>IF(OR(Расчёты!F284=0,Расчёты!F284&lt;=N('Исходные данные'!$B$37)),0,-(AZ284+BA284)*N('Сценарный анализ'!$D$9))</f>
        <v>0</v>
      </c>
      <c r="BC284">
        <f t="shared" si="165"/>
        <v>0</v>
      </c>
      <c r="BD284">
        <f>IF('Исходные данные'!$B$51="Да",BC284*N('Исходные данные'!$B$52),0)</f>
        <v>0</v>
      </c>
      <c r="BE284">
        <f t="shared" si="166"/>
        <v>0</v>
      </c>
      <c r="BF284">
        <f>BC284+(Расчёты!Y284-Расчёты!L284)</f>
        <v>0</v>
      </c>
      <c r="BG284">
        <f t="shared" si="153"/>
        <v>0</v>
      </c>
      <c r="BH284">
        <f>IF('Исходные данные'!$B$51="Да",-MAX(0,BD284+Расчёты!R284+Расчёты!V284-Расчёты!P284-Расчёты!T284-BG284),0)</f>
        <v>0</v>
      </c>
      <c r="BI284">
        <f>IF('Исходные данные'!$B$51="Да",MAX(0,BG284+Расчёты!P284+Расчёты!T284-BD284-Расчёты!R284-Расчёты!V284),0)</f>
        <v>0</v>
      </c>
      <c r="BJ284">
        <f>IF('Исходные данные'!$B$53="Выручка",MAX(0,BC284+(Расчёты!Q284-Расчёты!R284)+(Расчёты!U284-Расчёты!V284)),IF('Исходные данные'!$B$53="Прибыль до налога",MAX(0,BC284+(Расчёты!Q284-Расчёты!R284)+(Расчёты!U284-Расчёты!V284)+N('Исходные данные'!$B$54)*((Расчёты!O284+Расчёты!P284)+(Расчёты!S284+Расчёты!T284)+Расчёты!W284+Расчёты!X284)+IF('Исходные данные'!$B$55="Да",Расчёты!AG284,0)-N('Исходные данные'!$B$56)/12),IF('Исходные данные'!$B$53="Пользовательская база",MAX(0,N('Исходные данные'!$B$57)/12),0)))</f>
        <v>0</v>
      </c>
      <c r="BK284">
        <f>IF(D284=1,-BJ284*N('Исходные данные'!$B$50),0)</f>
        <v>0</v>
      </c>
      <c r="BL284">
        <f t="shared" si="154"/>
        <v>0</v>
      </c>
      <c r="BM284">
        <f>IF(OR(D284&lt;&gt;1,B284="",'Исходные данные'!$B$91="",N('Исходные данные'!$B$80)&lt;=0,'Исходные данные'!$B$88=""),0,IF(AND(YEAR(B284)=YEAR('Исходные данные'!$B$91),MONTH(B284)=MONTH('Исходные данные'!$B$91)),MAX(0,IF('Исходные данные'!$B$88="Последние 12 месяцев",SUMIFS($BF$2:$BF$194,$B$2:$B$194,"&gt;="&amp;EDATE(B284,-11),$B$2:$B$194,"&lt;="&amp;B284),IF('Исходные данные'!$B$88="Пользовательский NOI",N('Исходные данные'!$B$89),BL284))/N('Исходные данные'!$B$80)*(1+N('Исходные данные'!$B$81))),0))</f>
        <v>0</v>
      </c>
      <c r="BN284">
        <f>-BM284*N('Исходные данные'!$B$73)</f>
        <v>0</v>
      </c>
      <c r="BO284">
        <f>IF(BM284=0,0,-N('Исходные данные'!$B$87)-IF('Исходные данные'!$B$82="Да",IF('Исходные данные'!$B$84="С выручки",BM284,IF('Исходные данные'!$B$84="С прибыли",MAX(0,BM284+BN284-IF('Исходные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84">
        <f t="shared" si="167"/>
        <v>0</v>
      </c>
      <c r="BQ284">
        <f>IF(D284=1,Расчёты!AZ284+BE284+BH284+BK284+BP284,0)</f>
        <v>0</v>
      </c>
      <c r="BR284" t="str">
        <f t="shared" si="155"/>
        <v/>
      </c>
      <c r="BS284">
        <f>IF(OR(D284=0,'Исходные данные'!$B$9="",'Исходные данные'!$B$90=""),0,BQ284/(1+'Исходные данные'!$B$90)^((C284-'Исходные данные'!$B$9)/365))</f>
        <v>0</v>
      </c>
      <c r="BT284">
        <f>IF(D284=1,BE284+Расчёты!O284+Расчёты!Q284+Расчёты!S284+Расчёты!U284+Расчёты!W284+Расчёты!X284+BH284+BK284,0)</f>
        <v>0</v>
      </c>
      <c r="BU284">
        <f>IF(AND(D284=1,BR284&gt;=0,BR283&lt;0,MIN($BR$2:BR284)&lt;0),1,0)</f>
        <v>0</v>
      </c>
      <c r="BV284">
        <f>Расчёты!AZ284+K284+N284-P284*N('Исходные данные'!$B$50)</f>
        <v>0</v>
      </c>
      <c r="BW284">
        <f t="shared" si="156"/>
        <v>0</v>
      </c>
      <c r="BX284">
        <f>IF(AND(BW284&gt;=0,BW283&lt;0,MIN($BW$2:BW284)&lt;0),1,0)</f>
        <v>0</v>
      </c>
      <c r="BY284">
        <f>Расчёты!AZ284+AH284+AK284-AM284*N('Исходные данные'!$B$50)</f>
        <v>0</v>
      </c>
      <c r="BZ284">
        <f t="shared" si="157"/>
        <v>0</v>
      </c>
      <c r="CA284">
        <f>IF(AND(BZ284&gt;=0,BZ283&lt;0,MIN($BZ$2:BZ284)&lt;0),1,0)</f>
        <v>0</v>
      </c>
      <c r="CB284">
        <f>Расчёты!AZ284+BE284+BH284-BJ284*N('Исходные данные'!$B$50)</f>
        <v>0</v>
      </c>
      <c r="CC284">
        <f t="shared" si="158"/>
        <v>0</v>
      </c>
      <c r="CD284">
        <f>IF(AND(CC284&gt;=0,CC283&lt;0,MIN($CC$2:CC284)&lt;0),1,0)</f>
        <v>0</v>
      </c>
    </row>
    <row r="285" spans="1:82" x14ac:dyDescent="0.2">
      <c r="A285">
        <f>Расчёты!A285</f>
        <v>284</v>
      </c>
      <c r="B285" t="str">
        <f>Расчёты!B285</f>
        <v/>
      </c>
      <c r="C285" t="str">
        <f>Расчёты!D285</f>
        <v/>
      </c>
      <c r="D285">
        <f>Расчёты!E285</f>
        <v>0</v>
      </c>
      <c r="E285">
        <f>IF(Расчёты!F285=0,0,IF(Расчёты!G285=1,N('Сценарный анализ'!$B$5),IF(Расчёты!G285=2,N('Сценарный анализ'!$B$6),IF(Расчёты!G285=3,N('Сценарный анализ'!$B$7),N('Сценарный анализ'!$B$7)*(1+N('Сценарный анализ'!$B$8))^(Расчёты!G285-3)))))</f>
        <v>0</v>
      </c>
      <c r="F285">
        <f>IF(OR(Расчёты!F285=0,N('Исходные данные'!$B$5)=0,E285=0),0,N('Исходные данные'!$B$5)*E285*IF(AND(B285&lt;='Исходные данные'!$B$30,Расчёты!C285&gt;='Исходные данные'!$B$30),(Расчёты!C285-'Исходные данные'!$B$30+1)/DAY(Расчёты!C285),1))</f>
        <v>0</v>
      </c>
      <c r="G285">
        <f>IF(AND(Расчёты!F285&gt;0,Расчёты!F285&lt;=N('Исходные данные'!$B$37)),-F285,0)</f>
        <v>0</v>
      </c>
      <c r="H285">
        <f>IF(OR(Расчёты!F285=0,Расчёты!F285&lt;=N('Исходные данные'!$B$37)),0,-(F285+G285)*N('Сценарный анализ'!$B$9))</f>
        <v>0</v>
      </c>
      <c r="I285">
        <f t="shared" si="159"/>
        <v>0</v>
      </c>
      <c r="J285">
        <f>IF('Исходные данные'!$B$51="Да",I285*N('Исходные данные'!$B$52),0)</f>
        <v>0</v>
      </c>
      <c r="K285">
        <f t="shared" si="160"/>
        <v>0</v>
      </c>
      <c r="L285">
        <f>I285+(Расчёты!Y285-Расчёты!L285)</f>
        <v>0</v>
      </c>
      <c r="M285">
        <f t="shared" si="147"/>
        <v>0</v>
      </c>
      <c r="N285">
        <f>IF('Исходные данные'!$B$51="Да",-MAX(0,J285+Расчёты!R285+Расчёты!V285-Расчёты!P285-Расчёты!T285-M285),0)</f>
        <v>0</v>
      </c>
      <c r="O285">
        <f>IF('Исходные данные'!$B$51="Да",MAX(0,M285+Расчёты!P285+Расчёты!T285-J285-Расчёты!R285-Расчёты!V285),0)</f>
        <v>0</v>
      </c>
      <c r="P285">
        <f>IF('Исходные данные'!$B$53="Выручка",MAX(0,I285+(Расчёты!Q285-Расчёты!R285)+(Расчёты!U285-Расчёты!V285)),IF('Исходные данные'!$B$53="Прибыль до налога",MAX(0,I285+(Расчёты!Q285-Расчёты!R285)+(Расчёты!U285-Расчёты!V285)+N('Исходные данные'!$B$54)*((Расчёты!O285+Расчёты!P285)+(Расчёты!S285+Расчёты!T285)+Расчёты!W285+Расчёты!X285)+IF('Исходные данные'!$B$55="Да",Расчёты!AG285,0)-N('Исходные данные'!$B$56)/12),IF('Исходные данные'!$B$53="Пользовательская база",MAX(0,N('Исходные данные'!$B$57)/12),0)))</f>
        <v>0</v>
      </c>
      <c r="Q285">
        <f>IF(D285=1,-P285*N('Исходные данные'!$B$50),0)</f>
        <v>0</v>
      </c>
      <c r="R285">
        <f t="shared" si="148"/>
        <v>0</v>
      </c>
      <c r="S285">
        <f>IF(OR(D285&lt;&gt;1,B285="",'Исходные данные'!$B$91="",N('Исходные данные'!$B$80)&lt;=0,'Исходные данные'!$B$88=""),0,IF(AND(YEAR(B285)=YEAR('Исходные данные'!$B$91),MONTH(B285)=MONTH('Исходные данные'!$B$91)),MAX(0,IF('Исходные данные'!$B$88="Последние 12 месяцев",SUMIFS($L$2:$L$194,$B$2:$B$194,"&gt;="&amp;EDATE(B285,-11),$B$2:$B$194,"&lt;="&amp;B285),IF('Исходные данные'!$B$88="Пользовательский NOI",N('Исходные данные'!$B$89),R285))/N('Исходные данные'!$B$80)*(1+N('Исходные данные'!$B$81))),0))</f>
        <v>0</v>
      </c>
      <c r="T285">
        <f>-S285*N('Исходные данные'!$B$73)</f>
        <v>0</v>
      </c>
      <c r="U285">
        <f>IF(S285=0,0,-N('Исходные данные'!$B$87)-IF('Исходные данные'!$B$82="Да",IF('Исходные данные'!$B$84="С выручки",S285,IF('Исходные данные'!$B$84="С прибыли",MAX(0,S285+T285-IF('Исходные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85">
        <f t="shared" si="161"/>
        <v>0</v>
      </c>
      <c r="W285">
        <f>IF(D285=1,Расчёты!AZ285+K285+N285+Q285+V285,0)</f>
        <v>0</v>
      </c>
      <c r="X285" t="str">
        <f t="shared" si="149"/>
        <v/>
      </c>
      <c r="Y285">
        <f>IF(OR(D285=0,'Исходные данные'!$B$9="",'Исходные данные'!$B$90=""),0,W285/(1+'Исходные данные'!$B$90)^((C285-'Исходные данные'!$B$9)/365))</f>
        <v>0</v>
      </c>
      <c r="Z285">
        <f>IF(D285=1,K285+Расчёты!O285+Расчёты!Q285+Расчёты!S285+Расчёты!U285+Расчёты!W285+Расчёты!X285+N285+Q285,0)</f>
        <v>0</v>
      </c>
      <c r="AA285">
        <f>IF(AND(D285=1,X285&gt;=0,X284&lt;0,MIN($X$2:X285)&lt;0),1,0)</f>
        <v>0</v>
      </c>
      <c r="AB285">
        <f>IF(Расчёты!F285=0,0,IF(Расчёты!G285=1,N('Сценарный анализ'!$C$5),IF(Расчёты!G285=2,N('Сценарный анализ'!$C$6),IF(Расчёты!G285=3,N('Сценарный анализ'!$C$7),N('Сценарный анализ'!$C$7)*(1+N('Сценарный анализ'!$C$8))^(Расчёты!G285-3)))))</f>
        <v>0</v>
      </c>
      <c r="AC285">
        <f>IF(OR(Расчёты!F285=0,N('Исходные данные'!$B$5)=0,AB285=0),0,N('Исходные данные'!$B$5)*AB285*IF(AND(B285&lt;='Исходные данные'!$B$30,Расчёты!C285&gt;='Исходные данные'!$B$30),(Расчёты!C285-'Исходные данные'!$B$30+1)/DAY(Расчёты!C285),1))</f>
        <v>0</v>
      </c>
      <c r="AD285">
        <f>IF(AND(Расчёты!F285&gt;0,Расчёты!F285&lt;=N('Исходные данные'!$B$37)),-AC285,0)</f>
        <v>0</v>
      </c>
      <c r="AE285">
        <f>IF(OR(Расчёты!F285=0,Расчёты!F285&lt;=N('Исходные данные'!$B$37)),0,-(AC285+AD285)*N('Сценарный анализ'!$C$9))</f>
        <v>0</v>
      </c>
      <c r="AF285">
        <f t="shared" si="162"/>
        <v>0</v>
      </c>
      <c r="AG285">
        <f>IF('Исходные данные'!$B$51="Да",AF285*N('Исходные данные'!$B$52),0)</f>
        <v>0</v>
      </c>
      <c r="AH285">
        <f t="shared" si="163"/>
        <v>0</v>
      </c>
      <c r="AI285">
        <f>AF285+(Расчёты!Y285-Расчёты!L285)</f>
        <v>0</v>
      </c>
      <c r="AJ285">
        <f t="shared" si="150"/>
        <v>0</v>
      </c>
      <c r="AK285">
        <f>IF('Исходные данные'!$B$51="Да",-MAX(0,AG285+Расчёты!R285+Расчёты!V285-Расчёты!P285-Расчёты!T285-AJ285),0)</f>
        <v>0</v>
      </c>
      <c r="AL285">
        <f>IF('Исходные данные'!$B$51="Да",MAX(0,AJ285+Расчёты!P285+Расчёты!T285-AG285-Расчёты!R285-Расчёты!V285),0)</f>
        <v>0</v>
      </c>
      <c r="AM285">
        <f>IF('Исходные данные'!$B$53="Выручка",MAX(0,AF285+(Расчёты!Q285-Расчёты!R285)+(Расчёты!U285-Расчёты!V285)),IF('Исходные данные'!$B$53="Прибыль до налога",MAX(0,AF285+(Расчёты!Q285-Расчёты!R285)+(Расчёты!U285-Расчёты!V285)+N('Исходные данные'!$B$54)*((Расчёты!O285+Расчёты!P285)+(Расчёты!S285+Расчёты!T285)+Расчёты!W285+Расчёты!X285)+IF('Исходные данные'!$B$55="Да",Расчёты!AG285,0)-N('Исходные данные'!$B$56)/12),IF('Исходные данные'!$B$53="Пользовательская база",MAX(0,N('Исходные данные'!$B$57)/12),0)))</f>
        <v>0</v>
      </c>
      <c r="AN285">
        <f>IF(D285=1,-AM285*N('Исходные данные'!$B$50),0)</f>
        <v>0</v>
      </c>
      <c r="AO285">
        <f t="shared" si="151"/>
        <v>0</v>
      </c>
      <c r="AP285">
        <f>IF(OR(D285&lt;&gt;1,B285="",'Исходные данные'!$B$91="",N('Исходные данные'!$B$80)&lt;=0,'Исходные данные'!$B$88=""),0,IF(AND(YEAR(B285)=YEAR('Исходные данные'!$B$91),MONTH(B285)=MONTH('Исходные данные'!$B$91)),MAX(0,IF('Исходные данные'!$B$88="Последние 12 месяцев",SUMIFS($AI$2:$AI$194,$B$2:$B$194,"&gt;="&amp;EDATE(B285,-11),$B$2:$B$194,"&lt;="&amp;B285),IF('Исходные данные'!$B$88="Пользовательский NOI",N('Исходные данные'!$B$89),AO285))/N('Исходные данные'!$B$80)*(1+N('Исходные данные'!$B$81))),0))</f>
        <v>0</v>
      </c>
      <c r="AQ285">
        <f>-AP285*N('Исходные данные'!$B$73)</f>
        <v>0</v>
      </c>
      <c r="AR285">
        <f>IF(AP285=0,0,-N('Исходные данные'!$B$87)-IF('Исходные данные'!$B$82="Да",IF('Исходные данные'!$B$84="С выручки",AP285,IF('Исходные данные'!$B$84="С прибыли",MAX(0,AP285+AQ285-IF('Исходные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85">
        <f t="shared" si="164"/>
        <v>0</v>
      </c>
      <c r="AT285">
        <f>IF(D285=1,Расчёты!AZ285+AH285+AK285+AN285+AS285,0)</f>
        <v>0</v>
      </c>
      <c r="AU285" t="str">
        <f t="shared" si="152"/>
        <v/>
      </c>
      <c r="AV285">
        <f>IF(OR(D285=0,'Исходные данные'!$B$9="",'Исходные данные'!$B$90=""),0,AT285/(1+'Исходные данные'!$B$90)^((C285-'Исходные данные'!$B$9)/365))</f>
        <v>0</v>
      </c>
      <c r="AW285">
        <f>IF(D285=1,AH285+Расчёты!O285+Расчёты!Q285+Расчёты!S285+Расчёты!U285+Расчёты!W285+Расчёты!X285+AK285+AN285,0)</f>
        <v>0</v>
      </c>
      <c r="AX285">
        <f>IF(AND(D285=1,AU285&gt;=0,AU284&lt;0,MIN($AU$2:AU285)&lt;0),1,0)</f>
        <v>0</v>
      </c>
      <c r="AY285">
        <f>IF(Расчёты!F285=0,0,IF(Расчёты!G285=1,N('Сценарный анализ'!$D$5),IF(Расчёты!G285=2,N('Сценарный анализ'!$D$6),IF(Расчёты!G285=3,N('Сценарный анализ'!$D$7),N('Сценарный анализ'!$D$7)*(1+N('Сценарный анализ'!$D$8))^(Расчёты!G285-3)))))</f>
        <v>0</v>
      </c>
      <c r="AZ285">
        <f>IF(OR(Расчёты!F285=0,N('Исходные данные'!$B$5)=0,AY285=0),0,N('Исходные данные'!$B$5)*AY285*IF(AND(B285&lt;='Исходные данные'!$B$30,Расчёты!C285&gt;='Исходные данные'!$B$30),(Расчёты!C285-'Исходные данные'!$B$30+1)/DAY(Расчёты!C285),1))</f>
        <v>0</v>
      </c>
      <c r="BA285">
        <f>IF(AND(Расчёты!F285&gt;0,Расчёты!F285&lt;=N('Исходные данные'!$B$37)),-AZ285,0)</f>
        <v>0</v>
      </c>
      <c r="BB285">
        <f>IF(OR(Расчёты!F285=0,Расчёты!F285&lt;=N('Исходные данные'!$B$37)),0,-(AZ285+BA285)*N('Сценарный анализ'!$D$9))</f>
        <v>0</v>
      </c>
      <c r="BC285">
        <f t="shared" si="165"/>
        <v>0</v>
      </c>
      <c r="BD285">
        <f>IF('Исходные данные'!$B$51="Да",BC285*N('Исходные данные'!$B$52),0)</f>
        <v>0</v>
      </c>
      <c r="BE285">
        <f t="shared" si="166"/>
        <v>0</v>
      </c>
      <c r="BF285">
        <f>BC285+(Расчёты!Y285-Расчёты!L285)</f>
        <v>0</v>
      </c>
      <c r="BG285">
        <f t="shared" si="153"/>
        <v>0</v>
      </c>
      <c r="BH285">
        <f>IF('Исходные данные'!$B$51="Да",-MAX(0,BD285+Расчёты!R285+Расчёты!V285-Расчёты!P285-Расчёты!T285-BG285),0)</f>
        <v>0</v>
      </c>
      <c r="BI285">
        <f>IF('Исходные данные'!$B$51="Да",MAX(0,BG285+Расчёты!P285+Расчёты!T285-BD285-Расчёты!R285-Расчёты!V285),0)</f>
        <v>0</v>
      </c>
      <c r="BJ285">
        <f>IF('Исходные данные'!$B$53="Выручка",MAX(0,BC285+(Расчёты!Q285-Расчёты!R285)+(Расчёты!U285-Расчёты!V285)),IF('Исходные данные'!$B$53="Прибыль до налога",MAX(0,BC285+(Расчёты!Q285-Расчёты!R285)+(Расчёты!U285-Расчёты!V285)+N('Исходные данные'!$B$54)*((Расчёты!O285+Расчёты!P285)+(Расчёты!S285+Расчёты!T285)+Расчёты!W285+Расчёты!X285)+IF('Исходные данные'!$B$55="Да",Расчёты!AG285,0)-N('Исходные данные'!$B$56)/12),IF('Исходные данные'!$B$53="Пользовательская база",MAX(0,N('Исходные данные'!$B$57)/12),0)))</f>
        <v>0</v>
      </c>
      <c r="BK285">
        <f>IF(D285=1,-BJ285*N('Исходные данные'!$B$50),0)</f>
        <v>0</v>
      </c>
      <c r="BL285">
        <f t="shared" si="154"/>
        <v>0</v>
      </c>
      <c r="BM285">
        <f>IF(OR(D285&lt;&gt;1,B285="",'Исходные данные'!$B$91="",N('Исходные данные'!$B$80)&lt;=0,'Исходные данные'!$B$88=""),0,IF(AND(YEAR(B285)=YEAR('Исходные данные'!$B$91),MONTH(B285)=MONTH('Исходные данные'!$B$91)),MAX(0,IF('Исходные данные'!$B$88="Последние 12 месяцев",SUMIFS($BF$2:$BF$194,$B$2:$B$194,"&gt;="&amp;EDATE(B285,-11),$B$2:$B$194,"&lt;="&amp;B285),IF('Исходные данные'!$B$88="Пользовательский NOI",N('Исходные данные'!$B$89),BL285))/N('Исходные данные'!$B$80)*(1+N('Исходные данные'!$B$81))),0))</f>
        <v>0</v>
      </c>
      <c r="BN285">
        <f>-BM285*N('Исходные данные'!$B$73)</f>
        <v>0</v>
      </c>
      <c r="BO285">
        <f>IF(BM285=0,0,-N('Исходные данные'!$B$87)-IF('Исходные данные'!$B$82="Да",IF('Исходные данные'!$B$84="С выручки",BM285,IF('Исходные данные'!$B$84="С прибыли",MAX(0,BM285+BN285-IF('Исходные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85">
        <f t="shared" si="167"/>
        <v>0</v>
      </c>
      <c r="BQ285">
        <f>IF(D285=1,Расчёты!AZ285+BE285+BH285+BK285+BP285,0)</f>
        <v>0</v>
      </c>
      <c r="BR285" t="str">
        <f t="shared" si="155"/>
        <v/>
      </c>
      <c r="BS285">
        <f>IF(OR(D285=0,'Исходные данные'!$B$9="",'Исходные данные'!$B$90=""),0,BQ285/(1+'Исходные данные'!$B$90)^((C285-'Исходные данные'!$B$9)/365))</f>
        <v>0</v>
      </c>
      <c r="BT285">
        <f>IF(D285=1,BE285+Расчёты!O285+Расчёты!Q285+Расчёты!S285+Расчёты!U285+Расчёты!W285+Расчёты!X285+BH285+BK285,0)</f>
        <v>0</v>
      </c>
      <c r="BU285">
        <f>IF(AND(D285=1,BR285&gt;=0,BR284&lt;0,MIN($BR$2:BR285)&lt;0),1,0)</f>
        <v>0</v>
      </c>
      <c r="BV285">
        <f>Расчёты!AZ285+K285+N285-P285*N('Исходные данные'!$B$50)</f>
        <v>0</v>
      </c>
      <c r="BW285">
        <f t="shared" si="156"/>
        <v>0</v>
      </c>
      <c r="BX285">
        <f>IF(AND(BW285&gt;=0,BW284&lt;0,MIN($BW$2:BW285)&lt;0),1,0)</f>
        <v>0</v>
      </c>
      <c r="BY285">
        <f>Расчёты!AZ285+AH285+AK285-AM285*N('Исходные данные'!$B$50)</f>
        <v>0</v>
      </c>
      <c r="BZ285">
        <f t="shared" si="157"/>
        <v>0</v>
      </c>
      <c r="CA285">
        <f>IF(AND(BZ285&gt;=0,BZ284&lt;0,MIN($BZ$2:BZ285)&lt;0),1,0)</f>
        <v>0</v>
      </c>
      <c r="CB285">
        <f>Расчёты!AZ285+BE285+BH285-BJ285*N('Исходные данные'!$B$50)</f>
        <v>0</v>
      </c>
      <c r="CC285">
        <f t="shared" si="158"/>
        <v>0</v>
      </c>
      <c r="CD285">
        <f>IF(AND(CC285&gt;=0,CC284&lt;0,MIN($CC$2:CC285)&lt;0),1,0)</f>
        <v>0</v>
      </c>
    </row>
    <row r="286" spans="1:82" x14ac:dyDescent="0.2">
      <c r="A286">
        <f>Расчёты!A286</f>
        <v>285</v>
      </c>
      <c r="B286" t="str">
        <f>Расчёты!B286</f>
        <v/>
      </c>
      <c r="C286" t="str">
        <f>Расчёты!D286</f>
        <v/>
      </c>
      <c r="D286">
        <f>Расчёты!E286</f>
        <v>0</v>
      </c>
      <c r="E286">
        <f>IF(Расчёты!F286=0,0,IF(Расчёты!G286=1,N('Сценарный анализ'!$B$5),IF(Расчёты!G286=2,N('Сценарный анализ'!$B$6),IF(Расчёты!G286=3,N('Сценарный анализ'!$B$7),N('Сценарный анализ'!$B$7)*(1+N('Сценарный анализ'!$B$8))^(Расчёты!G286-3)))))</f>
        <v>0</v>
      </c>
      <c r="F286">
        <f>IF(OR(Расчёты!F286=0,N('Исходные данные'!$B$5)=0,E286=0),0,N('Исходные данные'!$B$5)*E286*IF(AND(B286&lt;='Исходные данные'!$B$30,Расчёты!C286&gt;='Исходные данные'!$B$30),(Расчёты!C286-'Исходные данные'!$B$30+1)/DAY(Расчёты!C286),1))</f>
        <v>0</v>
      </c>
      <c r="G286">
        <f>IF(AND(Расчёты!F286&gt;0,Расчёты!F286&lt;=N('Исходные данные'!$B$37)),-F286,0)</f>
        <v>0</v>
      </c>
      <c r="H286">
        <f>IF(OR(Расчёты!F286=0,Расчёты!F286&lt;=N('Исходные данные'!$B$37)),0,-(F286+G286)*N('Сценарный анализ'!$B$9))</f>
        <v>0</v>
      </c>
      <c r="I286">
        <f t="shared" si="159"/>
        <v>0</v>
      </c>
      <c r="J286">
        <f>IF('Исходные данные'!$B$51="Да",I286*N('Исходные данные'!$B$52),0)</f>
        <v>0</v>
      </c>
      <c r="K286">
        <f t="shared" si="160"/>
        <v>0</v>
      </c>
      <c r="L286">
        <f>I286+(Расчёты!Y286-Расчёты!L286)</f>
        <v>0</v>
      </c>
      <c r="M286">
        <f t="shared" si="147"/>
        <v>0</v>
      </c>
      <c r="N286">
        <f>IF('Исходные данные'!$B$51="Да",-MAX(0,J286+Расчёты!R286+Расчёты!V286-Расчёты!P286-Расчёты!T286-M286),0)</f>
        <v>0</v>
      </c>
      <c r="O286">
        <f>IF('Исходные данные'!$B$51="Да",MAX(0,M286+Расчёты!P286+Расчёты!T286-J286-Расчёты!R286-Расчёты!V286),0)</f>
        <v>0</v>
      </c>
      <c r="P286">
        <f>IF('Исходные данные'!$B$53="Выручка",MAX(0,I286+(Расчёты!Q286-Расчёты!R286)+(Расчёты!U286-Расчёты!V286)),IF('Исходные данные'!$B$53="Прибыль до налога",MAX(0,I286+(Расчёты!Q286-Расчёты!R286)+(Расчёты!U286-Расчёты!V286)+N('Исходные данные'!$B$54)*((Расчёты!O286+Расчёты!P286)+(Расчёты!S286+Расчёты!T286)+Расчёты!W286+Расчёты!X286)+IF('Исходные данные'!$B$55="Да",Расчёты!AG286,0)-N('Исходные данные'!$B$56)/12),IF('Исходные данные'!$B$53="Пользовательская база",MAX(0,N('Исходные данные'!$B$57)/12),0)))</f>
        <v>0</v>
      </c>
      <c r="Q286">
        <f>IF(D286=1,-P286*N('Исходные данные'!$B$50),0)</f>
        <v>0</v>
      </c>
      <c r="R286">
        <f t="shared" si="148"/>
        <v>0</v>
      </c>
      <c r="S286">
        <f>IF(OR(D286&lt;&gt;1,B286="",'Исходные данные'!$B$91="",N('Исходные данные'!$B$80)&lt;=0,'Исходные данные'!$B$88=""),0,IF(AND(YEAR(B286)=YEAR('Исходные данные'!$B$91),MONTH(B286)=MONTH('Исходные данные'!$B$91)),MAX(0,IF('Исходные данные'!$B$88="Последние 12 месяцев",SUMIFS($L$2:$L$194,$B$2:$B$194,"&gt;="&amp;EDATE(B286,-11),$B$2:$B$194,"&lt;="&amp;B286),IF('Исходные данные'!$B$88="Пользовательский NOI",N('Исходные данные'!$B$89),R286))/N('Исходные данные'!$B$80)*(1+N('Исходные данные'!$B$81))),0))</f>
        <v>0</v>
      </c>
      <c r="T286">
        <f>-S286*N('Исходные данные'!$B$73)</f>
        <v>0</v>
      </c>
      <c r="U286">
        <f>IF(S286=0,0,-N('Исходные данные'!$B$87)-IF('Исходные данные'!$B$82="Да",IF('Исходные данные'!$B$84="С выручки",S286,IF('Исходные данные'!$B$84="С прибыли",MAX(0,S286+T286-IF('Исходные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86">
        <f t="shared" si="161"/>
        <v>0</v>
      </c>
      <c r="W286">
        <f>IF(D286=1,Расчёты!AZ286+K286+N286+Q286+V286,0)</f>
        <v>0</v>
      </c>
      <c r="X286" t="str">
        <f t="shared" si="149"/>
        <v/>
      </c>
      <c r="Y286">
        <f>IF(OR(D286=0,'Исходные данные'!$B$9="",'Исходные данные'!$B$90=""),0,W286/(1+'Исходные данные'!$B$90)^((C286-'Исходные данные'!$B$9)/365))</f>
        <v>0</v>
      </c>
      <c r="Z286">
        <f>IF(D286=1,K286+Расчёты!O286+Расчёты!Q286+Расчёты!S286+Расчёты!U286+Расчёты!W286+Расчёты!X286+N286+Q286,0)</f>
        <v>0</v>
      </c>
      <c r="AA286">
        <f>IF(AND(D286=1,X286&gt;=0,X285&lt;0,MIN($X$2:X286)&lt;0),1,0)</f>
        <v>0</v>
      </c>
      <c r="AB286">
        <f>IF(Расчёты!F286=0,0,IF(Расчёты!G286=1,N('Сценарный анализ'!$C$5),IF(Расчёты!G286=2,N('Сценарный анализ'!$C$6),IF(Расчёты!G286=3,N('Сценарный анализ'!$C$7),N('Сценарный анализ'!$C$7)*(1+N('Сценарный анализ'!$C$8))^(Расчёты!G286-3)))))</f>
        <v>0</v>
      </c>
      <c r="AC286">
        <f>IF(OR(Расчёты!F286=0,N('Исходные данные'!$B$5)=0,AB286=0),0,N('Исходные данные'!$B$5)*AB286*IF(AND(B286&lt;='Исходные данные'!$B$30,Расчёты!C286&gt;='Исходные данные'!$B$30),(Расчёты!C286-'Исходные данные'!$B$30+1)/DAY(Расчёты!C286),1))</f>
        <v>0</v>
      </c>
      <c r="AD286">
        <f>IF(AND(Расчёты!F286&gt;0,Расчёты!F286&lt;=N('Исходные данные'!$B$37)),-AC286,0)</f>
        <v>0</v>
      </c>
      <c r="AE286">
        <f>IF(OR(Расчёты!F286=0,Расчёты!F286&lt;=N('Исходные данные'!$B$37)),0,-(AC286+AD286)*N('Сценарный анализ'!$C$9))</f>
        <v>0</v>
      </c>
      <c r="AF286">
        <f t="shared" si="162"/>
        <v>0</v>
      </c>
      <c r="AG286">
        <f>IF('Исходные данные'!$B$51="Да",AF286*N('Исходные данные'!$B$52),0)</f>
        <v>0</v>
      </c>
      <c r="AH286">
        <f t="shared" si="163"/>
        <v>0</v>
      </c>
      <c r="AI286">
        <f>AF286+(Расчёты!Y286-Расчёты!L286)</f>
        <v>0</v>
      </c>
      <c r="AJ286">
        <f t="shared" si="150"/>
        <v>0</v>
      </c>
      <c r="AK286">
        <f>IF('Исходные данные'!$B$51="Да",-MAX(0,AG286+Расчёты!R286+Расчёты!V286-Расчёты!P286-Расчёты!T286-AJ286),0)</f>
        <v>0</v>
      </c>
      <c r="AL286">
        <f>IF('Исходные данные'!$B$51="Да",MAX(0,AJ286+Расчёты!P286+Расчёты!T286-AG286-Расчёты!R286-Расчёты!V286),0)</f>
        <v>0</v>
      </c>
      <c r="AM286">
        <f>IF('Исходные данные'!$B$53="Выручка",MAX(0,AF286+(Расчёты!Q286-Расчёты!R286)+(Расчёты!U286-Расчёты!V286)),IF('Исходные данные'!$B$53="Прибыль до налога",MAX(0,AF286+(Расчёты!Q286-Расчёты!R286)+(Расчёты!U286-Расчёты!V286)+N('Исходные данные'!$B$54)*((Расчёты!O286+Расчёты!P286)+(Расчёты!S286+Расчёты!T286)+Расчёты!W286+Расчёты!X286)+IF('Исходные данные'!$B$55="Да",Расчёты!AG286,0)-N('Исходные данные'!$B$56)/12),IF('Исходные данные'!$B$53="Пользовательская база",MAX(0,N('Исходные данные'!$B$57)/12),0)))</f>
        <v>0</v>
      </c>
      <c r="AN286">
        <f>IF(D286=1,-AM286*N('Исходные данные'!$B$50),0)</f>
        <v>0</v>
      </c>
      <c r="AO286">
        <f t="shared" si="151"/>
        <v>0</v>
      </c>
      <c r="AP286">
        <f>IF(OR(D286&lt;&gt;1,B286="",'Исходные данные'!$B$91="",N('Исходные данные'!$B$80)&lt;=0,'Исходные данные'!$B$88=""),0,IF(AND(YEAR(B286)=YEAR('Исходные данные'!$B$91),MONTH(B286)=MONTH('Исходные данные'!$B$91)),MAX(0,IF('Исходные данные'!$B$88="Последние 12 месяцев",SUMIFS($AI$2:$AI$194,$B$2:$B$194,"&gt;="&amp;EDATE(B286,-11),$B$2:$B$194,"&lt;="&amp;B286),IF('Исходные данные'!$B$88="Пользовательский NOI",N('Исходные данные'!$B$89),AO286))/N('Исходные данные'!$B$80)*(1+N('Исходные данные'!$B$81))),0))</f>
        <v>0</v>
      </c>
      <c r="AQ286">
        <f>-AP286*N('Исходные данные'!$B$73)</f>
        <v>0</v>
      </c>
      <c r="AR286">
        <f>IF(AP286=0,0,-N('Исходные данные'!$B$87)-IF('Исходные данные'!$B$82="Да",IF('Исходные данные'!$B$84="С выручки",AP286,IF('Исходные данные'!$B$84="С прибыли",MAX(0,AP286+AQ286-IF('Исходные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86">
        <f t="shared" si="164"/>
        <v>0</v>
      </c>
      <c r="AT286">
        <f>IF(D286=1,Расчёты!AZ286+AH286+AK286+AN286+AS286,0)</f>
        <v>0</v>
      </c>
      <c r="AU286" t="str">
        <f t="shared" si="152"/>
        <v/>
      </c>
      <c r="AV286">
        <f>IF(OR(D286=0,'Исходные данные'!$B$9="",'Исходные данные'!$B$90=""),0,AT286/(1+'Исходные данные'!$B$90)^((C286-'Исходные данные'!$B$9)/365))</f>
        <v>0</v>
      </c>
      <c r="AW286">
        <f>IF(D286=1,AH286+Расчёты!O286+Расчёты!Q286+Расчёты!S286+Расчёты!U286+Расчёты!W286+Расчёты!X286+AK286+AN286,0)</f>
        <v>0</v>
      </c>
      <c r="AX286">
        <f>IF(AND(D286=1,AU286&gt;=0,AU285&lt;0,MIN($AU$2:AU286)&lt;0),1,0)</f>
        <v>0</v>
      </c>
      <c r="AY286">
        <f>IF(Расчёты!F286=0,0,IF(Расчёты!G286=1,N('Сценарный анализ'!$D$5),IF(Расчёты!G286=2,N('Сценарный анализ'!$D$6),IF(Расчёты!G286=3,N('Сценарный анализ'!$D$7),N('Сценарный анализ'!$D$7)*(1+N('Сценарный анализ'!$D$8))^(Расчёты!G286-3)))))</f>
        <v>0</v>
      </c>
      <c r="AZ286">
        <f>IF(OR(Расчёты!F286=0,N('Исходные данные'!$B$5)=0,AY286=0),0,N('Исходные данные'!$B$5)*AY286*IF(AND(B286&lt;='Исходные данные'!$B$30,Расчёты!C286&gt;='Исходные данные'!$B$30),(Расчёты!C286-'Исходные данные'!$B$30+1)/DAY(Расчёты!C286),1))</f>
        <v>0</v>
      </c>
      <c r="BA286">
        <f>IF(AND(Расчёты!F286&gt;0,Расчёты!F286&lt;=N('Исходные данные'!$B$37)),-AZ286,0)</f>
        <v>0</v>
      </c>
      <c r="BB286">
        <f>IF(OR(Расчёты!F286=0,Расчёты!F286&lt;=N('Исходные данные'!$B$37)),0,-(AZ286+BA286)*N('Сценарный анализ'!$D$9))</f>
        <v>0</v>
      </c>
      <c r="BC286">
        <f t="shared" si="165"/>
        <v>0</v>
      </c>
      <c r="BD286">
        <f>IF('Исходные данные'!$B$51="Да",BC286*N('Исходные данные'!$B$52),0)</f>
        <v>0</v>
      </c>
      <c r="BE286">
        <f t="shared" si="166"/>
        <v>0</v>
      </c>
      <c r="BF286">
        <f>BC286+(Расчёты!Y286-Расчёты!L286)</f>
        <v>0</v>
      </c>
      <c r="BG286">
        <f t="shared" si="153"/>
        <v>0</v>
      </c>
      <c r="BH286">
        <f>IF('Исходные данные'!$B$51="Да",-MAX(0,BD286+Расчёты!R286+Расчёты!V286-Расчёты!P286-Расчёты!T286-BG286),0)</f>
        <v>0</v>
      </c>
      <c r="BI286">
        <f>IF('Исходные данные'!$B$51="Да",MAX(0,BG286+Расчёты!P286+Расчёты!T286-BD286-Расчёты!R286-Расчёты!V286),0)</f>
        <v>0</v>
      </c>
      <c r="BJ286">
        <f>IF('Исходные данные'!$B$53="Выручка",MAX(0,BC286+(Расчёты!Q286-Расчёты!R286)+(Расчёты!U286-Расчёты!V286)),IF('Исходные данные'!$B$53="Прибыль до налога",MAX(0,BC286+(Расчёты!Q286-Расчёты!R286)+(Расчёты!U286-Расчёты!V286)+N('Исходные данные'!$B$54)*((Расчёты!O286+Расчёты!P286)+(Расчёты!S286+Расчёты!T286)+Расчёты!W286+Расчёты!X286)+IF('Исходные данные'!$B$55="Да",Расчёты!AG286,0)-N('Исходные данные'!$B$56)/12),IF('Исходные данные'!$B$53="Пользовательская база",MAX(0,N('Исходные данные'!$B$57)/12),0)))</f>
        <v>0</v>
      </c>
      <c r="BK286">
        <f>IF(D286=1,-BJ286*N('Исходные данные'!$B$50),0)</f>
        <v>0</v>
      </c>
      <c r="BL286">
        <f t="shared" si="154"/>
        <v>0</v>
      </c>
      <c r="BM286">
        <f>IF(OR(D286&lt;&gt;1,B286="",'Исходные данные'!$B$91="",N('Исходные данные'!$B$80)&lt;=0,'Исходные данные'!$B$88=""),0,IF(AND(YEAR(B286)=YEAR('Исходные данные'!$B$91),MONTH(B286)=MONTH('Исходные данные'!$B$91)),MAX(0,IF('Исходные данные'!$B$88="Последние 12 месяцев",SUMIFS($BF$2:$BF$194,$B$2:$B$194,"&gt;="&amp;EDATE(B286,-11),$B$2:$B$194,"&lt;="&amp;B286),IF('Исходные данные'!$B$88="Пользовательский NOI",N('Исходные данные'!$B$89),BL286))/N('Исходные данные'!$B$80)*(1+N('Исходные данные'!$B$81))),0))</f>
        <v>0</v>
      </c>
      <c r="BN286">
        <f>-BM286*N('Исходные данные'!$B$73)</f>
        <v>0</v>
      </c>
      <c r="BO286">
        <f>IF(BM286=0,0,-N('Исходные данные'!$B$87)-IF('Исходные данные'!$B$82="Да",IF('Исходные данные'!$B$84="С выручки",BM286,IF('Исходные данные'!$B$84="С прибыли",MAX(0,BM286+BN286-IF('Исходные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86">
        <f t="shared" si="167"/>
        <v>0</v>
      </c>
      <c r="BQ286">
        <f>IF(D286=1,Расчёты!AZ286+BE286+BH286+BK286+BP286,0)</f>
        <v>0</v>
      </c>
      <c r="BR286" t="str">
        <f t="shared" si="155"/>
        <v/>
      </c>
      <c r="BS286">
        <f>IF(OR(D286=0,'Исходные данные'!$B$9="",'Исходные данные'!$B$90=""),0,BQ286/(1+'Исходные данные'!$B$90)^((C286-'Исходные данные'!$B$9)/365))</f>
        <v>0</v>
      </c>
      <c r="BT286">
        <f>IF(D286=1,BE286+Расчёты!O286+Расчёты!Q286+Расчёты!S286+Расчёты!U286+Расчёты!W286+Расчёты!X286+BH286+BK286,0)</f>
        <v>0</v>
      </c>
      <c r="BU286">
        <f>IF(AND(D286=1,BR286&gt;=0,BR285&lt;0,MIN($BR$2:BR286)&lt;0),1,0)</f>
        <v>0</v>
      </c>
      <c r="BV286">
        <f>Расчёты!AZ286+K286+N286-P286*N('Исходные данные'!$B$50)</f>
        <v>0</v>
      </c>
      <c r="BW286">
        <f t="shared" si="156"/>
        <v>0</v>
      </c>
      <c r="BX286">
        <f>IF(AND(BW286&gt;=0,BW285&lt;0,MIN($BW$2:BW286)&lt;0),1,0)</f>
        <v>0</v>
      </c>
      <c r="BY286">
        <f>Расчёты!AZ286+AH286+AK286-AM286*N('Исходные данные'!$B$50)</f>
        <v>0</v>
      </c>
      <c r="BZ286">
        <f t="shared" si="157"/>
        <v>0</v>
      </c>
      <c r="CA286">
        <f>IF(AND(BZ286&gt;=0,BZ285&lt;0,MIN($BZ$2:BZ286)&lt;0),1,0)</f>
        <v>0</v>
      </c>
      <c r="CB286">
        <f>Расчёты!AZ286+BE286+BH286-BJ286*N('Исходные данные'!$B$50)</f>
        <v>0</v>
      </c>
      <c r="CC286">
        <f t="shared" si="158"/>
        <v>0</v>
      </c>
      <c r="CD286">
        <f>IF(AND(CC286&gt;=0,CC285&lt;0,MIN($CC$2:CC286)&lt;0),1,0)</f>
        <v>0</v>
      </c>
    </row>
    <row r="287" spans="1:82" x14ac:dyDescent="0.2">
      <c r="A287">
        <f>Расчёты!A287</f>
        <v>286</v>
      </c>
      <c r="B287" t="str">
        <f>Расчёты!B287</f>
        <v/>
      </c>
      <c r="C287" t="str">
        <f>Расчёты!D287</f>
        <v/>
      </c>
      <c r="D287">
        <f>Расчёты!E287</f>
        <v>0</v>
      </c>
      <c r="E287">
        <f>IF(Расчёты!F287=0,0,IF(Расчёты!G287=1,N('Сценарный анализ'!$B$5),IF(Расчёты!G287=2,N('Сценарный анализ'!$B$6),IF(Расчёты!G287=3,N('Сценарный анализ'!$B$7),N('Сценарный анализ'!$B$7)*(1+N('Сценарный анализ'!$B$8))^(Расчёты!G287-3)))))</f>
        <v>0</v>
      </c>
      <c r="F287">
        <f>IF(OR(Расчёты!F287=0,N('Исходные данные'!$B$5)=0,E287=0),0,N('Исходные данные'!$B$5)*E287*IF(AND(B287&lt;='Исходные данные'!$B$30,Расчёты!C287&gt;='Исходные данные'!$B$30),(Расчёты!C287-'Исходные данные'!$B$30+1)/DAY(Расчёты!C287),1))</f>
        <v>0</v>
      </c>
      <c r="G287">
        <f>IF(AND(Расчёты!F287&gt;0,Расчёты!F287&lt;=N('Исходные данные'!$B$37)),-F287,0)</f>
        <v>0</v>
      </c>
      <c r="H287">
        <f>IF(OR(Расчёты!F287=0,Расчёты!F287&lt;=N('Исходные данные'!$B$37)),0,-(F287+G287)*N('Сценарный анализ'!$B$9))</f>
        <v>0</v>
      </c>
      <c r="I287">
        <f t="shared" si="159"/>
        <v>0</v>
      </c>
      <c r="J287">
        <f>IF('Исходные данные'!$B$51="Да",I287*N('Исходные данные'!$B$52),0)</f>
        <v>0</v>
      </c>
      <c r="K287">
        <f t="shared" si="160"/>
        <v>0</v>
      </c>
      <c r="L287">
        <f>I287+(Расчёты!Y287-Расчёты!L287)</f>
        <v>0</v>
      </c>
      <c r="M287">
        <f t="shared" si="147"/>
        <v>0</v>
      </c>
      <c r="N287">
        <f>IF('Исходные данные'!$B$51="Да",-MAX(0,J287+Расчёты!R287+Расчёты!V287-Расчёты!P287-Расчёты!T287-M287),0)</f>
        <v>0</v>
      </c>
      <c r="O287">
        <f>IF('Исходные данные'!$B$51="Да",MAX(0,M287+Расчёты!P287+Расчёты!T287-J287-Расчёты!R287-Расчёты!V287),0)</f>
        <v>0</v>
      </c>
      <c r="P287">
        <f>IF('Исходные данные'!$B$53="Выручка",MAX(0,I287+(Расчёты!Q287-Расчёты!R287)+(Расчёты!U287-Расчёты!V287)),IF('Исходные данные'!$B$53="Прибыль до налога",MAX(0,I287+(Расчёты!Q287-Расчёты!R287)+(Расчёты!U287-Расчёты!V287)+N('Исходные данные'!$B$54)*((Расчёты!O287+Расчёты!P287)+(Расчёты!S287+Расчёты!T287)+Расчёты!W287+Расчёты!X287)+IF('Исходные данные'!$B$55="Да",Расчёты!AG287,0)-N('Исходные данные'!$B$56)/12),IF('Исходные данные'!$B$53="Пользовательская база",MAX(0,N('Исходные данные'!$B$57)/12),0)))</f>
        <v>0</v>
      </c>
      <c r="Q287">
        <f>IF(D287=1,-P287*N('Исходные данные'!$B$50),0)</f>
        <v>0</v>
      </c>
      <c r="R287">
        <f t="shared" si="148"/>
        <v>0</v>
      </c>
      <c r="S287">
        <f>IF(OR(D287&lt;&gt;1,B287="",'Исходные данные'!$B$91="",N('Исходные данные'!$B$80)&lt;=0,'Исходные данные'!$B$88=""),0,IF(AND(YEAR(B287)=YEAR('Исходные данные'!$B$91),MONTH(B287)=MONTH('Исходные данные'!$B$91)),MAX(0,IF('Исходные данные'!$B$88="Последние 12 месяцев",SUMIFS($L$2:$L$194,$B$2:$B$194,"&gt;="&amp;EDATE(B287,-11),$B$2:$B$194,"&lt;="&amp;B287),IF('Исходные данные'!$B$88="Пользовательский NOI",N('Исходные данные'!$B$89),R287))/N('Исходные данные'!$B$80)*(1+N('Исходные данные'!$B$81))),0))</f>
        <v>0</v>
      </c>
      <c r="T287">
        <f>-S287*N('Исходные данные'!$B$73)</f>
        <v>0</v>
      </c>
      <c r="U287">
        <f>IF(S287=0,0,-N('Исходные данные'!$B$87)-IF('Исходные данные'!$B$82="Да",IF('Исходные данные'!$B$84="С выручки",S287,IF('Исходные данные'!$B$84="С прибыли",MAX(0,S287+T287-IF('Исходные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87">
        <f t="shared" si="161"/>
        <v>0</v>
      </c>
      <c r="W287">
        <f>IF(D287=1,Расчёты!AZ287+K287+N287+Q287+V287,0)</f>
        <v>0</v>
      </c>
      <c r="X287" t="str">
        <f t="shared" si="149"/>
        <v/>
      </c>
      <c r="Y287">
        <f>IF(OR(D287=0,'Исходные данные'!$B$9="",'Исходные данные'!$B$90=""),0,W287/(1+'Исходные данные'!$B$90)^((C287-'Исходные данные'!$B$9)/365))</f>
        <v>0</v>
      </c>
      <c r="Z287">
        <f>IF(D287=1,K287+Расчёты!O287+Расчёты!Q287+Расчёты!S287+Расчёты!U287+Расчёты!W287+Расчёты!X287+N287+Q287,0)</f>
        <v>0</v>
      </c>
      <c r="AA287">
        <f>IF(AND(D287=1,X287&gt;=0,X286&lt;0,MIN($X$2:X287)&lt;0),1,0)</f>
        <v>0</v>
      </c>
      <c r="AB287">
        <f>IF(Расчёты!F287=0,0,IF(Расчёты!G287=1,N('Сценарный анализ'!$C$5),IF(Расчёты!G287=2,N('Сценарный анализ'!$C$6),IF(Расчёты!G287=3,N('Сценарный анализ'!$C$7),N('Сценарный анализ'!$C$7)*(1+N('Сценарный анализ'!$C$8))^(Расчёты!G287-3)))))</f>
        <v>0</v>
      </c>
      <c r="AC287">
        <f>IF(OR(Расчёты!F287=0,N('Исходные данные'!$B$5)=0,AB287=0),0,N('Исходные данные'!$B$5)*AB287*IF(AND(B287&lt;='Исходные данные'!$B$30,Расчёты!C287&gt;='Исходные данные'!$B$30),(Расчёты!C287-'Исходные данные'!$B$30+1)/DAY(Расчёты!C287),1))</f>
        <v>0</v>
      </c>
      <c r="AD287">
        <f>IF(AND(Расчёты!F287&gt;0,Расчёты!F287&lt;=N('Исходные данные'!$B$37)),-AC287,0)</f>
        <v>0</v>
      </c>
      <c r="AE287">
        <f>IF(OR(Расчёты!F287=0,Расчёты!F287&lt;=N('Исходные данные'!$B$37)),0,-(AC287+AD287)*N('Сценарный анализ'!$C$9))</f>
        <v>0</v>
      </c>
      <c r="AF287">
        <f t="shared" si="162"/>
        <v>0</v>
      </c>
      <c r="AG287">
        <f>IF('Исходные данные'!$B$51="Да",AF287*N('Исходные данные'!$B$52),0)</f>
        <v>0</v>
      </c>
      <c r="AH287">
        <f t="shared" si="163"/>
        <v>0</v>
      </c>
      <c r="AI287">
        <f>AF287+(Расчёты!Y287-Расчёты!L287)</f>
        <v>0</v>
      </c>
      <c r="AJ287">
        <f t="shared" si="150"/>
        <v>0</v>
      </c>
      <c r="AK287">
        <f>IF('Исходные данные'!$B$51="Да",-MAX(0,AG287+Расчёты!R287+Расчёты!V287-Расчёты!P287-Расчёты!T287-AJ287),0)</f>
        <v>0</v>
      </c>
      <c r="AL287">
        <f>IF('Исходные данные'!$B$51="Да",MAX(0,AJ287+Расчёты!P287+Расчёты!T287-AG287-Расчёты!R287-Расчёты!V287),0)</f>
        <v>0</v>
      </c>
      <c r="AM287">
        <f>IF('Исходные данные'!$B$53="Выручка",MAX(0,AF287+(Расчёты!Q287-Расчёты!R287)+(Расчёты!U287-Расчёты!V287)),IF('Исходные данные'!$B$53="Прибыль до налога",MAX(0,AF287+(Расчёты!Q287-Расчёты!R287)+(Расчёты!U287-Расчёты!V287)+N('Исходные данные'!$B$54)*((Расчёты!O287+Расчёты!P287)+(Расчёты!S287+Расчёты!T287)+Расчёты!W287+Расчёты!X287)+IF('Исходные данные'!$B$55="Да",Расчёты!AG287,0)-N('Исходные данные'!$B$56)/12),IF('Исходные данные'!$B$53="Пользовательская база",MAX(0,N('Исходные данные'!$B$57)/12),0)))</f>
        <v>0</v>
      </c>
      <c r="AN287">
        <f>IF(D287=1,-AM287*N('Исходные данные'!$B$50),0)</f>
        <v>0</v>
      </c>
      <c r="AO287">
        <f t="shared" si="151"/>
        <v>0</v>
      </c>
      <c r="AP287">
        <f>IF(OR(D287&lt;&gt;1,B287="",'Исходные данные'!$B$91="",N('Исходные данные'!$B$80)&lt;=0,'Исходные данные'!$B$88=""),0,IF(AND(YEAR(B287)=YEAR('Исходные данные'!$B$91),MONTH(B287)=MONTH('Исходные данные'!$B$91)),MAX(0,IF('Исходные данные'!$B$88="Последние 12 месяцев",SUMIFS($AI$2:$AI$194,$B$2:$B$194,"&gt;="&amp;EDATE(B287,-11),$B$2:$B$194,"&lt;="&amp;B287),IF('Исходные данные'!$B$88="Пользовательский NOI",N('Исходные данные'!$B$89),AO287))/N('Исходные данные'!$B$80)*(1+N('Исходные данные'!$B$81))),0))</f>
        <v>0</v>
      </c>
      <c r="AQ287">
        <f>-AP287*N('Исходные данные'!$B$73)</f>
        <v>0</v>
      </c>
      <c r="AR287">
        <f>IF(AP287=0,0,-N('Исходные данные'!$B$87)-IF('Исходные данные'!$B$82="Да",IF('Исходные данные'!$B$84="С выручки",AP287,IF('Исходные данные'!$B$84="С прибыли",MAX(0,AP287+AQ287-IF('Исходные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87">
        <f t="shared" si="164"/>
        <v>0</v>
      </c>
      <c r="AT287">
        <f>IF(D287=1,Расчёты!AZ287+AH287+AK287+AN287+AS287,0)</f>
        <v>0</v>
      </c>
      <c r="AU287" t="str">
        <f t="shared" si="152"/>
        <v/>
      </c>
      <c r="AV287">
        <f>IF(OR(D287=0,'Исходные данные'!$B$9="",'Исходные данные'!$B$90=""),0,AT287/(1+'Исходные данные'!$B$90)^((C287-'Исходные данные'!$B$9)/365))</f>
        <v>0</v>
      </c>
      <c r="AW287">
        <f>IF(D287=1,AH287+Расчёты!O287+Расчёты!Q287+Расчёты!S287+Расчёты!U287+Расчёты!W287+Расчёты!X287+AK287+AN287,0)</f>
        <v>0</v>
      </c>
      <c r="AX287">
        <f>IF(AND(D287=1,AU287&gt;=0,AU286&lt;0,MIN($AU$2:AU287)&lt;0),1,0)</f>
        <v>0</v>
      </c>
      <c r="AY287">
        <f>IF(Расчёты!F287=0,0,IF(Расчёты!G287=1,N('Сценарный анализ'!$D$5),IF(Расчёты!G287=2,N('Сценарный анализ'!$D$6),IF(Расчёты!G287=3,N('Сценарный анализ'!$D$7),N('Сценарный анализ'!$D$7)*(1+N('Сценарный анализ'!$D$8))^(Расчёты!G287-3)))))</f>
        <v>0</v>
      </c>
      <c r="AZ287">
        <f>IF(OR(Расчёты!F287=0,N('Исходные данные'!$B$5)=0,AY287=0),0,N('Исходные данные'!$B$5)*AY287*IF(AND(B287&lt;='Исходные данные'!$B$30,Расчёты!C287&gt;='Исходные данные'!$B$30),(Расчёты!C287-'Исходные данные'!$B$30+1)/DAY(Расчёты!C287),1))</f>
        <v>0</v>
      </c>
      <c r="BA287">
        <f>IF(AND(Расчёты!F287&gt;0,Расчёты!F287&lt;=N('Исходные данные'!$B$37)),-AZ287,0)</f>
        <v>0</v>
      </c>
      <c r="BB287">
        <f>IF(OR(Расчёты!F287=0,Расчёты!F287&lt;=N('Исходные данные'!$B$37)),0,-(AZ287+BA287)*N('Сценарный анализ'!$D$9))</f>
        <v>0</v>
      </c>
      <c r="BC287">
        <f t="shared" si="165"/>
        <v>0</v>
      </c>
      <c r="BD287">
        <f>IF('Исходные данные'!$B$51="Да",BC287*N('Исходные данные'!$B$52),0)</f>
        <v>0</v>
      </c>
      <c r="BE287">
        <f t="shared" si="166"/>
        <v>0</v>
      </c>
      <c r="BF287">
        <f>BC287+(Расчёты!Y287-Расчёты!L287)</f>
        <v>0</v>
      </c>
      <c r="BG287">
        <f t="shared" si="153"/>
        <v>0</v>
      </c>
      <c r="BH287">
        <f>IF('Исходные данные'!$B$51="Да",-MAX(0,BD287+Расчёты!R287+Расчёты!V287-Расчёты!P287-Расчёты!T287-BG287),0)</f>
        <v>0</v>
      </c>
      <c r="BI287">
        <f>IF('Исходные данные'!$B$51="Да",MAX(0,BG287+Расчёты!P287+Расчёты!T287-BD287-Расчёты!R287-Расчёты!V287),0)</f>
        <v>0</v>
      </c>
      <c r="BJ287">
        <f>IF('Исходные данные'!$B$53="Выручка",MAX(0,BC287+(Расчёты!Q287-Расчёты!R287)+(Расчёты!U287-Расчёты!V287)),IF('Исходные данные'!$B$53="Прибыль до налога",MAX(0,BC287+(Расчёты!Q287-Расчёты!R287)+(Расчёты!U287-Расчёты!V287)+N('Исходные данные'!$B$54)*((Расчёты!O287+Расчёты!P287)+(Расчёты!S287+Расчёты!T287)+Расчёты!W287+Расчёты!X287)+IF('Исходные данные'!$B$55="Да",Расчёты!AG287,0)-N('Исходные данные'!$B$56)/12),IF('Исходные данные'!$B$53="Пользовательская база",MAX(0,N('Исходные данные'!$B$57)/12),0)))</f>
        <v>0</v>
      </c>
      <c r="BK287">
        <f>IF(D287=1,-BJ287*N('Исходные данные'!$B$50),0)</f>
        <v>0</v>
      </c>
      <c r="BL287">
        <f t="shared" si="154"/>
        <v>0</v>
      </c>
      <c r="BM287">
        <f>IF(OR(D287&lt;&gt;1,B287="",'Исходные данные'!$B$91="",N('Исходные данные'!$B$80)&lt;=0,'Исходные данные'!$B$88=""),0,IF(AND(YEAR(B287)=YEAR('Исходные данные'!$B$91),MONTH(B287)=MONTH('Исходные данные'!$B$91)),MAX(0,IF('Исходные данные'!$B$88="Последние 12 месяцев",SUMIFS($BF$2:$BF$194,$B$2:$B$194,"&gt;="&amp;EDATE(B287,-11),$B$2:$B$194,"&lt;="&amp;B287),IF('Исходные данные'!$B$88="Пользовательский NOI",N('Исходные данные'!$B$89),BL287))/N('Исходные данные'!$B$80)*(1+N('Исходные данные'!$B$81))),0))</f>
        <v>0</v>
      </c>
      <c r="BN287">
        <f>-BM287*N('Исходные данные'!$B$73)</f>
        <v>0</v>
      </c>
      <c r="BO287">
        <f>IF(BM287=0,0,-N('Исходные данные'!$B$87)-IF('Исходные данные'!$B$82="Да",IF('Исходные данные'!$B$84="С выручки",BM287,IF('Исходные данные'!$B$84="С прибыли",MAX(0,BM287+BN287-IF('Исходные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87">
        <f t="shared" si="167"/>
        <v>0</v>
      </c>
      <c r="BQ287">
        <f>IF(D287=1,Расчёты!AZ287+BE287+BH287+BK287+BP287,0)</f>
        <v>0</v>
      </c>
      <c r="BR287" t="str">
        <f t="shared" si="155"/>
        <v/>
      </c>
      <c r="BS287">
        <f>IF(OR(D287=0,'Исходные данные'!$B$9="",'Исходные данные'!$B$90=""),0,BQ287/(1+'Исходные данные'!$B$90)^((C287-'Исходные данные'!$B$9)/365))</f>
        <v>0</v>
      </c>
      <c r="BT287">
        <f>IF(D287=1,BE287+Расчёты!O287+Расчёты!Q287+Расчёты!S287+Расчёты!U287+Расчёты!W287+Расчёты!X287+BH287+BK287,0)</f>
        <v>0</v>
      </c>
      <c r="BU287">
        <f>IF(AND(D287=1,BR287&gt;=0,BR286&lt;0,MIN($BR$2:BR287)&lt;0),1,0)</f>
        <v>0</v>
      </c>
      <c r="BV287">
        <f>Расчёты!AZ287+K287+N287-P287*N('Исходные данные'!$B$50)</f>
        <v>0</v>
      </c>
      <c r="BW287">
        <f t="shared" si="156"/>
        <v>0</v>
      </c>
      <c r="BX287">
        <f>IF(AND(BW287&gt;=0,BW286&lt;0,MIN($BW$2:BW287)&lt;0),1,0)</f>
        <v>0</v>
      </c>
      <c r="BY287">
        <f>Расчёты!AZ287+AH287+AK287-AM287*N('Исходные данные'!$B$50)</f>
        <v>0</v>
      </c>
      <c r="BZ287">
        <f t="shared" si="157"/>
        <v>0</v>
      </c>
      <c r="CA287">
        <f>IF(AND(BZ287&gt;=0,BZ286&lt;0,MIN($BZ$2:BZ287)&lt;0),1,0)</f>
        <v>0</v>
      </c>
      <c r="CB287">
        <f>Расчёты!AZ287+BE287+BH287-BJ287*N('Исходные данные'!$B$50)</f>
        <v>0</v>
      </c>
      <c r="CC287">
        <f t="shared" si="158"/>
        <v>0</v>
      </c>
      <c r="CD287">
        <f>IF(AND(CC287&gt;=0,CC286&lt;0,MIN($CC$2:CC287)&lt;0),1,0)</f>
        <v>0</v>
      </c>
    </row>
    <row r="288" spans="1:82" x14ac:dyDescent="0.2">
      <c r="A288">
        <f>Расчёты!A288</f>
        <v>287</v>
      </c>
      <c r="B288" t="str">
        <f>Расчёты!B288</f>
        <v/>
      </c>
      <c r="C288" t="str">
        <f>Расчёты!D288</f>
        <v/>
      </c>
      <c r="D288">
        <f>Расчёты!E288</f>
        <v>0</v>
      </c>
      <c r="E288">
        <f>IF(Расчёты!F288=0,0,IF(Расчёты!G288=1,N('Сценарный анализ'!$B$5),IF(Расчёты!G288=2,N('Сценарный анализ'!$B$6),IF(Расчёты!G288=3,N('Сценарный анализ'!$B$7),N('Сценарный анализ'!$B$7)*(1+N('Сценарный анализ'!$B$8))^(Расчёты!G288-3)))))</f>
        <v>0</v>
      </c>
      <c r="F288">
        <f>IF(OR(Расчёты!F288=0,N('Исходные данные'!$B$5)=0,E288=0),0,N('Исходные данные'!$B$5)*E288*IF(AND(B288&lt;='Исходные данные'!$B$30,Расчёты!C288&gt;='Исходные данные'!$B$30),(Расчёты!C288-'Исходные данные'!$B$30+1)/DAY(Расчёты!C288),1))</f>
        <v>0</v>
      </c>
      <c r="G288">
        <f>IF(AND(Расчёты!F288&gt;0,Расчёты!F288&lt;=N('Исходные данные'!$B$37)),-F288,0)</f>
        <v>0</v>
      </c>
      <c r="H288">
        <f>IF(OR(Расчёты!F288=0,Расчёты!F288&lt;=N('Исходные данные'!$B$37)),0,-(F288+G288)*N('Сценарный анализ'!$B$9))</f>
        <v>0</v>
      </c>
      <c r="I288">
        <f t="shared" si="159"/>
        <v>0</v>
      </c>
      <c r="J288">
        <f>IF('Исходные данные'!$B$51="Да",I288*N('Исходные данные'!$B$52),0)</f>
        <v>0</v>
      </c>
      <c r="K288">
        <f t="shared" si="160"/>
        <v>0</v>
      </c>
      <c r="L288">
        <f>I288+(Расчёты!Y288-Расчёты!L288)</f>
        <v>0</v>
      </c>
      <c r="M288">
        <f t="shared" si="147"/>
        <v>0</v>
      </c>
      <c r="N288">
        <f>IF('Исходные данные'!$B$51="Да",-MAX(0,J288+Расчёты!R288+Расчёты!V288-Расчёты!P288-Расчёты!T288-M288),0)</f>
        <v>0</v>
      </c>
      <c r="O288">
        <f>IF('Исходные данные'!$B$51="Да",MAX(0,M288+Расчёты!P288+Расчёты!T288-J288-Расчёты!R288-Расчёты!V288),0)</f>
        <v>0</v>
      </c>
      <c r="P288">
        <f>IF('Исходные данные'!$B$53="Выручка",MAX(0,I288+(Расчёты!Q288-Расчёты!R288)+(Расчёты!U288-Расчёты!V288)),IF('Исходные данные'!$B$53="Прибыль до налога",MAX(0,I288+(Расчёты!Q288-Расчёты!R288)+(Расчёты!U288-Расчёты!V288)+N('Исходные данные'!$B$54)*((Расчёты!O288+Расчёты!P288)+(Расчёты!S288+Расчёты!T288)+Расчёты!W288+Расчёты!X288)+IF('Исходные данные'!$B$55="Да",Расчёты!AG288,0)-N('Исходные данные'!$B$56)/12),IF('Исходные данные'!$B$53="Пользовательская база",MAX(0,N('Исходные данные'!$B$57)/12),0)))</f>
        <v>0</v>
      </c>
      <c r="Q288">
        <f>IF(D288=1,-P288*N('Исходные данные'!$B$50),0)</f>
        <v>0</v>
      </c>
      <c r="R288">
        <f t="shared" si="148"/>
        <v>0</v>
      </c>
      <c r="S288">
        <f>IF(OR(D288&lt;&gt;1,B288="",'Исходные данные'!$B$91="",N('Исходные данные'!$B$80)&lt;=0,'Исходные данные'!$B$88=""),0,IF(AND(YEAR(B288)=YEAR('Исходные данные'!$B$91),MONTH(B288)=MONTH('Исходные данные'!$B$91)),MAX(0,IF('Исходные данные'!$B$88="Последние 12 месяцев",SUMIFS($L$2:$L$194,$B$2:$B$194,"&gt;="&amp;EDATE(B288,-11),$B$2:$B$194,"&lt;="&amp;B288),IF('Исходные данные'!$B$88="Пользовательский NOI",N('Исходные данные'!$B$89),R288))/N('Исходные данные'!$B$80)*(1+N('Исходные данные'!$B$81))),0))</f>
        <v>0</v>
      </c>
      <c r="T288">
        <f>-S288*N('Исходные данные'!$B$73)</f>
        <v>0</v>
      </c>
      <c r="U288">
        <f>IF(S288=0,0,-N('Исходные данные'!$B$87)-IF('Исходные данные'!$B$82="Да",IF('Исходные данные'!$B$84="С выручки",S288,IF('Исходные данные'!$B$84="С прибыли",MAX(0,S288+T288-IF('Исходные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88">
        <f t="shared" si="161"/>
        <v>0</v>
      </c>
      <c r="W288">
        <f>IF(D288=1,Расчёты!AZ288+K288+N288+Q288+V288,0)</f>
        <v>0</v>
      </c>
      <c r="X288" t="str">
        <f t="shared" si="149"/>
        <v/>
      </c>
      <c r="Y288">
        <f>IF(OR(D288=0,'Исходные данные'!$B$9="",'Исходные данные'!$B$90=""),0,W288/(1+'Исходные данные'!$B$90)^((C288-'Исходные данные'!$B$9)/365))</f>
        <v>0</v>
      </c>
      <c r="Z288">
        <f>IF(D288=1,K288+Расчёты!O288+Расчёты!Q288+Расчёты!S288+Расчёты!U288+Расчёты!W288+Расчёты!X288+N288+Q288,0)</f>
        <v>0</v>
      </c>
      <c r="AA288">
        <f>IF(AND(D288=1,X288&gt;=0,X287&lt;0,MIN($X$2:X288)&lt;0),1,0)</f>
        <v>0</v>
      </c>
      <c r="AB288">
        <f>IF(Расчёты!F288=0,0,IF(Расчёты!G288=1,N('Сценарный анализ'!$C$5),IF(Расчёты!G288=2,N('Сценарный анализ'!$C$6),IF(Расчёты!G288=3,N('Сценарный анализ'!$C$7),N('Сценарный анализ'!$C$7)*(1+N('Сценарный анализ'!$C$8))^(Расчёты!G288-3)))))</f>
        <v>0</v>
      </c>
      <c r="AC288">
        <f>IF(OR(Расчёты!F288=0,N('Исходные данные'!$B$5)=0,AB288=0),0,N('Исходные данные'!$B$5)*AB288*IF(AND(B288&lt;='Исходные данные'!$B$30,Расчёты!C288&gt;='Исходные данные'!$B$30),(Расчёты!C288-'Исходные данные'!$B$30+1)/DAY(Расчёты!C288),1))</f>
        <v>0</v>
      </c>
      <c r="AD288">
        <f>IF(AND(Расчёты!F288&gt;0,Расчёты!F288&lt;=N('Исходные данные'!$B$37)),-AC288,0)</f>
        <v>0</v>
      </c>
      <c r="AE288">
        <f>IF(OR(Расчёты!F288=0,Расчёты!F288&lt;=N('Исходные данные'!$B$37)),0,-(AC288+AD288)*N('Сценарный анализ'!$C$9))</f>
        <v>0</v>
      </c>
      <c r="AF288">
        <f t="shared" si="162"/>
        <v>0</v>
      </c>
      <c r="AG288">
        <f>IF('Исходные данные'!$B$51="Да",AF288*N('Исходные данные'!$B$52),0)</f>
        <v>0</v>
      </c>
      <c r="AH288">
        <f t="shared" si="163"/>
        <v>0</v>
      </c>
      <c r="AI288">
        <f>AF288+(Расчёты!Y288-Расчёты!L288)</f>
        <v>0</v>
      </c>
      <c r="AJ288">
        <f t="shared" si="150"/>
        <v>0</v>
      </c>
      <c r="AK288">
        <f>IF('Исходные данные'!$B$51="Да",-MAX(0,AG288+Расчёты!R288+Расчёты!V288-Расчёты!P288-Расчёты!T288-AJ288),0)</f>
        <v>0</v>
      </c>
      <c r="AL288">
        <f>IF('Исходные данные'!$B$51="Да",MAX(0,AJ288+Расчёты!P288+Расчёты!T288-AG288-Расчёты!R288-Расчёты!V288),0)</f>
        <v>0</v>
      </c>
      <c r="AM288">
        <f>IF('Исходные данные'!$B$53="Выручка",MAX(0,AF288+(Расчёты!Q288-Расчёты!R288)+(Расчёты!U288-Расчёты!V288)),IF('Исходные данные'!$B$53="Прибыль до налога",MAX(0,AF288+(Расчёты!Q288-Расчёты!R288)+(Расчёты!U288-Расчёты!V288)+N('Исходные данные'!$B$54)*((Расчёты!O288+Расчёты!P288)+(Расчёты!S288+Расчёты!T288)+Расчёты!W288+Расчёты!X288)+IF('Исходные данные'!$B$55="Да",Расчёты!AG288,0)-N('Исходные данные'!$B$56)/12),IF('Исходные данные'!$B$53="Пользовательская база",MAX(0,N('Исходные данные'!$B$57)/12),0)))</f>
        <v>0</v>
      </c>
      <c r="AN288">
        <f>IF(D288=1,-AM288*N('Исходные данные'!$B$50),0)</f>
        <v>0</v>
      </c>
      <c r="AO288">
        <f t="shared" si="151"/>
        <v>0</v>
      </c>
      <c r="AP288">
        <f>IF(OR(D288&lt;&gt;1,B288="",'Исходные данные'!$B$91="",N('Исходные данные'!$B$80)&lt;=0,'Исходные данные'!$B$88=""),0,IF(AND(YEAR(B288)=YEAR('Исходные данные'!$B$91),MONTH(B288)=MONTH('Исходные данные'!$B$91)),MAX(0,IF('Исходные данные'!$B$88="Последние 12 месяцев",SUMIFS($AI$2:$AI$194,$B$2:$B$194,"&gt;="&amp;EDATE(B288,-11),$B$2:$B$194,"&lt;="&amp;B288),IF('Исходные данные'!$B$88="Пользовательский NOI",N('Исходные данные'!$B$89),AO288))/N('Исходные данные'!$B$80)*(1+N('Исходные данные'!$B$81))),0))</f>
        <v>0</v>
      </c>
      <c r="AQ288">
        <f>-AP288*N('Исходные данные'!$B$73)</f>
        <v>0</v>
      </c>
      <c r="AR288">
        <f>IF(AP288=0,0,-N('Исходные данные'!$B$87)-IF('Исходные данные'!$B$82="Да",IF('Исходные данные'!$B$84="С выручки",AP288,IF('Исходные данные'!$B$84="С прибыли",MAX(0,AP288+AQ288-IF('Исходные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88">
        <f t="shared" si="164"/>
        <v>0</v>
      </c>
      <c r="AT288">
        <f>IF(D288=1,Расчёты!AZ288+AH288+AK288+AN288+AS288,0)</f>
        <v>0</v>
      </c>
      <c r="AU288" t="str">
        <f t="shared" si="152"/>
        <v/>
      </c>
      <c r="AV288">
        <f>IF(OR(D288=0,'Исходные данные'!$B$9="",'Исходные данные'!$B$90=""),0,AT288/(1+'Исходные данные'!$B$90)^((C288-'Исходные данные'!$B$9)/365))</f>
        <v>0</v>
      </c>
      <c r="AW288">
        <f>IF(D288=1,AH288+Расчёты!O288+Расчёты!Q288+Расчёты!S288+Расчёты!U288+Расчёты!W288+Расчёты!X288+AK288+AN288,0)</f>
        <v>0</v>
      </c>
      <c r="AX288">
        <f>IF(AND(D288=1,AU288&gt;=0,AU287&lt;0,MIN($AU$2:AU288)&lt;0),1,0)</f>
        <v>0</v>
      </c>
      <c r="AY288">
        <f>IF(Расчёты!F288=0,0,IF(Расчёты!G288=1,N('Сценарный анализ'!$D$5),IF(Расчёты!G288=2,N('Сценарный анализ'!$D$6),IF(Расчёты!G288=3,N('Сценарный анализ'!$D$7),N('Сценарный анализ'!$D$7)*(1+N('Сценарный анализ'!$D$8))^(Расчёты!G288-3)))))</f>
        <v>0</v>
      </c>
      <c r="AZ288">
        <f>IF(OR(Расчёты!F288=0,N('Исходные данные'!$B$5)=0,AY288=0),0,N('Исходные данные'!$B$5)*AY288*IF(AND(B288&lt;='Исходные данные'!$B$30,Расчёты!C288&gt;='Исходные данные'!$B$30),(Расчёты!C288-'Исходные данные'!$B$30+1)/DAY(Расчёты!C288),1))</f>
        <v>0</v>
      </c>
      <c r="BA288">
        <f>IF(AND(Расчёты!F288&gt;0,Расчёты!F288&lt;=N('Исходные данные'!$B$37)),-AZ288,0)</f>
        <v>0</v>
      </c>
      <c r="BB288">
        <f>IF(OR(Расчёты!F288=0,Расчёты!F288&lt;=N('Исходные данные'!$B$37)),0,-(AZ288+BA288)*N('Сценарный анализ'!$D$9))</f>
        <v>0</v>
      </c>
      <c r="BC288">
        <f t="shared" si="165"/>
        <v>0</v>
      </c>
      <c r="BD288">
        <f>IF('Исходные данные'!$B$51="Да",BC288*N('Исходные данные'!$B$52),0)</f>
        <v>0</v>
      </c>
      <c r="BE288">
        <f t="shared" si="166"/>
        <v>0</v>
      </c>
      <c r="BF288">
        <f>BC288+(Расчёты!Y288-Расчёты!L288)</f>
        <v>0</v>
      </c>
      <c r="BG288">
        <f t="shared" si="153"/>
        <v>0</v>
      </c>
      <c r="BH288">
        <f>IF('Исходные данные'!$B$51="Да",-MAX(0,BD288+Расчёты!R288+Расчёты!V288-Расчёты!P288-Расчёты!T288-BG288),0)</f>
        <v>0</v>
      </c>
      <c r="BI288">
        <f>IF('Исходные данные'!$B$51="Да",MAX(0,BG288+Расчёты!P288+Расчёты!T288-BD288-Расчёты!R288-Расчёты!V288),0)</f>
        <v>0</v>
      </c>
      <c r="BJ288">
        <f>IF('Исходные данные'!$B$53="Выручка",MAX(0,BC288+(Расчёты!Q288-Расчёты!R288)+(Расчёты!U288-Расчёты!V288)),IF('Исходные данные'!$B$53="Прибыль до налога",MAX(0,BC288+(Расчёты!Q288-Расчёты!R288)+(Расчёты!U288-Расчёты!V288)+N('Исходные данные'!$B$54)*((Расчёты!O288+Расчёты!P288)+(Расчёты!S288+Расчёты!T288)+Расчёты!W288+Расчёты!X288)+IF('Исходные данные'!$B$55="Да",Расчёты!AG288,0)-N('Исходные данные'!$B$56)/12),IF('Исходные данные'!$B$53="Пользовательская база",MAX(0,N('Исходные данные'!$B$57)/12),0)))</f>
        <v>0</v>
      </c>
      <c r="BK288">
        <f>IF(D288=1,-BJ288*N('Исходные данные'!$B$50),0)</f>
        <v>0</v>
      </c>
      <c r="BL288">
        <f t="shared" si="154"/>
        <v>0</v>
      </c>
      <c r="BM288">
        <f>IF(OR(D288&lt;&gt;1,B288="",'Исходные данные'!$B$91="",N('Исходные данные'!$B$80)&lt;=0,'Исходные данные'!$B$88=""),0,IF(AND(YEAR(B288)=YEAR('Исходные данные'!$B$91),MONTH(B288)=MONTH('Исходные данные'!$B$91)),MAX(0,IF('Исходные данные'!$B$88="Последние 12 месяцев",SUMIFS($BF$2:$BF$194,$B$2:$B$194,"&gt;="&amp;EDATE(B288,-11),$B$2:$B$194,"&lt;="&amp;B288),IF('Исходные данные'!$B$88="Пользовательский NOI",N('Исходные данные'!$B$89),BL288))/N('Исходные данные'!$B$80)*(1+N('Исходные данные'!$B$81))),0))</f>
        <v>0</v>
      </c>
      <c r="BN288">
        <f>-BM288*N('Исходные данные'!$B$73)</f>
        <v>0</v>
      </c>
      <c r="BO288">
        <f>IF(BM288=0,0,-N('Исходные данные'!$B$87)-IF('Исходные данные'!$B$82="Да",IF('Исходные данные'!$B$84="С выручки",BM288,IF('Исходные данные'!$B$84="С прибыли",MAX(0,BM288+BN288-IF('Исходные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88">
        <f t="shared" si="167"/>
        <v>0</v>
      </c>
      <c r="BQ288">
        <f>IF(D288=1,Расчёты!AZ288+BE288+BH288+BK288+BP288,0)</f>
        <v>0</v>
      </c>
      <c r="BR288" t="str">
        <f t="shared" si="155"/>
        <v/>
      </c>
      <c r="BS288">
        <f>IF(OR(D288=0,'Исходные данные'!$B$9="",'Исходные данные'!$B$90=""),0,BQ288/(1+'Исходные данные'!$B$90)^((C288-'Исходные данные'!$B$9)/365))</f>
        <v>0</v>
      </c>
      <c r="BT288">
        <f>IF(D288=1,BE288+Расчёты!O288+Расчёты!Q288+Расчёты!S288+Расчёты!U288+Расчёты!W288+Расчёты!X288+BH288+BK288,0)</f>
        <v>0</v>
      </c>
      <c r="BU288">
        <f>IF(AND(D288=1,BR288&gt;=0,BR287&lt;0,MIN($BR$2:BR288)&lt;0),1,0)</f>
        <v>0</v>
      </c>
      <c r="BV288">
        <f>Расчёты!AZ288+K288+N288-P288*N('Исходные данные'!$B$50)</f>
        <v>0</v>
      </c>
      <c r="BW288">
        <f t="shared" si="156"/>
        <v>0</v>
      </c>
      <c r="BX288">
        <f>IF(AND(BW288&gt;=0,BW287&lt;0,MIN($BW$2:BW288)&lt;0),1,0)</f>
        <v>0</v>
      </c>
      <c r="BY288">
        <f>Расчёты!AZ288+AH288+AK288-AM288*N('Исходные данные'!$B$50)</f>
        <v>0</v>
      </c>
      <c r="BZ288">
        <f t="shared" si="157"/>
        <v>0</v>
      </c>
      <c r="CA288">
        <f>IF(AND(BZ288&gt;=0,BZ287&lt;0,MIN($BZ$2:BZ288)&lt;0),1,0)</f>
        <v>0</v>
      </c>
      <c r="CB288">
        <f>Расчёты!AZ288+BE288+BH288-BJ288*N('Исходные данные'!$B$50)</f>
        <v>0</v>
      </c>
      <c r="CC288">
        <f t="shared" si="158"/>
        <v>0</v>
      </c>
      <c r="CD288">
        <f>IF(AND(CC288&gt;=0,CC287&lt;0,MIN($CC$2:CC288)&lt;0),1,0)</f>
        <v>0</v>
      </c>
    </row>
    <row r="289" spans="1:82" x14ac:dyDescent="0.2">
      <c r="A289">
        <f>Расчёты!A289</f>
        <v>288</v>
      </c>
      <c r="B289" t="str">
        <f>Расчёты!B289</f>
        <v/>
      </c>
      <c r="C289" t="str">
        <f>Расчёты!D289</f>
        <v/>
      </c>
      <c r="D289">
        <f>Расчёты!E289</f>
        <v>0</v>
      </c>
      <c r="E289">
        <f>IF(Расчёты!F289=0,0,IF(Расчёты!G289=1,N('Сценарный анализ'!$B$5),IF(Расчёты!G289=2,N('Сценарный анализ'!$B$6),IF(Расчёты!G289=3,N('Сценарный анализ'!$B$7),N('Сценарный анализ'!$B$7)*(1+N('Сценарный анализ'!$B$8))^(Расчёты!G289-3)))))</f>
        <v>0</v>
      </c>
      <c r="F289">
        <f>IF(OR(Расчёты!F289=0,N('Исходные данные'!$B$5)=0,E289=0),0,N('Исходные данные'!$B$5)*E289*IF(AND(B289&lt;='Исходные данные'!$B$30,Расчёты!C289&gt;='Исходные данные'!$B$30),(Расчёты!C289-'Исходные данные'!$B$30+1)/DAY(Расчёты!C289),1))</f>
        <v>0</v>
      </c>
      <c r="G289">
        <f>IF(AND(Расчёты!F289&gt;0,Расчёты!F289&lt;=N('Исходные данные'!$B$37)),-F289,0)</f>
        <v>0</v>
      </c>
      <c r="H289">
        <f>IF(OR(Расчёты!F289=0,Расчёты!F289&lt;=N('Исходные данные'!$B$37)),0,-(F289+G289)*N('Сценарный анализ'!$B$9))</f>
        <v>0</v>
      </c>
      <c r="I289">
        <f t="shared" si="159"/>
        <v>0</v>
      </c>
      <c r="J289">
        <f>IF('Исходные данные'!$B$51="Да",I289*N('Исходные данные'!$B$52),0)</f>
        <v>0</v>
      </c>
      <c r="K289">
        <f t="shared" si="160"/>
        <v>0</v>
      </c>
      <c r="L289">
        <f>I289+(Расчёты!Y289-Расчёты!L289)</f>
        <v>0</v>
      </c>
      <c r="M289">
        <f t="shared" si="147"/>
        <v>0</v>
      </c>
      <c r="N289">
        <f>IF('Исходные данные'!$B$51="Да",-MAX(0,J289+Расчёты!R289+Расчёты!V289-Расчёты!P289-Расчёты!T289-M289),0)</f>
        <v>0</v>
      </c>
      <c r="O289">
        <f>IF('Исходные данные'!$B$51="Да",MAX(0,M289+Расчёты!P289+Расчёты!T289-J289-Расчёты!R289-Расчёты!V289),0)</f>
        <v>0</v>
      </c>
      <c r="P289">
        <f>IF('Исходные данные'!$B$53="Выручка",MAX(0,I289+(Расчёты!Q289-Расчёты!R289)+(Расчёты!U289-Расчёты!V289)),IF('Исходные данные'!$B$53="Прибыль до налога",MAX(0,I289+(Расчёты!Q289-Расчёты!R289)+(Расчёты!U289-Расчёты!V289)+N('Исходные данные'!$B$54)*((Расчёты!O289+Расчёты!P289)+(Расчёты!S289+Расчёты!T289)+Расчёты!W289+Расчёты!X289)+IF('Исходные данные'!$B$55="Да",Расчёты!AG289,0)-N('Исходные данные'!$B$56)/12),IF('Исходные данные'!$B$53="Пользовательская база",MAX(0,N('Исходные данные'!$B$57)/12),0)))</f>
        <v>0</v>
      </c>
      <c r="Q289">
        <f>IF(D289=1,-P289*N('Исходные данные'!$B$50),0)</f>
        <v>0</v>
      </c>
      <c r="R289">
        <f t="shared" si="148"/>
        <v>0</v>
      </c>
      <c r="S289">
        <f>IF(OR(D289&lt;&gt;1,B289="",'Исходные данные'!$B$91="",N('Исходные данные'!$B$80)&lt;=0,'Исходные данные'!$B$88=""),0,IF(AND(YEAR(B289)=YEAR('Исходные данные'!$B$91),MONTH(B289)=MONTH('Исходные данные'!$B$91)),MAX(0,IF('Исходные данные'!$B$88="Последние 12 месяцев",SUMIFS($L$2:$L$194,$B$2:$B$194,"&gt;="&amp;EDATE(B289,-11),$B$2:$B$194,"&lt;="&amp;B289),IF('Исходные данные'!$B$88="Пользовательский NOI",N('Исходные данные'!$B$89),R289))/N('Исходные данные'!$B$80)*(1+N('Исходные данные'!$B$81))),0))</f>
        <v>0</v>
      </c>
      <c r="T289">
        <f>-S289*N('Исходные данные'!$B$73)</f>
        <v>0</v>
      </c>
      <c r="U289">
        <f>IF(S289=0,0,-N('Исходные данные'!$B$87)-IF('Исходные данные'!$B$82="Да",IF('Исходные данные'!$B$84="С выручки",S289,IF('Исходные данные'!$B$84="С прибыли",MAX(0,S289+T289-IF('Исходные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89">
        <f t="shared" si="161"/>
        <v>0</v>
      </c>
      <c r="W289">
        <f>IF(D289=1,Расчёты!AZ289+K289+N289+Q289+V289,0)</f>
        <v>0</v>
      </c>
      <c r="X289" t="str">
        <f t="shared" si="149"/>
        <v/>
      </c>
      <c r="Y289">
        <f>IF(OR(D289=0,'Исходные данные'!$B$9="",'Исходные данные'!$B$90=""),0,W289/(1+'Исходные данные'!$B$90)^((C289-'Исходные данные'!$B$9)/365))</f>
        <v>0</v>
      </c>
      <c r="Z289">
        <f>IF(D289=1,K289+Расчёты!O289+Расчёты!Q289+Расчёты!S289+Расчёты!U289+Расчёты!W289+Расчёты!X289+N289+Q289,0)</f>
        <v>0</v>
      </c>
      <c r="AA289">
        <f>IF(AND(D289=1,X289&gt;=0,X288&lt;0,MIN($X$2:X289)&lt;0),1,0)</f>
        <v>0</v>
      </c>
      <c r="AB289">
        <f>IF(Расчёты!F289=0,0,IF(Расчёты!G289=1,N('Сценарный анализ'!$C$5),IF(Расчёты!G289=2,N('Сценарный анализ'!$C$6),IF(Расчёты!G289=3,N('Сценарный анализ'!$C$7),N('Сценарный анализ'!$C$7)*(1+N('Сценарный анализ'!$C$8))^(Расчёты!G289-3)))))</f>
        <v>0</v>
      </c>
      <c r="AC289">
        <f>IF(OR(Расчёты!F289=0,N('Исходные данные'!$B$5)=0,AB289=0),0,N('Исходные данные'!$B$5)*AB289*IF(AND(B289&lt;='Исходные данные'!$B$30,Расчёты!C289&gt;='Исходные данные'!$B$30),(Расчёты!C289-'Исходные данные'!$B$30+1)/DAY(Расчёты!C289),1))</f>
        <v>0</v>
      </c>
      <c r="AD289">
        <f>IF(AND(Расчёты!F289&gt;0,Расчёты!F289&lt;=N('Исходные данные'!$B$37)),-AC289,0)</f>
        <v>0</v>
      </c>
      <c r="AE289">
        <f>IF(OR(Расчёты!F289=0,Расчёты!F289&lt;=N('Исходные данные'!$B$37)),0,-(AC289+AD289)*N('Сценарный анализ'!$C$9))</f>
        <v>0</v>
      </c>
      <c r="AF289">
        <f t="shared" si="162"/>
        <v>0</v>
      </c>
      <c r="AG289">
        <f>IF('Исходные данные'!$B$51="Да",AF289*N('Исходные данные'!$B$52),0)</f>
        <v>0</v>
      </c>
      <c r="AH289">
        <f t="shared" si="163"/>
        <v>0</v>
      </c>
      <c r="AI289">
        <f>AF289+(Расчёты!Y289-Расчёты!L289)</f>
        <v>0</v>
      </c>
      <c r="AJ289">
        <f t="shared" si="150"/>
        <v>0</v>
      </c>
      <c r="AK289">
        <f>IF('Исходные данные'!$B$51="Да",-MAX(0,AG289+Расчёты!R289+Расчёты!V289-Расчёты!P289-Расчёты!T289-AJ289),0)</f>
        <v>0</v>
      </c>
      <c r="AL289">
        <f>IF('Исходные данные'!$B$51="Да",MAX(0,AJ289+Расчёты!P289+Расчёты!T289-AG289-Расчёты!R289-Расчёты!V289),0)</f>
        <v>0</v>
      </c>
      <c r="AM289">
        <f>IF('Исходные данные'!$B$53="Выручка",MAX(0,AF289+(Расчёты!Q289-Расчёты!R289)+(Расчёты!U289-Расчёты!V289)),IF('Исходные данные'!$B$53="Прибыль до налога",MAX(0,AF289+(Расчёты!Q289-Расчёты!R289)+(Расчёты!U289-Расчёты!V289)+N('Исходные данные'!$B$54)*((Расчёты!O289+Расчёты!P289)+(Расчёты!S289+Расчёты!T289)+Расчёты!W289+Расчёты!X289)+IF('Исходные данные'!$B$55="Да",Расчёты!AG289,0)-N('Исходные данные'!$B$56)/12),IF('Исходные данные'!$B$53="Пользовательская база",MAX(0,N('Исходные данные'!$B$57)/12),0)))</f>
        <v>0</v>
      </c>
      <c r="AN289">
        <f>IF(D289=1,-AM289*N('Исходные данные'!$B$50),0)</f>
        <v>0</v>
      </c>
      <c r="AO289">
        <f t="shared" si="151"/>
        <v>0</v>
      </c>
      <c r="AP289">
        <f>IF(OR(D289&lt;&gt;1,B289="",'Исходные данные'!$B$91="",N('Исходные данные'!$B$80)&lt;=0,'Исходные данные'!$B$88=""),0,IF(AND(YEAR(B289)=YEAR('Исходные данные'!$B$91),MONTH(B289)=MONTH('Исходные данные'!$B$91)),MAX(0,IF('Исходные данные'!$B$88="Последние 12 месяцев",SUMIFS($AI$2:$AI$194,$B$2:$B$194,"&gt;="&amp;EDATE(B289,-11),$B$2:$B$194,"&lt;="&amp;B289),IF('Исходные данные'!$B$88="Пользовательский NOI",N('Исходные данные'!$B$89),AO289))/N('Исходные данные'!$B$80)*(1+N('Исходные данные'!$B$81))),0))</f>
        <v>0</v>
      </c>
      <c r="AQ289">
        <f>-AP289*N('Исходные данные'!$B$73)</f>
        <v>0</v>
      </c>
      <c r="AR289">
        <f>IF(AP289=0,0,-N('Исходные данные'!$B$87)-IF('Исходные данные'!$B$82="Да",IF('Исходные данные'!$B$84="С выручки",AP289,IF('Исходные данные'!$B$84="С прибыли",MAX(0,AP289+AQ289-IF('Исходные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89">
        <f t="shared" si="164"/>
        <v>0</v>
      </c>
      <c r="AT289">
        <f>IF(D289=1,Расчёты!AZ289+AH289+AK289+AN289+AS289,0)</f>
        <v>0</v>
      </c>
      <c r="AU289" t="str">
        <f t="shared" si="152"/>
        <v/>
      </c>
      <c r="AV289">
        <f>IF(OR(D289=0,'Исходные данные'!$B$9="",'Исходные данные'!$B$90=""),0,AT289/(1+'Исходные данные'!$B$90)^((C289-'Исходные данные'!$B$9)/365))</f>
        <v>0</v>
      </c>
      <c r="AW289">
        <f>IF(D289=1,AH289+Расчёты!O289+Расчёты!Q289+Расчёты!S289+Расчёты!U289+Расчёты!W289+Расчёты!X289+AK289+AN289,0)</f>
        <v>0</v>
      </c>
      <c r="AX289">
        <f>IF(AND(D289=1,AU289&gt;=0,AU288&lt;0,MIN($AU$2:AU289)&lt;0),1,0)</f>
        <v>0</v>
      </c>
      <c r="AY289">
        <f>IF(Расчёты!F289=0,0,IF(Расчёты!G289=1,N('Сценарный анализ'!$D$5),IF(Расчёты!G289=2,N('Сценарный анализ'!$D$6),IF(Расчёты!G289=3,N('Сценарный анализ'!$D$7),N('Сценарный анализ'!$D$7)*(1+N('Сценарный анализ'!$D$8))^(Расчёты!G289-3)))))</f>
        <v>0</v>
      </c>
      <c r="AZ289">
        <f>IF(OR(Расчёты!F289=0,N('Исходные данные'!$B$5)=0,AY289=0),0,N('Исходные данные'!$B$5)*AY289*IF(AND(B289&lt;='Исходные данные'!$B$30,Расчёты!C289&gt;='Исходные данные'!$B$30),(Расчёты!C289-'Исходные данные'!$B$30+1)/DAY(Расчёты!C289),1))</f>
        <v>0</v>
      </c>
      <c r="BA289">
        <f>IF(AND(Расчёты!F289&gt;0,Расчёты!F289&lt;=N('Исходные данные'!$B$37)),-AZ289,0)</f>
        <v>0</v>
      </c>
      <c r="BB289">
        <f>IF(OR(Расчёты!F289=0,Расчёты!F289&lt;=N('Исходные данные'!$B$37)),0,-(AZ289+BA289)*N('Сценарный анализ'!$D$9))</f>
        <v>0</v>
      </c>
      <c r="BC289">
        <f t="shared" si="165"/>
        <v>0</v>
      </c>
      <c r="BD289">
        <f>IF('Исходные данные'!$B$51="Да",BC289*N('Исходные данные'!$B$52),0)</f>
        <v>0</v>
      </c>
      <c r="BE289">
        <f t="shared" si="166"/>
        <v>0</v>
      </c>
      <c r="BF289">
        <f>BC289+(Расчёты!Y289-Расчёты!L289)</f>
        <v>0</v>
      </c>
      <c r="BG289">
        <f t="shared" si="153"/>
        <v>0</v>
      </c>
      <c r="BH289">
        <f>IF('Исходные данные'!$B$51="Да",-MAX(0,BD289+Расчёты!R289+Расчёты!V289-Расчёты!P289-Расчёты!T289-BG289),0)</f>
        <v>0</v>
      </c>
      <c r="BI289">
        <f>IF('Исходные данные'!$B$51="Да",MAX(0,BG289+Расчёты!P289+Расчёты!T289-BD289-Расчёты!R289-Расчёты!V289),0)</f>
        <v>0</v>
      </c>
      <c r="BJ289">
        <f>IF('Исходные данные'!$B$53="Выручка",MAX(0,BC289+(Расчёты!Q289-Расчёты!R289)+(Расчёты!U289-Расчёты!V289)),IF('Исходные данные'!$B$53="Прибыль до налога",MAX(0,BC289+(Расчёты!Q289-Расчёты!R289)+(Расчёты!U289-Расчёты!V289)+N('Исходные данные'!$B$54)*((Расчёты!O289+Расчёты!P289)+(Расчёты!S289+Расчёты!T289)+Расчёты!W289+Расчёты!X289)+IF('Исходные данные'!$B$55="Да",Расчёты!AG289,0)-N('Исходные данные'!$B$56)/12),IF('Исходные данные'!$B$53="Пользовательская база",MAX(0,N('Исходные данные'!$B$57)/12),0)))</f>
        <v>0</v>
      </c>
      <c r="BK289">
        <f>IF(D289=1,-BJ289*N('Исходные данные'!$B$50),0)</f>
        <v>0</v>
      </c>
      <c r="BL289">
        <f t="shared" si="154"/>
        <v>0</v>
      </c>
      <c r="BM289">
        <f>IF(OR(D289&lt;&gt;1,B289="",'Исходные данные'!$B$91="",N('Исходные данные'!$B$80)&lt;=0,'Исходные данные'!$B$88=""),0,IF(AND(YEAR(B289)=YEAR('Исходные данные'!$B$91),MONTH(B289)=MONTH('Исходные данные'!$B$91)),MAX(0,IF('Исходные данные'!$B$88="Последние 12 месяцев",SUMIFS($BF$2:$BF$194,$B$2:$B$194,"&gt;="&amp;EDATE(B289,-11),$B$2:$B$194,"&lt;="&amp;B289),IF('Исходные данные'!$B$88="Пользовательский NOI",N('Исходные данные'!$B$89),BL289))/N('Исходные данные'!$B$80)*(1+N('Исходные данные'!$B$81))),0))</f>
        <v>0</v>
      </c>
      <c r="BN289">
        <f>-BM289*N('Исходные данные'!$B$73)</f>
        <v>0</v>
      </c>
      <c r="BO289">
        <f>IF(BM289=0,0,-N('Исходные данные'!$B$87)-IF('Исходные данные'!$B$82="Да",IF('Исходные данные'!$B$84="С выручки",BM289,IF('Исходные данные'!$B$84="С прибыли",MAX(0,BM289+BN289-IF('Исходные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89">
        <f t="shared" si="167"/>
        <v>0</v>
      </c>
      <c r="BQ289">
        <f>IF(D289=1,Расчёты!AZ289+BE289+BH289+BK289+BP289,0)</f>
        <v>0</v>
      </c>
      <c r="BR289" t="str">
        <f t="shared" si="155"/>
        <v/>
      </c>
      <c r="BS289">
        <f>IF(OR(D289=0,'Исходные данные'!$B$9="",'Исходные данные'!$B$90=""),0,BQ289/(1+'Исходные данные'!$B$90)^((C289-'Исходные данные'!$B$9)/365))</f>
        <v>0</v>
      </c>
      <c r="BT289">
        <f>IF(D289=1,BE289+Расчёты!O289+Расчёты!Q289+Расчёты!S289+Расчёты!U289+Расчёты!W289+Расчёты!X289+BH289+BK289,0)</f>
        <v>0</v>
      </c>
      <c r="BU289">
        <f>IF(AND(D289=1,BR289&gt;=0,BR288&lt;0,MIN($BR$2:BR289)&lt;0),1,0)</f>
        <v>0</v>
      </c>
      <c r="BV289">
        <f>Расчёты!AZ289+K289+N289-P289*N('Исходные данные'!$B$50)</f>
        <v>0</v>
      </c>
      <c r="BW289">
        <f t="shared" si="156"/>
        <v>0</v>
      </c>
      <c r="BX289">
        <f>IF(AND(BW289&gt;=0,BW288&lt;0,MIN($BW$2:BW289)&lt;0),1,0)</f>
        <v>0</v>
      </c>
      <c r="BY289">
        <f>Расчёты!AZ289+AH289+AK289-AM289*N('Исходные данные'!$B$50)</f>
        <v>0</v>
      </c>
      <c r="BZ289">
        <f t="shared" si="157"/>
        <v>0</v>
      </c>
      <c r="CA289">
        <f>IF(AND(BZ289&gt;=0,BZ288&lt;0,MIN($BZ$2:BZ289)&lt;0),1,0)</f>
        <v>0</v>
      </c>
      <c r="CB289">
        <f>Расчёты!AZ289+BE289+BH289-BJ289*N('Исходные данные'!$B$50)</f>
        <v>0</v>
      </c>
      <c r="CC289">
        <f t="shared" si="158"/>
        <v>0</v>
      </c>
      <c r="CD289">
        <f>IF(AND(CC289&gt;=0,CC288&lt;0,MIN($CC$2:CC289)&lt;0),1,0)</f>
        <v>0</v>
      </c>
    </row>
    <row r="290" spans="1:82" x14ac:dyDescent="0.2">
      <c r="A290">
        <f>Расчёты!A290</f>
        <v>289</v>
      </c>
      <c r="B290" t="str">
        <f>Расчёты!B290</f>
        <v/>
      </c>
      <c r="C290" t="str">
        <f>Расчёты!D290</f>
        <v/>
      </c>
      <c r="D290">
        <f>Расчёты!E290</f>
        <v>0</v>
      </c>
      <c r="E290">
        <f>IF(Расчёты!F290=0,0,IF(Расчёты!G290=1,N('Сценарный анализ'!$B$5),IF(Расчёты!G290=2,N('Сценарный анализ'!$B$6),IF(Расчёты!G290=3,N('Сценарный анализ'!$B$7),N('Сценарный анализ'!$B$7)*(1+N('Сценарный анализ'!$B$8))^(Расчёты!G290-3)))))</f>
        <v>0</v>
      </c>
      <c r="F290">
        <f>IF(OR(Расчёты!F290=0,N('Исходные данные'!$B$5)=0,E290=0),0,N('Исходные данные'!$B$5)*E290*IF(AND(B290&lt;='Исходные данные'!$B$30,Расчёты!C290&gt;='Исходные данные'!$B$30),(Расчёты!C290-'Исходные данные'!$B$30+1)/DAY(Расчёты!C290),1))</f>
        <v>0</v>
      </c>
      <c r="G290">
        <f>IF(AND(Расчёты!F290&gt;0,Расчёты!F290&lt;=N('Исходные данные'!$B$37)),-F290,0)</f>
        <v>0</v>
      </c>
      <c r="H290">
        <f>IF(OR(Расчёты!F290=0,Расчёты!F290&lt;=N('Исходные данные'!$B$37)),0,-(F290+G290)*N('Сценарный анализ'!$B$9))</f>
        <v>0</v>
      </c>
      <c r="I290">
        <f t="shared" si="159"/>
        <v>0</v>
      </c>
      <c r="J290">
        <f>IF('Исходные данные'!$B$51="Да",I290*N('Исходные данные'!$B$52),0)</f>
        <v>0</v>
      </c>
      <c r="K290">
        <f t="shared" si="160"/>
        <v>0</v>
      </c>
      <c r="L290">
        <f>I290+(Расчёты!Y290-Расчёты!L290)</f>
        <v>0</v>
      </c>
      <c r="M290">
        <f t="shared" si="147"/>
        <v>0</v>
      </c>
      <c r="N290">
        <f>IF('Исходные данные'!$B$51="Да",-MAX(0,J290+Расчёты!R290+Расчёты!V290-Расчёты!P290-Расчёты!T290-M290),0)</f>
        <v>0</v>
      </c>
      <c r="O290">
        <f>IF('Исходные данные'!$B$51="Да",MAX(0,M290+Расчёты!P290+Расчёты!T290-J290-Расчёты!R290-Расчёты!V290),0)</f>
        <v>0</v>
      </c>
      <c r="P290">
        <f>IF('Исходные данные'!$B$53="Выручка",MAX(0,I290+(Расчёты!Q290-Расчёты!R290)+(Расчёты!U290-Расчёты!V290)),IF('Исходные данные'!$B$53="Прибыль до налога",MAX(0,I290+(Расчёты!Q290-Расчёты!R290)+(Расчёты!U290-Расчёты!V290)+N('Исходные данные'!$B$54)*((Расчёты!O290+Расчёты!P290)+(Расчёты!S290+Расчёты!T290)+Расчёты!W290+Расчёты!X290)+IF('Исходные данные'!$B$55="Да",Расчёты!AG290,0)-N('Исходные данные'!$B$56)/12),IF('Исходные данные'!$B$53="Пользовательская база",MAX(0,N('Исходные данные'!$B$57)/12),0)))</f>
        <v>0</v>
      </c>
      <c r="Q290">
        <f>IF(D290=1,-P290*N('Исходные данные'!$B$50),0)</f>
        <v>0</v>
      </c>
      <c r="R290">
        <f t="shared" si="148"/>
        <v>0</v>
      </c>
      <c r="S290">
        <f>IF(OR(D290&lt;&gt;1,B290="",'Исходные данные'!$B$91="",N('Исходные данные'!$B$80)&lt;=0,'Исходные данные'!$B$88=""),0,IF(AND(YEAR(B290)=YEAR('Исходные данные'!$B$91),MONTH(B290)=MONTH('Исходные данные'!$B$91)),MAX(0,IF('Исходные данные'!$B$88="Последние 12 месяцев",SUMIFS($L$2:$L$194,$B$2:$B$194,"&gt;="&amp;EDATE(B290,-11),$B$2:$B$194,"&lt;="&amp;B290),IF('Исходные данные'!$B$88="Пользовательский NOI",N('Исходные данные'!$B$89),R290))/N('Исходные данные'!$B$80)*(1+N('Исходные данные'!$B$81))),0))</f>
        <v>0</v>
      </c>
      <c r="T290">
        <f>-S290*N('Исходные данные'!$B$73)</f>
        <v>0</v>
      </c>
      <c r="U290">
        <f>IF(S290=0,0,-N('Исходные данные'!$B$87)-IF('Исходные данные'!$B$82="Да",IF('Исходные данные'!$B$84="С выручки",S290,IF('Исходные данные'!$B$84="С прибыли",MAX(0,S290+T290-IF('Исходные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90">
        <f t="shared" si="161"/>
        <v>0</v>
      </c>
      <c r="W290">
        <f>IF(D290=1,Расчёты!AZ290+K290+N290+Q290+V290,0)</f>
        <v>0</v>
      </c>
      <c r="X290" t="str">
        <f t="shared" si="149"/>
        <v/>
      </c>
      <c r="Y290">
        <f>IF(OR(D290=0,'Исходные данные'!$B$9="",'Исходные данные'!$B$90=""),0,W290/(1+'Исходные данные'!$B$90)^((C290-'Исходные данные'!$B$9)/365))</f>
        <v>0</v>
      </c>
      <c r="Z290">
        <f>IF(D290=1,K290+Расчёты!O290+Расчёты!Q290+Расчёты!S290+Расчёты!U290+Расчёты!W290+Расчёты!X290+N290+Q290,0)</f>
        <v>0</v>
      </c>
      <c r="AA290">
        <f>IF(AND(D290=1,X290&gt;=0,X289&lt;0,MIN($X$2:X290)&lt;0),1,0)</f>
        <v>0</v>
      </c>
      <c r="AB290">
        <f>IF(Расчёты!F290=0,0,IF(Расчёты!G290=1,N('Сценарный анализ'!$C$5),IF(Расчёты!G290=2,N('Сценарный анализ'!$C$6),IF(Расчёты!G290=3,N('Сценарный анализ'!$C$7),N('Сценарный анализ'!$C$7)*(1+N('Сценарный анализ'!$C$8))^(Расчёты!G290-3)))))</f>
        <v>0</v>
      </c>
      <c r="AC290">
        <f>IF(OR(Расчёты!F290=0,N('Исходные данные'!$B$5)=0,AB290=0),0,N('Исходные данные'!$B$5)*AB290*IF(AND(B290&lt;='Исходные данные'!$B$30,Расчёты!C290&gt;='Исходные данные'!$B$30),(Расчёты!C290-'Исходные данные'!$B$30+1)/DAY(Расчёты!C290),1))</f>
        <v>0</v>
      </c>
      <c r="AD290">
        <f>IF(AND(Расчёты!F290&gt;0,Расчёты!F290&lt;=N('Исходные данные'!$B$37)),-AC290,0)</f>
        <v>0</v>
      </c>
      <c r="AE290">
        <f>IF(OR(Расчёты!F290=0,Расчёты!F290&lt;=N('Исходные данные'!$B$37)),0,-(AC290+AD290)*N('Сценарный анализ'!$C$9))</f>
        <v>0</v>
      </c>
      <c r="AF290">
        <f t="shared" si="162"/>
        <v>0</v>
      </c>
      <c r="AG290">
        <f>IF('Исходные данные'!$B$51="Да",AF290*N('Исходные данные'!$B$52),0)</f>
        <v>0</v>
      </c>
      <c r="AH290">
        <f t="shared" si="163"/>
        <v>0</v>
      </c>
      <c r="AI290">
        <f>AF290+(Расчёты!Y290-Расчёты!L290)</f>
        <v>0</v>
      </c>
      <c r="AJ290">
        <f t="shared" si="150"/>
        <v>0</v>
      </c>
      <c r="AK290">
        <f>IF('Исходные данные'!$B$51="Да",-MAX(0,AG290+Расчёты!R290+Расчёты!V290-Расчёты!P290-Расчёты!T290-AJ290),0)</f>
        <v>0</v>
      </c>
      <c r="AL290">
        <f>IF('Исходные данные'!$B$51="Да",MAX(0,AJ290+Расчёты!P290+Расчёты!T290-AG290-Расчёты!R290-Расчёты!V290),0)</f>
        <v>0</v>
      </c>
      <c r="AM290">
        <f>IF('Исходные данные'!$B$53="Выручка",MAX(0,AF290+(Расчёты!Q290-Расчёты!R290)+(Расчёты!U290-Расчёты!V290)),IF('Исходные данные'!$B$53="Прибыль до налога",MAX(0,AF290+(Расчёты!Q290-Расчёты!R290)+(Расчёты!U290-Расчёты!V290)+N('Исходные данные'!$B$54)*((Расчёты!O290+Расчёты!P290)+(Расчёты!S290+Расчёты!T290)+Расчёты!W290+Расчёты!X290)+IF('Исходные данные'!$B$55="Да",Расчёты!AG290,0)-N('Исходные данные'!$B$56)/12),IF('Исходные данные'!$B$53="Пользовательская база",MAX(0,N('Исходные данные'!$B$57)/12),0)))</f>
        <v>0</v>
      </c>
      <c r="AN290">
        <f>IF(D290=1,-AM290*N('Исходные данные'!$B$50),0)</f>
        <v>0</v>
      </c>
      <c r="AO290">
        <f t="shared" si="151"/>
        <v>0</v>
      </c>
      <c r="AP290">
        <f>IF(OR(D290&lt;&gt;1,B290="",'Исходные данные'!$B$91="",N('Исходные данные'!$B$80)&lt;=0,'Исходные данные'!$B$88=""),0,IF(AND(YEAR(B290)=YEAR('Исходные данные'!$B$91),MONTH(B290)=MONTH('Исходные данные'!$B$91)),MAX(0,IF('Исходные данные'!$B$88="Последние 12 месяцев",SUMIFS($AI$2:$AI$194,$B$2:$B$194,"&gt;="&amp;EDATE(B290,-11),$B$2:$B$194,"&lt;="&amp;B290),IF('Исходные данные'!$B$88="Пользовательский NOI",N('Исходные данные'!$B$89),AO290))/N('Исходные данные'!$B$80)*(1+N('Исходные данные'!$B$81))),0))</f>
        <v>0</v>
      </c>
      <c r="AQ290">
        <f>-AP290*N('Исходные данные'!$B$73)</f>
        <v>0</v>
      </c>
      <c r="AR290">
        <f>IF(AP290=0,0,-N('Исходные данные'!$B$87)-IF('Исходные данные'!$B$82="Да",IF('Исходные данные'!$B$84="С выручки",AP290,IF('Исходные данные'!$B$84="С прибыли",MAX(0,AP290+AQ290-IF('Исходные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90">
        <f t="shared" si="164"/>
        <v>0</v>
      </c>
      <c r="AT290">
        <f>IF(D290=1,Расчёты!AZ290+AH290+AK290+AN290+AS290,0)</f>
        <v>0</v>
      </c>
      <c r="AU290" t="str">
        <f t="shared" si="152"/>
        <v/>
      </c>
      <c r="AV290">
        <f>IF(OR(D290=0,'Исходные данные'!$B$9="",'Исходные данные'!$B$90=""),0,AT290/(1+'Исходные данные'!$B$90)^((C290-'Исходные данные'!$B$9)/365))</f>
        <v>0</v>
      </c>
      <c r="AW290">
        <f>IF(D290=1,AH290+Расчёты!O290+Расчёты!Q290+Расчёты!S290+Расчёты!U290+Расчёты!W290+Расчёты!X290+AK290+AN290,0)</f>
        <v>0</v>
      </c>
      <c r="AX290">
        <f>IF(AND(D290=1,AU290&gt;=0,AU289&lt;0,MIN($AU$2:AU290)&lt;0),1,0)</f>
        <v>0</v>
      </c>
      <c r="AY290">
        <f>IF(Расчёты!F290=0,0,IF(Расчёты!G290=1,N('Сценарный анализ'!$D$5),IF(Расчёты!G290=2,N('Сценарный анализ'!$D$6),IF(Расчёты!G290=3,N('Сценарный анализ'!$D$7),N('Сценарный анализ'!$D$7)*(1+N('Сценарный анализ'!$D$8))^(Расчёты!G290-3)))))</f>
        <v>0</v>
      </c>
      <c r="AZ290">
        <f>IF(OR(Расчёты!F290=0,N('Исходные данные'!$B$5)=0,AY290=0),0,N('Исходные данные'!$B$5)*AY290*IF(AND(B290&lt;='Исходные данные'!$B$30,Расчёты!C290&gt;='Исходные данные'!$B$30),(Расчёты!C290-'Исходные данные'!$B$30+1)/DAY(Расчёты!C290),1))</f>
        <v>0</v>
      </c>
      <c r="BA290">
        <f>IF(AND(Расчёты!F290&gt;0,Расчёты!F290&lt;=N('Исходные данные'!$B$37)),-AZ290,0)</f>
        <v>0</v>
      </c>
      <c r="BB290">
        <f>IF(OR(Расчёты!F290=0,Расчёты!F290&lt;=N('Исходные данные'!$B$37)),0,-(AZ290+BA290)*N('Сценарный анализ'!$D$9))</f>
        <v>0</v>
      </c>
      <c r="BC290">
        <f t="shared" si="165"/>
        <v>0</v>
      </c>
      <c r="BD290">
        <f>IF('Исходные данные'!$B$51="Да",BC290*N('Исходные данные'!$B$52),0)</f>
        <v>0</v>
      </c>
      <c r="BE290">
        <f t="shared" si="166"/>
        <v>0</v>
      </c>
      <c r="BF290">
        <f>BC290+(Расчёты!Y290-Расчёты!L290)</f>
        <v>0</v>
      </c>
      <c r="BG290">
        <f t="shared" si="153"/>
        <v>0</v>
      </c>
      <c r="BH290">
        <f>IF('Исходные данные'!$B$51="Да",-MAX(0,BD290+Расчёты!R290+Расчёты!V290-Расчёты!P290-Расчёты!T290-BG290),0)</f>
        <v>0</v>
      </c>
      <c r="BI290">
        <f>IF('Исходные данные'!$B$51="Да",MAX(0,BG290+Расчёты!P290+Расчёты!T290-BD290-Расчёты!R290-Расчёты!V290),0)</f>
        <v>0</v>
      </c>
      <c r="BJ290">
        <f>IF('Исходные данные'!$B$53="Выручка",MAX(0,BC290+(Расчёты!Q290-Расчёты!R290)+(Расчёты!U290-Расчёты!V290)),IF('Исходные данные'!$B$53="Прибыль до налога",MAX(0,BC290+(Расчёты!Q290-Расчёты!R290)+(Расчёты!U290-Расчёты!V290)+N('Исходные данные'!$B$54)*((Расчёты!O290+Расчёты!P290)+(Расчёты!S290+Расчёты!T290)+Расчёты!W290+Расчёты!X290)+IF('Исходные данные'!$B$55="Да",Расчёты!AG290,0)-N('Исходные данные'!$B$56)/12),IF('Исходные данные'!$B$53="Пользовательская база",MAX(0,N('Исходные данные'!$B$57)/12),0)))</f>
        <v>0</v>
      </c>
      <c r="BK290">
        <f>IF(D290=1,-BJ290*N('Исходные данные'!$B$50),0)</f>
        <v>0</v>
      </c>
      <c r="BL290">
        <f t="shared" si="154"/>
        <v>0</v>
      </c>
      <c r="BM290">
        <f>IF(OR(D290&lt;&gt;1,B290="",'Исходные данные'!$B$91="",N('Исходные данные'!$B$80)&lt;=0,'Исходные данные'!$B$88=""),0,IF(AND(YEAR(B290)=YEAR('Исходные данные'!$B$91),MONTH(B290)=MONTH('Исходные данные'!$B$91)),MAX(0,IF('Исходные данные'!$B$88="Последние 12 месяцев",SUMIFS($BF$2:$BF$194,$B$2:$B$194,"&gt;="&amp;EDATE(B290,-11),$B$2:$B$194,"&lt;="&amp;B290),IF('Исходные данные'!$B$88="Пользовательский NOI",N('Исходные данные'!$B$89),BL290))/N('Исходные данные'!$B$80)*(1+N('Исходные данные'!$B$81))),0))</f>
        <v>0</v>
      </c>
      <c r="BN290">
        <f>-BM290*N('Исходные данные'!$B$73)</f>
        <v>0</v>
      </c>
      <c r="BO290">
        <f>IF(BM290=0,0,-N('Исходные данные'!$B$87)-IF('Исходные данные'!$B$82="Да",IF('Исходные данные'!$B$84="С выручки",BM290,IF('Исходные данные'!$B$84="С прибыли",MAX(0,BM290+BN290-IF('Исходные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90">
        <f t="shared" si="167"/>
        <v>0</v>
      </c>
      <c r="BQ290">
        <f>IF(D290=1,Расчёты!AZ290+BE290+BH290+BK290+BP290,0)</f>
        <v>0</v>
      </c>
      <c r="BR290" t="str">
        <f t="shared" si="155"/>
        <v/>
      </c>
      <c r="BS290">
        <f>IF(OR(D290=0,'Исходные данные'!$B$9="",'Исходные данные'!$B$90=""),0,BQ290/(1+'Исходные данные'!$B$90)^((C290-'Исходные данные'!$B$9)/365))</f>
        <v>0</v>
      </c>
      <c r="BT290">
        <f>IF(D290=1,BE290+Расчёты!O290+Расчёты!Q290+Расчёты!S290+Расчёты!U290+Расчёты!W290+Расчёты!X290+BH290+BK290,0)</f>
        <v>0</v>
      </c>
      <c r="BU290">
        <f>IF(AND(D290=1,BR290&gt;=0,BR289&lt;0,MIN($BR$2:BR290)&lt;0),1,0)</f>
        <v>0</v>
      </c>
      <c r="BV290">
        <f>Расчёты!AZ290+K290+N290-P290*N('Исходные данные'!$B$50)</f>
        <v>0</v>
      </c>
      <c r="BW290">
        <f t="shared" si="156"/>
        <v>0</v>
      </c>
      <c r="BX290">
        <f>IF(AND(BW290&gt;=0,BW289&lt;0,MIN($BW$2:BW290)&lt;0),1,0)</f>
        <v>0</v>
      </c>
      <c r="BY290">
        <f>Расчёты!AZ290+AH290+AK290-AM290*N('Исходные данные'!$B$50)</f>
        <v>0</v>
      </c>
      <c r="BZ290">
        <f t="shared" si="157"/>
        <v>0</v>
      </c>
      <c r="CA290">
        <f>IF(AND(BZ290&gt;=0,BZ289&lt;0,MIN($BZ$2:BZ290)&lt;0),1,0)</f>
        <v>0</v>
      </c>
      <c r="CB290">
        <f>Расчёты!AZ290+BE290+BH290-BJ290*N('Исходные данные'!$B$50)</f>
        <v>0</v>
      </c>
      <c r="CC290">
        <f t="shared" si="158"/>
        <v>0</v>
      </c>
      <c r="CD290">
        <f>IF(AND(CC290&gt;=0,CC289&lt;0,MIN($CC$2:CC290)&lt;0),1,0)</f>
        <v>0</v>
      </c>
    </row>
    <row r="291" spans="1:82" x14ac:dyDescent="0.2">
      <c r="A291">
        <f>Расчёты!A291</f>
        <v>290</v>
      </c>
      <c r="B291" t="str">
        <f>Расчёты!B291</f>
        <v/>
      </c>
      <c r="C291" t="str">
        <f>Расчёты!D291</f>
        <v/>
      </c>
      <c r="D291">
        <f>Расчёты!E291</f>
        <v>0</v>
      </c>
      <c r="E291">
        <f>IF(Расчёты!F291=0,0,IF(Расчёты!G291=1,N('Сценарный анализ'!$B$5),IF(Расчёты!G291=2,N('Сценарный анализ'!$B$6),IF(Расчёты!G291=3,N('Сценарный анализ'!$B$7),N('Сценарный анализ'!$B$7)*(1+N('Сценарный анализ'!$B$8))^(Расчёты!G291-3)))))</f>
        <v>0</v>
      </c>
      <c r="F291">
        <f>IF(OR(Расчёты!F291=0,N('Исходные данные'!$B$5)=0,E291=0),0,N('Исходные данные'!$B$5)*E291*IF(AND(B291&lt;='Исходные данные'!$B$30,Расчёты!C291&gt;='Исходные данные'!$B$30),(Расчёты!C291-'Исходные данные'!$B$30+1)/DAY(Расчёты!C291),1))</f>
        <v>0</v>
      </c>
      <c r="G291">
        <f>IF(AND(Расчёты!F291&gt;0,Расчёты!F291&lt;=N('Исходные данные'!$B$37)),-F291,0)</f>
        <v>0</v>
      </c>
      <c r="H291">
        <f>IF(OR(Расчёты!F291=0,Расчёты!F291&lt;=N('Исходные данные'!$B$37)),0,-(F291+G291)*N('Сценарный анализ'!$B$9))</f>
        <v>0</v>
      </c>
      <c r="I291">
        <f t="shared" si="159"/>
        <v>0</v>
      </c>
      <c r="J291">
        <f>IF('Исходные данные'!$B$51="Да",I291*N('Исходные данные'!$B$52),0)</f>
        <v>0</v>
      </c>
      <c r="K291">
        <f t="shared" si="160"/>
        <v>0</v>
      </c>
      <c r="L291">
        <f>I291+(Расчёты!Y291-Расчёты!L291)</f>
        <v>0</v>
      </c>
      <c r="M291">
        <f t="shared" si="147"/>
        <v>0</v>
      </c>
      <c r="N291">
        <f>IF('Исходные данные'!$B$51="Да",-MAX(0,J291+Расчёты!R291+Расчёты!V291-Расчёты!P291-Расчёты!T291-M291),0)</f>
        <v>0</v>
      </c>
      <c r="O291">
        <f>IF('Исходные данные'!$B$51="Да",MAX(0,M291+Расчёты!P291+Расчёты!T291-J291-Расчёты!R291-Расчёты!V291),0)</f>
        <v>0</v>
      </c>
      <c r="P291">
        <f>IF('Исходные данные'!$B$53="Выручка",MAX(0,I291+(Расчёты!Q291-Расчёты!R291)+(Расчёты!U291-Расчёты!V291)),IF('Исходные данные'!$B$53="Прибыль до налога",MAX(0,I291+(Расчёты!Q291-Расчёты!R291)+(Расчёты!U291-Расчёты!V291)+N('Исходные данные'!$B$54)*((Расчёты!O291+Расчёты!P291)+(Расчёты!S291+Расчёты!T291)+Расчёты!W291+Расчёты!X291)+IF('Исходные данные'!$B$55="Да",Расчёты!AG291,0)-N('Исходные данные'!$B$56)/12),IF('Исходные данные'!$B$53="Пользовательская база",MAX(0,N('Исходные данные'!$B$57)/12),0)))</f>
        <v>0</v>
      </c>
      <c r="Q291">
        <f>IF(D291=1,-P291*N('Исходные данные'!$B$50),0)</f>
        <v>0</v>
      </c>
      <c r="R291">
        <f t="shared" si="148"/>
        <v>0</v>
      </c>
      <c r="S291">
        <f>IF(OR(D291&lt;&gt;1,B291="",'Исходные данные'!$B$91="",N('Исходные данные'!$B$80)&lt;=0,'Исходные данные'!$B$88=""),0,IF(AND(YEAR(B291)=YEAR('Исходные данные'!$B$91),MONTH(B291)=MONTH('Исходные данные'!$B$91)),MAX(0,IF('Исходные данные'!$B$88="Последние 12 месяцев",SUMIFS($L$2:$L$194,$B$2:$B$194,"&gt;="&amp;EDATE(B291,-11),$B$2:$B$194,"&lt;="&amp;B291),IF('Исходные данные'!$B$88="Пользовательский NOI",N('Исходные данные'!$B$89),R291))/N('Исходные данные'!$B$80)*(1+N('Исходные данные'!$B$81))),0))</f>
        <v>0</v>
      </c>
      <c r="T291">
        <f>-S291*N('Исходные данные'!$B$73)</f>
        <v>0</v>
      </c>
      <c r="U291">
        <f>IF(S291=0,0,-N('Исходные данные'!$B$87)-IF('Исходные данные'!$B$82="Да",IF('Исходные данные'!$B$84="С выручки",S291,IF('Исходные данные'!$B$84="С прибыли",MAX(0,S291+T291-IF('Исходные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91">
        <f t="shared" si="161"/>
        <v>0</v>
      </c>
      <c r="W291">
        <f>IF(D291=1,Расчёты!AZ291+K291+N291+Q291+V291,0)</f>
        <v>0</v>
      </c>
      <c r="X291" t="str">
        <f t="shared" si="149"/>
        <v/>
      </c>
      <c r="Y291">
        <f>IF(OR(D291=0,'Исходные данные'!$B$9="",'Исходные данные'!$B$90=""),0,W291/(1+'Исходные данные'!$B$90)^((C291-'Исходные данные'!$B$9)/365))</f>
        <v>0</v>
      </c>
      <c r="Z291">
        <f>IF(D291=1,K291+Расчёты!O291+Расчёты!Q291+Расчёты!S291+Расчёты!U291+Расчёты!W291+Расчёты!X291+N291+Q291,0)</f>
        <v>0</v>
      </c>
      <c r="AA291">
        <f>IF(AND(D291=1,X291&gt;=0,X290&lt;0,MIN($X$2:X291)&lt;0),1,0)</f>
        <v>0</v>
      </c>
      <c r="AB291">
        <f>IF(Расчёты!F291=0,0,IF(Расчёты!G291=1,N('Сценарный анализ'!$C$5),IF(Расчёты!G291=2,N('Сценарный анализ'!$C$6),IF(Расчёты!G291=3,N('Сценарный анализ'!$C$7),N('Сценарный анализ'!$C$7)*(1+N('Сценарный анализ'!$C$8))^(Расчёты!G291-3)))))</f>
        <v>0</v>
      </c>
      <c r="AC291">
        <f>IF(OR(Расчёты!F291=0,N('Исходные данные'!$B$5)=0,AB291=0),0,N('Исходные данные'!$B$5)*AB291*IF(AND(B291&lt;='Исходные данные'!$B$30,Расчёты!C291&gt;='Исходные данные'!$B$30),(Расчёты!C291-'Исходные данные'!$B$30+1)/DAY(Расчёты!C291),1))</f>
        <v>0</v>
      </c>
      <c r="AD291">
        <f>IF(AND(Расчёты!F291&gt;0,Расчёты!F291&lt;=N('Исходные данные'!$B$37)),-AC291,0)</f>
        <v>0</v>
      </c>
      <c r="AE291">
        <f>IF(OR(Расчёты!F291=0,Расчёты!F291&lt;=N('Исходные данные'!$B$37)),0,-(AC291+AD291)*N('Сценарный анализ'!$C$9))</f>
        <v>0</v>
      </c>
      <c r="AF291">
        <f t="shared" si="162"/>
        <v>0</v>
      </c>
      <c r="AG291">
        <f>IF('Исходные данные'!$B$51="Да",AF291*N('Исходные данные'!$B$52),0)</f>
        <v>0</v>
      </c>
      <c r="AH291">
        <f t="shared" si="163"/>
        <v>0</v>
      </c>
      <c r="AI291">
        <f>AF291+(Расчёты!Y291-Расчёты!L291)</f>
        <v>0</v>
      </c>
      <c r="AJ291">
        <f t="shared" si="150"/>
        <v>0</v>
      </c>
      <c r="AK291">
        <f>IF('Исходные данные'!$B$51="Да",-MAX(0,AG291+Расчёты!R291+Расчёты!V291-Расчёты!P291-Расчёты!T291-AJ291),0)</f>
        <v>0</v>
      </c>
      <c r="AL291">
        <f>IF('Исходные данные'!$B$51="Да",MAX(0,AJ291+Расчёты!P291+Расчёты!T291-AG291-Расчёты!R291-Расчёты!V291),0)</f>
        <v>0</v>
      </c>
      <c r="AM291">
        <f>IF('Исходные данные'!$B$53="Выручка",MAX(0,AF291+(Расчёты!Q291-Расчёты!R291)+(Расчёты!U291-Расчёты!V291)),IF('Исходные данные'!$B$53="Прибыль до налога",MAX(0,AF291+(Расчёты!Q291-Расчёты!R291)+(Расчёты!U291-Расчёты!V291)+N('Исходные данные'!$B$54)*((Расчёты!O291+Расчёты!P291)+(Расчёты!S291+Расчёты!T291)+Расчёты!W291+Расчёты!X291)+IF('Исходные данные'!$B$55="Да",Расчёты!AG291,0)-N('Исходные данные'!$B$56)/12),IF('Исходные данные'!$B$53="Пользовательская база",MAX(0,N('Исходные данные'!$B$57)/12),0)))</f>
        <v>0</v>
      </c>
      <c r="AN291">
        <f>IF(D291=1,-AM291*N('Исходные данные'!$B$50),0)</f>
        <v>0</v>
      </c>
      <c r="AO291">
        <f t="shared" si="151"/>
        <v>0</v>
      </c>
      <c r="AP291">
        <f>IF(OR(D291&lt;&gt;1,B291="",'Исходные данные'!$B$91="",N('Исходные данные'!$B$80)&lt;=0,'Исходные данные'!$B$88=""),0,IF(AND(YEAR(B291)=YEAR('Исходные данные'!$B$91),MONTH(B291)=MONTH('Исходные данные'!$B$91)),MAX(0,IF('Исходные данные'!$B$88="Последние 12 месяцев",SUMIFS($AI$2:$AI$194,$B$2:$B$194,"&gt;="&amp;EDATE(B291,-11),$B$2:$B$194,"&lt;="&amp;B291),IF('Исходные данные'!$B$88="Пользовательский NOI",N('Исходные данные'!$B$89),AO291))/N('Исходные данные'!$B$80)*(1+N('Исходные данные'!$B$81))),0))</f>
        <v>0</v>
      </c>
      <c r="AQ291">
        <f>-AP291*N('Исходные данные'!$B$73)</f>
        <v>0</v>
      </c>
      <c r="AR291">
        <f>IF(AP291=0,0,-N('Исходные данные'!$B$87)-IF('Исходные данные'!$B$82="Да",IF('Исходные данные'!$B$84="С выручки",AP291,IF('Исходные данные'!$B$84="С прибыли",MAX(0,AP291+AQ291-IF('Исходные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91">
        <f t="shared" si="164"/>
        <v>0</v>
      </c>
      <c r="AT291">
        <f>IF(D291=1,Расчёты!AZ291+AH291+AK291+AN291+AS291,0)</f>
        <v>0</v>
      </c>
      <c r="AU291" t="str">
        <f t="shared" si="152"/>
        <v/>
      </c>
      <c r="AV291">
        <f>IF(OR(D291=0,'Исходные данные'!$B$9="",'Исходные данные'!$B$90=""),0,AT291/(1+'Исходные данные'!$B$90)^((C291-'Исходные данные'!$B$9)/365))</f>
        <v>0</v>
      </c>
      <c r="AW291">
        <f>IF(D291=1,AH291+Расчёты!O291+Расчёты!Q291+Расчёты!S291+Расчёты!U291+Расчёты!W291+Расчёты!X291+AK291+AN291,0)</f>
        <v>0</v>
      </c>
      <c r="AX291">
        <f>IF(AND(D291=1,AU291&gt;=0,AU290&lt;0,MIN($AU$2:AU291)&lt;0),1,0)</f>
        <v>0</v>
      </c>
      <c r="AY291">
        <f>IF(Расчёты!F291=0,0,IF(Расчёты!G291=1,N('Сценарный анализ'!$D$5),IF(Расчёты!G291=2,N('Сценарный анализ'!$D$6),IF(Расчёты!G291=3,N('Сценарный анализ'!$D$7),N('Сценарный анализ'!$D$7)*(1+N('Сценарный анализ'!$D$8))^(Расчёты!G291-3)))))</f>
        <v>0</v>
      </c>
      <c r="AZ291">
        <f>IF(OR(Расчёты!F291=0,N('Исходные данные'!$B$5)=0,AY291=0),0,N('Исходные данные'!$B$5)*AY291*IF(AND(B291&lt;='Исходные данные'!$B$30,Расчёты!C291&gt;='Исходные данные'!$B$30),(Расчёты!C291-'Исходные данные'!$B$30+1)/DAY(Расчёты!C291),1))</f>
        <v>0</v>
      </c>
      <c r="BA291">
        <f>IF(AND(Расчёты!F291&gt;0,Расчёты!F291&lt;=N('Исходные данные'!$B$37)),-AZ291,0)</f>
        <v>0</v>
      </c>
      <c r="BB291">
        <f>IF(OR(Расчёты!F291=0,Расчёты!F291&lt;=N('Исходные данные'!$B$37)),0,-(AZ291+BA291)*N('Сценарный анализ'!$D$9))</f>
        <v>0</v>
      </c>
      <c r="BC291">
        <f t="shared" si="165"/>
        <v>0</v>
      </c>
      <c r="BD291">
        <f>IF('Исходные данные'!$B$51="Да",BC291*N('Исходные данные'!$B$52),0)</f>
        <v>0</v>
      </c>
      <c r="BE291">
        <f t="shared" si="166"/>
        <v>0</v>
      </c>
      <c r="BF291">
        <f>BC291+(Расчёты!Y291-Расчёты!L291)</f>
        <v>0</v>
      </c>
      <c r="BG291">
        <f t="shared" si="153"/>
        <v>0</v>
      </c>
      <c r="BH291">
        <f>IF('Исходные данные'!$B$51="Да",-MAX(0,BD291+Расчёты!R291+Расчёты!V291-Расчёты!P291-Расчёты!T291-BG291),0)</f>
        <v>0</v>
      </c>
      <c r="BI291">
        <f>IF('Исходные данные'!$B$51="Да",MAX(0,BG291+Расчёты!P291+Расчёты!T291-BD291-Расчёты!R291-Расчёты!V291),0)</f>
        <v>0</v>
      </c>
      <c r="BJ291">
        <f>IF('Исходные данные'!$B$53="Выручка",MAX(0,BC291+(Расчёты!Q291-Расчёты!R291)+(Расчёты!U291-Расчёты!V291)),IF('Исходные данные'!$B$53="Прибыль до налога",MAX(0,BC291+(Расчёты!Q291-Расчёты!R291)+(Расчёты!U291-Расчёты!V291)+N('Исходные данные'!$B$54)*((Расчёты!O291+Расчёты!P291)+(Расчёты!S291+Расчёты!T291)+Расчёты!W291+Расчёты!X291)+IF('Исходные данные'!$B$55="Да",Расчёты!AG291,0)-N('Исходные данные'!$B$56)/12),IF('Исходные данные'!$B$53="Пользовательская база",MAX(0,N('Исходные данные'!$B$57)/12),0)))</f>
        <v>0</v>
      </c>
      <c r="BK291">
        <f>IF(D291=1,-BJ291*N('Исходные данные'!$B$50),0)</f>
        <v>0</v>
      </c>
      <c r="BL291">
        <f t="shared" si="154"/>
        <v>0</v>
      </c>
      <c r="BM291">
        <f>IF(OR(D291&lt;&gt;1,B291="",'Исходные данные'!$B$91="",N('Исходные данные'!$B$80)&lt;=0,'Исходные данные'!$B$88=""),0,IF(AND(YEAR(B291)=YEAR('Исходные данные'!$B$91),MONTH(B291)=MONTH('Исходные данные'!$B$91)),MAX(0,IF('Исходные данные'!$B$88="Последние 12 месяцев",SUMIFS($BF$2:$BF$194,$B$2:$B$194,"&gt;="&amp;EDATE(B291,-11),$B$2:$B$194,"&lt;="&amp;B291),IF('Исходные данные'!$B$88="Пользовательский NOI",N('Исходные данные'!$B$89),BL291))/N('Исходные данные'!$B$80)*(1+N('Исходные данные'!$B$81))),0))</f>
        <v>0</v>
      </c>
      <c r="BN291">
        <f>-BM291*N('Исходные данные'!$B$73)</f>
        <v>0</v>
      </c>
      <c r="BO291">
        <f>IF(BM291=0,0,-N('Исходные данные'!$B$87)-IF('Исходные данные'!$B$82="Да",IF('Исходные данные'!$B$84="С выручки",BM291,IF('Исходные данные'!$B$84="С прибыли",MAX(0,BM291+BN291-IF('Исходные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91">
        <f t="shared" si="167"/>
        <v>0</v>
      </c>
      <c r="BQ291">
        <f>IF(D291=1,Расчёты!AZ291+BE291+BH291+BK291+BP291,0)</f>
        <v>0</v>
      </c>
      <c r="BR291" t="str">
        <f t="shared" si="155"/>
        <v/>
      </c>
      <c r="BS291">
        <f>IF(OR(D291=0,'Исходные данные'!$B$9="",'Исходные данные'!$B$90=""),0,BQ291/(1+'Исходные данные'!$B$90)^((C291-'Исходные данные'!$B$9)/365))</f>
        <v>0</v>
      </c>
      <c r="BT291">
        <f>IF(D291=1,BE291+Расчёты!O291+Расчёты!Q291+Расчёты!S291+Расчёты!U291+Расчёты!W291+Расчёты!X291+BH291+BK291,0)</f>
        <v>0</v>
      </c>
      <c r="BU291">
        <f>IF(AND(D291=1,BR291&gt;=0,BR290&lt;0,MIN($BR$2:BR291)&lt;0),1,0)</f>
        <v>0</v>
      </c>
      <c r="BV291">
        <f>Расчёты!AZ291+K291+N291-P291*N('Исходные данные'!$B$50)</f>
        <v>0</v>
      </c>
      <c r="BW291">
        <f t="shared" si="156"/>
        <v>0</v>
      </c>
      <c r="BX291">
        <f>IF(AND(BW291&gt;=0,BW290&lt;0,MIN($BW$2:BW291)&lt;0),1,0)</f>
        <v>0</v>
      </c>
      <c r="BY291">
        <f>Расчёты!AZ291+AH291+AK291-AM291*N('Исходные данные'!$B$50)</f>
        <v>0</v>
      </c>
      <c r="BZ291">
        <f t="shared" si="157"/>
        <v>0</v>
      </c>
      <c r="CA291">
        <f>IF(AND(BZ291&gt;=0,BZ290&lt;0,MIN($BZ$2:BZ291)&lt;0),1,0)</f>
        <v>0</v>
      </c>
      <c r="CB291">
        <f>Расчёты!AZ291+BE291+BH291-BJ291*N('Исходные данные'!$B$50)</f>
        <v>0</v>
      </c>
      <c r="CC291">
        <f t="shared" si="158"/>
        <v>0</v>
      </c>
      <c r="CD291">
        <f>IF(AND(CC291&gt;=0,CC290&lt;0,MIN($CC$2:CC291)&lt;0),1,0)</f>
        <v>0</v>
      </c>
    </row>
    <row r="292" spans="1:82" x14ac:dyDescent="0.2">
      <c r="A292">
        <f>Расчёты!A292</f>
        <v>291</v>
      </c>
      <c r="B292" t="str">
        <f>Расчёты!B292</f>
        <v/>
      </c>
      <c r="C292" t="str">
        <f>Расчёты!D292</f>
        <v/>
      </c>
      <c r="D292">
        <f>Расчёты!E292</f>
        <v>0</v>
      </c>
      <c r="E292">
        <f>IF(Расчёты!F292=0,0,IF(Расчёты!G292=1,N('Сценарный анализ'!$B$5),IF(Расчёты!G292=2,N('Сценарный анализ'!$B$6),IF(Расчёты!G292=3,N('Сценарный анализ'!$B$7),N('Сценарный анализ'!$B$7)*(1+N('Сценарный анализ'!$B$8))^(Расчёты!G292-3)))))</f>
        <v>0</v>
      </c>
      <c r="F292">
        <f>IF(OR(Расчёты!F292=0,N('Исходные данные'!$B$5)=0,E292=0),0,N('Исходные данные'!$B$5)*E292*IF(AND(B292&lt;='Исходные данные'!$B$30,Расчёты!C292&gt;='Исходные данные'!$B$30),(Расчёты!C292-'Исходные данные'!$B$30+1)/DAY(Расчёты!C292),1))</f>
        <v>0</v>
      </c>
      <c r="G292">
        <f>IF(AND(Расчёты!F292&gt;0,Расчёты!F292&lt;=N('Исходные данные'!$B$37)),-F292,0)</f>
        <v>0</v>
      </c>
      <c r="H292">
        <f>IF(OR(Расчёты!F292=0,Расчёты!F292&lt;=N('Исходные данные'!$B$37)),0,-(F292+G292)*N('Сценарный анализ'!$B$9))</f>
        <v>0</v>
      </c>
      <c r="I292">
        <f t="shared" si="159"/>
        <v>0</v>
      </c>
      <c r="J292">
        <f>IF('Исходные данные'!$B$51="Да",I292*N('Исходные данные'!$B$52),0)</f>
        <v>0</v>
      </c>
      <c r="K292">
        <f t="shared" si="160"/>
        <v>0</v>
      </c>
      <c r="L292">
        <f>I292+(Расчёты!Y292-Расчёты!L292)</f>
        <v>0</v>
      </c>
      <c r="M292">
        <f t="shared" si="147"/>
        <v>0</v>
      </c>
      <c r="N292">
        <f>IF('Исходные данные'!$B$51="Да",-MAX(0,J292+Расчёты!R292+Расчёты!V292-Расчёты!P292-Расчёты!T292-M292),0)</f>
        <v>0</v>
      </c>
      <c r="O292">
        <f>IF('Исходные данные'!$B$51="Да",MAX(0,M292+Расчёты!P292+Расчёты!T292-J292-Расчёты!R292-Расчёты!V292),0)</f>
        <v>0</v>
      </c>
      <c r="P292">
        <f>IF('Исходные данные'!$B$53="Выручка",MAX(0,I292+(Расчёты!Q292-Расчёты!R292)+(Расчёты!U292-Расчёты!V292)),IF('Исходные данные'!$B$53="Прибыль до налога",MAX(0,I292+(Расчёты!Q292-Расчёты!R292)+(Расчёты!U292-Расчёты!V292)+N('Исходные данные'!$B$54)*((Расчёты!O292+Расчёты!P292)+(Расчёты!S292+Расчёты!T292)+Расчёты!W292+Расчёты!X292)+IF('Исходные данные'!$B$55="Да",Расчёты!AG292,0)-N('Исходные данные'!$B$56)/12),IF('Исходные данные'!$B$53="Пользовательская база",MAX(0,N('Исходные данные'!$B$57)/12),0)))</f>
        <v>0</v>
      </c>
      <c r="Q292">
        <f>IF(D292=1,-P292*N('Исходные данные'!$B$50),0)</f>
        <v>0</v>
      </c>
      <c r="R292">
        <f t="shared" si="148"/>
        <v>0</v>
      </c>
      <c r="S292">
        <f>IF(OR(D292&lt;&gt;1,B292="",'Исходные данные'!$B$91="",N('Исходные данные'!$B$80)&lt;=0,'Исходные данные'!$B$88=""),0,IF(AND(YEAR(B292)=YEAR('Исходные данные'!$B$91),MONTH(B292)=MONTH('Исходные данные'!$B$91)),MAX(0,IF('Исходные данные'!$B$88="Последние 12 месяцев",SUMIFS($L$2:$L$194,$B$2:$B$194,"&gt;="&amp;EDATE(B292,-11),$B$2:$B$194,"&lt;="&amp;B292),IF('Исходные данные'!$B$88="Пользовательский NOI",N('Исходные данные'!$B$89),R292))/N('Исходные данные'!$B$80)*(1+N('Исходные данные'!$B$81))),0))</f>
        <v>0</v>
      </c>
      <c r="T292">
        <f>-S292*N('Исходные данные'!$B$73)</f>
        <v>0</v>
      </c>
      <c r="U292">
        <f>IF(S292=0,0,-N('Исходные данные'!$B$87)-IF('Исходные данные'!$B$82="Да",IF('Исходные данные'!$B$84="С выручки",S292,IF('Исходные данные'!$B$84="С прибыли",MAX(0,S292+T292-IF('Исходные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92">
        <f t="shared" si="161"/>
        <v>0</v>
      </c>
      <c r="W292">
        <f>IF(D292=1,Расчёты!AZ292+K292+N292+Q292+V292,0)</f>
        <v>0</v>
      </c>
      <c r="X292" t="str">
        <f t="shared" si="149"/>
        <v/>
      </c>
      <c r="Y292">
        <f>IF(OR(D292=0,'Исходные данные'!$B$9="",'Исходные данные'!$B$90=""),0,W292/(1+'Исходные данные'!$B$90)^((C292-'Исходные данные'!$B$9)/365))</f>
        <v>0</v>
      </c>
      <c r="Z292">
        <f>IF(D292=1,K292+Расчёты!O292+Расчёты!Q292+Расчёты!S292+Расчёты!U292+Расчёты!W292+Расчёты!X292+N292+Q292,0)</f>
        <v>0</v>
      </c>
      <c r="AA292">
        <f>IF(AND(D292=1,X292&gt;=0,X291&lt;0,MIN($X$2:X292)&lt;0),1,0)</f>
        <v>0</v>
      </c>
      <c r="AB292">
        <f>IF(Расчёты!F292=0,0,IF(Расчёты!G292=1,N('Сценарный анализ'!$C$5),IF(Расчёты!G292=2,N('Сценарный анализ'!$C$6),IF(Расчёты!G292=3,N('Сценарный анализ'!$C$7),N('Сценарный анализ'!$C$7)*(1+N('Сценарный анализ'!$C$8))^(Расчёты!G292-3)))))</f>
        <v>0</v>
      </c>
      <c r="AC292">
        <f>IF(OR(Расчёты!F292=0,N('Исходные данные'!$B$5)=0,AB292=0),0,N('Исходные данные'!$B$5)*AB292*IF(AND(B292&lt;='Исходные данные'!$B$30,Расчёты!C292&gt;='Исходные данные'!$B$30),(Расчёты!C292-'Исходные данные'!$B$30+1)/DAY(Расчёты!C292),1))</f>
        <v>0</v>
      </c>
      <c r="AD292">
        <f>IF(AND(Расчёты!F292&gt;0,Расчёты!F292&lt;=N('Исходные данные'!$B$37)),-AC292,0)</f>
        <v>0</v>
      </c>
      <c r="AE292">
        <f>IF(OR(Расчёты!F292=0,Расчёты!F292&lt;=N('Исходные данные'!$B$37)),0,-(AC292+AD292)*N('Сценарный анализ'!$C$9))</f>
        <v>0</v>
      </c>
      <c r="AF292">
        <f t="shared" si="162"/>
        <v>0</v>
      </c>
      <c r="AG292">
        <f>IF('Исходные данные'!$B$51="Да",AF292*N('Исходные данные'!$B$52),0)</f>
        <v>0</v>
      </c>
      <c r="AH292">
        <f t="shared" si="163"/>
        <v>0</v>
      </c>
      <c r="AI292">
        <f>AF292+(Расчёты!Y292-Расчёты!L292)</f>
        <v>0</v>
      </c>
      <c r="AJ292">
        <f t="shared" si="150"/>
        <v>0</v>
      </c>
      <c r="AK292">
        <f>IF('Исходные данные'!$B$51="Да",-MAX(0,AG292+Расчёты!R292+Расчёты!V292-Расчёты!P292-Расчёты!T292-AJ292),0)</f>
        <v>0</v>
      </c>
      <c r="AL292">
        <f>IF('Исходные данные'!$B$51="Да",MAX(0,AJ292+Расчёты!P292+Расчёты!T292-AG292-Расчёты!R292-Расчёты!V292),0)</f>
        <v>0</v>
      </c>
      <c r="AM292">
        <f>IF('Исходные данные'!$B$53="Выручка",MAX(0,AF292+(Расчёты!Q292-Расчёты!R292)+(Расчёты!U292-Расчёты!V292)),IF('Исходные данные'!$B$53="Прибыль до налога",MAX(0,AF292+(Расчёты!Q292-Расчёты!R292)+(Расчёты!U292-Расчёты!V292)+N('Исходные данные'!$B$54)*((Расчёты!O292+Расчёты!P292)+(Расчёты!S292+Расчёты!T292)+Расчёты!W292+Расчёты!X292)+IF('Исходные данные'!$B$55="Да",Расчёты!AG292,0)-N('Исходные данные'!$B$56)/12),IF('Исходные данные'!$B$53="Пользовательская база",MAX(0,N('Исходные данные'!$B$57)/12),0)))</f>
        <v>0</v>
      </c>
      <c r="AN292">
        <f>IF(D292=1,-AM292*N('Исходные данные'!$B$50),0)</f>
        <v>0</v>
      </c>
      <c r="AO292">
        <f t="shared" si="151"/>
        <v>0</v>
      </c>
      <c r="AP292">
        <f>IF(OR(D292&lt;&gt;1,B292="",'Исходные данные'!$B$91="",N('Исходные данные'!$B$80)&lt;=0,'Исходные данные'!$B$88=""),0,IF(AND(YEAR(B292)=YEAR('Исходные данные'!$B$91),MONTH(B292)=MONTH('Исходные данные'!$B$91)),MAX(0,IF('Исходные данные'!$B$88="Последние 12 месяцев",SUMIFS($AI$2:$AI$194,$B$2:$B$194,"&gt;="&amp;EDATE(B292,-11),$B$2:$B$194,"&lt;="&amp;B292),IF('Исходные данные'!$B$88="Пользовательский NOI",N('Исходные данные'!$B$89),AO292))/N('Исходные данные'!$B$80)*(1+N('Исходные данные'!$B$81))),0))</f>
        <v>0</v>
      </c>
      <c r="AQ292">
        <f>-AP292*N('Исходные данные'!$B$73)</f>
        <v>0</v>
      </c>
      <c r="AR292">
        <f>IF(AP292=0,0,-N('Исходные данные'!$B$87)-IF('Исходные данные'!$B$82="Да",IF('Исходные данные'!$B$84="С выручки",AP292,IF('Исходные данные'!$B$84="С прибыли",MAX(0,AP292+AQ292-IF('Исходные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92">
        <f t="shared" si="164"/>
        <v>0</v>
      </c>
      <c r="AT292">
        <f>IF(D292=1,Расчёты!AZ292+AH292+AK292+AN292+AS292,0)</f>
        <v>0</v>
      </c>
      <c r="AU292" t="str">
        <f t="shared" si="152"/>
        <v/>
      </c>
      <c r="AV292">
        <f>IF(OR(D292=0,'Исходные данные'!$B$9="",'Исходные данные'!$B$90=""),0,AT292/(1+'Исходные данные'!$B$90)^((C292-'Исходные данные'!$B$9)/365))</f>
        <v>0</v>
      </c>
      <c r="AW292">
        <f>IF(D292=1,AH292+Расчёты!O292+Расчёты!Q292+Расчёты!S292+Расчёты!U292+Расчёты!W292+Расчёты!X292+AK292+AN292,0)</f>
        <v>0</v>
      </c>
      <c r="AX292">
        <f>IF(AND(D292=1,AU292&gt;=0,AU291&lt;0,MIN($AU$2:AU292)&lt;0),1,0)</f>
        <v>0</v>
      </c>
      <c r="AY292">
        <f>IF(Расчёты!F292=0,0,IF(Расчёты!G292=1,N('Сценарный анализ'!$D$5),IF(Расчёты!G292=2,N('Сценарный анализ'!$D$6),IF(Расчёты!G292=3,N('Сценарный анализ'!$D$7),N('Сценарный анализ'!$D$7)*(1+N('Сценарный анализ'!$D$8))^(Расчёты!G292-3)))))</f>
        <v>0</v>
      </c>
      <c r="AZ292">
        <f>IF(OR(Расчёты!F292=0,N('Исходные данные'!$B$5)=0,AY292=0),0,N('Исходные данные'!$B$5)*AY292*IF(AND(B292&lt;='Исходные данные'!$B$30,Расчёты!C292&gt;='Исходные данные'!$B$30),(Расчёты!C292-'Исходные данные'!$B$30+1)/DAY(Расчёты!C292),1))</f>
        <v>0</v>
      </c>
      <c r="BA292">
        <f>IF(AND(Расчёты!F292&gt;0,Расчёты!F292&lt;=N('Исходные данные'!$B$37)),-AZ292,0)</f>
        <v>0</v>
      </c>
      <c r="BB292">
        <f>IF(OR(Расчёты!F292=0,Расчёты!F292&lt;=N('Исходные данные'!$B$37)),0,-(AZ292+BA292)*N('Сценарный анализ'!$D$9))</f>
        <v>0</v>
      </c>
      <c r="BC292">
        <f t="shared" si="165"/>
        <v>0</v>
      </c>
      <c r="BD292">
        <f>IF('Исходные данные'!$B$51="Да",BC292*N('Исходные данные'!$B$52),0)</f>
        <v>0</v>
      </c>
      <c r="BE292">
        <f t="shared" si="166"/>
        <v>0</v>
      </c>
      <c r="BF292">
        <f>BC292+(Расчёты!Y292-Расчёты!L292)</f>
        <v>0</v>
      </c>
      <c r="BG292">
        <f t="shared" si="153"/>
        <v>0</v>
      </c>
      <c r="BH292">
        <f>IF('Исходные данные'!$B$51="Да",-MAX(0,BD292+Расчёты!R292+Расчёты!V292-Расчёты!P292-Расчёты!T292-BG292),0)</f>
        <v>0</v>
      </c>
      <c r="BI292">
        <f>IF('Исходные данные'!$B$51="Да",MAX(0,BG292+Расчёты!P292+Расчёты!T292-BD292-Расчёты!R292-Расчёты!V292),0)</f>
        <v>0</v>
      </c>
      <c r="BJ292">
        <f>IF('Исходные данные'!$B$53="Выручка",MAX(0,BC292+(Расчёты!Q292-Расчёты!R292)+(Расчёты!U292-Расчёты!V292)),IF('Исходные данные'!$B$53="Прибыль до налога",MAX(0,BC292+(Расчёты!Q292-Расчёты!R292)+(Расчёты!U292-Расчёты!V292)+N('Исходные данные'!$B$54)*((Расчёты!O292+Расчёты!P292)+(Расчёты!S292+Расчёты!T292)+Расчёты!W292+Расчёты!X292)+IF('Исходные данные'!$B$55="Да",Расчёты!AG292,0)-N('Исходные данные'!$B$56)/12),IF('Исходные данные'!$B$53="Пользовательская база",MAX(0,N('Исходные данные'!$B$57)/12),0)))</f>
        <v>0</v>
      </c>
      <c r="BK292">
        <f>IF(D292=1,-BJ292*N('Исходные данные'!$B$50),0)</f>
        <v>0</v>
      </c>
      <c r="BL292">
        <f t="shared" si="154"/>
        <v>0</v>
      </c>
      <c r="BM292">
        <f>IF(OR(D292&lt;&gt;1,B292="",'Исходные данные'!$B$91="",N('Исходные данные'!$B$80)&lt;=0,'Исходные данные'!$B$88=""),0,IF(AND(YEAR(B292)=YEAR('Исходные данные'!$B$91),MONTH(B292)=MONTH('Исходные данные'!$B$91)),MAX(0,IF('Исходные данные'!$B$88="Последние 12 месяцев",SUMIFS($BF$2:$BF$194,$B$2:$B$194,"&gt;="&amp;EDATE(B292,-11),$B$2:$B$194,"&lt;="&amp;B292),IF('Исходные данные'!$B$88="Пользовательский NOI",N('Исходные данные'!$B$89),BL292))/N('Исходные данные'!$B$80)*(1+N('Исходные данные'!$B$81))),0))</f>
        <v>0</v>
      </c>
      <c r="BN292">
        <f>-BM292*N('Исходные данные'!$B$73)</f>
        <v>0</v>
      </c>
      <c r="BO292">
        <f>IF(BM292=0,0,-N('Исходные данные'!$B$87)-IF('Исходные данные'!$B$82="Да",IF('Исходные данные'!$B$84="С выручки",BM292,IF('Исходные данные'!$B$84="С прибыли",MAX(0,BM292+BN292-IF('Исходные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92">
        <f t="shared" si="167"/>
        <v>0</v>
      </c>
      <c r="BQ292">
        <f>IF(D292=1,Расчёты!AZ292+BE292+BH292+BK292+BP292,0)</f>
        <v>0</v>
      </c>
      <c r="BR292" t="str">
        <f t="shared" si="155"/>
        <v/>
      </c>
      <c r="BS292">
        <f>IF(OR(D292=0,'Исходные данные'!$B$9="",'Исходные данные'!$B$90=""),0,BQ292/(1+'Исходные данные'!$B$90)^((C292-'Исходные данные'!$B$9)/365))</f>
        <v>0</v>
      </c>
      <c r="BT292">
        <f>IF(D292=1,BE292+Расчёты!O292+Расчёты!Q292+Расчёты!S292+Расчёты!U292+Расчёты!W292+Расчёты!X292+BH292+BK292,0)</f>
        <v>0</v>
      </c>
      <c r="BU292">
        <f>IF(AND(D292=1,BR292&gt;=0,BR291&lt;0,MIN($BR$2:BR292)&lt;0),1,0)</f>
        <v>0</v>
      </c>
      <c r="BV292">
        <f>Расчёты!AZ292+K292+N292-P292*N('Исходные данные'!$B$50)</f>
        <v>0</v>
      </c>
      <c r="BW292">
        <f t="shared" si="156"/>
        <v>0</v>
      </c>
      <c r="BX292">
        <f>IF(AND(BW292&gt;=0,BW291&lt;0,MIN($BW$2:BW292)&lt;0),1,0)</f>
        <v>0</v>
      </c>
      <c r="BY292">
        <f>Расчёты!AZ292+AH292+AK292-AM292*N('Исходные данные'!$B$50)</f>
        <v>0</v>
      </c>
      <c r="BZ292">
        <f t="shared" si="157"/>
        <v>0</v>
      </c>
      <c r="CA292">
        <f>IF(AND(BZ292&gt;=0,BZ291&lt;0,MIN($BZ$2:BZ292)&lt;0),1,0)</f>
        <v>0</v>
      </c>
      <c r="CB292">
        <f>Расчёты!AZ292+BE292+BH292-BJ292*N('Исходные данные'!$B$50)</f>
        <v>0</v>
      </c>
      <c r="CC292">
        <f t="shared" si="158"/>
        <v>0</v>
      </c>
      <c r="CD292">
        <f>IF(AND(CC292&gt;=0,CC291&lt;0,MIN($CC$2:CC292)&lt;0),1,0)</f>
        <v>0</v>
      </c>
    </row>
    <row r="293" spans="1:82" x14ac:dyDescent="0.2">
      <c r="A293">
        <f>Расчёты!A293</f>
        <v>292</v>
      </c>
      <c r="B293" t="str">
        <f>Расчёты!B293</f>
        <v/>
      </c>
      <c r="C293" t="str">
        <f>Расчёты!D293</f>
        <v/>
      </c>
      <c r="D293">
        <f>Расчёты!E293</f>
        <v>0</v>
      </c>
      <c r="E293">
        <f>IF(Расчёты!F293=0,0,IF(Расчёты!G293=1,N('Сценарный анализ'!$B$5),IF(Расчёты!G293=2,N('Сценарный анализ'!$B$6),IF(Расчёты!G293=3,N('Сценарный анализ'!$B$7),N('Сценарный анализ'!$B$7)*(1+N('Сценарный анализ'!$B$8))^(Расчёты!G293-3)))))</f>
        <v>0</v>
      </c>
      <c r="F293">
        <f>IF(OR(Расчёты!F293=0,N('Исходные данные'!$B$5)=0,E293=0),0,N('Исходные данные'!$B$5)*E293*IF(AND(B293&lt;='Исходные данные'!$B$30,Расчёты!C293&gt;='Исходные данные'!$B$30),(Расчёты!C293-'Исходные данные'!$B$30+1)/DAY(Расчёты!C293),1))</f>
        <v>0</v>
      </c>
      <c r="G293">
        <f>IF(AND(Расчёты!F293&gt;0,Расчёты!F293&lt;=N('Исходные данные'!$B$37)),-F293,0)</f>
        <v>0</v>
      </c>
      <c r="H293">
        <f>IF(OR(Расчёты!F293=0,Расчёты!F293&lt;=N('Исходные данные'!$B$37)),0,-(F293+G293)*N('Сценарный анализ'!$B$9))</f>
        <v>0</v>
      </c>
      <c r="I293">
        <f t="shared" si="159"/>
        <v>0</v>
      </c>
      <c r="J293">
        <f>IF('Исходные данные'!$B$51="Да",I293*N('Исходные данные'!$B$52),0)</f>
        <v>0</v>
      </c>
      <c r="K293">
        <f t="shared" si="160"/>
        <v>0</v>
      </c>
      <c r="L293">
        <f>I293+(Расчёты!Y293-Расчёты!L293)</f>
        <v>0</v>
      </c>
      <c r="M293">
        <f t="shared" si="147"/>
        <v>0</v>
      </c>
      <c r="N293">
        <f>IF('Исходные данные'!$B$51="Да",-MAX(0,J293+Расчёты!R293+Расчёты!V293-Расчёты!P293-Расчёты!T293-M293),0)</f>
        <v>0</v>
      </c>
      <c r="O293">
        <f>IF('Исходные данные'!$B$51="Да",MAX(0,M293+Расчёты!P293+Расчёты!T293-J293-Расчёты!R293-Расчёты!V293),0)</f>
        <v>0</v>
      </c>
      <c r="P293">
        <f>IF('Исходные данные'!$B$53="Выручка",MAX(0,I293+(Расчёты!Q293-Расчёты!R293)+(Расчёты!U293-Расчёты!V293)),IF('Исходные данные'!$B$53="Прибыль до налога",MAX(0,I293+(Расчёты!Q293-Расчёты!R293)+(Расчёты!U293-Расчёты!V293)+N('Исходные данные'!$B$54)*((Расчёты!O293+Расчёты!P293)+(Расчёты!S293+Расчёты!T293)+Расчёты!W293+Расчёты!X293)+IF('Исходные данные'!$B$55="Да",Расчёты!AG293,0)-N('Исходные данные'!$B$56)/12),IF('Исходные данные'!$B$53="Пользовательская база",MAX(0,N('Исходные данные'!$B$57)/12),0)))</f>
        <v>0</v>
      </c>
      <c r="Q293">
        <f>IF(D293=1,-P293*N('Исходные данные'!$B$50),0)</f>
        <v>0</v>
      </c>
      <c r="R293">
        <f t="shared" si="148"/>
        <v>0</v>
      </c>
      <c r="S293">
        <f>IF(OR(D293&lt;&gt;1,B293="",'Исходные данные'!$B$91="",N('Исходные данные'!$B$80)&lt;=0,'Исходные данные'!$B$88=""),0,IF(AND(YEAR(B293)=YEAR('Исходные данные'!$B$91),MONTH(B293)=MONTH('Исходные данные'!$B$91)),MAX(0,IF('Исходные данные'!$B$88="Последние 12 месяцев",SUMIFS($L$2:$L$194,$B$2:$B$194,"&gt;="&amp;EDATE(B293,-11),$B$2:$B$194,"&lt;="&amp;B293),IF('Исходные данные'!$B$88="Пользовательский NOI",N('Исходные данные'!$B$89),R293))/N('Исходные данные'!$B$80)*(1+N('Исходные данные'!$B$81))),0))</f>
        <v>0</v>
      </c>
      <c r="T293">
        <f>-S293*N('Исходные данные'!$B$73)</f>
        <v>0</v>
      </c>
      <c r="U293">
        <f>IF(S293=0,0,-N('Исходные данные'!$B$87)-IF('Исходные данные'!$B$82="Да",IF('Исходные данные'!$B$84="С выручки",S293,IF('Исходные данные'!$B$84="С прибыли",MAX(0,S293+T293-IF('Исходные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93">
        <f t="shared" si="161"/>
        <v>0</v>
      </c>
      <c r="W293">
        <f>IF(D293=1,Расчёты!AZ293+K293+N293+Q293+V293,0)</f>
        <v>0</v>
      </c>
      <c r="X293" t="str">
        <f t="shared" si="149"/>
        <v/>
      </c>
      <c r="Y293">
        <f>IF(OR(D293=0,'Исходные данные'!$B$9="",'Исходные данные'!$B$90=""),0,W293/(1+'Исходные данные'!$B$90)^((C293-'Исходные данные'!$B$9)/365))</f>
        <v>0</v>
      </c>
      <c r="Z293">
        <f>IF(D293=1,K293+Расчёты!O293+Расчёты!Q293+Расчёты!S293+Расчёты!U293+Расчёты!W293+Расчёты!X293+N293+Q293,0)</f>
        <v>0</v>
      </c>
      <c r="AA293">
        <f>IF(AND(D293=1,X293&gt;=0,X292&lt;0,MIN($X$2:X293)&lt;0),1,0)</f>
        <v>0</v>
      </c>
      <c r="AB293">
        <f>IF(Расчёты!F293=0,0,IF(Расчёты!G293=1,N('Сценарный анализ'!$C$5),IF(Расчёты!G293=2,N('Сценарный анализ'!$C$6),IF(Расчёты!G293=3,N('Сценарный анализ'!$C$7),N('Сценарный анализ'!$C$7)*(1+N('Сценарный анализ'!$C$8))^(Расчёты!G293-3)))))</f>
        <v>0</v>
      </c>
      <c r="AC293">
        <f>IF(OR(Расчёты!F293=0,N('Исходные данные'!$B$5)=0,AB293=0),0,N('Исходные данные'!$B$5)*AB293*IF(AND(B293&lt;='Исходные данные'!$B$30,Расчёты!C293&gt;='Исходные данные'!$B$30),(Расчёты!C293-'Исходные данные'!$B$30+1)/DAY(Расчёты!C293),1))</f>
        <v>0</v>
      </c>
      <c r="AD293">
        <f>IF(AND(Расчёты!F293&gt;0,Расчёты!F293&lt;=N('Исходные данные'!$B$37)),-AC293,0)</f>
        <v>0</v>
      </c>
      <c r="AE293">
        <f>IF(OR(Расчёты!F293=0,Расчёты!F293&lt;=N('Исходные данные'!$B$37)),0,-(AC293+AD293)*N('Сценарный анализ'!$C$9))</f>
        <v>0</v>
      </c>
      <c r="AF293">
        <f t="shared" si="162"/>
        <v>0</v>
      </c>
      <c r="AG293">
        <f>IF('Исходные данные'!$B$51="Да",AF293*N('Исходные данные'!$B$52),0)</f>
        <v>0</v>
      </c>
      <c r="AH293">
        <f t="shared" si="163"/>
        <v>0</v>
      </c>
      <c r="AI293">
        <f>AF293+(Расчёты!Y293-Расчёты!L293)</f>
        <v>0</v>
      </c>
      <c r="AJ293">
        <f t="shared" si="150"/>
        <v>0</v>
      </c>
      <c r="AK293">
        <f>IF('Исходные данные'!$B$51="Да",-MAX(0,AG293+Расчёты!R293+Расчёты!V293-Расчёты!P293-Расчёты!T293-AJ293),0)</f>
        <v>0</v>
      </c>
      <c r="AL293">
        <f>IF('Исходные данные'!$B$51="Да",MAX(0,AJ293+Расчёты!P293+Расчёты!T293-AG293-Расчёты!R293-Расчёты!V293),0)</f>
        <v>0</v>
      </c>
      <c r="AM293">
        <f>IF('Исходные данные'!$B$53="Выручка",MAX(0,AF293+(Расчёты!Q293-Расчёты!R293)+(Расчёты!U293-Расчёты!V293)),IF('Исходные данные'!$B$53="Прибыль до налога",MAX(0,AF293+(Расчёты!Q293-Расчёты!R293)+(Расчёты!U293-Расчёты!V293)+N('Исходные данные'!$B$54)*((Расчёты!O293+Расчёты!P293)+(Расчёты!S293+Расчёты!T293)+Расчёты!W293+Расчёты!X293)+IF('Исходные данные'!$B$55="Да",Расчёты!AG293,0)-N('Исходные данные'!$B$56)/12),IF('Исходные данные'!$B$53="Пользовательская база",MAX(0,N('Исходные данные'!$B$57)/12),0)))</f>
        <v>0</v>
      </c>
      <c r="AN293">
        <f>IF(D293=1,-AM293*N('Исходные данные'!$B$50),0)</f>
        <v>0</v>
      </c>
      <c r="AO293">
        <f t="shared" si="151"/>
        <v>0</v>
      </c>
      <c r="AP293">
        <f>IF(OR(D293&lt;&gt;1,B293="",'Исходные данные'!$B$91="",N('Исходные данные'!$B$80)&lt;=0,'Исходные данные'!$B$88=""),0,IF(AND(YEAR(B293)=YEAR('Исходные данные'!$B$91),MONTH(B293)=MONTH('Исходные данные'!$B$91)),MAX(0,IF('Исходные данные'!$B$88="Последние 12 месяцев",SUMIFS($AI$2:$AI$194,$B$2:$B$194,"&gt;="&amp;EDATE(B293,-11),$B$2:$B$194,"&lt;="&amp;B293),IF('Исходные данные'!$B$88="Пользовательский NOI",N('Исходные данные'!$B$89),AO293))/N('Исходные данные'!$B$80)*(1+N('Исходные данные'!$B$81))),0))</f>
        <v>0</v>
      </c>
      <c r="AQ293">
        <f>-AP293*N('Исходные данные'!$B$73)</f>
        <v>0</v>
      </c>
      <c r="AR293">
        <f>IF(AP293=0,0,-N('Исходные данные'!$B$87)-IF('Исходные данные'!$B$82="Да",IF('Исходные данные'!$B$84="С выручки",AP293,IF('Исходные данные'!$B$84="С прибыли",MAX(0,AP293+AQ293-IF('Исходные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93">
        <f t="shared" si="164"/>
        <v>0</v>
      </c>
      <c r="AT293">
        <f>IF(D293=1,Расчёты!AZ293+AH293+AK293+AN293+AS293,0)</f>
        <v>0</v>
      </c>
      <c r="AU293" t="str">
        <f t="shared" si="152"/>
        <v/>
      </c>
      <c r="AV293">
        <f>IF(OR(D293=0,'Исходные данные'!$B$9="",'Исходные данные'!$B$90=""),0,AT293/(1+'Исходные данные'!$B$90)^((C293-'Исходные данные'!$B$9)/365))</f>
        <v>0</v>
      </c>
      <c r="AW293">
        <f>IF(D293=1,AH293+Расчёты!O293+Расчёты!Q293+Расчёты!S293+Расчёты!U293+Расчёты!W293+Расчёты!X293+AK293+AN293,0)</f>
        <v>0</v>
      </c>
      <c r="AX293">
        <f>IF(AND(D293=1,AU293&gt;=0,AU292&lt;0,MIN($AU$2:AU293)&lt;0),1,0)</f>
        <v>0</v>
      </c>
      <c r="AY293">
        <f>IF(Расчёты!F293=0,0,IF(Расчёты!G293=1,N('Сценарный анализ'!$D$5),IF(Расчёты!G293=2,N('Сценарный анализ'!$D$6),IF(Расчёты!G293=3,N('Сценарный анализ'!$D$7),N('Сценарный анализ'!$D$7)*(1+N('Сценарный анализ'!$D$8))^(Расчёты!G293-3)))))</f>
        <v>0</v>
      </c>
      <c r="AZ293">
        <f>IF(OR(Расчёты!F293=0,N('Исходные данные'!$B$5)=0,AY293=0),0,N('Исходные данные'!$B$5)*AY293*IF(AND(B293&lt;='Исходные данные'!$B$30,Расчёты!C293&gt;='Исходные данные'!$B$30),(Расчёты!C293-'Исходные данные'!$B$30+1)/DAY(Расчёты!C293),1))</f>
        <v>0</v>
      </c>
      <c r="BA293">
        <f>IF(AND(Расчёты!F293&gt;0,Расчёты!F293&lt;=N('Исходные данные'!$B$37)),-AZ293,0)</f>
        <v>0</v>
      </c>
      <c r="BB293">
        <f>IF(OR(Расчёты!F293=0,Расчёты!F293&lt;=N('Исходные данные'!$B$37)),0,-(AZ293+BA293)*N('Сценарный анализ'!$D$9))</f>
        <v>0</v>
      </c>
      <c r="BC293">
        <f t="shared" si="165"/>
        <v>0</v>
      </c>
      <c r="BD293">
        <f>IF('Исходные данные'!$B$51="Да",BC293*N('Исходные данные'!$B$52),0)</f>
        <v>0</v>
      </c>
      <c r="BE293">
        <f t="shared" si="166"/>
        <v>0</v>
      </c>
      <c r="BF293">
        <f>BC293+(Расчёты!Y293-Расчёты!L293)</f>
        <v>0</v>
      </c>
      <c r="BG293">
        <f t="shared" si="153"/>
        <v>0</v>
      </c>
      <c r="BH293">
        <f>IF('Исходные данные'!$B$51="Да",-MAX(0,BD293+Расчёты!R293+Расчёты!V293-Расчёты!P293-Расчёты!T293-BG293),0)</f>
        <v>0</v>
      </c>
      <c r="BI293">
        <f>IF('Исходные данные'!$B$51="Да",MAX(0,BG293+Расчёты!P293+Расчёты!T293-BD293-Расчёты!R293-Расчёты!V293),0)</f>
        <v>0</v>
      </c>
      <c r="BJ293">
        <f>IF('Исходные данные'!$B$53="Выручка",MAX(0,BC293+(Расчёты!Q293-Расчёты!R293)+(Расчёты!U293-Расчёты!V293)),IF('Исходные данные'!$B$53="Прибыль до налога",MAX(0,BC293+(Расчёты!Q293-Расчёты!R293)+(Расчёты!U293-Расчёты!V293)+N('Исходные данные'!$B$54)*((Расчёты!O293+Расчёты!P293)+(Расчёты!S293+Расчёты!T293)+Расчёты!W293+Расчёты!X293)+IF('Исходные данные'!$B$55="Да",Расчёты!AG293,0)-N('Исходные данные'!$B$56)/12),IF('Исходные данные'!$B$53="Пользовательская база",MAX(0,N('Исходные данные'!$B$57)/12),0)))</f>
        <v>0</v>
      </c>
      <c r="BK293">
        <f>IF(D293=1,-BJ293*N('Исходные данные'!$B$50),0)</f>
        <v>0</v>
      </c>
      <c r="BL293">
        <f t="shared" si="154"/>
        <v>0</v>
      </c>
      <c r="BM293">
        <f>IF(OR(D293&lt;&gt;1,B293="",'Исходные данные'!$B$91="",N('Исходные данные'!$B$80)&lt;=0,'Исходные данные'!$B$88=""),0,IF(AND(YEAR(B293)=YEAR('Исходные данные'!$B$91),MONTH(B293)=MONTH('Исходные данные'!$B$91)),MAX(0,IF('Исходные данные'!$B$88="Последние 12 месяцев",SUMIFS($BF$2:$BF$194,$B$2:$B$194,"&gt;="&amp;EDATE(B293,-11),$B$2:$B$194,"&lt;="&amp;B293),IF('Исходные данные'!$B$88="Пользовательский NOI",N('Исходные данные'!$B$89),BL293))/N('Исходные данные'!$B$80)*(1+N('Исходные данные'!$B$81))),0))</f>
        <v>0</v>
      </c>
      <c r="BN293">
        <f>-BM293*N('Исходные данные'!$B$73)</f>
        <v>0</v>
      </c>
      <c r="BO293">
        <f>IF(BM293=0,0,-N('Исходные данные'!$B$87)-IF('Исходные данные'!$B$82="Да",IF('Исходные данные'!$B$84="С выручки",BM293,IF('Исходные данные'!$B$84="С прибыли",MAX(0,BM293+BN293-IF('Исходные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93">
        <f t="shared" si="167"/>
        <v>0</v>
      </c>
      <c r="BQ293">
        <f>IF(D293=1,Расчёты!AZ293+BE293+BH293+BK293+BP293,0)</f>
        <v>0</v>
      </c>
      <c r="BR293" t="str">
        <f t="shared" si="155"/>
        <v/>
      </c>
      <c r="BS293">
        <f>IF(OR(D293=0,'Исходные данные'!$B$9="",'Исходные данные'!$B$90=""),0,BQ293/(1+'Исходные данные'!$B$90)^((C293-'Исходные данные'!$B$9)/365))</f>
        <v>0</v>
      </c>
      <c r="BT293">
        <f>IF(D293=1,BE293+Расчёты!O293+Расчёты!Q293+Расчёты!S293+Расчёты!U293+Расчёты!W293+Расчёты!X293+BH293+BK293,0)</f>
        <v>0</v>
      </c>
      <c r="BU293">
        <f>IF(AND(D293=1,BR293&gt;=0,BR292&lt;0,MIN($BR$2:BR293)&lt;0),1,0)</f>
        <v>0</v>
      </c>
      <c r="BV293">
        <f>Расчёты!AZ293+K293+N293-P293*N('Исходные данные'!$B$50)</f>
        <v>0</v>
      </c>
      <c r="BW293">
        <f t="shared" si="156"/>
        <v>0</v>
      </c>
      <c r="BX293">
        <f>IF(AND(BW293&gt;=0,BW292&lt;0,MIN($BW$2:BW293)&lt;0),1,0)</f>
        <v>0</v>
      </c>
      <c r="BY293">
        <f>Расчёты!AZ293+AH293+AK293-AM293*N('Исходные данные'!$B$50)</f>
        <v>0</v>
      </c>
      <c r="BZ293">
        <f t="shared" si="157"/>
        <v>0</v>
      </c>
      <c r="CA293">
        <f>IF(AND(BZ293&gt;=0,BZ292&lt;0,MIN($BZ$2:BZ293)&lt;0),1,0)</f>
        <v>0</v>
      </c>
      <c r="CB293">
        <f>Расчёты!AZ293+BE293+BH293-BJ293*N('Исходные данные'!$B$50)</f>
        <v>0</v>
      </c>
      <c r="CC293">
        <f t="shared" si="158"/>
        <v>0</v>
      </c>
      <c r="CD293">
        <f>IF(AND(CC293&gt;=0,CC292&lt;0,MIN($CC$2:CC293)&lt;0),1,0)</f>
        <v>0</v>
      </c>
    </row>
    <row r="294" spans="1:82" x14ac:dyDescent="0.2">
      <c r="A294">
        <f>Расчёты!A294</f>
        <v>293</v>
      </c>
      <c r="B294" t="str">
        <f>Расчёты!B294</f>
        <v/>
      </c>
      <c r="C294" t="str">
        <f>Расчёты!D294</f>
        <v/>
      </c>
      <c r="D294">
        <f>Расчёты!E294</f>
        <v>0</v>
      </c>
      <c r="E294">
        <f>IF(Расчёты!F294=0,0,IF(Расчёты!G294=1,N('Сценарный анализ'!$B$5),IF(Расчёты!G294=2,N('Сценарный анализ'!$B$6),IF(Расчёты!G294=3,N('Сценарный анализ'!$B$7),N('Сценарный анализ'!$B$7)*(1+N('Сценарный анализ'!$B$8))^(Расчёты!G294-3)))))</f>
        <v>0</v>
      </c>
      <c r="F294">
        <f>IF(OR(Расчёты!F294=0,N('Исходные данные'!$B$5)=0,E294=0),0,N('Исходные данные'!$B$5)*E294*IF(AND(B294&lt;='Исходные данные'!$B$30,Расчёты!C294&gt;='Исходные данные'!$B$30),(Расчёты!C294-'Исходные данные'!$B$30+1)/DAY(Расчёты!C294),1))</f>
        <v>0</v>
      </c>
      <c r="G294">
        <f>IF(AND(Расчёты!F294&gt;0,Расчёты!F294&lt;=N('Исходные данные'!$B$37)),-F294,0)</f>
        <v>0</v>
      </c>
      <c r="H294">
        <f>IF(OR(Расчёты!F294=0,Расчёты!F294&lt;=N('Исходные данные'!$B$37)),0,-(F294+G294)*N('Сценарный анализ'!$B$9))</f>
        <v>0</v>
      </c>
      <c r="I294">
        <f t="shared" si="159"/>
        <v>0</v>
      </c>
      <c r="J294">
        <f>IF('Исходные данные'!$B$51="Да",I294*N('Исходные данные'!$B$52),0)</f>
        <v>0</v>
      </c>
      <c r="K294">
        <f t="shared" si="160"/>
        <v>0</v>
      </c>
      <c r="L294">
        <f>I294+(Расчёты!Y294-Расчёты!L294)</f>
        <v>0</v>
      </c>
      <c r="M294">
        <f t="shared" si="147"/>
        <v>0</v>
      </c>
      <c r="N294">
        <f>IF('Исходные данные'!$B$51="Да",-MAX(0,J294+Расчёты!R294+Расчёты!V294-Расчёты!P294-Расчёты!T294-M294),0)</f>
        <v>0</v>
      </c>
      <c r="O294">
        <f>IF('Исходные данные'!$B$51="Да",MAX(0,M294+Расчёты!P294+Расчёты!T294-J294-Расчёты!R294-Расчёты!V294),0)</f>
        <v>0</v>
      </c>
      <c r="P294">
        <f>IF('Исходные данные'!$B$53="Выручка",MAX(0,I294+(Расчёты!Q294-Расчёты!R294)+(Расчёты!U294-Расчёты!V294)),IF('Исходные данные'!$B$53="Прибыль до налога",MAX(0,I294+(Расчёты!Q294-Расчёты!R294)+(Расчёты!U294-Расчёты!V294)+N('Исходные данные'!$B$54)*((Расчёты!O294+Расчёты!P294)+(Расчёты!S294+Расчёты!T294)+Расчёты!W294+Расчёты!X294)+IF('Исходные данные'!$B$55="Да",Расчёты!AG294,0)-N('Исходные данные'!$B$56)/12),IF('Исходные данные'!$B$53="Пользовательская база",MAX(0,N('Исходные данные'!$B$57)/12),0)))</f>
        <v>0</v>
      </c>
      <c r="Q294">
        <f>IF(D294=1,-P294*N('Исходные данные'!$B$50),0)</f>
        <v>0</v>
      </c>
      <c r="R294">
        <f t="shared" si="148"/>
        <v>0</v>
      </c>
      <c r="S294">
        <f>IF(OR(D294&lt;&gt;1,B294="",'Исходные данные'!$B$91="",N('Исходные данные'!$B$80)&lt;=0,'Исходные данные'!$B$88=""),0,IF(AND(YEAR(B294)=YEAR('Исходные данные'!$B$91),MONTH(B294)=MONTH('Исходные данные'!$B$91)),MAX(0,IF('Исходные данные'!$B$88="Последние 12 месяцев",SUMIFS($L$2:$L$194,$B$2:$B$194,"&gt;="&amp;EDATE(B294,-11),$B$2:$B$194,"&lt;="&amp;B294),IF('Исходные данные'!$B$88="Пользовательский NOI",N('Исходные данные'!$B$89),R294))/N('Исходные данные'!$B$80)*(1+N('Исходные данные'!$B$81))),0))</f>
        <v>0</v>
      </c>
      <c r="T294">
        <f>-S294*N('Исходные данные'!$B$73)</f>
        <v>0</v>
      </c>
      <c r="U294">
        <f>IF(S294=0,0,-N('Исходные данные'!$B$87)-IF('Исходные данные'!$B$82="Да",IF('Исходные данные'!$B$84="С выручки",S294,IF('Исходные данные'!$B$84="С прибыли",MAX(0,S294+T294-IF('Исходные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94">
        <f t="shared" si="161"/>
        <v>0</v>
      </c>
      <c r="W294">
        <f>IF(D294=1,Расчёты!AZ294+K294+N294+Q294+V294,0)</f>
        <v>0</v>
      </c>
      <c r="X294" t="str">
        <f t="shared" si="149"/>
        <v/>
      </c>
      <c r="Y294">
        <f>IF(OR(D294=0,'Исходные данные'!$B$9="",'Исходные данные'!$B$90=""),0,W294/(1+'Исходные данные'!$B$90)^((C294-'Исходные данные'!$B$9)/365))</f>
        <v>0</v>
      </c>
      <c r="Z294">
        <f>IF(D294=1,K294+Расчёты!O294+Расчёты!Q294+Расчёты!S294+Расчёты!U294+Расчёты!W294+Расчёты!X294+N294+Q294,0)</f>
        <v>0</v>
      </c>
      <c r="AA294">
        <f>IF(AND(D294=1,X294&gt;=0,X293&lt;0,MIN($X$2:X294)&lt;0),1,0)</f>
        <v>0</v>
      </c>
      <c r="AB294">
        <f>IF(Расчёты!F294=0,0,IF(Расчёты!G294=1,N('Сценарный анализ'!$C$5),IF(Расчёты!G294=2,N('Сценарный анализ'!$C$6),IF(Расчёты!G294=3,N('Сценарный анализ'!$C$7),N('Сценарный анализ'!$C$7)*(1+N('Сценарный анализ'!$C$8))^(Расчёты!G294-3)))))</f>
        <v>0</v>
      </c>
      <c r="AC294">
        <f>IF(OR(Расчёты!F294=0,N('Исходные данные'!$B$5)=0,AB294=0),0,N('Исходные данные'!$B$5)*AB294*IF(AND(B294&lt;='Исходные данные'!$B$30,Расчёты!C294&gt;='Исходные данные'!$B$30),(Расчёты!C294-'Исходные данные'!$B$30+1)/DAY(Расчёты!C294),1))</f>
        <v>0</v>
      </c>
      <c r="AD294">
        <f>IF(AND(Расчёты!F294&gt;0,Расчёты!F294&lt;=N('Исходные данные'!$B$37)),-AC294,0)</f>
        <v>0</v>
      </c>
      <c r="AE294">
        <f>IF(OR(Расчёты!F294=0,Расчёты!F294&lt;=N('Исходные данные'!$B$37)),0,-(AC294+AD294)*N('Сценарный анализ'!$C$9))</f>
        <v>0</v>
      </c>
      <c r="AF294">
        <f t="shared" si="162"/>
        <v>0</v>
      </c>
      <c r="AG294">
        <f>IF('Исходные данные'!$B$51="Да",AF294*N('Исходные данные'!$B$52),0)</f>
        <v>0</v>
      </c>
      <c r="AH294">
        <f t="shared" si="163"/>
        <v>0</v>
      </c>
      <c r="AI294">
        <f>AF294+(Расчёты!Y294-Расчёты!L294)</f>
        <v>0</v>
      </c>
      <c r="AJ294">
        <f t="shared" si="150"/>
        <v>0</v>
      </c>
      <c r="AK294">
        <f>IF('Исходные данные'!$B$51="Да",-MAX(0,AG294+Расчёты!R294+Расчёты!V294-Расчёты!P294-Расчёты!T294-AJ294),0)</f>
        <v>0</v>
      </c>
      <c r="AL294">
        <f>IF('Исходные данные'!$B$51="Да",MAX(0,AJ294+Расчёты!P294+Расчёты!T294-AG294-Расчёты!R294-Расчёты!V294),0)</f>
        <v>0</v>
      </c>
      <c r="AM294">
        <f>IF('Исходные данные'!$B$53="Выручка",MAX(0,AF294+(Расчёты!Q294-Расчёты!R294)+(Расчёты!U294-Расчёты!V294)),IF('Исходные данные'!$B$53="Прибыль до налога",MAX(0,AF294+(Расчёты!Q294-Расчёты!R294)+(Расчёты!U294-Расчёты!V294)+N('Исходные данные'!$B$54)*((Расчёты!O294+Расчёты!P294)+(Расчёты!S294+Расчёты!T294)+Расчёты!W294+Расчёты!X294)+IF('Исходные данные'!$B$55="Да",Расчёты!AG294,0)-N('Исходные данные'!$B$56)/12),IF('Исходные данные'!$B$53="Пользовательская база",MAX(0,N('Исходные данные'!$B$57)/12),0)))</f>
        <v>0</v>
      </c>
      <c r="AN294">
        <f>IF(D294=1,-AM294*N('Исходные данные'!$B$50),0)</f>
        <v>0</v>
      </c>
      <c r="AO294">
        <f t="shared" si="151"/>
        <v>0</v>
      </c>
      <c r="AP294">
        <f>IF(OR(D294&lt;&gt;1,B294="",'Исходные данные'!$B$91="",N('Исходные данные'!$B$80)&lt;=0,'Исходные данные'!$B$88=""),0,IF(AND(YEAR(B294)=YEAR('Исходные данные'!$B$91),MONTH(B294)=MONTH('Исходные данные'!$B$91)),MAX(0,IF('Исходные данные'!$B$88="Последние 12 месяцев",SUMIFS($AI$2:$AI$194,$B$2:$B$194,"&gt;="&amp;EDATE(B294,-11),$B$2:$B$194,"&lt;="&amp;B294),IF('Исходные данные'!$B$88="Пользовательский NOI",N('Исходные данные'!$B$89),AO294))/N('Исходные данные'!$B$80)*(1+N('Исходные данные'!$B$81))),0))</f>
        <v>0</v>
      </c>
      <c r="AQ294">
        <f>-AP294*N('Исходные данные'!$B$73)</f>
        <v>0</v>
      </c>
      <c r="AR294">
        <f>IF(AP294=0,0,-N('Исходные данные'!$B$87)-IF('Исходные данные'!$B$82="Да",IF('Исходные данные'!$B$84="С выручки",AP294,IF('Исходные данные'!$B$84="С прибыли",MAX(0,AP294+AQ294-IF('Исходные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94">
        <f t="shared" si="164"/>
        <v>0</v>
      </c>
      <c r="AT294">
        <f>IF(D294=1,Расчёты!AZ294+AH294+AK294+AN294+AS294,0)</f>
        <v>0</v>
      </c>
      <c r="AU294" t="str">
        <f t="shared" si="152"/>
        <v/>
      </c>
      <c r="AV294">
        <f>IF(OR(D294=0,'Исходные данные'!$B$9="",'Исходные данные'!$B$90=""),0,AT294/(1+'Исходные данные'!$B$90)^((C294-'Исходные данные'!$B$9)/365))</f>
        <v>0</v>
      </c>
      <c r="AW294">
        <f>IF(D294=1,AH294+Расчёты!O294+Расчёты!Q294+Расчёты!S294+Расчёты!U294+Расчёты!W294+Расчёты!X294+AK294+AN294,0)</f>
        <v>0</v>
      </c>
      <c r="AX294">
        <f>IF(AND(D294=1,AU294&gt;=0,AU293&lt;0,MIN($AU$2:AU294)&lt;0),1,0)</f>
        <v>0</v>
      </c>
      <c r="AY294">
        <f>IF(Расчёты!F294=0,0,IF(Расчёты!G294=1,N('Сценарный анализ'!$D$5),IF(Расчёты!G294=2,N('Сценарный анализ'!$D$6),IF(Расчёты!G294=3,N('Сценарный анализ'!$D$7),N('Сценарный анализ'!$D$7)*(1+N('Сценарный анализ'!$D$8))^(Расчёты!G294-3)))))</f>
        <v>0</v>
      </c>
      <c r="AZ294">
        <f>IF(OR(Расчёты!F294=0,N('Исходные данные'!$B$5)=0,AY294=0),0,N('Исходные данные'!$B$5)*AY294*IF(AND(B294&lt;='Исходные данные'!$B$30,Расчёты!C294&gt;='Исходные данные'!$B$30),(Расчёты!C294-'Исходные данные'!$B$30+1)/DAY(Расчёты!C294),1))</f>
        <v>0</v>
      </c>
      <c r="BA294">
        <f>IF(AND(Расчёты!F294&gt;0,Расчёты!F294&lt;=N('Исходные данные'!$B$37)),-AZ294,0)</f>
        <v>0</v>
      </c>
      <c r="BB294">
        <f>IF(OR(Расчёты!F294=0,Расчёты!F294&lt;=N('Исходные данные'!$B$37)),0,-(AZ294+BA294)*N('Сценарный анализ'!$D$9))</f>
        <v>0</v>
      </c>
      <c r="BC294">
        <f t="shared" si="165"/>
        <v>0</v>
      </c>
      <c r="BD294">
        <f>IF('Исходные данные'!$B$51="Да",BC294*N('Исходные данные'!$B$52),0)</f>
        <v>0</v>
      </c>
      <c r="BE294">
        <f t="shared" si="166"/>
        <v>0</v>
      </c>
      <c r="BF294">
        <f>BC294+(Расчёты!Y294-Расчёты!L294)</f>
        <v>0</v>
      </c>
      <c r="BG294">
        <f t="shared" si="153"/>
        <v>0</v>
      </c>
      <c r="BH294">
        <f>IF('Исходные данные'!$B$51="Да",-MAX(0,BD294+Расчёты!R294+Расчёты!V294-Расчёты!P294-Расчёты!T294-BG294),0)</f>
        <v>0</v>
      </c>
      <c r="BI294">
        <f>IF('Исходные данные'!$B$51="Да",MAX(0,BG294+Расчёты!P294+Расчёты!T294-BD294-Расчёты!R294-Расчёты!V294),0)</f>
        <v>0</v>
      </c>
      <c r="BJ294">
        <f>IF('Исходные данные'!$B$53="Выручка",MAX(0,BC294+(Расчёты!Q294-Расчёты!R294)+(Расчёты!U294-Расчёты!V294)),IF('Исходные данные'!$B$53="Прибыль до налога",MAX(0,BC294+(Расчёты!Q294-Расчёты!R294)+(Расчёты!U294-Расчёты!V294)+N('Исходные данные'!$B$54)*((Расчёты!O294+Расчёты!P294)+(Расчёты!S294+Расчёты!T294)+Расчёты!W294+Расчёты!X294)+IF('Исходные данные'!$B$55="Да",Расчёты!AG294,0)-N('Исходные данные'!$B$56)/12),IF('Исходные данные'!$B$53="Пользовательская база",MAX(0,N('Исходные данные'!$B$57)/12),0)))</f>
        <v>0</v>
      </c>
      <c r="BK294">
        <f>IF(D294=1,-BJ294*N('Исходные данные'!$B$50),0)</f>
        <v>0</v>
      </c>
      <c r="BL294">
        <f t="shared" si="154"/>
        <v>0</v>
      </c>
      <c r="BM294">
        <f>IF(OR(D294&lt;&gt;1,B294="",'Исходные данные'!$B$91="",N('Исходные данные'!$B$80)&lt;=0,'Исходные данные'!$B$88=""),0,IF(AND(YEAR(B294)=YEAR('Исходные данные'!$B$91),MONTH(B294)=MONTH('Исходные данные'!$B$91)),MAX(0,IF('Исходные данные'!$B$88="Последние 12 месяцев",SUMIFS($BF$2:$BF$194,$B$2:$B$194,"&gt;="&amp;EDATE(B294,-11),$B$2:$B$194,"&lt;="&amp;B294),IF('Исходные данные'!$B$88="Пользовательский NOI",N('Исходные данные'!$B$89),BL294))/N('Исходные данные'!$B$80)*(1+N('Исходные данные'!$B$81))),0))</f>
        <v>0</v>
      </c>
      <c r="BN294">
        <f>-BM294*N('Исходные данные'!$B$73)</f>
        <v>0</v>
      </c>
      <c r="BO294">
        <f>IF(BM294=0,0,-N('Исходные данные'!$B$87)-IF('Исходные данные'!$B$82="Да",IF('Исходные данные'!$B$84="С выручки",BM294,IF('Исходные данные'!$B$84="С прибыли",MAX(0,BM294+BN294-IF('Исходные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94">
        <f t="shared" si="167"/>
        <v>0</v>
      </c>
      <c r="BQ294">
        <f>IF(D294=1,Расчёты!AZ294+BE294+BH294+BK294+BP294,0)</f>
        <v>0</v>
      </c>
      <c r="BR294" t="str">
        <f t="shared" si="155"/>
        <v/>
      </c>
      <c r="BS294">
        <f>IF(OR(D294=0,'Исходные данные'!$B$9="",'Исходные данные'!$B$90=""),0,BQ294/(1+'Исходные данные'!$B$90)^((C294-'Исходные данные'!$B$9)/365))</f>
        <v>0</v>
      </c>
      <c r="BT294">
        <f>IF(D294=1,BE294+Расчёты!O294+Расчёты!Q294+Расчёты!S294+Расчёты!U294+Расчёты!W294+Расчёты!X294+BH294+BK294,0)</f>
        <v>0</v>
      </c>
      <c r="BU294">
        <f>IF(AND(D294=1,BR294&gt;=0,BR293&lt;0,MIN($BR$2:BR294)&lt;0),1,0)</f>
        <v>0</v>
      </c>
      <c r="BV294">
        <f>Расчёты!AZ294+K294+N294-P294*N('Исходные данные'!$B$50)</f>
        <v>0</v>
      </c>
      <c r="BW294">
        <f t="shared" si="156"/>
        <v>0</v>
      </c>
      <c r="BX294">
        <f>IF(AND(BW294&gt;=0,BW293&lt;0,MIN($BW$2:BW294)&lt;0),1,0)</f>
        <v>0</v>
      </c>
      <c r="BY294">
        <f>Расчёты!AZ294+AH294+AK294-AM294*N('Исходные данные'!$B$50)</f>
        <v>0</v>
      </c>
      <c r="BZ294">
        <f t="shared" si="157"/>
        <v>0</v>
      </c>
      <c r="CA294">
        <f>IF(AND(BZ294&gt;=0,BZ293&lt;0,MIN($BZ$2:BZ294)&lt;0),1,0)</f>
        <v>0</v>
      </c>
      <c r="CB294">
        <f>Расчёты!AZ294+BE294+BH294-BJ294*N('Исходные данные'!$B$50)</f>
        <v>0</v>
      </c>
      <c r="CC294">
        <f t="shared" si="158"/>
        <v>0</v>
      </c>
      <c r="CD294">
        <f>IF(AND(CC294&gt;=0,CC293&lt;0,MIN($CC$2:CC294)&lt;0),1,0)</f>
        <v>0</v>
      </c>
    </row>
    <row r="295" spans="1:82" x14ac:dyDescent="0.2">
      <c r="A295">
        <f>Расчёты!A295</f>
        <v>294</v>
      </c>
      <c r="B295" t="str">
        <f>Расчёты!B295</f>
        <v/>
      </c>
      <c r="C295" t="str">
        <f>Расчёты!D295</f>
        <v/>
      </c>
      <c r="D295">
        <f>Расчёты!E295</f>
        <v>0</v>
      </c>
      <c r="E295">
        <f>IF(Расчёты!F295=0,0,IF(Расчёты!G295=1,N('Сценарный анализ'!$B$5),IF(Расчёты!G295=2,N('Сценарный анализ'!$B$6),IF(Расчёты!G295=3,N('Сценарный анализ'!$B$7),N('Сценарный анализ'!$B$7)*(1+N('Сценарный анализ'!$B$8))^(Расчёты!G295-3)))))</f>
        <v>0</v>
      </c>
      <c r="F295">
        <f>IF(OR(Расчёты!F295=0,N('Исходные данные'!$B$5)=0,E295=0),0,N('Исходные данные'!$B$5)*E295*IF(AND(B295&lt;='Исходные данные'!$B$30,Расчёты!C295&gt;='Исходные данные'!$B$30),(Расчёты!C295-'Исходные данные'!$B$30+1)/DAY(Расчёты!C295),1))</f>
        <v>0</v>
      </c>
      <c r="G295">
        <f>IF(AND(Расчёты!F295&gt;0,Расчёты!F295&lt;=N('Исходные данные'!$B$37)),-F295,0)</f>
        <v>0</v>
      </c>
      <c r="H295">
        <f>IF(OR(Расчёты!F295=0,Расчёты!F295&lt;=N('Исходные данные'!$B$37)),0,-(F295+G295)*N('Сценарный анализ'!$B$9))</f>
        <v>0</v>
      </c>
      <c r="I295">
        <f t="shared" si="159"/>
        <v>0</v>
      </c>
      <c r="J295">
        <f>IF('Исходные данные'!$B$51="Да",I295*N('Исходные данные'!$B$52),0)</f>
        <v>0</v>
      </c>
      <c r="K295">
        <f t="shared" si="160"/>
        <v>0</v>
      </c>
      <c r="L295">
        <f>I295+(Расчёты!Y295-Расчёты!L295)</f>
        <v>0</v>
      </c>
      <c r="M295">
        <f t="shared" si="147"/>
        <v>0</v>
      </c>
      <c r="N295">
        <f>IF('Исходные данные'!$B$51="Да",-MAX(0,J295+Расчёты!R295+Расчёты!V295-Расчёты!P295-Расчёты!T295-M295),0)</f>
        <v>0</v>
      </c>
      <c r="O295">
        <f>IF('Исходные данные'!$B$51="Да",MAX(0,M295+Расчёты!P295+Расчёты!T295-J295-Расчёты!R295-Расчёты!V295),0)</f>
        <v>0</v>
      </c>
      <c r="P295">
        <f>IF('Исходные данные'!$B$53="Выручка",MAX(0,I295+(Расчёты!Q295-Расчёты!R295)+(Расчёты!U295-Расчёты!V295)),IF('Исходные данные'!$B$53="Прибыль до налога",MAX(0,I295+(Расчёты!Q295-Расчёты!R295)+(Расчёты!U295-Расчёты!V295)+N('Исходные данные'!$B$54)*((Расчёты!O295+Расчёты!P295)+(Расчёты!S295+Расчёты!T295)+Расчёты!W295+Расчёты!X295)+IF('Исходные данные'!$B$55="Да",Расчёты!AG295,0)-N('Исходные данные'!$B$56)/12),IF('Исходные данные'!$B$53="Пользовательская база",MAX(0,N('Исходные данные'!$B$57)/12),0)))</f>
        <v>0</v>
      </c>
      <c r="Q295">
        <f>IF(D295=1,-P295*N('Исходные данные'!$B$50),0)</f>
        <v>0</v>
      </c>
      <c r="R295">
        <f t="shared" si="148"/>
        <v>0</v>
      </c>
      <c r="S295">
        <f>IF(OR(D295&lt;&gt;1,B295="",'Исходные данные'!$B$91="",N('Исходные данные'!$B$80)&lt;=0,'Исходные данные'!$B$88=""),0,IF(AND(YEAR(B295)=YEAR('Исходные данные'!$B$91),MONTH(B295)=MONTH('Исходные данные'!$B$91)),MAX(0,IF('Исходные данные'!$B$88="Последние 12 месяцев",SUMIFS($L$2:$L$194,$B$2:$B$194,"&gt;="&amp;EDATE(B295,-11),$B$2:$B$194,"&lt;="&amp;B295),IF('Исходные данные'!$B$88="Пользовательский NOI",N('Исходные данные'!$B$89),R295))/N('Исходные данные'!$B$80)*(1+N('Исходные данные'!$B$81))),0))</f>
        <v>0</v>
      </c>
      <c r="T295">
        <f>-S295*N('Исходные данные'!$B$73)</f>
        <v>0</v>
      </c>
      <c r="U295">
        <f>IF(S295=0,0,-N('Исходные данные'!$B$87)-IF('Исходные данные'!$B$82="Да",IF('Исходные данные'!$B$84="С выручки",S295,IF('Исходные данные'!$B$84="С прибыли",MAX(0,S295+T295-IF('Исходные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95">
        <f t="shared" si="161"/>
        <v>0</v>
      </c>
      <c r="W295">
        <f>IF(D295=1,Расчёты!AZ295+K295+N295+Q295+V295,0)</f>
        <v>0</v>
      </c>
      <c r="X295" t="str">
        <f t="shared" si="149"/>
        <v/>
      </c>
      <c r="Y295">
        <f>IF(OR(D295=0,'Исходные данные'!$B$9="",'Исходные данные'!$B$90=""),0,W295/(1+'Исходные данные'!$B$90)^((C295-'Исходные данные'!$B$9)/365))</f>
        <v>0</v>
      </c>
      <c r="Z295">
        <f>IF(D295=1,K295+Расчёты!O295+Расчёты!Q295+Расчёты!S295+Расчёты!U295+Расчёты!W295+Расчёты!X295+N295+Q295,0)</f>
        <v>0</v>
      </c>
      <c r="AA295">
        <f>IF(AND(D295=1,X295&gt;=0,X294&lt;0,MIN($X$2:X295)&lt;0),1,0)</f>
        <v>0</v>
      </c>
      <c r="AB295">
        <f>IF(Расчёты!F295=0,0,IF(Расчёты!G295=1,N('Сценарный анализ'!$C$5),IF(Расчёты!G295=2,N('Сценарный анализ'!$C$6),IF(Расчёты!G295=3,N('Сценарный анализ'!$C$7),N('Сценарный анализ'!$C$7)*(1+N('Сценарный анализ'!$C$8))^(Расчёты!G295-3)))))</f>
        <v>0</v>
      </c>
      <c r="AC295">
        <f>IF(OR(Расчёты!F295=0,N('Исходные данные'!$B$5)=0,AB295=0),0,N('Исходные данные'!$B$5)*AB295*IF(AND(B295&lt;='Исходные данные'!$B$30,Расчёты!C295&gt;='Исходные данные'!$B$30),(Расчёты!C295-'Исходные данные'!$B$30+1)/DAY(Расчёты!C295),1))</f>
        <v>0</v>
      </c>
      <c r="AD295">
        <f>IF(AND(Расчёты!F295&gt;0,Расчёты!F295&lt;=N('Исходные данные'!$B$37)),-AC295,0)</f>
        <v>0</v>
      </c>
      <c r="AE295">
        <f>IF(OR(Расчёты!F295=0,Расчёты!F295&lt;=N('Исходные данные'!$B$37)),0,-(AC295+AD295)*N('Сценарный анализ'!$C$9))</f>
        <v>0</v>
      </c>
      <c r="AF295">
        <f t="shared" si="162"/>
        <v>0</v>
      </c>
      <c r="AG295">
        <f>IF('Исходные данные'!$B$51="Да",AF295*N('Исходные данные'!$B$52),0)</f>
        <v>0</v>
      </c>
      <c r="AH295">
        <f t="shared" si="163"/>
        <v>0</v>
      </c>
      <c r="AI295">
        <f>AF295+(Расчёты!Y295-Расчёты!L295)</f>
        <v>0</v>
      </c>
      <c r="AJ295">
        <f t="shared" si="150"/>
        <v>0</v>
      </c>
      <c r="AK295">
        <f>IF('Исходные данные'!$B$51="Да",-MAX(0,AG295+Расчёты!R295+Расчёты!V295-Расчёты!P295-Расчёты!T295-AJ295),0)</f>
        <v>0</v>
      </c>
      <c r="AL295">
        <f>IF('Исходные данные'!$B$51="Да",MAX(0,AJ295+Расчёты!P295+Расчёты!T295-AG295-Расчёты!R295-Расчёты!V295),0)</f>
        <v>0</v>
      </c>
      <c r="AM295">
        <f>IF('Исходные данные'!$B$53="Выручка",MAX(0,AF295+(Расчёты!Q295-Расчёты!R295)+(Расчёты!U295-Расчёты!V295)),IF('Исходные данные'!$B$53="Прибыль до налога",MAX(0,AF295+(Расчёты!Q295-Расчёты!R295)+(Расчёты!U295-Расчёты!V295)+N('Исходные данные'!$B$54)*((Расчёты!O295+Расчёты!P295)+(Расчёты!S295+Расчёты!T295)+Расчёты!W295+Расчёты!X295)+IF('Исходные данные'!$B$55="Да",Расчёты!AG295,0)-N('Исходные данные'!$B$56)/12),IF('Исходные данные'!$B$53="Пользовательская база",MAX(0,N('Исходные данные'!$B$57)/12),0)))</f>
        <v>0</v>
      </c>
      <c r="AN295">
        <f>IF(D295=1,-AM295*N('Исходные данные'!$B$50),0)</f>
        <v>0</v>
      </c>
      <c r="AO295">
        <f t="shared" si="151"/>
        <v>0</v>
      </c>
      <c r="AP295">
        <f>IF(OR(D295&lt;&gt;1,B295="",'Исходные данные'!$B$91="",N('Исходные данные'!$B$80)&lt;=0,'Исходные данные'!$B$88=""),0,IF(AND(YEAR(B295)=YEAR('Исходные данные'!$B$91),MONTH(B295)=MONTH('Исходные данные'!$B$91)),MAX(0,IF('Исходные данные'!$B$88="Последние 12 месяцев",SUMIFS($AI$2:$AI$194,$B$2:$B$194,"&gt;="&amp;EDATE(B295,-11),$B$2:$B$194,"&lt;="&amp;B295),IF('Исходные данные'!$B$88="Пользовательский NOI",N('Исходные данные'!$B$89),AO295))/N('Исходные данные'!$B$80)*(1+N('Исходные данные'!$B$81))),0))</f>
        <v>0</v>
      </c>
      <c r="AQ295">
        <f>-AP295*N('Исходные данные'!$B$73)</f>
        <v>0</v>
      </c>
      <c r="AR295">
        <f>IF(AP295=0,0,-N('Исходные данные'!$B$87)-IF('Исходные данные'!$B$82="Да",IF('Исходные данные'!$B$84="С выручки",AP295,IF('Исходные данные'!$B$84="С прибыли",MAX(0,AP295+AQ295-IF('Исходные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95">
        <f t="shared" si="164"/>
        <v>0</v>
      </c>
      <c r="AT295">
        <f>IF(D295=1,Расчёты!AZ295+AH295+AK295+AN295+AS295,0)</f>
        <v>0</v>
      </c>
      <c r="AU295" t="str">
        <f t="shared" si="152"/>
        <v/>
      </c>
      <c r="AV295">
        <f>IF(OR(D295=0,'Исходные данные'!$B$9="",'Исходные данные'!$B$90=""),0,AT295/(1+'Исходные данные'!$B$90)^((C295-'Исходные данные'!$B$9)/365))</f>
        <v>0</v>
      </c>
      <c r="AW295">
        <f>IF(D295=1,AH295+Расчёты!O295+Расчёты!Q295+Расчёты!S295+Расчёты!U295+Расчёты!W295+Расчёты!X295+AK295+AN295,0)</f>
        <v>0</v>
      </c>
      <c r="AX295">
        <f>IF(AND(D295=1,AU295&gt;=0,AU294&lt;0,MIN($AU$2:AU295)&lt;0),1,0)</f>
        <v>0</v>
      </c>
      <c r="AY295">
        <f>IF(Расчёты!F295=0,0,IF(Расчёты!G295=1,N('Сценарный анализ'!$D$5),IF(Расчёты!G295=2,N('Сценарный анализ'!$D$6),IF(Расчёты!G295=3,N('Сценарный анализ'!$D$7),N('Сценарный анализ'!$D$7)*(1+N('Сценарный анализ'!$D$8))^(Расчёты!G295-3)))))</f>
        <v>0</v>
      </c>
      <c r="AZ295">
        <f>IF(OR(Расчёты!F295=0,N('Исходные данные'!$B$5)=0,AY295=0),0,N('Исходные данные'!$B$5)*AY295*IF(AND(B295&lt;='Исходные данные'!$B$30,Расчёты!C295&gt;='Исходные данные'!$B$30),(Расчёты!C295-'Исходные данные'!$B$30+1)/DAY(Расчёты!C295),1))</f>
        <v>0</v>
      </c>
      <c r="BA295">
        <f>IF(AND(Расчёты!F295&gt;0,Расчёты!F295&lt;=N('Исходные данные'!$B$37)),-AZ295,0)</f>
        <v>0</v>
      </c>
      <c r="BB295">
        <f>IF(OR(Расчёты!F295=0,Расчёты!F295&lt;=N('Исходные данные'!$B$37)),0,-(AZ295+BA295)*N('Сценарный анализ'!$D$9))</f>
        <v>0</v>
      </c>
      <c r="BC295">
        <f t="shared" si="165"/>
        <v>0</v>
      </c>
      <c r="BD295">
        <f>IF('Исходные данные'!$B$51="Да",BC295*N('Исходные данные'!$B$52),0)</f>
        <v>0</v>
      </c>
      <c r="BE295">
        <f t="shared" si="166"/>
        <v>0</v>
      </c>
      <c r="BF295">
        <f>BC295+(Расчёты!Y295-Расчёты!L295)</f>
        <v>0</v>
      </c>
      <c r="BG295">
        <f t="shared" si="153"/>
        <v>0</v>
      </c>
      <c r="BH295">
        <f>IF('Исходные данные'!$B$51="Да",-MAX(0,BD295+Расчёты!R295+Расчёты!V295-Расчёты!P295-Расчёты!T295-BG295),0)</f>
        <v>0</v>
      </c>
      <c r="BI295">
        <f>IF('Исходные данные'!$B$51="Да",MAX(0,BG295+Расчёты!P295+Расчёты!T295-BD295-Расчёты!R295-Расчёты!V295),0)</f>
        <v>0</v>
      </c>
      <c r="BJ295">
        <f>IF('Исходные данные'!$B$53="Выручка",MAX(0,BC295+(Расчёты!Q295-Расчёты!R295)+(Расчёты!U295-Расчёты!V295)),IF('Исходные данные'!$B$53="Прибыль до налога",MAX(0,BC295+(Расчёты!Q295-Расчёты!R295)+(Расчёты!U295-Расчёты!V295)+N('Исходные данные'!$B$54)*((Расчёты!O295+Расчёты!P295)+(Расчёты!S295+Расчёты!T295)+Расчёты!W295+Расчёты!X295)+IF('Исходные данные'!$B$55="Да",Расчёты!AG295,0)-N('Исходные данные'!$B$56)/12),IF('Исходные данные'!$B$53="Пользовательская база",MAX(0,N('Исходные данные'!$B$57)/12),0)))</f>
        <v>0</v>
      </c>
      <c r="BK295">
        <f>IF(D295=1,-BJ295*N('Исходные данные'!$B$50),0)</f>
        <v>0</v>
      </c>
      <c r="BL295">
        <f t="shared" si="154"/>
        <v>0</v>
      </c>
      <c r="BM295">
        <f>IF(OR(D295&lt;&gt;1,B295="",'Исходные данные'!$B$91="",N('Исходные данные'!$B$80)&lt;=0,'Исходные данные'!$B$88=""),0,IF(AND(YEAR(B295)=YEAR('Исходные данные'!$B$91),MONTH(B295)=MONTH('Исходные данные'!$B$91)),MAX(0,IF('Исходные данные'!$B$88="Последние 12 месяцев",SUMIFS($BF$2:$BF$194,$B$2:$B$194,"&gt;="&amp;EDATE(B295,-11),$B$2:$B$194,"&lt;="&amp;B295),IF('Исходные данные'!$B$88="Пользовательский NOI",N('Исходные данные'!$B$89),BL295))/N('Исходные данные'!$B$80)*(1+N('Исходные данные'!$B$81))),0))</f>
        <v>0</v>
      </c>
      <c r="BN295">
        <f>-BM295*N('Исходные данные'!$B$73)</f>
        <v>0</v>
      </c>
      <c r="BO295">
        <f>IF(BM295=0,0,-N('Исходные данные'!$B$87)-IF('Исходные данные'!$B$82="Да",IF('Исходные данные'!$B$84="С выручки",BM295,IF('Исходные данные'!$B$84="С прибыли",MAX(0,BM295+BN295-IF('Исходные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95">
        <f t="shared" si="167"/>
        <v>0</v>
      </c>
      <c r="BQ295">
        <f>IF(D295=1,Расчёты!AZ295+BE295+BH295+BK295+BP295,0)</f>
        <v>0</v>
      </c>
      <c r="BR295" t="str">
        <f t="shared" si="155"/>
        <v/>
      </c>
      <c r="BS295">
        <f>IF(OR(D295=0,'Исходные данные'!$B$9="",'Исходные данные'!$B$90=""),0,BQ295/(1+'Исходные данные'!$B$90)^((C295-'Исходные данные'!$B$9)/365))</f>
        <v>0</v>
      </c>
      <c r="BT295">
        <f>IF(D295=1,BE295+Расчёты!O295+Расчёты!Q295+Расчёты!S295+Расчёты!U295+Расчёты!W295+Расчёты!X295+BH295+BK295,0)</f>
        <v>0</v>
      </c>
      <c r="BU295">
        <f>IF(AND(D295=1,BR295&gt;=0,BR294&lt;0,MIN($BR$2:BR295)&lt;0),1,0)</f>
        <v>0</v>
      </c>
      <c r="BV295">
        <f>Расчёты!AZ295+K295+N295-P295*N('Исходные данные'!$B$50)</f>
        <v>0</v>
      </c>
      <c r="BW295">
        <f t="shared" si="156"/>
        <v>0</v>
      </c>
      <c r="BX295">
        <f>IF(AND(BW295&gt;=0,BW294&lt;0,MIN($BW$2:BW295)&lt;0),1,0)</f>
        <v>0</v>
      </c>
      <c r="BY295">
        <f>Расчёты!AZ295+AH295+AK295-AM295*N('Исходные данные'!$B$50)</f>
        <v>0</v>
      </c>
      <c r="BZ295">
        <f t="shared" si="157"/>
        <v>0</v>
      </c>
      <c r="CA295">
        <f>IF(AND(BZ295&gt;=0,BZ294&lt;0,MIN($BZ$2:BZ295)&lt;0),1,0)</f>
        <v>0</v>
      </c>
      <c r="CB295">
        <f>Расчёты!AZ295+BE295+BH295-BJ295*N('Исходные данные'!$B$50)</f>
        <v>0</v>
      </c>
      <c r="CC295">
        <f t="shared" si="158"/>
        <v>0</v>
      </c>
      <c r="CD295">
        <f>IF(AND(CC295&gt;=0,CC294&lt;0,MIN($CC$2:CC295)&lt;0),1,0)</f>
        <v>0</v>
      </c>
    </row>
    <row r="296" spans="1:82" x14ac:dyDescent="0.2">
      <c r="A296">
        <f>Расчёты!A296</f>
        <v>295</v>
      </c>
      <c r="B296" t="str">
        <f>Расчёты!B296</f>
        <v/>
      </c>
      <c r="C296" t="str">
        <f>Расчёты!D296</f>
        <v/>
      </c>
      <c r="D296">
        <f>Расчёты!E296</f>
        <v>0</v>
      </c>
      <c r="E296">
        <f>IF(Расчёты!F296=0,0,IF(Расчёты!G296=1,N('Сценарный анализ'!$B$5),IF(Расчёты!G296=2,N('Сценарный анализ'!$B$6),IF(Расчёты!G296=3,N('Сценарный анализ'!$B$7),N('Сценарный анализ'!$B$7)*(1+N('Сценарный анализ'!$B$8))^(Расчёты!G296-3)))))</f>
        <v>0</v>
      </c>
      <c r="F296">
        <f>IF(OR(Расчёты!F296=0,N('Исходные данные'!$B$5)=0,E296=0),0,N('Исходные данные'!$B$5)*E296*IF(AND(B296&lt;='Исходные данные'!$B$30,Расчёты!C296&gt;='Исходные данные'!$B$30),(Расчёты!C296-'Исходные данные'!$B$30+1)/DAY(Расчёты!C296),1))</f>
        <v>0</v>
      </c>
      <c r="G296">
        <f>IF(AND(Расчёты!F296&gt;0,Расчёты!F296&lt;=N('Исходные данные'!$B$37)),-F296,0)</f>
        <v>0</v>
      </c>
      <c r="H296">
        <f>IF(OR(Расчёты!F296=0,Расчёты!F296&lt;=N('Исходные данные'!$B$37)),0,-(F296+G296)*N('Сценарный анализ'!$B$9))</f>
        <v>0</v>
      </c>
      <c r="I296">
        <f t="shared" si="159"/>
        <v>0</v>
      </c>
      <c r="J296">
        <f>IF('Исходные данные'!$B$51="Да",I296*N('Исходные данные'!$B$52),0)</f>
        <v>0</v>
      </c>
      <c r="K296">
        <f t="shared" si="160"/>
        <v>0</v>
      </c>
      <c r="L296">
        <f>I296+(Расчёты!Y296-Расчёты!L296)</f>
        <v>0</v>
      </c>
      <c r="M296">
        <f t="shared" si="147"/>
        <v>0</v>
      </c>
      <c r="N296">
        <f>IF('Исходные данные'!$B$51="Да",-MAX(0,J296+Расчёты!R296+Расчёты!V296-Расчёты!P296-Расчёты!T296-M296),0)</f>
        <v>0</v>
      </c>
      <c r="O296">
        <f>IF('Исходные данные'!$B$51="Да",MAX(0,M296+Расчёты!P296+Расчёты!T296-J296-Расчёты!R296-Расчёты!V296),0)</f>
        <v>0</v>
      </c>
      <c r="P296">
        <f>IF('Исходные данные'!$B$53="Выручка",MAX(0,I296+(Расчёты!Q296-Расчёты!R296)+(Расчёты!U296-Расчёты!V296)),IF('Исходные данные'!$B$53="Прибыль до налога",MAX(0,I296+(Расчёты!Q296-Расчёты!R296)+(Расчёты!U296-Расчёты!V296)+N('Исходные данные'!$B$54)*((Расчёты!O296+Расчёты!P296)+(Расчёты!S296+Расчёты!T296)+Расчёты!W296+Расчёты!X296)+IF('Исходные данные'!$B$55="Да",Расчёты!AG296,0)-N('Исходные данные'!$B$56)/12),IF('Исходные данные'!$B$53="Пользовательская база",MAX(0,N('Исходные данные'!$B$57)/12),0)))</f>
        <v>0</v>
      </c>
      <c r="Q296">
        <f>IF(D296=1,-P296*N('Исходные данные'!$B$50),0)</f>
        <v>0</v>
      </c>
      <c r="R296">
        <f t="shared" si="148"/>
        <v>0</v>
      </c>
      <c r="S296">
        <f>IF(OR(D296&lt;&gt;1,B296="",'Исходные данные'!$B$91="",N('Исходные данные'!$B$80)&lt;=0,'Исходные данные'!$B$88=""),0,IF(AND(YEAR(B296)=YEAR('Исходные данные'!$B$91),MONTH(B296)=MONTH('Исходные данные'!$B$91)),MAX(0,IF('Исходные данные'!$B$88="Последние 12 месяцев",SUMIFS($L$2:$L$194,$B$2:$B$194,"&gt;="&amp;EDATE(B296,-11),$B$2:$B$194,"&lt;="&amp;B296),IF('Исходные данные'!$B$88="Пользовательский NOI",N('Исходные данные'!$B$89),R296))/N('Исходные данные'!$B$80)*(1+N('Исходные данные'!$B$81))),0))</f>
        <v>0</v>
      </c>
      <c r="T296">
        <f>-S296*N('Исходные данные'!$B$73)</f>
        <v>0</v>
      </c>
      <c r="U296">
        <f>IF(S296=0,0,-N('Исходные данные'!$B$87)-IF('Исходные данные'!$B$82="Да",IF('Исходные данные'!$B$84="С выручки",S296,IF('Исходные данные'!$B$84="С прибыли",MAX(0,S296+T296-IF('Исходные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96">
        <f t="shared" si="161"/>
        <v>0</v>
      </c>
      <c r="W296">
        <f>IF(D296=1,Расчёты!AZ296+K296+N296+Q296+V296,0)</f>
        <v>0</v>
      </c>
      <c r="X296" t="str">
        <f t="shared" si="149"/>
        <v/>
      </c>
      <c r="Y296">
        <f>IF(OR(D296=0,'Исходные данные'!$B$9="",'Исходные данные'!$B$90=""),0,W296/(1+'Исходные данные'!$B$90)^((C296-'Исходные данные'!$B$9)/365))</f>
        <v>0</v>
      </c>
      <c r="Z296">
        <f>IF(D296=1,K296+Расчёты!O296+Расчёты!Q296+Расчёты!S296+Расчёты!U296+Расчёты!W296+Расчёты!X296+N296+Q296,0)</f>
        <v>0</v>
      </c>
      <c r="AA296">
        <f>IF(AND(D296=1,X296&gt;=0,X295&lt;0,MIN($X$2:X296)&lt;0),1,0)</f>
        <v>0</v>
      </c>
      <c r="AB296">
        <f>IF(Расчёты!F296=0,0,IF(Расчёты!G296=1,N('Сценарный анализ'!$C$5),IF(Расчёты!G296=2,N('Сценарный анализ'!$C$6),IF(Расчёты!G296=3,N('Сценарный анализ'!$C$7),N('Сценарный анализ'!$C$7)*(1+N('Сценарный анализ'!$C$8))^(Расчёты!G296-3)))))</f>
        <v>0</v>
      </c>
      <c r="AC296">
        <f>IF(OR(Расчёты!F296=0,N('Исходные данные'!$B$5)=0,AB296=0),0,N('Исходные данные'!$B$5)*AB296*IF(AND(B296&lt;='Исходные данные'!$B$30,Расчёты!C296&gt;='Исходные данные'!$B$30),(Расчёты!C296-'Исходные данные'!$B$30+1)/DAY(Расчёты!C296),1))</f>
        <v>0</v>
      </c>
      <c r="AD296">
        <f>IF(AND(Расчёты!F296&gt;0,Расчёты!F296&lt;=N('Исходные данные'!$B$37)),-AC296,0)</f>
        <v>0</v>
      </c>
      <c r="AE296">
        <f>IF(OR(Расчёты!F296=0,Расчёты!F296&lt;=N('Исходные данные'!$B$37)),0,-(AC296+AD296)*N('Сценарный анализ'!$C$9))</f>
        <v>0</v>
      </c>
      <c r="AF296">
        <f t="shared" si="162"/>
        <v>0</v>
      </c>
      <c r="AG296">
        <f>IF('Исходные данные'!$B$51="Да",AF296*N('Исходные данные'!$B$52),0)</f>
        <v>0</v>
      </c>
      <c r="AH296">
        <f t="shared" si="163"/>
        <v>0</v>
      </c>
      <c r="AI296">
        <f>AF296+(Расчёты!Y296-Расчёты!L296)</f>
        <v>0</v>
      </c>
      <c r="AJ296">
        <f t="shared" si="150"/>
        <v>0</v>
      </c>
      <c r="AK296">
        <f>IF('Исходные данные'!$B$51="Да",-MAX(0,AG296+Расчёты!R296+Расчёты!V296-Расчёты!P296-Расчёты!T296-AJ296),0)</f>
        <v>0</v>
      </c>
      <c r="AL296">
        <f>IF('Исходные данные'!$B$51="Да",MAX(0,AJ296+Расчёты!P296+Расчёты!T296-AG296-Расчёты!R296-Расчёты!V296),0)</f>
        <v>0</v>
      </c>
      <c r="AM296">
        <f>IF('Исходные данные'!$B$53="Выручка",MAX(0,AF296+(Расчёты!Q296-Расчёты!R296)+(Расчёты!U296-Расчёты!V296)),IF('Исходные данные'!$B$53="Прибыль до налога",MAX(0,AF296+(Расчёты!Q296-Расчёты!R296)+(Расчёты!U296-Расчёты!V296)+N('Исходные данные'!$B$54)*((Расчёты!O296+Расчёты!P296)+(Расчёты!S296+Расчёты!T296)+Расчёты!W296+Расчёты!X296)+IF('Исходные данные'!$B$55="Да",Расчёты!AG296,0)-N('Исходные данные'!$B$56)/12),IF('Исходные данные'!$B$53="Пользовательская база",MAX(0,N('Исходные данные'!$B$57)/12),0)))</f>
        <v>0</v>
      </c>
      <c r="AN296">
        <f>IF(D296=1,-AM296*N('Исходные данные'!$B$50),0)</f>
        <v>0</v>
      </c>
      <c r="AO296">
        <f t="shared" si="151"/>
        <v>0</v>
      </c>
      <c r="AP296">
        <f>IF(OR(D296&lt;&gt;1,B296="",'Исходные данные'!$B$91="",N('Исходные данные'!$B$80)&lt;=0,'Исходные данные'!$B$88=""),0,IF(AND(YEAR(B296)=YEAR('Исходные данные'!$B$91),MONTH(B296)=MONTH('Исходные данные'!$B$91)),MAX(0,IF('Исходные данные'!$B$88="Последние 12 месяцев",SUMIFS($AI$2:$AI$194,$B$2:$B$194,"&gt;="&amp;EDATE(B296,-11),$B$2:$B$194,"&lt;="&amp;B296),IF('Исходные данные'!$B$88="Пользовательский NOI",N('Исходные данные'!$B$89),AO296))/N('Исходные данные'!$B$80)*(1+N('Исходные данные'!$B$81))),0))</f>
        <v>0</v>
      </c>
      <c r="AQ296">
        <f>-AP296*N('Исходные данные'!$B$73)</f>
        <v>0</v>
      </c>
      <c r="AR296">
        <f>IF(AP296=0,0,-N('Исходные данные'!$B$87)-IF('Исходные данные'!$B$82="Да",IF('Исходные данные'!$B$84="С выручки",AP296,IF('Исходные данные'!$B$84="С прибыли",MAX(0,AP296+AQ296-IF('Исходные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96">
        <f t="shared" si="164"/>
        <v>0</v>
      </c>
      <c r="AT296">
        <f>IF(D296=1,Расчёты!AZ296+AH296+AK296+AN296+AS296,0)</f>
        <v>0</v>
      </c>
      <c r="AU296" t="str">
        <f t="shared" si="152"/>
        <v/>
      </c>
      <c r="AV296">
        <f>IF(OR(D296=0,'Исходные данные'!$B$9="",'Исходные данные'!$B$90=""),0,AT296/(1+'Исходные данные'!$B$90)^((C296-'Исходные данные'!$B$9)/365))</f>
        <v>0</v>
      </c>
      <c r="AW296">
        <f>IF(D296=1,AH296+Расчёты!O296+Расчёты!Q296+Расчёты!S296+Расчёты!U296+Расчёты!W296+Расчёты!X296+AK296+AN296,0)</f>
        <v>0</v>
      </c>
      <c r="AX296">
        <f>IF(AND(D296=1,AU296&gt;=0,AU295&lt;0,MIN($AU$2:AU296)&lt;0),1,0)</f>
        <v>0</v>
      </c>
      <c r="AY296">
        <f>IF(Расчёты!F296=0,0,IF(Расчёты!G296=1,N('Сценарный анализ'!$D$5),IF(Расчёты!G296=2,N('Сценарный анализ'!$D$6),IF(Расчёты!G296=3,N('Сценарный анализ'!$D$7),N('Сценарный анализ'!$D$7)*(1+N('Сценарный анализ'!$D$8))^(Расчёты!G296-3)))))</f>
        <v>0</v>
      </c>
      <c r="AZ296">
        <f>IF(OR(Расчёты!F296=0,N('Исходные данные'!$B$5)=0,AY296=0),0,N('Исходные данные'!$B$5)*AY296*IF(AND(B296&lt;='Исходные данные'!$B$30,Расчёты!C296&gt;='Исходные данные'!$B$30),(Расчёты!C296-'Исходные данные'!$B$30+1)/DAY(Расчёты!C296),1))</f>
        <v>0</v>
      </c>
      <c r="BA296">
        <f>IF(AND(Расчёты!F296&gt;0,Расчёты!F296&lt;=N('Исходные данные'!$B$37)),-AZ296,0)</f>
        <v>0</v>
      </c>
      <c r="BB296">
        <f>IF(OR(Расчёты!F296=0,Расчёты!F296&lt;=N('Исходные данные'!$B$37)),0,-(AZ296+BA296)*N('Сценарный анализ'!$D$9))</f>
        <v>0</v>
      </c>
      <c r="BC296">
        <f t="shared" si="165"/>
        <v>0</v>
      </c>
      <c r="BD296">
        <f>IF('Исходные данные'!$B$51="Да",BC296*N('Исходные данные'!$B$52),0)</f>
        <v>0</v>
      </c>
      <c r="BE296">
        <f t="shared" si="166"/>
        <v>0</v>
      </c>
      <c r="BF296">
        <f>BC296+(Расчёты!Y296-Расчёты!L296)</f>
        <v>0</v>
      </c>
      <c r="BG296">
        <f t="shared" si="153"/>
        <v>0</v>
      </c>
      <c r="BH296">
        <f>IF('Исходные данные'!$B$51="Да",-MAX(0,BD296+Расчёты!R296+Расчёты!V296-Расчёты!P296-Расчёты!T296-BG296),0)</f>
        <v>0</v>
      </c>
      <c r="BI296">
        <f>IF('Исходные данные'!$B$51="Да",MAX(0,BG296+Расчёты!P296+Расчёты!T296-BD296-Расчёты!R296-Расчёты!V296),0)</f>
        <v>0</v>
      </c>
      <c r="BJ296">
        <f>IF('Исходные данные'!$B$53="Выручка",MAX(0,BC296+(Расчёты!Q296-Расчёты!R296)+(Расчёты!U296-Расчёты!V296)),IF('Исходные данные'!$B$53="Прибыль до налога",MAX(0,BC296+(Расчёты!Q296-Расчёты!R296)+(Расчёты!U296-Расчёты!V296)+N('Исходные данные'!$B$54)*((Расчёты!O296+Расчёты!P296)+(Расчёты!S296+Расчёты!T296)+Расчёты!W296+Расчёты!X296)+IF('Исходные данные'!$B$55="Да",Расчёты!AG296,0)-N('Исходные данные'!$B$56)/12),IF('Исходные данные'!$B$53="Пользовательская база",MAX(0,N('Исходные данные'!$B$57)/12),0)))</f>
        <v>0</v>
      </c>
      <c r="BK296">
        <f>IF(D296=1,-BJ296*N('Исходные данные'!$B$50),0)</f>
        <v>0</v>
      </c>
      <c r="BL296">
        <f t="shared" si="154"/>
        <v>0</v>
      </c>
      <c r="BM296">
        <f>IF(OR(D296&lt;&gt;1,B296="",'Исходные данные'!$B$91="",N('Исходные данные'!$B$80)&lt;=0,'Исходные данные'!$B$88=""),0,IF(AND(YEAR(B296)=YEAR('Исходные данные'!$B$91),MONTH(B296)=MONTH('Исходные данные'!$B$91)),MAX(0,IF('Исходные данные'!$B$88="Последние 12 месяцев",SUMIFS($BF$2:$BF$194,$B$2:$B$194,"&gt;="&amp;EDATE(B296,-11),$B$2:$B$194,"&lt;="&amp;B296),IF('Исходные данные'!$B$88="Пользовательский NOI",N('Исходные данные'!$B$89),BL296))/N('Исходные данные'!$B$80)*(1+N('Исходные данные'!$B$81))),0))</f>
        <v>0</v>
      </c>
      <c r="BN296">
        <f>-BM296*N('Исходные данные'!$B$73)</f>
        <v>0</v>
      </c>
      <c r="BO296">
        <f>IF(BM296=0,0,-N('Исходные данные'!$B$87)-IF('Исходные данные'!$B$82="Да",IF('Исходные данные'!$B$84="С выручки",BM296,IF('Исходные данные'!$B$84="С прибыли",MAX(0,BM296+BN296-IF('Исходные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96">
        <f t="shared" si="167"/>
        <v>0</v>
      </c>
      <c r="BQ296">
        <f>IF(D296=1,Расчёты!AZ296+BE296+BH296+BK296+BP296,0)</f>
        <v>0</v>
      </c>
      <c r="BR296" t="str">
        <f t="shared" si="155"/>
        <v/>
      </c>
      <c r="BS296">
        <f>IF(OR(D296=0,'Исходные данные'!$B$9="",'Исходные данные'!$B$90=""),0,BQ296/(1+'Исходные данные'!$B$90)^((C296-'Исходные данные'!$B$9)/365))</f>
        <v>0</v>
      </c>
      <c r="BT296">
        <f>IF(D296=1,BE296+Расчёты!O296+Расчёты!Q296+Расчёты!S296+Расчёты!U296+Расчёты!W296+Расчёты!X296+BH296+BK296,0)</f>
        <v>0</v>
      </c>
      <c r="BU296">
        <f>IF(AND(D296=1,BR296&gt;=0,BR295&lt;0,MIN($BR$2:BR296)&lt;0),1,0)</f>
        <v>0</v>
      </c>
      <c r="BV296">
        <f>Расчёты!AZ296+K296+N296-P296*N('Исходные данные'!$B$50)</f>
        <v>0</v>
      </c>
      <c r="BW296">
        <f t="shared" si="156"/>
        <v>0</v>
      </c>
      <c r="BX296">
        <f>IF(AND(BW296&gt;=0,BW295&lt;0,MIN($BW$2:BW296)&lt;0),1,0)</f>
        <v>0</v>
      </c>
      <c r="BY296">
        <f>Расчёты!AZ296+AH296+AK296-AM296*N('Исходные данные'!$B$50)</f>
        <v>0</v>
      </c>
      <c r="BZ296">
        <f t="shared" si="157"/>
        <v>0</v>
      </c>
      <c r="CA296">
        <f>IF(AND(BZ296&gt;=0,BZ295&lt;0,MIN($BZ$2:BZ296)&lt;0),1,0)</f>
        <v>0</v>
      </c>
      <c r="CB296">
        <f>Расчёты!AZ296+BE296+BH296-BJ296*N('Исходные данные'!$B$50)</f>
        <v>0</v>
      </c>
      <c r="CC296">
        <f t="shared" si="158"/>
        <v>0</v>
      </c>
      <c r="CD296">
        <f>IF(AND(CC296&gt;=0,CC295&lt;0,MIN($CC$2:CC296)&lt;0),1,0)</f>
        <v>0</v>
      </c>
    </row>
    <row r="297" spans="1:82" x14ac:dyDescent="0.2">
      <c r="A297">
        <f>Расчёты!A297</f>
        <v>296</v>
      </c>
      <c r="B297" t="str">
        <f>Расчёты!B297</f>
        <v/>
      </c>
      <c r="C297" t="str">
        <f>Расчёты!D297</f>
        <v/>
      </c>
      <c r="D297">
        <f>Расчёты!E297</f>
        <v>0</v>
      </c>
      <c r="E297">
        <f>IF(Расчёты!F297=0,0,IF(Расчёты!G297=1,N('Сценарный анализ'!$B$5),IF(Расчёты!G297=2,N('Сценарный анализ'!$B$6),IF(Расчёты!G297=3,N('Сценарный анализ'!$B$7),N('Сценарный анализ'!$B$7)*(1+N('Сценарный анализ'!$B$8))^(Расчёты!G297-3)))))</f>
        <v>0</v>
      </c>
      <c r="F297">
        <f>IF(OR(Расчёты!F297=0,N('Исходные данные'!$B$5)=0,E297=0),0,N('Исходные данные'!$B$5)*E297*IF(AND(B297&lt;='Исходные данные'!$B$30,Расчёты!C297&gt;='Исходные данные'!$B$30),(Расчёты!C297-'Исходные данные'!$B$30+1)/DAY(Расчёты!C297),1))</f>
        <v>0</v>
      </c>
      <c r="G297">
        <f>IF(AND(Расчёты!F297&gt;0,Расчёты!F297&lt;=N('Исходные данные'!$B$37)),-F297,0)</f>
        <v>0</v>
      </c>
      <c r="H297">
        <f>IF(OR(Расчёты!F297=0,Расчёты!F297&lt;=N('Исходные данные'!$B$37)),0,-(F297+G297)*N('Сценарный анализ'!$B$9))</f>
        <v>0</v>
      </c>
      <c r="I297">
        <f t="shared" si="159"/>
        <v>0</v>
      </c>
      <c r="J297">
        <f>IF('Исходные данные'!$B$51="Да",I297*N('Исходные данные'!$B$52),0)</f>
        <v>0</v>
      </c>
      <c r="K297">
        <f t="shared" si="160"/>
        <v>0</v>
      </c>
      <c r="L297">
        <f>I297+(Расчёты!Y297-Расчёты!L297)</f>
        <v>0</v>
      </c>
      <c r="M297">
        <f t="shared" si="147"/>
        <v>0</v>
      </c>
      <c r="N297">
        <f>IF('Исходные данные'!$B$51="Да",-MAX(0,J297+Расчёты!R297+Расчёты!V297-Расчёты!P297-Расчёты!T297-M297),0)</f>
        <v>0</v>
      </c>
      <c r="O297">
        <f>IF('Исходные данные'!$B$51="Да",MAX(0,M297+Расчёты!P297+Расчёты!T297-J297-Расчёты!R297-Расчёты!V297),0)</f>
        <v>0</v>
      </c>
      <c r="P297">
        <f>IF('Исходные данные'!$B$53="Выручка",MAX(0,I297+(Расчёты!Q297-Расчёты!R297)+(Расчёты!U297-Расчёты!V297)),IF('Исходные данные'!$B$53="Прибыль до налога",MAX(0,I297+(Расчёты!Q297-Расчёты!R297)+(Расчёты!U297-Расчёты!V297)+N('Исходные данные'!$B$54)*((Расчёты!O297+Расчёты!P297)+(Расчёты!S297+Расчёты!T297)+Расчёты!W297+Расчёты!X297)+IF('Исходные данные'!$B$55="Да",Расчёты!AG297,0)-N('Исходные данные'!$B$56)/12),IF('Исходные данные'!$B$53="Пользовательская база",MAX(0,N('Исходные данные'!$B$57)/12),0)))</f>
        <v>0</v>
      </c>
      <c r="Q297">
        <f>IF(D297=1,-P297*N('Исходные данные'!$B$50),0)</f>
        <v>0</v>
      </c>
      <c r="R297">
        <f t="shared" si="148"/>
        <v>0</v>
      </c>
      <c r="S297">
        <f>IF(OR(D297&lt;&gt;1,B297="",'Исходные данные'!$B$91="",N('Исходные данные'!$B$80)&lt;=0,'Исходные данные'!$B$88=""),0,IF(AND(YEAR(B297)=YEAR('Исходные данные'!$B$91),MONTH(B297)=MONTH('Исходные данные'!$B$91)),MAX(0,IF('Исходные данные'!$B$88="Последние 12 месяцев",SUMIFS($L$2:$L$194,$B$2:$B$194,"&gt;="&amp;EDATE(B297,-11),$B$2:$B$194,"&lt;="&amp;B297),IF('Исходные данные'!$B$88="Пользовательский NOI",N('Исходные данные'!$B$89),R297))/N('Исходные данные'!$B$80)*(1+N('Исходные данные'!$B$81))),0))</f>
        <v>0</v>
      </c>
      <c r="T297">
        <f>-S297*N('Исходные данные'!$B$73)</f>
        <v>0</v>
      </c>
      <c r="U297">
        <f>IF(S297=0,0,-N('Исходные данные'!$B$87)-IF('Исходные данные'!$B$82="Да",IF('Исходные данные'!$B$84="С выручки",S297,IF('Исходные данные'!$B$84="С прибыли",MAX(0,S297+T297-IF('Исходные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97">
        <f t="shared" si="161"/>
        <v>0</v>
      </c>
      <c r="W297">
        <f>IF(D297=1,Расчёты!AZ297+K297+N297+Q297+V297,0)</f>
        <v>0</v>
      </c>
      <c r="X297" t="str">
        <f t="shared" si="149"/>
        <v/>
      </c>
      <c r="Y297">
        <f>IF(OR(D297=0,'Исходные данные'!$B$9="",'Исходные данные'!$B$90=""),0,W297/(1+'Исходные данные'!$B$90)^((C297-'Исходные данные'!$B$9)/365))</f>
        <v>0</v>
      </c>
      <c r="Z297">
        <f>IF(D297=1,K297+Расчёты!O297+Расчёты!Q297+Расчёты!S297+Расчёты!U297+Расчёты!W297+Расчёты!X297+N297+Q297,0)</f>
        <v>0</v>
      </c>
      <c r="AA297">
        <f>IF(AND(D297=1,X297&gt;=0,X296&lt;0,MIN($X$2:X297)&lt;0),1,0)</f>
        <v>0</v>
      </c>
      <c r="AB297">
        <f>IF(Расчёты!F297=0,0,IF(Расчёты!G297=1,N('Сценарный анализ'!$C$5),IF(Расчёты!G297=2,N('Сценарный анализ'!$C$6),IF(Расчёты!G297=3,N('Сценарный анализ'!$C$7),N('Сценарный анализ'!$C$7)*(1+N('Сценарный анализ'!$C$8))^(Расчёты!G297-3)))))</f>
        <v>0</v>
      </c>
      <c r="AC297">
        <f>IF(OR(Расчёты!F297=0,N('Исходные данные'!$B$5)=0,AB297=0),0,N('Исходные данные'!$B$5)*AB297*IF(AND(B297&lt;='Исходные данные'!$B$30,Расчёты!C297&gt;='Исходные данные'!$B$30),(Расчёты!C297-'Исходные данные'!$B$30+1)/DAY(Расчёты!C297),1))</f>
        <v>0</v>
      </c>
      <c r="AD297">
        <f>IF(AND(Расчёты!F297&gt;0,Расчёты!F297&lt;=N('Исходные данные'!$B$37)),-AC297,0)</f>
        <v>0</v>
      </c>
      <c r="AE297">
        <f>IF(OR(Расчёты!F297=0,Расчёты!F297&lt;=N('Исходные данные'!$B$37)),0,-(AC297+AD297)*N('Сценарный анализ'!$C$9))</f>
        <v>0</v>
      </c>
      <c r="AF297">
        <f t="shared" si="162"/>
        <v>0</v>
      </c>
      <c r="AG297">
        <f>IF('Исходные данные'!$B$51="Да",AF297*N('Исходные данные'!$B$52),0)</f>
        <v>0</v>
      </c>
      <c r="AH297">
        <f t="shared" si="163"/>
        <v>0</v>
      </c>
      <c r="AI297">
        <f>AF297+(Расчёты!Y297-Расчёты!L297)</f>
        <v>0</v>
      </c>
      <c r="AJ297">
        <f t="shared" si="150"/>
        <v>0</v>
      </c>
      <c r="AK297">
        <f>IF('Исходные данные'!$B$51="Да",-MAX(0,AG297+Расчёты!R297+Расчёты!V297-Расчёты!P297-Расчёты!T297-AJ297),0)</f>
        <v>0</v>
      </c>
      <c r="AL297">
        <f>IF('Исходные данные'!$B$51="Да",MAX(0,AJ297+Расчёты!P297+Расчёты!T297-AG297-Расчёты!R297-Расчёты!V297),0)</f>
        <v>0</v>
      </c>
      <c r="AM297">
        <f>IF('Исходные данные'!$B$53="Выручка",MAX(0,AF297+(Расчёты!Q297-Расчёты!R297)+(Расчёты!U297-Расчёты!V297)),IF('Исходные данные'!$B$53="Прибыль до налога",MAX(0,AF297+(Расчёты!Q297-Расчёты!R297)+(Расчёты!U297-Расчёты!V297)+N('Исходные данные'!$B$54)*((Расчёты!O297+Расчёты!P297)+(Расчёты!S297+Расчёты!T297)+Расчёты!W297+Расчёты!X297)+IF('Исходные данные'!$B$55="Да",Расчёты!AG297,0)-N('Исходные данные'!$B$56)/12),IF('Исходные данные'!$B$53="Пользовательская база",MAX(0,N('Исходные данные'!$B$57)/12),0)))</f>
        <v>0</v>
      </c>
      <c r="AN297">
        <f>IF(D297=1,-AM297*N('Исходные данные'!$B$50),0)</f>
        <v>0</v>
      </c>
      <c r="AO297">
        <f t="shared" si="151"/>
        <v>0</v>
      </c>
      <c r="AP297">
        <f>IF(OR(D297&lt;&gt;1,B297="",'Исходные данные'!$B$91="",N('Исходные данные'!$B$80)&lt;=0,'Исходные данные'!$B$88=""),0,IF(AND(YEAR(B297)=YEAR('Исходные данные'!$B$91),MONTH(B297)=MONTH('Исходные данные'!$B$91)),MAX(0,IF('Исходные данные'!$B$88="Последние 12 месяцев",SUMIFS($AI$2:$AI$194,$B$2:$B$194,"&gt;="&amp;EDATE(B297,-11),$B$2:$B$194,"&lt;="&amp;B297),IF('Исходные данные'!$B$88="Пользовательский NOI",N('Исходные данные'!$B$89),AO297))/N('Исходные данные'!$B$80)*(1+N('Исходные данные'!$B$81))),0))</f>
        <v>0</v>
      </c>
      <c r="AQ297">
        <f>-AP297*N('Исходные данные'!$B$73)</f>
        <v>0</v>
      </c>
      <c r="AR297">
        <f>IF(AP297=0,0,-N('Исходные данные'!$B$87)-IF('Исходные данные'!$B$82="Да",IF('Исходные данные'!$B$84="С выручки",AP297,IF('Исходные данные'!$B$84="С прибыли",MAX(0,AP297+AQ297-IF('Исходные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97">
        <f t="shared" si="164"/>
        <v>0</v>
      </c>
      <c r="AT297">
        <f>IF(D297=1,Расчёты!AZ297+AH297+AK297+AN297+AS297,0)</f>
        <v>0</v>
      </c>
      <c r="AU297" t="str">
        <f t="shared" si="152"/>
        <v/>
      </c>
      <c r="AV297">
        <f>IF(OR(D297=0,'Исходные данные'!$B$9="",'Исходные данные'!$B$90=""),0,AT297/(1+'Исходные данные'!$B$90)^((C297-'Исходные данные'!$B$9)/365))</f>
        <v>0</v>
      </c>
      <c r="AW297">
        <f>IF(D297=1,AH297+Расчёты!O297+Расчёты!Q297+Расчёты!S297+Расчёты!U297+Расчёты!W297+Расчёты!X297+AK297+AN297,0)</f>
        <v>0</v>
      </c>
      <c r="AX297">
        <f>IF(AND(D297=1,AU297&gt;=0,AU296&lt;0,MIN($AU$2:AU297)&lt;0),1,0)</f>
        <v>0</v>
      </c>
      <c r="AY297">
        <f>IF(Расчёты!F297=0,0,IF(Расчёты!G297=1,N('Сценарный анализ'!$D$5),IF(Расчёты!G297=2,N('Сценарный анализ'!$D$6),IF(Расчёты!G297=3,N('Сценарный анализ'!$D$7),N('Сценарный анализ'!$D$7)*(1+N('Сценарный анализ'!$D$8))^(Расчёты!G297-3)))))</f>
        <v>0</v>
      </c>
      <c r="AZ297">
        <f>IF(OR(Расчёты!F297=0,N('Исходные данные'!$B$5)=0,AY297=0),0,N('Исходные данные'!$B$5)*AY297*IF(AND(B297&lt;='Исходные данные'!$B$30,Расчёты!C297&gt;='Исходные данные'!$B$30),(Расчёты!C297-'Исходные данные'!$B$30+1)/DAY(Расчёты!C297),1))</f>
        <v>0</v>
      </c>
      <c r="BA297">
        <f>IF(AND(Расчёты!F297&gt;0,Расчёты!F297&lt;=N('Исходные данные'!$B$37)),-AZ297,0)</f>
        <v>0</v>
      </c>
      <c r="BB297">
        <f>IF(OR(Расчёты!F297=0,Расчёты!F297&lt;=N('Исходные данные'!$B$37)),0,-(AZ297+BA297)*N('Сценарный анализ'!$D$9))</f>
        <v>0</v>
      </c>
      <c r="BC297">
        <f t="shared" si="165"/>
        <v>0</v>
      </c>
      <c r="BD297">
        <f>IF('Исходные данные'!$B$51="Да",BC297*N('Исходные данные'!$B$52),0)</f>
        <v>0</v>
      </c>
      <c r="BE297">
        <f t="shared" si="166"/>
        <v>0</v>
      </c>
      <c r="BF297">
        <f>BC297+(Расчёты!Y297-Расчёты!L297)</f>
        <v>0</v>
      </c>
      <c r="BG297">
        <f t="shared" si="153"/>
        <v>0</v>
      </c>
      <c r="BH297">
        <f>IF('Исходные данные'!$B$51="Да",-MAX(0,BD297+Расчёты!R297+Расчёты!V297-Расчёты!P297-Расчёты!T297-BG297),0)</f>
        <v>0</v>
      </c>
      <c r="BI297">
        <f>IF('Исходные данные'!$B$51="Да",MAX(0,BG297+Расчёты!P297+Расчёты!T297-BD297-Расчёты!R297-Расчёты!V297),0)</f>
        <v>0</v>
      </c>
      <c r="BJ297">
        <f>IF('Исходные данные'!$B$53="Выручка",MAX(0,BC297+(Расчёты!Q297-Расчёты!R297)+(Расчёты!U297-Расчёты!V297)),IF('Исходные данные'!$B$53="Прибыль до налога",MAX(0,BC297+(Расчёты!Q297-Расчёты!R297)+(Расчёты!U297-Расчёты!V297)+N('Исходные данные'!$B$54)*((Расчёты!O297+Расчёты!P297)+(Расчёты!S297+Расчёты!T297)+Расчёты!W297+Расчёты!X297)+IF('Исходные данные'!$B$55="Да",Расчёты!AG297,0)-N('Исходные данные'!$B$56)/12),IF('Исходные данные'!$B$53="Пользовательская база",MAX(0,N('Исходные данные'!$B$57)/12),0)))</f>
        <v>0</v>
      </c>
      <c r="BK297">
        <f>IF(D297=1,-BJ297*N('Исходные данные'!$B$50),0)</f>
        <v>0</v>
      </c>
      <c r="BL297">
        <f t="shared" si="154"/>
        <v>0</v>
      </c>
      <c r="BM297">
        <f>IF(OR(D297&lt;&gt;1,B297="",'Исходные данные'!$B$91="",N('Исходные данные'!$B$80)&lt;=0,'Исходные данные'!$B$88=""),0,IF(AND(YEAR(B297)=YEAR('Исходные данные'!$B$91),MONTH(B297)=MONTH('Исходные данные'!$B$91)),MAX(0,IF('Исходные данные'!$B$88="Последние 12 месяцев",SUMIFS($BF$2:$BF$194,$B$2:$B$194,"&gt;="&amp;EDATE(B297,-11),$B$2:$B$194,"&lt;="&amp;B297),IF('Исходные данные'!$B$88="Пользовательский NOI",N('Исходные данные'!$B$89),BL297))/N('Исходные данные'!$B$80)*(1+N('Исходные данные'!$B$81))),0))</f>
        <v>0</v>
      </c>
      <c r="BN297">
        <f>-BM297*N('Исходные данные'!$B$73)</f>
        <v>0</v>
      </c>
      <c r="BO297">
        <f>IF(BM297=0,0,-N('Исходные данные'!$B$87)-IF('Исходные данные'!$B$82="Да",IF('Исходные данные'!$B$84="С выручки",BM297,IF('Исходные данные'!$B$84="С прибыли",MAX(0,BM297+BN297-IF('Исходные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97">
        <f t="shared" si="167"/>
        <v>0</v>
      </c>
      <c r="BQ297">
        <f>IF(D297=1,Расчёты!AZ297+BE297+BH297+BK297+BP297,0)</f>
        <v>0</v>
      </c>
      <c r="BR297" t="str">
        <f t="shared" si="155"/>
        <v/>
      </c>
      <c r="BS297">
        <f>IF(OR(D297=0,'Исходные данные'!$B$9="",'Исходные данные'!$B$90=""),0,BQ297/(1+'Исходные данные'!$B$90)^((C297-'Исходные данные'!$B$9)/365))</f>
        <v>0</v>
      </c>
      <c r="BT297">
        <f>IF(D297=1,BE297+Расчёты!O297+Расчёты!Q297+Расчёты!S297+Расчёты!U297+Расчёты!W297+Расчёты!X297+BH297+BK297,0)</f>
        <v>0</v>
      </c>
      <c r="BU297">
        <f>IF(AND(D297=1,BR297&gt;=0,BR296&lt;0,MIN($BR$2:BR297)&lt;0),1,0)</f>
        <v>0</v>
      </c>
      <c r="BV297">
        <f>Расчёты!AZ297+K297+N297-P297*N('Исходные данные'!$B$50)</f>
        <v>0</v>
      </c>
      <c r="BW297">
        <f t="shared" si="156"/>
        <v>0</v>
      </c>
      <c r="BX297">
        <f>IF(AND(BW297&gt;=0,BW296&lt;0,MIN($BW$2:BW297)&lt;0),1,0)</f>
        <v>0</v>
      </c>
      <c r="BY297">
        <f>Расчёты!AZ297+AH297+AK297-AM297*N('Исходные данные'!$B$50)</f>
        <v>0</v>
      </c>
      <c r="BZ297">
        <f t="shared" si="157"/>
        <v>0</v>
      </c>
      <c r="CA297">
        <f>IF(AND(BZ297&gt;=0,BZ296&lt;0,MIN($BZ$2:BZ297)&lt;0),1,0)</f>
        <v>0</v>
      </c>
      <c r="CB297">
        <f>Расчёты!AZ297+BE297+BH297-BJ297*N('Исходные данные'!$B$50)</f>
        <v>0</v>
      </c>
      <c r="CC297">
        <f t="shared" si="158"/>
        <v>0</v>
      </c>
      <c r="CD297">
        <f>IF(AND(CC297&gt;=0,CC296&lt;0,MIN($CC$2:CC297)&lt;0),1,0)</f>
        <v>0</v>
      </c>
    </row>
    <row r="298" spans="1:82" x14ac:dyDescent="0.2">
      <c r="A298">
        <f>Расчёты!A298</f>
        <v>297</v>
      </c>
      <c r="B298" t="str">
        <f>Расчёты!B298</f>
        <v/>
      </c>
      <c r="C298" t="str">
        <f>Расчёты!D298</f>
        <v/>
      </c>
      <c r="D298">
        <f>Расчёты!E298</f>
        <v>0</v>
      </c>
      <c r="E298">
        <f>IF(Расчёты!F298=0,0,IF(Расчёты!G298=1,N('Сценарный анализ'!$B$5),IF(Расчёты!G298=2,N('Сценарный анализ'!$B$6),IF(Расчёты!G298=3,N('Сценарный анализ'!$B$7),N('Сценарный анализ'!$B$7)*(1+N('Сценарный анализ'!$B$8))^(Расчёты!G298-3)))))</f>
        <v>0</v>
      </c>
      <c r="F298">
        <f>IF(OR(Расчёты!F298=0,N('Исходные данные'!$B$5)=0,E298=0),0,N('Исходные данные'!$B$5)*E298*IF(AND(B298&lt;='Исходные данные'!$B$30,Расчёты!C298&gt;='Исходные данные'!$B$30),(Расчёты!C298-'Исходные данные'!$B$30+1)/DAY(Расчёты!C298),1))</f>
        <v>0</v>
      </c>
      <c r="G298">
        <f>IF(AND(Расчёты!F298&gt;0,Расчёты!F298&lt;=N('Исходные данные'!$B$37)),-F298,0)</f>
        <v>0</v>
      </c>
      <c r="H298">
        <f>IF(OR(Расчёты!F298=0,Расчёты!F298&lt;=N('Исходные данные'!$B$37)),0,-(F298+G298)*N('Сценарный анализ'!$B$9))</f>
        <v>0</v>
      </c>
      <c r="I298">
        <f t="shared" si="159"/>
        <v>0</v>
      </c>
      <c r="J298">
        <f>IF('Исходные данные'!$B$51="Да",I298*N('Исходные данные'!$B$52),0)</f>
        <v>0</v>
      </c>
      <c r="K298">
        <f t="shared" si="160"/>
        <v>0</v>
      </c>
      <c r="L298">
        <f>I298+(Расчёты!Y298-Расчёты!L298)</f>
        <v>0</v>
      </c>
      <c r="M298">
        <f t="shared" si="147"/>
        <v>0</v>
      </c>
      <c r="N298">
        <f>IF('Исходные данные'!$B$51="Да",-MAX(0,J298+Расчёты!R298+Расчёты!V298-Расчёты!P298-Расчёты!T298-M298),0)</f>
        <v>0</v>
      </c>
      <c r="O298">
        <f>IF('Исходные данные'!$B$51="Да",MAX(0,M298+Расчёты!P298+Расчёты!T298-J298-Расчёты!R298-Расчёты!V298),0)</f>
        <v>0</v>
      </c>
      <c r="P298">
        <f>IF('Исходные данные'!$B$53="Выручка",MAX(0,I298+(Расчёты!Q298-Расчёты!R298)+(Расчёты!U298-Расчёты!V298)),IF('Исходные данные'!$B$53="Прибыль до налога",MAX(0,I298+(Расчёты!Q298-Расчёты!R298)+(Расчёты!U298-Расчёты!V298)+N('Исходные данные'!$B$54)*((Расчёты!O298+Расчёты!P298)+(Расчёты!S298+Расчёты!T298)+Расчёты!W298+Расчёты!X298)+IF('Исходные данные'!$B$55="Да",Расчёты!AG298,0)-N('Исходные данные'!$B$56)/12),IF('Исходные данные'!$B$53="Пользовательская база",MAX(0,N('Исходные данные'!$B$57)/12),0)))</f>
        <v>0</v>
      </c>
      <c r="Q298">
        <f>IF(D298=1,-P298*N('Исходные данные'!$B$50),0)</f>
        <v>0</v>
      </c>
      <c r="R298">
        <f t="shared" si="148"/>
        <v>0</v>
      </c>
      <c r="S298">
        <f>IF(OR(D298&lt;&gt;1,B298="",'Исходные данные'!$B$91="",N('Исходные данные'!$B$80)&lt;=0,'Исходные данные'!$B$88=""),0,IF(AND(YEAR(B298)=YEAR('Исходные данные'!$B$91),MONTH(B298)=MONTH('Исходные данные'!$B$91)),MAX(0,IF('Исходные данные'!$B$88="Последние 12 месяцев",SUMIFS($L$2:$L$194,$B$2:$B$194,"&gt;="&amp;EDATE(B298,-11),$B$2:$B$194,"&lt;="&amp;B298),IF('Исходные данные'!$B$88="Пользовательский NOI",N('Исходные данные'!$B$89),R298))/N('Исходные данные'!$B$80)*(1+N('Исходные данные'!$B$81))),0))</f>
        <v>0</v>
      </c>
      <c r="T298">
        <f>-S298*N('Исходные данные'!$B$73)</f>
        <v>0</v>
      </c>
      <c r="U298">
        <f>IF(S298=0,0,-N('Исходные данные'!$B$87)-IF('Исходные данные'!$B$82="Да",IF('Исходные данные'!$B$84="С выручки",S298,IF('Исходные данные'!$B$84="С прибыли",MAX(0,S298+T298-IF('Исходные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98">
        <f t="shared" si="161"/>
        <v>0</v>
      </c>
      <c r="W298">
        <f>IF(D298=1,Расчёты!AZ298+K298+N298+Q298+V298,0)</f>
        <v>0</v>
      </c>
      <c r="X298" t="str">
        <f t="shared" si="149"/>
        <v/>
      </c>
      <c r="Y298">
        <f>IF(OR(D298=0,'Исходные данные'!$B$9="",'Исходные данные'!$B$90=""),0,W298/(1+'Исходные данные'!$B$90)^((C298-'Исходные данные'!$B$9)/365))</f>
        <v>0</v>
      </c>
      <c r="Z298">
        <f>IF(D298=1,K298+Расчёты!O298+Расчёты!Q298+Расчёты!S298+Расчёты!U298+Расчёты!W298+Расчёты!X298+N298+Q298,0)</f>
        <v>0</v>
      </c>
      <c r="AA298">
        <f>IF(AND(D298=1,X298&gt;=0,X297&lt;0,MIN($X$2:X298)&lt;0),1,0)</f>
        <v>0</v>
      </c>
      <c r="AB298">
        <f>IF(Расчёты!F298=0,0,IF(Расчёты!G298=1,N('Сценарный анализ'!$C$5),IF(Расчёты!G298=2,N('Сценарный анализ'!$C$6),IF(Расчёты!G298=3,N('Сценарный анализ'!$C$7),N('Сценарный анализ'!$C$7)*(1+N('Сценарный анализ'!$C$8))^(Расчёты!G298-3)))))</f>
        <v>0</v>
      </c>
      <c r="AC298">
        <f>IF(OR(Расчёты!F298=0,N('Исходные данные'!$B$5)=0,AB298=0),0,N('Исходные данные'!$B$5)*AB298*IF(AND(B298&lt;='Исходные данные'!$B$30,Расчёты!C298&gt;='Исходные данные'!$B$30),(Расчёты!C298-'Исходные данные'!$B$30+1)/DAY(Расчёты!C298),1))</f>
        <v>0</v>
      </c>
      <c r="AD298">
        <f>IF(AND(Расчёты!F298&gt;0,Расчёты!F298&lt;=N('Исходные данные'!$B$37)),-AC298,0)</f>
        <v>0</v>
      </c>
      <c r="AE298">
        <f>IF(OR(Расчёты!F298=0,Расчёты!F298&lt;=N('Исходные данные'!$B$37)),0,-(AC298+AD298)*N('Сценарный анализ'!$C$9))</f>
        <v>0</v>
      </c>
      <c r="AF298">
        <f t="shared" si="162"/>
        <v>0</v>
      </c>
      <c r="AG298">
        <f>IF('Исходные данные'!$B$51="Да",AF298*N('Исходные данные'!$B$52),0)</f>
        <v>0</v>
      </c>
      <c r="AH298">
        <f t="shared" si="163"/>
        <v>0</v>
      </c>
      <c r="AI298">
        <f>AF298+(Расчёты!Y298-Расчёты!L298)</f>
        <v>0</v>
      </c>
      <c r="AJ298">
        <f t="shared" si="150"/>
        <v>0</v>
      </c>
      <c r="AK298">
        <f>IF('Исходные данные'!$B$51="Да",-MAX(0,AG298+Расчёты!R298+Расчёты!V298-Расчёты!P298-Расчёты!T298-AJ298),0)</f>
        <v>0</v>
      </c>
      <c r="AL298">
        <f>IF('Исходные данные'!$B$51="Да",MAX(0,AJ298+Расчёты!P298+Расчёты!T298-AG298-Расчёты!R298-Расчёты!V298),0)</f>
        <v>0</v>
      </c>
      <c r="AM298">
        <f>IF('Исходные данные'!$B$53="Выручка",MAX(0,AF298+(Расчёты!Q298-Расчёты!R298)+(Расчёты!U298-Расчёты!V298)),IF('Исходные данные'!$B$53="Прибыль до налога",MAX(0,AF298+(Расчёты!Q298-Расчёты!R298)+(Расчёты!U298-Расчёты!V298)+N('Исходные данные'!$B$54)*((Расчёты!O298+Расчёты!P298)+(Расчёты!S298+Расчёты!T298)+Расчёты!W298+Расчёты!X298)+IF('Исходные данные'!$B$55="Да",Расчёты!AG298,0)-N('Исходные данные'!$B$56)/12),IF('Исходные данные'!$B$53="Пользовательская база",MAX(0,N('Исходные данные'!$B$57)/12),0)))</f>
        <v>0</v>
      </c>
      <c r="AN298">
        <f>IF(D298=1,-AM298*N('Исходные данные'!$B$50),0)</f>
        <v>0</v>
      </c>
      <c r="AO298">
        <f t="shared" si="151"/>
        <v>0</v>
      </c>
      <c r="AP298">
        <f>IF(OR(D298&lt;&gt;1,B298="",'Исходные данные'!$B$91="",N('Исходные данные'!$B$80)&lt;=0,'Исходные данные'!$B$88=""),0,IF(AND(YEAR(B298)=YEAR('Исходные данные'!$B$91),MONTH(B298)=MONTH('Исходные данные'!$B$91)),MAX(0,IF('Исходные данные'!$B$88="Последние 12 месяцев",SUMIFS($AI$2:$AI$194,$B$2:$B$194,"&gt;="&amp;EDATE(B298,-11),$B$2:$B$194,"&lt;="&amp;B298),IF('Исходные данные'!$B$88="Пользовательский NOI",N('Исходные данные'!$B$89),AO298))/N('Исходные данные'!$B$80)*(1+N('Исходные данные'!$B$81))),0))</f>
        <v>0</v>
      </c>
      <c r="AQ298">
        <f>-AP298*N('Исходные данные'!$B$73)</f>
        <v>0</v>
      </c>
      <c r="AR298">
        <f>IF(AP298=0,0,-N('Исходные данные'!$B$87)-IF('Исходные данные'!$B$82="Да",IF('Исходные данные'!$B$84="С выручки",AP298,IF('Исходные данные'!$B$84="С прибыли",MAX(0,AP298+AQ298-IF('Исходные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98">
        <f t="shared" si="164"/>
        <v>0</v>
      </c>
      <c r="AT298">
        <f>IF(D298=1,Расчёты!AZ298+AH298+AK298+AN298+AS298,0)</f>
        <v>0</v>
      </c>
      <c r="AU298" t="str">
        <f t="shared" si="152"/>
        <v/>
      </c>
      <c r="AV298">
        <f>IF(OR(D298=0,'Исходные данные'!$B$9="",'Исходные данные'!$B$90=""),0,AT298/(1+'Исходные данные'!$B$90)^((C298-'Исходные данные'!$B$9)/365))</f>
        <v>0</v>
      </c>
      <c r="AW298">
        <f>IF(D298=1,AH298+Расчёты!O298+Расчёты!Q298+Расчёты!S298+Расчёты!U298+Расчёты!W298+Расчёты!X298+AK298+AN298,0)</f>
        <v>0</v>
      </c>
      <c r="AX298">
        <f>IF(AND(D298=1,AU298&gt;=0,AU297&lt;0,MIN($AU$2:AU298)&lt;0),1,0)</f>
        <v>0</v>
      </c>
      <c r="AY298">
        <f>IF(Расчёты!F298=0,0,IF(Расчёты!G298=1,N('Сценарный анализ'!$D$5),IF(Расчёты!G298=2,N('Сценарный анализ'!$D$6),IF(Расчёты!G298=3,N('Сценарный анализ'!$D$7),N('Сценарный анализ'!$D$7)*(1+N('Сценарный анализ'!$D$8))^(Расчёты!G298-3)))))</f>
        <v>0</v>
      </c>
      <c r="AZ298">
        <f>IF(OR(Расчёты!F298=0,N('Исходные данные'!$B$5)=0,AY298=0),0,N('Исходные данные'!$B$5)*AY298*IF(AND(B298&lt;='Исходные данные'!$B$30,Расчёты!C298&gt;='Исходные данные'!$B$30),(Расчёты!C298-'Исходные данные'!$B$30+1)/DAY(Расчёты!C298),1))</f>
        <v>0</v>
      </c>
      <c r="BA298">
        <f>IF(AND(Расчёты!F298&gt;0,Расчёты!F298&lt;=N('Исходные данные'!$B$37)),-AZ298,0)</f>
        <v>0</v>
      </c>
      <c r="BB298">
        <f>IF(OR(Расчёты!F298=0,Расчёты!F298&lt;=N('Исходные данные'!$B$37)),0,-(AZ298+BA298)*N('Сценарный анализ'!$D$9))</f>
        <v>0</v>
      </c>
      <c r="BC298">
        <f t="shared" si="165"/>
        <v>0</v>
      </c>
      <c r="BD298">
        <f>IF('Исходные данные'!$B$51="Да",BC298*N('Исходные данные'!$B$52),0)</f>
        <v>0</v>
      </c>
      <c r="BE298">
        <f t="shared" si="166"/>
        <v>0</v>
      </c>
      <c r="BF298">
        <f>BC298+(Расчёты!Y298-Расчёты!L298)</f>
        <v>0</v>
      </c>
      <c r="BG298">
        <f t="shared" si="153"/>
        <v>0</v>
      </c>
      <c r="BH298">
        <f>IF('Исходные данные'!$B$51="Да",-MAX(0,BD298+Расчёты!R298+Расчёты!V298-Расчёты!P298-Расчёты!T298-BG298),0)</f>
        <v>0</v>
      </c>
      <c r="BI298">
        <f>IF('Исходные данные'!$B$51="Да",MAX(0,BG298+Расчёты!P298+Расчёты!T298-BD298-Расчёты!R298-Расчёты!V298),0)</f>
        <v>0</v>
      </c>
      <c r="BJ298">
        <f>IF('Исходные данные'!$B$53="Выручка",MAX(0,BC298+(Расчёты!Q298-Расчёты!R298)+(Расчёты!U298-Расчёты!V298)),IF('Исходные данные'!$B$53="Прибыль до налога",MAX(0,BC298+(Расчёты!Q298-Расчёты!R298)+(Расчёты!U298-Расчёты!V298)+N('Исходные данные'!$B$54)*((Расчёты!O298+Расчёты!P298)+(Расчёты!S298+Расчёты!T298)+Расчёты!W298+Расчёты!X298)+IF('Исходные данные'!$B$55="Да",Расчёты!AG298,0)-N('Исходные данные'!$B$56)/12),IF('Исходные данные'!$B$53="Пользовательская база",MAX(0,N('Исходные данные'!$B$57)/12),0)))</f>
        <v>0</v>
      </c>
      <c r="BK298">
        <f>IF(D298=1,-BJ298*N('Исходные данные'!$B$50),0)</f>
        <v>0</v>
      </c>
      <c r="BL298">
        <f t="shared" si="154"/>
        <v>0</v>
      </c>
      <c r="BM298">
        <f>IF(OR(D298&lt;&gt;1,B298="",'Исходные данные'!$B$91="",N('Исходные данные'!$B$80)&lt;=0,'Исходные данные'!$B$88=""),0,IF(AND(YEAR(B298)=YEAR('Исходные данные'!$B$91),MONTH(B298)=MONTH('Исходные данные'!$B$91)),MAX(0,IF('Исходные данные'!$B$88="Последние 12 месяцев",SUMIFS($BF$2:$BF$194,$B$2:$B$194,"&gt;="&amp;EDATE(B298,-11),$B$2:$B$194,"&lt;="&amp;B298),IF('Исходные данные'!$B$88="Пользовательский NOI",N('Исходные данные'!$B$89),BL298))/N('Исходные данные'!$B$80)*(1+N('Исходные данные'!$B$81))),0))</f>
        <v>0</v>
      </c>
      <c r="BN298">
        <f>-BM298*N('Исходные данные'!$B$73)</f>
        <v>0</v>
      </c>
      <c r="BO298">
        <f>IF(BM298=0,0,-N('Исходные данные'!$B$87)-IF('Исходные данные'!$B$82="Да",IF('Исходные данные'!$B$84="С выручки",BM298,IF('Исходные данные'!$B$84="С прибыли",MAX(0,BM298+BN298-IF('Исходные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98">
        <f t="shared" si="167"/>
        <v>0</v>
      </c>
      <c r="BQ298">
        <f>IF(D298=1,Расчёты!AZ298+BE298+BH298+BK298+BP298,0)</f>
        <v>0</v>
      </c>
      <c r="BR298" t="str">
        <f t="shared" si="155"/>
        <v/>
      </c>
      <c r="BS298">
        <f>IF(OR(D298=0,'Исходные данные'!$B$9="",'Исходные данные'!$B$90=""),0,BQ298/(1+'Исходные данные'!$B$90)^((C298-'Исходные данные'!$B$9)/365))</f>
        <v>0</v>
      </c>
      <c r="BT298">
        <f>IF(D298=1,BE298+Расчёты!O298+Расчёты!Q298+Расчёты!S298+Расчёты!U298+Расчёты!W298+Расчёты!X298+BH298+BK298,0)</f>
        <v>0</v>
      </c>
      <c r="BU298">
        <f>IF(AND(D298=1,BR298&gt;=0,BR297&lt;0,MIN($BR$2:BR298)&lt;0),1,0)</f>
        <v>0</v>
      </c>
      <c r="BV298">
        <f>Расчёты!AZ298+K298+N298-P298*N('Исходные данные'!$B$50)</f>
        <v>0</v>
      </c>
      <c r="BW298">
        <f t="shared" si="156"/>
        <v>0</v>
      </c>
      <c r="BX298">
        <f>IF(AND(BW298&gt;=0,BW297&lt;0,MIN($BW$2:BW298)&lt;0),1,0)</f>
        <v>0</v>
      </c>
      <c r="BY298">
        <f>Расчёты!AZ298+AH298+AK298-AM298*N('Исходные данные'!$B$50)</f>
        <v>0</v>
      </c>
      <c r="BZ298">
        <f t="shared" si="157"/>
        <v>0</v>
      </c>
      <c r="CA298">
        <f>IF(AND(BZ298&gt;=0,BZ297&lt;0,MIN($BZ$2:BZ298)&lt;0),1,0)</f>
        <v>0</v>
      </c>
      <c r="CB298">
        <f>Расчёты!AZ298+BE298+BH298-BJ298*N('Исходные данные'!$B$50)</f>
        <v>0</v>
      </c>
      <c r="CC298">
        <f t="shared" si="158"/>
        <v>0</v>
      </c>
      <c r="CD298">
        <f>IF(AND(CC298&gt;=0,CC297&lt;0,MIN($CC$2:CC298)&lt;0),1,0)</f>
        <v>0</v>
      </c>
    </row>
    <row r="299" spans="1:82" x14ac:dyDescent="0.2">
      <c r="A299">
        <f>Расчёты!A299</f>
        <v>298</v>
      </c>
      <c r="B299" t="str">
        <f>Расчёты!B299</f>
        <v/>
      </c>
      <c r="C299" t="str">
        <f>Расчёты!D299</f>
        <v/>
      </c>
      <c r="D299">
        <f>Расчёты!E299</f>
        <v>0</v>
      </c>
      <c r="E299">
        <f>IF(Расчёты!F299=0,0,IF(Расчёты!G299=1,N('Сценарный анализ'!$B$5),IF(Расчёты!G299=2,N('Сценарный анализ'!$B$6),IF(Расчёты!G299=3,N('Сценарный анализ'!$B$7),N('Сценарный анализ'!$B$7)*(1+N('Сценарный анализ'!$B$8))^(Расчёты!G299-3)))))</f>
        <v>0</v>
      </c>
      <c r="F299">
        <f>IF(OR(Расчёты!F299=0,N('Исходные данные'!$B$5)=0,E299=0),0,N('Исходные данные'!$B$5)*E299*IF(AND(B299&lt;='Исходные данные'!$B$30,Расчёты!C299&gt;='Исходные данные'!$B$30),(Расчёты!C299-'Исходные данные'!$B$30+1)/DAY(Расчёты!C299),1))</f>
        <v>0</v>
      </c>
      <c r="G299">
        <f>IF(AND(Расчёты!F299&gt;0,Расчёты!F299&lt;=N('Исходные данные'!$B$37)),-F299,0)</f>
        <v>0</v>
      </c>
      <c r="H299">
        <f>IF(OR(Расчёты!F299=0,Расчёты!F299&lt;=N('Исходные данные'!$B$37)),0,-(F299+G299)*N('Сценарный анализ'!$B$9))</f>
        <v>0</v>
      </c>
      <c r="I299">
        <f t="shared" si="159"/>
        <v>0</v>
      </c>
      <c r="J299">
        <f>IF('Исходные данные'!$B$51="Да",I299*N('Исходные данные'!$B$52),0)</f>
        <v>0</v>
      </c>
      <c r="K299">
        <f t="shared" si="160"/>
        <v>0</v>
      </c>
      <c r="L299">
        <f>I299+(Расчёты!Y299-Расчёты!L299)</f>
        <v>0</v>
      </c>
      <c r="M299">
        <f t="shared" si="147"/>
        <v>0</v>
      </c>
      <c r="N299">
        <f>IF('Исходные данные'!$B$51="Да",-MAX(0,J299+Расчёты!R299+Расчёты!V299-Расчёты!P299-Расчёты!T299-M299),0)</f>
        <v>0</v>
      </c>
      <c r="O299">
        <f>IF('Исходные данные'!$B$51="Да",MAX(0,M299+Расчёты!P299+Расчёты!T299-J299-Расчёты!R299-Расчёты!V299),0)</f>
        <v>0</v>
      </c>
      <c r="P299">
        <f>IF('Исходные данные'!$B$53="Выручка",MAX(0,I299+(Расчёты!Q299-Расчёты!R299)+(Расчёты!U299-Расчёты!V299)),IF('Исходные данные'!$B$53="Прибыль до налога",MAX(0,I299+(Расчёты!Q299-Расчёты!R299)+(Расчёты!U299-Расчёты!V299)+N('Исходные данные'!$B$54)*((Расчёты!O299+Расчёты!P299)+(Расчёты!S299+Расчёты!T299)+Расчёты!W299+Расчёты!X299)+IF('Исходные данные'!$B$55="Да",Расчёты!AG299,0)-N('Исходные данные'!$B$56)/12),IF('Исходные данные'!$B$53="Пользовательская база",MAX(0,N('Исходные данные'!$B$57)/12),0)))</f>
        <v>0</v>
      </c>
      <c r="Q299">
        <f>IF(D299=1,-P299*N('Исходные данные'!$B$50),0)</f>
        <v>0</v>
      </c>
      <c r="R299">
        <f t="shared" si="148"/>
        <v>0</v>
      </c>
      <c r="S299">
        <f>IF(OR(D299&lt;&gt;1,B299="",'Исходные данные'!$B$91="",N('Исходные данные'!$B$80)&lt;=0,'Исходные данные'!$B$88=""),0,IF(AND(YEAR(B299)=YEAR('Исходные данные'!$B$91),MONTH(B299)=MONTH('Исходные данные'!$B$91)),MAX(0,IF('Исходные данные'!$B$88="Последние 12 месяцев",SUMIFS($L$2:$L$194,$B$2:$B$194,"&gt;="&amp;EDATE(B299,-11),$B$2:$B$194,"&lt;="&amp;B299),IF('Исходные данные'!$B$88="Пользовательский NOI",N('Исходные данные'!$B$89),R299))/N('Исходные данные'!$B$80)*(1+N('Исходные данные'!$B$81))),0))</f>
        <v>0</v>
      </c>
      <c r="T299">
        <f>-S299*N('Исходные данные'!$B$73)</f>
        <v>0</v>
      </c>
      <c r="U299">
        <f>IF(S299=0,0,-N('Исходные данные'!$B$87)-IF('Исходные данные'!$B$82="Да",IF('Исходные данные'!$B$84="С выручки",S299,IF('Исходные данные'!$B$84="С прибыли",MAX(0,S299+T299-IF('Исходные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99">
        <f t="shared" si="161"/>
        <v>0</v>
      </c>
      <c r="W299">
        <f>IF(D299=1,Расчёты!AZ299+K299+N299+Q299+V299,0)</f>
        <v>0</v>
      </c>
      <c r="X299" t="str">
        <f t="shared" si="149"/>
        <v/>
      </c>
      <c r="Y299">
        <f>IF(OR(D299=0,'Исходные данные'!$B$9="",'Исходные данные'!$B$90=""),0,W299/(1+'Исходные данные'!$B$90)^((C299-'Исходные данные'!$B$9)/365))</f>
        <v>0</v>
      </c>
      <c r="Z299">
        <f>IF(D299=1,K299+Расчёты!O299+Расчёты!Q299+Расчёты!S299+Расчёты!U299+Расчёты!W299+Расчёты!X299+N299+Q299,0)</f>
        <v>0</v>
      </c>
      <c r="AA299">
        <f>IF(AND(D299=1,X299&gt;=0,X298&lt;0,MIN($X$2:X299)&lt;0),1,0)</f>
        <v>0</v>
      </c>
      <c r="AB299">
        <f>IF(Расчёты!F299=0,0,IF(Расчёты!G299=1,N('Сценарный анализ'!$C$5),IF(Расчёты!G299=2,N('Сценарный анализ'!$C$6),IF(Расчёты!G299=3,N('Сценарный анализ'!$C$7),N('Сценарный анализ'!$C$7)*(1+N('Сценарный анализ'!$C$8))^(Расчёты!G299-3)))))</f>
        <v>0</v>
      </c>
      <c r="AC299">
        <f>IF(OR(Расчёты!F299=0,N('Исходные данные'!$B$5)=0,AB299=0),0,N('Исходные данные'!$B$5)*AB299*IF(AND(B299&lt;='Исходные данные'!$B$30,Расчёты!C299&gt;='Исходные данные'!$B$30),(Расчёты!C299-'Исходные данные'!$B$30+1)/DAY(Расчёты!C299),1))</f>
        <v>0</v>
      </c>
      <c r="AD299">
        <f>IF(AND(Расчёты!F299&gt;0,Расчёты!F299&lt;=N('Исходные данные'!$B$37)),-AC299,0)</f>
        <v>0</v>
      </c>
      <c r="AE299">
        <f>IF(OR(Расчёты!F299=0,Расчёты!F299&lt;=N('Исходные данные'!$B$37)),0,-(AC299+AD299)*N('Сценарный анализ'!$C$9))</f>
        <v>0</v>
      </c>
      <c r="AF299">
        <f t="shared" si="162"/>
        <v>0</v>
      </c>
      <c r="AG299">
        <f>IF('Исходные данные'!$B$51="Да",AF299*N('Исходные данные'!$B$52),0)</f>
        <v>0</v>
      </c>
      <c r="AH299">
        <f t="shared" si="163"/>
        <v>0</v>
      </c>
      <c r="AI299">
        <f>AF299+(Расчёты!Y299-Расчёты!L299)</f>
        <v>0</v>
      </c>
      <c r="AJ299">
        <f t="shared" si="150"/>
        <v>0</v>
      </c>
      <c r="AK299">
        <f>IF('Исходные данные'!$B$51="Да",-MAX(0,AG299+Расчёты!R299+Расчёты!V299-Расчёты!P299-Расчёты!T299-AJ299),0)</f>
        <v>0</v>
      </c>
      <c r="AL299">
        <f>IF('Исходные данные'!$B$51="Да",MAX(0,AJ299+Расчёты!P299+Расчёты!T299-AG299-Расчёты!R299-Расчёты!V299),0)</f>
        <v>0</v>
      </c>
      <c r="AM299">
        <f>IF('Исходные данные'!$B$53="Выручка",MAX(0,AF299+(Расчёты!Q299-Расчёты!R299)+(Расчёты!U299-Расчёты!V299)),IF('Исходные данные'!$B$53="Прибыль до налога",MAX(0,AF299+(Расчёты!Q299-Расчёты!R299)+(Расчёты!U299-Расчёты!V299)+N('Исходные данные'!$B$54)*((Расчёты!O299+Расчёты!P299)+(Расчёты!S299+Расчёты!T299)+Расчёты!W299+Расчёты!X299)+IF('Исходные данные'!$B$55="Да",Расчёты!AG299,0)-N('Исходные данные'!$B$56)/12),IF('Исходные данные'!$B$53="Пользовательская база",MAX(0,N('Исходные данные'!$B$57)/12),0)))</f>
        <v>0</v>
      </c>
      <c r="AN299">
        <f>IF(D299=1,-AM299*N('Исходные данные'!$B$50),0)</f>
        <v>0</v>
      </c>
      <c r="AO299">
        <f t="shared" si="151"/>
        <v>0</v>
      </c>
      <c r="AP299">
        <f>IF(OR(D299&lt;&gt;1,B299="",'Исходные данные'!$B$91="",N('Исходные данные'!$B$80)&lt;=0,'Исходные данные'!$B$88=""),0,IF(AND(YEAR(B299)=YEAR('Исходные данные'!$B$91),MONTH(B299)=MONTH('Исходные данные'!$B$91)),MAX(0,IF('Исходные данные'!$B$88="Последние 12 месяцев",SUMIFS($AI$2:$AI$194,$B$2:$B$194,"&gt;="&amp;EDATE(B299,-11),$B$2:$B$194,"&lt;="&amp;B299),IF('Исходные данные'!$B$88="Пользовательский NOI",N('Исходные данные'!$B$89),AO299))/N('Исходные данные'!$B$80)*(1+N('Исходные данные'!$B$81))),0))</f>
        <v>0</v>
      </c>
      <c r="AQ299">
        <f>-AP299*N('Исходные данные'!$B$73)</f>
        <v>0</v>
      </c>
      <c r="AR299">
        <f>IF(AP299=0,0,-N('Исходные данные'!$B$87)-IF('Исходные данные'!$B$82="Да",IF('Исходные данные'!$B$84="С выручки",AP299,IF('Исходные данные'!$B$84="С прибыли",MAX(0,AP299+AQ299-IF('Исходные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99">
        <f t="shared" si="164"/>
        <v>0</v>
      </c>
      <c r="AT299">
        <f>IF(D299=1,Расчёты!AZ299+AH299+AK299+AN299+AS299,0)</f>
        <v>0</v>
      </c>
      <c r="AU299" t="str">
        <f t="shared" si="152"/>
        <v/>
      </c>
      <c r="AV299">
        <f>IF(OR(D299=0,'Исходные данные'!$B$9="",'Исходные данные'!$B$90=""),0,AT299/(1+'Исходные данные'!$B$90)^((C299-'Исходные данные'!$B$9)/365))</f>
        <v>0</v>
      </c>
      <c r="AW299">
        <f>IF(D299=1,AH299+Расчёты!O299+Расчёты!Q299+Расчёты!S299+Расчёты!U299+Расчёты!W299+Расчёты!X299+AK299+AN299,0)</f>
        <v>0</v>
      </c>
      <c r="AX299">
        <f>IF(AND(D299=1,AU299&gt;=0,AU298&lt;0,MIN($AU$2:AU299)&lt;0),1,0)</f>
        <v>0</v>
      </c>
      <c r="AY299">
        <f>IF(Расчёты!F299=0,0,IF(Расчёты!G299=1,N('Сценарный анализ'!$D$5),IF(Расчёты!G299=2,N('Сценарный анализ'!$D$6),IF(Расчёты!G299=3,N('Сценарный анализ'!$D$7),N('Сценарный анализ'!$D$7)*(1+N('Сценарный анализ'!$D$8))^(Расчёты!G299-3)))))</f>
        <v>0</v>
      </c>
      <c r="AZ299">
        <f>IF(OR(Расчёты!F299=0,N('Исходные данные'!$B$5)=0,AY299=0),0,N('Исходные данные'!$B$5)*AY299*IF(AND(B299&lt;='Исходные данные'!$B$30,Расчёты!C299&gt;='Исходные данные'!$B$30),(Расчёты!C299-'Исходные данные'!$B$30+1)/DAY(Расчёты!C299),1))</f>
        <v>0</v>
      </c>
      <c r="BA299">
        <f>IF(AND(Расчёты!F299&gt;0,Расчёты!F299&lt;=N('Исходные данные'!$B$37)),-AZ299,0)</f>
        <v>0</v>
      </c>
      <c r="BB299">
        <f>IF(OR(Расчёты!F299=0,Расчёты!F299&lt;=N('Исходные данные'!$B$37)),0,-(AZ299+BA299)*N('Сценарный анализ'!$D$9))</f>
        <v>0</v>
      </c>
      <c r="BC299">
        <f t="shared" si="165"/>
        <v>0</v>
      </c>
      <c r="BD299">
        <f>IF('Исходные данные'!$B$51="Да",BC299*N('Исходные данные'!$B$52),0)</f>
        <v>0</v>
      </c>
      <c r="BE299">
        <f t="shared" si="166"/>
        <v>0</v>
      </c>
      <c r="BF299">
        <f>BC299+(Расчёты!Y299-Расчёты!L299)</f>
        <v>0</v>
      </c>
      <c r="BG299">
        <f t="shared" si="153"/>
        <v>0</v>
      </c>
      <c r="BH299">
        <f>IF('Исходные данные'!$B$51="Да",-MAX(0,BD299+Расчёты!R299+Расчёты!V299-Расчёты!P299-Расчёты!T299-BG299),0)</f>
        <v>0</v>
      </c>
      <c r="BI299">
        <f>IF('Исходные данные'!$B$51="Да",MAX(0,BG299+Расчёты!P299+Расчёты!T299-BD299-Расчёты!R299-Расчёты!V299),0)</f>
        <v>0</v>
      </c>
      <c r="BJ299">
        <f>IF('Исходные данные'!$B$53="Выручка",MAX(0,BC299+(Расчёты!Q299-Расчёты!R299)+(Расчёты!U299-Расчёты!V299)),IF('Исходные данные'!$B$53="Прибыль до налога",MAX(0,BC299+(Расчёты!Q299-Расчёты!R299)+(Расчёты!U299-Расчёты!V299)+N('Исходные данные'!$B$54)*((Расчёты!O299+Расчёты!P299)+(Расчёты!S299+Расчёты!T299)+Расчёты!W299+Расчёты!X299)+IF('Исходные данные'!$B$55="Да",Расчёты!AG299,0)-N('Исходные данные'!$B$56)/12),IF('Исходные данные'!$B$53="Пользовательская база",MAX(0,N('Исходные данные'!$B$57)/12),0)))</f>
        <v>0</v>
      </c>
      <c r="BK299">
        <f>IF(D299=1,-BJ299*N('Исходные данные'!$B$50),0)</f>
        <v>0</v>
      </c>
      <c r="BL299">
        <f t="shared" si="154"/>
        <v>0</v>
      </c>
      <c r="BM299">
        <f>IF(OR(D299&lt;&gt;1,B299="",'Исходные данные'!$B$91="",N('Исходные данные'!$B$80)&lt;=0,'Исходные данные'!$B$88=""),0,IF(AND(YEAR(B299)=YEAR('Исходные данные'!$B$91),MONTH(B299)=MONTH('Исходные данные'!$B$91)),MAX(0,IF('Исходные данные'!$B$88="Последние 12 месяцев",SUMIFS($BF$2:$BF$194,$B$2:$B$194,"&gt;="&amp;EDATE(B299,-11),$B$2:$B$194,"&lt;="&amp;B299),IF('Исходные данные'!$B$88="Пользовательский NOI",N('Исходные данные'!$B$89),BL299))/N('Исходные данные'!$B$80)*(1+N('Исходные данные'!$B$81))),0))</f>
        <v>0</v>
      </c>
      <c r="BN299">
        <f>-BM299*N('Исходные данные'!$B$73)</f>
        <v>0</v>
      </c>
      <c r="BO299">
        <f>IF(BM299=0,0,-N('Исходные данные'!$B$87)-IF('Исходные данные'!$B$82="Да",IF('Исходные данные'!$B$84="С выручки",BM299,IF('Исходные данные'!$B$84="С прибыли",MAX(0,BM299+BN299-IF('Исходные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99">
        <f t="shared" si="167"/>
        <v>0</v>
      </c>
      <c r="BQ299">
        <f>IF(D299=1,Расчёты!AZ299+BE299+BH299+BK299+BP299,0)</f>
        <v>0</v>
      </c>
      <c r="BR299" t="str">
        <f t="shared" si="155"/>
        <v/>
      </c>
      <c r="BS299">
        <f>IF(OR(D299=0,'Исходные данные'!$B$9="",'Исходные данные'!$B$90=""),0,BQ299/(1+'Исходные данные'!$B$90)^((C299-'Исходные данные'!$B$9)/365))</f>
        <v>0</v>
      </c>
      <c r="BT299">
        <f>IF(D299=1,BE299+Расчёты!O299+Расчёты!Q299+Расчёты!S299+Расчёты!U299+Расчёты!W299+Расчёты!X299+BH299+BK299,0)</f>
        <v>0</v>
      </c>
      <c r="BU299">
        <f>IF(AND(D299=1,BR299&gt;=0,BR298&lt;0,MIN($BR$2:BR299)&lt;0),1,0)</f>
        <v>0</v>
      </c>
      <c r="BV299">
        <f>Расчёты!AZ299+K299+N299-P299*N('Исходные данные'!$B$50)</f>
        <v>0</v>
      </c>
      <c r="BW299">
        <f t="shared" si="156"/>
        <v>0</v>
      </c>
      <c r="BX299">
        <f>IF(AND(BW299&gt;=0,BW298&lt;0,MIN($BW$2:BW299)&lt;0),1,0)</f>
        <v>0</v>
      </c>
      <c r="BY299">
        <f>Расчёты!AZ299+AH299+AK299-AM299*N('Исходные данные'!$B$50)</f>
        <v>0</v>
      </c>
      <c r="BZ299">
        <f t="shared" si="157"/>
        <v>0</v>
      </c>
      <c r="CA299">
        <f>IF(AND(BZ299&gt;=0,BZ298&lt;0,MIN($BZ$2:BZ299)&lt;0),1,0)</f>
        <v>0</v>
      </c>
      <c r="CB299">
        <f>Расчёты!AZ299+BE299+BH299-BJ299*N('Исходные данные'!$B$50)</f>
        <v>0</v>
      </c>
      <c r="CC299">
        <f t="shared" si="158"/>
        <v>0</v>
      </c>
      <c r="CD299">
        <f>IF(AND(CC299&gt;=0,CC298&lt;0,MIN($CC$2:CC299)&lt;0),1,0)</f>
        <v>0</v>
      </c>
    </row>
    <row r="300" spans="1:82" x14ac:dyDescent="0.2">
      <c r="A300">
        <f>Расчёты!A300</f>
        <v>299</v>
      </c>
      <c r="B300" t="str">
        <f>Расчёты!B300</f>
        <v/>
      </c>
      <c r="C300" t="str">
        <f>Расчёты!D300</f>
        <v/>
      </c>
      <c r="D300">
        <f>Расчёты!E300</f>
        <v>0</v>
      </c>
      <c r="E300">
        <f>IF(Расчёты!F300=0,0,IF(Расчёты!G300=1,N('Сценарный анализ'!$B$5),IF(Расчёты!G300=2,N('Сценарный анализ'!$B$6),IF(Расчёты!G300=3,N('Сценарный анализ'!$B$7),N('Сценарный анализ'!$B$7)*(1+N('Сценарный анализ'!$B$8))^(Расчёты!G300-3)))))</f>
        <v>0</v>
      </c>
      <c r="F300">
        <f>IF(OR(Расчёты!F300=0,N('Исходные данные'!$B$5)=0,E300=0),0,N('Исходные данные'!$B$5)*E300*IF(AND(B300&lt;='Исходные данные'!$B$30,Расчёты!C300&gt;='Исходные данные'!$B$30),(Расчёты!C300-'Исходные данные'!$B$30+1)/DAY(Расчёты!C300),1))</f>
        <v>0</v>
      </c>
      <c r="G300">
        <f>IF(AND(Расчёты!F300&gt;0,Расчёты!F300&lt;=N('Исходные данные'!$B$37)),-F300,0)</f>
        <v>0</v>
      </c>
      <c r="H300">
        <f>IF(OR(Расчёты!F300=0,Расчёты!F300&lt;=N('Исходные данные'!$B$37)),0,-(F300+G300)*N('Сценарный анализ'!$B$9))</f>
        <v>0</v>
      </c>
      <c r="I300">
        <f t="shared" si="159"/>
        <v>0</v>
      </c>
      <c r="J300">
        <f>IF('Исходные данные'!$B$51="Да",I300*N('Исходные данные'!$B$52),0)</f>
        <v>0</v>
      </c>
      <c r="K300">
        <f t="shared" si="160"/>
        <v>0</v>
      </c>
      <c r="L300">
        <f>I300+(Расчёты!Y300-Расчёты!L300)</f>
        <v>0</v>
      </c>
      <c r="M300">
        <f t="shared" si="147"/>
        <v>0</v>
      </c>
      <c r="N300">
        <f>IF('Исходные данные'!$B$51="Да",-MAX(0,J300+Расчёты!R300+Расчёты!V300-Расчёты!P300-Расчёты!T300-M300),0)</f>
        <v>0</v>
      </c>
      <c r="O300">
        <f>IF('Исходные данные'!$B$51="Да",MAX(0,M300+Расчёты!P300+Расчёты!T300-J300-Расчёты!R300-Расчёты!V300),0)</f>
        <v>0</v>
      </c>
      <c r="P300">
        <f>IF('Исходные данные'!$B$53="Выручка",MAX(0,I300+(Расчёты!Q300-Расчёты!R300)+(Расчёты!U300-Расчёты!V300)),IF('Исходные данные'!$B$53="Прибыль до налога",MAX(0,I300+(Расчёты!Q300-Расчёты!R300)+(Расчёты!U300-Расчёты!V300)+N('Исходные данные'!$B$54)*((Расчёты!O300+Расчёты!P300)+(Расчёты!S300+Расчёты!T300)+Расчёты!W300+Расчёты!X300)+IF('Исходные данные'!$B$55="Да",Расчёты!AG300,0)-N('Исходные данные'!$B$56)/12),IF('Исходные данные'!$B$53="Пользовательская база",MAX(0,N('Исходные данные'!$B$57)/12),0)))</f>
        <v>0</v>
      </c>
      <c r="Q300">
        <f>IF(D300=1,-P300*N('Исходные данные'!$B$50),0)</f>
        <v>0</v>
      </c>
      <c r="R300">
        <f t="shared" si="148"/>
        <v>0</v>
      </c>
      <c r="S300">
        <f>IF(OR(D300&lt;&gt;1,B300="",'Исходные данные'!$B$91="",N('Исходные данные'!$B$80)&lt;=0,'Исходные данные'!$B$88=""),0,IF(AND(YEAR(B300)=YEAR('Исходные данные'!$B$91),MONTH(B300)=MONTH('Исходные данные'!$B$91)),MAX(0,IF('Исходные данные'!$B$88="Последние 12 месяцев",SUMIFS($L$2:$L$194,$B$2:$B$194,"&gt;="&amp;EDATE(B300,-11),$B$2:$B$194,"&lt;="&amp;B300),IF('Исходные данные'!$B$88="Пользовательский NOI",N('Исходные данные'!$B$89),R300))/N('Исходные данные'!$B$80)*(1+N('Исходные данные'!$B$81))),0))</f>
        <v>0</v>
      </c>
      <c r="T300">
        <f>-S300*N('Исходные данные'!$B$73)</f>
        <v>0</v>
      </c>
      <c r="U300">
        <f>IF(S300=0,0,-N('Исходные данные'!$B$87)-IF('Исходные данные'!$B$82="Да",IF('Исходные данные'!$B$84="С выручки",S300,IF('Исходные данные'!$B$84="С прибыли",MAX(0,S300+T300-IF('Исходные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00">
        <f t="shared" si="161"/>
        <v>0</v>
      </c>
      <c r="W300">
        <f>IF(D300=1,Расчёты!AZ300+K300+N300+Q300+V300,0)</f>
        <v>0</v>
      </c>
      <c r="X300" t="str">
        <f t="shared" si="149"/>
        <v/>
      </c>
      <c r="Y300">
        <f>IF(OR(D300=0,'Исходные данные'!$B$9="",'Исходные данные'!$B$90=""),0,W300/(1+'Исходные данные'!$B$90)^((C300-'Исходные данные'!$B$9)/365))</f>
        <v>0</v>
      </c>
      <c r="Z300">
        <f>IF(D300=1,K300+Расчёты!O300+Расчёты!Q300+Расчёты!S300+Расчёты!U300+Расчёты!W300+Расчёты!X300+N300+Q300,0)</f>
        <v>0</v>
      </c>
      <c r="AA300">
        <f>IF(AND(D300=1,X300&gt;=0,X299&lt;0,MIN($X$2:X300)&lt;0),1,0)</f>
        <v>0</v>
      </c>
      <c r="AB300">
        <f>IF(Расчёты!F300=0,0,IF(Расчёты!G300=1,N('Сценарный анализ'!$C$5),IF(Расчёты!G300=2,N('Сценарный анализ'!$C$6),IF(Расчёты!G300=3,N('Сценарный анализ'!$C$7),N('Сценарный анализ'!$C$7)*(1+N('Сценарный анализ'!$C$8))^(Расчёты!G300-3)))))</f>
        <v>0</v>
      </c>
      <c r="AC300">
        <f>IF(OR(Расчёты!F300=0,N('Исходные данные'!$B$5)=0,AB300=0),0,N('Исходные данные'!$B$5)*AB300*IF(AND(B300&lt;='Исходные данные'!$B$30,Расчёты!C300&gt;='Исходные данные'!$B$30),(Расчёты!C300-'Исходные данные'!$B$30+1)/DAY(Расчёты!C300),1))</f>
        <v>0</v>
      </c>
      <c r="AD300">
        <f>IF(AND(Расчёты!F300&gt;0,Расчёты!F300&lt;=N('Исходные данные'!$B$37)),-AC300,0)</f>
        <v>0</v>
      </c>
      <c r="AE300">
        <f>IF(OR(Расчёты!F300=0,Расчёты!F300&lt;=N('Исходные данные'!$B$37)),0,-(AC300+AD300)*N('Сценарный анализ'!$C$9))</f>
        <v>0</v>
      </c>
      <c r="AF300">
        <f t="shared" si="162"/>
        <v>0</v>
      </c>
      <c r="AG300">
        <f>IF('Исходные данные'!$B$51="Да",AF300*N('Исходные данные'!$B$52),0)</f>
        <v>0</v>
      </c>
      <c r="AH300">
        <f t="shared" si="163"/>
        <v>0</v>
      </c>
      <c r="AI300">
        <f>AF300+(Расчёты!Y300-Расчёты!L300)</f>
        <v>0</v>
      </c>
      <c r="AJ300">
        <f t="shared" si="150"/>
        <v>0</v>
      </c>
      <c r="AK300">
        <f>IF('Исходные данные'!$B$51="Да",-MAX(0,AG300+Расчёты!R300+Расчёты!V300-Расчёты!P300-Расчёты!T300-AJ300),0)</f>
        <v>0</v>
      </c>
      <c r="AL300">
        <f>IF('Исходные данные'!$B$51="Да",MAX(0,AJ300+Расчёты!P300+Расчёты!T300-AG300-Расчёты!R300-Расчёты!V300),0)</f>
        <v>0</v>
      </c>
      <c r="AM300">
        <f>IF('Исходные данные'!$B$53="Выручка",MAX(0,AF300+(Расчёты!Q300-Расчёты!R300)+(Расчёты!U300-Расчёты!V300)),IF('Исходные данные'!$B$53="Прибыль до налога",MAX(0,AF300+(Расчёты!Q300-Расчёты!R300)+(Расчёты!U300-Расчёты!V300)+N('Исходные данные'!$B$54)*((Расчёты!O300+Расчёты!P300)+(Расчёты!S300+Расчёты!T300)+Расчёты!W300+Расчёты!X300)+IF('Исходные данные'!$B$55="Да",Расчёты!AG300,0)-N('Исходные данные'!$B$56)/12),IF('Исходные данные'!$B$53="Пользовательская база",MAX(0,N('Исходные данные'!$B$57)/12),0)))</f>
        <v>0</v>
      </c>
      <c r="AN300">
        <f>IF(D300=1,-AM300*N('Исходные данные'!$B$50),0)</f>
        <v>0</v>
      </c>
      <c r="AO300">
        <f t="shared" si="151"/>
        <v>0</v>
      </c>
      <c r="AP300">
        <f>IF(OR(D300&lt;&gt;1,B300="",'Исходные данные'!$B$91="",N('Исходные данные'!$B$80)&lt;=0,'Исходные данные'!$B$88=""),0,IF(AND(YEAR(B300)=YEAR('Исходные данные'!$B$91),MONTH(B300)=MONTH('Исходные данные'!$B$91)),MAX(0,IF('Исходные данные'!$B$88="Последние 12 месяцев",SUMIFS($AI$2:$AI$194,$B$2:$B$194,"&gt;="&amp;EDATE(B300,-11),$B$2:$B$194,"&lt;="&amp;B300),IF('Исходные данные'!$B$88="Пользовательский NOI",N('Исходные данные'!$B$89),AO300))/N('Исходные данные'!$B$80)*(1+N('Исходные данные'!$B$81))),0))</f>
        <v>0</v>
      </c>
      <c r="AQ300">
        <f>-AP300*N('Исходные данные'!$B$73)</f>
        <v>0</v>
      </c>
      <c r="AR300">
        <f>IF(AP300=0,0,-N('Исходные данные'!$B$87)-IF('Исходные данные'!$B$82="Да",IF('Исходные данные'!$B$84="С выручки",AP300,IF('Исходные данные'!$B$84="С прибыли",MAX(0,AP300+AQ300-IF('Исходные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00">
        <f t="shared" si="164"/>
        <v>0</v>
      </c>
      <c r="AT300">
        <f>IF(D300=1,Расчёты!AZ300+AH300+AK300+AN300+AS300,0)</f>
        <v>0</v>
      </c>
      <c r="AU300" t="str">
        <f t="shared" si="152"/>
        <v/>
      </c>
      <c r="AV300">
        <f>IF(OR(D300=0,'Исходные данные'!$B$9="",'Исходные данные'!$B$90=""),0,AT300/(1+'Исходные данные'!$B$90)^((C300-'Исходные данные'!$B$9)/365))</f>
        <v>0</v>
      </c>
      <c r="AW300">
        <f>IF(D300=1,AH300+Расчёты!O300+Расчёты!Q300+Расчёты!S300+Расчёты!U300+Расчёты!W300+Расчёты!X300+AK300+AN300,0)</f>
        <v>0</v>
      </c>
      <c r="AX300">
        <f>IF(AND(D300=1,AU300&gt;=0,AU299&lt;0,MIN($AU$2:AU300)&lt;0),1,0)</f>
        <v>0</v>
      </c>
      <c r="AY300">
        <f>IF(Расчёты!F300=0,0,IF(Расчёты!G300=1,N('Сценарный анализ'!$D$5),IF(Расчёты!G300=2,N('Сценарный анализ'!$D$6),IF(Расчёты!G300=3,N('Сценарный анализ'!$D$7),N('Сценарный анализ'!$D$7)*(1+N('Сценарный анализ'!$D$8))^(Расчёты!G300-3)))))</f>
        <v>0</v>
      </c>
      <c r="AZ300">
        <f>IF(OR(Расчёты!F300=0,N('Исходные данные'!$B$5)=0,AY300=0),0,N('Исходные данные'!$B$5)*AY300*IF(AND(B300&lt;='Исходные данные'!$B$30,Расчёты!C300&gt;='Исходные данные'!$B$30),(Расчёты!C300-'Исходные данные'!$B$30+1)/DAY(Расчёты!C300),1))</f>
        <v>0</v>
      </c>
      <c r="BA300">
        <f>IF(AND(Расчёты!F300&gt;0,Расчёты!F300&lt;=N('Исходные данные'!$B$37)),-AZ300,0)</f>
        <v>0</v>
      </c>
      <c r="BB300">
        <f>IF(OR(Расчёты!F300=0,Расчёты!F300&lt;=N('Исходные данные'!$B$37)),0,-(AZ300+BA300)*N('Сценарный анализ'!$D$9))</f>
        <v>0</v>
      </c>
      <c r="BC300">
        <f t="shared" si="165"/>
        <v>0</v>
      </c>
      <c r="BD300">
        <f>IF('Исходные данные'!$B$51="Да",BC300*N('Исходные данные'!$B$52),0)</f>
        <v>0</v>
      </c>
      <c r="BE300">
        <f t="shared" si="166"/>
        <v>0</v>
      </c>
      <c r="BF300">
        <f>BC300+(Расчёты!Y300-Расчёты!L300)</f>
        <v>0</v>
      </c>
      <c r="BG300">
        <f t="shared" si="153"/>
        <v>0</v>
      </c>
      <c r="BH300">
        <f>IF('Исходные данные'!$B$51="Да",-MAX(0,BD300+Расчёты!R300+Расчёты!V300-Расчёты!P300-Расчёты!T300-BG300),0)</f>
        <v>0</v>
      </c>
      <c r="BI300">
        <f>IF('Исходные данные'!$B$51="Да",MAX(0,BG300+Расчёты!P300+Расчёты!T300-BD300-Расчёты!R300-Расчёты!V300),0)</f>
        <v>0</v>
      </c>
      <c r="BJ300">
        <f>IF('Исходные данные'!$B$53="Выручка",MAX(0,BC300+(Расчёты!Q300-Расчёты!R300)+(Расчёты!U300-Расчёты!V300)),IF('Исходные данные'!$B$53="Прибыль до налога",MAX(0,BC300+(Расчёты!Q300-Расчёты!R300)+(Расчёты!U300-Расчёты!V300)+N('Исходные данные'!$B$54)*((Расчёты!O300+Расчёты!P300)+(Расчёты!S300+Расчёты!T300)+Расчёты!W300+Расчёты!X300)+IF('Исходные данные'!$B$55="Да",Расчёты!AG300,0)-N('Исходные данные'!$B$56)/12),IF('Исходные данные'!$B$53="Пользовательская база",MAX(0,N('Исходные данные'!$B$57)/12),0)))</f>
        <v>0</v>
      </c>
      <c r="BK300">
        <f>IF(D300=1,-BJ300*N('Исходные данные'!$B$50),0)</f>
        <v>0</v>
      </c>
      <c r="BL300">
        <f t="shared" si="154"/>
        <v>0</v>
      </c>
      <c r="BM300">
        <f>IF(OR(D300&lt;&gt;1,B300="",'Исходные данные'!$B$91="",N('Исходные данные'!$B$80)&lt;=0,'Исходные данные'!$B$88=""),0,IF(AND(YEAR(B300)=YEAR('Исходные данные'!$B$91),MONTH(B300)=MONTH('Исходные данные'!$B$91)),MAX(0,IF('Исходные данные'!$B$88="Последние 12 месяцев",SUMIFS($BF$2:$BF$194,$B$2:$B$194,"&gt;="&amp;EDATE(B300,-11),$B$2:$B$194,"&lt;="&amp;B300),IF('Исходные данные'!$B$88="Пользовательский NOI",N('Исходные данные'!$B$89),BL300))/N('Исходные данные'!$B$80)*(1+N('Исходные данные'!$B$81))),0))</f>
        <v>0</v>
      </c>
      <c r="BN300">
        <f>-BM300*N('Исходные данные'!$B$73)</f>
        <v>0</v>
      </c>
      <c r="BO300">
        <f>IF(BM300=0,0,-N('Исходные данные'!$B$87)-IF('Исходные данные'!$B$82="Да",IF('Исходные данные'!$B$84="С выручки",BM300,IF('Исходные данные'!$B$84="С прибыли",MAX(0,BM300+BN300-IF('Исходные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00">
        <f t="shared" si="167"/>
        <v>0</v>
      </c>
      <c r="BQ300">
        <f>IF(D300=1,Расчёты!AZ300+BE300+BH300+BK300+BP300,0)</f>
        <v>0</v>
      </c>
      <c r="BR300" t="str">
        <f t="shared" si="155"/>
        <v/>
      </c>
      <c r="BS300">
        <f>IF(OR(D300=0,'Исходные данные'!$B$9="",'Исходные данные'!$B$90=""),0,BQ300/(1+'Исходные данные'!$B$90)^((C300-'Исходные данные'!$B$9)/365))</f>
        <v>0</v>
      </c>
      <c r="BT300">
        <f>IF(D300=1,BE300+Расчёты!O300+Расчёты!Q300+Расчёты!S300+Расчёты!U300+Расчёты!W300+Расчёты!X300+BH300+BK300,0)</f>
        <v>0</v>
      </c>
      <c r="BU300">
        <f>IF(AND(D300=1,BR300&gt;=0,BR299&lt;0,MIN($BR$2:BR300)&lt;0),1,0)</f>
        <v>0</v>
      </c>
      <c r="BV300">
        <f>Расчёты!AZ300+K300+N300-P300*N('Исходные данные'!$B$50)</f>
        <v>0</v>
      </c>
      <c r="BW300">
        <f t="shared" si="156"/>
        <v>0</v>
      </c>
      <c r="BX300">
        <f>IF(AND(BW300&gt;=0,BW299&lt;0,MIN($BW$2:BW300)&lt;0),1,0)</f>
        <v>0</v>
      </c>
      <c r="BY300">
        <f>Расчёты!AZ300+AH300+AK300-AM300*N('Исходные данные'!$B$50)</f>
        <v>0</v>
      </c>
      <c r="BZ300">
        <f t="shared" si="157"/>
        <v>0</v>
      </c>
      <c r="CA300">
        <f>IF(AND(BZ300&gt;=0,BZ299&lt;0,MIN($BZ$2:BZ300)&lt;0),1,0)</f>
        <v>0</v>
      </c>
      <c r="CB300">
        <f>Расчёты!AZ300+BE300+BH300-BJ300*N('Исходные данные'!$B$50)</f>
        <v>0</v>
      </c>
      <c r="CC300">
        <f t="shared" si="158"/>
        <v>0</v>
      </c>
      <c r="CD300">
        <f>IF(AND(CC300&gt;=0,CC299&lt;0,MIN($CC$2:CC300)&lt;0),1,0)</f>
        <v>0</v>
      </c>
    </row>
    <row r="301" spans="1:82" x14ac:dyDescent="0.2">
      <c r="A301">
        <f>Расчёты!A301</f>
        <v>300</v>
      </c>
      <c r="B301" t="str">
        <f>Расчёты!B301</f>
        <v/>
      </c>
      <c r="C301" t="str">
        <f>Расчёты!D301</f>
        <v/>
      </c>
      <c r="D301">
        <f>Расчёты!E301</f>
        <v>0</v>
      </c>
      <c r="E301">
        <f>IF(Расчёты!F301=0,0,IF(Расчёты!G301=1,N('Сценарный анализ'!$B$5),IF(Расчёты!G301=2,N('Сценарный анализ'!$B$6),IF(Расчёты!G301=3,N('Сценарный анализ'!$B$7),N('Сценарный анализ'!$B$7)*(1+N('Сценарный анализ'!$B$8))^(Расчёты!G301-3)))))</f>
        <v>0</v>
      </c>
      <c r="F301">
        <f>IF(OR(Расчёты!F301=0,N('Исходные данные'!$B$5)=0,E301=0),0,N('Исходные данные'!$B$5)*E301*IF(AND(B301&lt;='Исходные данные'!$B$30,Расчёты!C301&gt;='Исходные данные'!$B$30),(Расчёты!C301-'Исходные данные'!$B$30+1)/DAY(Расчёты!C301),1))</f>
        <v>0</v>
      </c>
      <c r="G301">
        <f>IF(AND(Расчёты!F301&gt;0,Расчёты!F301&lt;=N('Исходные данные'!$B$37)),-F301,0)</f>
        <v>0</v>
      </c>
      <c r="H301">
        <f>IF(OR(Расчёты!F301=0,Расчёты!F301&lt;=N('Исходные данные'!$B$37)),0,-(F301+G301)*N('Сценарный анализ'!$B$9))</f>
        <v>0</v>
      </c>
      <c r="I301">
        <f t="shared" si="159"/>
        <v>0</v>
      </c>
      <c r="J301">
        <f>IF('Исходные данные'!$B$51="Да",I301*N('Исходные данные'!$B$52),0)</f>
        <v>0</v>
      </c>
      <c r="K301">
        <f t="shared" si="160"/>
        <v>0</v>
      </c>
      <c r="L301">
        <f>I301+(Расчёты!Y301-Расчёты!L301)</f>
        <v>0</v>
      </c>
      <c r="M301">
        <f t="shared" si="147"/>
        <v>0</v>
      </c>
      <c r="N301">
        <f>IF('Исходные данные'!$B$51="Да",-MAX(0,J301+Расчёты!R301+Расчёты!V301-Расчёты!P301-Расчёты!T301-M301),0)</f>
        <v>0</v>
      </c>
      <c r="O301">
        <f>IF('Исходные данные'!$B$51="Да",MAX(0,M301+Расчёты!P301+Расчёты!T301-J301-Расчёты!R301-Расчёты!V301),0)</f>
        <v>0</v>
      </c>
      <c r="P301">
        <f>IF('Исходные данные'!$B$53="Выручка",MAX(0,I301+(Расчёты!Q301-Расчёты!R301)+(Расчёты!U301-Расчёты!V301)),IF('Исходные данные'!$B$53="Прибыль до налога",MAX(0,I301+(Расчёты!Q301-Расчёты!R301)+(Расчёты!U301-Расчёты!V301)+N('Исходные данные'!$B$54)*((Расчёты!O301+Расчёты!P301)+(Расчёты!S301+Расчёты!T301)+Расчёты!W301+Расчёты!X301)+IF('Исходные данные'!$B$55="Да",Расчёты!AG301,0)-N('Исходные данные'!$B$56)/12),IF('Исходные данные'!$B$53="Пользовательская база",MAX(0,N('Исходные данные'!$B$57)/12),0)))</f>
        <v>0</v>
      </c>
      <c r="Q301">
        <f>IF(D301=1,-P301*N('Исходные данные'!$B$50),0)</f>
        <v>0</v>
      </c>
      <c r="R301">
        <f t="shared" si="148"/>
        <v>0</v>
      </c>
      <c r="S301">
        <f>IF(OR(D301&lt;&gt;1,B301="",'Исходные данные'!$B$91="",N('Исходные данные'!$B$80)&lt;=0,'Исходные данные'!$B$88=""),0,IF(AND(YEAR(B301)=YEAR('Исходные данные'!$B$91),MONTH(B301)=MONTH('Исходные данные'!$B$91)),MAX(0,IF('Исходные данные'!$B$88="Последние 12 месяцев",SUMIFS($L$2:$L$194,$B$2:$B$194,"&gt;="&amp;EDATE(B301,-11),$B$2:$B$194,"&lt;="&amp;B301),IF('Исходные данные'!$B$88="Пользовательский NOI",N('Исходные данные'!$B$89),R301))/N('Исходные данные'!$B$80)*(1+N('Исходные данные'!$B$81))),0))</f>
        <v>0</v>
      </c>
      <c r="T301">
        <f>-S301*N('Исходные данные'!$B$73)</f>
        <v>0</v>
      </c>
      <c r="U301">
        <f>IF(S301=0,0,-N('Исходные данные'!$B$87)-IF('Исходные данные'!$B$82="Да",IF('Исходные данные'!$B$84="С выручки",S301,IF('Исходные данные'!$B$84="С прибыли",MAX(0,S301+T301-IF('Исходные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01">
        <f t="shared" si="161"/>
        <v>0</v>
      </c>
      <c r="W301">
        <f>IF(D301=1,Расчёты!AZ301+K301+N301+Q301+V301,0)</f>
        <v>0</v>
      </c>
      <c r="X301" t="str">
        <f t="shared" si="149"/>
        <v/>
      </c>
      <c r="Y301">
        <f>IF(OR(D301=0,'Исходные данные'!$B$9="",'Исходные данные'!$B$90=""),0,W301/(1+'Исходные данные'!$B$90)^((C301-'Исходные данные'!$B$9)/365))</f>
        <v>0</v>
      </c>
      <c r="Z301">
        <f>IF(D301=1,K301+Расчёты!O301+Расчёты!Q301+Расчёты!S301+Расчёты!U301+Расчёты!W301+Расчёты!X301+N301+Q301,0)</f>
        <v>0</v>
      </c>
      <c r="AA301">
        <f>IF(AND(D301=1,X301&gt;=0,X300&lt;0,MIN($X$2:X301)&lt;0),1,0)</f>
        <v>0</v>
      </c>
      <c r="AB301">
        <f>IF(Расчёты!F301=0,0,IF(Расчёты!G301=1,N('Сценарный анализ'!$C$5),IF(Расчёты!G301=2,N('Сценарный анализ'!$C$6),IF(Расчёты!G301=3,N('Сценарный анализ'!$C$7),N('Сценарный анализ'!$C$7)*(1+N('Сценарный анализ'!$C$8))^(Расчёты!G301-3)))))</f>
        <v>0</v>
      </c>
      <c r="AC301">
        <f>IF(OR(Расчёты!F301=0,N('Исходные данные'!$B$5)=0,AB301=0),0,N('Исходные данные'!$B$5)*AB301*IF(AND(B301&lt;='Исходные данные'!$B$30,Расчёты!C301&gt;='Исходные данные'!$B$30),(Расчёты!C301-'Исходные данные'!$B$30+1)/DAY(Расчёты!C301),1))</f>
        <v>0</v>
      </c>
      <c r="AD301">
        <f>IF(AND(Расчёты!F301&gt;0,Расчёты!F301&lt;=N('Исходные данные'!$B$37)),-AC301,0)</f>
        <v>0</v>
      </c>
      <c r="AE301">
        <f>IF(OR(Расчёты!F301=0,Расчёты!F301&lt;=N('Исходные данные'!$B$37)),0,-(AC301+AD301)*N('Сценарный анализ'!$C$9))</f>
        <v>0</v>
      </c>
      <c r="AF301">
        <f t="shared" si="162"/>
        <v>0</v>
      </c>
      <c r="AG301">
        <f>IF('Исходные данные'!$B$51="Да",AF301*N('Исходные данные'!$B$52),0)</f>
        <v>0</v>
      </c>
      <c r="AH301">
        <f t="shared" si="163"/>
        <v>0</v>
      </c>
      <c r="AI301">
        <f>AF301+(Расчёты!Y301-Расчёты!L301)</f>
        <v>0</v>
      </c>
      <c r="AJ301">
        <f t="shared" si="150"/>
        <v>0</v>
      </c>
      <c r="AK301">
        <f>IF('Исходные данные'!$B$51="Да",-MAX(0,AG301+Расчёты!R301+Расчёты!V301-Расчёты!P301-Расчёты!T301-AJ301),0)</f>
        <v>0</v>
      </c>
      <c r="AL301">
        <f>IF('Исходные данные'!$B$51="Да",MAX(0,AJ301+Расчёты!P301+Расчёты!T301-AG301-Расчёты!R301-Расчёты!V301),0)</f>
        <v>0</v>
      </c>
      <c r="AM301">
        <f>IF('Исходные данные'!$B$53="Выручка",MAX(0,AF301+(Расчёты!Q301-Расчёты!R301)+(Расчёты!U301-Расчёты!V301)),IF('Исходные данные'!$B$53="Прибыль до налога",MAX(0,AF301+(Расчёты!Q301-Расчёты!R301)+(Расчёты!U301-Расчёты!V301)+N('Исходные данные'!$B$54)*((Расчёты!O301+Расчёты!P301)+(Расчёты!S301+Расчёты!T301)+Расчёты!W301+Расчёты!X301)+IF('Исходные данные'!$B$55="Да",Расчёты!AG301,0)-N('Исходные данные'!$B$56)/12),IF('Исходные данные'!$B$53="Пользовательская база",MAX(0,N('Исходные данные'!$B$57)/12),0)))</f>
        <v>0</v>
      </c>
      <c r="AN301">
        <f>IF(D301=1,-AM301*N('Исходные данные'!$B$50),0)</f>
        <v>0</v>
      </c>
      <c r="AO301">
        <f t="shared" si="151"/>
        <v>0</v>
      </c>
      <c r="AP301">
        <f>IF(OR(D301&lt;&gt;1,B301="",'Исходные данные'!$B$91="",N('Исходные данные'!$B$80)&lt;=0,'Исходные данные'!$B$88=""),0,IF(AND(YEAR(B301)=YEAR('Исходные данные'!$B$91),MONTH(B301)=MONTH('Исходные данные'!$B$91)),MAX(0,IF('Исходные данные'!$B$88="Последние 12 месяцев",SUMIFS($AI$2:$AI$194,$B$2:$B$194,"&gt;="&amp;EDATE(B301,-11),$B$2:$B$194,"&lt;="&amp;B301),IF('Исходные данные'!$B$88="Пользовательский NOI",N('Исходные данные'!$B$89),AO301))/N('Исходные данные'!$B$80)*(1+N('Исходные данные'!$B$81))),0))</f>
        <v>0</v>
      </c>
      <c r="AQ301">
        <f>-AP301*N('Исходные данные'!$B$73)</f>
        <v>0</v>
      </c>
      <c r="AR301">
        <f>IF(AP301=0,0,-N('Исходные данные'!$B$87)-IF('Исходные данные'!$B$82="Да",IF('Исходные данные'!$B$84="С выручки",AP301,IF('Исходные данные'!$B$84="С прибыли",MAX(0,AP301+AQ301-IF('Исходные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01">
        <f t="shared" si="164"/>
        <v>0</v>
      </c>
      <c r="AT301">
        <f>IF(D301=1,Расчёты!AZ301+AH301+AK301+AN301+AS301,0)</f>
        <v>0</v>
      </c>
      <c r="AU301" t="str">
        <f t="shared" si="152"/>
        <v/>
      </c>
      <c r="AV301">
        <f>IF(OR(D301=0,'Исходные данные'!$B$9="",'Исходные данные'!$B$90=""),0,AT301/(1+'Исходные данные'!$B$90)^((C301-'Исходные данные'!$B$9)/365))</f>
        <v>0</v>
      </c>
      <c r="AW301">
        <f>IF(D301=1,AH301+Расчёты!O301+Расчёты!Q301+Расчёты!S301+Расчёты!U301+Расчёты!W301+Расчёты!X301+AK301+AN301,0)</f>
        <v>0</v>
      </c>
      <c r="AX301">
        <f>IF(AND(D301=1,AU301&gt;=0,AU300&lt;0,MIN($AU$2:AU301)&lt;0),1,0)</f>
        <v>0</v>
      </c>
      <c r="AY301">
        <f>IF(Расчёты!F301=0,0,IF(Расчёты!G301=1,N('Сценарный анализ'!$D$5),IF(Расчёты!G301=2,N('Сценарный анализ'!$D$6),IF(Расчёты!G301=3,N('Сценарный анализ'!$D$7),N('Сценарный анализ'!$D$7)*(1+N('Сценарный анализ'!$D$8))^(Расчёты!G301-3)))))</f>
        <v>0</v>
      </c>
      <c r="AZ301">
        <f>IF(OR(Расчёты!F301=0,N('Исходные данные'!$B$5)=0,AY301=0),0,N('Исходные данные'!$B$5)*AY301*IF(AND(B301&lt;='Исходные данные'!$B$30,Расчёты!C301&gt;='Исходные данные'!$B$30),(Расчёты!C301-'Исходные данные'!$B$30+1)/DAY(Расчёты!C301),1))</f>
        <v>0</v>
      </c>
      <c r="BA301">
        <f>IF(AND(Расчёты!F301&gt;0,Расчёты!F301&lt;=N('Исходные данные'!$B$37)),-AZ301,0)</f>
        <v>0</v>
      </c>
      <c r="BB301">
        <f>IF(OR(Расчёты!F301=0,Расчёты!F301&lt;=N('Исходные данные'!$B$37)),0,-(AZ301+BA301)*N('Сценарный анализ'!$D$9))</f>
        <v>0</v>
      </c>
      <c r="BC301">
        <f t="shared" si="165"/>
        <v>0</v>
      </c>
      <c r="BD301">
        <f>IF('Исходные данные'!$B$51="Да",BC301*N('Исходные данные'!$B$52),0)</f>
        <v>0</v>
      </c>
      <c r="BE301">
        <f t="shared" si="166"/>
        <v>0</v>
      </c>
      <c r="BF301">
        <f>BC301+(Расчёты!Y301-Расчёты!L301)</f>
        <v>0</v>
      </c>
      <c r="BG301">
        <f t="shared" si="153"/>
        <v>0</v>
      </c>
      <c r="BH301">
        <f>IF('Исходные данные'!$B$51="Да",-MAX(0,BD301+Расчёты!R301+Расчёты!V301-Расчёты!P301-Расчёты!T301-BG301),0)</f>
        <v>0</v>
      </c>
      <c r="BI301">
        <f>IF('Исходные данные'!$B$51="Да",MAX(0,BG301+Расчёты!P301+Расчёты!T301-BD301-Расчёты!R301-Расчёты!V301),0)</f>
        <v>0</v>
      </c>
      <c r="BJ301">
        <f>IF('Исходные данные'!$B$53="Выручка",MAX(0,BC301+(Расчёты!Q301-Расчёты!R301)+(Расчёты!U301-Расчёты!V301)),IF('Исходные данные'!$B$53="Прибыль до налога",MAX(0,BC301+(Расчёты!Q301-Расчёты!R301)+(Расчёты!U301-Расчёты!V301)+N('Исходные данные'!$B$54)*((Расчёты!O301+Расчёты!P301)+(Расчёты!S301+Расчёты!T301)+Расчёты!W301+Расчёты!X301)+IF('Исходные данные'!$B$55="Да",Расчёты!AG301,0)-N('Исходные данные'!$B$56)/12),IF('Исходные данные'!$B$53="Пользовательская база",MAX(0,N('Исходные данные'!$B$57)/12),0)))</f>
        <v>0</v>
      </c>
      <c r="BK301">
        <f>IF(D301=1,-BJ301*N('Исходные данные'!$B$50),0)</f>
        <v>0</v>
      </c>
      <c r="BL301">
        <f t="shared" si="154"/>
        <v>0</v>
      </c>
      <c r="BM301">
        <f>IF(OR(D301&lt;&gt;1,B301="",'Исходные данные'!$B$91="",N('Исходные данные'!$B$80)&lt;=0,'Исходные данные'!$B$88=""),0,IF(AND(YEAR(B301)=YEAR('Исходные данные'!$B$91),MONTH(B301)=MONTH('Исходные данные'!$B$91)),MAX(0,IF('Исходные данные'!$B$88="Последние 12 месяцев",SUMIFS($BF$2:$BF$194,$B$2:$B$194,"&gt;="&amp;EDATE(B301,-11),$B$2:$B$194,"&lt;="&amp;B301),IF('Исходные данные'!$B$88="Пользовательский NOI",N('Исходные данные'!$B$89),BL301))/N('Исходные данные'!$B$80)*(1+N('Исходные данные'!$B$81))),0))</f>
        <v>0</v>
      </c>
      <c r="BN301">
        <f>-BM301*N('Исходные данные'!$B$73)</f>
        <v>0</v>
      </c>
      <c r="BO301">
        <f>IF(BM301=0,0,-N('Исходные данные'!$B$87)-IF('Исходные данные'!$B$82="Да",IF('Исходные данные'!$B$84="С выручки",BM301,IF('Исходные данные'!$B$84="С прибыли",MAX(0,BM301+BN301-IF('Исходные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01">
        <f t="shared" si="167"/>
        <v>0</v>
      </c>
      <c r="BQ301">
        <f>IF(D301=1,Расчёты!AZ301+BE301+BH301+BK301+BP301,0)</f>
        <v>0</v>
      </c>
      <c r="BR301" t="str">
        <f t="shared" si="155"/>
        <v/>
      </c>
      <c r="BS301">
        <f>IF(OR(D301=0,'Исходные данные'!$B$9="",'Исходные данные'!$B$90=""),0,BQ301/(1+'Исходные данные'!$B$90)^((C301-'Исходные данные'!$B$9)/365))</f>
        <v>0</v>
      </c>
      <c r="BT301">
        <f>IF(D301=1,BE301+Расчёты!O301+Расчёты!Q301+Расчёты!S301+Расчёты!U301+Расчёты!W301+Расчёты!X301+BH301+BK301,0)</f>
        <v>0</v>
      </c>
      <c r="BU301">
        <f>IF(AND(D301=1,BR301&gt;=0,BR300&lt;0,MIN($BR$2:BR301)&lt;0),1,0)</f>
        <v>0</v>
      </c>
      <c r="BV301">
        <f>Расчёты!AZ301+K301+N301-P301*N('Исходные данные'!$B$50)</f>
        <v>0</v>
      </c>
      <c r="BW301">
        <f t="shared" si="156"/>
        <v>0</v>
      </c>
      <c r="BX301">
        <f>IF(AND(BW301&gt;=0,BW300&lt;0,MIN($BW$2:BW301)&lt;0),1,0)</f>
        <v>0</v>
      </c>
      <c r="BY301">
        <f>Расчёты!AZ301+AH301+AK301-AM301*N('Исходные данные'!$B$50)</f>
        <v>0</v>
      </c>
      <c r="BZ301">
        <f t="shared" si="157"/>
        <v>0</v>
      </c>
      <c r="CA301">
        <f>IF(AND(BZ301&gt;=0,BZ300&lt;0,MIN($BZ$2:BZ301)&lt;0),1,0)</f>
        <v>0</v>
      </c>
      <c r="CB301">
        <f>Расчёты!AZ301+BE301+BH301-BJ301*N('Исходные данные'!$B$50)</f>
        <v>0</v>
      </c>
      <c r="CC301">
        <f t="shared" si="158"/>
        <v>0</v>
      </c>
      <c r="CD301">
        <f>IF(AND(CC301&gt;=0,CC300&lt;0,MIN($CC$2:CC301)&lt;0),1,0)</f>
        <v>0</v>
      </c>
    </row>
    <row r="302" spans="1:82" x14ac:dyDescent="0.2">
      <c r="A302">
        <f>Расчёты!A302</f>
        <v>301</v>
      </c>
      <c r="B302" t="str">
        <f>Расчёты!B302</f>
        <v/>
      </c>
      <c r="C302" t="str">
        <f>Расчёты!D302</f>
        <v/>
      </c>
      <c r="D302">
        <f>Расчёты!E302</f>
        <v>0</v>
      </c>
      <c r="E302">
        <f>IF(Расчёты!F302=0,0,IF(Расчёты!G302=1,N('Сценарный анализ'!$B$5),IF(Расчёты!G302=2,N('Сценарный анализ'!$B$6),IF(Расчёты!G302=3,N('Сценарный анализ'!$B$7),N('Сценарный анализ'!$B$7)*(1+N('Сценарный анализ'!$B$8))^(Расчёты!G302-3)))))</f>
        <v>0</v>
      </c>
      <c r="F302">
        <f>IF(OR(Расчёты!F302=0,N('Исходные данные'!$B$5)=0,E302=0),0,N('Исходные данные'!$B$5)*E302*IF(AND(B302&lt;='Исходные данные'!$B$30,Расчёты!C302&gt;='Исходные данные'!$B$30),(Расчёты!C302-'Исходные данные'!$B$30+1)/DAY(Расчёты!C302),1))</f>
        <v>0</v>
      </c>
      <c r="G302">
        <f>IF(AND(Расчёты!F302&gt;0,Расчёты!F302&lt;=N('Исходные данные'!$B$37)),-F302,0)</f>
        <v>0</v>
      </c>
      <c r="H302">
        <f>IF(OR(Расчёты!F302=0,Расчёты!F302&lt;=N('Исходные данные'!$B$37)),0,-(F302+G302)*N('Сценарный анализ'!$B$9))</f>
        <v>0</v>
      </c>
      <c r="I302">
        <f t="shared" si="159"/>
        <v>0</v>
      </c>
      <c r="J302">
        <f>IF('Исходные данные'!$B$51="Да",I302*N('Исходные данные'!$B$52),0)</f>
        <v>0</v>
      </c>
      <c r="K302">
        <f t="shared" si="160"/>
        <v>0</v>
      </c>
      <c r="L302">
        <f>I302+(Расчёты!Y302-Расчёты!L302)</f>
        <v>0</v>
      </c>
      <c r="M302">
        <f t="shared" si="147"/>
        <v>0</v>
      </c>
      <c r="N302">
        <f>IF('Исходные данные'!$B$51="Да",-MAX(0,J302+Расчёты!R302+Расчёты!V302-Расчёты!P302-Расчёты!T302-M302),0)</f>
        <v>0</v>
      </c>
      <c r="O302">
        <f>IF('Исходные данные'!$B$51="Да",MAX(0,M302+Расчёты!P302+Расчёты!T302-J302-Расчёты!R302-Расчёты!V302),0)</f>
        <v>0</v>
      </c>
      <c r="P302">
        <f>IF('Исходные данные'!$B$53="Выручка",MAX(0,I302+(Расчёты!Q302-Расчёты!R302)+(Расчёты!U302-Расчёты!V302)),IF('Исходные данные'!$B$53="Прибыль до налога",MAX(0,I302+(Расчёты!Q302-Расчёты!R302)+(Расчёты!U302-Расчёты!V302)+N('Исходные данные'!$B$54)*((Расчёты!O302+Расчёты!P302)+(Расчёты!S302+Расчёты!T302)+Расчёты!W302+Расчёты!X302)+IF('Исходные данные'!$B$55="Да",Расчёты!AG302,0)-N('Исходные данные'!$B$56)/12),IF('Исходные данные'!$B$53="Пользовательская база",MAX(0,N('Исходные данные'!$B$57)/12),0)))</f>
        <v>0</v>
      </c>
      <c r="Q302">
        <f>IF(D302=1,-P302*N('Исходные данные'!$B$50),0)</f>
        <v>0</v>
      </c>
      <c r="R302">
        <f t="shared" si="148"/>
        <v>0</v>
      </c>
      <c r="S302">
        <f>IF(OR(D302&lt;&gt;1,B302="",'Исходные данные'!$B$91="",N('Исходные данные'!$B$80)&lt;=0,'Исходные данные'!$B$88=""),0,IF(AND(YEAR(B302)=YEAR('Исходные данные'!$B$91),MONTH(B302)=MONTH('Исходные данные'!$B$91)),MAX(0,IF('Исходные данные'!$B$88="Последние 12 месяцев",SUMIFS($L$2:$L$194,$B$2:$B$194,"&gt;="&amp;EDATE(B302,-11),$B$2:$B$194,"&lt;="&amp;B302),IF('Исходные данные'!$B$88="Пользовательский NOI",N('Исходные данные'!$B$89),R302))/N('Исходные данные'!$B$80)*(1+N('Исходные данные'!$B$81))),0))</f>
        <v>0</v>
      </c>
      <c r="T302">
        <f>-S302*N('Исходные данные'!$B$73)</f>
        <v>0</v>
      </c>
      <c r="U302">
        <f>IF(S302=0,0,-N('Исходные данные'!$B$87)-IF('Исходные данные'!$B$82="Да",IF('Исходные данные'!$B$84="С выручки",S302,IF('Исходные данные'!$B$84="С прибыли",MAX(0,S302+T302-IF('Исходные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02">
        <f t="shared" si="161"/>
        <v>0</v>
      </c>
      <c r="W302">
        <f>IF(D302=1,Расчёты!AZ302+K302+N302+Q302+V302,0)</f>
        <v>0</v>
      </c>
      <c r="X302" t="str">
        <f t="shared" si="149"/>
        <v/>
      </c>
      <c r="Y302">
        <f>IF(OR(D302=0,'Исходные данные'!$B$9="",'Исходные данные'!$B$90=""),0,W302/(1+'Исходные данные'!$B$90)^((C302-'Исходные данные'!$B$9)/365))</f>
        <v>0</v>
      </c>
      <c r="Z302">
        <f>IF(D302=1,K302+Расчёты!O302+Расчёты!Q302+Расчёты!S302+Расчёты!U302+Расчёты!W302+Расчёты!X302+N302+Q302,0)</f>
        <v>0</v>
      </c>
      <c r="AA302">
        <f>IF(AND(D302=1,X302&gt;=0,X301&lt;0,MIN($X$2:X302)&lt;0),1,0)</f>
        <v>0</v>
      </c>
      <c r="AB302">
        <f>IF(Расчёты!F302=0,0,IF(Расчёты!G302=1,N('Сценарный анализ'!$C$5),IF(Расчёты!G302=2,N('Сценарный анализ'!$C$6),IF(Расчёты!G302=3,N('Сценарный анализ'!$C$7),N('Сценарный анализ'!$C$7)*(1+N('Сценарный анализ'!$C$8))^(Расчёты!G302-3)))))</f>
        <v>0</v>
      </c>
      <c r="AC302">
        <f>IF(OR(Расчёты!F302=0,N('Исходные данные'!$B$5)=0,AB302=0),0,N('Исходные данные'!$B$5)*AB302*IF(AND(B302&lt;='Исходные данные'!$B$30,Расчёты!C302&gt;='Исходные данные'!$B$30),(Расчёты!C302-'Исходные данные'!$B$30+1)/DAY(Расчёты!C302),1))</f>
        <v>0</v>
      </c>
      <c r="AD302">
        <f>IF(AND(Расчёты!F302&gt;0,Расчёты!F302&lt;=N('Исходные данные'!$B$37)),-AC302,0)</f>
        <v>0</v>
      </c>
      <c r="AE302">
        <f>IF(OR(Расчёты!F302=0,Расчёты!F302&lt;=N('Исходные данные'!$B$37)),0,-(AC302+AD302)*N('Сценарный анализ'!$C$9))</f>
        <v>0</v>
      </c>
      <c r="AF302">
        <f t="shared" si="162"/>
        <v>0</v>
      </c>
      <c r="AG302">
        <f>IF('Исходные данные'!$B$51="Да",AF302*N('Исходные данные'!$B$52),0)</f>
        <v>0</v>
      </c>
      <c r="AH302">
        <f t="shared" si="163"/>
        <v>0</v>
      </c>
      <c r="AI302">
        <f>AF302+(Расчёты!Y302-Расчёты!L302)</f>
        <v>0</v>
      </c>
      <c r="AJ302">
        <f t="shared" si="150"/>
        <v>0</v>
      </c>
      <c r="AK302">
        <f>IF('Исходные данные'!$B$51="Да",-MAX(0,AG302+Расчёты!R302+Расчёты!V302-Расчёты!P302-Расчёты!T302-AJ302),0)</f>
        <v>0</v>
      </c>
      <c r="AL302">
        <f>IF('Исходные данные'!$B$51="Да",MAX(0,AJ302+Расчёты!P302+Расчёты!T302-AG302-Расчёты!R302-Расчёты!V302),0)</f>
        <v>0</v>
      </c>
      <c r="AM302">
        <f>IF('Исходные данные'!$B$53="Выручка",MAX(0,AF302+(Расчёты!Q302-Расчёты!R302)+(Расчёты!U302-Расчёты!V302)),IF('Исходные данные'!$B$53="Прибыль до налога",MAX(0,AF302+(Расчёты!Q302-Расчёты!R302)+(Расчёты!U302-Расчёты!V302)+N('Исходные данные'!$B$54)*((Расчёты!O302+Расчёты!P302)+(Расчёты!S302+Расчёты!T302)+Расчёты!W302+Расчёты!X302)+IF('Исходные данные'!$B$55="Да",Расчёты!AG302,0)-N('Исходные данные'!$B$56)/12),IF('Исходные данные'!$B$53="Пользовательская база",MAX(0,N('Исходные данные'!$B$57)/12),0)))</f>
        <v>0</v>
      </c>
      <c r="AN302">
        <f>IF(D302=1,-AM302*N('Исходные данные'!$B$50),0)</f>
        <v>0</v>
      </c>
      <c r="AO302">
        <f t="shared" si="151"/>
        <v>0</v>
      </c>
      <c r="AP302">
        <f>IF(OR(D302&lt;&gt;1,B302="",'Исходные данные'!$B$91="",N('Исходные данные'!$B$80)&lt;=0,'Исходные данные'!$B$88=""),0,IF(AND(YEAR(B302)=YEAR('Исходные данные'!$B$91),MONTH(B302)=MONTH('Исходные данные'!$B$91)),MAX(0,IF('Исходные данные'!$B$88="Последние 12 месяцев",SUMIFS($AI$2:$AI$194,$B$2:$B$194,"&gt;="&amp;EDATE(B302,-11),$B$2:$B$194,"&lt;="&amp;B302),IF('Исходные данные'!$B$88="Пользовательский NOI",N('Исходные данные'!$B$89),AO302))/N('Исходные данные'!$B$80)*(1+N('Исходные данные'!$B$81))),0))</f>
        <v>0</v>
      </c>
      <c r="AQ302">
        <f>-AP302*N('Исходные данные'!$B$73)</f>
        <v>0</v>
      </c>
      <c r="AR302">
        <f>IF(AP302=0,0,-N('Исходные данные'!$B$87)-IF('Исходные данные'!$B$82="Да",IF('Исходные данные'!$B$84="С выручки",AP302,IF('Исходные данные'!$B$84="С прибыли",MAX(0,AP302+AQ302-IF('Исходные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02">
        <f t="shared" si="164"/>
        <v>0</v>
      </c>
      <c r="AT302">
        <f>IF(D302=1,Расчёты!AZ302+AH302+AK302+AN302+AS302,0)</f>
        <v>0</v>
      </c>
      <c r="AU302" t="str">
        <f t="shared" si="152"/>
        <v/>
      </c>
      <c r="AV302">
        <f>IF(OR(D302=0,'Исходные данные'!$B$9="",'Исходные данные'!$B$90=""),0,AT302/(1+'Исходные данные'!$B$90)^((C302-'Исходные данные'!$B$9)/365))</f>
        <v>0</v>
      </c>
      <c r="AW302">
        <f>IF(D302=1,AH302+Расчёты!O302+Расчёты!Q302+Расчёты!S302+Расчёты!U302+Расчёты!W302+Расчёты!X302+AK302+AN302,0)</f>
        <v>0</v>
      </c>
      <c r="AX302">
        <f>IF(AND(D302=1,AU302&gt;=0,AU301&lt;0,MIN($AU$2:AU302)&lt;0),1,0)</f>
        <v>0</v>
      </c>
      <c r="AY302">
        <f>IF(Расчёты!F302=0,0,IF(Расчёты!G302=1,N('Сценарный анализ'!$D$5),IF(Расчёты!G302=2,N('Сценарный анализ'!$D$6),IF(Расчёты!G302=3,N('Сценарный анализ'!$D$7),N('Сценарный анализ'!$D$7)*(1+N('Сценарный анализ'!$D$8))^(Расчёты!G302-3)))))</f>
        <v>0</v>
      </c>
      <c r="AZ302">
        <f>IF(OR(Расчёты!F302=0,N('Исходные данные'!$B$5)=0,AY302=0),0,N('Исходные данные'!$B$5)*AY302*IF(AND(B302&lt;='Исходные данные'!$B$30,Расчёты!C302&gt;='Исходные данные'!$B$30),(Расчёты!C302-'Исходные данные'!$B$30+1)/DAY(Расчёты!C302),1))</f>
        <v>0</v>
      </c>
      <c r="BA302">
        <f>IF(AND(Расчёты!F302&gt;0,Расчёты!F302&lt;=N('Исходные данные'!$B$37)),-AZ302,0)</f>
        <v>0</v>
      </c>
      <c r="BB302">
        <f>IF(OR(Расчёты!F302=0,Расчёты!F302&lt;=N('Исходные данные'!$B$37)),0,-(AZ302+BA302)*N('Сценарный анализ'!$D$9))</f>
        <v>0</v>
      </c>
      <c r="BC302">
        <f t="shared" si="165"/>
        <v>0</v>
      </c>
      <c r="BD302">
        <f>IF('Исходные данные'!$B$51="Да",BC302*N('Исходные данные'!$B$52),0)</f>
        <v>0</v>
      </c>
      <c r="BE302">
        <f t="shared" si="166"/>
        <v>0</v>
      </c>
      <c r="BF302">
        <f>BC302+(Расчёты!Y302-Расчёты!L302)</f>
        <v>0</v>
      </c>
      <c r="BG302">
        <f t="shared" si="153"/>
        <v>0</v>
      </c>
      <c r="BH302">
        <f>IF('Исходные данные'!$B$51="Да",-MAX(0,BD302+Расчёты!R302+Расчёты!V302-Расчёты!P302-Расчёты!T302-BG302),0)</f>
        <v>0</v>
      </c>
      <c r="BI302">
        <f>IF('Исходные данные'!$B$51="Да",MAX(0,BG302+Расчёты!P302+Расчёты!T302-BD302-Расчёты!R302-Расчёты!V302),0)</f>
        <v>0</v>
      </c>
      <c r="BJ302">
        <f>IF('Исходные данные'!$B$53="Выручка",MAX(0,BC302+(Расчёты!Q302-Расчёты!R302)+(Расчёты!U302-Расчёты!V302)),IF('Исходные данные'!$B$53="Прибыль до налога",MAX(0,BC302+(Расчёты!Q302-Расчёты!R302)+(Расчёты!U302-Расчёты!V302)+N('Исходные данные'!$B$54)*((Расчёты!O302+Расчёты!P302)+(Расчёты!S302+Расчёты!T302)+Расчёты!W302+Расчёты!X302)+IF('Исходные данные'!$B$55="Да",Расчёты!AG302,0)-N('Исходные данные'!$B$56)/12),IF('Исходные данные'!$B$53="Пользовательская база",MAX(0,N('Исходные данные'!$B$57)/12),0)))</f>
        <v>0</v>
      </c>
      <c r="BK302">
        <f>IF(D302=1,-BJ302*N('Исходные данные'!$B$50),0)</f>
        <v>0</v>
      </c>
      <c r="BL302">
        <f t="shared" si="154"/>
        <v>0</v>
      </c>
      <c r="BM302">
        <f>IF(OR(D302&lt;&gt;1,B302="",'Исходные данные'!$B$91="",N('Исходные данные'!$B$80)&lt;=0,'Исходные данные'!$B$88=""),0,IF(AND(YEAR(B302)=YEAR('Исходные данные'!$B$91),MONTH(B302)=MONTH('Исходные данные'!$B$91)),MAX(0,IF('Исходные данные'!$B$88="Последние 12 месяцев",SUMIFS($BF$2:$BF$194,$B$2:$B$194,"&gt;="&amp;EDATE(B302,-11),$B$2:$B$194,"&lt;="&amp;B302),IF('Исходные данные'!$B$88="Пользовательский NOI",N('Исходные данные'!$B$89),BL302))/N('Исходные данные'!$B$80)*(1+N('Исходные данные'!$B$81))),0))</f>
        <v>0</v>
      </c>
      <c r="BN302">
        <f>-BM302*N('Исходные данные'!$B$73)</f>
        <v>0</v>
      </c>
      <c r="BO302">
        <f>IF(BM302=0,0,-N('Исходные данные'!$B$87)-IF('Исходные данные'!$B$82="Да",IF('Исходные данные'!$B$84="С выручки",BM302,IF('Исходные данные'!$B$84="С прибыли",MAX(0,BM302+BN302-IF('Исходные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02">
        <f t="shared" si="167"/>
        <v>0</v>
      </c>
      <c r="BQ302">
        <f>IF(D302=1,Расчёты!AZ302+BE302+BH302+BK302+BP302,0)</f>
        <v>0</v>
      </c>
      <c r="BR302" t="str">
        <f t="shared" si="155"/>
        <v/>
      </c>
      <c r="BS302">
        <f>IF(OR(D302=0,'Исходные данные'!$B$9="",'Исходные данные'!$B$90=""),0,BQ302/(1+'Исходные данные'!$B$90)^((C302-'Исходные данные'!$B$9)/365))</f>
        <v>0</v>
      </c>
      <c r="BT302">
        <f>IF(D302=1,BE302+Расчёты!O302+Расчёты!Q302+Расчёты!S302+Расчёты!U302+Расчёты!W302+Расчёты!X302+BH302+BK302,0)</f>
        <v>0</v>
      </c>
      <c r="BU302">
        <f>IF(AND(D302=1,BR302&gt;=0,BR301&lt;0,MIN($BR$2:BR302)&lt;0),1,0)</f>
        <v>0</v>
      </c>
      <c r="BV302">
        <f>Расчёты!AZ302+K302+N302-P302*N('Исходные данные'!$B$50)</f>
        <v>0</v>
      </c>
      <c r="BW302">
        <f t="shared" si="156"/>
        <v>0</v>
      </c>
      <c r="BX302">
        <f>IF(AND(BW302&gt;=0,BW301&lt;0,MIN($BW$2:BW302)&lt;0),1,0)</f>
        <v>0</v>
      </c>
      <c r="BY302">
        <f>Расчёты!AZ302+AH302+AK302-AM302*N('Исходные данные'!$B$50)</f>
        <v>0</v>
      </c>
      <c r="BZ302">
        <f t="shared" si="157"/>
        <v>0</v>
      </c>
      <c r="CA302">
        <f>IF(AND(BZ302&gt;=0,BZ301&lt;0,MIN($BZ$2:BZ302)&lt;0),1,0)</f>
        <v>0</v>
      </c>
      <c r="CB302">
        <f>Расчёты!AZ302+BE302+BH302-BJ302*N('Исходные данные'!$B$50)</f>
        <v>0</v>
      </c>
      <c r="CC302">
        <f t="shared" si="158"/>
        <v>0</v>
      </c>
      <c r="CD302">
        <f>IF(AND(CC302&gt;=0,CC301&lt;0,MIN($CC$2:CC302)&lt;0),1,0)</f>
        <v>0</v>
      </c>
    </row>
    <row r="303" spans="1:82" x14ac:dyDescent="0.2">
      <c r="A303">
        <f>Расчёты!A303</f>
        <v>302</v>
      </c>
      <c r="B303" t="str">
        <f>Расчёты!B303</f>
        <v/>
      </c>
      <c r="C303" t="str">
        <f>Расчёты!D303</f>
        <v/>
      </c>
      <c r="D303">
        <f>Расчёты!E303</f>
        <v>0</v>
      </c>
      <c r="E303">
        <f>IF(Расчёты!F303=0,0,IF(Расчёты!G303=1,N('Сценарный анализ'!$B$5),IF(Расчёты!G303=2,N('Сценарный анализ'!$B$6),IF(Расчёты!G303=3,N('Сценарный анализ'!$B$7),N('Сценарный анализ'!$B$7)*(1+N('Сценарный анализ'!$B$8))^(Расчёты!G303-3)))))</f>
        <v>0</v>
      </c>
      <c r="F303">
        <f>IF(OR(Расчёты!F303=0,N('Исходные данные'!$B$5)=0,E303=0),0,N('Исходные данные'!$B$5)*E303*IF(AND(B303&lt;='Исходные данные'!$B$30,Расчёты!C303&gt;='Исходные данные'!$B$30),(Расчёты!C303-'Исходные данные'!$B$30+1)/DAY(Расчёты!C303),1))</f>
        <v>0</v>
      </c>
      <c r="G303">
        <f>IF(AND(Расчёты!F303&gt;0,Расчёты!F303&lt;=N('Исходные данные'!$B$37)),-F303,0)</f>
        <v>0</v>
      </c>
      <c r="H303">
        <f>IF(OR(Расчёты!F303=0,Расчёты!F303&lt;=N('Исходные данные'!$B$37)),0,-(F303+G303)*N('Сценарный анализ'!$B$9))</f>
        <v>0</v>
      </c>
      <c r="I303">
        <f t="shared" si="159"/>
        <v>0</v>
      </c>
      <c r="J303">
        <f>IF('Исходные данные'!$B$51="Да",I303*N('Исходные данные'!$B$52),0)</f>
        <v>0</v>
      </c>
      <c r="K303">
        <f t="shared" si="160"/>
        <v>0</v>
      </c>
      <c r="L303">
        <f>I303+(Расчёты!Y303-Расчёты!L303)</f>
        <v>0</v>
      </c>
      <c r="M303">
        <f t="shared" si="147"/>
        <v>0</v>
      </c>
      <c r="N303">
        <f>IF('Исходные данные'!$B$51="Да",-MAX(0,J303+Расчёты!R303+Расчёты!V303-Расчёты!P303-Расчёты!T303-M303),0)</f>
        <v>0</v>
      </c>
      <c r="O303">
        <f>IF('Исходные данные'!$B$51="Да",MAX(0,M303+Расчёты!P303+Расчёты!T303-J303-Расчёты!R303-Расчёты!V303),0)</f>
        <v>0</v>
      </c>
      <c r="P303">
        <f>IF('Исходные данные'!$B$53="Выручка",MAX(0,I303+(Расчёты!Q303-Расчёты!R303)+(Расчёты!U303-Расчёты!V303)),IF('Исходные данные'!$B$53="Прибыль до налога",MAX(0,I303+(Расчёты!Q303-Расчёты!R303)+(Расчёты!U303-Расчёты!V303)+N('Исходные данные'!$B$54)*((Расчёты!O303+Расчёты!P303)+(Расчёты!S303+Расчёты!T303)+Расчёты!W303+Расчёты!X303)+IF('Исходные данные'!$B$55="Да",Расчёты!AG303,0)-N('Исходные данные'!$B$56)/12),IF('Исходные данные'!$B$53="Пользовательская база",MAX(0,N('Исходные данные'!$B$57)/12),0)))</f>
        <v>0</v>
      </c>
      <c r="Q303">
        <f>IF(D303=1,-P303*N('Исходные данные'!$B$50),0)</f>
        <v>0</v>
      </c>
      <c r="R303">
        <f t="shared" si="148"/>
        <v>0</v>
      </c>
      <c r="S303">
        <f>IF(OR(D303&lt;&gt;1,B303="",'Исходные данные'!$B$91="",N('Исходные данные'!$B$80)&lt;=0,'Исходные данные'!$B$88=""),0,IF(AND(YEAR(B303)=YEAR('Исходные данные'!$B$91),MONTH(B303)=MONTH('Исходные данные'!$B$91)),MAX(0,IF('Исходные данные'!$B$88="Последние 12 месяцев",SUMIFS($L$2:$L$194,$B$2:$B$194,"&gt;="&amp;EDATE(B303,-11),$B$2:$B$194,"&lt;="&amp;B303),IF('Исходные данные'!$B$88="Пользовательский NOI",N('Исходные данные'!$B$89),R303))/N('Исходные данные'!$B$80)*(1+N('Исходные данные'!$B$81))),0))</f>
        <v>0</v>
      </c>
      <c r="T303">
        <f>-S303*N('Исходные данные'!$B$73)</f>
        <v>0</v>
      </c>
      <c r="U303">
        <f>IF(S303=0,0,-N('Исходные данные'!$B$87)-IF('Исходные данные'!$B$82="Да",IF('Исходные данные'!$B$84="С выручки",S303,IF('Исходные данные'!$B$84="С прибыли",MAX(0,S303+T303-IF('Исходные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03">
        <f t="shared" si="161"/>
        <v>0</v>
      </c>
      <c r="W303">
        <f>IF(D303=1,Расчёты!AZ303+K303+N303+Q303+V303,0)</f>
        <v>0</v>
      </c>
      <c r="X303" t="str">
        <f t="shared" si="149"/>
        <v/>
      </c>
      <c r="Y303">
        <f>IF(OR(D303=0,'Исходные данные'!$B$9="",'Исходные данные'!$B$90=""),0,W303/(1+'Исходные данные'!$B$90)^((C303-'Исходные данные'!$B$9)/365))</f>
        <v>0</v>
      </c>
      <c r="Z303">
        <f>IF(D303=1,K303+Расчёты!O303+Расчёты!Q303+Расчёты!S303+Расчёты!U303+Расчёты!W303+Расчёты!X303+N303+Q303,0)</f>
        <v>0</v>
      </c>
      <c r="AA303">
        <f>IF(AND(D303=1,X303&gt;=0,X302&lt;0,MIN($X$2:X303)&lt;0),1,0)</f>
        <v>0</v>
      </c>
      <c r="AB303">
        <f>IF(Расчёты!F303=0,0,IF(Расчёты!G303=1,N('Сценарный анализ'!$C$5),IF(Расчёты!G303=2,N('Сценарный анализ'!$C$6),IF(Расчёты!G303=3,N('Сценарный анализ'!$C$7),N('Сценарный анализ'!$C$7)*(1+N('Сценарный анализ'!$C$8))^(Расчёты!G303-3)))))</f>
        <v>0</v>
      </c>
      <c r="AC303">
        <f>IF(OR(Расчёты!F303=0,N('Исходные данные'!$B$5)=0,AB303=0),0,N('Исходные данные'!$B$5)*AB303*IF(AND(B303&lt;='Исходные данные'!$B$30,Расчёты!C303&gt;='Исходные данные'!$B$30),(Расчёты!C303-'Исходные данные'!$B$30+1)/DAY(Расчёты!C303),1))</f>
        <v>0</v>
      </c>
      <c r="AD303">
        <f>IF(AND(Расчёты!F303&gt;0,Расчёты!F303&lt;=N('Исходные данные'!$B$37)),-AC303,0)</f>
        <v>0</v>
      </c>
      <c r="AE303">
        <f>IF(OR(Расчёты!F303=0,Расчёты!F303&lt;=N('Исходные данные'!$B$37)),0,-(AC303+AD303)*N('Сценарный анализ'!$C$9))</f>
        <v>0</v>
      </c>
      <c r="AF303">
        <f t="shared" si="162"/>
        <v>0</v>
      </c>
      <c r="AG303">
        <f>IF('Исходные данные'!$B$51="Да",AF303*N('Исходные данные'!$B$52),0)</f>
        <v>0</v>
      </c>
      <c r="AH303">
        <f t="shared" si="163"/>
        <v>0</v>
      </c>
      <c r="AI303">
        <f>AF303+(Расчёты!Y303-Расчёты!L303)</f>
        <v>0</v>
      </c>
      <c r="AJ303">
        <f t="shared" si="150"/>
        <v>0</v>
      </c>
      <c r="AK303">
        <f>IF('Исходные данные'!$B$51="Да",-MAX(0,AG303+Расчёты!R303+Расчёты!V303-Расчёты!P303-Расчёты!T303-AJ303),0)</f>
        <v>0</v>
      </c>
      <c r="AL303">
        <f>IF('Исходные данные'!$B$51="Да",MAX(0,AJ303+Расчёты!P303+Расчёты!T303-AG303-Расчёты!R303-Расчёты!V303),0)</f>
        <v>0</v>
      </c>
      <c r="AM303">
        <f>IF('Исходные данные'!$B$53="Выручка",MAX(0,AF303+(Расчёты!Q303-Расчёты!R303)+(Расчёты!U303-Расчёты!V303)),IF('Исходные данные'!$B$53="Прибыль до налога",MAX(0,AF303+(Расчёты!Q303-Расчёты!R303)+(Расчёты!U303-Расчёты!V303)+N('Исходные данные'!$B$54)*((Расчёты!O303+Расчёты!P303)+(Расчёты!S303+Расчёты!T303)+Расчёты!W303+Расчёты!X303)+IF('Исходные данные'!$B$55="Да",Расчёты!AG303,0)-N('Исходные данные'!$B$56)/12),IF('Исходные данные'!$B$53="Пользовательская база",MAX(0,N('Исходные данные'!$B$57)/12),0)))</f>
        <v>0</v>
      </c>
      <c r="AN303">
        <f>IF(D303=1,-AM303*N('Исходные данные'!$B$50),0)</f>
        <v>0</v>
      </c>
      <c r="AO303">
        <f t="shared" si="151"/>
        <v>0</v>
      </c>
      <c r="AP303">
        <f>IF(OR(D303&lt;&gt;1,B303="",'Исходные данные'!$B$91="",N('Исходные данные'!$B$80)&lt;=0,'Исходные данные'!$B$88=""),0,IF(AND(YEAR(B303)=YEAR('Исходные данные'!$B$91),MONTH(B303)=MONTH('Исходные данные'!$B$91)),MAX(0,IF('Исходные данные'!$B$88="Последние 12 месяцев",SUMIFS($AI$2:$AI$194,$B$2:$B$194,"&gt;="&amp;EDATE(B303,-11),$B$2:$B$194,"&lt;="&amp;B303),IF('Исходные данные'!$B$88="Пользовательский NOI",N('Исходные данные'!$B$89),AO303))/N('Исходные данные'!$B$80)*(1+N('Исходные данные'!$B$81))),0))</f>
        <v>0</v>
      </c>
      <c r="AQ303">
        <f>-AP303*N('Исходные данные'!$B$73)</f>
        <v>0</v>
      </c>
      <c r="AR303">
        <f>IF(AP303=0,0,-N('Исходные данные'!$B$87)-IF('Исходные данные'!$B$82="Да",IF('Исходные данные'!$B$84="С выручки",AP303,IF('Исходные данные'!$B$84="С прибыли",MAX(0,AP303+AQ303-IF('Исходные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03">
        <f t="shared" si="164"/>
        <v>0</v>
      </c>
      <c r="AT303">
        <f>IF(D303=1,Расчёты!AZ303+AH303+AK303+AN303+AS303,0)</f>
        <v>0</v>
      </c>
      <c r="AU303" t="str">
        <f t="shared" si="152"/>
        <v/>
      </c>
      <c r="AV303">
        <f>IF(OR(D303=0,'Исходные данные'!$B$9="",'Исходные данные'!$B$90=""),0,AT303/(1+'Исходные данные'!$B$90)^((C303-'Исходные данные'!$B$9)/365))</f>
        <v>0</v>
      </c>
      <c r="AW303">
        <f>IF(D303=1,AH303+Расчёты!O303+Расчёты!Q303+Расчёты!S303+Расчёты!U303+Расчёты!W303+Расчёты!X303+AK303+AN303,0)</f>
        <v>0</v>
      </c>
      <c r="AX303">
        <f>IF(AND(D303=1,AU303&gt;=0,AU302&lt;0,MIN($AU$2:AU303)&lt;0),1,0)</f>
        <v>0</v>
      </c>
      <c r="AY303">
        <f>IF(Расчёты!F303=0,0,IF(Расчёты!G303=1,N('Сценарный анализ'!$D$5),IF(Расчёты!G303=2,N('Сценарный анализ'!$D$6),IF(Расчёты!G303=3,N('Сценарный анализ'!$D$7),N('Сценарный анализ'!$D$7)*(1+N('Сценарный анализ'!$D$8))^(Расчёты!G303-3)))))</f>
        <v>0</v>
      </c>
      <c r="AZ303">
        <f>IF(OR(Расчёты!F303=0,N('Исходные данные'!$B$5)=0,AY303=0),0,N('Исходные данные'!$B$5)*AY303*IF(AND(B303&lt;='Исходные данные'!$B$30,Расчёты!C303&gt;='Исходные данные'!$B$30),(Расчёты!C303-'Исходные данные'!$B$30+1)/DAY(Расчёты!C303),1))</f>
        <v>0</v>
      </c>
      <c r="BA303">
        <f>IF(AND(Расчёты!F303&gt;0,Расчёты!F303&lt;=N('Исходные данные'!$B$37)),-AZ303,0)</f>
        <v>0</v>
      </c>
      <c r="BB303">
        <f>IF(OR(Расчёты!F303=0,Расчёты!F303&lt;=N('Исходные данные'!$B$37)),0,-(AZ303+BA303)*N('Сценарный анализ'!$D$9))</f>
        <v>0</v>
      </c>
      <c r="BC303">
        <f t="shared" si="165"/>
        <v>0</v>
      </c>
      <c r="BD303">
        <f>IF('Исходные данные'!$B$51="Да",BC303*N('Исходные данные'!$B$52),0)</f>
        <v>0</v>
      </c>
      <c r="BE303">
        <f t="shared" si="166"/>
        <v>0</v>
      </c>
      <c r="BF303">
        <f>BC303+(Расчёты!Y303-Расчёты!L303)</f>
        <v>0</v>
      </c>
      <c r="BG303">
        <f t="shared" si="153"/>
        <v>0</v>
      </c>
      <c r="BH303">
        <f>IF('Исходные данные'!$B$51="Да",-MAX(0,BD303+Расчёты!R303+Расчёты!V303-Расчёты!P303-Расчёты!T303-BG303),0)</f>
        <v>0</v>
      </c>
      <c r="BI303">
        <f>IF('Исходные данные'!$B$51="Да",MAX(0,BG303+Расчёты!P303+Расчёты!T303-BD303-Расчёты!R303-Расчёты!V303),0)</f>
        <v>0</v>
      </c>
      <c r="BJ303">
        <f>IF('Исходные данные'!$B$53="Выручка",MAX(0,BC303+(Расчёты!Q303-Расчёты!R303)+(Расчёты!U303-Расчёты!V303)),IF('Исходные данные'!$B$53="Прибыль до налога",MAX(0,BC303+(Расчёты!Q303-Расчёты!R303)+(Расчёты!U303-Расчёты!V303)+N('Исходные данные'!$B$54)*((Расчёты!O303+Расчёты!P303)+(Расчёты!S303+Расчёты!T303)+Расчёты!W303+Расчёты!X303)+IF('Исходные данные'!$B$55="Да",Расчёты!AG303,0)-N('Исходные данные'!$B$56)/12),IF('Исходные данные'!$B$53="Пользовательская база",MAX(0,N('Исходные данные'!$B$57)/12),0)))</f>
        <v>0</v>
      </c>
      <c r="BK303">
        <f>IF(D303=1,-BJ303*N('Исходные данные'!$B$50),0)</f>
        <v>0</v>
      </c>
      <c r="BL303">
        <f t="shared" si="154"/>
        <v>0</v>
      </c>
      <c r="BM303">
        <f>IF(OR(D303&lt;&gt;1,B303="",'Исходные данные'!$B$91="",N('Исходные данные'!$B$80)&lt;=0,'Исходные данные'!$B$88=""),0,IF(AND(YEAR(B303)=YEAR('Исходные данные'!$B$91),MONTH(B303)=MONTH('Исходные данные'!$B$91)),MAX(0,IF('Исходные данные'!$B$88="Последние 12 месяцев",SUMIFS($BF$2:$BF$194,$B$2:$B$194,"&gt;="&amp;EDATE(B303,-11),$B$2:$B$194,"&lt;="&amp;B303),IF('Исходные данные'!$B$88="Пользовательский NOI",N('Исходные данные'!$B$89),BL303))/N('Исходные данные'!$B$80)*(1+N('Исходные данные'!$B$81))),0))</f>
        <v>0</v>
      </c>
      <c r="BN303">
        <f>-BM303*N('Исходные данные'!$B$73)</f>
        <v>0</v>
      </c>
      <c r="BO303">
        <f>IF(BM303=0,0,-N('Исходные данные'!$B$87)-IF('Исходные данные'!$B$82="Да",IF('Исходные данные'!$B$84="С выручки",BM303,IF('Исходные данные'!$B$84="С прибыли",MAX(0,BM303+BN303-IF('Исходные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03">
        <f t="shared" si="167"/>
        <v>0</v>
      </c>
      <c r="BQ303">
        <f>IF(D303=1,Расчёты!AZ303+BE303+BH303+BK303+BP303,0)</f>
        <v>0</v>
      </c>
      <c r="BR303" t="str">
        <f t="shared" si="155"/>
        <v/>
      </c>
      <c r="BS303">
        <f>IF(OR(D303=0,'Исходные данные'!$B$9="",'Исходные данные'!$B$90=""),0,BQ303/(1+'Исходные данные'!$B$90)^((C303-'Исходные данные'!$B$9)/365))</f>
        <v>0</v>
      </c>
      <c r="BT303">
        <f>IF(D303=1,BE303+Расчёты!O303+Расчёты!Q303+Расчёты!S303+Расчёты!U303+Расчёты!W303+Расчёты!X303+BH303+BK303,0)</f>
        <v>0</v>
      </c>
      <c r="BU303">
        <f>IF(AND(D303=1,BR303&gt;=0,BR302&lt;0,MIN($BR$2:BR303)&lt;0),1,0)</f>
        <v>0</v>
      </c>
      <c r="BV303">
        <f>Расчёты!AZ303+K303+N303-P303*N('Исходные данные'!$B$50)</f>
        <v>0</v>
      </c>
      <c r="BW303">
        <f t="shared" si="156"/>
        <v>0</v>
      </c>
      <c r="BX303">
        <f>IF(AND(BW303&gt;=0,BW302&lt;0,MIN($BW$2:BW303)&lt;0),1,0)</f>
        <v>0</v>
      </c>
      <c r="BY303">
        <f>Расчёты!AZ303+AH303+AK303-AM303*N('Исходные данные'!$B$50)</f>
        <v>0</v>
      </c>
      <c r="BZ303">
        <f t="shared" si="157"/>
        <v>0</v>
      </c>
      <c r="CA303">
        <f>IF(AND(BZ303&gt;=0,BZ302&lt;0,MIN($BZ$2:BZ303)&lt;0),1,0)</f>
        <v>0</v>
      </c>
      <c r="CB303">
        <f>Расчёты!AZ303+BE303+BH303-BJ303*N('Исходные данные'!$B$50)</f>
        <v>0</v>
      </c>
      <c r="CC303">
        <f t="shared" si="158"/>
        <v>0</v>
      </c>
      <c r="CD303">
        <f>IF(AND(CC303&gt;=0,CC302&lt;0,MIN($CC$2:CC303)&lt;0),1,0)</f>
        <v>0</v>
      </c>
    </row>
    <row r="304" spans="1:82" x14ac:dyDescent="0.2">
      <c r="A304">
        <f>Расчёты!A304</f>
        <v>303</v>
      </c>
      <c r="B304" t="str">
        <f>Расчёты!B304</f>
        <v/>
      </c>
      <c r="C304" t="str">
        <f>Расчёты!D304</f>
        <v/>
      </c>
      <c r="D304">
        <f>Расчёты!E304</f>
        <v>0</v>
      </c>
      <c r="E304">
        <f>IF(Расчёты!F304=0,0,IF(Расчёты!G304=1,N('Сценарный анализ'!$B$5),IF(Расчёты!G304=2,N('Сценарный анализ'!$B$6),IF(Расчёты!G304=3,N('Сценарный анализ'!$B$7),N('Сценарный анализ'!$B$7)*(1+N('Сценарный анализ'!$B$8))^(Расчёты!G304-3)))))</f>
        <v>0</v>
      </c>
      <c r="F304">
        <f>IF(OR(Расчёты!F304=0,N('Исходные данные'!$B$5)=0,E304=0),0,N('Исходные данные'!$B$5)*E304*IF(AND(B304&lt;='Исходные данные'!$B$30,Расчёты!C304&gt;='Исходные данные'!$B$30),(Расчёты!C304-'Исходные данные'!$B$30+1)/DAY(Расчёты!C304),1))</f>
        <v>0</v>
      </c>
      <c r="G304">
        <f>IF(AND(Расчёты!F304&gt;0,Расчёты!F304&lt;=N('Исходные данные'!$B$37)),-F304,0)</f>
        <v>0</v>
      </c>
      <c r="H304">
        <f>IF(OR(Расчёты!F304=0,Расчёты!F304&lt;=N('Исходные данные'!$B$37)),0,-(F304+G304)*N('Сценарный анализ'!$B$9))</f>
        <v>0</v>
      </c>
      <c r="I304">
        <f t="shared" si="159"/>
        <v>0</v>
      </c>
      <c r="J304">
        <f>IF('Исходные данные'!$B$51="Да",I304*N('Исходные данные'!$B$52),0)</f>
        <v>0</v>
      </c>
      <c r="K304">
        <f t="shared" si="160"/>
        <v>0</v>
      </c>
      <c r="L304">
        <f>I304+(Расчёты!Y304-Расчёты!L304)</f>
        <v>0</v>
      </c>
      <c r="M304">
        <f t="shared" si="147"/>
        <v>0</v>
      </c>
      <c r="N304">
        <f>IF('Исходные данные'!$B$51="Да",-MAX(0,J304+Расчёты!R304+Расчёты!V304-Расчёты!P304-Расчёты!T304-M304),0)</f>
        <v>0</v>
      </c>
      <c r="O304">
        <f>IF('Исходные данные'!$B$51="Да",MAX(0,M304+Расчёты!P304+Расчёты!T304-J304-Расчёты!R304-Расчёты!V304),0)</f>
        <v>0</v>
      </c>
      <c r="P304">
        <f>IF('Исходные данные'!$B$53="Выручка",MAX(0,I304+(Расчёты!Q304-Расчёты!R304)+(Расчёты!U304-Расчёты!V304)),IF('Исходные данные'!$B$53="Прибыль до налога",MAX(0,I304+(Расчёты!Q304-Расчёты!R304)+(Расчёты!U304-Расчёты!V304)+N('Исходные данные'!$B$54)*((Расчёты!O304+Расчёты!P304)+(Расчёты!S304+Расчёты!T304)+Расчёты!W304+Расчёты!X304)+IF('Исходные данные'!$B$55="Да",Расчёты!AG304,0)-N('Исходные данные'!$B$56)/12),IF('Исходные данные'!$B$53="Пользовательская база",MAX(0,N('Исходные данные'!$B$57)/12),0)))</f>
        <v>0</v>
      </c>
      <c r="Q304">
        <f>IF(D304=1,-P304*N('Исходные данные'!$B$50),0)</f>
        <v>0</v>
      </c>
      <c r="R304">
        <f t="shared" si="148"/>
        <v>0</v>
      </c>
      <c r="S304">
        <f>IF(OR(D304&lt;&gt;1,B304="",'Исходные данные'!$B$91="",N('Исходные данные'!$B$80)&lt;=0,'Исходные данные'!$B$88=""),0,IF(AND(YEAR(B304)=YEAR('Исходные данные'!$B$91),MONTH(B304)=MONTH('Исходные данные'!$B$91)),MAX(0,IF('Исходные данные'!$B$88="Последние 12 месяцев",SUMIFS($L$2:$L$194,$B$2:$B$194,"&gt;="&amp;EDATE(B304,-11),$B$2:$B$194,"&lt;="&amp;B304),IF('Исходные данные'!$B$88="Пользовательский NOI",N('Исходные данные'!$B$89),R304))/N('Исходные данные'!$B$80)*(1+N('Исходные данные'!$B$81))),0))</f>
        <v>0</v>
      </c>
      <c r="T304">
        <f>-S304*N('Исходные данные'!$B$73)</f>
        <v>0</v>
      </c>
      <c r="U304">
        <f>IF(S304=0,0,-N('Исходные данные'!$B$87)-IF('Исходные данные'!$B$82="Да",IF('Исходные данные'!$B$84="С выручки",S304,IF('Исходные данные'!$B$84="С прибыли",MAX(0,S304+T304-IF('Исходные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04">
        <f t="shared" si="161"/>
        <v>0</v>
      </c>
      <c r="W304">
        <f>IF(D304=1,Расчёты!AZ304+K304+N304+Q304+V304,0)</f>
        <v>0</v>
      </c>
      <c r="X304" t="str">
        <f t="shared" si="149"/>
        <v/>
      </c>
      <c r="Y304">
        <f>IF(OR(D304=0,'Исходные данные'!$B$9="",'Исходные данные'!$B$90=""),0,W304/(1+'Исходные данные'!$B$90)^((C304-'Исходные данные'!$B$9)/365))</f>
        <v>0</v>
      </c>
      <c r="Z304">
        <f>IF(D304=1,K304+Расчёты!O304+Расчёты!Q304+Расчёты!S304+Расчёты!U304+Расчёты!W304+Расчёты!X304+N304+Q304,0)</f>
        <v>0</v>
      </c>
      <c r="AA304">
        <f>IF(AND(D304=1,X304&gt;=0,X303&lt;0,MIN($X$2:X304)&lt;0),1,0)</f>
        <v>0</v>
      </c>
      <c r="AB304">
        <f>IF(Расчёты!F304=0,0,IF(Расчёты!G304=1,N('Сценарный анализ'!$C$5),IF(Расчёты!G304=2,N('Сценарный анализ'!$C$6),IF(Расчёты!G304=3,N('Сценарный анализ'!$C$7),N('Сценарный анализ'!$C$7)*(1+N('Сценарный анализ'!$C$8))^(Расчёты!G304-3)))))</f>
        <v>0</v>
      </c>
      <c r="AC304">
        <f>IF(OR(Расчёты!F304=0,N('Исходные данные'!$B$5)=0,AB304=0),0,N('Исходные данные'!$B$5)*AB304*IF(AND(B304&lt;='Исходные данные'!$B$30,Расчёты!C304&gt;='Исходные данные'!$B$30),(Расчёты!C304-'Исходные данные'!$B$30+1)/DAY(Расчёты!C304),1))</f>
        <v>0</v>
      </c>
      <c r="AD304">
        <f>IF(AND(Расчёты!F304&gt;0,Расчёты!F304&lt;=N('Исходные данные'!$B$37)),-AC304,0)</f>
        <v>0</v>
      </c>
      <c r="AE304">
        <f>IF(OR(Расчёты!F304=0,Расчёты!F304&lt;=N('Исходные данные'!$B$37)),0,-(AC304+AD304)*N('Сценарный анализ'!$C$9))</f>
        <v>0</v>
      </c>
      <c r="AF304">
        <f t="shared" si="162"/>
        <v>0</v>
      </c>
      <c r="AG304">
        <f>IF('Исходные данные'!$B$51="Да",AF304*N('Исходные данные'!$B$52),0)</f>
        <v>0</v>
      </c>
      <c r="AH304">
        <f t="shared" si="163"/>
        <v>0</v>
      </c>
      <c r="AI304">
        <f>AF304+(Расчёты!Y304-Расчёты!L304)</f>
        <v>0</v>
      </c>
      <c r="AJ304">
        <f t="shared" si="150"/>
        <v>0</v>
      </c>
      <c r="AK304">
        <f>IF('Исходные данные'!$B$51="Да",-MAX(0,AG304+Расчёты!R304+Расчёты!V304-Расчёты!P304-Расчёты!T304-AJ304),0)</f>
        <v>0</v>
      </c>
      <c r="AL304">
        <f>IF('Исходные данные'!$B$51="Да",MAX(0,AJ304+Расчёты!P304+Расчёты!T304-AG304-Расчёты!R304-Расчёты!V304),0)</f>
        <v>0</v>
      </c>
      <c r="AM304">
        <f>IF('Исходные данные'!$B$53="Выручка",MAX(0,AF304+(Расчёты!Q304-Расчёты!R304)+(Расчёты!U304-Расчёты!V304)),IF('Исходные данные'!$B$53="Прибыль до налога",MAX(0,AF304+(Расчёты!Q304-Расчёты!R304)+(Расчёты!U304-Расчёты!V304)+N('Исходные данные'!$B$54)*((Расчёты!O304+Расчёты!P304)+(Расчёты!S304+Расчёты!T304)+Расчёты!W304+Расчёты!X304)+IF('Исходные данные'!$B$55="Да",Расчёты!AG304,0)-N('Исходные данные'!$B$56)/12),IF('Исходные данные'!$B$53="Пользовательская база",MAX(0,N('Исходные данные'!$B$57)/12),0)))</f>
        <v>0</v>
      </c>
      <c r="AN304">
        <f>IF(D304=1,-AM304*N('Исходные данные'!$B$50),0)</f>
        <v>0</v>
      </c>
      <c r="AO304">
        <f t="shared" si="151"/>
        <v>0</v>
      </c>
      <c r="AP304">
        <f>IF(OR(D304&lt;&gt;1,B304="",'Исходные данные'!$B$91="",N('Исходные данные'!$B$80)&lt;=0,'Исходные данные'!$B$88=""),0,IF(AND(YEAR(B304)=YEAR('Исходные данные'!$B$91),MONTH(B304)=MONTH('Исходные данные'!$B$91)),MAX(0,IF('Исходные данные'!$B$88="Последние 12 месяцев",SUMIFS($AI$2:$AI$194,$B$2:$B$194,"&gt;="&amp;EDATE(B304,-11),$B$2:$B$194,"&lt;="&amp;B304),IF('Исходные данные'!$B$88="Пользовательский NOI",N('Исходные данные'!$B$89),AO304))/N('Исходные данные'!$B$80)*(1+N('Исходные данные'!$B$81))),0))</f>
        <v>0</v>
      </c>
      <c r="AQ304">
        <f>-AP304*N('Исходные данные'!$B$73)</f>
        <v>0</v>
      </c>
      <c r="AR304">
        <f>IF(AP304=0,0,-N('Исходные данные'!$B$87)-IF('Исходные данные'!$B$82="Да",IF('Исходные данные'!$B$84="С выручки",AP304,IF('Исходные данные'!$B$84="С прибыли",MAX(0,AP304+AQ304-IF('Исходные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04">
        <f t="shared" si="164"/>
        <v>0</v>
      </c>
      <c r="AT304">
        <f>IF(D304=1,Расчёты!AZ304+AH304+AK304+AN304+AS304,0)</f>
        <v>0</v>
      </c>
      <c r="AU304" t="str">
        <f t="shared" si="152"/>
        <v/>
      </c>
      <c r="AV304">
        <f>IF(OR(D304=0,'Исходные данные'!$B$9="",'Исходные данные'!$B$90=""),0,AT304/(1+'Исходные данные'!$B$90)^((C304-'Исходные данные'!$B$9)/365))</f>
        <v>0</v>
      </c>
      <c r="AW304">
        <f>IF(D304=1,AH304+Расчёты!O304+Расчёты!Q304+Расчёты!S304+Расчёты!U304+Расчёты!W304+Расчёты!X304+AK304+AN304,0)</f>
        <v>0</v>
      </c>
      <c r="AX304">
        <f>IF(AND(D304=1,AU304&gt;=0,AU303&lt;0,MIN($AU$2:AU304)&lt;0),1,0)</f>
        <v>0</v>
      </c>
      <c r="AY304">
        <f>IF(Расчёты!F304=0,0,IF(Расчёты!G304=1,N('Сценарный анализ'!$D$5),IF(Расчёты!G304=2,N('Сценарный анализ'!$D$6),IF(Расчёты!G304=3,N('Сценарный анализ'!$D$7),N('Сценарный анализ'!$D$7)*(1+N('Сценарный анализ'!$D$8))^(Расчёты!G304-3)))))</f>
        <v>0</v>
      </c>
      <c r="AZ304">
        <f>IF(OR(Расчёты!F304=0,N('Исходные данные'!$B$5)=0,AY304=0),0,N('Исходные данные'!$B$5)*AY304*IF(AND(B304&lt;='Исходные данные'!$B$30,Расчёты!C304&gt;='Исходные данные'!$B$30),(Расчёты!C304-'Исходные данные'!$B$30+1)/DAY(Расчёты!C304),1))</f>
        <v>0</v>
      </c>
      <c r="BA304">
        <f>IF(AND(Расчёты!F304&gt;0,Расчёты!F304&lt;=N('Исходные данные'!$B$37)),-AZ304,0)</f>
        <v>0</v>
      </c>
      <c r="BB304">
        <f>IF(OR(Расчёты!F304=0,Расчёты!F304&lt;=N('Исходные данные'!$B$37)),0,-(AZ304+BA304)*N('Сценарный анализ'!$D$9))</f>
        <v>0</v>
      </c>
      <c r="BC304">
        <f t="shared" si="165"/>
        <v>0</v>
      </c>
      <c r="BD304">
        <f>IF('Исходные данные'!$B$51="Да",BC304*N('Исходные данные'!$B$52),0)</f>
        <v>0</v>
      </c>
      <c r="BE304">
        <f t="shared" si="166"/>
        <v>0</v>
      </c>
      <c r="BF304">
        <f>BC304+(Расчёты!Y304-Расчёты!L304)</f>
        <v>0</v>
      </c>
      <c r="BG304">
        <f t="shared" si="153"/>
        <v>0</v>
      </c>
      <c r="BH304">
        <f>IF('Исходные данные'!$B$51="Да",-MAX(0,BD304+Расчёты!R304+Расчёты!V304-Расчёты!P304-Расчёты!T304-BG304),0)</f>
        <v>0</v>
      </c>
      <c r="BI304">
        <f>IF('Исходные данные'!$B$51="Да",MAX(0,BG304+Расчёты!P304+Расчёты!T304-BD304-Расчёты!R304-Расчёты!V304),0)</f>
        <v>0</v>
      </c>
      <c r="BJ304">
        <f>IF('Исходные данные'!$B$53="Выручка",MAX(0,BC304+(Расчёты!Q304-Расчёты!R304)+(Расчёты!U304-Расчёты!V304)),IF('Исходные данные'!$B$53="Прибыль до налога",MAX(0,BC304+(Расчёты!Q304-Расчёты!R304)+(Расчёты!U304-Расчёты!V304)+N('Исходные данные'!$B$54)*((Расчёты!O304+Расчёты!P304)+(Расчёты!S304+Расчёты!T304)+Расчёты!W304+Расчёты!X304)+IF('Исходные данные'!$B$55="Да",Расчёты!AG304,0)-N('Исходные данные'!$B$56)/12),IF('Исходные данные'!$B$53="Пользовательская база",MAX(0,N('Исходные данные'!$B$57)/12),0)))</f>
        <v>0</v>
      </c>
      <c r="BK304">
        <f>IF(D304=1,-BJ304*N('Исходные данные'!$B$50),0)</f>
        <v>0</v>
      </c>
      <c r="BL304">
        <f t="shared" si="154"/>
        <v>0</v>
      </c>
      <c r="BM304">
        <f>IF(OR(D304&lt;&gt;1,B304="",'Исходные данные'!$B$91="",N('Исходные данные'!$B$80)&lt;=0,'Исходные данные'!$B$88=""),0,IF(AND(YEAR(B304)=YEAR('Исходные данные'!$B$91),MONTH(B304)=MONTH('Исходные данные'!$B$91)),MAX(0,IF('Исходные данные'!$B$88="Последние 12 месяцев",SUMIFS($BF$2:$BF$194,$B$2:$B$194,"&gt;="&amp;EDATE(B304,-11),$B$2:$B$194,"&lt;="&amp;B304),IF('Исходные данные'!$B$88="Пользовательский NOI",N('Исходные данные'!$B$89),BL304))/N('Исходные данные'!$B$80)*(1+N('Исходные данные'!$B$81))),0))</f>
        <v>0</v>
      </c>
      <c r="BN304">
        <f>-BM304*N('Исходные данные'!$B$73)</f>
        <v>0</v>
      </c>
      <c r="BO304">
        <f>IF(BM304=0,0,-N('Исходные данные'!$B$87)-IF('Исходные данные'!$B$82="Да",IF('Исходные данные'!$B$84="С выручки",BM304,IF('Исходные данные'!$B$84="С прибыли",MAX(0,BM304+BN304-IF('Исходные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04">
        <f t="shared" si="167"/>
        <v>0</v>
      </c>
      <c r="BQ304">
        <f>IF(D304=1,Расчёты!AZ304+BE304+BH304+BK304+BP304,0)</f>
        <v>0</v>
      </c>
      <c r="BR304" t="str">
        <f t="shared" si="155"/>
        <v/>
      </c>
      <c r="BS304">
        <f>IF(OR(D304=0,'Исходные данные'!$B$9="",'Исходные данные'!$B$90=""),0,BQ304/(1+'Исходные данные'!$B$90)^((C304-'Исходные данные'!$B$9)/365))</f>
        <v>0</v>
      </c>
      <c r="BT304">
        <f>IF(D304=1,BE304+Расчёты!O304+Расчёты!Q304+Расчёты!S304+Расчёты!U304+Расчёты!W304+Расчёты!X304+BH304+BK304,0)</f>
        <v>0</v>
      </c>
      <c r="BU304">
        <f>IF(AND(D304=1,BR304&gt;=0,BR303&lt;0,MIN($BR$2:BR304)&lt;0),1,0)</f>
        <v>0</v>
      </c>
      <c r="BV304">
        <f>Расчёты!AZ304+K304+N304-P304*N('Исходные данные'!$B$50)</f>
        <v>0</v>
      </c>
      <c r="BW304">
        <f t="shared" si="156"/>
        <v>0</v>
      </c>
      <c r="BX304">
        <f>IF(AND(BW304&gt;=0,BW303&lt;0,MIN($BW$2:BW304)&lt;0),1,0)</f>
        <v>0</v>
      </c>
      <c r="BY304">
        <f>Расчёты!AZ304+AH304+AK304-AM304*N('Исходные данные'!$B$50)</f>
        <v>0</v>
      </c>
      <c r="BZ304">
        <f t="shared" si="157"/>
        <v>0</v>
      </c>
      <c r="CA304">
        <f>IF(AND(BZ304&gt;=0,BZ303&lt;0,MIN($BZ$2:BZ304)&lt;0),1,0)</f>
        <v>0</v>
      </c>
      <c r="CB304">
        <f>Расчёты!AZ304+BE304+BH304-BJ304*N('Исходные данные'!$B$50)</f>
        <v>0</v>
      </c>
      <c r="CC304">
        <f t="shared" si="158"/>
        <v>0</v>
      </c>
      <c r="CD304">
        <f>IF(AND(CC304&gt;=0,CC303&lt;0,MIN($CC$2:CC304)&lt;0),1,0)</f>
        <v>0</v>
      </c>
    </row>
    <row r="305" spans="1:82" x14ac:dyDescent="0.2">
      <c r="A305">
        <f>Расчёты!A305</f>
        <v>304</v>
      </c>
      <c r="B305" t="str">
        <f>Расчёты!B305</f>
        <v/>
      </c>
      <c r="C305" t="str">
        <f>Расчёты!D305</f>
        <v/>
      </c>
      <c r="D305">
        <f>Расчёты!E305</f>
        <v>0</v>
      </c>
      <c r="E305">
        <f>IF(Расчёты!F305=0,0,IF(Расчёты!G305=1,N('Сценарный анализ'!$B$5),IF(Расчёты!G305=2,N('Сценарный анализ'!$B$6),IF(Расчёты!G305=3,N('Сценарный анализ'!$B$7),N('Сценарный анализ'!$B$7)*(1+N('Сценарный анализ'!$B$8))^(Расчёты!G305-3)))))</f>
        <v>0</v>
      </c>
      <c r="F305">
        <f>IF(OR(Расчёты!F305=0,N('Исходные данные'!$B$5)=0,E305=0),0,N('Исходные данные'!$B$5)*E305*IF(AND(B305&lt;='Исходные данные'!$B$30,Расчёты!C305&gt;='Исходные данные'!$B$30),(Расчёты!C305-'Исходные данные'!$B$30+1)/DAY(Расчёты!C305),1))</f>
        <v>0</v>
      </c>
      <c r="G305">
        <f>IF(AND(Расчёты!F305&gt;0,Расчёты!F305&lt;=N('Исходные данные'!$B$37)),-F305,0)</f>
        <v>0</v>
      </c>
      <c r="H305">
        <f>IF(OR(Расчёты!F305=0,Расчёты!F305&lt;=N('Исходные данные'!$B$37)),0,-(F305+G305)*N('Сценарный анализ'!$B$9))</f>
        <v>0</v>
      </c>
      <c r="I305">
        <f t="shared" si="159"/>
        <v>0</v>
      </c>
      <c r="J305">
        <f>IF('Исходные данные'!$B$51="Да",I305*N('Исходные данные'!$B$52),0)</f>
        <v>0</v>
      </c>
      <c r="K305">
        <f t="shared" si="160"/>
        <v>0</v>
      </c>
      <c r="L305">
        <f>I305+(Расчёты!Y305-Расчёты!L305)</f>
        <v>0</v>
      </c>
      <c r="M305">
        <f t="shared" si="147"/>
        <v>0</v>
      </c>
      <c r="N305">
        <f>IF('Исходные данные'!$B$51="Да",-MAX(0,J305+Расчёты!R305+Расчёты!V305-Расчёты!P305-Расчёты!T305-M305),0)</f>
        <v>0</v>
      </c>
      <c r="O305">
        <f>IF('Исходные данные'!$B$51="Да",MAX(0,M305+Расчёты!P305+Расчёты!T305-J305-Расчёты!R305-Расчёты!V305),0)</f>
        <v>0</v>
      </c>
      <c r="P305">
        <f>IF('Исходные данные'!$B$53="Выручка",MAX(0,I305+(Расчёты!Q305-Расчёты!R305)+(Расчёты!U305-Расчёты!V305)),IF('Исходные данные'!$B$53="Прибыль до налога",MAX(0,I305+(Расчёты!Q305-Расчёты!R305)+(Расчёты!U305-Расчёты!V305)+N('Исходные данные'!$B$54)*((Расчёты!O305+Расчёты!P305)+(Расчёты!S305+Расчёты!T305)+Расчёты!W305+Расчёты!X305)+IF('Исходные данные'!$B$55="Да",Расчёты!AG305,0)-N('Исходные данные'!$B$56)/12),IF('Исходные данные'!$B$53="Пользовательская база",MAX(0,N('Исходные данные'!$B$57)/12),0)))</f>
        <v>0</v>
      </c>
      <c r="Q305">
        <f>IF(D305=1,-P305*N('Исходные данные'!$B$50),0)</f>
        <v>0</v>
      </c>
      <c r="R305">
        <f t="shared" si="148"/>
        <v>0</v>
      </c>
      <c r="S305">
        <f>IF(OR(D305&lt;&gt;1,B305="",'Исходные данные'!$B$91="",N('Исходные данные'!$B$80)&lt;=0,'Исходные данные'!$B$88=""),0,IF(AND(YEAR(B305)=YEAR('Исходные данные'!$B$91),MONTH(B305)=MONTH('Исходные данные'!$B$91)),MAX(0,IF('Исходные данные'!$B$88="Последние 12 месяцев",SUMIFS($L$2:$L$194,$B$2:$B$194,"&gt;="&amp;EDATE(B305,-11),$B$2:$B$194,"&lt;="&amp;B305),IF('Исходные данные'!$B$88="Пользовательский NOI",N('Исходные данные'!$B$89),R305))/N('Исходные данные'!$B$80)*(1+N('Исходные данные'!$B$81))),0))</f>
        <v>0</v>
      </c>
      <c r="T305">
        <f>-S305*N('Исходные данные'!$B$73)</f>
        <v>0</v>
      </c>
      <c r="U305">
        <f>IF(S305=0,0,-N('Исходные данные'!$B$87)-IF('Исходные данные'!$B$82="Да",IF('Исходные данные'!$B$84="С выручки",S305,IF('Исходные данные'!$B$84="С прибыли",MAX(0,S305+T305-IF('Исходные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05">
        <f t="shared" si="161"/>
        <v>0</v>
      </c>
      <c r="W305">
        <f>IF(D305=1,Расчёты!AZ305+K305+N305+Q305+V305,0)</f>
        <v>0</v>
      </c>
      <c r="X305" t="str">
        <f t="shared" si="149"/>
        <v/>
      </c>
      <c r="Y305">
        <f>IF(OR(D305=0,'Исходные данные'!$B$9="",'Исходные данные'!$B$90=""),0,W305/(1+'Исходные данные'!$B$90)^((C305-'Исходные данные'!$B$9)/365))</f>
        <v>0</v>
      </c>
      <c r="Z305">
        <f>IF(D305=1,K305+Расчёты!O305+Расчёты!Q305+Расчёты!S305+Расчёты!U305+Расчёты!W305+Расчёты!X305+N305+Q305,0)</f>
        <v>0</v>
      </c>
      <c r="AA305">
        <f>IF(AND(D305=1,X305&gt;=0,X304&lt;0,MIN($X$2:X305)&lt;0),1,0)</f>
        <v>0</v>
      </c>
      <c r="AB305">
        <f>IF(Расчёты!F305=0,0,IF(Расчёты!G305=1,N('Сценарный анализ'!$C$5),IF(Расчёты!G305=2,N('Сценарный анализ'!$C$6),IF(Расчёты!G305=3,N('Сценарный анализ'!$C$7),N('Сценарный анализ'!$C$7)*(1+N('Сценарный анализ'!$C$8))^(Расчёты!G305-3)))))</f>
        <v>0</v>
      </c>
      <c r="AC305">
        <f>IF(OR(Расчёты!F305=0,N('Исходные данные'!$B$5)=0,AB305=0),0,N('Исходные данные'!$B$5)*AB305*IF(AND(B305&lt;='Исходные данные'!$B$30,Расчёты!C305&gt;='Исходные данные'!$B$30),(Расчёты!C305-'Исходные данные'!$B$30+1)/DAY(Расчёты!C305),1))</f>
        <v>0</v>
      </c>
      <c r="AD305">
        <f>IF(AND(Расчёты!F305&gt;0,Расчёты!F305&lt;=N('Исходные данные'!$B$37)),-AC305,0)</f>
        <v>0</v>
      </c>
      <c r="AE305">
        <f>IF(OR(Расчёты!F305=0,Расчёты!F305&lt;=N('Исходные данные'!$B$37)),0,-(AC305+AD305)*N('Сценарный анализ'!$C$9))</f>
        <v>0</v>
      </c>
      <c r="AF305">
        <f t="shared" si="162"/>
        <v>0</v>
      </c>
      <c r="AG305">
        <f>IF('Исходные данные'!$B$51="Да",AF305*N('Исходные данные'!$B$52),0)</f>
        <v>0</v>
      </c>
      <c r="AH305">
        <f t="shared" si="163"/>
        <v>0</v>
      </c>
      <c r="AI305">
        <f>AF305+(Расчёты!Y305-Расчёты!L305)</f>
        <v>0</v>
      </c>
      <c r="AJ305">
        <f t="shared" si="150"/>
        <v>0</v>
      </c>
      <c r="AK305">
        <f>IF('Исходные данные'!$B$51="Да",-MAX(0,AG305+Расчёты!R305+Расчёты!V305-Расчёты!P305-Расчёты!T305-AJ305),0)</f>
        <v>0</v>
      </c>
      <c r="AL305">
        <f>IF('Исходные данные'!$B$51="Да",MAX(0,AJ305+Расчёты!P305+Расчёты!T305-AG305-Расчёты!R305-Расчёты!V305),0)</f>
        <v>0</v>
      </c>
      <c r="AM305">
        <f>IF('Исходные данные'!$B$53="Выручка",MAX(0,AF305+(Расчёты!Q305-Расчёты!R305)+(Расчёты!U305-Расчёты!V305)),IF('Исходные данные'!$B$53="Прибыль до налога",MAX(0,AF305+(Расчёты!Q305-Расчёты!R305)+(Расчёты!U305-Расчёты!V305)+N('Исходные данные'!$B$54)*((Расчёты!O305+Расчёты!P305)+(Расчёты!S305+Расчёты!T305)+Расчёты!W305+Расчёты!X305)+IF('Исходные данные'!$B$55="Да",Расчёты!AG305,0)-N('Исходные данные'!$B$56)/12),IF('Исходные данные'!$B$53="Пользовательская база",MAX(0,N('Исходные данные'!$B$57)/12),0)))</f>
        <v>0</v>
      </c>
      <c r="AN305">
        <f>IF(D305=1,-AM305*N('Исходные данные'!$B$50),0)</f>
        <v>0</v>
      </c>
      <c r="AO305">
        <f t="shared" si="151"/>
        <v>0</v>
      </c>
      <c r="AP305">
        <f>IF(OR(D305&lt;&gt;1,B305="",'Исходные данные'!$B$91="",N('Исходные данные'!$B$80)&lt;=0,'Исходные данные'!$B$88=""),0,IF(AND(YEAR(B305)=YEAR('Исходные данные'!$B$91),MONTH(B305)=MONTH('Исходные данные'!$B$91)),MAX(0,IF('Исходные данные'!$B$88="Последние 12 месяцев",SUMIFS($AI$2:$AI$194,$B$2:$B$194,"&gt;="&amp;EDATE(B305,-11),$B$2:$B$194,"&lt;="&amp;B305),IF('Исходные данные'!$B$88="Пользовательский NOI",N('Исходные данные'!$B$89),AO305))/N('Исходные данные'!$B$80)*(1+N('Исходные данные'!$B$81))),0))</f>
        <v>0</v>
      </c>
      <c r="AQ305">
        <f>-AP305*N('Исходные данные'!$B$73)</f>
        <v>0</v>
      </c>
      <c r="AR305">
        <f>IF(AP305=0,0,-N('Исходные данные'!$B$87)-IF('Исходные данные'!$B$82="Да",IF('Исходные данные'!$B$84="С выручки",AP305,IF('Исходные данные'!$B$84="С прибыли",MAX(0,AP305+AQ305-IF('Исходные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05">
        <f t="shared" si="164"/>
        <v>0</v>
      </c>
      <c r="AT305">
        <f>IF(D305=1,Расчёты!AZ305+AH305+AK305+AN305+AS305,0)</f>
        <v>0</v>
      </c>
      <c r="AU305" t="str">
        <f t="shared" si="152"/>
        <v/>
      </c>
      <c r="AV305">
        <f>IF(OR(D305=0,'Исходные данные'!$B$9="",'Исходные данные'!$B$90=""),0,AT305/(1+'Исходные данные'!$B$90)^((C305-'Исходные данные'!$B$9)/365))</f>
        <v>0</v>
      </c>
      <c r="AW305">
        <f>IF(D305=1,AH305+Расчёты!O305+Расчёты!Q305+Расчёты!S305+Расчёты!U305+Расчёты!W305+Расчёты!X305+AK305+AN305,0)</f>
        <v>0</v>
      </c>
      <c r="AX305">
        <f>IF(AND(D305=1,AU305&gt;=0,AU304&lt;0,MIN($AU$2:AU305)&lt;0),1,0)</f>
        <v>0</v>
      </c>
      <c r="AY305">
        <f>IF(Расчёты!F305=0,0,IF(Расчёты!G305=1,N('Сценарный анализ'!$D$5),IF(Расчёты!G305=2,N('Сценарный анализ'!$D$6),IF(Расчёты!G305=3,N('Сценарный анализ'!$D$7),N('Сценарный анализ'!$D$7)*(1+N('Сценарный анализ'!$D$8))^(Расчёты!G305-3)))))</f>
        <v>0</v>
      </c>
      <c r="AZ305">
        <f>IF(OR(Расчёты!F305=0,N('Исходные данные'!$B$5)=0,AY305=0),0,N('Исходные данные'!$B$5)*AY305*IF(AND(B305&lt;='Исходные данные'!$B$30,Расчёты!C305&gt;='Исходные данные'!$B$30),(Расчёты!C305-'Исходные данные'!$B$30+1)/DAY(Расчёты!C305),1))</f>
        <v>0</v>
      </c>
      <c r="BA305">
        <f>IF(AND(Расчёты!F305&gt;0,Расчёты!F305&lt;=N('Исходные данные'!$B$37)),-AZ305,0)</f>
        <v>0</v>
      </c>
      <c r="BB305">
        <f>IF(OR(Расчёты!F305=0,Расчёты!F305&lt;=N('Исходные данные'!$B$37)),0,-(AZ305+BA305)*N('Сценарный анализ'!$D$9))</f>
        <v>0</v>
      </c>
      <c r="BC305">
        <f t="shared" si="165"/>
        <v>0</v>
      </c>
      <c r="BD305">
        <f>IF('Исходные данные'!$B$51="Да",BC305*N('Исходные данные'!$B$52),0)</f>
        <v>0</v>
      </c>
      <c r="BE305">
        <f t="shared" si="166"/>
        <v>0</v>
      </c>
      <c r="BF305">
        <f>BC305+(Расчёты!Y305-Расчёты!L305)</f>
        <v>0</v>
      </c>
      <c r="BG305">
        <f t="shared" si="153"/>
        <v>0</v>
      </c>
      <c r="BH305">
        <f>IF('Исходные данные'!$B$51="Да",-MAX(0,BD305+Расчёты!R305+Расчёты!V305-Расчёты!P305-Расчёты!T305-BG305),0)</f>
        <v>0</v>
      </c>
      <c r="BI305">
        <f>IF('Исходные данные'!$B$51="Да",MAX(0,BG305+Расчёты!P305+Расчёты!T305-BD305-Расчёты!R305-Расчёты!V305),0)</f>
        <v>0</v>
      </c>
      <c r="BJ305">
        <f>IF('Исходные данные'!$B$53="Выручка",MAX(0,BC305+(Расчёты!Q305-Расчёты!R305)+(Расчёты!U305-Расчёты!V305)),IF('Исходные данные'!$B$53="Прибыль до налога",MAX(0,BC305+(Расчёты!Q305-Расчёты!R305)+(Расчёты!U305-Расчёты!V305)+N('Исходные данные'!$B$54)*((Расчёты!O305+Расчёты!P305)+(Расчёты!S305+Расчёты!T305)+Расчёты!W305+Расчёты!X305)+IF('Исходные данные'!$B$55="Да",Расчёты!AG305,0)-N('Исходные данные'!$B$56)/12),IF('Исходные данные'!$B$53="Пользовательская база",MAX(0,N('Исходные данные'!$B$57)/12),0)))</f>
        <v>0</v>
      </c>
      <c r="BK305">
        <f>IF(D305=1,-BJ305*N('Исходные данные'!$B$50),0)</f>
        <v>0</v>
      </c>
      <c r="BL305">
        <f t="shared" si="154"/>
        <v>0</v>
      </c>
      <c r="BM305">
        <f>IF(OR(D305&lt;&gt;1,B305="",'Исходные данные'!$B$91="",N('Исходные данные'!$B$80)&lt;=0,'Исходные данные'!$B$88=""),0,IF(AND(YEAR(B305)=YEAR('Исходные данные'!$B$91),MONTH(B305)=MONTH('Исходные данные'!$B$91)),MAX(0,IF('Исходные данные'!$B$88="Последние 12 месяцев",SUMIFS($BF$2:$BF$194,$B$2:$B$194,"&gt;="&amp;EDATE(B305,-11),$B$2:$B$194,"&lt;="&amp;B305),IF('Исходные данные'!$B$88="Пользовательский NOI",N('Исходные данные'!$B$89),BL305))/N('Исходные данные'!$B$80)*(1+N('Исходные данные'!$B$81))),0))</f>
        <v>0</v>
      </c>
      <c r="BN305">
        <f>-BM305*N('Исходные данные'!$B$73)</f>
        <v>0</v>
      </c>
      <c r="BO305">
        <f>IF(BM305=0,0,-N('Исходные данные'!$B$87)-IF('Исходные данные'!$B$82="Да",IF('Исходные данные'!$B$84="С выручки",BM305,IF('Исходные данные'!$B$84="С прибыли",MAX(0,BM305+BN305-IF('Исходные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05">
        <f t="shared" si="167"/>
        <v>0</v>
      </c>
      <c r="BQ305">
        <f>IF(D305=1,Расчёты!AZ305+BE305+BH305+BK305+BP305,0)</f>
        <v>0</v>
      </c>
      <c r="BR305" t="str">
        <f t="shared" si="155"/>
        <v/>
      </c>
      <c r="BS305">
        <f>IF(OR(D305=0,'Исходные данные'!$B$9="",'Исходные данные'!$B$90=""),0,BQ305/(1+'Исходные данные'!$B$90)^((C305-'Исходные данные'!$B$9)/365))</f>
        <v>0</v>
      </c>
      <c r="BT305">
        <f>IF(D305=1,BE305+Расчёты!O305+Расчёты!Q305+Расчёты!S305+Расчёты!U305+Расчёты!W305+Расчёты!X305+BH305+BK305,0)</f>
        <v>0</v>
      </c>
      <c r="BU305">
        <f>IF(AND(D305=1,BR305&gt;=0,BR304&lt;0,MIN($BR$2:BR305)&lt;0),1,0)</f>
        <v>0</v>
      </c>
      <c r="BV305">
        <f>Расчёты!AZ305+K305+N305-P305*N('Исходные данные'!$B$50)</f>
        <v>0</v>
      </c>
      <c r="BW305">
        <f t="shared" si="156"/>
        <v>0</v>
      </c>
      <c r="BX305">
        <f>IF(AND(BW305&gt;=0,BW304&lt;0,MIN($BW$2:BW305)&lt;0),1,0)</f>
        <v>0</v>
      </c>
      <c r="BY305">
        <f>Расчёты!AZ305+AH305+AK305-AM305*N('Исходные данные'!$B$50)</f>
        <v>0</v>
      </c>
      <c r="BZ305">
        <f t="shared" si="157"/>
        <v>0</v>
      </c>
      <c r="CA305">
        <f>IF(AND(BZ305&gt;=0,BZ304&lt;0,MIN($BZ$2:BZ305)&lt;0),1,0)</f>
        <v>0</v>
      </c>
      <c r="CB305">
        <f>Расчёты!AZ305+BE305+BH305-BJ305*N('Исходные данные'!$B$50)</f>
        <v>0</v>
      </c>
      <c r="CC305">
        <f t="shared" si="158"/>
        <v>0</v>
      </c>
      <c r="CD305">
        <f>IF(AND(CC305&gt;=0,CC304&lt;0,MIN($CC$2:CC305)&lt;0),1,0)</f>
        <v>0</v>
      </c>
    </row>
    <row r="306" spans="1:82" x14ac:dyDescent="0.2">
      <c r="A306">
        <f>Расчёты!A306</f>
        <v>305</v>
      </c>
      <c r="B306" t="str">
        <f>Расчёты!B306</f>
        <v/>
      </c>
      <c r="C306" t="str">
        <f>Расчёты!D306</f>
        <v/>
      </c>
      <c r="D306">
        <f>Расчёты!E306</f>
        <v>0</v>
      </c>
      <c r="E306">
        <f>IF(Расчёты!F306=0,0,IF(Расчёты!G306=1,N('Сценарный анализ'!$B$5),IF(Расчёты!G306=2,N('Сценарный анализ'!$B$6),IF(Расчёты!G306=3,N('Сценарный анализ'!$B$7),N('Сценарный анализ'!$B$7)*(1+N('Сценарный анализ'!$B$8))^(Расчёты!G306-3)))))</f>
        <v>0</v>
      </c>
      <c r="F306">
        <f>IF(OR(Расчёты!F306=0,N('Исходные данные'!$B$5)=0,E306=0),0,N('Исходные данные'!$B$5)*E306*IF(AND(B306&lt;='Исходные данные'!$B$30,Расчёты!C306&gt;='Исходные данные'!$B$30),(Расчёты!C306-'Исходные данные'!$B$30+1)/DAY(Расчёты!C306),1))</f>
        <v>0</v>
      </c>
      <c r="G306">
        <f>IF(AND(Расчёты!F306&gt;0,Расчёты!F306&lt;=N('Исходные данные'!$B$37)),-F306,0)</f>
        <v>0</v>
      </c>
      <c r="H306">
        <f>IF(OR(Расчёты!F306=0,Расчёты!F306&lt;=N('Исходные данные'!$B$37)),0,-(F306+G306)*N('Сценарный анализ'!$B$9))</f>
        <v>0</v>
      </c>
      <c r="I306">
        <f t="shared" si="159"/>
        <v>0</v>
      </c>
      <c r="J306">
        <f>IF('Исходные данные'!$B$51="Да",I306*N('Исходные данные'!$B$52),0)</f>
        <v>0</v>
      </c>
      <c r="K306">
        <f t="shared" si="160"/>
        <v>0</v>
      </c>
      <c r="L306">
        <f>I306+(Расчёты!Y306-Расчёты!L306)</f>
        <v>0</v>
      </c>
      <c r="M306">
        <f t="shared" si="147"/>
        <v>0</v>
      </c>
      <c r="N306">
        <f>IF('Исходные данные'!$B$51="Да",-MAX(0,J306+Расчёты!R306+Расчёты!V306-Расчёты!P306-Расчёты!T306-M306),0)</f>
        <v>0</v>
      </c>
      <c r="O306">
        <f>IF('Исходные данные'!$B$51="Да",MAX(0,M306+Расчёты!P306+Расчёты!T306-J306-Расчёты!R306-Расчёты!V306),0)</f>
        <v>0</v>
      </c>
      <c r="P306">
        <f>IF('Исходные данные'!$B$53="Выручка",MAX(0,I306+(Расчёты!Q306-Расчёты!R306)+(Расчёты!U306-Расчёты!V306)),IF('Исходные данные'!$B$53="Прибыль до налога",MAX(0,I306+(Расчёты!Q306-Расчёты!R306)+(Расчёты!U306-Расчёты!V306)+N('Исходные данные'!$B$54)*((Расчёты!O306+Расчёты!P306)+(Расчёты!S306+Расчёты!T306)+Расчёты!W306+Расчёты!X306)+IF('Исходные данные'!$B$55="Да",Расчёты!AG306,0)-N('Исходные данные'!$B$56)/12),IF('Исходные данные'!$B$53="Пользовательская база",MAX(0,N('Исходные данные'!$B$57)/12),0)))</f>
        <v>0</v>
      </c>
      <c r="Q306">
        <f>IF(D306=1,-P306*N('Исходные данные'!$B$50),0)</f>
        <v>0</v>
      </c>
      <c r="R306">
        <f t="shared" si="148"/>
        <v>0</v>
      </c>
      <c r="S306">
        <f>IF(OR(D306&lt;&gt;1,B306="",'Исходные данные'!$B$91="",N('Исходные данные'!$B$80)&lt;=0,'Исходные данные'!$B$88=""),0,IF(AND(YEAR(B306)=YEAR('Исходные данные'!$B$91),MONTH(B306)=MONTH('Исходные данные'!$B$91)),MAX(0,IF('Исходные данные'!$B$88="Последние 12 месяцев",SUMIFS($L$2:$L$194,$B$2:$B$194,"&gt;="&amp;EDATE(B306,-11),$B$2:$B$194,"&lt;="&amp;B306),IF('Исходные данные'!$B$88="Пользовательский NOI",N('Исходные данные'!$B$89),R306))/N('Исходные данные'!$B$80)*(1+N('Исходные данные'!$B$81))),0))</f>
        <v>0</v>
      </c>
      <c r="T306">
        <f>-S306*N('Исходные данные'!$B$73)</f>
        <v>0</v>
      </c>
      <c r="U306">
        <f>IF(S306=0,0,-N('Исходные данные'!$B$87)-IF('Исходные данные'!$B$82="Да",IF('Исходные данные'!$B$84="С выручки",S306,IF('Исходные данные'!$B$84="С прибыли",MAX(0,S306+T306-IF('Исходные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06">
        <f t="shared" si="161"/>
        <v>0</v>
      </c>
      <c r="W306">
        <f>IF(D306=1,Расчёты!AZ306+K306+N306+Q306+V306,0)</f>
        <v>0</v>
      </c>
      <c r="X306" t="str">
        <f t="shared" si="149"/>
        <v/>
      </c>
      <c r="Y306">
        <f>IF(OR(D306=0,'Исходные данные'!$B$9="",'Исходные данные'!$B$90=""),0,W306/(1+'Исходные данные'!$B$90)^((C306-'Исходные данные'!$B$9)/365))</f>
        <v>0</v>
      </c>
      <c r="Z306">
        <f>IF(D306=1,K306+Расчёты!O306+Расчёты!Q306+Расчёты!S306+Расчёты!U306+Расчёты!W306+Расчёты!X306+N306+Q306,0)</f>
        <v>0</v>
      </c>
      <c r="AA306">
        <f>IF(AND(D306=1,X306&gt;=0,X305&lt;0,MIN($X$2:X306)&lt;0),1,0)</f>
        <v>0</v>
      </c>
      <c r="AB306">
        <f>IF(Расчёты!F306=0,0,IF(Расчёты!G306=1,N('Сценарный анализ'!$C$5),IF(Расчёты!G306=2,N('Сценарный анализ'!$C$6),IF(Расчёты!G306=3,N('Сценарный анализ'!$C$7),N('Сценарный анализ'!$C$7)*(1+N('Сценарный анализ'!$C$8))^(Расчёты!G306-3)))))</f>
        <v>0</v>
      </c>
      <c r="AC306">
        <f>IF(OR(Расчёты!F306=0,N('Исходные данные'!$B$5)=0,AB306=0),0,N('Исходные данные'!$B$5)*AB306*IF(AND(B306&lt;='Исходные данные'!$B$30,Расчёты!C306&gt;='Исходные данные'!$B$30),(Расчёты!C306-'Исходные данные'!$B$30+1)/DAY(Расчёты!C306),1))</f>
        <v>0</v>
      </c>
      <c r="AD306">
        <f>IF(AND(Расчёты!F306&gt;0,Расчёты!F306&lt;=N('Исходные данные'!$B$37)),-AC306,0)</f>
        <v>0</v>
      </c>
      <c r="AE306">
        <f>IF(OR(Расчёты!F306=0,Расчёты!F306&lt;=N('Исходные данные'!$B$37)),0,-(AC306+AD306)*N('Сценарный анализ'!$C$9))</f>
        <v>0</v>
      </c>
      <c r="AF306">
        <f t="shared" si="162"/>
        <v>0</v>
      </c>
      <c r="AG306">
        <f>IF('Исходные данные'!$B$51="Да",AF306*N('Исходные данные'!$B$52),0)</f>
        <v>0</v>
      </c>
      <c r="AH306">
        <f t="shared" si="163"/>
        <v>0</v>
      </c>
      <c r="AI306">
        <f>AF306+(Расчёты!Y306-Расчёты!L306)</f>
        <v>0</v>
      </c>
      <c r="AJ306">
        <f t="shared" si="150"/>
        <v>0</v>
      </c>
      <c r="AK306">
        <f>IF('Исходные данные'!$B$51="Да",-MAX(0,AG306+Расчёты!R306+Расчёты!V306-Расчёты!P306-Расчёты!T306-AJ306),0)</f>
        <v>0</v>
      </c>
      <c r="AL306">
        <f>IF('Исходные данные'!$B$51="Да",MAX(0,AJ306+Расчёты!P306+Расчёты!T306-AG306-Расчёты!R306-Расчёты!V306),0)</f>
        <v>0</v>
      </c>
      <c r="AM306">
        <f>IF('Исходные данные'!$B$53="Выручка",MAX(0,AF306+(Расчёты!Q306-Расчёты!R306)+(Расчёты!U306-Расчёты!V306)),IF('Исходные данные'!$B$53="Прибыль до налога",MAX(0,AF306+(Расчёты!Q306-Расчёты!R306)+(Расчёты!U306-Расчёты!V306)+N('Исходные данные'!$B$54)*((Расчёты!O306+Расчёты!P306)+(Расчёты!S306+Расчёты!T306)+Расчёты!W306+Расчёты!X306)+IF('Исходные данные'!$B$55="Да",Расчёты!AG306,0)-N('Исходные данные'!$B$56)/12),IF('Исходные данные'!$B$53="Пользовательская база",MAX(0,N('Исходные данные'!$B$57)/12),0)))</f>
        <v>0</v>
      </c>
      <c r="AN306">
        <f>IF(D306=1,-AM306*N('Исходные данные'!$B$50),0)</f>
        <v>0</v>
      </c>
      <c r="AO306">
        <f t="shared" si="151"/>
        <v>0</v>
      </c>
      <c r="AP306">
        <f>IF(OR(D306&lt;&gt;1,B306="",'Исходные данные'!$B$91="",N('Исходные данные'!$B$80)&lt;=0,'Исходные данные'!$B$88=""),0,IF(AND(YEAR(B306)=YEAR('Исходные данные'!$B$91),MONTH(B306)=MONTH('Исходные данные'!$B$91)),MAX(0,IF('Исходные данные'!$B$88="Последние 12 месяцев",SUMIFS($AI$2:$AI$194,$B$2:$B$194,"&gt;="&amp;EDATE(B306,-11),$B$2:$B$194,"&lt;="&amp;B306),IF('Исходные данные'!$B$88="Пользовательский NOI",N('Исходные данные'!$B$89),AO306))/N('Исходные данные'!$B$80)*(1+N('Исходные данные'!$B$81))),0))</f>
        <v>0</v>
      </c>
      <c r="AQ306">
        <f>-AP306*N('Исходные данные'!$B$73)</f>
        <v>0</v>
      </c>
      <c r="AR306">
        <f>IF(AP306=0,0,-N('Исходные данные'!$B$87)-IF('Исходные данные'!$B$82="Да",IF('Исходные данные'!$B$84="С выручки",AP306,IF('Исходные данные'!$B$84="С прибыли",MAX(0,AP306+AQ306-IF('Исходные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06">
        <f t="shared" si="164"/>
        <v>0</v>
      </c>
      <c r="AT306">
        <f>IF(D306=1,Расчёты!AZ306+AH306+AK306+AN306+AS306,0)</f>
        <v>0</v>
      </c>
      <c r="AU306" t="str">
        <f t="shared" si="152"/>
        <v/>
      </c>
      <c r="AV306">
        <f>IF(OR(D306=0,'Исходные данные'!$B$9="",'Исходные данные'!$B$90=""),0,AT306/(1+'Исходные данные'!$B$90)^((C306-'Исходные данные'!$B$9)/365))</f>
        <v>0</v>
      </c>
      <c r="AW306">
        <f>IF(D306=1,AH306+Расчёты!O306+Расчёты!Q306+Расчёты!S306+Расчёты!U306+Расчёты!W306+Расчёты!X306+AK306+AN306,0)</f>
        <v>0</v>
      </c>
      <c r="AX306">
        <f>IF(AND(D306=1,AU306&gt;=0,AU305&lt;0,MIN($AU$2:AU306)&lt;0),1,0)</f>
        <v>0</v>
      </c>
      <c r="AY306">
        <f>IF(Расчёты!F306=0,0,IF(Расчёты!G306=1,N('Сценарный анализ'!$D$5),IF(Расчёты!G306=2,N('Сценарный анализ'!$D$6),IF(Расчёты!G306=3,N('Сценарный анализ'!$D$7),N('Сценарный анализ'!$D$7)*(1+N('Сценарный анализ'!$D$8))^(Расчёты!G306-3)))))</f>
        <v>0</v>
      </c>
      <c r="AZ306">
        <f>IF(OR(Расчёты!F306=0,N('Исходные данные'!$B$5)=0,AY306=0),0,N('Исходные данные'!$B$5)*AY306*IF(AND(B306&lt;='Исходные данные'!$B$30,Расчёты!C306&gt;='Исходные данные'!$B$30),(Расчёты!C306-'Исходные данные'!$B$30+1)/DAY(Расчёты!C306),1))</f>
        <v>0</v>
      </c>
      <c r="BA306">
        <f>IF(AND(Расчёты!F306&gt;0,Расчёты!F306&lt;=N('Исходные данные'!$B$37)),-AZ306,0)</f>
        <v>0</v>
      </c>
      <c r="BB306">
        <f>IF(OR(Расчёты!F306=0,Расчёты!F306&lt;=N('Исходные данные'!$B$37)),0,-(AZ306+BA306)*N('Сценарный анализ'!$D$9))</f>
        <v>0</v>
      </c>
      <c r="BC306">
        <f t="shared" si="165"/>
        <v>0</v>
      </c>
      <c r="BD306">
        <f>IF('Исходные данные'!$B$51="Да",BC306*N('Исходные данные'!$B$52),0)</f>
        <v>0</v>
      </c>
      <c r="BE306">
        <f t="shared" si="166"/>
        <v>0</v>
      </c>
      <c r="BF306">
        <f>BC306+(Расчёты!Y306-Расчёты!L306)</f>
        <v>0</v>
      </c>
      <c r="BG306">
        <f t="shared" si="153"/>
        <v>0</v>
      </c>
      <c r="BH306">
        <f>IF('Исходные данные'!$B$51="Да",-MAX(0,BD306+Расчёты!R306+Расчёты!V306-Расчёты!P306-Расчёты!T306-BG306),0)</f>
        <v>0</v>
      </c>
      <c r="BI306">
        <f>IF('Исходные данные'!$B$51="Да",MAX(0,BG306+Расчёты!P306+Расчёты!T306-BD306-Расчёты!R306-Расчёты!V306),0)</f>
        <v>0</v>
      </c>
      <c r="BJ306">
        <f>IF('Исходные данные'!$B$53="Выручка",MAX(0,BC306+(Расчёты!Q306-Расчёты!R306)+(Расчёты!U306-Расчёты!V306)),IF('Исходные данные'!$B$53="Прибыль до налога",MAX(0,BC306+(Расчёты!Q306-Расчёты!R306)+(Расчёты!U306-Расчёты!V306)+N('Исходные данные'!$B$54)*((Расчёты!O306+Расчёты!P306)+(Расчёты!S306+Расчёты!T306)+Расчёты!W306+Расчёты!X306)+IF('Исходные данные'!$B$55="Да",Расчёты!AG306,0)-N('Исходные данные'!$B$56)/12),IF('Исходные данные'!$B$53="Пользовательская база",MAX(0,N('Исходные данные'!$B$57)/12),0)))</f>
        <v>0</v>
      </c>
      <c r="BK306">
        <f>IF(D306=1,-BJ306*N('Исходные данные'!$B$50),0)</f>
        <v>0</v>
      </c>
      <c r="BL306">
        <f t="shared" si="154"/>
        <v>0</v>
      </c>
      <c r="BM306">
        <f>IF(OR(D306&lt;&gt;1,B306="",'Исходные данные'!$B$91="",N('Исходные данные'!$B$80)&lt;=0,'Исходные данные'!$B$88=""),0,IF(AND(YEAR(B306)=YEAR('Исходные данные'!$B$91),MONTH(B306)=MONTH('Исходные данные'!$B$91)),MAX(0,IF('Исходные данные'!$B$88="Последние 12 месяцев",SUMIFS($BF$2:$BF$194,$B$2:$B$194,"&gt;="&amp;EDATE(B306,-11),$B$2:$B$194,"&lt;="&amp;B306),IF('Исходные данные'!$B$88="Пользовательский NOI",N('Исходные данные'!$B$89),BL306))/N('Исходные данные'!$B$80)*(1+N('Исходные данные'!$B$81))),0))</f>
        <v>0</v>
      </c>
      <c r="BN306">
        <f>-BM306*N('Исходные данные'!$B$73)</f>
        <v>0</v>
      </c>
      <c r="BO306">
        <f>IF(BM306=0,0,-N('Исходные данные'!$B$87)-IF('Исходные данные'!$B$82="Да",IF('Исходные данные'!$B$84="С выручки",BM306,IF('Исходные данные'!$B$84="С прибыли",MAX(0,BM306+BN306-IF('Исходные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06">
        <f t="shared" si="167"/>
        <v>0</v>
      </c>
      <c r="BQ306">
        <f>IF(D306=1,Расчёты!AZ306+BE306+BH306+BK306+BP306,0)</f>
        <v>0</v>
      </c>
      <c r="BR306" t="str">
        <f t="shared" si="155"/>
        <v/>
      </c>
      <c r="BS306">
        <f>IF(OR(D306=0,'Исходные данные'!$B$9="",'Исходные данные'!$B$90=""),0,BQ306/(1+'Исходные данные'!$B$90)^((C306-'Исходные данные'!$B$9)/365))</f>
        <v>0</v>
      </c>
      <c r="BT306">
        <f>IF(D306=1,BE306+Расчёты!O306+Расчёты!Q306+Расчёты!S306+Расчёты!U306+Расчёты!W306+Расчёты!X306+BH306+BK306,0)</f>
        <v>0</v>
      </c>
      <c r="BU306">
        <f>IF(AND(D306=1,BR306&gt;=0,BR305&lt;0,MIN($BR$2:BR306)&lt;0),1,0)</f>
        <v>0</v>
      </c>
      <c r="BV306">
        <f>Расчёты!AZ306+K306+N306-P306*N('Исходные данные'!$B$50)</f>
        <v>0</v>
      </c>
      <c r="BW306">
        <f t="shared" si="156"/>
        <v>0</v>
      </c>
      <c r="BX306">
        <f>IF(AND(BW306&gt;=0,BW305&lt;0,MIN($BW$2:BW306)&lt;0),1,0)</f>
        <v>0</v>
      </c>
      <c r="BY306">
        <f>Расчёты!AZ306+AH306+AK306-AM306*N('Исходные данные'!$B$50)</f>
        <v>0</v>
      </c>
      <c r="BZ306">
        <f t="shared" si="157"/>
        <v>0</v>
      </c>
      <c r="CA306">
        <f>IF(AND(BZ306&gt;=0,BZ305&lt;0,MIN($BZ$2:BZ306)&lt;0),1,0)</f>
        <v>0</v>
      </c>
      <c r="CB306">
        <f>Расчёты!AZ306+BE306+BH306-BJ306*N('Исходные данные'!$B$50)</f>
        <v>0</v>
      </c>
      <c r="CC306">
        <f t="shared" si="158"/>
        <v>0</v>
      </c>
      <c r="CD306">
        <f>IF(AND(CC306&gt;=0,CC305&lt;0,MIN($CC$2:CC306)&lt;0),1,0)</f>
        <v>0</v>
      </c>
    </row>
    <row r="307" spans="1:82" x14ac:dyDescent="0.2">
      <c r="A307">
        <f>Расчёты!A307</f>
        <v>306</v>
      </c>
      <c r="B307" t="str">
        <f>Расчёты!B307</f>
        <v/>
      </c>
      <c r="C307" t="str">
        <f>Расчёты!D307</f>
        <v/>
      </c>
      <c r="D307">
        <f>Расчёты!E307</f>
        <v>0</v>
      </c>
      <c r="E307">
        <f>IF(Расчёты!F307=0,0,IF(Расчёты!G307=1,N('Сценарный анализ'!$B$5),IF(Расчёты!G307=2,N('Сценарный анализ'!$B$6),IF(Расчёты!G307=3,N('Сценарный анализ'!$B$7),N('Сценарный анализ'!$B$7)*(1+N('Сценарный анализ'!$B$8))^(Расчёты!G307-3)))))</f>
        <v>0</v>
      </c>
      <c r="F307">
        <f>IF(OR(Расчёты!F307=0,N('Исходные данные'!$B$5)=0,E307=0),0,N('Исходные данные'!$B$5)*E307*IF(AND(B307&lt;='Исходные данные'!$B$30,Расчёты!C307&gt;='Исходные данные'!$B$30),(Расчёты!C307-'Исходные данные'!$B$30+1)/DAY(Расчёты!C307),1))</f>
        <v>0</v>
      </c>
      <c r="G307">
        <f>IF(AND(Расчёты!F307&gt;0,Расчёты!F307&lt;=N('Исходные данные'!$B$37)),-F307,0)</f>
        <v>0</v>
      </c>
      <c r="H307">
        <f>IF(OR(Расчёты!F307=0,Расчёты!F307&lt;=N('Исходные данные'!$B$37)),0,-(F307+G307)*N('Сценарный анализ'!$B$9))</f>
        <v>0</v>
      </c>
      <c r="I307">
        <f t="shared" si="159"/>
        <v>0</v>
      </c>
      <c r="J307">
        <f>IF('Исходные данные'!$B$51="Да",I307*N('Исходные данные'!$B$52),0)</f>
        <v>0</v>
      </c>
      <c r="K307">
        <f t="shared" si="160"/>
        <v>0</v>
      </c>
      <c r="L307">
        <f>I307+(Расчёты!Y307-Расчёты!L307)</f>
        <v>0</v>
      </c>
      <c r="M307">
        <f t="shared" si="147"/>
        <v>0</v>
      </c>
      <c r="N307">
        <f>IF('Исходные данные'!$B$51="Да",-MAX(0,J307+Расчёты!R307+Расчёты!V307-Расчёты!P307-Расчёты!T307-M307),0)</f>
        <v>0</v>
      </c>
      <c r="O307">
        <f>IF('Исходные данные'!$B$51="Да",MAX(0,M307+Расчёты!P307+Расчёты!T307-J307-Расчёты!R307-Расчёты!V307),0)</f>
        <v>0</v>
      </c>
      <c r="P307">
        <f>IF('Исходные данные'!$B$53="Выручка",MAX(0,I307+(Расчёты!Q307-Расчёты!R307)+(Расчёты!U307-Расчёты!V307)),IF('Исходные данные'!$B$53="Прибыль до налога",MAX(0,I307+(Расчёты!Q307-Расчёты!R307)+(Расчёты!U307-Расчёты!V307)+N('Исходные данные'!$B$54)*((Расчёты!O307+Расчёты!P307)+(Расчёты!S307+Расчёты!T307)+Расчёты!W307+Расчёты!X307)+IF('Исходные данные'!$B$55="Да",Расчёты!AG307,0)-N('Исходные данные'!$B$56)/12),IF('Исходные данные'!$B$53="Пользовательская база",MAX(0,N('Исходные данные'!$B$57)/12),0)))</f>
        <v>0</v>
      </c>
      <c r="Q307">
        <f>IF(D307=1,-P307*N('Исходные данные'!$B$50),0)</f>
        <v>0</v>
      </c>
      <c r="R307">
        <f t="shared" si="148"/>
        <v>0</v>
      </c>
      <c r="S307">
        <f>IF(OR(D307&lt;&gt;1,B307="",'Исходные данные'!$B$91="",N('Исходные данные'!$B$80)&lt;=0,'Исходные данные'!$B$88=""),0,IF(AND(YEAR(B307)=YEAR('Исходные данные'!$B$91),MONTH(B307)=MONTH('Исходные данные'!$B$91)),MAX(0,IF('Исходные данные'!$B$88="Последние 12 месяцев",SUMIFS($L$2:$L$194,$B$2:$B$194,"&gt;="&amp;EDATE(B307,-11),$B$2:$B$194,"&lt;="&amp;B307),IF('Исходные данные'!$B$88="Пользовательский NOI",N('Исходные данные'!$B$89),R307))/N('Исходные данные'!$B$80)*(1+N('Исходные данные'!$B$81))),0))</f>
        <v>0</v>
      </c>
      <c r="T307">
        <f>-S307*N('Исходные данные'!$B$73)</f>
        <v>0</v>
      </c>
      <c r="U307">
        <f>IF(S307=0,0,-N('Исходные данные'!$B$87)-IF('Исходные данные'!$B$82="Да",IF('Исходные данные'!$B$84="С выручки",S307,IF('Исходные данные'!$B$84="С прибыли",MAX(0,S307+T307-IF('Исходные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07">
        <f t="shared" si="161"/>
        <v>0</v>
      </c>
      <c r="W307">
        <f>IF(D307=1,Расчёты!AZ307+K307+N307+Q307+V307,0)</f>
        <v>0</v>
      </c>
      <c r="X307" t="str">
        <f t="shared" si="149"/>
        <v/>
      </c>
      <c r="Y307">
        <f>IF(OR(D307=0,'Исходные данные'!$B$9="",'Исходные данные'!$B$90=""),0,W307/(1+'Исходные данные'!$B$90)^((C307-'Исходные данные'!$B$9)/365))</f>
        <v>0</v>
      </c>
      <c r="Z307">
        <f>IF(D307=1,K307+Расчёты!O307+Расчёты!Q307+Расчёты!S307+Расчёты!U307+Расчёты!W307+Расчёты!X307+N307+Q307,0)</f>
        <v>0</v>
      </c>
      <c r="AA307">
        <f>IF(AND(D307=1,X307&gt;=0,X306&lt;0,MIN($X$2:X307)&lt;0),1,0)</f>
        <v>0</v>
      </c>
      <c r="AB307">
        <f>IF(Расчёты!F307=0,0,IF(Расчёты!G307=1,N('Сценарный анализ'!$C$5),IF(Расчёты!G307=2,N('Сценарный анализ'!$C$6),IF(Расчёты!G307=3,N('Сценарный анализ'!$C$7),N('Сценарный анализ'!$C$7)*(1+N('Сценарный анализ'!$C$8))^(Расчёты!G307-3)))))</f>
        <v>0</v>
      </c>
      <c r="AC307">
        <f>IF(OR(Расчёты!F307=0,N('Исходные данные'!$B$5)=0,AB307=0),0,N('Исходные данные'!$B$5)*AB307*IF(AND(B307&lt;='Исходные данные'!$B$30,Расчёты!C307&gt;='Исходные данные'!$B$30),(Расчёты!C307-'Исходные данные'!$B$30+1)/DAY(Расчёты!C307),1))</f>
        <v>0</v>
      </c>
      <c r="AD307">
        <f>IF(AND(Расчёты!F307&gt;0,Расчёты!F307&lt;=N('Исходные данные'!$B$37)),-AC307,0)</f>
        <v>0</v>
      </c>
      <c r="AE307">
        <f>IF(OR(Расчёты!F307=0,Расчёты!F307&lt;=N('Исходные данные'!$B$37)),0,-(AC307+AD307)*N('Сценарный анализ'!$C$9))</f>
        <v>0</v>
      </c>
      <c r="AF307">
        <f t="shared" si="162"/>
        <v>0</v>
      </c>
      <c r="AG307">
        <f>IF('Исходные данные'!$B$51="Да",AF307*N('Исходные данные'!$B$52),0)</f>
        <v>0</v>
      </c>
      <c r="AH307">
        <f t="shared" si="163"/>
        <v>0</v>
      </c>
      <c r="AI307">
        <f>AF307+(Расчёты!Y307-Расчёты!L307)</f>
        <v>0</v>
      </c>
      <c r="AJ307">
        <f t="shared" si="150"/>
        <v>0</v>
      </c>
      <c r="AK307">
        <f>IF('Исходные данные'!$B$51="Да",-MAX(0,AG307+Расчёты!R307+Расчёты!V307-Расчёты!P307-Расчёты!T307-AJ307),0)</f>
        <v>0</v>
      </c>
      <c r="AL307">
        <f>IF('Исходные данные'!$B$51="Да",MAX(0,AJ307+Расчёты!P307+Расчёты!T307-AG307-Расчёты!R307-Расчёты!V307),0)</f>
        <v>0</v>
      </c>
      <c r="AM307">
        <f>IF('Исходные данные'!$B$53="Выручка",MAX(0,AF307+(Расчёты!Q307-Расчёты!R307)+(Расчёты!U307-Расчёты!V307)),IF('Исходные данные'!$B$53="Прибыль до налога",MAX(0,AF307+(Расчёты!Q307-Расчёты!R307)+(Расчёты!U307-Расчёты!V307)+N('Исходные данные'!$B$54)*((Расчёты!O307+Расчёты!P307)+(Расчёты!S307+Расчёты!T307)+Расчёты!W307+Расчёты!X307)+IF('Исходные данные'!$B$55="Да",Расчёты!AG307,0)-N('Исходные данные'!$B$56)/12),IF('Исходные данные'!$B$53="Пользовательская база",MAX(0,N('Исходные данные'!$B$57)/12),0)))</f>
        <v>0</v>
      </c>
      <c r="AN307">
        <f>IF(D307=1,-AM307*N('Исходные данные'!$B$50),0)</f>
        <v>0</v>
      </c>
      <c r="AO307">
        <f t="shared" si="151"/>
        <v>0</v>
      </c>
      <c r="AP307">
        <f>IF(OR(D307&lt;&gt;1,B307="",'Исходные данные'!$B$91="",N('Исходные данные'!$B$80)&lt;=0,'Исходные данные'!$B$88=""),0,IF(AND(YEAR(B307)=YEAR('Исходные данные'!$B$91),MONTH(B307)=MONTH('Исходные данные'!$B$91)),MAX(0,IF('Исходные данные'!$B$88="Последние 12 месяцев",SUMIFS($AI$2:$AI$194,$B$2:$B$194,"&gt;="&amp;EDATE(B307,-11),$B$2:$B$194,"&lt;="&amp;B307),IF('Исходные данные'!$B$88="Пользовательский NOI",N('Исходные данные'!$B$89),AO307))/N('Исходные данные'!$B$80)*(1+N('Исходные данные'!$B$81))),0))</f>
        <v>0</v>
      </c>
      <c r="AQ307">
        <f>-AP307*N('Исходные данные'!$B$73)</f>
        <v>0</v>
      </c>
      <c r="AR307">
        <f>IF(AP307=0,0,-N('Исходные данные'!$B$87)-IF('Исходные данные'!$B$82="Да",IF('Исходные данные'!$B$84="С выручки",AP307,IF('Исходные данные'!$B$84="С прибыли",MAX(0,AP307+AQ307-IF('Исходные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07">
        <f t="shared" si="164"/>
        <v>0</v>
      </c>
      <c r="AT307">
        <f>IF(D307=1,Расчёты!AZ307+AH307+AK307+AN307+AS307,0)</f>
        <v>0</v>
      </c>
      <c r="AU307" t="str">
        <f t="shared" si="152"/>
        <v/>
      </c>
      <c r="AV307">
        <f>IF(OR(D307=0,'Исходные данные'!$B$9="",'Исходные данные'!$B$90=""),0,AT307/(1+'Исходные данные'!$B$90)^((C307-'Исходные данные'!$B$9)/365))</f>
        <v>0</v>
      </c>
      <c r="AW307">
        <f>IF(D307=1,AH307+Расчёты!O307+Расчёты!Q307+Расчёты!S307+Расчёты!U307+Расчёты!W307+Расчёты!X307+AK307+AN307,0)</f>
        <v>0</v>
      </c>
      <c r="AX307">
        <f>IF(AND(D307=1,AU307&gt;=0,AU306&lt;0,MIN($AU$2:AU307)&lt;0),1,0)</f>
        <v>0</v>
      </c>
      <c r="AY307">
        <f>IF(Расчёты!F307=0,0,IF(Расчёты!G307=1,N('Сценарный анализ'!$D$5),IF(Расчёты!G307=2,N('Сценарный анализ'!$D$6),IF(Расчёты!G307=3,N('Сценарный анализ'!$D$7),N('Сценарный анализ'!$D$7)*(1+N('Сценарный анализ'!$D$8))^(Расчёты!G307-3)))))</f>
        <v>0</v>
      </c>
      <c r="AZ307">
        <f>IF(OR(Расчёты!F307=0,N('Исходные данные'!$B$5)=0,AY307=0),0,N('Исходные данные'!$B$5)*AY307*IF(AND(B307&lt;='Исходные данные'!$B$30,Расчёты!C307&gt;='Исходные данные'!$B$30),(Расчёты!C307-'Исходные данные'!$B$30+1)/DAY(Расчёты!C307),1))</f>
        <v>0</v>
      </c>
      <c r="BA307">
        <f>IF(AND(Расчёты!F307&gt;0,Расчёты!F307&lt;=N('Исходные данные'!$B$37)),-AZ307,0)</f>
        <v>0</v>
      </c>
      <c r="BB307">
        <f>IF(OR(Расчёты!F307=0,Расчёты!F307&lt;=N('Исходные данные'!$B$37)),0,-(AZ307+BA307)*N('Сценарный анализ'!$D$9))</f>
        <v>0</v>
      </c>
      <c r="BC307">
        <f t="shared" si="165"/>
        <v>0</v>
      </c>
      <c r="BD307">
        <f>IF('Исходные данные'!$B$51="Да",BC307*N('Исходные данные'!$B$52),0)</f>
        <v>0</v>
      </c>
      <c r="BE307">
        <f t="shared" si="166"/>
        <v>0</v>
      </c>
      <c r="BF307">
        <f>BC307+(Расчёты!Y307-Расчёты!L307)</f>
        <v>0</v>
      </c>
      <c r="BG307">
        <f t="shared" si="153"/>
        <v>0</v>
      </c>
      <c r="BH307">
        <f>IF('Исходные данные'!$B$51="Да",-MAX(0,BD307+Расчёты!R307+Расчёты!V307-Расчёты!P307-Расчёты!T307-BG307),0)</f>
        <v>0</v>
      </c>
      <c r="BI307">
        <f>IF('Исходные данные'!$B$51="Да",MAX(0,BG307+Расчёты!P307+Расчёты!T307-BD307-Расчёты!R307-Расчёты!V307),0)</f>
        <v>0</v>
      </c>
      <c r="BJ307">
        <f>IF('Исходные данные'!$B$53="Выручка",MAX(0,BC307+(Расчёты!Q307-Расчёты!R307)+(Расчёты!U307-Расчёты!V307)),IF('Исходные данные'!$B$53="Прибыль до налога",MAX(0,BC307+(Расчёты!Q307-Расчёты!R307)+(Расчёты!U307-Расчёты!V307)+N('Исходные данные'!$B$54)*((Расчёты!O307+Расчёты!P307)+(Расчёты!S307+Расчёты!T307)+Расчёты!W307+Расчёты!X307)+IF('Исходные данные'!$B$55="Да",Расчёты!AG307,0)-N('Исходные данные'!$B$56)/12),IF('Исходные данные'!$B$53="Пользовательская база",MAX(0,N('Исходные данные'!$B$57)/12),0)))</f>
        <v>0</v>
      </c>
      <c r="BK307">
        <f>IF(D307=1,-BJ307*N('Исходные данные'!$B$50),0)</f>
        <v>0</v>
      </c>
      <c r="BL307">
        <f t="shared" si="154"/>
        <v>0</v>
      </c>
      <c r="BM307">
        <f>IF(OR(D307&lt;&gt;1,B307="",'Исходные данные'!$B$91="",N('Исходные данные'!$B$80)&lt;=0,'Исходные данные'!$B$88=""),0,IF(AND(YEAR(B307)=YEAR('Исходные данные'!$B$91),MONTH(B307)=MONTH('Исходные данные'!$B$91)),MAX(0,IF('Исходные данные'!$B$88="Последние 12 месяцев",SUMIFS($BF$2:$BF$194,$B$2:$B$194,"&gt;="&amp;EDATE(B307,-11),$B$2:$B$194,"&lt;="&amp;B307),IF('Исходные данные'!$B$88="Пользовательский NOI",N('Исходные данные'!$B$89),BL307))/N('Исходные данные'!$B$80)*(1+N('Исходные данные'!$B$81))),0))</f>
        <v>0</v>
      </c>
      <c r="BN307">
        <f>-BM307*N('Исходные данные'!$B$73)</f>
        <v>0</v>
      </c>
      <c r="BO307">
        <f>IF(BM307=0,0,-N('Исходные данные'!$B$87)-IF('Исходные данные'!$B$82="Да",IF('Исходные данные'!$B$84="С выручки",BM307,IF('Исходные данные'!$B$84="С прибыли",MAX(0,BM307+BN307-IF('Исходные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07">
        <f t="shared" si="167"/>
        <v>0</v>
      </c>
      <c r="BQ307">
        <f>IF(D307=1,Расчёты!AZ307+BE307+BH307+BK307+BP307,0)</f>
        <v>0</v>
      </c>
      <c r="BR307" t="str">
        <f t="shared" si="155"/>
        <v/>
      </c>
      <c r="BS307">
        <f>IF(OR(D307=0,'Исходные данные'!$B$9="",'Исходные данные'!$B$90=""),0,BQ307/(1+'Исходные данные'!$B$90)^((C307-'Исходные данные'!$B$9)/365))</f>
        <v>0</v>
      </c>
      <c r="BT307">
        <f>IF(D307=1,BE307+Расчёты!O307+Расчёты!Q307+Расчёты!S307+Расчёты!U307+Расчёты!W307+Расчёты!X307+BH307+BK307,0)</f>
        <v>0</v>
      </c>
      <c r="BU307">
        <f>IF(AND(D307=1,BR307&gt;=0,BR306&lt;0,MIN($BR$2:BR307)&lt;0),1,0)</f>
        <v>0</v>
      </c>
      <c r="BV307">
        <f>Расчёты!AZ307+K307+N307-P307*N('Исходные данные'!$B$50)</f>
        <v>0</v>
      </c>
      <c r="BW307">
        <f t="shared" si="156"/>
        <v>0</v>
      </c>
      <c r="BX307">
        <f>IF(AND(BW307&gt;=0,BW306&lt;0,MIN($BW$2:BW307)&lt;0),1,0)</f>
        <v>0</v>
      </c>
      <c r="BY307">
        <f>Расчёты!AZ307+AH307+AK307-AM307*N('Исходные данные'!$B$50)</f>
        <v>0</v>
      </c>
      <c r="BZ307">
        <f t="shared" si="157"/>
        <v>0</v>
      </c>
      <c r="CA307">
        <f>IF(AND(BZ307&gt;=0,BZ306&lt;0,MIN($BZ$2:BZ307)&lt;0),1,0)</f>
        <v>0</v>
      </c>
      <c r="CB307">
        <f>Расчёты!AZ307+BE307+BH307-BJ307*N('Исходные данные'!$B$50)</f>
        <v>0</v>
      </c>
      <c r="CC307">
        <f t="shared" si="158"/>
        <v>0</v>
      </c>
      <c r="CD307">
        <f>IF(AND(CC307&gt;=0,CC306&lt;0,MIN($CC$2:CC307)&lt;0),1,0)</f>
        <v>0</v>
      </c>
    </row>
    <row r="308" spans="1:82" x14ac:dyDescent="0.2">
      <c r="A308">
        <f>Расчёты!A308</f>
        <v>307</v>
      </c>
      <c r="B308" t="str">
        <f>Расчёты!B308</f>
        <v/>
      </c>
      <c r="C308" t="str">
        <f>Расчёты!D308</f>
        <v/>
      </c>
      <c r="D308">
        <f>Расчёты!E308</f>
        <v>0</v>
      </c>
      <c r="E308">
        <f>IF(Расчёты!F308=0,0,IF(Расчёты!G308=1,N('Сценарный анализ'!$B$5),IF(Расчёты!G308=2,N('Сценарный анализ'!$B$6),IF(Расчёты!G308=3,N('Сценарный анализ'!$B$7),N('Сценарный анализ'!$B$7)*(1+N('Сценарный анализ'!$B$8))^(Расчёты!G308-3)))))</f>
        <v>0</v>
      </c>
      <c r="F308">
        <f>IF(OR(Расчёты!F308=0,N('Исходные данные'!$B$5)=0,E308=0),0,N('Исходные данные'!$B$5)*E308*IF(AND(B308&lt;='Исходные данные'!$B$30,Расчёты!C308&gt;='Исходные данные'!$B$30),(Расчёты!C308-'Исходные данные'!$B$30+1)/DAY(Расчёты!C308),1))</f>
        <v>0</v>
      </c>
      <c r="G308">
        <f>IF(AND(Расчёты!F308&gt;0,Расчёты!F308&lt;=N('Исходные данные'!$B$37)),-F308,0)</f>
        <v>0</v>
      </c>
      <c r="H308">
        <f>IF(OR(Расчёты!F308=0,Расчёты!F308&lt;=N('Исходные данные'!$B$37)),0,-(F308+G308)*N('Сценарный анализ'!$B$9))</f>
        <v>0</v>
      </c>
      <c r="I308">
        <f t="shared" si="159"/>
        <v>0</v>
      </c>
      <c r="J308">
        <f>IF('Исходные данные'!$B$51="Да",I308*N('Исходные данные'!$B$52),0)</f>
        <v>0</v>
      </c>
      <c r="K308">
        <f t="shared" si="160"/>
        <v>0</v>
      </c>
      <c r="L308">
        <f>I308+(Расчёты!Y308-Расчёты!L308)</f>
        <v>0</v>
      </c>
      <c r="M308">
        <f t="shared" si="147"/>
        <v>0</v>
      </c>
      <c r="N308">
        <f>IF('Исходные данные'!$B$51="Да",-MAX(0,J308+Расчёты!R308+Расчёты!V308-Расчёты!P308-Расчёты!T308-M308),0)</f>
        <v>0</v>
      </c>
      <c r="O308">
        <f>IF('Исходные данные'!$B$51="Да",MAX(0,M308+Расчёты!P308+Расчёты!T308-J308-Расчёты!R308-Расчёты!V308),0)</f>
        <v>0</v>
      </c>
      <c r="P308">
        <f>IF('Исходные данные'!$B$53="Выручка",MAX(0,I308+(Расчёты!Q308-Расчёты!R308)+(Расчёты!U308-Расчёты!V308)),IF('Исходные данные'!$B$53="Прибыль до налога",MAX(0,I308+(Расчёты!Q308-Расчёты!R308)+(Расчёты!U308-Расчёты!V308)+N('Исходные данные'!$B$54)*((Расчёты!O308+Расчёты!P308)+(Расчёты!S308+Расчёты!T308)+Расчёты!W308+Расчёты!X308)+IF('Исходные данные'!$B$55="Да",Расчёты!AG308,0)-N('Исходные данные'!$B$56)/12),IF('Исходные данные'!$B$53="Пользовательская база",MAX(0,N('Исходные данные'!$B$57)/12),0)))</f>
        <v>0</v>
      </c>
      <c r="Q308">
        <f>IF(D308=1,-P308*N('Исходные данные'!$B$50),0)</f>
        <v>0</v>
      </c>
      <c r="R308">
        <f t="shared" si="148"/>
        <v>0</v>
      </c>
      <c r="S308">
        <f>IF(OR(D308&lt;&gt;1,B308="",'Исходные данные'!$B$91="",N('Исходные данные'!$B$80)&lt;=0,'Исходные данные'!$B$88=""),0,IF(AND(YEAR(B308)=YEAR('Исходные данные'!$B$91),MONTH(B308)=MONTH('Исходные данные'!$B$91)),MAX(0,IF('Исходные данные'!$B$88="Последние 12 месяцев",SUMIFS($L$2:$L$194,$B$2:$B$194,"&gt;="&amp;EDATE(B308,-11),$B$2:$B$194,"&lt;="&amp;B308),IF('Исходные данные'!$B$88="Пользовательский NOI",N('Исходные данные'!$B$89),R308))/N('Исходные данные'!$B$80)*(1+N('Исходные данные'!$B$81))),0))</f>
        <v>0</v>
      </c>
      <c r="T308">
        <f>-S308*N('Исходные данные'!$B$73)</f>
        <v>0</v>
      </c>
      <c r="U308">
        <f>IF(S308=0,0,-N('Исходные данные'!$B$87)-IF('Исходные данные'!$B$82="Да",IF('Исходные данные'!$B$84="С выручки",S308,IF('Исходные данные'!$B$84="С прибыли",MAX(0,S308+T308-IF('Исходные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08">
        <f t="shared" si="161"/>
        <v>0</v>
      </c>
      <c r="W308">
        <f>IF(D308=1,Расчёты!AZ308+K308+N308+Q308+V308,0)</f>
        <v>0</v>
      </c>
      <c r="X308" t="str">
        <f t="shared" si="149"/>
        <v/>
      </c>
      <c r="Y308">
        <f>IF(OR(D308=0,'Исходные данные'!$B$9="",'Исходные данные'!$B$90=""),0,W308/(1+'Исходные данные'!$B$90)^((C308-'Исходные данные'!$B$9)/365))</f>
        <v>0</v>
      </c>
      <c r="Z308">
        <f>IF(D308=1,K308+Расчёты!O308+Расчёты!Q308+Расчёты!S308+Расчёты!U308+Расчёты!W308+Расчёты!X308+N308+Q308,0)</f>
        <v>0</v>
      </c>
      <c r="AA308">
        <f>IF(AND(D308=1,X308&gt;=0,X307&lt;0,MIN($X$2:X308)&lt;0),1,0)</f>
        <v>0</v>
      </c>
      <c r="AB308">
        <f>IF(Расчёты!F308=0,0,IF(Расчёты!G308=1,N('Сценарный анализ'!$C$5),IF(Расчёты!G308=2,N('Сценарный анализ'!$C$6),IF(Расчёты!G308=3,N('Сценарный анализ'!$C$7),N('Сценарный анализ'!$C$7)*(1+N('Сценарный анализ'!$C$8))^(Расчёты!G308-3)))))</f>
        <v>0</v>
      </c>
      <c r="AC308">
        <f>IF(OR(Расчёты!F308=0,N('Исходные данные'!$B$5)=0,AB308=0),0,N('Исходные данные'!$B$5)*AB308*IF(AND(B308&lt;='Исходные данные'!$B$30,Расчёты!C308&gt;='Исходные данные'!$B$30),(Расчёты!C308-'Исходные данные'!$B$30+1)/DAY(Расчёты!C308),1))</f>
        <v>0</v>
      </c>
      <c r="AD308">
        <f>IF(AND(Расчёты!F308&gt;0,Расчёты!F308&lt;=N('Исходные данные'!$B$37)),-AC308,0)</f>
        <v>0</v>
      </c>
      <c r="AE308">
        <f>IF(OR(Расчёты!F308=0,Расчёты!F308&lt;=N('Исходные данные'!$B$37)),0,-(AC308+AD308)*N('Сценарный анализ'!$C$9))</f>
        <v>0</v>
      </c>
      <c r="AF308">
        <f t="shared" si="162"/>
        <v>0</v>
      </c>
      <c r="AG308">
        <f>IF('Исходные данные'!$B$51="Да",AF308*N('Исходные данные'!$B$52),0)</f>
        <v>0</v>
      </c>
      <c r="AH308">
        <f t="shared" si="163"/>
        <v>0</v>
      </c>
      <c r="AI308">
        <f>AF308+(Расчёты!Y308-Расчёты!L308)</f>
        <v>0</v>
      </c>
      <c r="AJ308">
        <f t="shared" si="150"/>
        <v>0</v>
      </c>
      <c r="AK308">
        <f>IF('Исходные данные'!$B$51="Да",-MAX(0,AG308+Расчёты!R308+Расчёты!V308-Расчёты!P308-Расчёты!T308-AJ308),0)</f>
        <v>0</v>
      </c>
      <c r="AL308">
        <f>IF('Исходные данные'!$B$51="Да",MAX(0,AJ308+Расчёты!P308+Расчёты!T308-AG308-Расчёты!R308-Расчёты!V308),0)</f>
        <v>0</v>
      </c>
      <c r="AM308">
        <f>IF('Исходные данные'!$B$53="Выручка",MAX(0,AF308+(Расчёты!Q308-Расчёты!R308)+(Расчёты!U308-Расчёты!V308)),IF('Исходные данные'!$B$53="Прибыль до налога",MAX(0,AF308+(Расчёты!Q308-Расчёты!R308)+(Расчёты!U308-Расчёты!V308)+N('Исходные данные'!$B$54)*((Расчёты!O308+Расчёты!P308)+(Расчёты!S308+Расчёты!T308)+Расчёты!W308+Расчёты!X308)+IF('Исходные данные'!$B$55="Да",Расчёты!AG308,0)-N('Исходные данные'!$B$56)/12),IF('Исходные данные'!$B$53="Пользовательская база",MAX(0,N('Исходные данные'!$B$57)/12),0)))</f>
        <v>0</v>
      </c>
      <c r="AN308">
        <f>IF(D308=1,-AM308*N('Исходные данные'!$B$50),0)</f>
        <v>0</v>
      </c>
      <c r="AO308">
        <f t="shared" si="151"/>
        <v>0</v>
      </c>
      <c r="AP308">
        <f>IF(OR(D308&lt;&gt;1,B308="",'Исходные данные'!$B$91="",N('Исходные данные'!$B$80)&lt;=0,'Исходные данные'!$B$88=""),0,IF(AND(YEAR(B308)=YEAR('Исходные данные'!$B$91),MONTH(B308)=MONTH('Исходные данные'!$B$91)),MAX(0,IF('Исходные данные'!$B$88="Последние 12 месяцев",SUMIFS($AI$2:$AI$194,$B$2:$B$194,"&gt;="&amp;EDATE(B308,-11),$B$2:$B$194,"&lt;="&amp;B308),IF('Исходные данные'!$B$88="Пользовательский NOI",N('Исходные данные'!$B$89),AO308))/N('Исходные данные'!$B$80)*(1+N('Исходные данные'!$B$81))),0))</f>
        <v>0</v>
      </c>
      <c r="AQ308">
        <f>-AP308*N('Исходные данные'!$B$73)</f>
        <v>0</v>
      </c>
      <c r="AR308">
        <f>IF(AP308=0,0,-N('Исходные данные'!$B$87)-IF('Исходные данные'!$B$82="Да",IF('Исходные данные'!$B$84="С выручки",AP308,IF('Исходные данные'!$B$84="С прибыли",MAX(0,AP308+AQ308-IF('Исходные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08">
        <f t="shared" si="164"/>
        <v>0</v>
      </c>
      <c r="AT308">
        <f>IF(D308=1,Расчёты!AZ308+AH308+AK308+AN308+AS308,0)</f>
        <v>0</v>
      </c>
      <c r="AU308" t="str">
        <f t="shared" si="152"/>
        <v/>
      </c>
      <c r="AV308">
        <f>IF(OR(D308=0,'Исходные данные'!$B$9="",'Исходные данные'!$B$90=""),0,AT308/(1+'Исходные данные'!$B$90)^((C308-'Исходные данные'!$B$9)/365))</f>
        <v>0</v>
      </c>
      <c r="AW308">
        <f>IF(D308=1,AH308+Расчёты!O308+Расчёты!Q308+Расчёты!S308+Расчёты!U308+Расчёты!W308+Расчёты!X308+AK308+AN308,0)</f>
        <v>0</v>
      </c>
      <c r="AX308">
        <f>IF(AND(D308=1,AU308&gt;=0,AU307&lt;0,MIN($AU$2:AU308)&lt;0),1,0)</f>
        <v>0</v>
      </c>
      <c r="AY308">
        <f>IF(Расчёты!F308=0,0,IF(Расчёты!G308=1,N('Сценарный анализ'!$D$5),IF(Расчёты!G308=2,N('Сценарный анализ'!$D$6),IF(Расчёты!G308=3,N('Сценарный анализ'!$D$7),N('Сценарный анализ'!$D$7)*(1+N('Сценарный анализ'!$D$8))^(Расчёты!G308-3)))))</f>
        <v>0</v>
      </c>
      <c r="AZ308">
        <f>IF(OR(Расчёты!F308=0,N('Исходные данные'!$B$5)=0,AY308=0),0,N('Исходные данные'!$B$5)*AY308*IF(AND(B308&lt;='Исходные данные'!$B$30,Расчёты!C308&gt;='Исходные данные'!$B$30),(Расчёты!C308-'Исходные данные'!$B$30+1)/DAY(Расчёты!C308),1))</f>
        <v>0</v>
      </c>
      <c r="BA308">
        <f>IF(AND(Расчёты!F308&gt;0,Расчёты!F308&lt;=N('Исходные данные'!$B$37)),-AZ308,0)</f>
        <v>0</v>
      </c>
      <c r="BB308">
        <f>IF(OR(Расчёты!F308=0,Расчёты!F308&lt;=N('Исходные данные'!$B$37)),0,-(AZ308+BA308)*N('Сценарный анализ'!$D$9))</f>
        <v>0</v>
      </c>
      <c r="BC308">
        <f t="shared" si="165"/>
        <v>0</v>
      </c>
      <c r="BD308">
        <f>IF('Исходные данные'!$B$51="Да",BC308*N('Исходные данные'!$B$52),0)</f>
        <v>0</v>
      </c>
      <c r="BE308">
        <f t="shared" si="166"/>
        <v>0</v>
      </c>
      <c r="BF308">
        <f>BC308+(Расчёты!Y308-Расчёты!L308)</f>
        <v>0</v>
      </c>
      <c r="BG308">
        <f t="shared" si="153"/>
        <v>0</v>
      </c>
      <c r="BH308">
        <f>IF('Исходные данные'!$B$51="Да",-MAX(0,BD308+Расчёты!R308+Расчёты!V308-Расчёты!P308-Расчёты!T308-BG308),0)</f>
        <v>0</v>
      </c>
      <c r="BI308">
        <f>IF('Исходные данные'!$B$51="Да",MAX(0,BG308+Расчёты!P308+Расчёты!T308-BD308-Расчёты!R308-Расчёты!V308),0)</f>
        <v>0</v>
      </c>
      <c r="BJ308">
        <f>IF('Исходные данные'!$B$53="Выручка",MAX(0,BC308+(Расчёты!Q308-Расчёты!R308)+(Расчёты!U308-Расчёты!V308)),IF('Исходные данные'!$B$53="Прибыль до налога",MAX(0,BC308+(Расчёты!Q308-Расчёты!R308)+(Расчёты!U308-Расчёты!V308)+N('Исходные данные'!$B$54)*((Расчёты!O308+Расчёты!P308)+(Расчёты!S308+Расчёты!T308)+Расчёты!W308+Расчёты!X308)+IF('Исходные данные'!$B$55="Да",Расчёты!AG308,0)-N('Исходные данные'!$B$56)/12),IF('Исходные данные'!$B$53="Пользовательская база",MAX(0,N('Исходные данные'!$B$57)/12),0)))</f>
        <v>0</v>
      </c>
      <c r="BK308">
        <f>IF(D308=1,-BJ308*N('Исходные данные'!$B$50),0)</f>
        <v>0</v>
      </c>
      <c r="BL308">
        <f t="shared" si="154"/>
        <v>0</v>
      </c>
      <c r="BM308">
        <f>IF(OR(D308&lt;&gt;1,B308="",'Исходные данные'!$B$91="",N('Исходные данные'!$B$80)&lt;=0,'Исходные данные'!$B$88=""),0,IF(AND(YEAR(B308)=YEAR('Исходные данные'!$B$91),MONTH(B308)=MONTH('Исходные данные'!$B$91)),MAX(0,IF('Исходные данные'!$B$88="Последние 12 месяцев",SUMIFS($BF$2:$BF$194,$B$2:$B$194,"&gt;="&amp;EDATE(B308,-11),$B$2:$B$194,"&lt;="&amp;B308),IF('Исходные данные'!$B$88="Пользовательский NOI",N('Исходные данные'!$B$89),BL308))/N('Исходные данные'!$B$80)*(1+N('Исходные данные'!$B$81))),0))</f>
        <v>0</v>
      </c>
      <c r="BN308">
        <f>-BM308*N('Исходные данные'!$B$73)</f>
        <v>0</v>
      </c>
      <c r="BO308">
        <f>IF(BM308=0,0,-N('Исходные данные'!$B$87)-IF('Исходные данные'!$B$82="Да",IF('Исходные данные'!$B$84="С выручки",BM308,IF('Исходные данные'!$B$84="С прибыли",MAX(0,BM308+BN308-IF('Исходные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08">
        <f t="shared" si="167"/>
        <v>0</v>
      </c>
      <c r="BQ308">
        <f>IF(D308=1,Расчёты!AZ308+BE308+BH308+BK308+BP308,0)</f>
        <v>0</v>
      </c>
      <c r="BR308" t="str">
        <f t="shared" si="155"/>
        <v/>
      </c>
      <c r="BS308">
        <f>IF(OR(D308=0,'Исходные данные'!$B$9="",'Исходные данные'!$B$90=""),0,BQ308/(1+'Исходные данные'!$B$90)^((C308-'Исходные данные'!$B$9)/365))</f>
        <v>0</v>
      </c>
      <c r="BT308">
        <f>IF(D308=1,BE308+Расчёты!O308+Расчёты!Q308+Расчёты!S308+Расчёты!U308+Расчёты!W308+Расчёты!X308+BH308+BK308,0)</f>
        <v>0</v>
      </c>
      <c r="BU308">
        <f>IF(AND(D308=1,BR308&gt;=0,BR307&lt;0,MIN($BR$2:BR308)&lt;0),1,0)</f>
        <v>0</v>
      </c>
      <c r="BV308">
        <f>Расчёты!AZ308+K308+N308-P308*N('Исходные данные'!$B$50)</f>
        <v>0</v>
      </c>
      <c r="BW308">
        <f t="shared" si="156"/>
        <v>0</v>
      </c>
      <c r="BX308">
        <f>IF(AND(BW308&gt;=0,BW307&lt;0,MIN($BW$2:BW308)&lt;0),1,0)</f>
        <v>0</v>
      </c>
      <c r="BY308">
        <f>Расчёты!AZ308+AH308+AK308-AM308*N('Исходные данные'!$B$50)</f>
        <v>0</v>
      </c>
      <c r="BZ308">
        <f t="shared" si="157"/>
        <v>0</v>
      </c>
      <c r="CA308">
        <f>IF(AND(BZ308&gt;=0,BZ307&lt;0,MIN($BZ$2:BZ308)&lt;0),1,0)</f>
        <v>0</v>
      </c>
      <c r="CB308">
        <f>Расчёты!AZ308+BE308+BH308-BJ308*N('Исходные данные'!$B$50)</f>
        <v>0</v>
      </c>
      <c r="CC308">
        <f t="shared" si="158"/>
        <v>0</v>
      </c>
      <c r="CD308">
        <f>IF(AND(CC308&gt;=0,CC307&lt;0,MIN($CC$2:CC308)&lt;0),1,0)</f>
        <v>0</v>
      </c>
    </row>
    <row r="309" spans="1:82" x14ac:dyDescent="0.2">
      <c r="A309">
        <f>Расчёты!A309</f>
        <v>308</v>
      </c>
      <c r="B309" t="str">
        <f>Расчёты!B309</f>
        <v/>
      </c>
      <c r="C309" t="str">
        <f>Расчёты!D309</f>
        <v/>
      </c>
      <c r="D309">
        <f>Расчёты!E309</f>
        <v>0</v>
      </c>
      <c r="E309">
        <f>IF(Расчёты!F309=0,0,IF(Расчёты!G309=1,N('Сценарный анализ'!$B$5),IF(Расчёты!G309=2,N('Сценарный анализ'!$B$6),IF(Расчёты!G309=3,N('Сценарный анализ'!$B$7),N('Сценарный анализ'!$B$7)*(1+N('Сценарный анализ'!$B$8))^(Расчёты!G309-3)))))</f>
        <v>0</v>
      </c>
      <c r="F309">
        <f>IF(OR(Расчёты!F309=0,N('Исходные данные'!$B$5)=0,E309=0),0,N('Исходные данные'!$B$5)*E309*IF(AND(B309&lt;='Исходные данные'!$B$30,Расчёты!C309&gt;='Исходные данные'!$B$30),(Расчёты!C309-'Исходные данные'!$B$30+1)/DAY(Расчёты!C309),1))</f>
        <v>0</v>
      </c>
      <c r="G309">
        <f>IF(AND(Расчёты!F309&gt;0,Расчёты!F309&lt;=N('Исходные данные'!$B$37)),-F309,0)</f>
        <v>0</v>
      </c>
      <c r="H309">
        <f>IF(OR(Расчёты!F309=0,Расчёты!F309&lt;=N('Исходные данные'!$B$37)),0,-(F309+G309)*N('Сценарный анализ'!$B$9))</f>
        <v>0</v>
      </c>
      <c r="I309">
        <f t="shared" si="159"/>
        <v>0</v>
      </c>
      <c r="J309">
        <f>IF('Исходные данные'!$B$51="Да",I309*N('Исходные данные'!$B$52),0)</f>
        <v>0</v>
      </c>
      <c r="K309">
        <f t="shared" si="160"/>
        <v>0</v>
      </c>
      <c r="L309">
        <f>I309+(Расчёты!Y309-Расчёты!L309)</f>
        <v>0</v>
      </c>
      <c r="M309">
        <f t="shared" si="147"/>
        <v>0</v>
      </c>
      <c r="N309">
        <f>IF('Исходные данные'!$B$51="Да",-MAX(0,J309+Расчёты!R309+Расчёты!V309-Расчёты!P309-Расчёты!T309-M309),0)</f>
        <v>0</v>
      </c>
      <c r="O309">
        <f>IF('Исходные данные'!$B$51="Да",MAX(0,M309+Расчёты!P309+Расчёты!T309-J309-Расчёты!R309-Расчёты!V309),0)</f>
        <v>0</v>
      </c>
      <c r="P309">
        <f>IF('Исходные данные'!$B$53="Выручка",MAX(0,I309+(Расчёты!Q309-Расчёты!R309)+(Расчёты!U309-Расчёты!V309)),IF('Исходные данные'!$B$53="Прибыль до налога",MAX(0,I309+(Расчёты!Q309-Расчёты!R309)+(Расчёты!U309-Расчёты!V309)+N('Исходные данные'!$B$54)*((Расчёты!O309+Расчёты!P309)+(Расчёты!S309+Расчёты!T309)+Расчёты!W309+Расчёты!X309)+IF('Исходные данные'!$B$55="Да",Расчёты!AG309,0)-N('Исходные данные'!$B$56)/12),IF('Исходные данные'!$B$53="Пользовательская база",MAX(0,N('Исходные данные'!$B$57)/12),0)))</f>
        <v>0</v>
      </c>
      <c r="Q309">
        <f>IF(D309=1,-P309*N('Исходные данные'!$B$50),0)</f>
        <v>0</v>
      </c>
      <c r="R309">
        <f t="shared" si="148"/>
        <v>0</v>
      </c>
      <c r="S309">
        <f>IF(OR(D309&lt;&gt;1,B309="",'Исходные данные'!$B$91="",N('Исходные данные'!$B$80)&lt;=0,'Исходные данные'!$B$88=""),0,IF(AND(YEAR(B309)=YEAR('Исходные данные'!$B$91),MONTH(B309)=MONTH('Исходные данные'!$B$91)),MAX(0,IF('Исходные данные'!$B$88="Последние 12 месяцев",SUMIFS($L$2:$L$194,$B$2:$B$194,"&gt;="&amp;EDATE(B309,-11),$B$2:$B$194,"&lt;="&amp;B309),IF('Исходные данные'!$B$88="Пользовательский NOI",N('Исходные данные'!$B$89),R309))/N('Исходные данные'!$B$80)*(1+N('Исходные данные'!$B$81))),0))</f>
        <v>0</v>
      </c>
      <c r="T309">
        <f>-S309*N('Исходные данные'!$B$73)</f>
        <v>0</v>
      </c>
      <c r="U309">
        <f>IF(S309=0,0,-N('Исходные данные'!$B$87)-IF('Исходные данные'!$B$82="Да",IF('Исходные данные'!$B$84="С выручки",S309,IF('Исходные данные'!$B$84="С прибыли",MAX(0,S309+T309-IF('Исходные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09">
        <f t="shared" si="161"/>
        <v>0</v>
      </c>
      <c r="W309">
        <f>IF(D309=1,Расчёты!AZ309+K309+N309+Q309+V309,0)</f>
        <v>0</v>
      </c>
      <c r="X309" t="str">
        <f t="shared" si="149"/>
        <v/>
      </c>
      <c r="Y309">
        <f>IF(OR(D309=0,'Исходные данные'!$B$9="",'Исходные данные'!$B$90=""),0,W309/(1+'Исходные данные'!$B$90)^((C309-'Исходные данные'!$B$9)/365))</f>
        <v>0</v>
      </c>
      <c r="Z309">
        <f>IF(D309=1,K309+Расчёты!O309+Расчёты!Q309+Расчёты!S309+Расчёты!U309+Расчёты!W309+Расчёты!X309+N309+Q309,0)</f>
        <v>0</v>
      </c>
      <c r="AA309">
        <f>IF(AND(D309=1,X309&gt;=0,X308&lt;0,MIN($X$2:X309)&lt;0),1,0)</f>
        <v>0</v>
      </c>
      <c r="AB309">
        <f>IF(Расчёты!F309=0,0,IF(Расчёты!G309=1,N('Сценарный анализ'!$C$5),IF(Расчёты!G309=2,N('Сценарный анализ'!$C$6),IF(Расчёты!G309=3,N('Сценарный анализ'!$C$7),N('Сценарный анализ'!$C$7)*(1+N('Сценарный анализ'!$C$8))^(Расчёты!G309-3)))))</f>
        <v>0</v>
      </c>
      <c r="AC309">
        <f>IF(OR(Расчёты!F309=0,N('Исходные данные'!$B$5)=0,AB309=0),0,N('Исходные данные'!$B$5)*AB309*IF(AND(B309&lt;='Исходные данные'!$B$30,Расчёты!C309&gt;='Исходные данные'!$B$30),(Расчёты!C309-'Исходные данные'!$B$30+1)/DAY(Расчёты!C309),1))</f>
        <v>0</v>
      </c>
      <c r="AD309">
        <f>IF(AND(Расчёты!F309&gt;0,Расчёты!F309&lt;=N('Исходные данные'!$B$37)),-AC309,0)</f>
        <v>0</v>
      </c>
      <c r="AE309">
        <f>IF(OR(Расчёты!F309=0,Расчёты!F309&lt;=N('Исходные данные'!$B$37)),0,-(AC309+AD309)*N('Сценарный анализ'!$C$9))</f>
        <v>0</v>
      </c>
      <c r="AF309">
        <f t="shared" si="162"/>
        <v>0</v>
      </c>
      <c r="AG309">
        <f>IF('Исходные данные'!$B$51="Да",AF309*N('Исходные данные'!$B$52),0)</f>
        <v>0</v>
      </c>
      <c r="AH309">
        <f t="shared" si="163"/>
        <v>0</v>
      </c>
      <c r="AI309">
        <f>AF309+(Расчёты!Y309-Расчёты!L309)</f>
        <v>0</v>
      </c>
      <c r="AJ309">
        <f t="shared" si="150"/>
        <v>0</v>
      </c>
      <c r="AK309">
        <f>IF('Исходные данные'!$B$51="Да",-MAX(0,AG309+Расчёты!R309+Расчёты!V309-Расчёты!P309-Расчёты!T309-AJ309),0)</f>
        <v>0</v>
      </c>
      <c r="AL309">
        <f>IF('Исходные данные'!$B$51="Да",MAX(0,AJ309+Расчёты!P309+Расчёты!T309-AG309-Расчёты!R309-Расчёты!V309),0)</f>
        <v>0</v>
      </c>
      <c r="AM309">
        <f>IF('Исходные данные'!$B$53="Выручка",MAX(0,AF309+(Расчёты!Q309-Расчёты!R309)+(Расчёты!U309-Расчёты!V309)),IF('Исходные данные'!$B$53="Прибыль до налога",MAX(0,AF309+(Расчёты!Q309-Расчёты!R309)+(Расчёты!U309-Расчёты!V309)+N('Исходные данные'!$B$54)*((Расчёты!O309+Расчёты!P309)+(Расчёты!S309+Расчёты!T309)+Расчёты!W309+Расчёты!X309)+IF('Исходные данные'!$B$55="Да",Расчёты!AG309,0)-N('Исходные данные'!$B$56)/12),IF('Исходные данные'!$B$53="Пользовательская база",MAX(0,N('Исходные данные'!$B$57)/12),0)))</f>
        <v>0</v>
      </c>
      <c r="AN309">
        <f>IF(D309=1,-AM309*N('Исходные данные'!$B$50),0)</f>
        <v>0</v>
      </c>
      <c r="AO309">
        <f t="shared" si="151"/>
        <v>0</v>
      </c>
      <c r="AP309">
        <f>IF(OR(D309&lt;&gt;1,B309="",'Исходные данные'!$B$91="",N('Исходные данные'!$B$80)&lt;=0,'Исходные данные'!$B$88=""),0,IF(AND(YEAR(B309)=YEAR('Исходные данные'!$B$91),MONTH(B309)=MONTH('Исходные данные'!$B$91)),MAX(0,IF('Исходные данные'!$B$88="Последние 12 месяцев",SUMIFS($AI$2:$AI$194,$B$2:$B$194,"&gt;="&amp;EDATE(B309,-11),$B$2:$B$194,"&lt;="&amp;B309),IF('Исходные данные'!$B$88="Пользовательский NOI",N('Исходные данные'!$B$89),AO309))/N('Исходные данные'!$B$80)*(1+N('Исходные данные'!$B$81))),0))</f>
        <v>0</v>
      </c>
      <c r="AQ309">
        <f>-AP309*N('Исходные данные'!$B$73)</f>
        <v>0</v>
      </c>
      <c r="AR309">
        <f>IF(AP309=0,0,-N('Исходные данные'!$B$87)-IF('Исходные данные'!$B$82="Да",IF('Исходные данные'!$B$84="С выручки",AP309,IF('Исходные данные'!$B$84="С прибыли",MAX(0,AP309+AQ309-IF('Исходные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09">
        <f t="shared" si="164"/>
        <v>0</v>
      </c>
      <c r="AT309">
        <f>IF(D309=1,Расчёты!AZ309+AH309+AK309+AN309+AS309,0)</f>
        <v>0</v>
      </c>
      <c r="AU309" t="str">
        <f t="shared" si="152"/>
        <v/>
      </c>
      <c r="AV309">
        <f>IF(OR(D309=0,'Исходные данные'!$B$9="",'Исходные данные'!$B$90=""),0,AT309/(1+'Исходные данные'!$B$90)^((C309-'Исходные данные'!$B$9)/365))</f>
        <v>0</v>
      </c>
      <c r="AW309">
        <f>IF(D309=1,AH309+Расчёты!O309+Расчёты!Q309+Расчёты!S309+Расчёты!U309+Расчёты!W309+Расчёты!X309+AK309+AN309,0)</f>
        <v>0</v>
      </c>
      <c r="AX309">
        <f>IF(AND(D309=1,AU309&gt;=0,AU308&lt;0,MIN($AU$2:AU309)&lt;0),1,0)</f>
        <v>0</v>
      </c>
      <c r="AY309">
        <f>IF(Расчёты!F309=0,0,IF(Расчёты!G309=1,N('Сценарный анализ'!$D$5),IF(Расчёты!G309=2,N('Сценарный анализ'!$D$6),IF(Расчёты!G309=3,N('Сценарный анализ'!$D$7),N('Сценарный анализ'!$D$7)*(1+N('Сценарный анализ'!$D$8))^(Расчёты!G309-3)))))</f>
        <v>0</v>
      </c>
      <c r="AZ309">
        <f>IF(OR(Расчёты!F309=0,N('Исходные данные'!$B$5)=0,AY309=0),0,N('Исходные данные'!$B$5)*AY309*IF(AND(B309&lt;='Исходные данные'!$B$30,Расчёты!C309&gt;='Исходные данные'!$B$30),(Расчёты!C309-'Исходные данные'!$B$30+1)/DAY(Расчёты!C309),1))</f>
        <v>0</v>
      </c>
      <c r="BA309">
        <f>IF(AND(Расчёты!F309&gt;0,Расчёты!F309&lt;=N('Исходные данные'!$B$37)),-AZ309,0)</f>
        <v>0</v>
      </c>
      <c r="BB309">
        <f>IF(OR(Расчёты!F309=0,Расчёты!F309&lt;=N('Исходные данные'!$B$37)),0,-(AZ309+BA309)*N('Сценарный анализ'!$D$9))</f>
        <v>0</v>
      </c>
      <c r="BC309">
        <f t="shared" si="165"/>
        <v>0</v>
      </c>
      <c r="BD309">
        <f>IF('Исходные данные'!$B$51="Да",BC309*N('Исходные данные'!$B$52),0)</f>
        <v>0</v>
      </c>
      <c r="BE309">
        <f t="shared" si="166"/>
        <v>0</v>
      </c>
      <c r="BF309">
        <f>BC309+(Расчёты!Y309-Расчёты!L309)</f>
        <v>0</v>
      </c>
      <c r="BG309">
        <f t="shared" si="153"/>
        <v>0</v>
      </c>
      <c r="BH309">
        <f>IF('Исходные данные'!$B$51="Да",-MAX(0,BD309+Расчёты!R309+Расчёты!V309-Расчёты!P309-Расчёты!T309-BG309),0)</f>
        <v>0</v>
      </c>
      <c r="BI309">
        <f>IF('Исходные данные'!$B$51="Да",MAX(0,BG309+Расчёты!P309+Расчёты!T309-BD309-Расчёты!R309-Расчёты!V309),0)</f>
        <v>0</v>
      </c>
      <c r="BJ309">
        <f>IF('Исходные данные'!$B$53="Выручка",MAX(0,BC309+(Расчёты!Q309-Расчёты!R309)+(Расчёты!U309-Расчёты!V309)),IF('Исходные данные'!$B$53="Прибыль до налога",MAX(0,BC309+(Расчёты!Q309-Расчёты!R309)+(Расчёты!U309-Расчёты!V309)+N('Исходные данные'!$B$54)*((Расчёты!O309+Расчёты!P309)+(Расчёты!S309+Расчёты!T309)+Расчёты!W309+Расчёты!X309)+IF('Исходные данные'!$B$55="Да",Расчёты!AG309,0)-N('Исходные данные'!$B$56)/12),IF('Исходные данные'!$B$53="Пользовательская база",MAX(0,N('Исходные данные'!$B$57)/12),0)))</f>
        <v>0</v>
      </c>
      <c r="BK309">
        <f>IF(D309=1,-BJ309*N('Исходные данные'!$B$50),0)</f>
        <v>0</v>
      </c>
      <c r="BL309">
        <f t="shared" si="154"/>
        <v>0</v>
      </c>
      <c r="BM309">
        <f>IF(OR(D309&lt;&gt;1,B309="",'Исходные данные'!$B$91="",N('Исходные данные'!$B$80)&lt;=0,'Исходные данные'!$B$88=""),0,IF(AND(YEAR(B309)=YEAR('Исходные данные'!$B$91),MONTH(B309)=MONTH('Исходные данные'!$B$91)),MAX(0,IF('Исходные данные'!$B$88="Последние 12 месяцев",SUMIFS($BF$2:$BF$194,$B$2:$B$194,"&gt;="&amp;EDATE(B309,-11),$B$2:$B$194,"&lt;="&amp;B309),IF('Исходные данные'!$B$88="Пользовательский NOI",N('Исходные данные'!$B$89),BL309))/N('Исходные данные'!$B$80)*(1+N('Исходные данные'!$B$81))),0))</f>
        <v>0</v>
      </c>
      <c r="BN309">
        <f>-BM309*N('Исходные данные'!$B$73)</f>
        <v>0</v>
      </c>
      <c r="BO309">
        <f>IF(BM309=0,0,-N('Исходные данные'!$B$87)-IF('Исходные данные'!$B$82="Да",IF('Исходные данные'!$B$84="С выручки",BM309,IF('Исходные данные'!$B$84="С прибыли",MAX(0,BM309+BN309-IF('Исходные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09">
        <f t="shared" si="167"/>
        <v>0</v>
      </c>
      <c r="BQ309">
        <f>IF(D309=1,Расчёты!AZ309+BE309+BH309+BK309+BP309,0)</f>
        <v>0</v>
      </c>
      <c r="BR309" t="str">
        <f t="shared" si="155"/>
        <v/>
      </c>
      <c r="BS309">
        <f>IF(OR(D309=0,'Исходные данные'!$B$9="",'Исходные данные'!$B$90=""),0,BQ309/(1+'Исходные данные'!$B$90)^((C309-'Исходные данные'!$B$9)/365))</f>
        <v>0</v>
      </c>
      <c r="BT309">
        <f>IF(D309=1,BE309+Расчёты!O309+Расчёты!Q309+Расчёты!S309+Расчёты!U309+Расчёты!W309+Расчёты!X309+BH309+BK309,0)</f>
        <v>0</v>
      </c>
      <c r="BU309">
        <f>IF(AND(D309=1,BR309&gt;=0,BR308&lt;0,MIN($BR$2:BR309)&lt;0),1,0)</f>
        <v>0</v>
      </c>
      <c r="BV309">
        <f>Расчёты!AZ309+K309+N309-P309*N('Исходные данные'!$B$50)</f>
        <v>0</v>
      </c>
      <c r="BW309">
        <f t="shared" si="156"/>
        <v>0</v>
      </c>
      <c r="BX309">
        <f>IF(AND(BW309&gt;=0,BW308&lt;0,MIN($BW$2:BW309)&lt;0),1,0)</f>
        <v>0</v>
      </c>
      <c r="BY309">
        <f>Расчёты!AZ309+AH309+AK309-AM309*N('Исходные данные'!$B$50)</f>
        <v>0</v>
      </c>
      <c r="BZ309">
        <f t="shared" si="157"/>
        <v>0</v>
      </c>
      <c r="CA309">
        <f>IF(AND(BZ309&gt;=0,BZ308&lt;0,MIN($BZ$2:BZ309)&lt;0),1,0)</f>
        <v>0</v>
      </c>
      <c r="CB309">
        <f>Расчёты!AZ309+BE309+BH309-BJ309*N('Исходные данные'!$B$50)</f>
        <v>0</v>
      </c>
      <c r="CC309">
        <f t="shared" si="158"/>
        <v>0</v>
      </c>
      <c r="CD309">
        <f>IF(AND(CC309&gt;=0,CC308&lt;0,MIN($CC$2:CC309)&lt;0),1,0)</f>
        <v>0</v>
      </c>
    </row>
    <row r="310" spans="1:82" x14ac:dyDescent="0.2">
      <c r="A310">
        <f>Расчёты!A310</f>
        <v>309</v>
      </c>
      <c r="B310" t="str">
        <f>Расчёты!B310</f>
        <v/>
      </c>
      <c r="C310" t="str">
        <f>Расчёты!D310</f>
        <v/>
      </c>
      <c r="D310">
        <f>Расчёты!E310</f>
        <v>0</v>
      </c>
      <c r="E310">
        <f>IF(Расчёты!F310=0,0,IF(Расчёты!G310=1,N('Сценарный анализ'!$B$5),IF(Расчёты!G310=2,N('Сценарный анализ'!$B$6),IF(Расчёты!G310=3,N('Сценарный анализ'!$B$7),N('Сценарный анализ'!$B$7)*(1+N('Сценарный анализ'!$B$8))^(Расчёты!G310-3)))))</f>
        <v>0</v>
      </c>
      <c r="F310">
        <f>IF(OR(Расчёты!F310=0,N('Исходные данные'!$B$5)=0,E310=0),0,N('Исходные данные'!$B$5)*E310*IF(AND(B310&lt;='Исходные данные'!$B$30,Расчёты!C310&gt;='Исходные данные'!$B$30),(Расчёты!C310-'Исходные данные'!$B$30+1)/DAY(Расчёты!C310),1))</f>
        <v>0</v>
      </c>
      <c r="G310">
        <f>IF(AND(Расчёты!F310&gt;0,Расчёты!F310&lt;=N('Исходные данные'!$B$37)),-F310,0)</f>
        <v>0</v>
      </c>
      <c r="H310">
        <f>IF(OR(Расчёты!F310=0,Расчёты!F310&lt;=N('Исходные данные'!$B$37)),0,-(F310+G310)*N('Сценарный анализ'!$B$9))</f>
        <v>0</v>
      </c>
      <c r="I310">
        <f t="shared" si="159"/>
        <v>0</v>
      </c>
      <c r="J310">
        <f>IF('Исходные данные'!$B$51="Да",I310*N('Исходные данные'!$B$52),0)</f>
        <v>0</v>
      </c>
      <c r="K310">
        <f t="shared" si="160"/>
        <v>0</v>
      </c>
      <c r="L310">
        <f>I310+(Расчёты!Y310-Расчёты!L310)</f>
        <v>0</v>
      </c>
      <c r="M310">
        <f t="shared" si="147"/>
        <v>0</v>
      </c>
      <c r="N310">
        <f>IF('Исходные данные'!$B$51="Да",-MAX(0,J310+Расчёты!R310+Расчёты!V310-Расчёты!P310-Расчёты!T310-M310),0)</f>
        <v>0</v>
      </c>
      <c r="O310">
        <f>IF('Исходные данные'!$B$51="Да",MAX(0,M310+Расчёты!P310+Расчёты!T310-J310-Расчёты!R310-Расчёты!V310),0)</f>
        <v>0</v>
      </c>
      <c r="P310">
        <f>IF('Исходные данные'!$B$53="Выручка",MAX(0,I310+(Расчёты!Q310-Расчёты!R310)+(Расчёты!U310-Расчёты!V310)),IF('Исходные данные'!$B$53="Прибыль до налога",MAX(0,I310+(Расчёты!Q310-Расчёты!R310)+(Расчёты!U310-Расчёты!V310)+N('Исходные данные'!$B$54)*((Расчёты!O310+Расчёты!P310)+(Расчёты!S310+Расчёты!T310)+Расчёты!W310+Расчёты!X310)+IF('Исходные данные'!$B$55="Да",Расчёты!AG310,0)-N('Исходные данные'!$B$56)/12),IF('Исходные данные'!$B$53="Пользовательская база",MAX(0,N('Исходные данные'!$B$57)/12),0)))</f>
        <v>0</v>
      </c>
      <c r="Q310">
        <f>IF(D310=1,-P310*N('Исходные данные'!$B$50),0)</f>
        <v>0</v>
      </c>
      <c r="R310">
        <f t="shared" si="148"/>
        <v>0</v>
      </c>
      <c r="S310">
        <f>IF(OR(D310&lt;&gt;1,B310="",'Исходные данные'!$B$91="",N('Исходные данные'!$B$80)&lt;=0,'Исходные данные'!$B$88=""),0,IF(AND(YEAR(B310)=YEAR('Исходные данные'!$B$91),MONTH(B310)=MONTH('Исходные данные'!$B$91)),MAX(0,IF('Исходные данные'!$B$88="Последние 12 месяцев",SUMIFS($L$2:$L$194,$B$2:$B$194,"&gt;="&amp;EDATE(B310,-11),$B$2:$B$194,"&lt;="&amp;B310),IF('Исходные данные'!$B$88="Пользовательский NOI",N('Исходные данные'!$B$89),R310))/N('Исходные данные'!$B$80)*(1+N('Исходные данные'!$B$81))),0))</f>
        <v>0</v>
      </c>
      <c r="T310">
        <f>-S310*N('Исходные данные'!$B$73)</f>
        <v>0</v>
      </c>
      <c r="U310">
        <f>IF(S310=0,0,-N('Исходные данные'!$B$87)-IF('Исходные данные'!$B$82="Да",IF('Исходные данные'!$B$84="С выручки",S310,IF('Исходные данные'!$B$84="С прибыли",MAX(0,S310+T310-IF('Исходные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10">
        <f t="shared" si="161"/>
        <v>0</v>
      </c>
      <c r="W310">
        <f>IF(D310=1,Расчёты!AZ310+K310+N310+Q310+V310,0)</f>
        <v>0</v>
      </c>
      <c r="X310" t="str">
        <f t="shared" si="149"/>
        <v/>
      </c>
      <c r="Y310">
        <f>IF(OR(D310=0,'Исходные данные'!$B$9="",'Исходные данные'!$B$90=""),0,W310/(1+'Исходные данные'!$B$90)^((C310-'Исходные данные'!$B$9)/365))</f>
        <v>0</v>
      </c>
      <c r="Z310">
        <f>IF(D310=1,K310+Расчёты!O310+Расчёты!Q310+Расчёты!S310+Расчёты!U310+Расчёты!W310+Расчёты!X310+N310+Q310,0)</f>
        <v>0</v>
      </c>
      <c r="AA310">
        <f>IF(AND(D310=1,X310&gt;=0,X309&lt;0,MIN($X$2:X310)&lt;0),1,0)</f>
        <v>0</v>
      </c>
      <c r="AB310">
        <f>IF(Расчёты!F310=0,0,IF(Расчёты!G310=1,N('Сценарный анализ'!$C$5),IF(Расчёты!G310=2,N('Сценарный анализ'!$C$6),IF(Расчёты!G310=3,N('Сценарный анализ'!$C$7),N('Сценарный анализ'!$C$7)*(1+N('Сценарный анализ'!$C$8))^(Расчёты!G310-3)))))</f>
        <v>0</v>
      </c>
      <c r="AC310">
        <f>IF(OR(Расчёты!F310=0,N('Исходные данные'!$B$5)=0,AB310=0),0,N('Исходные данные'!$B$5)*AB310*IF(AND(B310&lt;='Исходные данные'!$B$30,Расчёты!C310&gt;='Исходные данные'!$B$30),(Расчёты!C310-'Исходные данные'!$B$30+1)/DAY(Расчёты!C310),1))</f>
        <v>0</v>
      </c>
      <c r="AD310">
        <f>IF(AND(Расчёты!F310&gt;0,Расчёты!F310&lt;=N('Исходные данные'!$B$37)),-AC310,0)</f>
        <v>0</v>
      </c>
      <c r="AE310">
        <f>IF(OR(Расчёты!F310=0,Расчёты!F310&lt;=N('Исходные данные'!$B$37)),0,-(AC310+AD310)*N('Сценарный анализ'!$C$9))</f>
        <v>0</v>
      </c>
      <c r="AF310">
        <f t="shared" si="162"/>
        <v>0</v>
      </c>
      <c r="AG310">
        <f>IF('Исходные данные'!$B$51="Да",AF310*N('Исходные данные'!$B$52),0)</f>
        <v>0</v>
      </c>
      <c r="AH310">
        <f t="shared" si="163"/>
        <v>0</v>
      </c>
      <c r="AI310">
        <f>AF310+(Расчёты!Y310-Расчёты!L310)</f>
        <v>0</v>
      </c>
      <c r="AJ310">
        <f t="shared" si="150"/>
        <v>0</v>
      </c>
      <c r="AK310">
        <f>IF('Исходные данные'!$B$51="Да",-MAX(0,AG310+Расчёты!R310+Расчёты!V310-Расчёты!P310-Расчёты!T310-AJ310),0)</f>
        <v>0</v>
      </c>
      <c r="AL310">
        <f>IF('Исходные данные'!$B$51="Да",MAX(0,AJ310+Расчёты!P310+Расчёты!T310-AG310-Расчёты!R310-Расчёты!V310),0)</f>
        <v>0</v>
      </c>
      <c r="AM310">
        <f>IF('Исходные данные'!$B$53="Выручка",MAX(0,AF310+(Расчёты!Q310-Расчёты!R310)+(Расчёты!U310-Расчёты!V310)),IF('Исходные данные'!$B$53="Прибыль до налога",MAX(0,AF310+(Расчёты!Q310-Расчёты!R310)+(Расчёты!U310-Расчёты!V310)+N('Исходные данные'!$B$54)*((Расчёты!O310+Расчёты!P310)+(Расчёты!S310+Расчёты!T310)+Расчёты!W310+Расчёты!X310)+IF('Исходные данные'!$B$55="Да",Расчёты!AG310,0)-N('Исходные данные'!$B$56)/12),IF('Исходные данные'!$B$53="Пользовательская база",MAX(0,N('Исходные данные'!$B$57)/12),0)))</f>
        <v>0</v>
      </c>
      <c r="AN310">
        <f>IF(D310=1,-AM310*N('Исходные данные'!$B$50),0)</f>
        <v>0</v>
      </c>
      <c r="AO310">
        <f t="shared" si="151"/>
        <v>0</v>
      </c>
      <c r="AP310">
        <f>IF(OR(D310&lt;&gt;1,B310="",'Исходные данные'!$B$91="",N('Исходные данные'!$B$80)&lt;=0,'Исходные данные'!$B$88=""),0,IF(AND(YEAR(B310)=YEAR('Исходные данные'!$B$91),MONTH(B310)=MONTH('Исходные данные'!$B$91)),MAX(0,IF('Исходные данные'!$B$88="Последние 12 месяцев",SUMIFS($AI$2:$AI$194,$B$2:$B$194,"&gt;="&amp;EDATE(B310,-11),$B$2:$B$194,"&lt;="&amp;B310),IF('Исходные данные'!$B$88="Пользовательский NOI",N('Исходные данные'!$B$89),AO310))/N('Исходные данные'!$B$80)*(1+N('Исходные данные'!$B$81))),0))</f>
        <v>0</v>
      </c>
      <c r="AQ310">
        <f>-AP310*N('Исходные данные'!$B$73)</f>
        <v>0</v>
      </c>
      <c r="AR310">
        <f>IF(AP310=0,0,-N('Исходные данные'!$B$87)-IF('Исходные данные'!$B$82="Да",IF('Исходные данные'!$B$84="С выручки",AP310,IF('Исходные данные'!$B$84="С прибыли",MAX(0,AP310+AQ310-IF('Исходные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10">
        <f t="shared" si="164"/>
        <v>0</v>
      </c>
      <c r="AT310">
        <f>IF(D310=1,Расчёты!AZ310+AH310+AK310+AN310+AS310,0)</f>
        <v>0</v>
      </c>
      <c r="AU310" t="str">
        <f t="shared" si="152"/>
        <v/>
      </c>
      <c r="AV310">
        <f>IF(OR(D310=0,'Исходные данные'!$B$9="",'Исходные данные'!$B$90=""),0,AT310/(1+'Исходные данные'!$B$90)^((C310-'Исходные данные'!$B$9)/365))</f>
        <v>0</v>
      </c>
      <c r="AW310">
        <f>IF(D310=1,AH310+Расчёты!O310+Расчёты!Q310+Расчёты!S310+Расчёты!U310+Расчёты!W310+Расчёты!X310+AK310+AN310,0)</f>
        <v>0</v>
      </c>
      <c r="AX310">
        <f>IF(AND(D310=1,AU310&gt;=0,AU309&lt;0,MIN($AU$2:AU310)&lt;0),1,0)</f>
        <v>0</v>
      </c>
      <c r="AY310">
        <f>IF(Расчёты!F310=0,0,IF(Расчёты!G310=1,N('Сценарный анализ'!$D$5),IF(Расчёты!G310=2,N('Сценарный анализ'!$D$6),IF(Расчёты!G310=3,N('Сценарный анализ'!$D$7),N('Сценарный анализ'!$D$7)*(1+N('Сценарный анализ'!$D$8))^(Расчёты!G310-3)))))</f>
        <v>0</v>
      </c>
      <c r="AZ310">
        <f>IF(OR(Расчёты!F310=0,N('Исходные данные'!$B$5)=0,AY310=0),0,N('Исходные данные'!$B$5)*AY310*IF(AND(B310&lt;='Исходные данные'!$B$30,Расчёты!C310&gt;='Исходные данные'!$B$30),(Расчёты!C310-'Исходные данные'!$B$30+1)/DAY(Расчёты!C310),1))</f>
        <v>0</v>
      </c>
      <c r="BA310">
        <f>IF(AND(Расчёты!F310&gt;0,Расчёты!F310&lt;=N('Исходные данные'!$B$37)),-AZ310,0)</f>
        <v>0</v>
      </c>
      <c r="BB310">
        <f>IF(OR(Расчёты!F310=0,Расчёты!F310&lt;=N('Исходные данные'!$B$37)),0,-(AZ310+BA310)*N('Сценарный анализ'!$D$9))</f>
        <v>0</v>
      </c>
      <c r="BC310">
        <f t="shared" si="165"/>
        <v>0</v>
      </c>
      <c r="BD310">
        <f>IF('Исходные данные'!$B$51="Да",BC310*N('Исходные данные'!$B$52),0)</f>
        <v>0</v>
      </c>
      <c r="BE310">
        <f t="shared" si="166"/>
        <v>0</v>
      </c>
      <c r="BF310">
        <f>BC310+(Расчёты!Y310-Расчёты!L310)</f>
        <v>0</v>
      </c>
      <c r="BG310">
        <f t="shared" si="153"/>
        <v>0</v>
      </c>
      <c r="BH310">
        <f>IF('Исходные данные'!$B$51="Да",-MAX(0,BD310+Расчёты!R310+Расчёты!V310-Расчёты!P310-Расчёты!T310-BG310),0)</f>
        <v>0</v>
      </c>
      <c r="BI310">
        <f>IF('Исходные данные'!$B$51="Да",MAX(0,BG310+Расчёты!P310+Расчёты!T310-BD310-Расчёты!R310-Расчёты!V310),0)</f>
        <v>0</v>
      </c>
      <c r="BJ310">
        <f>IF('Исходные данные'!$B$53="Выручка",MAX(0,BC310+(Расчёты!Q310-Расчёты!R310)+(Расчёты!U310-Расчёты!V310)),IF('Исходные данные'!$B$53="Прибыль до налога",MAX(0,BC310+(Расчёты!Q310-Расчёты!R310)+(Расчёты!U310-Расчёты!V310)+N('Исходные данные'!$B$54)*((Расчёты!O310+Расчёты!P310)+(Расчёты!S310+Расчёты!T310)+Расчёты!W310+Расчёты!X310)+IF('Исходные данные'!$B$55="Да",Расчёты!AG310,0)-N('Исходные данные'!$B$56)/12),IF('Исходные данные'!$B$53="Пользовательская база",MAX(0,N('Исходные данные'!$B$57)/12),0)))</f>
        <v>0</v>
      </c>
      <c r="BK310">
        <f>IF(D310=1,-BJ310*N('Исходные данные'!$B$50),0)</f>
        <v>0</v>
      </c>
      <c r="BL310">
        <f t="shared" si="154"/>
        <v>0</v>
      </c>
      <c r="BM310">
        <f>IF(OR(D310&lt;&gt;1,B310="",'Исходные данные'!$B$91="",N('Исходные данные'!$B$80)&lt;=0,'Исходные данные'!$B$88=""),0,IF(AND(YEAR(B310)=YEAR('Исходные данные'!$B$91),MONTH(B310)=MONTH('Исходные данные'!$B$91)),MAX(0,IF('Исходные данные'!$B$88="Последние 12 месяцев",SUMIFS($BF$2:$BF$194,$B$2:$B$194,"&gt;="&amp;EDATE(B310,-11),$B$2:$B$194,"&lt;="&amp;B310),IF('Исходные данные'!$B$88="Пользовательский NOI",N('Исходные данные'!$B$89),BL310))/N('Исходные данные'!$B$80)*(1+N('Исходные данные'!$B$81))),0))</f>
        <v>0</v>
      </c>
      <c r="BN310">
        <f>-BM310*N('Исходные данные'!$B$73)</f>
        <v>0</v>
      </c>
      <c r="BO310">
        <f>IF(BM310=0,0,-N('Исходные данные'!$B$87)-IF('Исходные данные'!$B$82="Да",IF('Исходные данные'!$B$84="С выручки",BM310,IF('Исходные данные'!$B$84="С прибыли",MAX(0,BM310+BN310-IF('Исходные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10">
        <f t="shared" si="167"/>
        <v>0</v>
      </c>
      <c r="BQ310">
        <f>IF(D310=1,Расчёты!AZ310+BE310+BH310+BK310+BP310,0)</f>
        <v>0</v>
      </c>
      <c r="BR310" t="str">
        <f t="shared" si="155"/>
        <v/>
      </c>
      <c r="BS310">
        <f>IF(OR(D310=0,'Исходные данные'!$B$9="",'Исходные данные'!$B$90=""),0,BQ310/(1+'Исходные данные'!$B$90)^((C310-'Исходные данные'!$B$9)/365))</f>
        <v>0</v>
      </c>
      <c r="BT310">
        <f>IF(D310=1,BE310+Расчёты!O310+Расчёты!Q310+Расчёты!S310+Расчёты!U310+Расчёты!W310+Расчёты!X310+BH310+BK310,0)</f>
        <v>0</v>
      </c>
      <c r="BU310">
        <f>IF(AND(D310=1,BR310&gt;=0,BR309&lt;0,MIN($BR$2:BR310)&lt;0),1,0)</f>
        <v>0</v>
      </c>
      <c r="BV310">
        <f>Расчёты!AZ310+K310+N310-P310*N('Исходные данные'!$B$50)</f>
        <v>0</v>
      </c>
      <c r="BW310">
        <f t="shared" si="156"/>
        <v>0</v>
      </c>
      <c r="BX310">
        <f>IF(AND(BW310&gt;=0,BW309&lt;0,MIN($BW$2:BW310)&lt;0),1,0)</f>
        <v>0</v>
      </c>
      <c r="BY310">
        <f>Расчёты!AZ310+AH310+AK310-AM310*N('Исходные данные'!$B$50)</f>
        <v>0</v>
      </c>
      <c r="BZ310">
        <f t="shared" si="157"/>
        <v>0</v>
      </c>
      <c r="CA310">
        <f>IF(AND(BZ310&gt;=0,BZ309&lt;0,MIN($BZ$2:BZ310)&lt;0),1,0)</f>
        <v>0</v>
      </c>
      <c r="CB310">
        <f>Расчёты!AZ310+BE310+BH310-BJ310*N('Исходные данные'!$B$50)</f>
        <v>0</v>
      </c>
      <c r="CC310">
        <f t="shared" si="158"/>
        <v>0</v>
      </c>
      <c r="CD310">
        <f>IF(AND(CC310&gt;=0,CC309&lt;0,MIN($CC$2:CC310)&lt;0),1,0)</f>
        <v>0</v>
      </c>
    </row>
    <row r="311" spans="1:82" x14ac:dyDescent="0.2">
      <c r="A311">
        <f>Расчёты!A311</f>
        <v>310</v>
      </c>
      <c r="B311" t="str">
        <f>Расчёты!B311</f>
        <v/>
      </c>
      <c r="C311" t="str">
        <f>Расчёты!D311</f>
        <v/>
      </c>
      <c r="D311">
        <f>Расчёты!E311</f>
        <v>0</v>
      </c>
      <c r="E311">
        <f>IF(Расчёты!F311=0,0,IF(Расчёты!G311=1,N('Сценарный анализ'!$B$5),IF(Расчёты!G311=2,N('Сценарный анализ'!$B$6),IF(Расчёты!G311=3,N('Сценарный анализ'!$B$7),N('Сценарный анализ'!$B$7)*(1+N('Сценарный анализ'!$B$8))^(Расчёты!G311-3)))))</f>
        <v>0</v>
      </c>
      <c r="F311">
        <f>IF(OR(Расчёты!F311=0,N('Исходные данные'!$B$5)=0,E311=0),0,N('Исходные данные'!$B$5)*E311*IF(AND(B311&lt;='Исходные данные'!$B$30,Расчёты!C311&gt;='Исходные данные'!$B$30),(Расчёты!C311-'Исходные данные'!$B$30+1)/DAY(Расчёты!C311),1))</f>
        <v>0</v>
      </c>
      <c r="G311">
        <f>IF(AND(Расчёты!F311&gt;0,Расчёты!F311&lt;=N('Исходные данные'!$B$37)),-F311,0)</f>
        <v>0</v>
      </c>
      <c r="H311">
        <f>IF(OR(Расчёты!F311=0,Расчёты!F311&lt;=N('Исходные данные'!$B$37)),0,-(F311+G311)*N('Сценарный анализ'!$B$9))</f>
        <v>0</v>
      </c>
      <c r="I311">
        <f t="shared" si="159"/>
        <v>0</v>
      </c>
      <c r="J311">
        <f>IF('Исходные данные'!$B$51="Да",I311*N('Исходные данные'!$B$52),0)</f>
        <v>0</v>
      </c>
      <c r="K311">
        <f t="shared" si="160"/>
        <v>0</v>
      </c>
      <c r="L311">
        <f>I311+(Расчёты!Y311-Расчёты!L311)</f>
        <v>0</v>
      </c>
      <c r="M311">
        <f t="shared" si="147"/>
        <v>0</v>
      </c>
      <c r="N311">
        <f>IF('Исходные данные'!$B$51="Да",-MAX(0,J311+Расчёты!R311+Расчёты!V311-Расчёты!P311-Расчёты!T311-M311),0)</f>
        <v>0</v>
      </c>
      <c r="O311">
        <f>IF('Исходные данные'!$B$51="Да",MAX(0,M311+Расчёты!P311+Расчёты!T311-J311-Расчёты!R311-Расчёты!V311),0)</f>
        <v>0</v>
      </c>
      <c r="P311">
        <f>IF('Исходные данные'!$B$53="Выручка",MAX(0,I311+(Расчёты!Q311-Расчёты!R311)+(Расчёты!U311-Расчёты!V311)),IF('Исходные данные'!$B$53="Прибыль до налога",MAX(0,I311+(Расчёты!Q311-Расчёты!R311)+(Расчёты!U311-Расчёты!V311)+N('Исходные данные'!$B$54)*((Расчёты!O311+Расчёты!P311)+(Расчёты!S311+Расчёты!T311)+Расчёты!W311+Расчёты!X311)+IF('Исходные данные'!$B$55="Да",Расчёты!AG311,0)-N('Исходные данные'!$B$56)/12),IF('Исходные данные'!$B$53="Пользовательская база",MAX(0,N('Исходные данные'!$B$57)/12),0)))</f>
        <v>0</v>
      </c>
      <c r="Q311">
        <f>IF(D311=1,-P311*N('Исходные данные'!$B$50),0)</f>
        <v>0</v>
      </c>
      <c r="R311">
        <f t="shared" si="148"/>
        <v>0</v>
      </c>
      <c r="S311">
        <f>IF(OR(D311&lt;&gt;1,B311="",'Исходные данные'!$B$91="",N('Исходные данные'!$B$80)&lt;=0,'Исходные данные'!$B$88=""),0,IF(AND(YEAR(B311)=YEAR('Исходные данные'!$B$91),MONTH(B311)=MONTH('Исходные данные'!$B$91)),MAX(0,IF('Исходные данные'!$B$88="Последние 12 месяцев",SUMIFS($L$2:$L$194,$B$2:$B$194,"&gt;="&amp;EDATE(B311,-11),$B$2:$B$194,"&lt;="&amp;B311),IF('Исходные данные'!$B$88="Пользовательский NOI",N('Исходные данные'!$B$89),R311))/N('Исходные данные'!$B$80)*(1+N('Исходные данные'!$B$81))),0))</f>
        <v>0</v>
      </c>
      <c r="T311">
        <f>-S311*N('Исходные данные'!$B$73)</f>
        <v>0</v>
      </c>
      <c r="U311">
        <f>IF(S311=0,0,-N('Исходные данные'!$B$87)-IF('Исходные данные'!$B$82="Да",IF('Исходные данные'!$B$84="С выручки",S311,IF('Исходные данные'!$B$84="С прибыли",MAX(0,S311+T311-IF('Исходные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11">
        <f t="shared" si="161"/>
        <v>0</v>
      </c>
      <c r="W311">
        <f>IF(D311=1,Расчёты!AZ311+K311+N311+Q311+V311,0)</f>
        <v>0</v>
      </c>
      <c r="X311" t="str">
        <f t="shared" si="149"/>
        <v/>
      </c>
      <c r="Y311">
        <f>IF(OR(D311=0,'Исходные данные'!$B$9="",'Исходные данные'!$B$90=""),0,W311/(1+'Исходные данные'!$B$90)^((C311-'Исходные данные'!$B$9)/365))</f>
        <v>0</v>
      </c>
      <c r="Z311">
        <f>IF(D311=1,K311+Расчёты!O311+Расчёты!Q311+Расчёты!S311+Расчёты!U311+Расчёты!W311+Расчёты!X311+N311+Q311,0)</f>
        <v>0</v>
      </c>
      <c r="AA311">
        <f>IF(AND(D311=1,X311&gt;=0,X310&lt;0,MIN($X$2:X311)&lt;0),1,0)</f>
        <v>0</v>
      </c>
      <c r="AB311">
        <f>IF(Расчёты!F311=0,0,IF(Расчёты!G311=1,N('Сценарный анализ'!$C$5),IF(Расчёты!G311=2,N('Сценарный анализ'!$C$6),IF(Расчёты!G311=3,N('Сценарный анализ'!$C$7),N('Сценарный анализ'!$C$7)*(1+N('Сценарный анализ'!$C$8))^(Расчёты!G311-3)))))</f>
        <v>0</v>
      </c>
      <c r="AC311">
        <f>IF(OR(Расчёты!F311=0,N('Исходные данные'!$B$5)=0,AB311=0),0,N('Исходные данные'!$B$5)*AB311*IF(AND(B311&lt;='Исходные данные'!$B$30,Расчёты!C311&gt;='Исходные данные'!$B$30),(Расчёты!C311-'Исходные данные'!$B$30+1)/DAY(Расчёты!C311),1))</f>
        <v>0</v>
      </c>
      <c r="AD311">
        <f>IF(AND(Расчёты!F311&gt;0,Расчёты!F311&lt;=N('Исходные данные'!$B$37)),-AC311,0)</f>
        <v>0</v>
      </c>
      <c r="AE311">
        <f>IF(OR(Расчёты!F311=0,Расчёты!F311&lt;=N('Исходные данные'!$B$37)),0,-(AC311+AD311)*N('Сценарный анализ'!$C$9))</f>
        <v>0</v>
      </c>
      <c r="AF311">
        <f t="shared" si="162"/>
        <v>0</v>
      </c>
      <c r="AG311">
        <f>IF('Исходные данные'!$B$51="Да",AF311*N('Исходные данные'!$B$52),0)</f>
        <v>0</v>
      </c>
      <c r="AH311">
        <f t="shared" si="163"/>
        <v>0</v>
      </c>
      <c r="AI311">
        <f>AF311+(Расчёты!Y311-Расчёты!L311)</f>
        <v>0</v>
      </c>
      <c r="AJ311">
        <f t="shared" si="150"/>
        <v>0</v>
      </c>
      <c r="AK311">
        <f>IF('Исходные данные'!$B$51="Да",-MAX(0,AG311+Расчёты!R311+Расчёты!V311-Расчёты!P311-Расчёты!T311-AJ311),0)</f>
        <v>0</v>
      </c>
      <c r="AL311">
        <f>IF('Исходные данные'!$B$51="Да",MAX(0,AJ311+Расчёты!P311+Расчёты!T311-AG311-Расчёты!R311-Расчёты!V311),0)</f>
        <v>0</v>
      </c>
      <c r="AM311">
        <f>IF('Исходные данные'!$B$53="Выручка",MAX(0,AF311+(Расчёты!Q311-Расчёты!R311)+(Расчёты!U311-Расчёты!V311)),IF('Исходные данные'!$B$53="Прибыль до налога",MAX(0,AF311+(Расчёты!Q311-Расчёты!R311)+(Расчёты!U311-Расчёты!V311)+N('Исходные данные'!$B$54)*((Расчёты!O311+Расчёты!P311)+(Расчёты!S311+Расчёты!T311)+Расчёты!W311+Расчёты!X311)+IF('Исходные данные'!$B$55="Да",Расчёты!AG311,0)-N('Исходные данные'!$B$56)/12),IF('Исходные данные'!$B$53="Пользовательская база",MAX(0,N('Исходные данные'!$B$57)/12),0)))</f>
        <v>0</v>
      </c>
      <c r="AN311">
        <f>IF(D311=1,-AM311*N('Исходные данные'!$B$50),0)</f>
        <v>0</v>
      </c>
      <c r="AO311">
        <f t="shared" si="151"/>
        <v>0</v>
      </c>
      <c r="AP311">
        <f>IF(OR(D311&lt;&gt;1,B311="",'Исходные данные'!$B$91="",N('Исходные данные'!$B$80)&lt;=0,'Исходные данные'!$B$88=""),0,IF(AND(YEAR(B311)=YEAR('Исходные данные'!$B$91),MONTH(B311)=MONTH('Исходные данные'!$B$91)),MAX(0,IF('Исходные данные'!$B$88="Последние 12 месяцев",SUMIFS($AI$2:$AI$194,$B$2:$B$194,"&gt;="&amp;EDATE(B311,-11),$B$2:$B$194,"&lt;="&amp;B311),IF('Исходные данные'!$B$88="Пользовательский NOI",N('Исходные данные'!$B$89),AO311))/N('Исходные данные'!$B$80)*(1+N('Исходные данные'!$B$81))),0))</f>
        <v>0</v>
      </c>
      <c r="AQ311">
        <f>-AP311*N('Исходные данные'!$B$73)</f>
        <v>0</v>
      </c>
      <c r="AR311">
        <f>IF(AP311=0,0,-N('Исходные данные'!$B$87)-IF('Исходные данные'!$B$82="Да",IF('Исходные данные'!$B$84="С выручки",AP311,IF('Исходные данные'!$B$84="С прибыли",MAX(0,AP311+AQ311-IF('Исходные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11">
        <f t="shared" si="164"/>
        <v>0</v>
      </c>
      <c r="AT311">
        <f>IF(D311=1,Расчёты!AZ311+AH311+AK311+AN311+AS311,0)</f>
        <v>0</v>
      </c>
      <c r="AU311" t="str">
        <f t="shared" si="152"/>
        <v/>
      </c>
      <c r="AV311">
        <f>IF(OR(D311=0,'Исходные данные'!$B$9="",'Исходные данные'!$B$90=""),0,AT311/(1+'Исходные данные'!$B$90)^((C311-'Исходные данные'!$B$9)/365))</f>
        <v>0</v>
      </c>
      <c r="AW311">
        <f>IF(D311=1,AH311+Расчёты!O311+Расчёты!Q311+Расчёты!S311+Расчёты!U311+Расчёты!W311+Расчёты!X311+AK311+AN311,0)</f>
        <v>0</v>
      </c>
      <c r="AX311">
        <f>IF(AND(D311=1,AU311&gt;=0,AU310&lt;0,MIN($AU$2:AU311)&lt;0),1,0)</f>
        <v>0</v>
      </c>
      <c r="AY311">
        <f>IF(Расчёты!F311=0,0,IF(Расчёты!G311=1,N('Сценарный анализ'!$D$5),IF(Расчёты!G311=2,N('Сценарный анализ'!$D$6),IF(Расчёты!G311=3,N('Сценарный анализ'!$D$7),N('Сценарный анализ'!$D$7)*(1+N('Сценарный анализ'!$D$8))^(Расчёты!G311-3)))))</f>
        <v>0</v>
      </c>
      <c r="AZ311">
        <f>IF(OR(Расчёты!F311=0,N('Исходные данные'!$B$5)=0,AY311=0),0,N('Исходные данные'!$B$5)*AY311*IF(AND(B311&lt;='Исходные данные'!$B$30,Расчёты!C311&gt;='Исходные данные'!$B$30),(Расчёты!C311-'Исходные данные'!$B$30+1)/DAY(Расчёты!C311),1))</f>
        <v>0</v>
      </c>
      <c r="BA311">
        <f>IF(AND(Расчёты!F311&gt;0,Расчёты!F311&lt;=N('Исходные данные'!$B$37)),-AZ311,0)</f>
        <v>0</v>
      </c>
      <c r="BB311">
        <f>IF(OR(Расчёты!F311=0,Расчёты!F311&lt;=N('Исходные данные'!$B$37)),0,-(AZ311+BA311)*N('Сценарный анализ'!$D$9))</f>
        <v>0</v>
      </c>
      <c r="BC311">
        <f t="shared" si="165"/>
        <v>0</v>
      </c>
      <c r="BD311">
        <f>IF('Исходные данные'!$B$51="Да",BC311*N('Исходные данные'!$B$52),0)</f>
        <v>0</v>
      </c>
      <c r="BE311">
        <f t="shared" si="166"/>
        <v>0</v>
      </c>
      <c r="BF311">
        <f>BC311+(Расчёты!Y311-Расчёты!L311)</f>
        <v>0</v>
      </c>
      <c r="BG311">
        <f t="shared" si="153"/>
        <v>0</v>
      </c>
      <c r="BH311">
        <f>IF('Исходные данные'!$B$51="Да",-MAX(0,BD311+Расчёты!R311+Расчёты!V311-Расчёты!P311-Расчёты!T311-BG311),0)</f>
        <v>0</v>
      </c>
      <c r="BI311">
        <f>IF('Исходные данные'!$B$51="Да",MAX(0,BG311+Расчёты!P311+Расчёты!T311-BD311-Расчёты!R311-Расчёты!V311),0)</f>
        <v>0</v>
      </c>
      <c r="BJ311">
        <f>IF('Исходные данные'!$B$53="Выручка",MAX(0,BC311+(Расчёты!Q311-Расчёты!R311)+(Расчёты!U311-Расчёты!V311)),IF('Исходные данные'!$B$53="Прибыль до налога",MAX(0,BC311+(Расчёты!Q311-Расчёты!R311)+(Расчёты!U311-Расчёты!V311)+N('Исходные данные'!$B$54)*((Расчёты!O311+Расчёты!P311)+(Расчёты!S311+Расчёты!T311)+Расчёты!W311+Расчёты!X311)+IF('Исходные данные'!$B$55="Да",Расчёты!AG311,0)-N('Исходные данные'!$B$56)/12),IF('Исходные данные'!$B$53="Пользовательская база",MAX(0,N('Исходные данные'!$B$57)/12),0)))</f>
        <v>0</v>
      </c>
      <c r="BK311">
        <f>IF(D311=1,-BJ311*N('Исходные данные'!$B$50),0)</f>
        <v>0</v>
      </c>
      <c r="BL311">
        <f t="shared" si="154"/>
        <v>0</v>
      </c>
      <c r="BM311">
        <f>IF(OR(D311&lt;&gt;1,B311="",'Исходные данные'!$B$91="",N('Исходные данные'!$B$80)&lt;=0,'Исходные данные'!$B$88=""),0,IF(AND(YEAR(B311)=YEAR('Исходные данные'!$B$91),MONTH(B311)=MONTH('Исходные данные'!$B$91)),MAX(0,IF('Исходные данные'!$B$88="Последние 12 месяцев",SUMIFS($BF$2:$BF$194,$B$2:$B$194,"&gt;="&amp;EDATE(B311,-11),$B$2:$B$194,"&lt;="&amp;B311),IF('Исходные данные'!$B$88="Пользовательский NOI",N('Исходные данные'!$B$89),BL311))/N('Исходные данные'!$B$80)*(1+N('Исходные данные'!$B$81))),0))</f>
        <v>0</v>
      </c>
      <c r="BN311">
        <f>-BM311*N('Исходные данные'!$B$73)</f>
        <v>0</v>
      </c>
      <c r="BO311">
        <f>IF(BM311=0,0,-N('Исходные данные'!$B$87)-IF('Исходные данные'!$B$82="Да",IF('Исходные данные'!$B$84="С выручки",BM311,IF('Исходные данные'!$B$84="С прибыли",MAX(0,BM311+BN311-IF('Исходные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11">
        <f t="shared" si="167"/>
        <v>0</v>
      </c>
      <c r="BQ311">
        <f>IF(D311=1,Расчёты!AZ311+BE311+BH311+BK311+BP311,0)</f>
        <v>0</v>
      </c>
      <c r="BR311" t="str">
        <f t="shared" si="155"/>
        <v/>
      </c>
      <c r="BS311">
        <f>IF(OR(D311=0,'Исходные данные'!$B$9="",'Исходные данные'!$B$90=""),0,BQ311/(1+'Исходные данные'!$B$90)^((C311-'Исходные данные'!$B$9)/365))</f>
        <v>0</v>
      </c>
      <c r="BT311">
        <f>IF(D311=1,BE311+Расчёты!O311+Расчёты!Q311+Расчёты!S311+Расчёты!U311+Расчёты!W311+Расчёты!X311+BH311+BK311,0)</f>
        <v>0</v>
      </c>
      <c r="BU311">
        <f>IF(AND(D311=1,BR311&gt;=0,BR310&lt;0,MIN($BR$2:BR311)&lt;0),1,0)</f>
        <v>0</v>
      </c>
      <c r="BV311">
        <f>Расчёты!AZ311+K311+N311-P311*N('Исходные данные'!$B$50)</f>
        <v>0</v>
      </c>
      <c r="BW311">
        <f t="shared" si="156"/>
        <v>0</v>
      </c>
      <c r="BX311">
        <f>IF(AND(BW311&gt;=0,BW310&lt;0,MIN($BW$2:BW311)&lt;0),1,0)</f>
        <v>0</v>
      </c>
      <c r="BY311">
        <f>Расчёты!AZ311+AH311+AK311-AM311*N('Исходные данные'!$B$50)</f>
        <v>0</v>
      </c>
      <c r="BZ311">
        <f t="shared" si="157"/>
        <v>0</v>
      </c>
      <c r="CA311">
        <f>IF(AND(BZ311&gt;=0,BZ310&lt;0,MIN($BZ$2:BZ311)&lt;0),1,0)</f>
        <v>0</v>
      </c>
      <c r="CB311">
        <f>Расчёты!AZ311+BE311+BH311-BJ311*N('Исходные данные'!$B$50)</f>
        <v>0</v>
      </c>
      <c r="CC311">
        <f t="shared" si="158"/>
        <v>0</v>
      </c>
      <c r="CD311">
        <f>IF(AND(CC311&gt;=0,CC310&lt;0,MIN($CC$2:CC311)&lt;0),1,0)</f>
        <v>0</v>
      </c>
    </row>
    <row r="312" spans="1:82" x14ac:dyDescent="0.2">
      <c r="A312">
        <f>Расчёты!A312</f>
        <v>311</v>
      </c>
      <c r="B312" t="str">
        <f>Расчёты!B312</f>
        <v/>
      </c>
      <c r="C312" t="str">
        <f>Расчёты!D312</f>
        <v/>
      </c>
      <c r="D312">
        <f>Расчёты!E312</f>
        <v>0</v>
      </c>
      <c r="E312">
        <f>IF(Расчёты!F312=0,0,IF(Расчёты!G312=1,N('Сценарный анализ'!$B$5),IF(Расчёты!G312=2,N('Сценарный анализ'!$B$6),IF(Расчёты!G312=3,N('Сценарный анализ'!$B$7),N('Сценарный анализ'!$B$7)*(1+N('Сценарный анализ'!$B$8))^(Расчёты!G312-3)))))</f>
        <v>0</v>
      </c>
      <c r="F312">
        <f>IF(OR(Расчёты!F312=0,N('Исходные данные'!$B$5)=0,E312=0),0,N('Исходные данные'!$B$5)*E312*IF(AND(B312&lt;='Исходные данные'!$B$30,Расчёты!C312&gt;='Исходные данные'!$B$30),(Расчёты!C312-'Исходные данные'!$B$30+1)/DAY(Расчёты!C312),1))</f>
        <v>0</v>
      </c>
      <c r="G312">
        <f>IF(AND(Расчёты!F312&gt;0,Расчёты!F312&lt;=N('Исходные данные'!$B$37)),-F312,0)</f>
        <v>0</v>
      </c>
      <c r="H312">
        <f>IF(OR(Расчёты!F312=0,Расчёты!F312&lt;=N('Исходные данные'!$B$37)),0,-(F312+G312)*N('Сценарный анализ'!$B$9))</f>
        <v>0</v>
      </c>
      <c r="I312">
        <f t="shared" si="159"/>
        <v>0</v>
      </c>
      <c r="J312">
        <f>IF('Исходные данные'!$B$51="Да",I312*N('Исходные данные'!$B$52),0)</f>
        <v>0</v>
      </c>
      <c r="K312">
        <f t="shared" si="160"/>
        <v>0</v>
      </c>
      <c r="L312">
        <f>I312+(Расчёты!Y312-Расчёты!L312)</f>
        <v>0</v>
      </c>
      <c r="M312">
        <f t="shared" si="147"/>
        <v>0</v>
      </c>
      <c r="N312">
        <f>IF('Исходные данные'!$B$51="Да",-MAX(0,J312+Расчёты!R312+Расчёты!V312-Расчёты!P312-Расчёты!T312-M312),0)</f>
        <v>0</v>
      </c>
      <c r="O312">
        <f>IF('Исходные данные'!$B$51="Да",MAX(0,M312+Расчёты!P312+Расчёты!T312-J312-Расчёты!R312-Расчёты!V312),0)</f>
        <v>0</v>
      </c>
      <c r="P312">
        <f>IF('Исходные данные'!$B$53="Выручка",MAX(0,I312+(Расчёты!Q312-Расчёты!R312)+(Расчёты!U312-Расчёты!V312)),IF('Исходные данные'!$B$53="Прибыль до налога",MAX(0,I312+(Расчёты!Q312-Расчёты!R312)+(Расчёты!U312-Расчёты!V312)+N('Исходные данные'!$B$54)*((Расчёты!O312+Расчёты!P312)+(Расчёты!S312+Расчёты!T312)+Расчёты!W312+Расчёты!X312)+IF('Исходные данные'!$B$55="Да",Расчёты!AG312,0)-N('Исходные данные'!$B$56)/12),IF('Исходные данные'!$B$53="Пользовательская база",MAX(0,N('Исходные данные'!$B$57)/12),0)))</f>
        <v>0</v>
      </c>
      <c r="Q312">
        <f>IF(D312=1,-P312*N('Исходные данные'!$B$50),0)</f>
        <v>0</v>
      </c>
      <c r="R312">
        <f t="shared" si="148"/>
        <v>0</v>
      </c>
      <c r="S312">
        <f>IF(OR(D312&lt;&gt;1,B312="",'Исходные данные'!$B$91="",N('Исходные данные'!$B$80)&lt;=0,'Исходные данные'!$B$88=""),0,IF(AND(YEAR(B312)=YEAR('Исходные данные'!$B$91),MONTH(B312)=MONTH('Исходные данные'!$B$91)),MAX(0,IF('Исходные данные'!$B$88="Последние 12 месяцев",SUMIFS($L$2:$L$194,$B$2:$B$194,"&gt;="&amp;EDATE(B312,-11),$B$2:$B$194,"&lt;="&amp;B312),IF('Исходные данные'!$B$88="Пользовательский NOI",N('Исходные данные'!$B$89),R312))/N('Исходные данные'!$B$80)*(1+N('Исходные данные'!$B$81))),0))</f>
        <v>0</v>
      </c>
      <c r="T312">
        <f>-S312*N('Исходные данные'!$B$73)</f>
        <v>0</v>
      </c>
      <c r="U312">
        <f>IF(S312=0,0,-N('Исходные данные'!$B$87)-IF('Исходные данные'!$B$82="Да",IF('Исходные данные'!$B$84="С выручки",S312,IF('Исходные данные'!$B$84="С прибыли",MAX(0,S312+T312-IF('Исходные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12">
        <f t="shared" si="161"/>
        <v>0</v>
      </c>
      <c r="W312">
        <f>IF(D312=1,Расчёты!AZ312+K312+N312+Q312+V312,0)</f>
        <v>0</v>
      </c>
      <c r="X312" t="str">
        <f t="shared" si="149"/>
        <v/>
      </c>
      <c r="Y312">
        <f>IF(OR(D312=0,'Исходные данные'!$B$9="",'Исходные данные'!$B$90=""),0,W312/(1+'Исходные данные'!$B$90)^((C312-'Исходные данные'!$B$9)/365))</f>
        <v>0</v>
      </c>
      <c r="Z312">
        <f>IF(D312=1,K312+Расчёты!O312+Расчёты!Q312+Расчёты!S312+Расчёты!U312+Расчёты!W312+Расчёты!X312+N312+Q312,0)</f>
        <v>0</v>
      </c>
      <c r="AA312">
        <f>IF(AND(D312=1,X312&gt;=0,X311&lt;0,MIN($X$2:X312)&lt;0),1,0)</f>
        <v>0</v>
      </c>
      <c r="AB312">
        <f>IF(Расчёты!F312=0,0,IF(Расчёты!G312=1,N('Сценарный анализ'!$C$5),IF(Расчёты!G312=2,N('Сценарный анализ'!$C$6),IF(Расчёты!G312=3,N('Сценарный анализ'!$C$7),N('Сценарный анализ'!$C$7)*(1+N('Сценарный анализ'!$C$8))^(Расчёты!G312-3)))))</f>
        <v>0</v>
      </c>
      <c r="AC312">
        <f>IF(OR(Расчёты!F312=0,N('Исходные данные'!$B$5)=0,AB312=0),0,N('Исходные данные'!$B$5)*AB312*IF(AND(B312&lt;='Исходные данные'!$B$30,Расчёты!C312&gt;='Исходные данные'!$B$30),(Расчёты!C312-'Исходные данные'!$B$30+1)/DAY(Расчёты!C312),1))</f>
        <v>0</v>
      </c>
      <c r="AD312">
        <f>IF(AND(Расчёты!F312&gt;0,Расчёты!F312&lt;=N('Исходные данные'!$B$37)),-AC312,0)</f>
        <v>0</v>
      </c>
      <c r="AE312">
        <f>IF(OR(Расчёты!F312=0,Расчёты!F312&lt;=N('Исходные данные'!$B$37)),0,-(AC312+AD312)*N('Сценарный анализ'!$C$9))</f>
        <v>0</v>
      </c>
      <c r="AF312">
        <f t="shared" si="162"/>
        <v>0</v>
      </c>
      <c r="AG312">
        <f>IF('Исходные данные'!$B$51="Да",AF312*N('Исходные данные'!$B$52),0)</f>
        <v>0</v>
      </c>
      <c r="AH312">
        <f t="shared" si="163"/>
        <v>0</v>
      </c>
      <c r="AI312">
        <f>AF312+(Расчёты!Y312-Расчёты!L312)</f>
        <v>0</v>
      </c>
      <c r="AJ312">
        <f t="shared" si="150"/>
        <v>0</v>
      </c>
      <c r="AK312">
        <f>IF('Исходные данные'!$B$51="Да",-MAX(0,AG312+Расчёты!R312+Расчёты!V312-Расчёты!P312-Расчёты!T312-AJ312),0)</f>
        <v>0</v>
      </c>
      <c r="AL312">
        <f>IF('Исходные данные'!$B$51="Да",MAX(0,AJ312+Расчёты!P312+Расчёты!T312-AG312-Расчёты!R312-Расчёты!V312),0)</f>
        <v>0</v>
      </c>
      <c r="AM312">
        <f>IF('Исходные данные'!$B$53="Выручка",MAX(0,AF312+(Расчёты!Q312-Расчёты!R312)+(Расчёты!U312-Расчёты!V312)),IF('Исходные данные'!$B$53="Прибыль до налога",MAX(0,AF312+(Расчёты!Q312-Расчёты!R312)+(Расчёты!U312-Расчёты!V312)+N('Исходные данные'!$B$54)*((Расчёты!O312+Расчёты!P312)+(Расчёты!S312+Расчёты!T312)+Расчёты!W312+Расчёты!X312)+IF('Исходные данные'!$B$55="Да",Расчёты!AG312,0)-N('Исходные данные'!$B$56)/12),IF('Исходные данные'!$B$53="Пользовательская база",MAX(0,N('Исходные данные'!$B$57)/12),0)))</f>
        <v>0</v>
      </c>
      <c r="AN312">
        <f>IF(D312=1,-AM312*N('Исходные данные'!$B$50),0)</f>
        <v>0</v>
      </c>
      <c r="AO312">
        <f t="shared" si="151"/>
        <v>0</v>
      </c>
      <c r="AP312">
        <f>IF(OR(D312&lt;&gt;1,B312="",'Исходные данные'!$B$91="",N('Исходные данные'!$B$80)&lt;=0,'Исходные данные'!$B$88=""),0,IF(AND(YEAR(B312)=YEAR('Исходные данные'!$B$91),MONTH(B312)=MONTH('Исходные данные'!$B$91)),MAX(0,IF('Исходные данные'!$B$88="Последние 12 месяцев",SUMIFS($AI$2:$AI$194,$B$2:$B$194,"&gt;="&amp;EDATE(B312,-11),$B$2:$B$194,"&lt;="&amp;B312),IF('Исходные данные'!$B$88="Пользовательский NOI",N('Исходные данные'!$B$89),AO312))/N('Исходные данные'!$B$80)*(1+N('Исходные данные'!$B$81))),0))</f>
        <v>0</v>
      </c>
      <c r="AQ312">
        <f>-AP312*N('Исходные данные'!$B$73)</f>
        <v>0</v>
      </c>
      <c r="AR312">
        <f>IF(AP312=0,0,-N('Исходные данные'!$B$87)-IF('Исходные данные'!$B$82="Да",IF('Исходные данные'!$B$84="С выручки",AP312,IF('Исходные данные'!$B$84="С прибыли",MAX(0,AP312+AQ312-IF('Исходные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12">
        <f t="shared" si="164"/>
        <v>0</v>
      </c>
      <c r="AT312">
        <f>IF(D312=1,Расчёты!AZ312+AH312+AK312+AN312+AS312,0)</f>
        <v>0</v>
      </c>
      <c r="AU312" t="str">
        <f t="shared" si="152"/>
        <v/>
      </c>
      <c r="AV312">
        <f>IF(OR(D312=0,'Исходные данные'!$B$9="",'Исходные данные'!$B$90=""),0,AT312/(1+'Исходные данные'!$B$90)^((C312-'Исходные данные'!$B$9)/365))</f>
        <v>0</v>
      </c>
      <c r="AW312">
        <f>IF(D312=1,AH312+Расчёты!O312+Расчёты!Q312+Расчёты!S312+Расчёты!U312+Расчёты!W312+Расчёты!X312+AK312+AN312,0)</f>
        <v>0</v>
      </c>
      <c r="AX312">
        <f>IF(AND(D312=1,AU312&gt;=0,AU311&lt;0,MIN($AU$2:AU312)&lt;0),1,0)</f>
        <v>0</v>
      </c>
      <c r="AY312">
        <f>IF(Расчёты!F312=0,0,IF(Расчёты!G312=1,N('Сценарный анализ'!$D$5),IF(Расчёты!G312=2,N('Сценарный анализ'!$D$6),IF(Расчёты!G312=3,N('Сценарный анализ'!$D$7),N('Сценарный анализ'!$D$7)*(1+N('Сценарный анализ'!$D$8))^(Расчёты!G312-3)))))</f>
        <v>0</v>
      </c>
      <c r="AZ312">
        <f>IF(OR(Расчёты!F312=0,N('Исходные данные'!$B$5)=0,AY312=0),0,N('Исходные данные'!$B$5)*AY312*IF(AND(B312&lt;='Исходные данные'!$B$30,Расчёты!C312&gt;='Исходные данные'!$B$30),(Расчёты!C312-'Исходные данные'!$B$30+1)/DAY(Расчёты!C312),1))</f>
        <v>0</v>
      </c>
      <c r="BA312">
        <f>IF(AND(Расчёты!F312&gt;0,Расчёты!F312&lt;=N('Исходные данные'!$B$37)),-AZ312,0)</f>
        <v>0</v>
      </c>
      <c r="BB312">
        <f>IF(OR(Расчёты!F312=0,Расчёты!F312&lt;=N('Исходные данные'!$B$37)),0,-(AZ312+BA312)*N('Сценарный анализ'!$D$9))</f>
        <v>0</v>
      </c>
      <c r="BC312">
        <f t="shared" si="165"/>
        <v>0</v>
      </c>
      <c r="BD312">
        <f>IF('Исходные данные'!$B$51="Да",BC312*N('Исходные данные'!$B$52),0)</f>
        <v>0</v>
      </c>
      <c r="BE312">
        <f t="shared" si="166"/>
        <v>0</v>
      </c>
      <c r="BF312">
        <f>BC312+(Расчёты!Y312-Расчёты!L312)</f>
        <v>0</v>
      </c>
      <c r="BG312">
        <f t="shared" si="153"/>
        <v>0</v>
      </c>
      <c r="BH312">
        <f>IF('Исходные данные'!$B$51="Да",-MAX(0,BD312+Расчёты!R312+Расчёты!V312-Расчёты!P312-Расчёты!T312-BG312),0)</f>
        <v>0</v>
      </c>
      <c r="BI312">
        <f>IF('Исходные данные'!$B$51="Да",MAX(0,BG312+Расчёты!P312+Расчёты!T312-BD312-Расчёты!R312-Расчёты!V312),0)</f>
        <v>0</v>
      </c>
      <c r="BJ312">
        <f>IF('Исходные данные'!$B$53="Выручка",MAX(0,BC312+(Расчёты!Q312-Расчёты!R312)+(Расчёты!U312-Расчёты!V312)),IF('Исходные данные'!$B$53="Прибыль до налога",MAX(0,BC312+(Расчёты!Q312-Расчёты!R312)+(Расчёты!U312-Расчёты!V312)+N('Исходные данные'!$B$54)*((Расчёты!O312+Расчёты!P312)+(Расчёты!S312+Расчёты!T312)+Расчёты!W312+Расчёты!X312)+IF('Исходные данные'!$B$55="Да",Расчёты!AG312,0)-N('Исходные данные'!$B$56)/12),IF('Исходные данные'!$B$53="Пользовательская база",MAX(0,N('Исходные данные'!$B$57)/12),0)))</f>
        <v>0</v>
      </c>
      <c r="BK312">
        <f>IF(D312=1,-BJ312*N('Исходные данные'!$B$50),0)</f>
        <v>0</v>
      </c>
      <c r="BL312">
        <f t="shared" si="154"/>
        <v>0</v>
      </c>
      <c r="BM312">
        <f>IF(OR(D312&lt;&gt;1,B312="",'Исходные данные'!$B$91="",N('Исходные данные'!$B$80)&lt;=0,'Исходные данные'!$B$88=""),0,IF(AND(YEAR(B312)=YEAR('Исходные данные'!$B$91),MONTH(B312)=MONTH('Исходные данные'!$B$91)),MAX(0,IF('Исходные данные'!$B$88="Последние 12 месяцев",SUMIFS($BF$2:$BF$194,$B$2:$B$194,"&gt;="&amp;EDATE(B312,-11),$B$2:$B$194,"&lt;="&amp;B312),IF('Исходные данные'!$B$88="Пользовательский NOI",N('Исходные данные'!$B$89),BL312))/N('Исходные данные'!$B$80)*(1+N('Исходные данные'!$B$81))),0))</f>
        <v>0</v>
      </c>
      <c r="BN312">
        <f>-BM312*N('Исходные данные'!$B$73)</f>
        <v>0</v>
      </c>
      <c r="BO312">
        <f>IF(BM312=0,0,-N('Исходные данные'!$B$87)-IF('Исходные данные'!$B$82="Да",IF('Исходные данные'!$B$84="С выручки",BM312,IF('Исходные данные'!$B$84="С прибыли",MAX(0,BM312+BN312-IF('Исходные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12">
        <f t="shared" si="167"/>
        <v>0</v>
      </c>
      <c r="BQ312">
        <f>IF(D312=1,Расчёты!AZ312+BE312+BH312+BK312+BP312,0)</f>
        <v>0</v>
      </c>
      <c r="BR312" t="str">
        <f t="shared" si="155"/>
        <v/>
      </c>
      <c r="BS312">
        <f>IF(OR(D312=0,'Исходные данные'!$B$9="",'Исходные данные'!$B$90=""),0,BQ312/(1+'Исходные данные'!$B$90)^((C312-'Исходные данные'!$B$9)/365))</f>
        <v>0</v>
      </c>
      <c r="BT312">
        <f>IF(D312=1,BE312+Расчёты!O312+Расчёты!Q312+Расчёты!S312+Расчёты!U312+Расчёты!W312+Расчёты!X312+BH312+BK312,0)</f>
        <v>0</v>
      </c>
      <c r="BU312">
        <f>IF(AND(D312=1,BR312&gt;=0,BR311&lt;0,MIN($BR$2:BR312)&lt;0),1,0)</f>
        <v>0</v>
      </c>
      <c r="BV312">
        <f>Расчёты!AZ312+K312+N312-P312*N('Исходные данные'!$B$50)</f>
        <v>0</v>
      </c>
      <c r="BW312">
        <f t="shared" si="156"/>
        <v>0</v>
      </c>
      <c r="BX312">
        <f>IF(AND(BW312&gt;=0,BW311&lt;0,MIN($BW$2:BW312)&lt;0),1,0)</f>
        <v>0</v>
      </c>
      <c r="BY312">
        <f>Расчёты!AZ312+AH312+AK312-AM312*N('Исходные данные'!$B$50)</f>
        <v>0</v>
      </c>
      <c r="BZ312">
        <f t="shared" si="157"/>
        <v>0</v>
      </c>
      <c r="CA312">
        <f>IF(AND(BZ312&gt;=0,BZ311&lt;0,MIN($BZ$2:BZ312)&lt;0),1,0)</f>
        <v>0</v>
      </c>
      <c r="CB312">
        <f>Расчёты!AZ312+BE312+BH312-BJ312*N('Исходные данные'!$B$50)</f>
        <v>0</v>
      </c>
      <c r="CC312">
        <f t="shared" si="158"/>
        <v>0</v>
      </c>
      <c r="CD312">
        <f>IF(AND(CC312&gt;=0,CC311&lt;0,MIN($CC$2:CC312)&lt;0),1,0)</f>
        <v>0</v>
      </c>
    </row>
    <row r="313" spans="1:82" x14ac:dyDescent="0.2">
      <c r="A313">
        <f>Расчёты!A313</f>
        <v>312</v>
      </c>
      <c r="B313" t="str">
        <f>Расчёты!B313</f>
        <v/>
      </c>
      <c r="C313" t="str">
        <f>Расчёты!D313</f>
        <v/>
      </c>
      <c r="D313">
        <f>Расчёты!E313</f>
        <v>0</v>
      </c>
      <c r="E313">
        <f>IF(Расчёты!F313=0,0,IF(Расчёты!G313=1,N('Сценарный анализ'!$B$5),IF(Расчёты!G313=2,N('Сценарный анализ'!$B$6),IF(Расчёты!G313=3,N('Сценарный анализ'!$B$7),N('Сценарный анализ'!$B$7)*(1+N('Сценарный анализ'!$B$8))^(Расчёты!G313-3)))))</f>
        <v>0</v>
      </c>
      <c r="F313">
        <f>IF(OR(Расчёты!F313=0,N('Исходные данные'!$B$5)=0,E313=0),0,N('Исходные данные'!$B$5)*E313*IF(AND(B313&lt;='Исходные данные'!$B$30,Расчёты!C313&gt;='Исходные данные'!$B$30),(Расчёты!C313-'Исходные данные'!$B$30+1)/DAY(Расчёты!C313),1))</f>
        <v>0</v>
      </c>
      <c r="G313">
        <f>IF(AND(Расчёты!F313&gt;0,Расчёты!F313&lt;=N('Исходные данные'!$B$37)),-F313,0)</f>
        <v>0</v>
      </c>
      <c r="H313">
        <f>IF(OR(Расчёты!F313=0,Расчёты!F313&lt;=N('Исходные данные'!$B$37)),0,-(F313+G313)*N('Сценарный анализ'!$B$9))</f>
        <v>0</v>
      </c>
      <c r="I313">
        <f t="shared" si="159"/>
        <v>0</v>
      </c>
      <c r="J313">
        <f>IF('Исходные данные'!$B$51="Да",I313*N('Исходные данные'!$B$52),0)</f>
        <v>0</v>
      </c>
      <c r="K313">
        <f t="shared" si="160"/>
        <v>0</v>
      </c>
      <c r="L313">
        <f>I313+(Расчёты!Y313-Расчёты!L313)</f>
        <v>0</v>
      </c>
      <c r="M313">
        <f t="shared" si="147"/>
        <v>0</v>
      </c>
      <c r="N313">
        <f>IF('Исходные данные'!$B$51="Да",-MAX(0,J313+Расчёты!R313+Расчёты!V313-Расчёты!P313-Расчёты!T313-M313),0)</f>
        <v>0</v>
      </c>
      <c r="O313">
        <f>IF('Исходные данные'!$B$51="Да",MAX(0,M313+Расчёты!P313+Расчёты!T313-J313-Расчёты!R313-Расчёты!V313),0)</f>
        <v>0</v>
      </c>
      <c r="P313">
        <f>IF('Исходные данные'!$B$53="Выручка",MAX(0,I313+(Расчёты!Q313-Расчёты!R313)+(Расчёты!U313-Расчёты!V313)),IF('Исходные данные'!$B$53="Прибыль до налога",MAX(0,I313+(Расчёты!Q313-Расчёты!R313)+(Расчёты!U313-Расчёты!V313)+N('Исходные данные'!$B$54)*((Расчёты!O313+Расчёты!P313)+(Расчёты!S313+Расчёты!T313)+Расчёты!W313+Расчёты!X313)+IF('Исходные данные'!$B$55="Да",Расчёты!AG313,0)-N('Исходные данные'!$B$56)/12),IF('Исходные данные'!$B$53="Пользовательская база",MAX(0,N('Исходные данные'!$B$57)/12),0)))</f>
        <v>0</v>
      </c>
      <c r="Q313">
        <f>IF(D313=1,-P313*N('Исходные данные'!$B$50),0)</f>
        <v>0</v>
      </c>
      <c r="R313">
        <f t="shared" si="148"/>
        <v>0</v>
      </c>
      <c r="S313">
        <f>IF(OR(D313&lt;&gt;1,B313="",'Исходные данные'!$B$91="",N('Исходные данные'!$B$80)&lt;=0,'Исходные данные'!$B$88=""),0,IF(AND(YEAR(B313)=YEAR('Исходные данные'!$B$91),MONTH(B313)=MONTH('Исходные данные'!$B$91)),MAX(0,IF('Исходные данные'!$B$88="Последние 12 месяцев",SUMIFS($L$2:$L$194,$B$2:$B$194,"&gt;="&amp;EDATE(B313,-11),$B$2:$B$194,"&lt;="&amp;B313),IF('Исходные данные'!$B$88="Пользовательский NOI",N('Исходные данные'!$B$89),R313))/N('Исходные данные'!$B$80)*(1+N('Исходные данные'!$B$81))),0))</f>
        <v>0</v>
      </c>
      <c r="T313">
        <f>-S313*N('Исходные данные'!$B$73)</f>
        <v>0</v>
      </c>
      <c r="U313">
        <f>IF(S313=0,0,-N('Исходные данные'!$B$87)-IF('Исходные данные'!$B$82="Да",IF('Исходные данные'!$B$84="С выручки",S313,IF('Исходные данные'!$B$84="С прибыли",MAX(0,S313+T313-IF('Исходные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13">
        <f t="shared" si="161"/>
        <v>0</v>
      </c>
      <c r="W313">
        <f>IF(D313=1,Расчёты!AZ313+K313+N313+Q313+V313,0)</f>
        <v>0</v>
      </c>
      <c r="X313" t="str">
        <f t="shared" si="149"/>
        <v/>
      </c>
      <c r="Y313">
        <f>IF(OR(D313=0,'Исходные данные'!$B$9="",'Исходные данные'!$B$90=""),0,W313/(1+'Исходные данные'!$B$90)^((C313-'Исходные данные'!$B$9)/365))</f>
        <v>0</v>
      </c>
      <c r="Z313">
        <f>IF(D313=1,K313+Расчёты!O313+Расчёты!Q313+Расчёты!S313+Расчёты!U313+Расчёты!W313+Расчёты!X313+N313+Q313,0)</f>
        <v>0</v>
      </c>
      <c r="AA313">
        <f>IF(AND(D313=1,X313&gt;=0,X312&lt;0,MIN($X$2:X313)&lt;0),1,0)</f>
        <v>0</v>
      </c>
      <c r="AB313">
        <f>IF(Расчёты!F313=0,0,IF(Расчёты!G313=1,N('Сценарный анализ'!$C$5),IF(Расчёты!G313=2,N('Сценарный анализ'!$C$6),IF(Расчёты!G313=3,N('Сценарный анализ'!$C$7),N('Сценарный анализ'!$C$7)*(1+N('Сценарный анализ'!$C$8))^(Расчёты!G313-3)))))</f>
        <v>0</v>
      </c>
      <c r="AC313">
        <f>IF(OR(Расчёты!F313=0,N('Исходные данные'!$B$5)=0,AB313=0),0,N('Исходные данные'!$B$5)*AB313*IF(AND(B313&lt;='Исходные данные'!$B$30,Расчёты!C313&gt;='Исходные данные'!$B$30),(Расчёты!C313-'Исходные данные'!$B$30+1)/DAY(Расчёты!C313),1))</f>
        <v>0</v>
      </c>
      <c r="AD313">
        <f>IF(AND(Расчёты!F313&gt;0,Расчёты!F313&lt;=N('Исходные данные'!$B$37)),-AC313,0)</f>
        <v>0</v>
      </c>
      <c r="AE313">
        <f>IF(OR(Расчёты!F313=0,Расчёты!F313&lt;=N('Исходные данные'!$B$37)),0,-(AC313+AD313)*N('Сценарный анализ'!$C$9))</f>
        <v>0</v>
      </c>
      <c r="AF313">
        <f t="shared" si="162"/>
        <v>0</v>
      </c>
      <c r="AG313">
        <f>IF('Исходные данные'!$B$51="Да",AF313*N('Исходные данные'!$B$52),0)</f>
        <v>0</v>
      </c>
      <c r="AH313">
        <f t="shared" si="163"/>
        <v>0</v>
      </c>
      <c r="AI313">
        <f>AF313+(Расчёты!Y313-Расчёты!L313)</f>
        <v>0</v>
      </c>
      <c r="AJ313">
        <f t="shared" si="150"/>
        <v>0</v>
      </c>
      <c r="AK313">
        <f>IF('Исходные данные'!$B$51="Да",-MAX(0,AG313+Расчёты!R313+Расчёты!V313-Расчёты!P313-Расчёты!T313-AJ313),0)</f>
        <v>0</v>
      </c>
      <c r="AL313">
        <f>IF('Исходные данные'!$B$51="Да",MAX(0,AJ313+Расчёты!P313+Расчёты!T313-AG313-Расчёты!R313-Расчёты!V313),0)</f>
        <v>0</v>
      </c>
      <c r="AM313">
        <f>IF('Исходные данные'!$B$53="Выручка",MAX(0,AF313+(Расчёты!Q313-Расчёты!R313)+(Расчёты!U313-Расчёты!V313)),IF('Исходные данные'!$B$53="Прибыль до налога",MAX(0,AF313+(Расчёты!Q313-Расчёты!R313)+(Расчёты!U313-Расчёты!V313)+N('Исходные данные'!$B$54)*((Расчёты!O313+Расчёты!P313)+(Расчёты!S313+Расчёты!T313)+Расчёты!W313+Расчёты!X313)+IF('Исходные данные'!$B$55="Да",Расчёты!AG313,0)-N('Исходные данные'!$B$56)/12),IF('Исходные данные'!$B$53="Пользовательская база",MAX(0,N('Исходные данные'!$B$57)/12),0)))</f>
        <v>0</v>
      </c>
      <c r="AN313">
        <f>IF(D313=1,-AM313*N('Исходные данные'!$B$50),0)</f>
        <v>0</v>
      </c>
      <c r="AO313">
        <f t="shared" si="151"/>
        <v>0</v>
      </c>
      <c r="AP313">
        <f>IF(OR(D313&lt;&gt;1,B313="",'Исходные данные'!$B$91="",N('Исходные данные'!$B$80)&lt;=0,'Исходные данные'!$B$88=""),0,IF(AND(YEAR(B313)=YEAR('Исходные данные'!$B$91),MONTH(B313)=MONTH('Исходные данные'!$B$91)),MAX(0,IF('Исходные данные'!$B$88="Последние 12 месяцев",SUMIFS($AI$2:$AI$194,$B$2:$B$194,"&gt;="&amp;EDATE(B313,-11),$B$2:$B$194,"&lt;="&amp;B313),IF('Исходные данные'!$B$88="Пользовательский NOI",N('Исходные данные'!$B$89),AO313))/N('Исходные данные'!$B$80)*(1+N('Исходные данные'!$B$81))),0))</f>
        <v>0</v>
      </c>
      <c r="AQ313">
        <f>-AP313*N('Исходные данные'!$B$73)</f>
        <v>0</v>
      </c>
      <c r="AR313">
        <f>IF(AP313=0,0,-N('Исходные данные'!$B$87)-IF('Исходные данные'!$B$82="Да",IF('Исходные данные'!$B$84="С выручки",AP313,IF('Исходные данные'!$B$84="С прибыли",MAX(0,AP313+AQ313-IF('Исходные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13">
        <f t="shared" si="164"/>
        <v>0</v>
      </c>
      <c r="AT313">
        <f>IF(D313=1,Расчёты!AZ313+AH313+AK313+AN313+AS313,0)</f>
        <v>0</v>
      </c>
      <c r="AU313" t="str">
        <f t="shared" si="152"/>
        <v/>
      </c>
      <c r="AV313">
        <f>IF(OR(D313=0,'Исходные данные'!$B$9="",'Исходные данные'!$B$90=""),0,AT313/(1+'Исходные данные'!$B$90)^((C313-'Исходные данные'!$B$9)/365))</f>
        <v>0</v>
      </c>
      <c r="AW313">
        <f>IF(D313=1,AH313+Расчёты!O313+Расчёты!Q313+Расчёты!S313+Расчёты!U313+Расчёты!W313+Расчёты!X313+AK313+AN313,0)</f>
        <v>0</v>
      </c>
      <c r="AX313">
        <f>IF(AND(D313=1,AU313&gt;=0,AU312&lt;0,MIN($AU$2:AU313)&lt;0),1,0)</f>
        <v>0</v>
      </c>
      <c r="AY313">
        <f>IF(Расчёты!F313=0,0,IF(Расчёты!G313=1,N('Сценарный анализ'!$D$5),IF(Расчёты!G313=2,N('Сценарный анализ'!$D$6),IF(Расчёты!G313=3,N('Сценарный анализ'!$D$7),N('Сценарный анализ'!$D$7)*(1+N('Сценарный анализ'!$D$8))^(Расчёты!G313-3)))))</f>
        <v>0</v>
      </c>
      <c r="AZ313">
        <f>IF(OR(Расчёты!F313=0,N('Исходные данные'!$B$5)=0,AY313=0),0,N('Исходные данные'!$B$5)*AY313*IF(AND(B313&lt;='Исходные данные'!$B$30,Расчёты!C313&gt;='Исходные данные'!$B$30),(Расчёты!C313-'Исходные данные'!$B$30+1)/DAY(Расчёты!C313),1))</f>
        <v>0</v>
      </c>
      <c r="BA313">
        <f>IF(AND(Расчёты!F313&gt;0,Расчёты!F313&lt;=N('Исходные данные'!$B$37)),-AZ313,0)</f>
        <v>0</v>
      </c>
      <c r="BB313">
        <f>IF(OR(Расчёты!F313=0,Расчёты!F313&lt;=N('Исходные данные'!$B$37)),0,-(AZ313+BA313)*N('Сценарный анализ'!$D$9))</f>
        <v>0</v>
      </c>
      <c r="BC313">
        <f t="shared" si="165"/>
        <v>0</v>
      </c>
      <c r="BD313">
        <f>IF('Исходные данные'!$B$51="Да",BC313*N('Исходные данные'!$B$52),0)</f>
        <v>0</v>
      </c>
      <c r="BE313">
        <f t="shared" si="166"/>
        <v>0</v>
      </c>
      <c r="BF313">
        <f>BC313+(Расчёты!Y313-Расчёты!L313)</f>
        <v>0</v>
      </c>
      <c r="BG313">
        <f t="shared" si="153"/>
        <v>0</v>
      </c>
      <c r="BH313">
        <f>IF('Исходные данные'!$B$51="Да",-MAX(0,BD313+Расчёты!R313+Расчёты!V313-Расчёты!P313-Расчёты!T313-BG313),0)</f>
        <v>0</v>
      </c>
      <c r="BI313">
        <f>IF('Исходные данные'!$B$51="Да",MAX(0,BG313+Расчёты!P313+Расчёты!T313-BD313-Расчёты!R313-Расчёты!V313),0)</f>
        <v>0</v>
      </c>
      <c r="BJ313">
        <f>IF('Исходные данные'!$B$53="Выручка",MAX(0,BC313+(Расчёты!Q313-Расчёты!R313)+(Расчёты!U313-Расчёты!V313)),IF('Исходные данные'!$B$53="Прибыль до налога",MAX(0,BC313+(Расчёты!Q313-Расчёты!R313)+(Расчёты!U313-Расчёты!V313)+N('Исходные данные'!$B$54)*((Расчёты!O313+Расчёты!P313)+(Расчёты!S313+Расчёты!T313)+Расчёты!W313+Расчёты!X313)+IF('Исходные данные'!$B$55="Да",Расчёты!AG313,0)-N('Исходные данные'!$B$56)/12),IF('Исходные данные'!$B$53="Пользовательская база",MAX(0,N('Исходные данные'!$B$57)/12),0)))</f>
        <v>0</v>
      </c>
      <c r="BK313">
        <f>IF(D313=1,-BJ313*N('Исходные данные'!$B$50),0)</f>
        <v>0</v>
      </c>
      <c r="BL313">
        <f t="shared" si="154"/>
        <v>0</v>
      </c>
      <c r="BM313">
        <f>IF(OR(D313&lt;&gt;1,B313="",'Исходные данные'!$B$91="",N('Исходные данные'!$B$80)&lt;=0,'Исходные данные'!$B$88=""),0,IF(AND(YEAR(B313)=YEAR('Исходные данные'!$B$91),MONTH(B313)=MONTH('Исходные данные'!$B$91)),MAX(0,IF('Исходные данные'!$B$88="Последние 12 месяцев",SUMIFS($BF$2:$BF$194,$B$2:$B$194,"&gt;="&amp;EDATE(B313,-11),$B$2:$B$194,"&lt;="&amp;B313),IF('Исходные данные'!$B$88="Пользовательский NOI",N('Исходные данные'!$B$89),BL313))/N('Исходные данные'!$B$80)*(1+N('Исходные данные'!$B$81))),0))</f>
        <v>0</v>
      </c>
      <c r="BN313">
        <f>-BM313*N('Исходные данные'!$B$73)</f>
        <v>0</v>
      </c>
      <c r="BO313">
        <f>IF(BM313=0,0,-N('Исходные данные'!$B$87)-IF('Исходные данные'!$B$82="Да",IF('Исходные данные'!$B$84="С выручки",BM313,IF('Исходные данные'!$B$84="С прибыли",MAX(0,BM313+BN313-IF('Исходные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13">
        <f t="shared" si="167"/>
        <v>0</v>
      </c>
      <c r="BQ313">
        <f>IF(D313=1,Расчёты!AZ313+BE313+BH313+BK313+BP313,0)</f>
        <v>0</v>
      </c>
      <c r="BR313" t="str">
        <f t="shared" si="155"/>
        <v/>
      </c>
      <c r="BS313">
        <f>IF(OR(D313=0,'Исходные данные'!$B$9="",'Исходные данные'!$B$90=""),0,BQ313/(1+'Исходные данные'!$B$90)^((C313-'Исходные данные'!$B$9)/365))</f>
        <v>0</v>
      </c>
      <c r="BT313">
        <f>IF(D313=1,BE313+Расчёты!O313+Расчёты!Q313+Расчёты!S313+Расчёты!U313+Расчёты!W313+Расчёты!X313+BH313+BK313,0)</f>
        <v>0</v>
      </c>
      <c r="BU313">
        <f>IF(AND(D313=1,BR313&gt;=0,BR312&lt;0,MIN($BR$2:BR313)&lt;0),1,0)</f>
        <v>0</v>
      </c>
      <c r="BV313">
        <f>Расчёты!AZ313+K313+N313-P313*N('Исходные данные'!$B$50)</f>
        <v>0</v>
      </c>
      <c r="BW313">
        <f t="shared" si="156"/>
        <v>0</v>
      </c>
      <c r="BX313">
        <f>IF(AND(BW313&gt;=0,BW312&lt;0,MIN($BW$2:BW313)&lt;0),1,0)</f>
        <v>0</v>
      </c>
      <c r="BY313">
        <f>Расчёты!AZ313+AH313+AK313-AM313*N('Исходные данные'!$B$50)</f>
        <v>0</v>
      </c>
      <c r="BZ313">
        <f t="shared" si="157"/>
        <v>0</v>
      </c>
      <c r="CA313">
        <f>IF(AND(BZ313&gt;=0,BZ312&lt;0,MIN($BZ$2:BZ313)&lt;0),1,0)</f>
        <v>0</v>
      </c>
      <c r="CB313">
        <f>Расчёты!AZ313+BE313+BH313-BJ313*N('Исходные данные'!$B$50)</f>
        <v>0</v>
      </c>
      <c r="CC313">
        <f t="shared" si="158"/>
        <v>0</v>
      </c>
      <c r="CD313">
        <f>IF(AND(CC313&gt;=0,CC312&lt;0,MIN($CC$2:CC313)&lt;0),1,0)</f>
        <v>0</v>
      </c>
    </row>
    <row r="314" spans="1:82" x14ac:dyDescent="0.2">
      <c r="A314">
        <f>Расчёты!A314</f>
        <v>313</v>
      </c>
      <c r="B314" t="str">
        <f>Расчёты!B314</f>
        <v/>
      </c>
      <c r="C314" t="str">
        <f>Расчёты!D314</f>
        <v/>
      </c>
      <c r="D314">
        <f>Расчёты!E314</f>
        <v>0</v>
      </c>
      <c r="E314">
        <f>IF(Расчёты!F314=0,0,IF(Расчёты!G314=1,N('Сценарный анализ'!$B$5),IF(Расчёты!G314=2,N('Сценарный анализ'!$B$6),IF(Расчёты!G314=3,N('Сценарный анализ'!$B$7),N('Сценарный анализ'!$B$7)*(1+N('Сценарный анализ'!$B$8))^(Расчёты!G314-3)))))</f>
        <v>0</v>
      </c>
      <c r="F314">
        <f>IF(OR(Расчёты!F314=0,N('Исходные данные'!$B$5)=0,E314=0),0,N('Исходные данные'!$B$5)*E314*IF(AND(B314&lt;='Исходные данные'!$B$30,Расчёты!C314&gt;='Исходные данные'!$B$30),(Расчёты!C314-'Исходные данные'!$B$30+1)/DAY(Расчёты!C314),1))</f>
        <v>0</v>
      </c>
      <c r="G314">
        <f>IF(AND(Расчёты!F314&gt;0,Расчёты!F314&lt;=N('Исходные данные'!$B$37)),-F314,0)</f>
        <v>0</v>
      </c>
      <c r="H314">
        <f>IF(OR(Расчёты!F314=0,Расчёты!F314&lt;=N('Исходные данные'!$B$37)),0,-(F314+G314)*N('Сценарный анализ'!$B$9))</f>
        <v>0</v>
      </c>
      <c r="I314">
        <f t="shared" si="159"/>
        <v>0</v>
      </c>
      <c r="J314">
        <f>IF('Исходные данные'!$B$51="Да",I314*N('Исходные данные'!$B$52),0)</f>
        <v>0</v>
      </c>
      <c r="K314">
        <f t="shared" si="160"/>
        <v>0</v>
      </c>
      <c r="L314">
        <f>I314+(Расчёты!Y314-Расчёты!L314)</f>
        <v>0</v>
      </c>
      <c r="M314">
        <f t="shared" si="147"/>
        <v>0</v>
      </c>
      <c r="N314">
        <f>IF('Исходные данные'!$B$51="Да",-MAX(0,J314+Расчёты!R314+Расчёты!V314-Расчёты!P314-Расчёты!T314-M314),0)</f>
        <v>0</v>
      </c>
      <c r="O314">
        <f>IF('Исходные данные'!$B$51="Да",MAX(0,M314+Расчёты!P314+Расчёты!T314-J314-Расчёты!R314-Расчёты!V314),0)</f>
        <v>0</v>
      </c>
      <c r="P314">
        <f>IF('Исходные данные'!$B$53="Выручка",MAX(0,I314+(Расчёты!Q314-Расчёты!R314)+(Расчёты!U314-Расчёты!V314)),IF('Исходные данные'!$B$53="Прибыль до налога",MAX(0,I314+(Расчёты!Q314-Расчёты!R314)+(Расчёты!U314-Расчёты!V314)+N('Исходные данные'!$B$54)*((Расчёты!O314+Расчёты!P314)+(Расчёты!S314+Расчёты!T314)+Расчёты!W314+Расчёты!X314)+IF('Исходные данные'!$B$55="Да",Расчёты!AG314,0)-N('Исходные данные'!$B$56)/12),IF('Исходные данные'!$B$53="Пользовательская база",MAX(0,N('Исходные данные'!$B$57)/12),0)))</f>
        <v>0</v>
      </c>
      <c r="Q314">
        <f>IF(D314=1,-P314*N('Исходные данные'!$B$50),0)</f>
        <v>0</v>
      </c>
      <c r="R314">
        <f t="shared" si="148"/>
        <v>0</v>
      </c>
      <c r="S314">
        <f>IF(OR(D314&lt;&gt;1,B314="",'Исходные данные'!$B$91="",N('Исходные данные'!$B$80)&lt;=0,'Исходные данные'!$B$88=""),0,IF(AND(YEAR(B314)=YEAR('Исходные данные'!$B$91),MONTH(B314)=MONTH('Исходные данные'!$B$91)),MAX(0,IF('Исходные данные'!$B$88="Последние 12 месяцев",SUMIFS($L$2:$L$194,$B$2:$B$194,"&gt;="&amp;EDATE(B314,-11),$B$2:$B$194,"&lt;="&amp;B314),IF('Исходные данные'!$B$88="Пользовательский NOI",N('Исходные данные'!$B$89),R314))/N('Исходные данные'!$B$80)*(1+N('Исходные данные'!$B$81))),0))</f>
        <v>0</v>
      </c>
      <c r="T314">
        <f>-S314*N('Исходные данные'!$B$73)</f>
        <v>0</v>
      </c>
      <c r="U314">
        <f>IF(S314=0,0,-N('Исходные данные'!$B$87)-IF('Исходные данные'!$B$82="Да",IF('Исходные данные'!$B$84="С выручки",S314,IF('Исходные данные'!$B$84="С прибыли",MAX(0,S314+T314-IF('Исходные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14">
        <f t="shared" si="161"/>
        <v>0</v>
      </c>
      <c r="W314">
        <f>IF(D314=1,Расчёты!AZ314+K314+N314+Q314+V314,0)</f>
        <v>0</v>
      </c>
      <c r="X314" t="str">
        <f t="shared" si="149"/>
        <v/>
      </c>
      <c r="Y314">
        <f>IF(OR(D314=0,'Исходные данные'!$B$9="",'Исходные данные'!$B$90=""),0,W314/(1+'Исходные данные'!$B$90)^((C314-'Исходные данные'!$B$9)/365))</f>
        <v>0</v>
      </c>
      <c r="Z314">
        <f>IF(D314=1,K314+Расчёты!O314+Расчёты!Q314+Расчёты!S314+Расчёты!U314+Расчёты!W314+Расчёты!X314+N314+Q314,0)</f>
        <v>0</v>
      </c>
      <c r="AA314">
        <f>IF(AND(D314=1,X314&gt;=0,X313&lt;0,MIN($X$2:X314)&lt;0),1,0)</f>
        <v>0</v>
      </c>
      <c r="AB314">
        <f>IF(Расчёты!F314=0,0,IF(Расчёты!G314=1,N('Сценарный анализ'!$C$5),IF(Расчёты!G314=2,N('Сценарный анализ'!$C$6),IF(Расчёты!G314=3,N('Сценарный анализ'!$C$7),N('Сценарный анализ'!$C$7)*(1+N('Сценарный анализ'!$C$8))^(Расчёты!G314-3)))))</f>
        <v>0</v>
      </c>
      <c r="AC314">
        <f>IF(OR(Расчёты!F314=0,N('Исходные данные'!$B$5)=0,AB314=0),0,N('Исходные данные'!$B$5)*AB314*IF(AND(B314&lt;='Исходные данные'!$B$30,Расчёты!C314&gt;='Исходные данные'!$B$30),(Расчёты!C314-'Исходные данные'!$B$30+1)/DAY(Расчёты!C314),1))</f>
        <v>0</v>
      </c>
      <c r="AD314">
        <f>IF(AND(Расчёты!F314&gt;0,Расчёты!F314&lt;=N('Исходные данные'!$B$37)),-AC314,0)</f>
        <v>0</v>
      </c>
      <c r="AE314">
        <f>IF(OR(Расчёты!F314=0,Расчёты!F314&lt;=N('Исходные данные'!$B$37)),0,-(AC314+AD314)*N('Сценарный анализ'!$C$9))</f>
        <v>0</v>
      </c>
      <c r="AF314">
        <f t="shared" si="162"/>
        <v>0</v>
      </c>
      <c r="AG314">
        <f>IF('Исходные данные'!$B$51="Да",AF314*N('Исходные данные'!$B$52),0)</f>
        <v>0</v>
      </c>
      <c r="AH314">
        <f t="shared" si="163"/>
        <v>0</v>
      </c>
      <c r="AI314">
        <f>AF314+(Расчёты!Y314-Расчёты!L314)</f>
        <v>0</v>
      </c>
      <c r="AJ314">
        <f t="shared" si="150"/>
        <v>0</v>
      </c>
      <c r="AK314">
        <f>IF('Исходные данные'!$B$51="Да",-MAX(0,AG314+Расчёты!R314+Расчёты!V314-Расчёты!P314-Расчёты!T314-AJ314),0)</f>
        <v>0</v>
      </c>
      <c r="AL314">
        <f>IF('Исходные данные'!$B$51="Да",MAX(0,AJ314+Расчёты!P314+Расчёты!T314-AG314-Расчёты!R314-Расчёты!V314),0)</f>
        <v>0</v>
      </c>
      <c r="AM314">
        <f>IF('Исходные данные'!$B$53="Выручка",MAX(0,AF314+(Расчёты!Q314-Расчёты!R314)+(Расчёты!U314-Расчёты!V314)),IF('Исходные данные'!$B$53="Прибыль до налога",MAX(0,AF314+(Расчёты!Q314-Расчёты!R314)+(Расчёты!U314-Расчёты!V314)+N('Исходные данные'!$B$54)*((Расчёты!O314+Расчёты!P314)+(Расчёты!S314+Расчёты!T314)+Расчёты!W314+Расчёты!X314)+IF('Исходные данные'!$B$55="Да",Расчёты!AG314,0)-N('Исходные данные'!$B$56)/12),IF('Исходные данные'!$B$53="Пользовательская база",MAX(0,N('Исходные данные'!$B$57)/12),0)))</f>
        <v>0</v>
      </c>
      <c r="AN314">
        <f>IF(D314=1,-AM314*N('Исходные данные'!$B$50),0)</f>
        <v>0</v>
      </c>
      <c r="AO314">
        <f t="shared" si="151"/>
        <v>0</v>
      </c>
      <c r="AP314">
        <f>IF(OR(D314&lt;&gt;1,B314="",'Исходные данные'!$B$91="",N('Исходные данные'!$B$80)&lt;=0,'Исходные данные'!$B$88=""),0,IF(AND(YEAR(B314)=YEAR('Исходные данные'!$B$91),MONTH(B314)=MONTH('Исходные данные'!$B$91)),MAX(0,IF('Исходные данные'!$B$88="Последние 12 месяцев",SUMIFS($AI$2:$AI$194,$B$2:$B$194,"&gt;="&amp;EDATE(B314,-11),$B$2:$B$194,"&lt;="&amp;B314),IF('Исходные данные'!$B$88="Пользовательский NOI",N('Исходные данные'!$B$89),AO314))/N('Исходные данные'!$B$80)*(1+N('Исходные данные'!$B$81))),0))</f>
        <v>0</v>
      </c>
      <c r="AQ314">
        <f>-AP314*N('Исходные данные'!$B$73)</f>
        <v>0</v>
      </c>
      <c r="AR314">
        <f>IF(AP314=0,0,-N('Исходные данные'!$B$87)-IF('Исходные данные'!$B$82="Да",IF('Исходные данные'!$B$84="С выручки",AP314,IF('Исходные данные'!$B$84="С прибыли",MAX(0,AP314+AQ314-IF('Исходные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14">
        <f t="shared" si="164"/>
        <v>0</v>
      </c>
      <c r="AT314">
        <f>IF(D314=1,Расчёты!AZ314+AH314+AK314+AN314+AS314,0)</f>
        <v>0</v>
      </c>
      <c r="AU314" t="str">
        <f t="shared" si="152"/>
        <v/>
      </c>
      <c r="AV314">
        <f>IF(OR(D314=0,'Исходные данные'!$B$9="",'Исходные данные'!$B$90=""),0,AT314/(1+'Исходные данные'!$B$90)^((C314-'Исходные данные'!$B$9)/365))</f>
        <v>0</v>
      </c>
      <c r="AW314">
        <f>IF(D314=1,AH314+Расчёты!O314+Расчёты!Q314+Расчёты!S314+Расчёты!U314+Расчёты!W314+Расчёты!X314+AK314+AN314,0)</f>
        <v>0</v>
      </c>
      <c r="AX314">
        <f>IF(AND(D314=1,AU314&gt;=0,AU313&lt;0,MIN($AU$2:AU314)&lt;0),1,0)</f>
        <v>0</v>
      </c>
      <c r="AY314">
        <f>IF(Расчёты!F314=0,0,IF(Расчёты!G314=1,N('Сценарный анализ'!$D$5),IF(Расчёты!G314=2,N('Сценарный анализ'!$D$6),IF(Расчёты!G314=3,N('Сценарный анализ'!$D$7),N('Сценарный анализ'!$D$7)*(1+N('Сценарный анализ'!$D$8))^(Расчёты!G314-3)))))</f>
        <v>0</v>
      </c>
      <c r="AZ314">
        <f>IF(OR(Расчёты!F314=0,N('Исходные данные'!$B$5)=0,AY314=0),0,N('Исходные данные'!$B$5)*AY314*IF(AND(B314&lt;='Исходные данные'!$B$30,Расчёты!C314&gt;='Исходные данные'!$B$30),(Расчёты!C314-'Исходные данные'!$B$30+1)/DAY(Расчёты!C314),1))</f>
        <v>0</v>
      </c>
      <c r="BA314">
        <f>IF(AND(Расчёты!F314&gt;0,Расчёты!F314&lt;=N('Исходные данные'!$B$37)),-AZ314,0)</f>
        <v>0</v>
      </c>
      <c r="BB314">
        <f>IF(OR(Расчёты!F314=0,Расчёты!F314&lt;=N('Исходные данные'!$B$37)),0,-(AZ314+BA314)*N('Сценарный анализ'!$D$9))</f>
        <v>0</v>
      </c>
      <c r="BC314">
        <f t="shared" si="165"/>
        <v>0</v>
      </c>
      <c r="BD314">
        <f>IF('Исходные данные'!$B$51="Да",BC314*N('Исходные данные'!$B$52),0)</f>
        <v>0</v>
      </c>
      <c r="BE314">
        <f t="shared" si="166"/>
        <v>0</v>
      </c>
      <c r="BF314">
        <f>BC314+(Расчёты!Y314-Расчёты!L314)</f>
        <v>0</v>
      </c>
      <c r="BG314">
        <f t="shared" si="153"/>
        <v>0</v>
      </c>
      <c r="BH314">
        <f>IF('Исходные данные'!$B$51="Да",-MAX(0,BD314+Расчёты!R314+Расчёты!V314-Расчёты!P314-Расчёты!T314-BG314),0)</f>
        <v>0</v>
      </c>
      <c r="BI314">
        <f>IF('Исходные данные'!$B$51="Да",MAX(0,BG314+Расчёты!P314+Расчёты!T314-BD314-Расчёты!R314-Расчёты!V314),0)</f>
        <v>0</v>
      </c>
      <c r="BJ314">
        <f>IF('Исходные данные'!$B$53="Выручка",MAX(0,BC314+(Расчёты!Q314-Расчёты!R314)+(Расчёты!U314-Расчёты!V314)),IF('Исходные данные'!$B$53="Прибыль до налога",MAX(0,BC314+(Расчёты!Q314-Расчёты!R314)+(Расчёты!U314-Расчёты!V314)+N('Исходные данные'!$B$54)*((Расчёты!O314+Расчёты!P314)+(Расчёты!S314+Расчёты!T314)+Расчёты!W314+Расчёты!X314)+IF('Исходные данные'!$B$55="Да",Расчёты!AG314,0)-N('Исходные данные'!$B$56)/12),IF('Исходные данные'!$B$53="Пользовательская база",MAX(0,N('Исходные данные'!$B$57)/12),0)))</f>
        <v>0</v>
      </c>
      <c r="BK314">
        <f>IF(D314=1,-BJ314*N('Исходные данные'!$B$50),0)</f>
        <v>0</v>
      </c>
      <c r="BL314">
        <f t="shared" si="154"/>
        <v>0</v>
      </c>
      <c r="BM314">
        <f>IF(OR(D314&lt;&gt;1,B314="",'Исходные данные'!$B$91="",N('Исходные данные'!$B$80)&lt;=0,'Исходные данные'!$B$88=""),0,IF(AND(YEAR(B314)=YEAR('Исходные данные'!$B$91),MONTH(B314)=MONTH('Исходные данные'!$B$91)),MAX(0,IF('Исходные данные'!$B$88="Последние 12 месяцев",SUMIFS($BF$2:$BF$194,$B$2:$B$194,"&gt;="&amp;EDATE(B314,-11),$B$2:$B$194,"&lt;="&amp;B314),IF('Исходные данные'!$B$88="Пользовательский NOI",N('Исходные данные'!$B$89),BL314))/N('Исходные данные'!$B$80)*(1+N('Исходные данные'!$B$81))),0))</f>
        <v>0</v>
      </c>
      <c r="BN314">
        <f>-BM314*N('Исходные данные'!$B$73)</f>
        <v>0</v>
      </c>
      <c r="BO314">
        <f>IF(BM314=0,0,-N('Исходные данные'!$B$87)-IF('Исходные данные'!$B$82="Да",IF('Исходные данные'!$B$84="С выручки",BM314,IF('Исходные данные'!$B$84="С прибыли",MAX(0,BM314+BN314-IF('Исходные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14">
        <f t="shared" si="167"/>
        <v>0</v>
      </c>
      <c r="BQ314">
        <f>IF(D314=1,Расчёты!AZ314+BE314+BH314+BK314+BP314,0)</f>
        <v>0</v>
      </c>
      <c r="BR314" t="str">
        <f t="shared" si="155"/>
        <v/>
      </c>
      <c r="BS314">
        <f>IF(OR(D314=0,'Исходные данные'!$B$9="",'Исходные данные'!$B$90=""),0,BQ314/(1+'Исходные данные'!$B$90)^((C314-'Исходные данные'!$B$9)/365))</f>
        <v>0</v>
      </c>
      <c r="BT314">
        <f>IF(D314=1,BE314+Расчёты!O314+Расчёты!Q314+Расчёты!S314+Расчёты!U314+Расчёты!W314+Расчёты!X314+BH314+BK314,0)</f>
        <v>0</v>
      </c>
      <c r="BU314">
        <f>IF(AND(D314=1,BR314&gt;=0,BR313&lt;0,MIN($BR$2:BR314)&lt;0),1,0)</f>
        <v>0</v>
      </c>
      <c r="BV314">
        <f>Расчёты!AZ314+K314+N314-P314*N('Исходные данные'!$B$50)</f>
        <v>0</v>
      </c>
      <c r="BW314">
        <f t="shared" si="156"/>
        <v>0</v>
      </c>
      <c r="BX314">
        <f>IF(AND(BW314&gt;=0,BW313&lt;0,MIN($BW$2:BW314)&lt;0),1,0)</f>
        <v>0</v>
      </c>
      <c r="BY314">
        <f>Расчёты!AZ314+AH314+AK314-AM314*N('Исходные данные'!$B$50)</f>
        <v>0</v>
      </c>
      <c r="BZ314">
        <f t="shared" si="157"/>
        <v>0</v>
      </c>
      <c r="CA314">
        <f>IF(AND(BZ314&gt;=0,BZ313&lt;0,MIN($BZ$2:BZ314)&lt;0),1,0)</f>
        <v>0</v>
      </c>
      <c r="CB314">
        <f>Расчёты!AZ314+BE314+BH314-BJ314*N('Исходные данные'!$B$50)</f>
        <v>0</v>
      </c>
      <c r="CC314">
        <f t="shared" si="158"/>
        <v>0</v>
      </c>
      <c r="CD314">
        <f>IF(AND(CC314&gt;=0,CC313&lt;0,MIN($CC$2:CC314)&lt;0),1,0)</f>
        <v>0</v>
      </c>
    </row>
    <row r="315" spans="1:82" x14ac:dyDescent="0.2">
      <c r="A315">
        <f>Расчёты!A315</f>
        <v>314</v>
      </c>
      <c r="B315" t="str">
        <f>Расчёты!B315</f>
        <v/>
      </c>
      <c r="C315" t="str">
        <f>Расчёты!D315</f>
        <v/>
      </c>
      <c r="D315">
        <f>Расчёты!E315</f>
        <v>0</v>
      </c>
      <c r="E315">
        <f>IF(Расчёты!F315=0,0,IF(Расчёты!G315=1,N('Сценарный анализ'!$B$5),IF(Расчёты!G315=2,N('Сценарный анализ'!$B$6),IF(Расчёты!G315=3,N('Сценарный анализ'!$B$7),N('Сценарный анализ'!$B$7)*(1+N('Сценарный анализ'!$B$8))^(Расчёты!G315-3)))))</f>
        <v>0</v>
      </c>
      <c r="F315">
        <f>IF(OR(Расчёты!F315=0,N('Исходные данные'!$B$5)=0,E315=0),0,N('Исходные данные'!$B$5)*E315*IF(AND(B315&lt;='Исходные данные'!$B$30,Расчёты!C315&gt;='Исходные данные'!$B$30),(Расчёты!C315-'Исходные данные'!$B$30+1)/DAY(Расчёты!C315),1))</f>
        <v>0</v>
      </c>
      <c r="G315">
        <f>IF(AND(Расчёты!F315&gt;0,Расчёты!F315&lt;=N('Исходные данные'!$B$37)),-F315,0)</f>
        <v>0</v>
      </c>
      <c r="H315">
        <f>IF(OR(Расчёты!F315=0,Расчёты!F315&lt;=N('Исходные данные'!$B$37)),0,-(F315+G315)*N('Сценарный анализ'!$B$9))</f>
        <v>0</v>
      </c>
      <c r="I315">
        <f t="shared" si="159"/>
        <v>0</v>
      </c>
      <c r="J315">
        <f>IF('Исходные данные'!$B$51="Да",I315*N('Исходные данные'!$B$52),0)</f>
        <v>0</v>
      </c>
      <c r="K315">
        <f t="shared" si="160"/>
        <v>0</v>
      </c>
      <c r="L315">
        <f>I315+(Расчёты!Y315-Расчёты!L315)</f>
        <v>0</v>
      </c>
      <c r="M315">
        <f t="shared" si="147"/>
        <v>0</v>
      </c>
      <c r="N315">
        <f>IF('Исходные данные'!$B$51="Да",-MAX(0,J315+Расчёты!R315+Расчёты!V315-Расчёты!P315-Расчёты!T315-M315),0)</f>
        <v>0</v>
      </c>
      <c r="O315">
        <f>IF('Исходные данные'!$B$51="Да",MAX(0,M315+Расчёты!P315+Расчёты!T315-J315-Расчёты!R315-Расчёты!V315),0)</f>
        <v>0</v>
      </c>
      <c r="P315">
        <f>IF('Исходные данные'!$B$53="Выручка",MAX(0,I315+(Расчёты!Q315-Расчёты!R315)+(Расчёты!U315-Расчёты!V315)),IF('Исходные данные'!$B$53="Прибыль до налога",MAX(0,I315+(Расчёты!Q315-Расчёты!R315)+(Расчёты!U315-Расчёты!V315)+N('Исходные данные'!$B$54)*((Расчёты!O315+Расчёты!P315)+(Расчёты!S315+Расчёты!T315)+Расчёты!W315+Расчёты!X315)+IF('Исходные данные'!$B$55="Да",Расчёты!AG315,0)-N('Исходные данные'!$B$56)/12),IF('Исходные данные'!$B$53="Пользовательская база",MAX(0,N('Исходные данные'!$B$57)/12),0)))</f>
        <v>0</v>
      </c>
      <c r="Q315">
        <f>IF(D315=1,-P315*N('Исходные данные'!$B$50),0)</f>
        <v>0</v>
      </c>
      <c r="R315">
        <f t="shared" si="148"/>
        <v>0</v>
      </c>
      <c r="S315">
        <f>IF(OR(D315&lt;&gt;1,B315="",'Исходные данные'!$B$91="",N('Исходные данные'!$B$80)&lt;=0,'Исходные данные'!$B$88=""),0,IF(AND(YEAR(B315)=YEAR('Исходные данные'!$B$91),MONTH(B315)=MONTH('Исходные данные'!$B$91)),MAX(0,IF('Исходные данные'!$B$88="Последние 12 месяцев",SUMIFS($L$2:$L$194,$B$2:$B$194,"&gt;="&amp;EDATE(B315,-11),$B$2:$B$194,"&lt;="&amp;B315),IF('Исходные данные'!$B$88="Пользовательский NOI",N('Исходные данные'!$B$89),R315))/N('Исходные данные'!$B$80)*(1+N('Исходные данные'!$B$81))),0))</f>
        <v>0</v>
      </c>
      <c r="T315">
        <f>-S315*N('Исходные данные'!$B$73)</f>
        <v>0</v>
      </c>
      <c r="U315">
        <f>IF(S315=0,0,-N('Исходные данные'!$B$87)-IF('Исходные данные'!$B$82="Да",IF('Исходные данные'!$B$84="С выручки",S315,IF('Исходные данные'!$B$84="С прибыли",MAX(0,S315+T315-IF('Исходные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15">
        <f t="shared" si="161"/>
        <v>0</v>
      </c>
      <c r="W315">
        <f>IF(D315=1,Расчёты!AZ315+K315+N315+Q315+V315,0)</f>
        <v>0</v>
      </c>
      <c r="X315" t="str">
        <f t="shared" si="149"/>
        <v/>
      </c>
      <c r="Y315">
        <f>IF(OR(D315=0,'Исходные данные'!$B$9="",'Исходные данные'!$B$90=""),0,W315/(1+'Исходные данные'!$B$90)^((C315-'Исходные данные'!$B$9)/365))</f>
        <v>0</v>
      </c>
      <c r="Z315">
        <f>IF(D315=1,K315+Расчёты!O315+Расчёты!Q315+Расчёты!S315+Расчёты!U315+Расчёты!W315+Расчёты!X315+N315+Q315,0)</f>
        <v>0</v>
      </c>
      <c r="AA315">
        <f>IF(AND(D315=1,X315&gt;=0,X314&lt;0,MIN($X$2:X315)&lt;0),1,0)</f>
        <v>0</v>
      </c>
      <c r="AB315">
        <f>IF(Расчёты!F315=0,0,IF(Расчёты!G315=1,N('Сценарный анализ'!$C$5),IF(Расчёты!G315=2,N('Сценарный анализ'!$C$6),IF(Расчёты!G315=3,N('Сценарный анализ'!$C$7),N('Сценарный анализ'!$C$7)*(1+N('Сценарный анализ'!$C$8))^(Расчёты!G315-3)))))</f>
        <v>0</v>
      </c>
      <c r="AC315">
        <f>IF(OR(Расчёты!F315=0,N('Исходные данные'!$B$5)=0,AB315=0),0,N('Исходные данные'!$B$5)*AB315*IF(AND(B315&lt;='Исходные данные'!$B$30,Расчёты!C315&gt;='Исходные данные'!$B$30),(Расчёты!C315-'Исходные данные'!$B$30+1)/DAY(Расчёты!C315),1))</f>
        <v>0</v>
      </c>
      <c r="AD315">
        <f>IF(AND(Расчёты!F315&gt;0,Расчёты!F315&lt;=N('Исходные данные'!$B$37)),-AC315,0)</f>
        <v>0</v>
      </c>
      <c r="AE315">
        <f>IF(OR(Расчёты!F315=0,Расчёты!F315&lt;=N('Исходные данные'!$B$37)),0,-(AC315+AD315)*N('Сценарный анализ'!$C$9))</f>
        <v>0</v>
      </c>
      <c r="AF315">
        <f t="shared" si="162"/>
        <v>0</v>
      </c>
      <c r="AG315">
        <f>IF('Исходные данные'!$B$51="Да",AF315*N('Исходные данные'!$B$52),0)</f>
        <v>0</v>
      </c>
      <c r="AH315">
        <f t="shared" si="163"/>
        <v>0</v>
      </c>
      <c r="AI315">
        <f>AF315+(Расчёты!Y315-Расчёты!L315)</f>
        <v>0</v>
      </c>
      <c r="AJ315">
        <f t="shared" si="150"/>
        <v>0</v>
      </c>
      <c r="AK315">
        <f>IF('Исходные данные'!$B$51="Да",-MAX(0,AG315+Расчёты!R315+Расчёты!V315-Расчёты!P315-Расчёты!T315-AJ315),0)</f>
        <v>0</v>
      </c>
      <c r="AL315">
        <f>IF('Исходные данные'!$B$51="Да",MAX(0,AJ315+Расчёты!P315+Расчёты!T315-AG315-Расчёты!R315-Расчёты!V315),0)</f>
        <v>0</v>
      </c>
      <c r="AM315">
        <f>IF('Исходные данные'!$B$53="Выручка",MAX(0,AF315+(Расчёты!Q315-Расчёты!R315)+(Расчёты!U315-Расчёты!V315)),IF('Исходные данные'!$B$53="Прибыль до налога",MAX(0,AF315+(Расчёты!Q315-Расчёты!R315)+(Расчёты!U315-Расчёты!V315)+N('Исходные данные'!$B$54)*((Расчёты!O315+Расчёты!P315)+(Расчёты!S315+Расчёты!T315)+Расчёты!W315+Расчёты!X315)+IF('Исходные данные'!$B$55="Да",Расчёты!AG315,0)-N('Исходные данные'!$B$56)/12),IF('Исходные данные'!$B$53="Пользовательская база",MAX(0,N('Исходные данные'!$B$57)/12),0)))</f>
        <v>0</v>
      </c>
      <c r="AN315">
        <f>IF(D315=1,-AM315*N('Исходные данные'!$B$50),0)</f>
        <v>0</v>
      </c>
      <c r="AO315">
        <f t="shared" si="151"/>
        <v>0</v>
      </c>
      <c r="AP315">
        <f>IF(OR(D315&lt;&gt;1,B315="",'Исходные данные'!$B$91="",N('Исходные данные'!$B$80)&lt;=0,'Исходные данные'!$B$88=""),0,IF(AND(YEAR(B315)=YEAR('Исходные данные'!$B$91),MONTH(B315)=MONTH('Исходные данные'!$B$91)),MAX(0,IF('Исходные данные'!$B$88="Последние 12 месяцев",SUMIFS($AI$2:$AI$194,$B$2:$B$194,"&gt;="&amp;EDATE(B315,-11),$B$2:$B$194,"&lt;="&amp;B315),IF('Исходные данные'!$B$88="Пользовательский NOI",N('Исходные данные'!$B$89),AO315))/N('Исходные данные'!$B$80)*(1+N('Исходные данные'!$B$81))),0))</f>
        <v>0</v>
      </c>
      <c r="AQ315">
        <f>-AP315*N('Исходные данные'!$B$73)</f>
        <v>0</v>
      </c>
      <c r="AR315">
        <f>IF(AP315=0,0,-N('Исходные данные'!$B$87)-IF('Исходные данные'!$B$82="Да",IF('Исходные данные'!$B$84="С выручки",AP315,IF('Исходные данные'!$B$84="С прибыли",MAX(0,AP315+AQ315-IF('Исходные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15">
        <f t="shared" si="164"/>
        <v>0</v>
      </c>
      <c r="AT315">
        <f>IF(D315=1,Расчёты!AZ315+AH315+AK315+AN315+AS315,0)</f>
        <v>0</v>
      </c>
      <c r="AU315" t="str">
        <f t="shared" si="152"/>
        <v/>
      </c>
      <c r="AV315">
        <f>IF(OR(D315=0,'Исходные данные'!$B$9="",'Исходные данные'!$B$90=""),0,AT315/(1+'Исходные данные'!$B$90)^((C315-'Исходные данные'!$B$9)/365))</f>
        <v>0</v>
      </c>
      <c r="AW315">
        <f>IF(D315=1,AH315+Расчёты!O315+Расчёты!Q315+Расчёты!S315+Расчёты!U315+Расчёты!W315+Расчёты!X315+AK315+AN315,0)</f>
        <v>0</v>
      </c>
      <c r="AX315">
        <f>IF(AND(D315=1,AU315&gt;=0,AU314&lt;0,MIN($AU$2:AU315)&lt;0),1,0)</f>
        <v>0</v>
      </c>
      <c r="AY315">
        <f>IF(Расчёты!F315=0,0,IF(Расчёты!G315=1,N('Сценарный анализ'!$D$5),IF(Расчёты!G315=2,N('Сценарный анализ'!$D$6),IF(Расчёты!G315=3,N('Сценарный анализ'!$D$7),N('Сценарный анализ'!$D$7)*(1+N('Сценарный анализ'!$D$8))^(Расчёты!G315-3)))))</f>
        <v>0</v>
      </c>
      <c r="AZ315">
        <f>IF(OR(Расчёты!F315=0,N('Исходные данные'!$B$5)=0,AY315=0),0,N('Исходные данные'!$B$5)*AY315*IF(AND(B315&lt;='Исходные данные'!$B$30,Расчёты!C315&gt;='Исходные данные'!$B$30),(Расчёты!C315-'Исходные данные'!$B$30+1)/DAY(Расчёты!C315),1))</f>
        <v>0</v>
      </c>
      <c r="BA315">
        <f>IF(AND(Расчёты!F315&gt;0,Расчёты!F315&lt;=N('Исходные данные'!$B$37)),-AZ315,0)</f>
        <v>0</v>
      </c>
      <c r="BB315">
        <f>IF(OR(Расчёты!F315=0,Расчёты!F315&lt;=N('Исходные данные'!$B$37)),0,-(AZ315+BA315)*N('Сценарный анализ'!$D$9))</f>
        <v>0</v>
      </c>
      <c r="BC315">
        <f t="shared" si="165"/>
        <v>0</v>
      </c>
      <c r="BD315">
        <f>IF('Исходные данные'!$B$51="Да",BC315*N('Исходные данные'!$B$52),0)</f>
        <v>0</v>
      </c>
      <c r="BE315">
        <f t="shared" si="166"/>
        <v>0</v>
      </c>
      <c r="BF315">
        <f>BC315+(Расчёты!Y315-Расчёты!L315)</f>
        <v>0</v>
      </c>
      <c r="BG315">
        <f t="shared" si="153"/>
        <v>0</v>
      </c>
      <c r="BH315">
        <f>IF('Исходные данные'!$B$51="Да",-MAX(0,BD315+Расчёты!R315+Расчёты!V315-Расчёты!P315-Расчёты!T315-BG315),0)</f>
        <v>0</v>
      </c>
      <c r="BI315">
        <f>IF('Исходные данные'!$B$51="Да",MAX(0,BG315+Расчёты!P315+Расчёты!T315-BD315-Расчёты!R315-Расчёты!V315),0)</f>
        <v>0</v>
      </c>
      <c r="BJ315">
        <f>IF('Исходные данные'!$B$53="Выручка",MAX(0,BC315+(Расчёты!Q315-Расчёты!R315)+(Расчёты!U315-Расчёты!V315)),IF('Исходные данные'!$B$53="Прибыль до налога",MAX(0,BC315+(Расчёты!Q315-Расчёты!R315)+(Расчёты!U315-Расчёты!V315)+N('Исходные данные'!$B$54)*((Расчёты!O315+Расчёты!P315)+(Расчёты!S315+Расчёты!T315)+Расчёты!W315+Расчёты!X315)+IF('Исходные данные'!$B$55="Да",Расчёты!AG315,0)-N('Исходные данные'!$B$56)/12),IF('Исходные данные'!$B$53="Пользовательская база",MAX(0,N('Исходные данные'!$B$57)/12),0)))</f>
        <v>0</v>
      </c>
      <c r="BK315">
        <f>IF(D315=1,-BJ315*N('Исходные данные'!$B$50),0)</f>
        <v>0</v>
      </c>
      <c r="BL315">
        <f t="shared" si="154"/>
        <v>0</v>
      </c>
      <c r="BM315">
        <f>IF(OR(D315&lt;&gt;1,B315="",'Исходные данные'!$B$91="",N('Исходные данные'!$B$80)&lt;=0,'Исходные данные'!$B$88=""),0,IF(AND(YEAR(B315)=YEAR('Исходные данные'!$B$91),MONTH(B315)=MONTH('Исходные данные'!$B$91)),MAX(0,IF('Исходные данные'!$B$88="Последние 12 месяцев",SUMIFS($BF$2:$BF$194,$B$2:$B$194,"&gt;="&amp;EDATE(B315,-11),$B$2:$B$194,"&lt;="&amp;B315),IF('Исходные данные'!$B$88="Пользовательский NOI",N('Исходные данные'!$B$89),BL315))/N('Исходные данные'!$B$80)*(1+N('Исходные данные'!$B$81))),0))</f>
        <v>0</v>
      </c>
      <c r="BN315">
        <f>-BM315*N('Исходные данные'!$B$73)</f>
        <v>0</v>
      </c>
      <c r="BO315">
        <f>IF(BM315=0,0,-N('Исходные данные'!$B$87)-IF('Исходные данные'!$B$82="Да",IF('Исходные данные'!$B$84="С выручки",BM315,IF('Исходные данные'!$B$84="С прибыли",MAX(0,BM315+BN315-IF('Исходные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15">
        <f t="shared" si="167"/>
        <v>0</v>
      </c>
      <c r="BQ315">
        <f>IF(D315=1,Расчёты!AZ315+BE315+BH315+BK315+BP315,0)</f>
        <v>0</v>
      </c>
      <c r="BR315" t="str">
        <f t="shared" si="155"/>
        <v/>
      </c>
      <c r="BS315">
        <f>IF(OR(D315=0,'Исходные данные'!$B$9="",'Исходные данные'!$B$90=""),0,BQ315/(1+'Исходные данные'!$B$90)^((C315-'Исходные данные'!$B$9)/365))</f>
        <v>0</v>
      </c>
      <c r="BT315">
        <f>IF(D315=1,BE315+Расчёты!O315+Расчёты!Q315+Расчёты!S315+Расчёты!U315+Расчёты!W315+Расчёты!X315+BH315+BK315,0)</f>
        <v>0</v>
      </c>
      <c r="BU315">
        <f>IF(AND(D315=1,BR315&gt;=0,BR314&lt;0,MIN($BR$2:BR315)&lt;0),1,0)</f>
        <v>0</v>
      </c>
      <c r="BV315">
        <f>Расчёты!AZ315+K315+N315-P315*N('Исходные данные'!$B$50)</f>
        <v>0</v>
      </c>
      <c r="BW315">
        <f t="shared" si="156"/>
        <v>0</v>
      </c>
      <c r="BX315">
        <f>IF(AND(BW315&gt;=0,BW314&lt;0,MIN($BW$2:BW315)&lt;0),1,0)</f>
        <v>0</v>
      </c>
      <c r="BY315">
        <f>Расчёты!AZ315+AH315+AK315-AM315*N('Исходные данные'!$B$50)</f>
        <v>0</v>
      </c>
      <c r="BZ315">
        <f t="shared" si="157"/>
        <v>0</v>
      </c>
      <c r="CA315">
        <f>IF(AND(BZ315&gt;=0,BZ314&lt;0,MIN($BZ$2:BZ315)&lt;0),1,0)</f>
        <v>0</v>
      </c>
      <c r="CB315">
        <f>Расчёты!AZ315+BE315+BH315-BJ315*N('Исходные данные'!$B$50)</f>
        <v>0</v>
      </c>
      <c r="CC315">
        <f t="shared" si="158"/>
        <v>0</v>
      </c>
      <c r="CD315">
        <f>IF(AND(CC315&gt;=0,CC314&lt;0,MIN($CC$2:CC315)&lt;0),1,0)</f>
        <v>0</v>
      </c>
    </row>
    <row r="316" spans="1:82" x14ac:dyDescent="0.2">
      <c r="A316">
        <f>Расчёты!A316</f>
        <v>315</v>
      </c>
      <c r="B316" t="str">
        <f>Расчёты!B316</f>
        <v/>
      </c>
      <c r="C316" t="str">
        <f>Расчёты!D316</f>
        <v/>
      </c>
      <c r="D316">
        <f>Расчёты!E316</f>
        <v>0</v>
      </c>
      <c r="E316">
        <f>IF(Расчёты!F316=0,0,IF(Расчёты!G316=1,N('Сценарный анализ'!$B$5),IF(Расчёты!G316=2,N('Сценарный анализ'!$B$6),IF(Расчёты!G316=3,N('Сценарный анализ'!$B$7),N('Сценарный анализ'!$B$7)*(1+N('Сценарный анализ'!$B$8))^(Расчёты!G316-3)))))</f>
        <v>0</v>
      </c>
      <c r="F316">
        <f>IF(OR(Расчёты!F316=0,N('Исходные данные'!$B$5)=0,E316=0),0,N('Исходные данные'!$B$5)*E316*IF(AND(B316&lt;='Исходные данные'!$B$30,Расчёты!C316&gt;='Исходные данные'!$B$30),(Расчёты!C316-'Исходные данные'!$B$30+1)/DAY(Расчёты!C316),1))</f>
        <v>0</v>
      </c>
      <c r="G316">
        <f>IF(AND(Расчёты!F316&gt;0,Расчёты!F316&lt;=N('Исходные данные'!$B$37)),-F316,0)</f>
        <v>0</v>
      </c>
      <c r="H316">
        <f>IF(OR(Расчёты!F316=0,Расчёты!F316&lt;=N('Исходные данные'!$B$37)),0,-(F316+G316)*N('Сценарный анализ'!$B$9))</f>
        <v>0</v>
      </c>
      <c r="I316">
        <f t="shared" si="159"/>
        <v>0</v>
      </c>
      <c r="J316">
        <f>IF('Исходные данные'!$B$51="Да",I316*N('Исходные данные'!$B$52),0)</f>
        <v>0</v>
      </c>
      <c r="K316">
        <f t="shared" si="160"/>
        <v>0</v>
      </c>
      <c r="L316">
        <f>I316+(Расчёты!Y316-Расчёты!L316)</f>
        <v>0</v>
      </c>
      <c r="M316">
        <f t="shared" si="147"/>
        <v>0</v>
      </c>
      <c r="N316">
        <f>IF('Исходные данные'!$B$51="Да",-MAX(0,J316+Расчёты!R316+Расчёты!V316-Расчёты!P316-Расчёты!T316-M316),0)</f>
        <v>0</v>
      </c>
      <c r="O316">
        <f>IF('Исходные данные'!$B$51="Да",MAX(0,M316+Расчёты!P316+Расчёты!T316-J316-Расчёты!R316-Расчёты!V316),0)</f>
        <v>0</v>
      </c>
      <c r="P316">
        <f>IF('Исходные данные'!$B$53="Выручка",MAX(0,I316+(Расчёты!Q316-Расчёты!R316)+(Расчёты!U316-Расчёты!V316)),IF('Исходные данные'!$B$53="Прибыль до налога",MAX(0,I316+(Расчёты!Q316-Расчёты!R316)+(Расчёты!U316-Расчёты!V316)+N('Исходные данные'!$B$54)*((Расчёты!O316+Расчёты!P316)+(Расчёты!S316+Расчёты!T316)+Расчёты!W316+Расчёты!X316)+IF('Исходные данные'!$B$55="Да",Расчёты!AG316,0)-N('Исходные данные'!$B$56)/12),IF('Исходные данные'!$B$53="Пользовательская база",MAX(0,N('Исходные данные'!$B$57)/12),0)))</f>
        <v>0</v>
      </c>
      <c r="Q316">
        <f>IF(D316=1,-P316*N('Исходные данные'!$B$50),0)</f>
        <v>0</v>
      </c>
      <c r="R316">
        <f t="shared" si="148"/>
        <v>0</v>
      </c>
      <c r="S316">
        <f>IF(OR(D316&lt;&gt;1,B316="",'Исходные данные'!$B$91="",N('Исходные данные'!$B$80)&lt;=0,'Исходные данные'!$B$88=""),0,IF(AND(YEAR(B316)=YEAR('Исходные данные'!$B$91),MONTH(B316)=MONTH('Исходные данные'!$B$91)),MAX(0,IF('Исходные данные'!$B$88="Последние 12 месяцев",SUMIFS($L$2:$L$194,$B$2:$B$194,"&gt;="&amp;EDATE(B316,-11),$B$2:$B$194,"&lt;="&amp;B316),IF('Исходные данные'!$B$88="Пользовательский NOI",N('Исходные данные'!$B$89),R316))/N('Исходные данные'!$B$80)*(1+N('Исходные данные'!$B$81))),0))</f>
        <v>0</v>
      </c>
      <c r="T316">
        <f>-S316*N('Исходные данные'!$B$73)</f>
        <v>0</v>
      </c>
      <c r="U316">
        <f>IF(S316=0,0,-N('Исходные данные'!$B$87)-IF('Исходные данные'!$B$82="Да",IF('Исходные данные'!$B$84="С выручки",S316,IF('Исходные данные'!$B$84="С прибыли",MAX(0,S316+T316-IF('Исходные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16">
        <f t="shared" si="161"/>
        <v>0</v>
      </c>
      <c r="W316">
        <f>IF(D316=1,Расчёты!AZ316+K316+N316+Q316+V316,0)</f>
        <v>0</v>
      </c>
      <c r="X316" t="str">
        <f t="shared" si="149"/>
        <v/>
      </c>
      <c r="Y316">
        <f>IF(OR(D316=0,'Исходные данные'!$B$9="",'Исходные данные'!$B$90=""),0,W316/(1+'Исходные данные'!$B$90)^((C316-'Исходные данные'!$B$9)/365))</f>
        <v>0</v>
      </c>
      <c r="Z316">
        <f>IF(D316=1,K316+Расчёты!O316+Расчёты!Q316+Расчёты!S316+Расчёты!U316+Расчёты!W316+Расчёты!X316+N316+Q316,0)</f>
        <v>0</v>
      </c>
      <c r="AA316">
        <f>IF(AND(D316=1,X316&gt;=0,X315&lt;0,MIN($X$2:X316)&lt;0),1,0)</f>
        <v>0</v>
      </c>
      <c r="AB316">
        <f>IF(Расчёты!F316=0,0,IF(Расчёты!G316=1,N('Сценарный анализ'!$C$5),IF(Расчёты!G316=2,N('Сценарный анализ'!$C$6),IF(Расчёты!G316=3,N('Сценарный анализ'!$C$7),N('Сценарный анализ'!$C$7)*(1+N('Сценарный анализ'!$C$8))^(Расчёты!G316-3)))))</f>
        <v>0</v>
      </c>
      <c r="AC316">
        <f>IF(OR(Расчёты!F316=0,N('Исходные данные'!$B$5)=0,AB316=0),0,N('Исходные данные'!$B$5)*AB316*IF(AND(B316&lt;='Исходные данные'!$B$30,Расчёты!C316&gt;='Исходные данные'!$B$30),(Расчёты!C316-'Исходные данные'!$B$30+1)/DAY(Расчёты!C316),1))</f>
        <v>0</v>
      </c>
      <c r="AD316">
        <f>IF(AND(Расчёты!F316&gt;0,Расчёты!F316&lt;=N('Исходные данные'!$B$37)),-AC316,0)</f>
        <v>0</v>
      </c>
      <c r="AE316">
        <f>IF(OR(Расчёты!F316=0,Расчёты!F316&lt;=N('Исходные данные'!$B$37)),0,-(AC316+AD316)*N('Сценарный анализ'!$C$9))</f>
        <v>0</v>
      </c>
      <c r="AF316">
        <f t="shared" si="162"/>
        <v>0</v>
      </c>
      <c r="AG316">
        <f>IF('Исходные данные'!$B$51="Да",AF316*N('Исходные данные'!$B$52),0)</f>
        <v>0</v>
      </c>
      <c r="AH316">
        <f t="shared" si="163"/>
        <v>0</v>
      </c>
      <c r="AI316">
        <f>AF316+(Расчёты!Y316-Расчёты!L316)</f>
        <v>0</v>
      </c>
      <c r="AJ316">
        <f t="shared" si="150"/>
        <v>0</v>
      </c>
      <c r="AK316">
        <f>IF('Исходные данные'!$B$51="Да",-MAX(0,AG316+Расчёты!R316+Расчёты!V316-Расчёты!P316-Расчёты!T316-AJ316),0)</f>
        <v>0</v>
      </c>
      <c r="AL316">
        <f>IF('Исходные данные'!$B$51="Да",MAX(0,AJ316+Расчёты!P316+Расчёты!T316-AG316-Расчёты!R316-Расчёты!V316),0)</f>
        <v>0</v>
      </c>
      <c r="AM316">
        <f>IF('Исходные данные'!$B$53="Выручка",MAX(0,AF316+(Расчёты!Q316-Расчёты!R316)+(Расчёты!U316-Расчёты!V316)),IF('Исходные данные'!$B$53="Прибыль до налога",MAX(0,AF316+(Расчёты!Q316-Расчёты!R316)+(Расчёты!U316-Расчёты!V316)+N('Исходные данные'!$B$54)*((Расчёты!O316+Расчёты!P316)+(Расчёты!S316+Расчёты!T316)+Расчёты!W316+Расчёты!X316)+IF('Исходные данные'!$B$55="Да",Расчёты!AG316,0)-N('Исходные данные'!$B$56)/12),IF('Исходные данные'!$B$53="Пользовательская база",MAX(0,N('Исходные данные'!$B$57)/12),0)))</f>
        <v>0</v>
      </c>
      <c r="AN316">
        <f>IF(D316=1,-AM316*N('Исходные данные'!$B$50),0)</f>
        <v>0</v>
      </c>
      <c r="AO316">
        <f t="shared" si="151"/>
        <v>0</v>
      </c>
      <c r="AP316">
        <f>IF(OR(D316&lt;&gt;1,B316="",'Исходные данные'!$B$91="",N('Исходные данные'!$B$80)&lt;=0,'Исходные данные'!$B$88=""),0,IF(AND(YEAR(B316)=YEAR('Исходные данные'!$B$91),MONTH(B316)=MONTH('Исходные данные'!$B$91)),MAX(0,IF('Исходные данные'!$B$88="Последние 12 месяцев",SUMIFS($AI$2:$AI$194,$B$2:$B$194,"&gt;="&amp;EDATE(B316,-11),$B$2:$B$194,"&lt;="&amp;B316),IF('Исходные данные'!$B$88="Пользовательский NOI",N('Исходные данные'!$B$89),AO316))/N('Исходные данные'!$B$80)*(1+N('Исходные данные'!$B$81))),0))</f>
        <v>0</v>
      </c>
      <c r="AQ316">
        <f>-AP316*N('Исходные данные'!$B$73)</f>
        <v>0</v>
      </c>
      <c r="AR316">
        <f>IF(AP316=0,0,-N('Исходные данные'!$B$87)-IF('Исходные данные'!$B$82="Да",IF('Исходные данные'!$B$84="С выручки",AP316,IF('Исходные данные'!$B$84="С прибыли",MAX(0,AP316+AQ316-IF('Исходные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16">
        <f t="shared" si="164"/>
        <v>0</v>
      </c>
      <c r="AT316">
        <f>IF(D316=1,Расчёты!AZ316+AH316+AK316+AN316+AS316,0)</f>
        <v>0</v>
      </c>
      <c r="AU316" t="str">
        <f t="shared" si="152"/>
        <v/>
      </c>
      <c r="AV316">
        <f>IF(OR(D316=0,'Исходные данные'!$B$9="",'Исходные данные'!$B$90=""),0,AT316/(1+'Исходные данные'!$B$90)^((C316-'Исходные данные'!$B$9)/365))</f>
        <v>0</v>
      </c>
      <c r="AW316">
        <f>IF(D316=1,AH316+Расчёты!O316+Расчёты!Q316+Расчёты!S316+Расчёты!U316+Расчёты!W316+Расчёты!X316+AK316+AN316,0)</f>
        <v>0</v>
      </c>
      <c r="AX316">
        <f>IF(AND(D316=1,AU316&gt;=0,AU315&lt;0,MIN($AU$2:AU316)&lt;0),1,0)</f>
        <v>0</v>
      </c>
      <c r="AY316">
        <f>IF(Расчёты!F316=0,0,IF(Расчёты!G316=1,N('Сценарный анализ'!$D$5),IF(Расчёты!G316=2,N('Сценарный анализ'!$D$6),IF(Расчёты!G316=3,N('Сценарный анализ'!$D$7),N('Сценарный анализ'!$D$7)*(1+N('Сценарный анализ'!$D$8))^(Расчёты!G316-3)))))</f>
        <v>0</v>
      </c>
      <c r="AZ316">
        <f>IF(OR(Расчёты!F316=0,N('Исходные данные'!$B$5)=0,AY316=0),0,N('Исходные данные'!$B$5)*AY316*IF(AND(B316&lt;='Исходные данные'!$B$30,Расчёты!C316&gt;='Исходные данные'!$B$30),(Расчёты!C316-'Исходные данные'!$B$30+1)/DAY(Расчёты!C316),1))</f>
        <v>0</v>
      </c>
      <c r="BA316">
        <f>IF(AND(Расчёты!F316&gt;0,Расчёты!F316&lt;=N('Исходные данные'!$B$37)),-AZ316,0)</f>
        <v>0</v>
      </c>
      <c r="BB316">
        <f>IF(OR(Расчёты!F316=0,Расчёты!F316&lt;=N('Исходные данные'!$B$37)),0,-(AZ316+BA316)*N('Сценарный анализ'!$D$9))</f>
        <v>0</v>
      </c>
      <c r="BC316">
        <f t="shared" si="165"/>
        <v>0</v>
      </c>
      <c r="BD316">
        <f>IF('Исходные данные'!$B$51="Да",BC316*N('Исходные данные'!$B$52),0)</f>
        <v>0</v>
      </c>
      <c r="BE316">
        <f t="shared" si="166"/>
        <v>0</v>
      </c>
      <c r="BF316">
        <f>BC316+(Расчёты!Y316-Расчёты!L316)</f>
        <v>0</v>
      </c>
      <c r="BG316">
        <f t="shared" si="153"/>
        <v>0</v>
      </c>
      <c r="BH316">
        <f>IF('Исходные данные'!$B$51="Да",-MAX(0,BD316+Расчёты!R316+Расчёты!V316-Расчёты!P316-Расчёты!T316-BG316),0)</f>
        <v>0</v>
      </c>
      <c r="BI316">
        <f>IF('Исходные данные'!$B$51="Да",MAX(0,BG316+Расчёты!P316+Расчёты!T316-BD316-Расчёты!R316-Расчёты!V316),0)</f>
        <v>0</v>
      </c>
      <c r="BJ316">
        <f>IF('Исходные данные'!$B$53="Выручка",MAX(0,BC316+(Расчёты!Q316-Расчёты!R316)+(Расчёты!U316-Расчёты!V316)),IF('Исходные данные'!$B$53="Прибыль до налога",MAX(0,BC316+(Расчёты!Q316-Расчёты!R316)+(Расчёты!U316-Расчёты!V316)+N('Исходные данные'!$B$54)*((Расчёты!O316+Расчёты!P316)+(Расчёты!S316+Расчёты!T316)+Расчёты!W316+Расчёты!X316)+IF('Исходные данные'!$B$55="Да",Расчёты!AG316,0)-N('Исходные данные'!$B$56)/12),IF('Исходные данные'!$B$53="Пользовательская база",MAX(0,N('Исходные данные'!$B$57)/12),0)))</f>
        <v>0</v>
      </c>
      <c r="BK316">
        <f>IF(D316=1,-BJ316*N('Исходные данные'!$B$50),0)</f>
        <v>0</v>
      </c>
      <c r="BL316">
        <f t="shared" si="154"/>
        <v>0</v>
      </c>
      <c r="BM316">
        <f>IF(OR(D316&lt;&gt;1,B316="",'Исходные данные'!$B$91="",N('Исходные данные'!$B$80)&lt;=0,'Исходные данные'!$B$88=""),0,IF(AND(YEAR(B316)=YEAR('Исходные данные'!$B$91),MONTH(B316)=MONTH('Исходные данные'!$B$91)),MAX(0,IF('Исходные данные'!$B$88="Последние 12 месяцев",SUMIFS($BF$2:$BF$194,$B$2:$B$194,"&gt;="&amp;EDATE(B316,-11),$B$2:$B$194,"&lt;="&amp;B316),IF('Исходные данные'!$B$88="Пользовательский NOI",N('Исходные данные'!$B$89),BL316))/N('Исходные данные'!$B$80)*(1+N('Исходные данные'!$B$81))),0))</f>
        <v>0</v>
      </c>
      <c r="BN316">
        <f>-BM316*N('Исходные данные'!$B$73)</f>
        <v>0</v>
      </c>
      <c r="BO316">
        <f>IF(BM316=0,0,-N('Исходные данные'!$B$87)-IF('Исходные данные'!$B$82="Да",IF('Исходные данные'!$B$84="С выручки",BM316,IF('Исходные данные'!$B$84="С прибыли",MAX(0,BM316+BN316-IF('Исходные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16">
        <f t="shared" si="167"/>
        <v>0</v>
      </c>
      <c r="BQ316">
        <f>IF(D316=1,Расчёты!AZ316+BE316+BH316+BK316+BP316,0)</f>
        <v>0</v>
      </c>
      <c r="BR316" t="str">
        <f t="shared" si="155"/>
        <v/>
      </c>
      <c r="BS316">
        <f>IF(OR(D316=0,'Исходные данные'!$B$9="",'Исходные данные'!$B$90=""),0,BQ316/(1+'Исходные данные'!$B$90)^((C316-'Исходные данные'!$B$9)/365))</f>
        <v>0</v>
      </c>
      <c r="BT316">
        <f>IF(D316=1,BE316+Расчёты!O316+Расчёты!Q316+Расчёты!S316+Расчёты!U316+Расчёты!W316+Расчёты!X316+BH316+BK316,0)</f>
        <v>0</v>
      </c>
      <c r="BU316">
        <f>IF(AND(D316=1,BR316&gt;=0,BR315&lt;0,MIN($BR$2:BR316)&lt;0),1,0)</f>
        <v>0</v>
      </c>
      <c r="BV316">
        <f>Расчёты!AZ316+K316+N316-P316*N('Исходные данные'!$B$50)</f>
        <v>0</v>
      </c>
      <c r="BW316">
        <f t="shared" si="156"/>
        <v>0</v>
      </c>
      <c r="BX316">
        <f>IF(AND(BW316&gt;=0,BW315&lt;0,MIN($BW$2:BW316)&lt;0),1,0)</f>
        <v>0</v>
      </c>
      <c r="BY316">
        <f>Расчёты!AZ316+AH316+AK316-AM316*N('Исходные данные'!$B$50)</f>
        <v>0</v>
      </c>
      <c r="BZ316">
        <f t="shared" si="157"/>
        <v>0</v>
      </c>
      <c r="CA316">
        <f>IF(AND(BZ316&gt;=0,BZ315&lt;0,MIN($BZ$2:BZ316)&lt;0),1,0)</f>
        <v>0</v>
      </c>
      <c r="CB316">
        <f>Расчёты!AZ316+BE316+BH316-BJ316*N('Исходные данные'!$B$50)</f>
        <v>0</v>
      </c>
      <c r="CC316">
        <f t="shared" si="158"/>
        <v>0</v>
      </c>
      <c r="CD316">
        <f>IF(AND(CC316&gt;=0,CC315&lt;0,MIN($CC$2:CC316)&lt;0),1,0)</f>
        <v>0</v>
      </c>
    </row>
    <row r="317" spans="1:82" x14ac:dyDescent="0.2">
      <c r="A317">
        <f>Расчёты!A317</f>
        <v>316</v>
      </c>
      <c r="B317" t="str">
        <f>Расчёты!B317</f>
        <v/>
      </c>
      <c r="C317" t="str">
        <f>Расчёты!D317</f>
        <v/>
      </c>
      <c r="D317">
        <f>Расчёты!E317</f>
        <v>0</v>
      </c>
      <c r="E317">
        <f>IF(Расчёты!F317=0,0,IF(Расчёты!G317=1,N('Сценарный анализ'!$B$5),IF(Расчёты!G317=2,N('Сценарный анализ'!$B$6),IF(Расчёты!G317=3,N('Сценарный анализ'!$B$7),N('Сценарный анализ'!$B$7)*(1+N('Сценарный анализ'!$B$8))^(Расчёты!G317-3)))))</f>
        <v>0</v>
      </c>
      <c r="F317">
        <f>IF(OR(Расчёты!F317=0,N('Исходные данные'!$B$5)=0,E317=0),0,N('Исходные данные'!$B$5)*E317*IF(AND(B317&lt;='Исходные данные'!$B$30,Расчёты!C317&gt;='Исходные данные'!$B$30),(Расчёты!C317-'Исходные данные'!$B$30+1)/DAY(Расчёты!C317),1))</f>
        <v>0</v>
      </c>
      <c r="G317">
        <f>IF(AND(Расчёты!F317&gt;0,Расчёты!F317&lt;=N('Исходные данные'!$B$37)),-F317,0)</f>
        <v>0</v>
      </c>
      <c r="H317">
        <f>IF(OR(Расчёты!F317=0,Расчёты!F317&lt;=N('Исходные данные'!$B$37)),0,-(F317+G317)*N('Сценарный анализ'!$B$9))</f>
        <v>0</v>
      </c>
      <c r="I317">
        <f t="shared" si="159"/>
        <v>0</v>
      </c>
      <c r="J317">
        <f>IF('Исходные данные'!$B$51="Да",I317*N('Исходные данные'!$B$52),0)</f>
        <v>0</v>
      </c>
      <c r="K317">
        <f t="shared" si="160"/>
        <v>0</v>
      </c>
      <c r="L317">
        <f>I317+(Расчёты!Y317-Расчёты!L317)</f>
        <v>0</v>
      </c>
      <c r="M317">
        <f t="shared" si="147"/>
        <v>0</v>
      </c>
      <c r="N317">
        <f>IF('Исходные данные'!$B$51="Да",-MAX(0,J317+Расчёты!R317+Расчёты!V317-Расчёты!P317-Расчёты!T317-M317),0)</f>
        <v>0</v>
      </c>
      <c r="O317">
        <f>IF('Исходные данные'!$B$51="Да",MAX(0,M317+Расчёты!P317+Расчёты!T317-J317-Расчёты!R317-Расчёты!V317),0)</f>
        <v>0</v>
      </c>
      <c r="P317">
        <f>IF('Исходные данные'!$B$53="Выручка",MAX(0,I317+(Расчёты!Q317-Расчёты!R317)+(Расчёты!U317-Расчёты!V317)),IF('Исходные данные'!$B$53="Прибыль до налога",MAX(0,I317+(Расчёты!Q317-Расчёты!R317)+(Расчёты!U317-Расчёты!V317)+N('Исходные данные'!$B$54)*((Расчёты!O317+Расчёты!P317)+(Расчёты!S317+Расчёты!T317)+Расчёты!W317+Расчёты!X317)+IF('Исходные данные'!$B$55="Да",Расчёты!AG317,0)-N('Исходные данные'!$B$56)/12),IF('Исходные данные'!$B$53="Пользовательская база",MAX(0,N('Исходные данные'!$B$57)/12),0)))</f>
        <v>0</v>
      </c>
      <c r="Q317">
        <f>IF(D317=1,-P317*N('Исходные данные'!$B$50),0)</f>
        <v>0</v>
      </c>
      <c r="R317">
        <f t="shared" si="148"/>
        <v>0</v>
      </c>
      <c r="S317">
        <f>IF(OR(D317&lt;&gt;1,B317="",'Исходные данные'!$B$91="",N('Исходные данные'!$B$80)&lt;=0,'Исходные данные'!$B$88=""),0,IF(AND(YEAR(B317)=YEAR('Исходные данные'!$B$91),MONTH(B317)=MONTH('Исходные данные'!$B$91)),MAX(0,IF('Исходные данные'!$B$88="Последние 12 месяцев",SUMIFS($L$2:$L$194,$B$2:$B$194,"&gt;="&amp;EDATE(B317,-11),$B$2:$B$194,"&lt;="&amp;B317),IF('Исходные данные'!$B$88="Пользовательский NOI",N('Исходные данные'!$B$89),R317))/N('Исходные данные'!$B$80)*(1+N('Исходные данные'!$B$81))),0))</f>
        <v>0</v>
      </c>
      <c r="T317">
        <f>-S317*N('Исходные данные'!$B$73)</f>
        <v>0</v>
      </c>
      <c r="U317">
        <f>IF(S317=0,0,-N('Исходные данные'!$B$87)-IF('Исходные данные'!$B$82="Да",IF('Исходные данные'!$B$84="С выручки",S317,IF('Исходные данные'!$B$84="С прибыли",MAX(0,S317+T317-IF('Исходные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17">
        <f t="shared" si="161"/>
        <v>0</v>
      </c>
      <c r="W317">
        <f>IF(D317=1,Расчёты!AZ317+K317+N317+Q317+V317,0)</f>
        <v>0</v>
      </c>
      <c r="X317" t="str">
        <f t="shared" si="149"/>
        <v/>
      </c>
      <c r="Y317">
        <f>IF(OR(D317=0,'Исходные данные'!$B$9="",'Исходные данные'!$B$90=""),0,W317/(1+'Исходные данные'!$B$90)^((C317-'Исходные данные'!$B$9)/365))</f>
        <v>0</v>
      </c>
      <c r="Z317">
        <f>IF(D317=1,K317+Расчёты!O317+Расчёты!Q317+Расчёты!S317+Расчёты!U317+Расчёты!W317+Расчёты!X317+N317+Q317,0)</f>
        <v>0</v>
      </c>
      <c r="AA317">
        <f>IF(AND(D317=1,X317&gt;=0,X316&lt;0,MIN($X$2:X317)&lt;0),1,0)</f>
        <v>0</v>
      </c>
      <c r="AB317">
        <f>IF(Расчёты!F317=0,0,IF(Расчёты!G317=1,N('Сценарный анализ'!$C$5),IF(Расчёты!G317=2,N('Сценарный анализ'!$C$6),IF(Расчёты!G317=3,N('Сценарный анализ'!$C$7),N('Сценарный анализ'!$C$7)*(1+N('Сценарный анализ'!$C$8))^(Расчёты!G317-3)))))</f>
        <v>0</v>
      </c>
      <c r="AC317">
        <f>IF(OR(Расчёты!F317=0,N('Исходные данные'!$B$5)=0,AB317=0),0,N('Исходные данные'!$B$5)*AB317*IF(AND(B317&lt;='Исходные данные'!$B$30,Расчёты!C317&gt;='Исходные данные'!$B$30),(Расчёты!C317-'Исходные данные'!$B$30+1)/DAY(Расчёты!C317),1))</f>
        <v>0</v>
      </c>
      <c r="AD317">
        <f>IF(AND(Расчёты!F317&gt;0,Расчёты!F317&lt;=N('Исходные данные'!$B$37)),-AC317,0)</f>
        <v>0</v>
      </c>
      <c r="AE317">
        <f>IF(OR(Расчёты!F317=0,Расчёты!F317&lt;=N('Исходные данные'!$B$37)),0,-(AC317+AD317)*N('Сценарный анализ'!$C$9))</f>
        <v>0</v>
      </c>
      <c r="AF317">
        <f t="shared" si="162"/>
        <v>0</v>
      </c>
      <c r="AG317">
        <f>IF('Исходные данные'!$B$51="Да",AF317*N('Исходные данные'!$B$52),0)</f>
        <v>0</v>
      </c>
      <c r="AH317">
        <f t="shared" si="163"/>
        <v>0</v>
      </c>
      <c r="AI317">
        <f>AF317+(Расчёты!Y317-Расчёты!L317)</f>
        <v>0</v>
      </c>
      <c r="AJ317">
        <f t="shared" si="150"/>
        <v>0</v>
      </c>
      <c r="AK317">
        <f>IF('Исходные данные'!$B$51="Да",-MAX(0,AG317+Расчёты!R317+Расчёты!V317-Расчёты!P317-Расчёты!T317-AJ317),0)</f>
        <v>0</v>
      </c>
      <c r="AL317">
        <f>IF('Исходные данные'!$B$51="Да",MAX(0,AJ317+Расчёты!P317+Расчёты!T317-AG317-Расчёты!R317-Расчёты!V317),0)</f>
        <v>0</v>
      </c>
      <c r="AM317">
        <f>IF('Исходные данные'!$B$53="Выручка",MAX(0,AF317+(Расчёты!Q317-Расчёты!R317)+(Расчёты!U317-Расчёты!V317)),IF('Исходные данные'!$B$53="Прибыль до налога",MAX(0,AF317+(Расчёты!Q317-Расчёты!R317)+(Расчёты!U317-Расчёты!V317)+N('Исходные данные'!$B$54)*((Расчёты!O317+Расчёты!P317)+(Расчёты!S317+Расчёты!T317)+Расчёты!W317+Расчёты!X317)+IF('Исходные данные'!$B$55="Да",Расчёты!AG317,0)-N('Исходные данные'!$B$56)/12),IF('Исходные данные'!$B$53="Пользовательская база",MAX(0,N('Исходные данные'!$B$57)/12),0)))</f>
        <v>0</v>
      </c>
      <c r="AN317">
        <f>IF(D317=1,-AM317*N('Исходные данные'!$B$50),0)</f>
        <v>0</v>
      </c>
      <c r="AO317">
        <f t="shared" si="151"/>
        <v>0</v>
      </c>
      <c r="AP317">
        <f>IF(OR(D317&lt;&gt;1,B317="",'Исходные данные'!$B$91="",N('Исходные данные'!$B$80)&lt;=0,'Исходные данные'!$B$88=""),0,IF(AND(YEAR(B317)=YEAR('Исходные данные'!$B$91),MONTH(B317)=MONTH('Исходные данные'!$B$91)),MAX(0,IF('Исходные данные'!$B$88="Последние 12 месяцев",SUMIFS($AI$2:$AI$194,$B$2:$B$194,"&gt;="&amp;EDATE(B317,-11),$B$2:$B$194,"&lt;="&amp;B317),IF('Исходные данные'!$B$88="Пользовательский NOI",N('Исходные данные'!$B$89),AO317))/N('Исходные данные'!$B$80)*(1+N('Исходные данные'!$B$81))),0))</f>
        <v>0</v>
      </c>
      <c r="AQ317">
        <f>-AP317*N('Исходные данные'!$B$73)</f>
        <v>0</v>
      </c>
      <c r="AR317">
        <f>IF(AP317=0,0,-N('Исходные данные'!$B$87)-IF('Исходные данные'!$B$82="Да",IF('Исходные данные'!$B$84="С выручки",AP317,IF('Исходные данные'!$B$84="С прибыли",MAX(0,AP317+AQ317-IF('Исходные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17">
        <f t="shared" si="164"/>
        <v>0</v>
      </c>
      <c r="AT317">
        <f>IF(D317=1,Расчёты!AZ317+AH317+AK317+AN317+AS317,0)</f>
        <v>0</v>
      </c>
      <c r="AU317" t="str">
        <f t="shared" si="152"/>
        <v/>
      </c>
      <c r="AV317">
        <f>IF(OR(D317=0,'Исходные данные'!$B$9="",'Исходные данные'!$B$90=""),0,AT317/(1+'Исходные данные'!$B$90)^((C317-'Исходные данные'!$B$9)/365))</f>
        <v>0</v>
      </c>
      <c r="AW317">
        <f>IF(D317=1,AH317+Расчёты!O317+Расчёты!Q317+Расчёты!S317+Расчёты!U317+Расчёты!W317+Расчёты!X317+AK317+AN317,0)</f>
        <v>0</v>
      </c>
      <c r="AX317">
        <f>IF(AND(D317=1,AU317&gt;=0,AU316&lt;0,MIN($AU$2:AU317)&lt;0),1,0)</f>
        <v>0</v>
      </c>
      <c r="AY317">
        <f>IF(Расчёты!F317=0,0,IF(Расчёты!G317=1,N('Сценарный анализ'!$D$5),IF(Расчёты!G317=2,N('Сценарный анализ'!$D$6),IF(Расчёты!G317=3,N('Сценарный анализ'!$D$7),N('Сценарный анализ'!$D$7)*(1+N('Сценарный анализ'!$D$8))^(Расчёты!G317-3)))))</f>
        <v>0</v>
      </c>
      <c r="AZ317">
        <f>IF(OR(Расчёты!F317=0,N('Исходные данные'!$B$5)=0,AY317=0),0,N('Исходные данные'!$B$5)*AY317*IF(AND(B317&lt;='Исходные данные'!$B$30,Расчёты!C317&gt;='Исходные данные'!$B$30),(Расчёты!C317-'Исходные данные'!$B$30+1)/DAY(Расчёты!C317),1))</f>
        <v>0</v>
      </c>
      <c r="BA317">
        <f>IF(AND(Расчёты!F317&gt;0,Расчёты!F317&lt;=N('Исходные данные'!$B$37)),-AZ317,0)</f>
        <v>0</v>
      </c>
      <c r="BB317">
        <f>IF(OR(Расчёты!F317=0,Расчёты!F317&lt;=N('Исходные данные'!$B$37)),0,-(AZ317+BA317)*N('Сценарный анализ'!$D$9))</f>
        <v>0</v>
      </c>
      <c r="BC317">
        <f t="shared" si="165"/>
        <v>0</v>
      </c>
      <c r="BD317">
        <f>IF('Исходные данные'!$B$51="Да",BC317*N('Исходные данные'!$B$52),0)</f>
        <v>0</v>
      </c>
      <c r="BE317">
        <f t="shared" si="166"/>
        <v>0</v>
      </c>
      <c r="BF317">
        <f>BC317+(Расчёты!Y317-Расчёты!L317)</f>
        <v>0</v>
      </c>
      <c r="BG317">
        <f t="shared" si="153"/>
        <v>0</v>
      </c>
      <c r="BH317">
        <f>IF('Исходные данные'!$B$51="Да",-MAX(0,BD317+Расчёты!R317+Расчёты!V317-Расчёты!P317-Расчёты!T317-BG317),0)</f>
        <v>0</v>
      </c>
      <c r="BI317">
        <f>IF('Исходные данные'!$B$51="Да",MAX(0,BG317+Расчёты!P317+Расчёты!T317-BD317-Расчёты!R317-Расчёты!V317),0)</f>
        <v>0</v>
      </c>
      <c r="BJ317">
        <f>IF('Исходные данные'!$B$53="Выручка",MAX(0,BC317+(Расчёты!Q317-Расчёты!R317)+(Расчёты!U317-Расчёты!V317)),IF('Исходные данные'!$B$53="Прибыль до налога",MAX(0,BC317+(Расчёты!Q317-Расчёты!R317)+(Расчёты!U317-Расчёты!V317)+N('Исходные данные'!$B$54)*((Расчёты!O317+Расчёты!P317)+(Расчёты!S317+Расчёты!T317)+Расчёты!W317+Расчёты!X317)+IF('Исходные данные'!$B$55="Да",Расчёты!AG317,0)-N('Исходные данные'!$B$56)/12),IF('Исходные данные'!$B$53="Пользовательская база",MAX(0,N('Исходные данные'!$B$57)/12),0)))</f>
        <v>0</v>
      </c>
      <c r="BK317">
        <f>IF(D317=1,-BJ317*N('Исходные данные'!$B$50),0)</f>
        <v>0</v>
      </c>
      <c r="BL317">
        <f t="shared" si="154"/>
        <v>0</v>
      </c>
      <c r="BM317">
        <f>IF(OR(D317&lt;&gt;1,B317="",'Исходные данные'!$B$91="",N('Исходные данные'!$B$80)&lt;=0,'Исходные данные'!$B$88=""),0,IF(AND(YEAR(B317)=YEAR('Исходные данные'!$B$91),MONTH(B317)=MONTH('Исходные данные'!$B$91)),MAX(0,IF('Исходные данные'!$B$88="Последние 12 месяцев",SUMIFS($BF$2:$BF$194,$B$2:$B$194,"&gt;="&amp;EDATE(B317,-11),$B$2:$B$194,"&lt;="&amp;B317),IF('Исходные данные'!$B$88="Пользовательский NOI",N('Исходные данные'!$B$89),BL317))/N('Исходные данные'!$B$80)*(1+N('Исходные данные'!$B$81))),0))</f>
        <v>0</v>
      </c>
      <c r="BN317">
        <f>-BM317*N('Исходные данные'!$B$73)</f>
        <v>0</v>
      </c>
      <c r="BO317">
        <f>IF(BM317=0,0,-N('Исходные данные'!$B$87)-IF('Исходные данные'!$B$82="Да",IF('Исходные данные'!$B$84="С выручки",BM317,IF('Исходные данные'!$B$84="С прибыли",MAX(0,BM317+BN317-IF('Исходные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17">
        <f t="shared" si="167"/>
        <v>0</v>
      </c>
      <c r="BQ317">
        <f>IF(D317=1,Расчёты!AZ317+BE317+BH317+BK317+BP317,0)</f>
        <v>0</v>
      </c>
      <c r="BR317" t="str">
        <f t="shared" si="155"/>
        <v/>
      </c>
      <c r="BS317">
        <f>IF(OR(D317=0,'Исходные данные'!$B$9="",'Исходные данные'!$B$90=""),0,BQ317/(1+'Исходные данные'!$B$90)^((C317-'Исходные данные'!$B$9)/365))</f>
        <v>0</v>
      </c>
      <c r="BT317">
        <f>IF(D317=1,BE317+Расчёты!O317+Расчёты!Q317+Расчёты!S317+Расчёты!U317+Расчёты!W317+Расчёты!X317+BH317+BK317,0)</f>
        <v>0</v>
      </c>
      <c r="BU317">
        <f>IF(AND(D317=1,BR317&gt;=0,BR316&lt;0,MIN($BR$2:BR317)&lt;0),1,0)</f>
        <v>0</v>
      </c>
      <c r="BV317">
        <f>Расчёты!AZ317+K317+N317-P317*N('Исходные данные'!$B$50)</f>
        <v>0</v>
      </c>
      <c r="BW317">
        <f t="shared" si="156"/>
        <v>0</v>
      </c>
      <c r="BX317">
        <f>IF(AND(BW317&gt;=0,BW316&lt;0,MIN($BW$2:BW317)&lt;0),1,0)</f>
        <v>0</v>
      </c>
      <c r="BY317">
        <f>Расчёты!AZ317+AH317+AK317-AM317*N('Исходные данные'!$B$50)</f>
        <v>0</v>
      </c>
      <c r="BZ317">
        <f t="shared" si="157"/>
        <v>0</v>
      </c>
      <c r="CA317">
        <f>IF(AND(BZ317&gt;=0,BZ316&lt;0,MIN($BZ$2:BZ317)&lt;0),1,0)</f>
        <v>0</v>
      </c>
      <c r="CB317">
        <f>Расчёты!AZ317+BE317+BH317-BJ317*N('Исходные данные'!$B$50)</f>
        <v>0</v>
      </c>
      <c r="CC317">
        <f t="shared" si="158"/>
        <v>0</v>
      </c>
      <c r="CD317">
        <f>IF(AND(CC317&gt;=0,CC316&lt;0,MIN($CC$2:CC317)&lt;0),1,0)</f>
        <v>0</v>
      </c>
    </row>
    <row r="318" spans="1:82" x14ac:dyDescent="0.2">
      <c r="A318">
        <f>Расчёты!A318</f>
        <v>317</v>
      </c>
      <c r="B318" t="str">
        <f>Расчёты!B318</f>
        <v/>
      </c>
      <c r="C318" t="str">
        <f>Расчёты!D318</f>
        <v/>
      </c>
      <c r="D318">
        <f>Расчёты!E318</f>
        <v>0</v>
      </c>
      <c r="E318">
        <f>IF(Расчёты!F318=0,0,IF(Расчёты!G318=1,N('Сценарный анализ'!$B$5),IF(Расчёты!G318=2,N('Сценарный анализ'!$B$6),IF(Расчёты!G318=3,N('Сценарный анализ'!$B$7),N('Сценарный анализ'!$B$7)*(1+N('Сценарный анализ'!$B$8))^(Расчёты!G318-3)))))</f>
        <v>0</v>
      </c>
      <c r="F318">
        <f>IF(OR(Расчёты!F318=0,N('Исходные данные'!$B$5)=0,E318=0),0,N('Исходные данные'!$B$5)*E318*IF(AND(B318&lt;='Исходные данные'!$B$30,Расчёты!C318&gt;='Исходные данные'!$B$30),(Расчёты!C318-'Исходные данные'!$B$30+1)/DAY(Расчёты!C318),1))</f>
        <v>0</v>
      </c>
      <c r="G318">
        <f>IF(AND(Расчёты!F318&gt;0,Расчёты!F318&lt;=N('Исходные данные'!$B$37)),-F318,0)</f>
        <v>0</v>
      </c>
      <c r="H318">
        <f>IF(OR(Расчёты!F318=0,Расчёты!F318&lt;=N('Исходные данные'!$B$37)),0,-(F318+G318)*N('Сценарный анализ'!$B$9))</f>
        <v>0</v>
      </c>
      <c r="I318">
        <f t="shared" si="159"/>
        <v>0</v>
      </c>
      <c r="J318">
        <f>IF('Исходные данные'!$B$51="Да",I318*N('Исходные данные'!$B$52),0)</f>
        <v>0</v>
      </c>
      <c r="K318">
        <f t="shared" si="160"/>
        <v>0</v>
      </c>
      <c r="L318">
        <f>I318+(Расчёты!Y318-Расчёты!L318)</f>
        <v>0</v>
      </c>
      <c r="M318">
        <f t="shared" si="147"/>
        <v>0</v>
      </c>
      <c r="N318">
        <f>IF('Исходные данные'!$B$51="Да",-MAX(0,J318+Расчёты!R318+Расчёты!V318-Расчёты!P318-Расчёты!T318-M318),0)</f>
        <v>0</v>
      </c>
      <c r="O318">
        <f>IF('Исходные данные'!$B$51="Да",MAX(0,M318+Расчёты!P318+Расчёты!T318-J318-Расчёты!R318-Расчёты!V318),0)</f>
        <v>0</v>
      </c>
      <c r="P318">
        <f>IF('Исходные данные'!$B$53="Выручка",MAX(0,I318+(Расчёты!Q318-Расчёты!R318)+(Расчёты!U318-Расчёты!V318)),IF('Исходные данные'!$B$53="Прибыль до налога",MAX(0,I318+(Расчёты!Q318-Расчёты!R318)+(Расчёты!U318-Расчёты!V318)+N('Исходные данные'!$B$54)*((Расчёты!O318+Расчёты!P318)+(Расчёты!S318+Расчёты!T318)+Расчёты!W318+Расчёты!X318)+IF('Исходные данные'!$B$55="Да",Расчёты!AG318,0)-N('Исходные данные'!$B$56)/12),IF('Исходные данные'!$B$53="Пользовательская база",MAX(0,N('Исходные данные'!$B$57)/12),0)))</f>
        <v>0</v>
      </c>
      <c r="Q318">
        <f>IF(D318=1,-P318*N('Исходные данные'!$B$50),0)</f>
        <v>0</v>
      </c>
      <c r="R318">
        <f t="shared" si="148"/>
        <v>0</v>
      </c>
      <c r="S318">
        <f>IF(OR(D318&lt;&gt;1,B318="",'Исходные данные'!$B$91="",N('Исходные данные'!$B$80)&lt;=0,'Исходные данные'!$B$88=""),0,IF(AND(YEAR(B318)=YEAR('Исходные данные'!$B$91),MONTH(B318)=MONTH('Исходные данные'!$B$91)),MAX(0,IF('Исходные данные'!$B$88="Последние 12 месяцев",SUMIFS($L$2:$L$194,$B$2:$B$194,"&gt;="&amp;EDATE(B318,-11),$B$2:$B$194,"&lt;="&amp;B318),IF('Исходные данные'!$B$88="Пользовательский NOI",N('Исходные данные'!$B$89),R318))/N('Исходные данные'!$B$80)*(1+N('Исходные данные'!$B$81))),0))</f>
        <v>0</v>
      </c>
      <c r="T318">
        <f>-S318*N('Исходные данные'!$B$73)</f>
        <v>0</v>
      </c>
      <c r="U318">
        <f>IF(S318=0,0,-N('Исходные данные'!$B$87)-IF('Исходные данные'!$B$82="Да",IF('Исходные данные'!$B$84="С выручки",S318,IF('Исходные данные'!$B$84="С прибыли",MAX(0,S318+T318-IF('Исходные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18">
        <f t="shared" si="161"/>
        <v>0</v>
      </c>
      <c r="W318">
        <f>IF(D318=1,Расчёты!AZ318+K318+N318+Q318+V318,0)</f>
        <v>0</v>
      </c>
      <c r="X318" t="str">
        <f t="shared" si="149"/>
        <v/>
      </c>
      <c r="Y318">
        <f>IF(OR(D318=0,'Исходные данные'!$B$9="",'Исходные данные'!$B$90=""),0,W318/(1+'Исходные данные'!$B$90)^((C318-'Исходные данные'!$B$9)/365))</f>
        <v>0</v>
      </c>
      <c r="Z318">
        <f>IF(D318=1,K318+Расчёты!O318+Расчёты!Q318+Расчёты!S318+Расчёты!U318+Расчёты!W318+Расчёты!X318+N318+Q318,0)</f>
        <v>0</v>
      </c>
      <c r="AA318">
        <f>IF(AND(D318=1,X318&gt;=0,X317&lt;0,MIN($X$2:X318)&lt;0),1,0)</f>
        <v>0</v>
      </c>
      <c r="AB318">
        <f>IF(Расчёты!F318=0,0,IF(Расчёты!G318=1,N('Сценарный анализ'!$C$5),IF(Расчёты!G318=2,N('Сценарный анализ'!$C$6),IF(Расчёты!G318=3,N('Сценарный анализ'!$C$7),N('Сценарный анализ'!$C$7)*(1+N('Сценарный анализ'!$C$8))^(Расчёты!G318-3)))))</f>
        <v>0</v>
      </c>
      <c r="AC318">
        <f>IF(OR(Расчёты!F318=0,N('Исходные данные'!$B$5)=0,AB318=0),0,N('Исходные данные'!$B$5)*AB318*IF(AND(B318&lt;='Исходные данные'!$B$30,Расчёты!C318&gt;='Исходные данные'!$B$30),(Расчёты!C318-'Исходные данные'!$B$30+1)/DAY(Расчёты!C318),1))</f>
        <v>0</v>
      </c>
      <c r="AD318">
        <f>IF(AND(Расчёты!F318&gt;0,Расчёты!F318&lt;=N('Исходные данные'!$B$37)),-AC318,0)</f>
        <v>0</v>
      </c>
      <c r="AE318">
        <f>IF(OR(Расчёты!F318=0,Расчёты!F318&lt;=N('Исходные данные'!$B$37)),0,-(AC318+AD318)*N('Сценарный анализ'!$C$9))</f>
        <v>0</v>
      </c>
      <c r="AF318">
        <f t="shared" si="162"/>
        <v>0</v>
      </c>
      <c r="AG318">
        <f>IF('Исходные данные'!$B$51="Да",AF318*N('Исходные данные'!$B$52),0)</f>
        <v>0</v>
      </c>
      <c r="AH318">
        <f t="shared" si="163"/>
        <v>0</v>
      </c>
      <c r="AI318">
        <f>AF318+(Расчёты!Y318-Расчёты!L318)</f>
        <v>0</v>
      </c>
      <c r="AJ318">
        <f t="shared" si="150"/>
        <v>0</v>
      </c>
      <c r="AK318">
        <f>IF('Исходные данные'!$B$51="Да",-MAX(0,AG318+Расчёты!R318+Расчёты!V318-Расчёты!P318-Расчёты!T318-AJ318),0)</f>
        <v>0</v>
      </c>
      <c r="AL318">
        <f>IF('Исходные данные'!$B$51="Да",MAX(0,AJ318+Расчёты!P318+Расчёты!T318-AG318-Расчёты!R318-Расчёты!V318),0)</f>
        <v>0</v>
      </c>
      <c r="AM318">
        <f>IF('Исходные данные'!$B$53="Выручка",MAX(0,AF318+(Расчёты!Q318-Расчёты!R318)+(Расчёты!U318-Расчёты!V318)),IF('Исходные данные'!$B$53="Прибыль до налога",MAX(0,AF318+(Расчёты!Q318-Расчёты!R318)+(Расчёты!U318-Расчёты!V318)+N('Исходные данные'!$B$54)*((Расчёты!O318+Расчёты!P318)+(Расчёты!S318+Расчёты!T318)+Расчёты!W318+Расчёты!X318)+IF('Исходные данные'!$B$55="Да",Расчёты!AG318,0)-N('Исходные данные'!$B$56)/12),IF('Исходные данные'!$B$53="Пользовательская база",MAX(0,N('Исходные данные'!$B$57)/12),0)))</f>
        <v>0</v>
      </c>
      <c r="AN318">
        <f>IF(D318=1,-AM318*N('Исходные данные'!$B$50),0)</f>
        <v>0</v>
      </c>
      <c r="AO318">
        <f t="shared" si="151"/>
        <v>0</v>
      </c>
      <c r="AP318">
        <f>IF(OR(D318&lt;&gt;1,B318="",'Исходные данные'!$B$91="",N('Исходные данные'!$B$80)&lt;=0,'Исходные данные'!$B$88=""),0,IF(AND(YEAR(B318)=YEAR('Исходные данные'!$B$91),MONTH(B318)=MONTH('Исходные данные'!$B$91)),MAX(0,IF('Исходные данные'!$B$88="Последние 12 месяцев",SUMIFS($AI$2:$AI$194,$B$2:$B$194,"&gt;="&amp;EDATE(B318,-11),$B$2:$B$194,"&lt;="&amp;B318),IF('Исходные данные'!$B$88="Пользовательский NOI",N('Исходные данные'!$B$89),AO318))/N('Исходные данные'!$B$80)*(1+N('Исходные данные'!$B$81))),0))</f>
        <v>0</v>
      </c>
      <c r="AQ318">
        <f>-AP318*N('Исходные данные'!$B$73)</f>
        <v>0</v>
      </c>
      <c r="AR318">
        <f>IF(AP318=0,0,-N('Исходные данные'!$B$87)-IF('Исходные данные'!$B$82="Да",IF('Исходные данные'!$B$84="С выручки",AP318,IF('Исходные данные'!$B$84="С прибыли",MAX(0,AP318+AQ318-IF('Исходные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18">
        <f t="shared" si="164"/>
        <v>0</v>
      </c>
      <c r="AT318">
        <f>IF(D318=1,Расчёты!AZ318+AH318+AK318+AN318+AS318,0)</f>
        <v>0</v>
      </c>
      <c r="AU318" t="str">
        <f t="shared" si="152"/>
        <v/>
      </c>
      <c r="AV318">
        <f>IF(OR(D318=0,'Исходные данные'!$B$9="",'Исходные данные'!$B$90=""),0,AT318/(1+'Исходные данные'!$B$90)^((C318-'Исходные данные'!$B$9)/365))</f>
        <v>0</v>
      </c>
      <c r="AW318">
        <f>IF(D318=1,AH318+Расчёты!O318+Расчёты!Q318+Расчёты!S318+Расчёты!U318+Расчёты!W318+Расчёты!X318+AK318+AN318,0)</f>
        <v>0</v>
      </c>
      <c r="AX318">
        <f>IF(AND(D318=1,AU318&gt;=0,AU317&lt;0,MIN($AU$2:AU318)&lt;0),1,0)</f>
        <v>0</v>
      </c>
      <c r="AY318">
        <f>IF(Расчёты!F318=0,0,IF(Расчёты!G318=1,N('Сценарный анализ'!$D$5),IF(Расчёты!G318=2,N('Сценарный анализ'!$D$6),IF(Расчёты!G318=3,N('Сценарный анализ'!$D$7),N('Сценарный анализ'!$D$7)*(1+N('Сценарный анализ'!$D$8))^(Расчёты!G318-3)))))</f>
        <v>0</v>
      </c>
      <c r="AZ318">
        <f>IF(OR(Расчёты!F318=0,N('Исходные данные'!$B$5)=0,AY318=0),0,N('Исходные данные'!$B$5)*AY318*IF(AND(B318&lt;='Исходные данные'!$B$30,Расчёты!C318&gt;='Исходные данные'!$B$30),(Расчёты!C318-'Исходные данные'!$B$30+1)/DAY(Расчёты!C318),1))</f>
        <v>0</v>
      </c>
      <c r="BA318">
        <f>IF(AND(Расчёты!F318&gt;0,Расчёты!F318&lt;=N('Исходные данные'!$B$37)),-AZ318,0)</f>
        <v>0</v>
      </c>
      <c r="BB318">
        <f>IF(OR(Расчёты!F318=0,Расчёты!F318&lt;=N('Исходные данные'!$B$37)),0,-(AZ318+BA318)*N('Сценарный анализ'!$D$9))</f>
        <v>0</v>
      </c>
      <c r="BC318">
        <f t="shared" si="165"/>
        <v>0</v>
      </c>
      <c r="BD318">
        <f>IF('Исходные данные'!$B$51="Да",BC318*N('Исходные данные'!$B$52),0)</f>
        <v>0</v>
      </c>
      <c r="BE318">
        <f t="shared" si="166"/>
        <v>0</v>
      </c>
      <c r="BF318">
        <f>BC318+(Расчёты!Y318-Расчёты!L318)</f>
        <v>0</v>
      </c>
      <c r="BG318">
        <f t="shared" si="153"/>
        <v>0</v>
      </c>
      <c r="BH318">
        <f>IF('Исходные данные'!$B$51="Да",-MAX(0,BD318+Расчёты!R318+Расчёты!V318-Расчёты!P318-Расчёты!T318-BG318),0)</f>
        <v>0</v>
      </c>
      <c r="BI318">
        <f>IF('Исходные данные'!$B$51="Да",MAX(0,BG318+Расчёты!P318+Расчёты!T318-BD318-Расчёты!R318-Расчёты!V318),0)</f>
        <v>0</v>
      </c>
      <c r="BJ318">
        <f>IF('Исходные данные'!$B$53="Выручка",MAX(0,BC318+(Расчёты!Q318-Расчёты!R318)+(Расчёты!U318-Расчёты!V318)),IF('Исходные данные'!$B$53="Прибыль до налога",MAX(0,BC318+(Расчёты!Q318-Расчёты!R318)+(Расчёты!U318-Расчёты!V318)+N('Исходные данные'!$B$54)*((Расчёты!O318+Расчёты!P318)+(Расчёты!S318+Расчёты!T318)+Расчёты!W318+Расчёты!X318)+IF('Исходные данные'!$B$55="Да",Расчёты!AG318,0)-N('Исходные данные'!$B$56)/12),IF('Исходные данные'!$B$53="Пользовательская база",MAX(0,N('Исходные данные'!$B$57)/12),0)))</f>
        <v>0</v>
      </c>
      <c r="BK318">
        <f>IF(D318=1,-BJ318*N('Исходные данные'!$B$50),0)</f>
        <v>0</v>
      </c>
      <c r="BL318">
        <f t="shared" si="154"/>
        <v>0</v>
      </c>
      <c r="BM318">
        <f>IF(OR(D318&lt;&gt;1,B318="",'Исходные данные'!$B$91="",N('Исходные данные'!$B$80)&lt;=0,'Исходные данные'!$B$88=""),0,IF(AND(YEAR(B318)=YEAR('Исходные данные'!$B$91),MONTH(B318)=MONTH('Исходные данные'!$B$91)),MAX(0,IF('Исходные данные'!$B$88="Последние 12 месяцев",SUMIFS($BF$2:$BF$194,$B$2:$B$194,"&gt;="&amp;EDATE(B318,-11),$B$2:$B$194,"&lt;="&amp;B318),IF('Исходные данные'!$B$88="Пользовательский NOI",N('Исходные данные'!$B$89),BL318))/N('Исходные данные'!$B$80)*(1+N('Исходные данные'!$B$81))),0))</f>
        <v>0</v>
      </c>
      <c r="BN318">
        <f>-BM318*N('Исходные данные'!$B$73)</f>
        <v>0</v>
      </c>
      <c r="BO318">
        <f>IF(BM318=0,0,-N('Исходные данные'!$B$87)-IF('Исходные данные'!$B$82="Да",IF('Исходные данные'!$B$84="С выручки",BM318,IF('Исходные данные'!$B$84="С прибыли",MAX(0,BM318+BN318-IF('Исходные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18">
        <f t="shared" si="167"/>
        <v>0</v>
      </c>
      <c r="BQ318">
        <f>IF(D318=1,Расчёты!AZ318+BE318+BH318+BK318+BP318,0)</f>
        <v>0</v>
      </c>
      <c r="BR318" t="str">
        <f t="shared" si="155"/>
        <v/>
      </c>
      <c r="BS318">
        <f>IF(OR(D318=0,'Исходные данные'!$B$9="",'Исходные данные'!$B$90=""),0,BQ318/(1+'Исходные данные'!$B$90)^((C318-'Исходные данные'!$B$9)/365))</f>
        <v>0</v>
      </c>
      <c r="BT318">
        <f>IF(D318=1,BE318+Расчёты!O318+Расчёты!Q318+Расчёты!S318+Расчёты!U318+Расчёты!W318+Расчёты!X318+BH318+BK318,0)</f>
        <v>0</v>
      </c>
      <c r="BU318">
        <f>IF(AND(D318=1,BR318&gt;=0,BR317&lt;0,MIN($BR$2:BR318)&lt;0),1,0)</f>
        <v>0</v>
      </c>
      <c r="BV318">
        <f>Расчёты!AZ318+K318+N318-P318*N('Исходные данные'!$B$50)</f>
        <v>0</v>
      </c>
      <c r="BW318">
        <f t="shared" si="156"/>
        <v>0</v>
      </c>
      <c r="BX318">
        <f>IF(AND(BW318&gt;=0,BW317&lt;0,MIN($BW$2:BW318)&lt;0),1,0)</f>
        <v>0</v>
      </c>
      <c r="BY318">
        <f>Расчёты!AZ318+AH318+AK318-AM318*N('Исходные данные'!$B$50)</f>
        <v>0</v>
      </c>
      <c r="BZ318">
        <f t="shared" si="157"/>
        <v>0</v>
      </c>
      <c r="CA318">
        <f>IF(AND(BZ318&gt;=0,BZ317&lt;0,MIN($BZ$2:BZ318)&lt;0),1,0)</f>
        <v>0</v>
      </c>
      <c r="CB318">
        <f>Расчёты!AZ318+BE318+BH318-BJ318*N('Исходные данные'!$B$50)</f>
        <v>0</v>
      </c>
      <c r="CC318">
        <f t="shared" si="158"/>
        <v>0</v>
      </c>
      <c r="CD318">
        <f>IF(AND(CC318&gt;=0,CC317&lt;0,MIN($CC$2:CC318)&lt;0),1,0)</f>
        <v>0</v>
      </c>
    </row>
    <row r="319" spans="1:82" x14ac:dyDescent="0.2">
      <c r="A319">
        <f>Расчёты!A319</f>
        <v>318</v>
      </c>
      <c r="B319" t="str">
        <f>Расчёты!B319</f>
        <v/>
      </c>
      <c r="C319" t="str">
        <f>Расчёты!D319</f>
        <v/>
      </c>
      <c r="D319">
        <f>Расчёты!E319</f>
        <v>0</v>
      </c>
      <c r="E319">
        <f>IF(Расчёты!F319=0,0,IF(Расчёты!G319=1,N('Сценарный анализ'!$B$5),IF(Расчёты!G319=2,N('Сценарный анализ'!$B$6),IF(Расчёты!G319=3,N('Сценарный анализ'!$B$7),N('Сценарный анализ'!$B$7)*(1+N('Сценарный анализ'!$B$8))^(Расчёты!G319-3)))))</f>
        <v>0</v>
      </c>
      <c r="F319">
        <f>IF(OR(Расчёты!F319=0,N('Исходные данные'!$B$5)=0,E319=0),0,N('Исходные данные'!$B$5)*E319*IF(AND(B319&lt;='Исходные данные'!$B$30,Расчёты!C319&gt;='Исходные данные'!$B$30),(Расчёты!C319-'Исходные данные'!$B$30+1)/DAY(Расчёты!C319),1))</f>
        <v>0</v>
      </c>
      <c r="G319">
        <f>IF(AND(Расчёты!F319&gt;0,Расчёты!F319&lt;=N('Исходные данные'!$B$37)),-F319,0)</f>
        <v>0</v>
      </c>
      <c r="H319">
        <f>IF(OR(Расчёты!F319=0,Расчёты!F319&lt;=N('Исходные данные'!$B$37)),0,-(F319+G319)*N('Сценарный анализ'!$B$9))</f>
        <v>0</v>
      </c>
      <c r="I319">
        <f t="shared" si="159"/>
        <v>0</v>
      </c>
      <c r="J319">
        <f>IF('Исходные данные'!$B$51="Да",I319*N('Исходные данные'!$B$52),0)</f>
        <v>0</v>
      </c>
      <c r="K319">
        <f t="shared" si="160"/>
        <v>0</v>
      </c>
      <c r="L319">
        <f>I319+(Расчёты!Y319-Расчёты!L319)</f>
        <v>0</v>
      </c>
      <c r="M319">
        <f t="shared" si="147"/>
        <v>0</v>
      </c>
      <c r="N319">
        <f>IF('Исходные данные'!$B$51="Да",-MAX(0,J319+Расчёты!R319+Расчёты!V319-Расчёты!P319-Расчёты!T319-M319),0)</f>
        <v>0</v>
      </c>
      <c r="O319">
        <f>IF('Исходные данные'!$B$51="Да",MAX(0,M319+Расчёты!P319+Расчёты!T319-J319-Расчёты!R319-Расчёты!V319),0)</f>
        <v>0</v>
      </c>
      <c r="P319">
        <f>IF('Исходные данные'!$B$53="Выручка",MAX(0,I319+(Расчёты!Q319-Расчёты!R319)+(Расчёты!U319-Расчёты!V319)),IF('Исходные данные'!$B$53="Прибыль до налога",MAX(0,I319+(Расчёты!Q319-Расчёты!R319)+(Расчёты!U319-Расчёты!V319)+N('Исходные данные'!$B$54)*((Расчёты!O319+Расчёты!P319)+(Расчёты!S319+Расчёты!T319)+Расчёты!W319+Расчёты!X319)+IF('Исходные данные'!$B$55="Да",Расчёты!AG319,0)-N('Исходные данные'!$B$56)/12),IF('Исходные данные'!$B$53="Пользовательская база",MAX(0,N('Исходные данные'!$B$57)/12),0)))</f>
        <v>0</v>
      </c>
      <c r="Q319">
        <f>IF(D319=1,-P319*N('Исходные данные'!$B$50),0)</f>
        <v>0</v>
      </c>
      <c r="R319">
        <f t="shared" si="148"/>
        <v>0</v>
      </c>
      <c r="S319">
        <f>IF(OR(D319&lt;&gt;1,B319="",'Исходные данные'!$B$91="",N('Исходные данные'!$B$80)&lt;=0,'Исходные данные'!$B$88=""),0,IF(AND(YEAR(B319)=YEAR('Исходные данные'!$B$91),MONTH(B319)=MONTH('Исходные данные'!$B$91)),MAX(0,IF('Исходные данные'!$B$88="Последние 12 месяцев",SUMIFS($L$2:$L$194,$B$2:$B$194,"&gt;="&amp;EDATE(B319,-11),$B$2:$B$194,"&lt;="&amp;B319),IF('Исходные данные'!$B$88="Пользовательский NOI",N('Исходные данные'!$B$89),R319))/N('Исходные данные'!$B$80)*(1+N('Исходные данные'!$B$81))),0))</f>
        <v>0</v>
      </c>
      <c r="T319">
        <f>-S319*N('Исходные данные'!$B$73)</f>
        <v>0</v>
      </c>
      <c r="U319">
        <f>IF(S319=0,0,-N('Исходные данные'!$B$87)-IF('Исходные данные'!$B$82="Да",IF('Исходные данные'!$B$84="С выручки",S319,IF('Исходные данные'!$B$84="С прибыли",MAX(0,S319+T319-IF('Исходные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19">
        <f t="shared" si="161"/>
        <v>0</v>
      </c>
      <c r="W319">
        <f>IF(D319=1,Расчёты!AZ319+K319+N319+Q319+V319,0)</f>
        <v>0</v>
      </c>
      <c r="X319" t="str">
        <f t="shared" si="149"/>
        <v/>
      </c>
      <c r="Y319">
        <f>IF(OR(D319=0,'Исходные данные'!$B$9="",'Исходные данные'!$B$90=""),0,W319/(1+'Исходные данные'!$B$90)^((C319-'Исходные данные'!$B$9)/365))</f>
        <v>0</v>
      </c>
      <c r="Z319">
        <f>IF(D319=1,K319+Расчёты!O319+Расчёты!Q319+Расчёты!S319+Расчёты!U319+Расчёты!W319+Расчёты!X319+N319+Q319,0)</f>
        <v>0</v>
      </c>
      <c r="AA319">
        <f>IF(AND(D319=1,X319&gt;=0,X318&lt;0,MIN($X$2:X319)&lt;0),1,0)</f>
        <v>0</v>
      </c>
      <c r="AB319">
        <f>IF(Расчёты!F319=0,0,IF(Расчёты!G319=1,N('Сценарный анализ'!$C$5),IF(Расчёты!G319=2,N('Сценарный анализ'!$C$6),IF(Расчёты!G319=3,N('Сценарный анализ'!$C$7),N('Сценарный анализ'!$C$7)*(1+N('Сценарный анализ'!$C$8))^(Расчёты!G319-3)))))</f>
        <v>0</v>
      </c>
      <c r="AC319">
        <f>IF(OR(Расчёты!F319=0,N('Исходные данные'!$B$5)=0,AB319=0),0,N('Исходные данные'!$B$5)*AB319*IF(AND(B319&lt;='Исходные данные'!$B$30,Расчёты!C319&gt;='Исходные данные'!$B$30),(Расчёты!C319-'Исходные данные'!$B$30+1)/DAY(Расчёты!C319),1))</f>
        <v>0</v>
      </c>
      <c r="AD319">
        <f>IF(AND(Расчёты!F319&gt;0,Расчёты!F319&lt;=N('Исходные данные'!$B$37)),-AC319,0)</f>
        <v>0</v>
      </c>
      <c r="AE319">
        <f>IF(OR(Расчёты!F319=0,Расчёты!F319&lt;=N('Исходные данные'!$B$37)),0,-(AC319+AD319)*N('Сценарный анализ'!$C$9))</f>
        <v>0</v>
      </c>
      <c r="AF319">
        <f t="shared" si="162"/>
        <v>0</v>
      </c>
      <c r="AG319">
        <f>IF('Исходные данные'!$B$51="Да",AF319*N('Исходные данные'!$B$52),0)</f>
        <v>0</v>
      </c>
      <c r="AH319">
        <f t="shared" si="163"/>
        <v>0</v>
      </c>
      <c r="AI319">
        <f>AF319+(Расчёты!Y319-Расчёты!L319)</f>
        <v>0</v>
      </c>
      <c r="AJ319">
        <f t="shared" si="150"/>
        <v>0</v>
      </c>
      <c r="AK319">
        <f>IF('Исходные данные'!$B$51="Да",-MAX(0,AG319+Расчёты!R319+Расчёты!V319-Расчёты!P319-Расчёты!T319-AJ319),0)</f>
        <v>0</v>
      </c>
      <c r="AL319">
        <f>IF('Исходные данные'!$B$51="Да",MAX(0,AJ319+Расчёты!P319+Расчёты!T319-AG319-Расчёты!R319-Расчёты!V319),0)</f>
        <v>0</v>
      </c>
      <c r="AM319">
        <f>IF('Исходные данные'!$B$53="Выручка",MAX(0,AF319+(Расчёты!Q319-Расчёты!R319)+(Расчёты!U319-Расчёты!V319)),IF('Исходные данные'!$B$53="Прибыль до налога",MAX(0,AF319+(Расчёты!Q319-Расчёты!R319)+(Расчёты!U319-Расчёты!V319)+N('Исходные данные'!$B$54)*((Расчёты!O319+Расчёты!P319)+(Расчёты!S319+Расчёты!T319)+Расчёты!W319+Расчёты!X319)+IF('Исходные данные'!$B$55="Да",Расчёты!AG319,0)-N('Исходные данные'!$B$56)/12),IF('Исходные данные'!$B$53="Пользовательская база",MAX(0,N('Исходные данные'!$B$57)/12),0)))</f>
        <v>0</v>
      </c>
      <c r="AN319">
        <f>IF(D319=1,-AM319*N('Исходные данные'!$B$50),0)</f>
        <v>0</v>
      </c>
      <c r="AO319">
        <f t="shared" si="151"/>
        <v>0</v>
      </c>
      <c r="AP319">
        <f>IF(OR(D319&lt;&gt;1,B319="",'Исходные данные'!$B$91="",N('Исходные данные'!$B$80)&lt;=0,'Исходные данные'!$B$88=""),0,IF(AND(YEAR(B319)=YEAR('Исходные данные'!$B$91),MONTH(B319)=MONTH('Исходные данные'!$B$91)),MAX(0,IF('Исходные данные'!$B$88="Последние 12 месяцев",SUMIFS($AI$2:$AI$194,$B$2:$B$194,"&gt;="&amp;EDATE(B319,-11),$B$2:$B$194,"&lt;="&amp;B319),IF('Исходные данные'!$B$88="Пользовательский NOI",N('Исходные данные'!$B$89),AO319))/N('Исходные данные'!$B$80)*(1+N('Исходные данные'!$B$81))),0))</f>
        <v>0</v>
      </c>
      <c r="AQ319">
        <f>-AP319*N('Исходные данные'!$B$73)</f>
        <v>0</v>
      </c>
      <c r="AR319">
        <f>IF(AP319=0,0,-N('Исходные данные'!$B$87)-IF('Исходные данные'!$B$82="Да",IF('Исходные данные'!$B$84="С выручки",AP319,IF('Исходные данные'!$B$84="С прибыли",MAX(0,AP319+AQ319-IF('Исходные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19">
        <f t="shared" si="164"/>
        <v>0</v>
      </c>
      <c r="AT319">
        <f>IF(D319=1,Расчёты!AZ319+AH319+AK319+AN319+AS319,0)</f>
        <v>0</v>
      </c>
      <c r="AU319" t="str">
        <f t="shared" si="152"/>
        <v/>
      </c>
      <c r="AV319">
        <f>IF(OR(D319=0,'Исходные данные'!$B$9="",'Исходные данные'!$B$90=""),0,AT319/(1+'Исходные данные'!$B$90)^((C319-'Исходные данные'!$B$9)/365))</f>
        <v>0</v>
      </c>
      <c r="AW319">
        <f>IF(D319=1,AH319+Расчёты!O319+Расчёты!Q319+Расчёты!S319+Расчёты!U319+Расчёты!W319+Расчёты!X319+AK319+AN319,0)</f>
        <v>0</v>
      </c>
      <c r="AX319">
        <f>IF(AND(D319=1,AU319&gt;=0,AU318&lt;0,MIN($AU$2:AU319)&lt;0),1,0)</f>
        <v>0</v>
      </c>
      <c r="AY319">
        <f>IF(Расчёты!F319=0,0,IF(Расчёты!G319=1,N('Сценарный анализ'!$D$5),IF(Расчёты!G319=2,N('Сценарный анализ'!$D$6),IF(Расчёты!G319=3,N('Сценарный анализ'!$D$7),N('Сценарный анализ'!$D$7)*(1+N('Сценарный анализ'!$D$8))^(Расчёты!G319-3)))))</f>
        <v>0</v>
      </c>
      <c r="AZ319">
        <f>IF(OR(Расчёты!F319=0,N('Исходные данные'!$B$5)=0,AY319=0),0,N('Исходные данные'!$B$5)*AY319*IF(AND(B319&lt;='Исходные данные'!$B$30,Расчёты!C319&gt;='Исходные данные'!$B$30),(Расчёты!C319-'Исходные данные'!$B$30+1)/DAY(Расчёты!C319),1))</f>
        <v>0</v>
      </c>
      <c r="BA319">
        <f>IF(AND(Расчёты!F319&gt;0,Расчёты!F319&lt;=N('Исходные данные'!$B$37)),-AZ319,0)</f>
        <v>0</v>
      </c>
      <c r="BB319">
        <f>IF(OR(Расчёты!F319=0,Расчёты!F319&lt;=N('Исходные данные'!$B$37)),0,-(AZ319+BA319)*N('Сценарный анализ'!$D$9))</f>
        <v>0</v>
      </c>
      <c r="BC319">
        <f t="shared" si="165"/>
        <v>0</v>
      </c>
      <c r="BD319">
        <f>IF('Исходные данные'!$B$51="Да",BC319*N('Исходные данные'!$B$52),0)</f>
        <v>0</v>
      </c>
      <c r="BE319">
        <f t="shared" si="166"/>
        <v>0</v>
      </c>
      <c r="BF319">
        <f>BC319+(Расчёты!Y319-Расчёты!L319)</f>
        <v>0</v>
      </c>
      <c r="BG319">
        <f t="shared" si="153"/>
        <v>0</v>
      </c>
      <c r="BH319">
        <f>IF('Исходные данные'!$B$51="Да",-MAX(0,BD319+Расчёты!R319+Расчёты!V319-Расчёты!P319-Расчёты!T319-BG319),0)</f>
        <v>0</v>
      </c>
      <c r="BI319">
        <f>IF('Исходные данные'!$B$51="Да",MAX(0,BG319+Расчёты!P319+Расчёты!T319-BD319-Расчёты!R319-Расчёты!V319),0)</f>
        <v>0</v>
      </c>
      <c r="BJ319">
        <f>IF('Исходные данные'!$B$53="Выручка",MAX(0,BC319+(Расчёты!Q319-Расчёты!R319)+(Расчёты!U319-Расчёты!V319)),IF('Исходные данные'!$B$53="Прибыль до налога",MAX(0,BC319+(Расчёты!Q319-Расчёты!R319)+(Расчёты!U319-Расчёты!V319)+N('Исходные данные'!$B$54)*((Расчёты!O319+Расчёты!P319)+(Расчёты!S319+Расчёты!T319)+Расчёты!W319+Расчёты!X319)+IF('Исходные данные'!$B$55="Да",Расчёты!AG319,0)-N('Исходные данные'!$B$56)/12),IF('Исходные данные'!$B$53="Пользовательская база",MAX(0,N('Исходные данные'!$B$57)/12),0)))</f>
        <v>0</v>
      </c>
      <c r="BK319">
        <f>IF(D319=1,-BJ319*N('Исходные данные'!$B$50),0)</f>
        <v>0</v>
      </c>
      <c r="BL319">
        <f t="shared" si="154"/>
        <v>0</v>
      </c>
      <c r="BM319">
        <f>IF(OR(D319&lt;&gt;1,B319="",'Исходные данные'!$B$91="",N('Исходные данные'!$B$80)&lt;=0,'Исходные данные'!$B$88=""),0,IF(AND(YEAR(B319)=YEAR('Исходные данные'!$B$91),MONTH(B319)=MONTH('Исходные данные'!$B$91)),MAX(0,IF('Исходные данные'!$B$88="Последние 12 месяцев",SUMIFS($BF$2:$BF$194,$B$2:$B$194,"&gt;="&amp;EDATE(B319,-11),$B$2:$B$194,"&lt;="&amp;B319),IF('Исходные данные'!$B$88="Пользовательский NOI",N('Исходные данные'!$B$89),BL319))/N('Исходные данные'!$B$80)*(1+N('Исходные данные'!$B$81))),0))</f>
        <v>0</v>
      </c>
      <c r="BN319">
        <f>-BM319*N('Исходные данные'!$B$73)</f>
        <v>0</v>
      </c>
      <c r="BO319">
        <f>IF(BM319=0,0,-N('Исходные данные'!$B$87)-IF('Исходные данные'!$B$82="Да",IF('Исходные данные'!$B$84="С выручки",BM319,IF('Исходные данные'!$B$84="С прибыли",MAX(0,BM319+BN319-IF('Исходные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19">
        <f t="shared" si="167"/>
        <v>0</v>
      </c>
      <c r="BQ319">
        <f>IF(D319=1,Расчёты!AZ319+BE319+BH319+BK319+BP319,0)</f>
        <v>0</v>
      </c>
      <c r="BR319" t="str">
        <f t="shared" si="155"/>
        <v/>
      </c>
      <c r="BS319">
        <f>IF(OR(D319=0,'Исходные данные'!$B$9="",'Исходные данные'!$B$90=""),0,BQ319/(1+'Исходные данные'!$B$90)^((C319-'Исходные данные'!$B$9)/365))</f>
        <v>0</v>
      </c>
      <c r="BT319">
        <f>IF(D319=1,BE319+Расчёты!O319+Расчёты!Q319+Расчёты!S319+Расчёты!U319+Расчёты!W319+Расчёты!X319+BH319+BK319,0)</f>
        <v>0</v>
      </c>
      <c r="BU319">
        <f>IF(AND(D319=1,BR319&gt;=0,BR318&lt;0,MIN($BR$2:BR319)&lt;0),1,0)</f>
        <v>0</v>
      </c>
      <c r="BV319">
        <f>Расчёты!AZ319+K319+N319-P319*N('Исходные данные'!$B$50)</f>
        <v>0</v>
      </c>
      <c r="BW319">
        <f t="shared" si="156"/>
        <v>0</v>
      </c>
      <c r="BX319">
        <f>IF(AND(BW319&gt;=0,BW318&lt;0,MIN($BW$2:BW319)&lt;0),1,0)</f>
        <v>0</v>
      </c>
      <c r="BY319">
        <f>Расчёты!AZ319+AH319+AK319-AM319*N('Исходные данные'!$B$50)</f>
        <v>0</v>
      </c>
      <c r="BZ319">
        <f t="shared" si="157"/>
        <v>0</v>
      </c>
      <c r="CA319">
        <f>IF(AND(BZ319&gt;=0,BZ318&lt;0,MIN($BZ$2:BZ319)&lt;0),1,0)</f>
        <v>0</v>
      </c>
      <c r="CB319">
        <f>Расчёты!AZ319+BE319+BH319-BJ319*N('Исходные данные'!$B$50)</f>
        <v>0</v>
      </c>
      <c r="CC319">
        <f t="shared" si="158"/>
        <v>0</v>
      </c>
      <c r="CD319">
        <f>IF(AND(CC319&gt;=0,CC318&lt;0,MIN($CC$2:CC319)&lt;0),1,0)</f>
        <v>0</v>
      </c>
    </row>
    <row r="320" spans="1:82" x14ac:dyDescent="0.2">
      <c r="A320">
        <f>Расчёты!A320</f>
        <v>319</v>
      </c>
      <c r="B320" t="str">
        <f>Расчёты!B320</f>
        <v/>
      </c>
      <c r="C320" t="str">
        <f>Расчёты!D320</f>
        <v/>
      </c>
      <c r="D320">
        <f>Расчёты!E320</f>
        <v>0</v>
      </c>
      <c r="E320">
        <f>IF(Расчёты!F320=0,0,IF(Расчёты!G320=1,N('Сценарный анализ'!$B$5),IF(Расчёты!G320=2,N('Сценарный анализ'!$B$6),IF(Расчёты!G320=3,N('Сценарный анализ'!$B$7),N('Сценарный анализ'!$B$7)*(1+N('Сценарный анализ'!$B$8))^(Расчёты!G320-3)))))</f>
        <v>0</v>
      </c>
      <c r="F320">
        <f>IF(OR(Расчёты!F320=0,N('Исходные данные'!$B$5)=0,E320=0),0,N('Исходные данные'!$B$5)*E320*IF(AND(B320&lt;='Исходные данные'!$B$30,Расчёты!C320&gt;='Исходные данные'!$B$30),(Расчёты!C320-'Исходные данные'!$B$30+1)/DAY(Расчёты!C320),1))</f>
        <v>0</v>
      </c>
      <c r="G320">
        <f>IF(AND(Расчёты!F320&gt;0,Расчёты!F320&lt;=N('Исходные данные'!$B$37)),-F320,0)</f>
        <v>0</v>
      </c>
      <c r="H320">
        <f>IF(OR(Расчёты!F320=0,Расчёты!F320&lt;=N('Исходные данные'!$B$37)),0,-(F320+G320)*N('Сценарный анализ'!$B$9))</f>
        <v>0</v>
      </c>
      <c r="I320">
        <f t="shared" si="159"/>
        <v>0</v>
      </c>
      <c r="J320">
        <f>IF('Исходные данные'!$B$51="Да",I320*N('Исходные данные'!$B$52),0)</f>
        <v>0</v>
      </c>
      <c r="K320">
        <f t="shared" si="160"/>
        <v>0</v>
      </c>
      <c r="L320">
        <f>I320+(Расчёты!Y320-Расчёты!L320)</f>
        <v>0</v>
      </c>
      <c r="M320">
        <f t="shared" si="147"/>
        <v>0</v>
      </c>
      <c r="N320">
        <f>IF('Исходные данные'!$B$51="Да",-MAX(0,J320+Расчёты!R320+Расчёты!V320-Расчёты!P320-Расчёты!T320-M320),0)</f>
        <v>0</v>
      </c>
      <c r="O320">
        <f>IF('Исходные данные'!$B$51="Да",MAX(0,M320+Расчёты!P320+Расчёты!T320-J320-Расчёты!R320-Расчёты!V320),0)</f>
        <v>0</v>
      </c>
      <c r="P320">
        <f>IF('Исходные данные'!$B$53="Выручка",MAX(0,I320+(Расчёты!Q320-Расчёты!R320)+(Расчёты!U320-Расчёты!V320)),IF('Исходные данные'!$B$53="Прибыль до налога",MAX(0,I320+(Расчёты!Q320-Расчёты!R320)+(Расчёты!U320-Расчёты!V320)+N('Исходные данные'!$B$54)*((Расчёты!O320+Расчёты!P320)+(Расчёты!S320+Расчёты!T320)+Расчёты!W320+Расчёты!X320)+IF('Исходные данные'!$B$55="Да",Расчёты!AG320,0)-N('Исходные данные'!$B$56)/12),IF('Исходные данные'!$B$53="Пользовательская база",MAX(0,N('Исходные данные'!$B$57)/12),0)))</f>
        <v>0</v>
      </c>
      <c r="Q320">
        <f>IF(D320=1,-P320*N('Исходные данные'!$B$50),0)</f>
        <v>0</v>
      </c>
      <c r="R320">
        <f t="shared" si="148"/>
        <v>0</v>
      </c>
      <c r="S320">
        <f>IF(OR(D320&lt;&gt;1,B320="",'Исходные данные'!$B$91="",N('Исходные данные'!$B$80)&lt;=0,'Исходные данные'!$B$88=""),0,IF(AND(YEAR(B320)=YEAR('Исходные данные'!$B$91),MONTH(B320)=MONTH('Исходные данные'!$B$91)),MAX(0,IF('Исходные данные'!$B$88="Последние 12 месяцев",SUMIFS($L$2:$L$194,$B$2:$B$194,"&gt;="&amp;EDATE(B320,-11),$B$2:$B$194,"&lt;="&amp;B320),IF('Исходные данные'!$B$88="Пользовательский NOI",N('Исходные данные'!$B$89),R320))/N('Исходные данные'!$B$80)*(1+N('Исходные данные'!$B$81))),0))</f>
        <v>0</v>
      </c>
      <c r="T320">
        <f>-S320*N('Исходные данные'!$B$73)</f>
        <v>0</v>
      </c>
      <c r="U320">
        <f>IF(S320=0,0,-N('Исходные данные'!$B$87)-IF('Исходные данные'!$B$82="Да",IF('Исходные данные'!$B$84="С выручки",S320,IF('Исходные данные'!$B$84="С прибыли",MAX(0,S320+T320-IF('Исходные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20">
        <f t="shared" si="161"/>
        <v>0</v>
      </c>
      <c r="W320">
        <f>IF(D320=1,Расчёты!AZ320+K320+N320+Q320+V320,0)</f>
        <v>0</v>
      </c>
      <c r="X320" t="str">
        <f t="shared" si="149"/>
        <v/>
      </c>
      <c r="Y320">
        <f>IF(OR(D320=0,'Исходные данные'!$B$9="",'Исходные данные'!$B$90=""),0,W320/(1+'Исходные данные'!$B$90)^((C320-'Исходные данные'!$B$9)/365))</f>
        <v>0</v>
      </c>
      <c r="Z320">
        <f>IF(D320=1,K320+Расчёты!O320+Расчёты!Q320+Расчёты!S320+Расчёты!U320+Расчёты!W320+Расчёты!X320+N320+Q320,0)</f>
        <v>0</v>
      </c>
      <c r="AA320">
        <f>IF(AND(D320=1,X320&gt;=0,X319&lt;0,MIN($X$2:X320)&lt;0),1,0)</f>
        <v>0</v>
      </c>
      <c r="AB320">
        <f>IF(Расчёты!F320=0,0,IF(Расчёты!G320=1,N('Сценарный анализ'!$C$5),IF(Расчёты!G320=2,N('Сценарный анализ'!$C$6),IF(Расчёты!G320=3,N('Сценарный анализ'!$C$7),N('Сценарный анализ'!$C$7)*(1+N('Сценарный анализ'!$C$8))^(Расчёты!G320-3)))))</f>
        <v>0</v>
      </c>
      <c r="AC320">
        <f>IF(OR(Расчёты!F320=0,N('Исходные данные'!$B$5)=0,AB320=0),0,N('Исходные данные'!$B$5)*AB320*IF(AND(B320&lt;='Исходные данные'!$B$30,Расчёты!C320&gt;='Исходные данные'!$B$30),(Расчёты!C320-'Исходные данные'!$B$30+1)/DAY(Расчёты!C320),1))</f>
        <v>0</v>
      </c>
      <c r="AD320">
        <f>IF(AND(Расчёты!F320&gt;0,Расчёты!F320&lt;=N('Исходные данные'!$B$37)),-AC320,0)</f>
        <v>0</v>
      </c>
      <c r="AE320">
        <f>IF(OR(Расчёты!F320=0,Расчёты!F320&lt;=N('Исходные данные'!$B$37)),0,-(AC320+AD320)*N('Сценарный анализ'!$C$9))</f>
        <v>0</v>
      </c>
      <c r="AF320">
        <f t="shared" si="162"/>
        <v>0</v>
      </c>
      <c r="AG320">
        <f>IF('Исходные данные'!$B$51="Да",AF320*N('Исходные данные'!$B$52),0)</f>
        <v>0</v>
      </c>
      <c r="AH320">
        <f t="shared" si="163"/>
        <v>0</v>
      </c>
      <c r="AI320">
        <f>AF320+(Расчёты!Y320-Расчёты!L320)</f>
        <v>0</v>
      </c>
      <c r="AJ320">
        <f t="shared" si="150"/>
        <v>0</v>
      </c>
      <c r="AK320">
        <f>IF('Исходные данные'!$B$51="Да",-MAX(0,AG320+Расчёты!R320+Расчёты!V320-Расчёты!P320-Расчёты!T320-AJ320),0)</f>
        <v>0</v>
      </c>
      <c r="AL320">
        <f>IF('Исходные данные'!$B$51="Да",MAX(0,AJ320+Расчёты!P320+Расчёты!T320-AG320-Расчёты!R320-Расчёты!V320),0)</f>
        <v>0</v>
      </c>
      <c r="AM320">
        <f>IF('Исходные данные'!$B$53="Выручка",MAX(0,AF320+(Расчёты!Q320-Расчёты!R320)+(Расчёты!U320-Расчёты!V320)),IF('Исходные данные'!$B$53="Прибыль до налога",MAX(0,AF320+(Расчёты!Q320-Расчёты!R320)+(Расчёты!U320-Расчёты!V320)+N('Исходные данные'!$B$54)*((Расчёты!O320+Расчёты!P320)+(Расчёты!S320+Расчёты!T320)+Расчёты!W320+Расчёты!X320)+IF('Исходные данные'!$B$55="Да",Расчёты!AG320,0)-N('Исходные данные'!$B$56)/12),IF('Исходные данные'!$B$53="Пользовательская база",MAX(0,N('Исходные данные'!$B$57)/12),0)))</f>
        <v>0</v>
      </c>
      <c r="AN320">
        <f>IF(D320=1,-AM320*N('Исходные данные'!$B$50),0)</f>
        <v>0</v>
      </c>
      <c r="AO320">
        <f t="shared" si="151"/>
        <v>0</v>
      </c>
      <c r="AP320">
        <f>IF(OR(D320&lt;&gt;1,B320="",'Исходные данные'!$B$91="",N('Исходные данные'!$B$80)&lt;=0,'Исходные данные'!$B$88=""),0,IF(AND(YEAR(B320)=YEAR('Исходные данные'!$B$91),MONTH(B320)=MONTH('Исходные данные'!$B$91)),MAX(0,IF('Исходные данные'!$B$88="Последние 12 месяцев",SUMIFS($AI$2:$AI$194,$B$2:$B$194,"&gt;="&amp;EDATE(B320,-11),$B$2:$B$194,"&lt;="&amp;B320),IF('Исходные данные'!$B$88="Пользовательский NOI",N('Исходные данные'!$B$89),AO320))/N('Исходные данные'!$B$80)*(1+N('Исходные данные'!$B$81))),0))</f>
        <v>0</v>
      </c>
      <c r="AQ320">
        <f>-AP320*N('Исходные данные'!$B$73)</f>
        <v>0</v>
      </c>
      <c r="AR320">
        <f>IF(AP320=0,0,-N('Исходные данные'!$B$87)-IF('Исходные данные'!$B$82="Да",IF('Исходные данные'!$B$84="С выручки",AP320,IF('Исходные данные'!$B$84="С прибыли",MAX(0,AP320+AQ320-IF('Исходные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20">
        <f t="shared" si="164"/>
        <v>0</v>
      </c>
      <c r="AT320">
        <f>IF(D320=1,Расчёты!AZ320+AH320+AK320+AN320+AS320,0)</f>
        <v>0</v>
      </c>
      <c r="AU320" t="str">
        <f t="shared" si="152"/>
        <v/>
      </c>
      <c r="AV320">
        <f>IF(OR(D320=0,'Исходные данные'!$B$9="",'Исходные данные'!$B$90=""),0,AT320/(1+'Исходные данные'!$B$90)^((C320-'Исходные данные'!$B$9)/365))</f>
        <v>0</v>
      </c>
      <c r="AW320">
        <f>IF(D320=1,AH320+Расчёты!O320+Расчёты!Q320+Расчёты!S320+Расчёты!U320+Расчёты!W320+Расчёты!X320+AK320+AN320,0)</f>
        <v>0</v>
      </c>
      <c r="AX320">
        <f>IF(AND(D320=1,AU320&gt;=0,AU319&lt;0,MIN($AU$2:AU320)&lt;0),1,0)</f>
        <v>0</v>
      </c>
      <c r="AY320">
        <f>IF(Расчёты!F320=0,0,IF(Расчёты!G320=1,N('Сценарный анализ'!$D$5),IF(Расчёты!G320=2,N('Сценарный анализ'!$D$6),IF(Расчёты!G320=3,N('Сценарный анализ'!$D$7),N('Сценарный анализ'!$D$7)*(1+N('Сценарный анализ'!$D$8))^(Расчёты!G320-3)))))</f>
        <v>0</v>
      </c>
      <c r="AZ320">
        <f>IF(OR(Расчёты!F320=0,N('Исходные данные'!$B$5)=0,AY320=0),0,N('Исходные данные'!$B$5)*AY320*IF(AND(B320&lt;='Исходные данные'!$B$30,Расчёты!C320&gt;='Исходные данные'!$B$30),(Расчёты!C320-'Исходные данные'!$B$30+1)/DAY(Расчёты!C320),1))</f>
        <v>0</v>
      </c>
      <c r="BA320">
        <f>IF(AND(Расчёты!F320&gt;0,Расчёты!F320&lt;=N('Исходные данные'!$B$37)),-AZ320,0)</f>
        <v>0</v>
      </c>
      <c r="BB320">
        <f>IF(OR(Расчёты!F320=0,Расчёты!F320&lt;=N('Исходные данные'!$B$37)),0,-(AZ320+BA320)*N('Сценарный анализ'!$D$9))</f>
        <v>0</v>
      </c>
      <c r="BC320">
        <f t="shared" si="165"/>
        <v>0</v>
      </c>
      <c r="BD320">
        <f>IF('Исходные данные'!$B$51="Да",BC320*N('Исходные данные'!$B$52),0)</f>
        <v>0</v>
      </c>
      <c r="BE320">
        <f t="shared" si="166"/>
        <v>0</v>
      </c>
      <c r="BF320">
        <f>BC320+(Расчёты!Y320-Расчёты!L320)</f>
        <v>0</v>
      </c>
      <c r="BG320">
        <f t="shared" si="153"/>
        <v>0</v>
      </c>
      <c r="BH320">
        <f>IF('Исходные данные'!$B$51="Да",-MAX(0,BD320+Расчёты!R320+Расчёты!V320-Расчёты!P320-Расчёты!T320-BG320),0)</f>
        <v>0</v>
      </c>
      <c r="BI320">
        <f>IF('Исходные данные'!$B$51="Да",MAX(0,BG320+Расчёты!P320+Расчёты!T320-BD320-Расчёты!R320-Расчёты!V320),0)</f>
        <v>0</v>
      </c>
      <c r="BJ320">
        <f>IF('Исходные данные'!$B$53="Выручка",MAX(0,BC320+(Расчёты!Q320-Расчёты!R320)+(Расчёты!U320-Расчёты!V320)),IF('Исходные данные'!$B$53="Прибыль до налога",MAX(0,BC320+(Расчёты!Q320-Расчёты!R320)+(Расчёты!U320-Расчёты!V320)+N('Исходные данные'!$B$54)*((Расчёты!O320+Расчёты!P320)+(Расчёты!S320+Расчёты!T320)+Расчёты!W320+Расчёты!X320)+IF('Исходные данные'!$B$55="Да",Расчёты!AG320,0)-N('Исходные данные'!$B$56)/12),IF('Исходные данные'!$B$53="Пользовательская база",MAX(0,N('Исходные данные'!$B$57)/12),0)))</f>
        <v>0</v>
      </c>
      <c r="BK320">
        <f>IF(D320=1,-BJ320*N('Исходные данные'!$B$50),0)</f>
        <v>0</v>
      </c>
      <c r="BL320">
        <f t="shared" si="154"/>
        <v>0</v>
      </c>
      <c r="BM320">
        <f>IF(OR(D320&lt;&gt;1,B320="",'Исходные данные'!$B$91="",N('Исходные данные'!$B$80)&lt;=0,'Исходные данные'!$B$88=""),0,IF(AND(YEAR(B320)=YEAR('Исходные данные'!$B$91),MONTH(B320)=MONTH('Исходные данные'!$B$91)),MAX(0,IF('Исходные данные'!$B$88="Последние 12 месяцев",SUMIFS($BF$2:$BF$194,$B$2:$B$194,"&gt;="&amp;EDATE(B320,-11),$B$2:$B$194,"&lt;="&amp;B320),IF('Исходные данные'!$B$88="Пользовательский NOI",N('Исходные данные'!$B$89),BL320))/N('Исходные данные'!$B$80)*(1+N('Исходные данные'!$B$81))),0))</f>
        <v>0</v>
      </c>
      <c r="BN320">
        <f>-BM320*N('Исходные данные'!$B$73)</f>
        <v>0</v>
      </c>
      <c r="BO320">
        <f>IF(BM320=0,0,-N('Исходные данные'!$B$87)-IF('Исходные данные'!$B$82="Да",IF('Исходные данные'!$B$84="С выручки",BM320,IF('Исходные данные'!$B$84="С прибыли",MAX(0,BM320+BN320-IF('Исходные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20">
        <f t="shared" si="167"/>
        <v>0</v>
      </c>
      <c r="BQ320">
        <f>IF(D320=1,Расчёты!AZ320+BE320+BH320+BK320+BP320,0)</f>
        <v>0</v>
      </c>
      <c r="BR320" t="str">
        <f t="shared" si="155"/>
        <v/>
      </c>
      <c r="BS320">
        <f>IF(OR(D320=0,'Исходные данные'!$B$9="",'Исходные данные'!$B$90=""),0,BQ320/(1+'Исходные данные'!$B$90)^((C320-'Исходные данные'!$B$9)/365))</f>
        <v>0</v>
      </c>
      <c r="BT320">
        <f>IF(D320=1,BE320+Расчёты!O320+Расчёты!Q320+Расчёты!S320+Расчёты!U320+Расчёты!W320+Расчёты!X320+BH320+BK320,0)</f>
        <v>0</v>
      </c>
      <c r="BU320">
        <f>IF(AND(D320=1,BR320&gt;=0,BR319&lt;0,MIN($BR$2:BR320)&lt;0),1,0)</f>
        <v>0</v>
      </c>
      <c r="BV320">
        <f>Расчёты!AZ320+K320+N320-P320*N('Исходные данные'!$B$50)</f>
        <v>0</v>
      </c>
      <c r="BW320">
        <f t="shared" si="156"/>
        <v>0</v>
      </c>
      <c r="BX320">
        <f>IF(AND(BW320&gt;=0,BW319&lt;0,MIN($BW$2:BW320)&lt;0),1,0)</f>
        <v>0</v>
      </c>
      <c r="BY320">
        <f>Расчёты!AZ320+AH320+AK320-AM320*N('Исходные данные'!$B$50)</f>
        <v>0</v>
      </c>
      <c r="BZ320">
        <f t="shared" si="157"/>
        <v>0</v>
      </c>
      <c r="CA320">
        <f>IF(AND(BZ320&gt;=0,BZ319&lt;0,MIN($BZ$2:BZ320)&lt;0),1,0)</f>
        <v>0</v>
      </c>
      <c r="CB320">
        <f>Расчёты!AZ320+BE320+BH320-BJ320*N('Исходные данные'!$B$50)</f>
        <v>0</v>
      </c>
      <c r="CC320">
        <f t="shared" si="158"/>
        <v>0</v>
      </c>
      <c r="CD320">
        <f>IF(AND(CC320&gt;=0,CC319&lt;0,MIN($CC$2:CC320)&lt;0),1,0)</f>
        <v>0</v>
      </c>
    </row>
    <row r="321" spans="1:82" x14ac:dyDescent="0.2">
      <c r="A321">
        <f>Расчёты!A321</f>
        <v>320</v>
      </c>
      <c r="B321" t="str">
        <f>Расчёты!B321</f>
        <v/>
      </c>
      <c r="C321" t="str">
        <f>Расчёты!D321</f>
        <v/>
      </c>
      <c r="D321">
        <f>Расчёты!E321</f>
        <v>0</v>
      </c>
      <c r="E321">
        <f>IF(Расчёты!F321=0,0,IF(Расчёты!G321=1,N('Сценарный анализ'!$B$5),IF(Расчёты!G321=2,N('Сценарный анализ'!$B$6),IF(Расчёты!G321=3,N('Сценарный анализ'!$B$7),N('Сценарный анализ'!$B$7)*(1+N('Сценарный анализ'!$B$8))^(Расчёты!G321-3)))))</f>
        <v>0</v>
      </c>
      <c r="F321">
        <f>IF(OR(Расчёты!F321=0,N('Исходные данные'!$B$5)=0,E321=0),0,N('Исходные данные'!$B$5)*E321*IF(AND(B321&lt;='Исходные данные'!$B$30,Расчёты!C321&gt;='Исходные данные'!$B$30),(Расчёты!C321-'Исходные данные'!$B$30+1)/DAY(Расчёты!C321),1))</f>
        <v>0</v>
      </c>
      <c r="G321">
        <f>IF(AND(Расчёты!F321&gt;0,Расчёты!F321&lt;=N('Исходные данные'!$B$37)),-F321,0)</f>
        <v>0</v>
      </c>
      <c r="H321">
        <f>IF(OR(Расчёты!F321=0,Расчёты!F321&lt;=N('Исходные данные'!$B$37)),0,-(F321+G321)*N('Сценарный анализ'!$B$9))</f>
        <v>0</v>
      </c>
      <c r="I321">
        <f t="shared" si="159"/>
        <v>0</v>
      </c>
      <c r="J321">
        <f>IF('Исходные данные'!$B$51="Да",I321*N('Исходные данные'!$B$52),0)</f>
        <v>0</v>
      </c>
      <c r="K321">
        <f t="shared" si="160"/>
        <v>0</v>
      </c>
      <c r="L321">
        <f>I321+(Расчёты!Y321-Расчёты!L321)</f>
        <v>0</v>
      </c>
      <c r="M321">
        <f t="shared" si="147"/>
        <v>0</v>
      </c>
      <c r="N321">
        <f>IF('Исходные данные'!$B$51="Да",-MAX(0,J321+Расчёты!R321+Расчёты!V321-Расчёты!P321-Расчёты!T321-M321),0)</f>
        <v>0</v>
      </c>
      <c r="O321">
        <f>IF('Исходные данные'!$B$51="Да",MAX(0,M321+Расчёты!P321+Расчёты!T321-J321-Расчёты!R321-Расчёты!V321),0)</f>
        <v>0</v>
      </c>
      <c r="P321">
        <f>IF('Исходные данные'!$B$53="Выручка",MAX(0,I321+(Расчёты!Q321-Расчёты!R321)+(Расчёты!U321-Расчёты!V321)),IF('Исходные данные'!$B$53="Прибыль до налога",MAX(0,I321+(Расчёты!Q321-Расчёты!R321)+(Расчёты!U321-Расчёты!V321)+N('Исходные данные'!$B$54)*((Расчёты!O321+Расчёты!P321)+(Расчёты!S321+Расчёты!T321)+Расчёты!W321+Расчёты!X321)+IF('Исходные данные'!$B$55="Да",Расчёты!AG321,0)-N('Исходные данные'!$B$56)/12),IF('Исходные данные'!$B$53="Пользовательская база",MAX(0,N('Исходные данные'!$B$57)/12),0)))</f>
        <v>0</v>
      </c>
      <c r="Q321">
        <f>IF(D321=1,-P321*N('Исходные данные'!$B$50),0)</f>
        <v>0</v>
      </c>
      <c r="R321">
        <f t="shared" si="148"/>
        <v>0</v>
      </c>
      <c r="S321">
        <f>IF(OR(D321&lt;&gt;1,B321="",'Исходные данные'!$B$91="",N('Исходные данные'!$B$80)&lt;=0,'Исходные данные'!$B$88=""),0,IF(AND(YEAR(B321)=YEAR('Исходные данные'!$B$91),MONTH(B321)=MONTH('Исходные данные'!$B$91)),MAX(0,IF('Исходные данные'!$B$88="Последние 12 месяцев",SUMIFS($L$2:$L$194,$B$2:$B$194,"&gt;="&amp;EDATE(B321,-11),$B$2:$B$194,"&lt;="&amp;B321),IF('Исходные данные'!$B$88="Пользовательский NOI",N('Исходные данные'!$B$89),R321))/N('Исходные данные'!$B$80)*(1+N('Исходные данные'!$B$81))),0))</f>
        <v>0</v>
      </c>
      <c r="T321">
        <f>-S321*N('Исходные данные'!$B$73)</f>
        <v>0</v>
      </c>
      <c r="U321">
        <f>IF(S321=0,0,-N('Исходные данные'!$B$87)-IF('Исходные данные'!$B$82="Да",IF('Исходные данные'!$B$84="С выручки",S321,IF('Исходные данные'!$B$84="С прибыли",MAX(0,S321+T321-IF('Исходные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21">
        <f t="shared" si="161"/>
        <v>0</v>
      </c>
      <c r="W321">
        <f>IF(D321=1,Расчёты!AZ321+K321+N321+Q321+V321,0)</f>
        <v>0</v>
      </c>
      <c r="X321" t="str">
        <f t="shared" si="149"/>
        <v/>
      </c>
      <c r="Y321">
        <f>IF(OR(D321=0,'Исходные данные'!$B$9="",'Исходные данные'!$B$90=""),0,W321/(1+'Исходные данные'!$B$90)^((C321-'Исходные данные'!$B$9)/365))</f>
        <v>0</v>
      </c>
      <c r="Z321">
        <f>IF(D321=1,K321+Расчёты!O321+Расчёты!Q321+Расчёты!S321+Расчёты!U321+Расчёты!W321+Расчёты!X321+N321+Q321,0)</f>
        <v>0</v>
      </c>
      <c r="AA321">
        <f>IF(AND(D321=1,X321&gt;=0,X320&lt;0,MIN($X$2:X321)&lt;0),1,0)</f>
        <v>0</v>
      </c>
      <c r="AB321">
        <f>IF(Расчёты!F321=0,0,IF(Расчёты!G321=1,N('Сценарный анализ'!$C$5),IF(Расчёты!G321=2,N('Сценарный анализ'!$C$6),IF(Расчёты!G321=3,N('Сценарный анализ'!$C$7),N('Сценарный анализ'!$C$7)*(1+N('Сценарный анализ'!$C$8))^(Расчёты!G321-3)))))</f>
        <v>0</v>
      </c>
      <c r="AC321">
        <f>IF(OR(Расчёты!F321=0,N('Исходные данные'!$B$5)=0,AB321=0),0,N('Исходные данные'!$B$5)*AB321*IF(AND(B321&lt;='Исходные данные'!$B$30,Расчёты!C321&gt;='Исходные данные'!$B$30),(Расчёты!C321-'Исходные данные'!$B$30+1)/DAY(Расчёты!C321),1))</f>
        <v>0</v>
      </c>
      <c r="AD321">
        <f>IF(AND(Расчёты!F321&gt;0,Расчёты!F321&lt;=N('Исходные данные'!$B$37)),-AC321,0)</f>
        <v>0</v>
      </c>
      <c r="AE321">
        <f>IF(OR(Расчёты!F321=0,Расчёты!F321&lt;=N('Исходные данные'!$B$37)),0,-(AC321+AD321)*N('Сценарный анализ'!$C$9))</f>
        <v>0</v>
      </c>
      <c r="AF321">
        <f t="shared" si="162"/>
        <v>0</v>
      </c>
      <c r="AG321">
        <f>IF('Исходные данные'!$B$51="Да",AF321*N('Исходные данные'!$B$52),0)</f>
        <v>0</v>
      </c>
      <c r="AH321">
        <f t="shared" si="163"/>
        <v>0</v>
      </c>
      <c r="AI321">
        <f>AF321+(Расчёты!Y321-Расчёты!L321)</f>
        <v>0</v>
      </c>
      <c r="AJ321">
        <f t="shared" si="150"/>
        <v>0</v>
      </c>
      <c r="AK321">
        <f>IF('Исходные данные'!$B$51="Да",-MAX(0,AG321+Расчёты!R321+Расчёты!V321-Расчёты!P321-Расчёты!T321-AJ321),0)</f>
        <v>0</v>
      </c>
      <c r="AL321">
        <f>IF('Исходные данные'!$B$51="Да",MAX(0,AJ321+Расчёты!P321+Расчёты!T321-AG321-Расчёты!R321-Расчёты!V321),0)</f>
        <v>0</v>
      </c>
      <c r="AM321">
        <f>IF('Исходные данные'!$B$53="Выручка",MAX(0,AF321+(Расчёты!Q321-Расчёты!R321)+(Расчёты!U321-Расчёты!V321)),IF('Исходные данные'!$B$53="Прибыль до налога",MAX(0,AF321+(Расчёты!Q321-Расчёты!R321)+(Расчёты!U321-Расчёты!V321)+N('Исходные данные'!$B$54)*((Расчёты!O321+Расчёты!P321)+(Расчёты!S321+Расчёты!T321)+Расчёты!W321+Расчёты!X321)+IF('Исходные данные'!$B$55="Да",Расчёты!AG321,0)-N('Исходные данные'!$B$56)/12),IF('Исходные данные'!$B$53="Пользовательская база",MAX(0,N('Исходные данные'!$B$57)/12),0)))</f>
        <v>0</v>
      </c>
      <c r="AN321">
        <f>IF(D321=1,-AM321*N('Исходные данные'!$B$50),0)</f>
        <v>0</v>
      </c>
      <c r="AO321">
        <f t="shared" si="151"/>
        <v>0</v>
      </c>
      <c r="AP321">
        <f>IF(OR(D321&lt;&gt;1,B321="",'Исходные данные'!$B$91="",N('Исходные данные'!$B$80)&lt;=0,'Исходные данные'!$B$88=""),0,IF(AND(YEAR(B321)=YEAR('Исходные данные'!$B$91),MONTH(B321)=MONTH('Исходные данные'!$B$91)),MAX(0,IF('Исходные данные'!$B$88="Последние 12 месяцев",SUMIFS($AI$2:$AI$194,$B$2:$B$194,"&gt;="&amp;EDATE(B321,-11),$B$2:$B$194,"&lt;="&amp;B321),IF('Исходные данные'!$B$88="Пользовательский NOI",N('Исходные данные'!$B$89),AO321))/N('Исходные данные'!$B$80)*(1+N('Исходные данные'!$B$81))),0))</f>
        <v>0</v>
      </c>
      <c r="AQ321">
        <f>-AP321*N('Исходные данные'!$B$73)</f>
        <v>0</v>
      </c>
      <c r="AR321">
        <f>IF(AP321=0,0,-N('Исходные данные'!$B$87)-IF('Исходные данные'!$B$82="Да",IF('Исходные данные'!$B$84="С выручки",AP321,IF('Исходные данные'!$B$84="С прибыли",MAX(0,AP321+AQ321-IF('Исходные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21">
        <f t="shared" si="164"/>
        <v>0</v>
      </c>
      <c r="AT321">
        <f>IF(D321=1,Расчёты!AZ321+AH321+AK321+AN321+AS321,0)</f>
        <v>0</v>
      </c>
      <c r="AU321" t="str">
        <f t="shared" si="152"/>
        <v/>
      </c>
      <c r="AV321">
        <f>IF(OR(D321=0,'Исходные данные'!$B$9="",'Исходные данные'!$B$90=""),0,AT321/(1+'Исходные данные'!$B$90)^((C321-'Исходные данные'!$B$9)/365))</f>
        <v>0</v>
      </c>
      <c r="AW321">
        <f>IF(D321=1,AH321+Расчёты!O321+Расчёты!Q321+Расчёты!S321+Расчёты!U321+Расчёты!W321+Расчёты!X321+AK321+AN321,0)</f>
        <v>0</v>
      </c>
      <c r="AX321">
        <f>IF(AND(D321=1,AU321&gt;=0,AU320&lt;0,MIN($AU$2:AU321)&lt;0),1,0)</f>
        <v>0</v>
      </c>
      <c r="AY321">
        <f>IF(Расчёты!F321=0,0,IF(Расчёты!G321=1,N('Сценарный анализ'!$D$5),IF(Расчёты!G321=2,N('Сценарный анализ'!$D$6),IF(Расчёты!G321=3,N('Сценарный анализ'!$D$7),N('Сценарный анализ'!$D$7)*(1+N('Сценарный анализ'!$D$8))^(Расчёты!G321-3)))))</f>
        <v>0</v>
      </c>
      <c r="AZ321">
        <f>IF(OR(Расчёты!F321=0,N('Исходные данные'!$B$5)=0,AY321=0),0,N('Исходные данные'!$B$5)*AY321*IF(AND(B321&lt;='Исходные данные'!$B$30,Расчёты!C321&gt;='Исходные данные'!$B$30),(Расчёты!C321-'Исходные данные'!$B$30+1)/DAY(Расчёты!C321),1))</f>
        <v>0</v>
      </c>
      <c r="BA321">
        <f>IF(AND(Расчёты!F321&gt;0,Расчёты!F321&lt;=N('Исходные данные'!$B$37)),-AZ321,0)</f>
        <v>0</v>
      </c>
      <c r="BB321">
        <f>IF(OR(Расчёты!F321=0,Расчёты!F321&lt;=N('Исходные данные'!$B$37)),0,-(AZ321+BA321)*N('Сценарный анализ'!$D$9))</f>
        <v>0</v>
      </c>
      <c r="BC321">
        <f t="shared" si="165"/>
        <v>0</v>
      </c>
      <c r="BD321">
        <f>IF('Исходные данные'!$B$51="Да",BC321*N('Исходные данные'!$B$52),0)</f>
        <v>0</v>
      </c>
      <c r="BE321">
        <f t="shared" si="166"/>
        <v>0</v>
      </c>
      <c r="BF321">
        <f>BC321+(Расчёты!Y321-Расчёты!L321)</f>
        <v>0</v>
      </c>
      <c r="BG321">
        <f t="shared" si="153"/>
        <v>0</v>
      </c>
      <c r="BH321">
        <f>IF('Исходные данные'!$B$51="Да",-MAX(0,BD321+Расчёты!R321+Расчёты!V321-Расчёты!P321-Расчёты!T321-BG321),0)</f>
        <v>0</v>
      </c>
      <c r="BI321">
        <f>IF('Исходные данные'!$B$51="Да",MAX(0,BG321+Расчёты!P321+Расчёты!T321-BD321-Расчёты!R321-Расчёты!V321),0)</f>
        <v>0</v>
      </c>
      <c r="BJ321">
        <f>IF('Исходные данные'!$B$53="Выручка",MAX(0,BC321+(Расчёты!Q321-Расчёты!R321)+(Расчёты!U321-Расчёты!V321)),IF('Исходные данные'!$B$53="Прибыль до налога",MAX(0,BC321+(Расчёты!Q321-Расчёты!R321)+(Расчёты!U321-Расчёты!V321)+N('Исходные данные'!$B$54)*((Расчёты!O321+Расчёты!P321)+(Расчёты!S321+Расчёты!T321)+Расчёты!W321+Расчёты!X321)+IF('Исходные данные'!$B$55="Да",Расчёты!AG321,0)-N('Исходные данные'!$B$56)/12),IF('Исходные данные'!$B$53="Пользовательская база",MAX(0,N('Исходные данные'!$B$57)/12),0)))</f>
        <v>0</v>
      </c>
      <c r="BK321">
        <f>IF(D321=1,-BJ321*N('Исходные данные'!$B$50),0)</f>
        <v>0</v>
      </c>
      <c r="BL321">
        <f t="shared" si="154"/>
        <v>0</v>
      </c>
      <c r="BM321">
        <f>IF(OR(D321&lt;&gt;1,B321="",'Исходные данные'!$B$91="",N('Исходные данные'!$B$80)&lt;=0,'Исходные данные'!$B$88=""),0,IF(AND(YEAR(B321)=YEAR('Исходные данные'!$B$91),MONTH(B321)=MONTH('Исходные данные'!$B$91)),MAX(0,IF('Исходные данные'!$B$88="Последние 12 месяцев",SUMIFS($BF$2:$BF$194,$B$2:$B$194,"&gt;="&amp;EDATE(B321,-11),$B$2:$B$194,"&lt;="&amp;B321),IF('Исходные данные'!$B$88="Пользовательский NOI",N('Исходные данные'!$B$89),BL321))/N('Исходные данные'!$B$80)*(1+N('Исходные данные'!$B$81))),0))</f>
        <v>0</v>
      </c>
      <c r="BN321">
        <f>-BM321*N('Исходные данные'!$B$73)</f>
        <v>0</v>
      </c>
      <c r="BO321">
        <f>IF(BM321=0,0,-N('Исходные данные'!$B$87)-IF('Исходные данные'!$B$82="Да",IF('Исходные данные'!$B$84="С выручки",BM321,IF('Исходные данные'!$B$84="С прибыли",MAX(0,BM321+BN321-IF('Исходные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21">
        <f t="shared" si="167"/>
        <v>0</v>
      </c>
      <c r="BQ321">
        <f>IF(D321=1,Расчёты!AZ321+BE321+BH321+BK321+BP321,0)</f>
        <v>0</v>
      </c>
      <c r="BR321" t="str">
        <f t="shared" si="155"/>
        <v/>
      </c>
      <c r="BS321">
        <f>IF(OR(D321=0,'Исходные данные'!$B$9="",'Исходные данные'!$B$90=""),0,BQ321/(1+'Исходные данные'!$B$90)^((C321-'Исходные данные'!$B$9)/365))</f>
        <v>0</v>
      </c>
      <c r="BT321">
        <f>IF(D321=1,BE321+Расчёты!O321+Расчёты!Q321+Расчёты!S321+Расчёты!U321+Расчёты!W321+Расчёты!X321+BH321+BK321,0)</f>
        <v>0</v>
      </c>
      <c r="BU321">
        <f>IF(AND(D321=1,BR321&gt;=0,BR320&lt;0,MIN($BR$2:BR321)&lt;0),1,0)</f>
        <v>0</v>
      </c>
      <c r="BV321">
        <f>Расчёты!AZ321+K321+N321-P321*N('Исходные данные'!$B$50)</f>
        <v>0</v>
      </c>
      <c r="BW321">
        <f t="shared" si="156"/>
        <v>0</v>
      </c>
      <c r="BX321">
        <f>IF(AND(BW321&gt;=0,BW320&lt;0,MIN($BW$2:BW321)&lt;0),1,0)</f>
        <v>0</v>
      </c>
      <c r="BY321">
        <f>Расчёты!AZ321+AH321+AK321-AM321*N('Исходные данные'!$B$50)</f>
        <v>0</v>
      </c>
      <c r="BZ321">
        <f t="shared" si="157"/>
        <v>0</v>
      </c>
      <c r="CA321">
        <f>IF(AND(BZ321&gt;=0,BZ320&lt;0,MIN($BZ$2:BZ321)&lt;0),1,0)</f>
        <v>0</v>
      </c>
      <c r="CB321">
        <f>Расчёты!AZ321+BE321+BH321-BJ321*N('Исходные данные'!$B$50)</f>
        <v>0</v>
      </c>
      <c r="CC321">
        <f t="shared" si="158"/>
        <v>0</v>
      </c>
      <c r="CD321">
        <f>IF(AND(CC321&gt;=0,CC320&lt;0,MIN($CC$2:CC321)&lt;0),1,0)</f>
        <v>0</v>
      </c>
    </row>
    <row r="322" spans="1:82" x14ac:dyDescent="0.2">
      <c r="A322">
        <f>Расчёты!A322</f>
        <v>321</v>
      </c>
      <c r="B322" t="str">
        <f>Расчёты!B322</f>
        <v/>
      </c>
      <c r="C322" t="str">
        <f>Расчёты!D322</f>
        <v/>
      </c>
      <c r="D322">
        <f>Расчёты!E322</f>
        <v>0</v>
      </c>
      <c r="E322">
        <f>IF(Расчёты!F322=0,0,IF(Расчёты!G322=1,N('Сценарный анализ'!$B$5),IF(Расчёты!G322=2,N('Сценарный анализ'!$B$6),IF(Расчёты!G322=3,N('Сценарный анализ'!$B$7),N('Сценарный анализ'!$B$7)*(1+N('Сценарный анализ'!$B$8))^(Расчёты!G322-3)))))</f>
        <v>0</v>
      </c>
      <c r="F322">
        <f>IF(OR(Расчёты!F322=0,N('Исходные данные'!$B$5)=0,E322=0),0,N('Исходные данные'!$B$5)*E322*IF(AND(B322&lt;='Исходные данные'!$B$30,Расчёты!C322&gt;='Исходные данные'!$B$30),(Расчёты!C322-'Исходные данные'!$B$30+1)/DAY(Расчёты!C322),1))</f>
        <v>0</v>
      </c>
      <c r="G322">
        <f>IF(AND(Расчёты!F322&gt;0,Расчёты!F322&lt;=N('Исходные данные'!$B$37)),-F322,0)</f>
        <v>0</v>
      </c>
      <c r="H322">
        <f>IF(OR(Расчёты!F322=0,Расчёты!F322&lt;=N('Исходные данные'!$B$37)),0,-(F322+G322)*N('Сценарный анализ'!$B$9))</f>
        <v>0</v>
      </c>
      <c r="I322">
        <f t="shared" si="159"/>
        <v>0</v>
      </c>
      <c r="J322">
        <f>IF('Исходные данные'!$B$51="Да",I322*N('Исходные данные'!$B$52),0)</f>
        <v>0</v>
      </c>
      <c r="K322">
        <f t="shared" si="160"/>
        <v>0</v>
      </c>
      <c r="L322">
        <f>I322+(Расчёты!Y322-Расчёты!L322)</f>
        <v>0</v>
      </c>
      <c r="M322">
        <f t="shared" si="147"/>
        <v>0</v>
      </c>
      <c r="N322">
        <f>IF('Исходные данные'!$B$51="Да",-MAX(0,J322+Расчёты!R322+Расчёты!V322-Расчёты!P322-Расчёты!T322-M322),0)</f>
        <v>0</v>
      </c>
      <c r="O322">
        <f>IF('Исходные данные'!$B$51="Да",MAX(0,M322+Расчёты!P322+Расчёты!T322-J322-Расчёты!R322-Расчёты!V322),0)</f>
        <v>0</v>
      </c>
      <c r="P322">
        <f>IF('Исходные данные'!$B$53="Выручка",MAX(0,I322+(Расчёты!Q322-Расчёты!R322)+(Расчёты!U322-Расчёты!V322)),IF('Исходные данные'!$B$53="Прибыль до налога",MAX(0,I322+(Расчёты!Q322-Расчёты!R322)+(Расчёты!U322-Расчёты!V322)+N('Исходные данные'!$B$54)*((Расчёты!O322+Расчёты!P322)+(Расчёты!S322+Расчёты!T322)+Расчёты!W322+Расчёты!X322)+IF('Исходные данные'!$B$55="Да",Расчёты!AG322,0)-N('Исходные данные'!$B$56)/12),IF('Исходные данные'!$B$53="Пользовательская база",MAX(0,N('Исходные данные'!$B$57)/12),0)))</f>
        <v>0</v>
      </c>
      <c r="Q322">
        <f>IF(D322=1,-P322*N('Исходные данные'!$B$50),0)</f>
        <v>0</v>
      </c>
      <c r="R322">
        <f t="shared" si="148"/>
        <v>0</v>
      </c>
      <c r="S322">
        <f>IF(OR(D322&lt;&gt;1,B322="",'Исходные данные'!$B$91="",N('Исходные данные'!$B$80)&lt;=0,'Исходные данные'!$B$88=""),0,IF(AND(YEAR(B322)=YEAR('Исходные данные'!$B$91),MONTH(B322)=MONTH('Исходные данные'!$B$91)),MAX(0,IF('Исходные данные'!$B$88="Последние 12 месяцев",SUMIFS($L$2:$L$194,$B$2:$B$194,"&gt;="&amp;EDATE(B322,-11),$B$2:$B$194,"&lt;="&amp;B322),IF('Исходные данные'!$B$88="Пользовательский NOI",N('Исходные данные'!$B$89),R322))/N('Исходные данные'!$B$80)*(1+N('Исходные данные'!$B$81))),0))</f>
        <v>0</v>
      </c>
      <c r="T322">
        <f>-S322*N('Исходные данные'!$B$73)</f>
        <v>0</v>
      </c>
      <c r="U322">
        <f>IF(S322=0,0,-N('Исходные данные'!$B$87)-IF('Исходные данные'!$B$82="Да",IF('Исходные данные'!$B$84="С выручки",S322,IF('Исходные данные'!$B$84="С прибыли",MAX(0,S322+T322-IF('Исходные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22">
        <f t="shared" si="161"/>
        <v>0</v>
      </c>
      <c r="W322">
        <f>IF(D322=1,Расчёты!AZ322+K322+N322+Q322+V322,0)</f>
        <v>0</v>
      </c>
      <c r="X322" t="str">
        <f t="shared" si="149"/>
        <v/>
      </c>
      <c r="Y322">
        <f>IF(OR(D322=0,'Исходные данные'!$B$9="",'Исходные данные'!$B$90=""),0,W322/(1+'Исходные данные'!$B$90)^((C322-'Исходные данные'!$B$9)/365))</f>
        <v>0</v>
      </c>
      <c r="Z322">
        <f>IF(D322=1,K322+Расчёты!O322+Расчёты!Q322+Расчёты!S322+Расчёты!U322+Расчёты!W322+Расчёты!X322+N322+Q322,0)</f>
        <v>0</v>
      </c>
      <c r="AA322">
        <f>IF(AND(D322=1,X322&gt;=0,X321&lt;0,MIN($X$2:X322)&lt;0),1,0)</f>
        <v>0</v>
      </c>
      <c r="AB322">
        <f>IF(Расчёты!F322=0,0,IF(Расчёты!G322=1,N('Сценарный анализ'!$C$5),IF(Расчёты!G322=2,N('Сценарный анализ'!$C$6),IF(Расчёты!G322=3,N('Сценарный анализ'!$C$7),N('Сценарный анализ'!$C$7)*(1+N('Сценарный анализ'!$C$8))^(Расчёты!G322-3)))))</f>
        <v>0</v>
      </c>
      <c r="AC322">
        <f>IF(OR(Расчёты!F322=0,N('Исходные данные'!$B$5)=0,AB322=0),0,N('Исходные данные'!$B$5)*AB322*IF(AND(B322&lt;='Исходные данные'!$B$30,Расчёты!C322&gt;='Исходные данные'!$B$30),(Расчёты!C322-'Исходные данные'!$B$30+1)/DAY(Расчёты!C322),1))</f>
        <v>0</v>
      </c>
      <c r="AD322">
        <f>IF(AND(Расчёты!F322&gt;0,Расчёты!F322&lt;=N('Исходные данные'!$B$37)),-AC322,0)</f>
        <v>0</v>
      </c>
      <c r="AE322">
        <f>IF(OR(Расчёты!F322=0,Расчёты!F322&lt;=N('Исходные данные'!$B$37)),0,-(AC322+AD322)*N('Сценарный анализ'!$C$9))</f>
        <v>0</v>
      </c>
      <c r="AF322">
        <f t="shared" si="162"/>
        <v>0</v>
      </c>
      <c r="AG322">
        <f>IF('Исходные данные'!$B$51="Да",AF322*N('Исходные данные'!$B$52),0)</f>
        <v>0</v>
      </c>
      <c r="AH322">
        <f t="shared" si="163"/>
        <v>0</v>
      </c>
      <c r="AI322">
        <f>AF322+(Расчёты!Y322-Расчёты!L322)</f>
        <v>0</v>
      </c>
      <c r="AJ322">
        <f t="shared" si="150"/>
        <v>0</v>
      </c>
      <c r="AK322">
        <f>IF('Исходные данные'!$B$51="Да",-MAX(0,AG322+Расчёты!R322+Расчёты!V322-Расчёты!P322-Расчёты!T322-AJ322),0)</f>
        <v>0</v>
      </c>
      <c r="AL322">
        <f>IF('Исходные данные'!$B$51="Да",MAX(0,AJ322+Расчёты!P322+Расчёты!T322-AG322-Расчёты!R322-Расчёты!V322),0)</f>
        <v>0</v>
      </c>
      <c r="AM322">
        <f>IF('Исходные данные'!$B$53="Выручка",MAX(0,AF322+(Расчёты!Q322-Расчёты!R322)+(Расчёты!U322-Расчёты!V322)),IF('Исходные данные'!$B$53="Прибыль до налога",MAX(0,AF322+(Расчёты!Q322-Расчёты!R322)+(Расчёты!U322-Расчёты!V322)+N('Исходные данные'!$B$54)*((Расчёты!O322+Расчёты!P322)+(Расчёты!S322+Расчёты!T322)+Расчёты!W322+Расчёты!X322)+IF('Исходные данные'!$B$55="Да",Расчёты!AG322,0)-N('Исходные данные'!$B$56)/12),IF('Исходные данные'!$B$53="Пользовательская база",MAX(0,N('Исходные данные'!$B$57)/12),0)))</f>
        <v>0</v>
      </c>
      <c r="AN322">
        <f>IF(D322=1,-AM322*N('Исходные данные'!$B$50),0)</f>
        <v>0</v>
      </c>
      <c r="AO322">
        <f t="shared" si="151"/>
        <v>0</v>
      </c>
      <c r="AP322">
        <f>IF(OR(D322&lt;&gt;1,B322="",'Исходные данные'!$B$91="",N('Исходные данные'!$B$80)&lt;=0,'Исходные данные'!$B$88=""),0,IF(AND(YEAR(B322)=YEAR('Исходные данные'!$B$91),MONTH(B322)=MONTH('Исходные данные'!$B$91)),MAX(0,IF('Исходные данные'!$B$88="Последние 12 месяцев",SUMIFS($AI$2:$AI$194,$B$2:$B$194,"&gt;="&amp;EDATE(B322,-11),$B$2:$B$194,"&lt;="&amp;B322),IF('Исходные данные'!$B$88="Пользовательский NOI",N('Исходные данные'!$B$89),AO322))/N('Исходные данные'!$B$80)*(1+N('Исходные данные'!$B$81))),0))</f>
        <v>0</v>
      </c>
      <c r="AQ322">
        <f>-AP322*N('Исходные данные'!$B$73)</f>
        <v>0</v>
      </c>
      <c r="AR322">
        <f>IF(AP322=0,0,-N('Исходные данные'!$B$87)-IF('Исходные данные'!$B$82="Да",IF('Исходные данные'!$B$84="С выручки",AP322,IF('Исходные данные'!$B$84="С прибыли",MAX(0,AP322+AQ322-IF('Исходные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22">
        <f t="shared" si="164"/>
        <v>0</v>
      </c>
      <c r="AT322">
        <f>IF(D322=1,Расчёты!AZ322+AH322+AK322+AN322+AS322,0)</f>
        <v>0</v>
      </c>
      <c r="AU322" t="str">
        <f t="shared" si="152"/>
        <v/>
      </c>
      <c r="AV322">
        <f>IF(OR(D322=0,'Исходные данные'!$B$9="",'Исходные данные'!$B$90=""),0,AT322/(1+'Исходные данные'!$B$90)^((C322-'Исходные данные'!$B$9)/365))</f>
        <v>0</v>
      </c>
      <c r="AW322">
        <f>IF(D322=1,AH322+Расчёты!O322+Расчёты!Q322+Расчёты!S322+Расчёты!U322+Расчёты!W322+Расчёты!X322+AK322+AN322,0)</f>
        <v>0</v>
      </c>
      <c r="AX322">
        <f>IF(AND(D322=1,AU322&gt;=0,AU321&lt;0,MIN($AU$2:AU322)&lt;0),1,0)</f>
        <v>0</v>
      </c>
      <c r="AY322">
        <f>IF(Расчёты!F322=0,0,IF(Расчёты!G322=1,N('Сценарный анализ'!$D$5),IF(Расчёты!G322=2,N('Сценарный анализ'!$D$6),IF(Расчёты!G322=3,N('Сценарный анализ'!$D$7),N('Сценарный анализ'!$D$7)*(1+N('Сценарный анализ'!$D$8))^(Расчёты!G322-3)))))</f>
        <v>0</v>
      </c>
      <c r="AZ322">
        <f>IF(OR(Расчёты!F322=0,N('Исходные данные'!$B$5)=0,AY322=0),0,N('Исходные данные'!$B$5)*AY322*IF(AND(B322&lt;='Исходные данные'!$B$30,Расчёты!C322&gt;='Исходные данные'!$B$30),(Расчёты!C322-'Исходные данные'!$B$30+1)/DAY(Расчёты!C322),1))</f>
        <v>0</v>
      </c>
      <c r="BA322">
        <f>IF(AND(Расчёты!F322&gt;0,Расчёты!F322&lt;=N('Исходные данные'!$B$37)),-AZ322,0)</f>
        <v>0</v>
      </c>
      <c r="BB322">
        <f>IF(OR(Расчёты!F322=0,Расчёты!F322&lt;=N('Исходные данные'!$B$37)),0,-(AZ322+BA322)*N('Сценарный анализ'!$D$9))</f>
        <v>0</v>
      </c>
      <c r="BC322">
        <f t="shared" si="165"/>
        <v>0</v>
      </c>
      <c r="BD322">
        <f>IF('Исходные данные'!$B$51="Да",BC322*N('Исходные данные'!$B$52),0)</f>
        <v>0</v>
      </c>
      <c r="BE322">
        <f t="shared" si="166"/>
        <v>0</v>
      </c>
      <c r="BF322">
        <f>BC322+(Расчёты!Y322-Расчёты!L322)</f>
        <v>0</v>
      </c>
      <c r="BG322">
        <f t="shared" si="153"/>
        <v>0</v>
      </c>
      <c r="BH322">
        <f>IF('Исходные данные'!$B$51="Да",-MAX(0,BD322+Расчёты!R322+Расчёты!V322-Расчёты!P322-Расчёты!T322-BG322),0)</f>
        <v>0</v>
      </c>
      <c r="BI322">
        <f>IF('Исходные данные'!$B$51="Да",MAX(0,BG322+Расчёты!P322+Расчёты!T322-BD322-Расчёты!R322-Расчёты!V322),0)</f>
        <v>0</v>
      </c>
      <c r="BJ322">
        <f>IF('Исходные данные'!$B$53="Выручка",MAX(0,BC322+(Расчёты!Q322-Расчёты!R322)+(Расчёты!U322-Расчёты!V322)),IF('Исходные данные'!$B$53="Прибыль до налога",MAX(0,BC322+(Расчёты!Q322-Расчёты!R322)+(Расчёты!U322-Расчёты!V322)+N('Исходные данные'!$B$54)*((Расчёты!O322+Расчёты!P322)+(Расчёты!S322+Расчёты!T322)+Расчёты!W322+Расчёты!X322)+IF('Исходные данные'!$B$55="Да",Расчёты!AG322,0)-N('Исходные данные'!$B$56)/12),IF('Исходные данные'!$B$53="Пользовательская база",MAX(0,N('Исходные данные'!$B$57)/12),0)))</f>
        <v>0</v>
      </c>
      <c r="BK322">
        <f>IF(D322=1,-BJ322*N('Исходные данные'!$B$50),0)</f>
        <v>0</v>
      </c>
      <c r="BL322">
        <f t="shared" si="154"/>
        <v>0</v>
      </c>
      <c r="BM322">
        <f>IF(OR(D322&lt;&gt;1,B322="",'Исходные данные'!$B$91="",N('Исходные данные'!$B$80)&lt;=0,'Исходные данные'!$B$88=""),0,IF(AND(YEAR(B322)=YEAR('Исходные данные'!$B$91),MONTH(B322)=MONTH('Исходные данные'!$B$91)),MAX(0,IF('Исходные данные'!$B$88="Последние 12 месяцев",SUMIFS($BF$2:$BF$194,$B$2:$B$194,"&gt;="&amp;EDATE(B322,-11),$B$2:$B$194,"&lt;="&amp;B322),IF('Исходные данные'!$B$88="Пользовательский NOI",N('Исходные данные'!$B$89),BL322))/N('Исходные данные'!$B$80)*(1+N('Исходные данные'!$B$81))),0))</f>
        <v>0</v>
      </c>
      <c r="BN322">
        <f>-BM322*N('Исходные данные'!$B$73)</f>
        <v>0</v>
      </c>
      <c r="BO322">
        <f>IF(BM322=0,0,-N('Исходные данные'!$B$87)-IF('Исходные данные'!$B$82="Да",IF('Исходные данные'!$B$84="С выручки",BM322,IF('Исходные данные'!$B$84="С прибыли",MAX(0,BM322+BN322-IF('Исходные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22">
        <f t="shared" si="167"/>
        <v>0</v>
      </c>
      <c r="BQ322">
        <f>IF(D322=1,Расчёты!AZ322+BE322+BH322+BK322+BP322,0)</f>
        <v>0</v>
      </c>
      <c r="BR322" t="str">
        <f t="shared" si="155"/>
        <v/>
      </c>
      <c r="BS322">
        <f>IF(OR(D322=0,'Исходные данные'!$B$9="",'Исходные данные'!$B$90=""),0,BQ322/(1+'Исходные данные'!$B$90)^((C322-'Исходные данные'!$B$9)/365))</f>
        <v>0</v>
      </c>
      <c r="BT322">
        <f>IF(D322=1,BE322+Расчёты!O322+Расчёты!Q322+Расчёты!S322+Расчёты!U322+Расчёты!W322+Расчёты!X322+BH322+BK322,0)</f>
        <v>0</v>
      </c>
      <c r="BU322">
        <f>IF(AND(D322=1,BR322&gt;=0,BR321&lt;0,MIN($BR$2:BR322)&lt;0),1,0)</f>
        <v>0</v>
      </c>
      <c r="BV322">
        <f>Расчёты!AZ322+K322+N322-P322*N('Исходные данные'!$B$50)</f>
        <v>0</v>
      </c>
      <c r="BW322">
        <f t="shared" si="156"/>
        <v>0</v>
      </c>
      <c r="BX322">
        <f>IF(AND(BW322&gt;=0,BW321&lt;0,MIN($BW$2:BW322)&lt;0),1,0)</f>
        <v>0</v>
      </c>
      <c r="BY322">
        <f>Расчёты!AZ322+AH322+AK322-AM322*N('Исходные данные'!$B$50)</f>
        <v>0</v>
      </c>
      <c r="BZ322">
        <f t="shared" si="157"/>
        <v>0</v>
      </c>
      <c r="CA322">
        <f>IF(AND(BZ322&gt;=0,BZ321&lt;0,MIN($BZ$2:BZ322)&lt;0),1,0)</f>
        <v>0</v>
      </c>
      <c r="CB322">
        <f>Расчёты!AZ322+BE322+BH322-BJ322*N('Исходные данные'!$B$50)</f>
        <v>0</v>
      </c>
      <c r="CC322">
        <f t="shared" si="158"/>
        <v>0</v>
      </c>
      <c r="CD322">
        <f>IF(AND(CC322&gt;=0,CC321&lt;0,MIN($CC$2:CC322)&lt;0),1,0)</f>
        <v>0</v>
      </c>
    </row>
    <row r="323" spans="1:82" x14ac:dyDescent="0.2">
      <c r="A323">
        <f>Расчёты!A323</f>
        <v>322</v>
      </c>
      <c r="B323" t="str">
        <f>Расчёты!B323</f>
        <v/>
      </c>
      <c r="C323" t="str">
        <f>Расчёты!D323</f>
        <v/>
      </c>
      <c r="D323">
        <f>Расчёты!E323</f>
        <v>0</v>
      </c>
      <c r="E323">
        <f>IF(Расчёты!F323=0,0,IF(Расчёты!G323=1,N('Сценарный анализ'!$B$5),IF(Расчёты!G323=2,N('Сценарный анализ'!$B$6),IF(Расчёты!G323=3,N('Сценарный анализ'!$B$7),N('Сценарный анализ'!$B$7)*(1+N('Сценарный анализ'!$B$8))^(Расчёты!G323-3)))))</f>
        <v>0</v>
      </c>
      <c r="F323">
        <f>IF(OR(Расчёты!F323=0,N('Исходные данные'!$B$5)=0,E323=0),0,N('Исходные данные'!$B$5)*E323*IF(AND(B323&lt;='Исходные данные'!$B$30,Расчёты!C323&gt;='Исходные данные'!$B$30),(Расчёты!C323-'Исходные данные'!$B$30+1)/DAY(Расчёты!C323),1))</f>
        <v>0</v>
      </c>
      <c r="G323">
        <f>IF(AND(Расчёты!F323&gt;0,Расчёты!F323&lt;=N('Исходные данные'!$B$37)),-F323,0)</f>
        <v>0</v>
      </c>
      <c r="H323">
        <f>IF(OR(Расчёты!F323=0,Расчёты!F323&lt;=N('Исходные данные'!$B$37)),0,-(F323+G323)*N('Сценарный анализ'!$B$9))</f>
        <v>0</v>
      </c>
      <c r="I323">
        <f t="shared" si="159"/>
        <v>0</v>
      </c>
      <c r="J323">
        <f>IF('Исходные данные'!$B$51="Да",I323*N('Исходные данные'!$B$52),0)</f>
        <v>0</v>
      </c>
      <c r="K323">
        <f t="shared" si="160"/>
        <v>0</v>
      </c>
      <c r="L323">
        <f>I323+(Расчёты!Y323-Расчёты!L323)</f>
        <v>0</v>
      </c>
      <c r="M323">
        <f t="shared" ref="M323:M361" si="168">O322</f>
        <v>0</v>
      </c>
      <c r="N323">
        <f>IF('Исходные данные'!$B$51="Да",-MAX(0,J323+Расчёты!R323+Расчёты!V323-Расчёты!P323-Расчёты!T323-M323),0)</f>
        <v>0</v>
      </c>
      <c r="O323">
        <f>IF('Исходные данные'!$B$51="Да",MAX(0,M323+Расчёты!P323+Расчёты!T323-J323-Расчёты!R323-Расчёты!V323),0)</f>
        <v>0</v>
      </c>
      <c r="P323">
        <f>IF('Исходные данные'!$B$53="Выручка",MAX(0,I323+(Расчёты!Q323-Расчёты!R323)+(Расчёты!U323-Расчёты!V323)),IF('Исходные данные'!$B$53="Прибыль до налога",MAX(0,I323+(Расчёты!Q323-Расчёты!R323)+(Расчёты!U323-Расчёты!V323)+N('Исходные данные'!$B$54)*((Расчёты!O323+Расчёты!P323)+(Расчёты!S323+Расчёты!T323)+Расчёты!W323+Расчёты!X323)+IF('Исходные данные'!$B$55="Да",Расчёты!AG323,0)-N('Исходные данные'!$B$56)/12),IF('Исходные данные'!$B$53="Пользовательская база",MAX(0,N('Исходные данные'!$B$57)/12),0)))</f>
        <v>0</v>
      </c>
      <c r="Q323">
        <f>IF(D323=1,-P323*N('Исходные данные'!$B$50),0)</f>
        <v>0</v>
      </c>
      <c r="R323">
        <f t="shared" ref="R323:R361" si="169">IF(B323="",0,SUMIFS($L$2:$L$194,$B$2:$B$194,"&gt;"&amp;B323,$B$2:$B$194,"&lt;="&amp;EDATE(B323,12)))</f>
        <v>0</v>
      </c>
      <c r="S323">
        <f>IF(OR(D323&lt;&gt;1,B323="",'Исходные данные'!$B$91="",N('Исходные данные'!$B$80)&lt;=0,'Исходные данные'!$B$88=""),0,IF(AND(YEAR(B323)=YEAR('Исходные данные'!$B$91),MONTH(B323)=MONTH('Исходные данные'!$B$91)),MAX(0,IF('Исходные данные'!$B$88="Последние 12 месяцев",SUMIFS($L$2:$L$194,$B$2:$B$194,"&gt;="&amp;EDATE(B323,-11),$B$2:$B$194,"&lt;="&amp;B323),IF('Исходные данные'!$B$88="Пользовательский NOI",N('Исходные данные'!$B$89),R323))/N('Исходные данные'!$B$80)*(1+N('Исходные данные'!$B$81))),0))</f>
        <v>0</v>
      </c>
      <c r="T323">
        <f>-S323*N('Исходные данные'!$B$73)</f>
        <v>0</v>
      </c>
      <c r="U323">
        <f>IF(S323=0,0,-N('Исходные данные'!$B$87)-IF('Исходные данные'!$B$82="Да",IF('Исходные данные'!$B$84="С выручки",S323,IF('Исходные данные'!$B$84="С прибыли",MAX(0,S323+T323-IF('Исходные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23">
        <f t="shared" si="161"/>
        <v>0</v>
      </c>
      <c r="W323">
        <f>IF(D323=1,Расчёты!AZ323+K323+N323+Q323+V323,0)</f>
        <v>0</v>
      </c>
      <c r="X323" t="str">
        <f t="shared" ref="X323:X361" si="170">IF(D323=1,X322+W323,"")</f>
        <v/>
      </c>
      <c r="Y323">
        <f>IF(OR(D323=0,'Исходные данные'!$B$9="",'Исходные данные'!$B$90=""),0,W323/(1+'Исходные данные'!$B$90)^((C323-'Исходные данные'!$B$9)/365))</f>
        <v>0</v>
      </c>
      <c r="Z323">
        <f>IF(D323=1,K323+Расчёты!O323+Расчёты!Q323+Расчёты!S323+Расчёты!U323+Расчёты!W323+Расчёты!X323+N323+Q323,0)</f>
        <v>0</v>
      </c>
      <c r="AA323">
        <f>IF(AND(D323=1,X323&gt;=0,X322&lt;0,MIN($X$2:X323)&lt;0),1,0)</f>
        <v>0</v>
      </c>
      <c r="AB323">
        <f>IF(Расчёты!F323=0,0,IF(Расчёты!G323=1,N('Сценарный анализ'!$C$5),IF(Расчёты!G323=2,N('Сценарный анализ'!$C$6),IF(Расчёты!G323=3,N('Сценарный анализ'!$C$7),N('Сценарный анализ'!$C$7)*(1+N('Сценарный анализ'!$C$8))^(Расчёты!G323-3)))))</f>
        <v>0</v>
      </c>
      <c r="AC323">
        <f>IF(OR(Расчёты!F323=0,N('Исходные данные'!$B$5)=0,AB323=0),0,N('Исходные данные'!$B$5)*AB323*IF(AND(B323&lt;='Исходные данные'!$B$30,Расчёты!C323&gt;='Исходные данные'!$B$30),(Расчёты!C323-'Исходные данные'!$B$30+1)/DAY(Расчёты!C323),1))</f>
        <v>0</v>
      </c>
      <c r="AD323">
        <f>IF(AND(Расчёты!F323&gt;0,Расчёты!F323&lt;=N('Исходные данные'!$B$37)),-AC323,0)</f>
        <v>0</v>
      </c>
      <c r="AE323">
        <f>IF(OR(Расчёты!F323=0,Расчёты!F323&lt;=N('Исходные данные'!$B$37)),0,-(AC323+AD323)*N('Сценарный анализ'!$C$9))</f>
        <v>0</v>
      </c>
      <c r="AF323">
        <f t="shared" si="162"/>
        <v>0</v>
      </c>
      <c r="AG323">
        <f>IF('Исходные данные'!$B$51="Да",AF323*N('Исходные данные'!$B$52),0)</f>
        <v>0</v>
      </c>
      <c r="AH323">
        <f t="shared" si="163"/>
        <v>0</v>
      </c>
      <c r="AI323">
        <f>AF323+(Расчёты!Y323-Расчёты!L323)</f>
        <v>0</v>
      </c>
      <c r="AJ323">
        <f t="shared" ref="AJ323:AJ361" si="171">AL322</f>
        <v>0</v>
      </c>
      <c r="AK323">
        <f>IF('Исходные данные'!$B$51="Да",-MAX(0,AG323+Расчёты!R323+Расчёты!V323-Расчёты!P323-Расчёты!T323-AJ323),0)</f>
        <v>0</v>
      </c>
      <c r="AL323">
        <f>IF('Исходные данные'!$B$51="Да",MAX(0,AJ323+Расчёты!P323+Расчёты!T323-AG323-Расчёты!R323-Расчёты!V323),0)</f>
        <v>0</v>
      </c>
      <c r="AM323">
        <f>IF('Исходные данные'!$B$53="Выручка",MAX(0,AF323+(Расчёты!Q323-Расчёты!R323)+(Расчёты!U323-Расчёты!V323)),IF('Исходные данные'!$B$53="Прибыль до налога",MAX(0,AF323+(Расчёты!Q323-Расчёты!R323)+(Расчёты!U323-Расчёты!V323)+N('Исходные данные'!$B$54)*((Расчёты!O323+Расчёты!P323)+(Расчёты!S323+Расчёты!T323)+Расчёты!W323+Расчёты!X323)+IF('Исходные данные'!$B$55="Да",Расчёты!AG323,0)-N('Исходные данные'!$B$56)/12),IF('Исходные данные'!$B$53="Пользовательская база",MAX(0,N('Исходные данные'!$B$57)/12),0)))</f>
        <v>0</v>
      </c>
      <c r="AN323">
        <f>IF(D323=1,-AM323*N('Исходные данные'!$B$50),0)</f>
        <v>0</v>
      </c>
      <c r="AO323">
        <f t="shared" ref="AO323:AO361" si="172">IF(B323="",0,SUMIFS($AI$2:$AI$194,$B$2:$B$194,"&gt;"&amp;B323,$B$2:$B$194,"&lt;="&amp;EDATE(B323,12)))</f>
        <v>0</v>
      </c>
      <c r="AP323">
        <f>IF(OR(D323&lt;&gt;1,B323="",'Исходные данные'!$B$91="",N('Исходные данные'!$B$80)&lt;=0,'Исходные данные'!$B$88=""),0,IF(AND(YEAR(B323)=YEAR('Исходные данные'!$B$91),MONTH(B323)=MONTH('Исходные данные'!$B$91)),MAX(0,IF('Исходные данные'!$B$88="Последние 12 месяцев",SUMIFS($AI$2:$AI$194,$B$2:$B$194,"&gt;="&amp;EDATE(B323,-11),$B$2:$B$194,"&lt;="&amp;B323),IF('Исходные данные'!$B$88="Пользовательский NOI",N('Исходные данные'!$B$89),AO323))/N('Исходные данные'!$B$80)*(1+N('Исходные данные'!$B$81))),0))</f>
        <v>0</v>
      </c>
      <c r="AQ323">
        <f>-AP323*N('Исходные данные'!$B$73)</f>
        <v>0</v>
      </c>
      <c r="AR323">
        <f>IF(AP323=0,0,-N('Исходные данные'!$B$87)-IF('Исходные данные'!$B$82="Да",IF('Исходные данные'!$B$84="С выручки",AP323,IF('Исходные данные'!$B$84="С прибыли",MAX(0,AP323+AQ323-IF('Исходные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23">
        <f t="shared" si="164"/>
        <v>0</v>
      </c>
      <c r="AT323">
        <f>IF(D323=1,Расчёты!AZ323+AH323+AK323+AN323+AS323,0)</f>
        <v>0</v>
      </c>
      <c r="AU323" t="str">
        <f t="shared" ref="AU323:AU361" si="173">IF(D323=1,AU322+AT323,"")</f>
        <v/>
      </c>
      <c r="AV323">
        <f>IF(OR(D323=0,'Исходные данные'!$B$9="",'Исходные данные'!$B$90=""),0,AT323/(1+'Исходные данные'!$B$90)^((C323-'Исходные данные'!$B$9)/365))</f>
        <v>0</v>
      </c>
      <c r="AW323">
        <f>IF(D323=1,AH323+Расчёты!O323+Расчёты!Q323+Расчёты!S323+Расчёты!U323+Расчёты!W323+Расчёты!X323+AK323+AN323,0)</f>
        <v>0</v>
      </c>
      <c r="AX323">
        <f>IF(AND(D323=1,AU323&gt;=0,AU322&lt;0,MIN($AU$2:AU323)&lt;0),1,0)</f>
        <v>0</v>
      </c>
      <c r="AY323">
        <f>IF(Расчёты!F323=0,0,IF(Расчёты!G323=1,N('Сценарный анализ'!$D$5),IF(Расчёты!G323=2,N('Сценарный анализ'!$D$6),IF(Расчёты!G323=3,N('Сценарный анализ'!$D$7),N('Сценарный анализ'!$D$7)*(1+N('Сценарный анализ'!$D$8))^(Расчёты!G323-3)))))</f>
        <v>0</v>
      </c>
      <c r="AZ323">
        <f>IF(OR(Расчёты!F323=0,N('Исходные данные'!$B$5)=0,AY323=0),0,N('Исходные данные'!$B$5)*AY323*IF(AND(B323&lt;='Исходные данные'!$B$30,Расчёты!C323&gt;='Исходные данные'!$B$30),(Расчёты!C323-'Исходные данные'!$B$30+1)/DAY(Расчёты!C323),1))</f>
        <v>0</v>
      </c>
      <c r="BA323">
        <f>IF(AND(Расчёты!F323&gt;0,Расчёты!F323&lt;=N('Исходные данные'!$B$37)),-AZ323,0)</f>
        <v>0</v>
      </c>
      <c r="BB323">
        <f>IF(OR(Расчёты!F323=0,Расчёты!F323&lt;=N('Исходные данные'!$B$37)),0,-(AZ323+BA323)*N('Сценарный анализ'!$D$9))</f>
        <v>0</v>
      </c>
      <c r="BC323">
        <f t="shared" si="165"/>
        <v>0</v>
      </c>
      <c r="BD323">
        <f>IF('Исходные данные'!$B$51="Да",BC323*N('Исходные данные'!$B$52),0)</f>
        <v>0</v>
      </c>
      <c r="BE323">
        <f t="shared" si="166"/>
        <v>0</v>
      </c>
      <c r="BF323">
        <f>BC323+(Расчёты!Y323-Расчёты!L323)</f>
        <v>0</v>
      </c>
      <c r="BG323">
        <f t="shared" ref="BG323:BG361" si="174">BI322</f>
        <v>0</v>
      </c>
      <c r="BH323">
        <f>IF('Исходные данные'!$B$51="Да",-MAX(0,BD323+Расчёты!R323+Расчёты!V323-Расчёты!P323-Расчёты!T323-BG323),0)</f>
        <v>0</v>
      </c>
      <c r="BI323">
        <f>IF('Исходные данные'!$B$51="Да",MAX(0,BG323+Расчёты!P323+Расчёты!T323-BD323-Расчёты!R323-Расчёты!V323),0)</f>
        <v>0</v>
      </c>
      <c r="BJ323">
        <f>IF('Исходные данные'!$B$53="Выручка",MAX(0,BC323+(Расчёты!Q323-Расчёты!R323)+(Расчёты!U323-Расчёты!V323)),IF('Исходные данные'!$B$53="Прибыль до налога",MAX(0,BC323+(Расчёты!Q323-Расчёты!R323)+(Расчёты!U323-Расчёты!V323)+N('Исходные данные'!$B$54)*((Расчёты!O323+Расчёты!P323)+(Расчёты!S323+Расчёты!T323)+Расчёты!W323+Расчёты!X323)+IF('Исходные данные'!$B$55="Да",Расчёты!AG323,0)-N('Исходные данные'!$B$56)/12),IF('Исходные данные'!$B$53="Пользовательская база",MAX(0,N('Исходные данные'!$B$57)/12),0)))</f>
        <v>0</v>
      </c>
      <c r="BK323">
        <f>IF(D323=1,-BJ323*N('Исходные данные'!$B$50),0)</f>
        <v>0</v>
      </c>
      <c r="BL323">
        <f t="shared" ref="BL323:BL361" si="175">IF(B323="",0,SUMIFS($BF$2:$BF$194,$B$2:$B$194,"&gt;"&amp;B323,$B$2:$B$194,"&lt;="&amp;EDATE(B323,12)))</f>
        <v>0</v>
      </c>
      <c r="BM323">
        <f>IF(OR(D323&lt;&gt;1,B323="",'Исходные данные'!$B$91="",N('Исходные данные'!$B$80)&lt;=0,'Исходные данные'!$B$88=""),0,IF(AND(YEAR(B323)=YEAR('Исходные данные'!$B$91),MONTH(B323)=MONTH('Исходные данные'!$B$91)),MAX(0,IF('Исходные данные'!$B$88="Последние 12 месяцев",SUMIFS($BF$2:$BF$194,$B$2:$B$194,"&gt;="&amp;EDATE(B323,-11),$B$2:$B$194,"&lt;="&amp;B323),IF('Исходные данные'!$B$88="Пользовательский NOI",N('Исходные данные'!$B$89),BL323))/N('Исходные данные'!$B$80)*(1+N('Исходные данные'!$B$81))),0))</f>
        <v>0</v>
      </c>
      <c r="BN323">
        <f>-BM323*N('Исходные данные'!$B$73)</f>
        <v>0</v>
      </c>
      <c r="BO323">
        <f>IF(BM323=0,0,-N('Исходные данные'!$B$87)-IF('Исходные данные'!$B$82="Да",IF('Исходные данные'!$B$84="С выручки",BM323,IF('Исходные данные'!$B$84="С прибыли",MAX(0,BM323+BN323-IF('Исходные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23">
        <f t="shared" si="167"/>
        <v>0</v>
      </c>
      <c r="BQ323">
        <f>IF(D323=1,Расчёты!AZ323+BE323+BH323+BK323+BP323,0)</f>
        <v>0</v>
      </c>
      <c r="BR323" t="str">
        <f t="shared" ref="BR323:BR361" si="176">IF(D323=1,BR322+BQ323,"")</f>
        <v/>
      </c>
      <c r="BS323">
        <f>IF(OR(D323=0,'Исходные данные'!$B$9="",'Исходные данные'!$B$90=""),0,BQ323/(1+'Исходные данные'!$B$90)^((C323-'Исходные данные'!$B$9)/365))</f>
        <v>0</v>
      </c>
      <c r="BT323">
        <f>IF(D323=1,BE323+Расчёты!O323+Расчёты!Q323+Расчёты!S323+Расчёты!U323+Расчёты!W323+Расчёты!X323+BH323+BK323,0)</f>
        <v>0</v>
      </c>
      <c r="BU323">
        <f>IF(AND(D323=1,BR323&gt;=0,BR322&lt;0,MIN($BR$2:BR323)&lt;0),1,0)</f>
        <v>0</v>
      </c>
      <c r="BV323">
        <f>Расчёты!AZ323+K323+N323-P323*N('Исходные данные'!$B$50)</f>
        <v>0</v>
      </c>
      <c r="BW323">
        <f t="shared" ref="BW323:BW361" si="177">BW322+BV323</f>
        <v>0</v>
      </c>
      <c r="BX323">
        <f>IF(AND(BW323&gt;=0,BW322&lt;0,MIN($BW$2:BW323)&lt;0),1,0)</f>
        <v>0</v>
      </c>
      <c r="BY323">
        <f>Расчёты!AZ323+AH323+AK323-AM323*N('Исходные данные'!$B$50)</f>
        <v>0</v>
      </c>
      <c r="BZ323">
        <f t="shared" ref="BZ323:BZ361" si="178">BZ322+BY323</f>
        <v>0</v>
      </c>
      <c r="CA323">
        <f>IF(AND(BZ323&gt;=0,BZ322&lt;0,MIN($BZ$2:BZ323)&lt;0),1,0)</f>
        <v>0</v>
      </c>
      <c r="CB323">
        <f>Расчёты!AZ323+BE323+BH323-BJ323*N('Исходные данные'!$B$50)</f>
        <v>0</v>
      </c>
      <c r="CC323">
        <f t="shared" ref="CC323:CC361" si="179">CC322+CB323</f>
        <v>0</v>
      </c>
      <c r="CD323">
        <f>IF(AND(CC323&gt;=0,CC322&lt;0,MIN($CC$2:CC323)&lt;0),1,0)</f>
        <v>0</v>
      </c>
    </row>
    <row r="324" spans="1:82" x14ac:dyDescent="0.2">
      <c r="A324">
        <f>Расчёты!A324</f>
        <v>323</v>
      </c>
      <c r="B324" t="str">
        <f>Расчёты!B324</f>
        <v/>
      </c>
      <c r="C324" t="str">
        <f>Расчёты!D324</f>
        <v/>
      </c>
      <c r="D324">
        <f>Расчёты!E324</f>
        <v>0</v>
      </c>
      <c r="E324">
        <f>IF(Расчёты!F324=0,0,IF(Расчёты!G324=1,N('Сценарный анализ'!$B$5),IF(Расчёты!G324=2,N('Сценарный анализ'!$B$6),IF(Расчёты!G324=3,N('Сценарный анализ'!$B$7),N('Сценарный анализ'!$B$7)*(1+N('Сценарный анализ'!$B$8))^(Расчёты!G324-3)))))</f>
        <v>0</v>
      </c>
      <c r="F324">
        <f>IF(OR(Расчёты!F324=0,N('Исходные данные'!$B$5)=0,E324=0),0,N('Исходные данные'!$B$5)*E324*IF(AND(B324&lt;='Исходные данные'!$B$30,Расчёты!C324&gt;='Исходные данные'!$B$30),(Расчёты!C324-'Исходные данные'!$B$30+1)/DAY(Расчёты!C324),1))</f>
        <v>0</v>
      </c>
      <c r="G324">
        <f>IF(AND(Расчёты!F324&gt;0,Расчёты!F324&lt;=N('Исходные данные'!$B$37)),-F324,0)</f>
        <v>0</v>
      </c>
      <c r="H324">
        <f>IF(OR(Расчёты!F324=0,Расчёты!F324&lt;=N('Исходные данные'!$B$37)),0,-(F324+G324)*N('Сценарный анализ'!$B$9))</f>
        <v>0</v>
      </c>
      <c r="I324">
        <f t="shared" ref="I324:I361" si="180">F324+G324+H324</f>
        <v>0</v>
      </c>
      <c r="J324">
        <f>IF('Исходные данные'!$B$51="Да",I324*N('Исходные данные'!$B$52),0)</f>
        <v>0</v>
      </c>
      <c r="K324">
        <f t="shared" ref="K324:K361" si="181">I324+J324</f>
        <v>0</v>
      </c>
      <c r="L324">
        <f>I324+(Расчёты!Y324-Расчёты!L324)</f>
        <v>0</v>
      </c>
      <c r="M324">
        <f t="shared" si="168"/>
        <v>0</v>
      </c>
      <c r="N324">
        <f>IF('Исходные данные'!$B$51="Да",-MAX(0,J324+Расчёты!R324+Расчёты!V324-Расчёты!P324-Расчёты!T324-M324),0)</f>
        <v>0</v>
      </c>
      <c r="O324">
        <f>IF('Исходные данные'!$B$51="Да",MAX(0,M324+Расчёты!P324+Расчёты!T324-J324-Расчёты!R324-Расчёты!V324),0)</f>
        <v>0</v>
      </c>
      <c r="P324">
        <f>IF('Исходные данные'!$B$53="Выручка",MAX(0,I324+(Расчёты!Q324-Расчёты!R324)+(Расчёты!U324-Расчёты!V324)),IF('Исходные данные'!$B$53="Прибыль до налога",MAX(0,I324+(Расчёты!Q324-Расчёты!R324)+(Расчёты!U324-Расчёты!V324)+N('Исходные данные'!$B$54)*((Расчёты!O324+Расчёты!P324)+(Расчёты!S324+Расчёты!T324)+Расчёты!W324+Расчёты!X324)+IF('Исходные данные'!$B$55="Да",Расчёты!AG324,0)-N('Исходные данные'!$B$56)/12),IF('Исходные данные'!$B$53="Пользовательская база",MAX(0,N('Исходные данные'!$B$57)/12),0)))</f>
        <v>0</v>
      </c>
      <c r="Q324">
        <f>IF(D324=1,-P324*N('Исходные данные'!$B$50),0)</f>
        <v>0</v>
      </c>
      <c r="R324">
        <f t="shared" si="169"/>
        <v>0</v>
      </c>
      <c r="S324">
        <f>IF(OR(D324&lt;&gt;1,B324="",'Исходные данные'!$B$91="",N('Исходные данные'!$B$80)&lt;=0,'Исходные данные'!$B$88=""),0,IF(AND(YEAR(B324)=YEAR('Исходные данные'!$B$91),MONTH(B324)=MONTH('Исходные данные'!$B$91)),MAX(0,IF('Исходные данные'!$B$88="Последние 12 месяцев",SUMIFS($L$2:$L$194,$B$2:$B$194,"&gt;="&amp;EDATE(B324,-11),$B$2:$B$194,"&lt;="&amp;B324),IF('Исходные данные'!$B$88="Пользовательский NOI",N('Исходные данные'!$B$89),R324))/N('Исходные данные'!$B$80)*(1+N('Исходные данные'!$B$81))),0))</f>
        <v>0</v>
      </c>
      <c r="T324">
        <f>-S324*N('Исходные данные'!$B$73)</f>
        <v>0</v>
      </c>
      <c r="U324">
        <f>IF(S324=0,0,-N('Исходные данные'!$B$87)-IF('Исходные данные'!$B$82="Да",IF('Исходные данные'!$B$84="С выручки",S324,IF('Исходные данные'!$B$84="С прибыли",MAX(0,S324+T324-IF('Исходные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24">
        <f t="shared" ref="V324:V361" si="182">S324+T324+U324</f>
        <v>0</v>
      </c>
      <c r="W324">
        <f>IF(D324=1,Расчёты!AZ324+K324+N324+Q324+V324,0)</f>
        <v>0</v>
      </c>
      <c r="X324" t="str">
        <f t="shared" si="170"/>
        <v/>
      </c>
      <c r="Y324">
        <f>IF(OR(D324=0,'Исходные данные'!$B$9="",'Исходные данные'!$B$90=""),0,W324/(1+'Исходные данные'!$B$90)^((C324-'Исходные данные'!$B$9)/365))</f>
        <v>0</v>
      </c>
      <c r="Z324">
        <f>IF(D324=1,K324+Расчёты!O324+Расчёты!Q324+Расчёты!S324+Расчёты!U324+Расчёты!W324+Расчёты!X324+N324+Q324,0)</f>
        <v>0</v>
      </c>
      <c r="AA324">
        <f>IF(AND(D324=1,X324&gt;=0,X323&lt;0,MIN($X$2:X324)&lt;0),1,0)</f>
        <v>0</v>
      </c>
      <c r="AB324">
        <f>IF(Расчёты!F324=0,0,IF(Расчёты!G324=1,N('Сценарный анализ'!$C$5),IF(Расчёты!G324=2,N('Сценарный анализ'!$C$6),IF(Расчёты!G324=3,N('Сценарный анализ'!$C$7),N('Сценарный анализ'!$C$7)*(1+N('Сценарный анализ'!$C$8))^(Расчёты!G324-3)))))</f>
        <v>0</v>
      </c>
      <c r="AC324">
        <f>IF(OR(Расчёты!F324=0,N('Исходные данные'!$B$5)=0,AB324=0),0,N('Исходные данные'!$B$5)*AB324*IF(AND(B324&lt;='Исходные данные'!$B$30,Расчёты!C324&gt;='Исходные данные'!$B$30),(Расчёты!C324-'Исходные данные'!$B$30+1)/DAY(Расчёты!C324),1))</f>
        <v>0</v>
      </c>
      <c r="AD324">
        <f>IF(AND(Расчёты!F324&gt;0,Расчёты!F324&lt;=N('Исходные данные'!$B$37)),-AC324,0)</f>
        <v>0</v>
      </c>
      <c r="AE324">
        <f>IF(OR(Расчёты!F324=0,Расчёты!F324&lt;=N('Исходные данные'!$B$37)),0,-(AC324+AD324)*N('Сценарный анализ'!$C$9))</f>
        <v>0</v>
      </c>
      <c r="AF324">
        <f t="shared" ref="AF324:AF361" si="183">AC324+AD324+AE324</f>
        <v>0</v>
      </c>
      <c r="AG324">
        <f>IF('Исходные данные'!$B$51="Да",AF324*N('Исходные данные'!$B$52),0)</f>
        <v>0</v>
      </c>
      <c r="AH324">
        <f t="shared" ref="AH324:AH361" si="184">AF324+AG324</f>
        <v>0</v>
      </c>
      <c r="AI324">
        <f>AF324+(Расчёты!Y324-Расчёты!L324)</f>
        <v>0</v>
      </c>
      <c r="AJ324">
        <f t="shared" si="171"/>
        <v>0</v>
      </c>
      <c r="AK324">
        <f>IF('Исходные данные'!$B$51="Да",-MAX(0,AG324+Расчёты!R324+Расчёты!V324-Расчёты!P324-Расчёты!T324-AJ324),0)</f>
        <v>0</v>
      </c>
      <c r="AL324">
        <f>IF('Исходные данные'!$B$51="Да",MAX(0,AJ324+Расчёты!P324+Расчёты!T324-AG324-Расчёты!R324-Расчёты!V324),0)</f>
        <v>0</v>
      </c>
      <c r="AM324">
        <f>IF('Исходные данные'!$B$53="Выручка",MAX(0,AF324+(Расчёты!Q324-Расчёты!R324)+(Расчёты!U324-Расчёты!V324)),IF('Исходные данные'!$B$53="Прибыль до налога",MAX(0,AF324+(Расчёты!Q324-Расчёты!R324)+(Расчёты!U324-Расчёты!V324)+N('Исходные данные'!$B$54)*((Расчёты!O324+Расчёты!P324)+(Расчёты!S324+Расчёты!T324)+Расчёты!W324+Расчёты!X324)+IF('Исходные данные'!$B$55="Да",Расчёты!AG324,0)-N('Исходные данные'!$B$56)/12),IF('Исходные данные'!$B$53="Пользовательская база",MAX(0,N('Исходные данные'!$B$57)/12),0)))</f>
        <v>0</v>
      </c>
      <c r="AN324">
        <f>IF(D324=1,-AM324*N('Исходные данные'!$B$50),0)</f>
        <v>0</v>
      </c>
      <c r="AO324">
        <f t="shared" si="172"/>
        <v>0</v>
      </c>
      <c r="AP324">
        <f>IF(OR(D324&lt;&gt;1,B324="",'Исходные данные'!$B$91="",N('Исходные данные'!$B$80)&lt;=0,'Исходные данные'!$B$88=""),0,IF(AND(YEAR(B324)=YEAR('Исходные данные'!$B$91),MONTH(B324)=MONTH('Исходные данные'!$B$91)),MAX(0,IF('Исходные данные'!$B$88="Последние 12 месяцев",SUMIFS($AI$2:$AI$194,$B$2:$B$194,"&gt;="&amp;EDATE(B324,-11),$B$2:$B$194,"&lt;="&amp;B324),IF('Исходные данные'!$B$88="Пользовательский NOI",N('Исходные данные'!$B$89),AO324))/N('Исходные данные'!$B$80)*(1+N('Исходные данные'!$B$81))),0))</f>
        <v>0</v>
      </c>
      <c r="AQ324">
        <f>-AP324*N('Исходные данные'!$B$73)</f>
        <v>0</v>
      </c>
      <c r="AR324">
        <f>IF(AP324=0,0,-N('Исходные данные'!$B$87)-IF('Исходные данные'!$B$82="Да",IF('Исходные данные'!$B$84="С выручки",AP324,IF('Исходные данные'!$B$84="С прибыли",MAX(0,AP324+AQ324-IF('Исходные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24">
        <f t="shared" ref="AS324:AS361" si="185">AP324+AQ324+AR324</f>
        <v>0</v>
      </c>
      <c r="AT324">
        <f>IF(D324=1,Расчёты!AZ324+AH324+AK324+AN324+AS324,0)</f>
        <v>0</v>
      </c>
      <c r="AU324" t="str">
        <f t="shared" si="173"/>
        <v/>
      </c>
      <c r="AV324">
        <f>IF(OR(D324=0,'Исходные данные'!$B$9="",'Исходные данные'!$B$90=""),0,AT324/(1+'Исходные данные'!$B$90)^((C324-'Исходные данные'!$B$9)/365))</f>
        <v>0</v>
      </c>
      <c r="AW324">
        <f>IF(D324=1,AH324+Расчёты!O324+Расчёты!Q324+Расчёты!S324+Расчёты!U324+Расчёты!W324+Расчёты!X324+AK324+AN324,0)</f>
        <v>0</v>
      </c>
      <c r="AX324">
        <f>IF(AND(D324=1,AU324&gt;=0,AU323&lt;0,MIN($AU$2:AU324)&lt;0),1,0)</f>
        <v>0</v>
      </c>
      <c r="AY324">
        <f>IF(Расчёты!F324=0,0,IF(Расчёты!G324=1,N('Сценарный анализ'!$D$5),IF(Расчёты!G324=2,N('Сценарный анализ'!$D$6),IF(Расчёты!G324=3,N('Сценарный анализ'!$D$7),N('Сценарный анализ'!$D$7)*(1+N('Сценарный анализ'!$D$8))^(Расчёты!G324-3)))))</f>
        <v>0</v>
      </c>
      <c r="AZ324">
        <f>IF(OR(Расчёты!F324=0,N('Исходные данные'!$B$5)=0,AY324=0),0,N('Исходные данные'!$B$5)*AY324*IF(AND(B324&lt;='Исходные данные'!$B$30,Расчёты!C324&gt;='Исходные данные'!$B$30),(Расчёты!C324-'Исходные данные'!$B$30+1)/DAY(Расчёты!C324),1))</f>
        <v>0</v>
      </c>
      <c r="BA324">
        <f>IF(AND(Расчёты!F324&gt;0,Расчёты!F324&lt;=N('Исходные данные'!$B$37)),-AZ324,0)</f>
        <v>0</v>
      </c>
      <c r="BB324">
        <f>IF(OR(Расчёты!F324=0,Расчёты!F324&lt;=N('Исходные данные'!$B$37)),0,-(AZ324+BA324)*N('Сценарный анализ'!$D$9))</f>
        <v>0</v>
      </c>
      <c r="BC324">
        <f t="shared" ref="BC324:BC361" si="186">AZ324+BA324+BB324</f>
        <v>0</v>
      </c>
      <c r="BD324">
        <f>IF('Исходные данные'!$B$51="Да",BC324*N('Исходные данные'!$B$52),0)</f>
        <v>0</v>
      </c>
      <c r="BE324">
        <f t="shared" ref="BE324:BE361" si="187">BC324+BD324</f>
        <v>0</v>
      </c>
      <c r="BF324">
        <f>BC324+(Расчёты!Y324-Расчёты!L324)</f>
        <v>0</v>
      </c>
      <c r="BG324">
        <f t="shared" si="174"/>
        <v>0</v>
      </c>
      <c r="BH324">
        <f>IF('Исходные данные'!$B$51="Да",-MAX(0,BD324+Расчёты!R324+Расчёты!V324-Расчёты!P324-Расчёты!T324-BG324),0)</f>
        <v>0</v>
      </c>
      <c r="BI324">
        <f>IF('Исходные данные'!$B$51="Да",MAX(0,BG324+Расчёты!P324+Расчёты!T324-BD324-Расчёты!R324-Расчёты!V324),0)</f>
        <v>0</v>
      </c>
      <c r="BJ324">
        <f>IF('Исходные данные'!$B$53="Выручка",MAX(0,BC324+(Расчёты!Q324-Расчёты!R324)+(Расчёты!U324-Расчёты!V324)),IF('Исходные данные'!$B$53="Прибыль до налога",MAX(0,BC324+(Расчёты!Q324-Расчёты!R324)+(Расчёты!U324-Расчёты!V324)+N('Исходные данные'!$B$54)*((Расчёты!O324+Расчёты!P324)+(Расчёты!S324+Расчёты!T324)+Расчёты!W324+Расчёты!X324)+IF('Исходные данные'!$B$55="Да",Расчёты!AG324,0)-N('Исходные данные'!$B$56)/12),IF('Исходные данные'!$B$53="Пользовательская база",MAX(0,N('Исходные данные'!$B$57)/12),0)))</f>
        <v>0</v>
      </c>
      <c r="BK324">
        <f>IF(D324=1,-BJ324*N('Исходные данные'!$B$50),0)</f>
        <v>0</v>
      </c>
      <c r="BL324">
        <f t="shared" si="175"/>
        <v>0</v>
      </c>
      <c r="BM324">
        <f>IF(OR(D324&lt;&gt;1,B324="",'Исходные данные'!$B$91="",N('Исходные данные'!$B$80)&lt;=0,'Исходные данные'!$B$88=""),0,IF(AND(YEAR(B324)=YEAR('Исходные данные'!$B$91),MONTH(B324)=MONTH('Исходные данные'!$B$91)),MAX(0,IF('Исходные данные'!$B$88="Последние 12 месяцев",SUMIFS($BF$2:$BF$194,$B$2:$B$194,"&gt;="&amp;EDATE(B324,-11),$B$2:$B$194,"&lt;="&amp;B324),IF('Исходные данные'!$B$88="Пользовательский NOI",N('Исходные данные'!$B$89),BL324))/N('Исходные данные'!$B$80)*(1+N('Исходные данные'!$B$81))),0))</f>
        <v>0</v>
      </c>
      <c r="BN324">
        <f>-BM324*N('Исходные данные'!$B$73)</f>
        <v>0</v>
      </c>
      <c r="BO324">
        <f>IF(BM324=0,0,-N('Исходные данные'!$B$87)-IF('Исходные данные'!$B$82="Да",IF('Исходные данные'!$B$84="С выручки",BM324,IF('Исходные данные'!$B$84="С прибыли",MAX(0,BM324+BN324-IF('Исходные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24">
        <f t="shared" ref="BP324:BP361" si="188">BM324+BN324+BO324</f>
        <v>0</v>
      </c>
      <c r="BQ324">
        <f>IF(D324=1,Расчёты!AZ324+BE324+BH324+BK324+BP324,0)</f>
        <v>0</v>
      </c>
      <c r="BR324" t="str">
        <f t="shared" si="176"/>
        <v/>
      </c>
      <c r="BS324">
        <f>IF(OR(D324=0,'Исходные данные'!$B$9="",'Исходные данные'!$B$90=""),0,BQ324/(1+'Исходные данные'!$B$90)^((C324-'Исходные данные'!$B$9)/365))</f>
        <v>0</v>
      </c>
      <c r="BT324">
        <f>IF(D324=1,BE324+Расчёты!O324+Расчёты!Q324+Расчёты!S324+Расчёты!U324+Расчёты!W324+Расчёты!X324+BH324+BK324,0)</f>
        <v>0</v>
      </c>
      <c r="BU324">
        <f>IF(AND(D324=1,BR324&gt;=0,BR323&lt;0,MIN($BR$2:BR324)&lt;0),1,0)</f>
        <v>0</v>
      </c>
      <c r="BV324">
        <f>Расчёты!AZ324+K324+N324-P324*N('Исходные данные'!$B$50)</f>
        <v>0</v>
      </c>
      <c r="BW324">
        <f t="shared" si="177"/>
        <v>0</v>
      </c>
      <c r="BX324">
        <f>IF(AND(BW324&gt;=0,BW323&lt;0,MIN($BW$2:BW324)&lt;0),1,0)</f>
        <v>0</v>
      </c>
      <c r="BY324">
        <f>Расчёты!AZ324+AH324+AK324-AM324*N('Исходные данные'!$B$50)</f>
        <v>0</v>
      </c>
      <c r="BZ324">
        <f t="shared" si="178"/>
        <v>0</v>
      </c>
      <c r="CA324">
        <f>IF(AND(BZ324&gt;=0,BZ323&lt;0,MIN($BZ$2:BZ324)&lt;0),1,0)</f>
        <v>0</v>
      </c>
      <c r="CB324">
        <f>Расчёты!AZ324+BE324+BH324-BJ324*N('Исходные данные'!$B$50)</f>
        <v>0</v>
      </c>
      <c r="CC324">
        <f t="shared" si="179"/>
        <v>0</v>
      </c>
      <c r="CD324">
        <f>IF(AND(CC324&gt;=0,CC323&lt;0,MIN($CC$2:CC324)&lt;0),1,0)</f>
        <v>0</v>
      </c>
    </row>
    <row r="325" spans="1:82" x14ac:dyDescent="0.2">
      <c r="A325">
        <f>Расчёты!A325</f>
        <v>324</v>
      </c>
      <c r="B325" t="str">
        <f>Расчёты!B325</f>
        <v/>
      </c>
      <c r="C325" t="str">
        <f>Расчёты!D325</f>
        <v/>
      </c>
      <c r="D325">
        <f>Расчёты!E325</f>
        <v>0</v>
      </c>
      <c r="E325">
        <f>IF(Расчёты!F325=0,0,IF(Расчёты!G325=1,N('Сценарный анализ'!$B$5),IF(Расчёты!G325=2,N('Сценарный анализ'!$B$6),IF(Расчёты!G325=3,N('Сценарный анализ'!$B$7),N('Сценарный анализ'!$B$7)*(1+N('Сценарный анализ'!$B$8))^(Расчёты!G325-3)))))</f>
        <v>0</v>
      </c>
      <c r="F325">
        <f>IF(OR(Расчёты!F325=0,N('Исходные данные'!$B$5)=0,E325=0),0,N('Исходные данные'!$B$5)*E325*IF(AND(B325&lt;='Исходные данные'!$B$30,Расчёты!C325&gt;='Исходные данные'!$B$30),(Расчёты!C325-'Исходные данные'!$B$30+1)/DAY(Расчёты!C325),1))</f>
        <v>0</v>
      </c>
      <c r="G325">
        <f>IF(AND(Расчёты!F325&gt;0,Расчёты!F325&lt;=N('Исходные данные'!$B$37)),-F325,0)</f>
        <v>0</v>
      </c>
      <c r="H325">
        <f>IF(OR(Расчёты!F325=0,Расчёты!F325&lt;=N('Исходные данные'!$B$37)),0,-(F325+G325)*N('Сценарный анализ'!$B$9))</f>
        <v>0</v>
      </c>
      <c r="I325">
        <f t="shared" si="180"/>
        <v>0</v>
      </c>
      <c r="J325">
        <f>IF('Исходные данные'!$B$51="Да",I325*N('Исходные данные'!$B$52),0)</f>
        <v>0</v>
      </c>
      <c r="K325">
        <f t="shared" si="181"/>
        <v>0</v>
      </c>
      <c r="L325">
        <f>I325+(Расчёты!Y325-Расчёты!L325)</f>
        <v>0</v>
      </c>
      <c r="M325">
        <f t="shared" si="168"/>
        <v>0</v>
      </c>
      <c r="N325">
        <f>IF('Исходные данные'!$B$51="Да",-MAX(0,J325+Расчёты!R325+Расчёты!V325-Расчёты!P325-Расчёты!T325-M325),0)</f>
        <v>0</v>
      </c>
      <c r="O325">
        <f>IF('Исходные данные'!$B$51="Да",MAX(0,M325+Расчёты!P325+Расчёты!T325-J325-Расчёты!R325-Расчёты!V325),0)</f>
        <v>0</v>
      </c>
      <c r="P325">
        <f>IF('Исходные данные'!$B$53="Выручка",MAX(0,I325+(Расчёты!Q325-Расчёты!R325)+(Расчёты!U325-Расчёты!V325)),IF('Исходные данные'!$B$53="Прибыль до налога",MAX(0,I325+(Расчёты!Q325-Расчёты!R325)+(Расчёты!U325-Расчёты!V325)+N('Исходные данные'!$B$54)*((Расчёты!O325+Расчёты!P325)+(Расчёты!S325+Расчёты!T325)+Расчёты!W325+Расчёты!X325)+IF('Исходные данные'!$B$55="Да",Расчёты!AG325,0)-N('Исходные данные'!$B$56)/12),IF('Исходные данные'!$B$53="Пользовательская база",MAX(0,N('Исходные данные'!$B$57)/12),0)))</f>
        <v>0</v>
      </c>
      <c r="Q325">
        <f>IF(D325=1,-P325*N('Исходные данные'!$B$50),0)</f>
        <v>0</v>
      </c>
      <c r="R325">
        <f t="shared" si="169"/>
        <v>0</v>
      </c>
      <c r="S325">
        <f>IF(OR(D325&lt;&gt;1,B325="",'Исходные данные'!$B$91="",N('Исходные данные'!$B$80)&lt;=0,'Исходные данные'!$B$88=""),0,IF(AND(YEAR(B325)=YEAR('Исходные данные'!$B$91),MONTH(B325)=MONTH('Исходные данные'!$B$91)),MAX(0,IF('Исходные данные'!$B$88="Последние 12 месяцев",SUMIFS($L$2:$L$194,$B$2:$B$194,"&gt;="&amp;EDATE(B325,-11),$B$2:$B$194,"&lt;="&amp;B325),IF('Исходные данные'!$B$88="Пользовательский NOI",N('Исходные данные'!$B$89),R325))/N('Исходные данные'!$B$80)*(1+N('Исходные данные'!$B$81))),0))</f>
        <v>0</v>
      </c>
      <c r="T325">
        <f>-S325*N('Исходные данные'!$B$73)</f>
        <v>0</v>
      </c>
      <c r="U325">
        <f>IF(S325=0,0,-N('Исходные данные'!$B$87)-IF('Исходные данные'!$B$82="Да",IF('Исходные данные'!$B$84="С выручки",S325,IF('Исходные данные'!$B$84="С прибыли",MAX(0,S325+T325-IF('Исходные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25">
        <f t="shared" si="182"/>
        <v>0</v>
      </c>
      <c r="W325">
        <f>IF(D325=1,Расчёты!AZ325+K325+N325+Q325+V325,0)</f>
        <v>0</v>
      </c>
      <c r="X325" t="str">
        <f t="shared" si="170"/>
        <v/>
      </c>
      <c r="Y325">
        <f>IF(OR(D325=0,'Исходные данные'!$B$9="",'Исходные данные'!$B$90=""),0,W325/(1+'Исходные данные'!$B$90)^((C325-'Исходные данные'!$B$9)/365))</f>
        <v>0</v>
      </c>
      <c r="Z325">
        <f>IF(D325=1,K325+Расчёты!O325+Расчёты!Q325+Расчёты!S325+Расчёты!U325+Расчёты!W325+Расчёты!X325+N325+Q325,0)</f>
        <v>0</v>
      </c>
      <c r="AA325">
        <f>IF(AND(D325=1,X325&gt;=0,X324&lt;0,MIN($X$2:X325)&lt;0),1,0)</f>
        <v>0</v>
      </c>
      <c r="AB325">
        <f>IF(Расчёты!F325=0,0,IF(Расчёты!G325=1,N('Сценарный анализ'!$C$5),IF(Расчёты!G325=2,N('Сценарный анализ'!$C$6),IF(Расчёты!G325=3,N('Сценарный анализ'!$C$7),N('Сценарный анализ'!$C$7)*(1+N('Сценарный анализ'!$C$8))^(Расчёты!G325-3)))))</f>
        <v>0</v>
      </c>
      <c r="AC325">
        <f>IF(OR(Расчёты!F325=0,N('Исходные данные'!$B$5)=0,AB325=0),0,N('Исходные данные'!$B$5)*AB325*IF(AND(B325&lt;='Исходные данные'!$B$30,Расчёты!C325&gt;='Исходные данные'!$B$30),(Расчёты!C325-'Исходные данные'!$B$30+1)/DAY(Расчёты!C325),1))</f>
        <v>0</v>
      </c>
      <c r="AD325">
        <f>IF(AND(Расчёты!F325&gt;0,Расчёты!F325&lt;=N('Исходные данные'!$B$37)),-AC325,0)</f>
        <v>0</v>
      </c>
      <c r="AE325">
        <f>IF(OR(Расчёты!F325=0,Расчёты!F325&lt;=N('Исходные данные'!$B$37)),0,-(AC325+AD325)*N('Сценарный анализ'!$C$9))</f>
        <v>0</v>
      </c>
      <c r="AF325">
        <f t="shared" si="183"/>
        <v>0</v>
      </c>
      <c r="AG325">
        <f>IF('Исходные данные'!$B$51="Да",AF325*N('Исходные данные'!$B$52),0)</f>
        <v>0</v>
      </c>
      <c r="AH325">
        <f t="shared" si="184"/>
        <v>0</v>
      </c>
      <c r="AI325">
        <f>AF325+(Расчёты!Y325-Расчёты!L325)</f>
        <v>0</v>
      </c>
      <c r="AJ325">
        <f t="shared" si="171"/>
        <v>0</v>
      </c>
      <c r="AK325">
        <f>IF('Исходные данные'!$B$51="Да",-MAX(0,AG325+Расчёты!R325+Расчёты!V325-Расчёты!P325-Расчёты!T325-AJ325),0)</f>
        <v>0</v>
      </c>
      <c r="AL325">
        <f>IF('Исходные данные'!$B$51="Да",MAX(0,AJ325+Расчёты!P325+Расчёты!T325-AG325-Расчёты!R325-Расчёты!V325),0)</f>
        <v>0</v>
      </c>
      <c r="AM325">
        <f>IF('Исходные данные'!$B$53="Выручка",MAX(0,AF325+(Расчёты!Q325-Расчёты!R325)+(Расчёты!U325-Расчёты!V325)),IF('Исходные данные'!$B$53="Прибыль до налога",MAX(0,AF325+(Расчёты!Q325-Расчёты!R325)+(Расчёты!U325-Расчёты!V325)+N('Исходные данные'!$B$54)*((Расчёты!O325+Расчёты!P325)+(Расчёты!S325+Расчёты!T325)+Расчёты!W325+Расчёты!X325)+IF('Исходные данные'!$B$55="Да",Расчёты!AG325,0)-N('Исходные данные'!$B$56)/12),IF('Исходные данные'!$B$53="Пользовательская база",MAX(0,N('Исходные данные'!$B$57)/12),0)))</f>
        <v>0</v>
      </c>
      <c r="AN325">
        <f>IF(D325=1,-AM325*N('Исходные данные'!$B$50),0)</f>
        <v>0</v>
      </c>
      <c r="AO325">
        <f t="shared" si="172"/>
        <v>0</v>
      </c>
      <c r="AP325">
        <f>IF(OR(D325&lt;&gt;1,B325="",'Исходные данные'!$B$91="",N('Исходные данные'!$B$80)&lt;=0,'Исходные данные'!$B$88=""),0,IF(AND(YEAR(B325)=YEAR('Исходные данные'!$B$91),MONTH(B325)=MONTH('Исходные данные'!$B$91)),MAX(0,IF('Исходные данные'!$B$88="Последние 12 месяцев",SUMIFS($AI$2:$AI$194,$B$2:$B$194,"&gt;="&amp;EDATE(B325,-11),$B$2:$B$194,"&lt;="&amp;B325),IF('Исходные данные'!$B$88="Пользовательский NOI",N('Исходные данные'!$B$89),AO325))/N('Исходные данные'!$B$80)*(1+N('Исходные данные'!$B$81))),0))</f>
        <v>0</v>
      </c>
      <c r="AQ325">
        <f>-AP325*N('Исходные данные'!$B$73)</f>
        <v>0</v>
      </c>
      <c r="AR325">
        <f>IF(AP325=0,0,-N('Исходные данные'!$B$87)-IF('Исходные данные'!$B$82="Да",IF('Исходные данные'!$B$84="С выручки",AP325,IF('Исходные данные'!$B$84="С прибыли",MAX(0,AP325+AQ325-IF('Исходные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25">
        <f t="shared" si="185"/>
        <v>0</v>
      </c>
      <c r="AT325">
        <f>IF(D325=1,Расчёты!AZ325+AH325+AK325+AN325+AS325,0)</f>
        <v>0</v>
      </c>
      <c r="AU325" t="str">
        <f t="shared" si="173"/>
        <v/>
      </c>
      <c r="AV325">
        <f>IF(OR(D325=0,'Исходные данные'!$B$9="",'Исходные данные'!$B$90=""),0,AT325/(1+'Исходные данные'!$B$90)^((C325-'Исходные данные'!$B$9)/365))</f>
        <v>0</v>
      </c>
      <c r="AW325">
        <f>IF(D325=1,AH325+Расчёты!O325+Расчёты!Q325+Расчёты!S325+Расчёты!U325+Расчёты!W325+Расчёты!X325+AK325+AN325,0)</f>
        <v>0</v>
      </c>
      <c r="AX325">
        <f>IF(AND(D325=1,AU325&gt;=0,AU324&lt;0,MIN($AU$2:AU325)&lt;0),1,0)</f>
        <v>0</v>
      </c>
      <c r="AY325">
        <f>IF(Расчёты!F325=0,0,IF(Расчёты!G325=1,N('Сценарный анализ'!$D$5),IF(Расчёты!G325=2,N('Сценарный анализ'!$D$6),IF(Расчёты!G325=3,N('Сценарный анализ'!$D$7),N('Сценарный анализ'!$D$7)*(1+N('Сценарный анализ'!$D$8))^(Расчёты!G325-3)))))</f>
        <v>0</v>
      </c>
      <c r="AZ325">
        <f>IF(OR(Расчёты!F325=0,N('Исходные данные'!$B$5)=0,AY325=0),0,N('Исходные данные'!$B$5)*AY325*IF(AND(B325&lt;='Исходные данные'!$B$30,Расчёты!C325&gt;='Исходные данные'!$B$30),(Расчёты!C325-'Исходные данные'!$B$30+1)/DAY(Расчёты!C325),1))</f>
        <v>0</v>
      </c>
      <c r="BA325">
        <f>IF(AND(Расчёты!F325&gt;0,Расчёты!F325&lt;=N('Исходные данные'!$B$37)),-AZ325,0)</f>
        <v>0</v>
      </c>
      <c r="BB325">
        <f>IF(OR(Расчёты!F325=0,Расчёты!F325&lt;=N('Исходные данные'!$B$37)),0,-(AZ325+BA325)*N('Сценарный анализ'!$D$9))</f>
        <v>0</v>
      </c>
      <c r="BC325">
        <f t="shared" si="186"/>
        <v>0</v>
      </c>
      <c r="BD325">
        <f>IF('Исходные данные'!$B$51="Да",BC325*N('Исходные данные'!$B$52),0)</f>
        <v>0</v>
      </c>
      <c r="BE325">
        <f t="shared" si="187"/>
        <v>0</v>
      </c>
      <c r="BF325">
        <f>BC325+(Расчёты!Y325-Расчёты!L325)</f>
        <v>0</v>
      </c>
      <c r="BG325">
        <f t="shared" si="174"/>
        <v>0</v>
      </c>
      <c r="BH325">
        <f>IF('Исходные данные'!$B$51="Да",-MAX(0,BD325+Расчёты!R325+Расчёты!V325-Расчёты!P325-Расчёты!T325-BG325),0)</f>
        <v>0</v>
      </c>
      <c r="BI325">
        <f>IF('Исходные данные'!$B$51="Да",MAX(0,BG325+Расчёты!P325+Расчёты!T325-BD325-Расчёты!R325-Расчёты!V325),0)</f>
        <v>0</v>
      </c>
      <c r="BJ325">
        <f>IF('Исходные данные'!$B$53="Выручка",MAX(0,BC325+(Расчёты!Q325-Расчёты!R325)+(Расчёты!U325-Расчёты!V325)),IF('Исходные данные'!$B$53="Прибыль до налога",MAX(0,BC325+(Расчёты!Q325-Расчёты!R325)+(Расчёты!U325-Расчёты!V325)+N('Исходные данные'!$B$54)*((Расчёты!O325+Расчёты!P325)+(Расчёты!S325+Расчёты!T325)+Расчёты!W325+Расчёты!X325)+IF('Исходные данные'!$B$55="Да",Расчёты!AG325,0)-N('Исходные данные'!$B$56)/12),IF('Исходные данные'!$B$53="Пользовательская база",MAX(0,N('Исходные данные'!$B$57)/12),0)))</f>
        <v>0</v>
      </c>
      <c r="BK325">
        <f>IF(D325=1,-BJ325*N('Исходные данные'!$B$50),0)</f>
        <v>0</v>
      </c>
      <c r="BL325">
        <f t="shared" si="175"/>
        <v>0</v>
      </c>
      <c r="BM325">
        <f>IF(OR(D325&lt;&gt;1,B325="",'Исходные данные'!$B$91="",N('Исходные данные'!$B$80)&lt;=0,'Исходные данные'!$B$88=""),0,IF(AND(YEAR(B325)=YEAR('Исходные данные'!$B$91),MONTH(B325)=MONTH('Исходные данные'!$B$91)),MAX(0,IF('Исходные данные'!$B$88="Последние 12 месяцев",SUMIFS($BF$2:$BF$194,$B$2:$B$194,"&gt;="&amp;EDATE(B325,-11),$B$2:$B$194,"&lt;="&amp;B325),IF('Исходные данные'!$B$88="Пользовательский NOI",N('Исходные данные'!$B$89),BL325))/N('Исходные данные'!$B$80)*(1+N('Исходные данные'!$B$81))),0))</f>
        <v>0</v>
      </c>
      <c r="BN325">
        <f>-BM325*N('Исходные данные'!$B$73)</f>
        <v>0</v>
      </c>
      <c r="BO325">
        <f>IF(BM325=0,0,-N('Исходные данные'!$B$87)-IF('Исходные данные'!$B$82="Да",IF('Исходные данные'!$B$84="С выручки",BM325,IF('Исходные данные'!$B$84="С прибыли",MAX(0,BM325+BN325-IF('Исходные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25">
        <f t="shared" si="188"/>
        <v>0</v>
      </c>
      <c r="BQ325">
        <f>IF(D325=1,Расчёты!AZ325+BE325+BH325+BK325+BP325,0)</f>
        <v>0</v>
      </c>
      <c r="BR325" t="str">
        <f t="shared" si="176"/>
        <v/>
      </c>
      <c r="BS325">
        <f>IF(OR(D325=0,'Исходные данные'!$B$9="",'Исходные данные'!$B$90=""),0,BQ325/(1+'Исходные данные'!$B$90)^((C325-'Исходные данные'!$B$9)/365))</f>
        <v>0</v>
      </c>
      <c r="BT325">
        <f>IF(D325=1,BE325+Расчёты!O325+Расчёты!Q325+Расчёты!S325+Расчёты!U325+Расчёты!W325+Расчёты!X325+BH325+BK325,0)</f>
        <v>0</v>
      </c>
      <c r="BU325">
        <f>IF(AND(D325=1,BR325&gt;=0,BR324&lt;0,MIN($BR$2:BR325)&lt;0),1,0)</f>
        <v>0</v>
      </c>
      <c r="BV325">
        <f>Расчёты!AZ325+K325+N325-P325*N('Исходные данные'!$B$50)</f>
        <v>0</v>
      </c>
      <c r="BW325">
        <f t="shared" si="177"/>
        <v>0</v>
      </c>
      <c r="BX325">
        <f>IF(AND(BW325&gt;=0,BW324&lt;0,MIN($BW$2:BW325)&lt;0),1,0)</f>
        <v>0</v>
      </c>
      <c r="BY325">
        <f>Расчёты!AZ325+AH325+AK325-AM325*N('Исходные данные'!$B$50)</f>
        <v>0</v>
      </c>
      <c r="BZ325">
        <f t="shared" si="178"/>
        <v>0</v>
      </c>
      <c r="CA325">
        <f>IF(AND(BZ325&gt;=0,BZ324&lt;0,MIN($BZ$2:BZ325)&lt;0),1,0)</f>
        <v>0</v>
      </c>
      <c r="CB325">
        <f>Расчёты!AZ325+BE325+BH325-BJ325*N('Исходные данные'!$B$50)</f>
        <v>0</v>
      </c>
      <c r="CC325">
        <f t="shared" si="179"/>
        <v>0</v>
      </c>
      <c r="CD325">
        <f>IF(AND(CC325&gt;=0,CC324&lt;0,MIN($CC$2:CC325)&lt;0),1,0)</f>
        <v>0</v>
      </c>
    </row>
    <row r="326" spans="1:82" x14ac:dyDescent="0.2">
      <c r="A326">
        <f>Расчёты!A326</f>
        <v>325</v>
      </c>
      <c r="B326" t="str">
        <f>Расчёты!B326</f>
        <v/>
      </c>
      <c r="C326" t="str">
        <f>Расчёты!D326</f>
        <v/>
      </c>
      <c r="D326">
        <f>Расчёты!E326</f>
        <v>0</v>
      </c>
      <c r="E326">
        <f>IF(Расчёты!F326=0,0,IF(Расчёты!G326=1,N('Сценарный анализ'!$B$5),IF(Расчёты!G326=2,N('Сценарный анализ'!$B$6),IF(Расчёты!G326=3,N('Сценарный анализ'!$B$7),N('Сценарный анализ'!$B$7)*(1+N('Сценарный анализ'!$B$8))^(Расчёты!G326-3)))))</f>
        <v>0</v>
      </c>
      <c r="F326">
        <f>IF(OR(Расчёты!F326=0,N('Исходные данные'!$B$5)=0,E326=0),0,N('Исходные данные'!$B$5)*E326*IF(AND(B326&lt;='Исходные данные'!$B$30,Расчёты!C326&gt;='Исходные данные'!$B$30),(Расчёты!C326-'Исходные данные'!$B$30+1)/DAY(Расчёты!C326),1))</f>
        <v>0</v>
      </c>
      <c r="G326">
        <f>IF(AND(Расчёты!F326&gt;0,Расчёты!F326&lt;=N('Исходные данные'!$B$37)),-F326,0)</f>
        <v>0</v>
      </c>
      <c r="H326">
        <f>IF(OR(Расчёты!F326=0,Расчёты!F326&lt;=N('Исходные данные'!$B$37)),0,-(F326+G326)*N('Сценарный анализ'!$B$9))</f>
        <v>0</v>
      </c>
      <c r="I326">
        <f t="shared" si="180"/>
        <v>0</v>
      </c>
      <c r="J326">
        <f>IF('Исходные данные'!$B$51="Да",I326*N('Исходные данные'!$B$52),0)</f>
        <v>0</v>
      </c>
      <c r="K326">
        <f t="shared" si="181"/>
        <v>0</v>
      </c>
      <c r="L326">
        <f>I326+(Расчёты!Y326-Расчёты!L326)</f>
        <v>0</v>
      </c>
      <c r="M326">
        <f t="shared" si="168"/>
        <v>0</v>
      </c>
      <c r="N326">
        <f>IF('Исходные данные'!$B$51="Да",-MAX(0,J326+Расчёты!R326+Расчёты!V326-Расчёты!P326-Расчёты!T326-M326),0)</f>
        <v>0</v>
      </c>
      <c r="O326">
        <f>IF('Исходные данные'!$B$51="Да",MAX(0,M326+Расчёты!P326+Расчёты!T326-J326-Расчёты!R326-Расчёты!V326),0)</f>
        <v>0</v>
      </c>
      <c r="P326">
        <f>IF('Исходные данные'!$B$53="Выручка",MAX(0,I326+(Расчёты!Q326-Расчёты!R326)+(Расчёты!U326-Расчёты!V326)),IF('Исходные данные'!$B$53="Прибыль до налога",MAX(0,I326+(Расчёты!Q326-Расчёты!R326)+(Расчёты!U326-Расчёты!V326)+N('Исходные данные'!$B$54)*((Расчёты!O326+Расчёты!P326)+(Расчёты!S326+Расчёты!T326)+Расчёты!W326+Расчёты!X326)+IF('Исходные данные'!$B$55="Да",Расчёты!AG326,0)-N('Исходные данные'!$B$56)/12),IF('Исходные данные'!$B$53="Пользовательская база",MAX(0,N('Исходные данные'!$B$57)/12),0)))</f>
        <v>0</v>
      </c>
      <c r="Q326">
        <f>IF(D326=1,-P326*N('Исходные данные'!$B$50),0)</f>
        <v>0</v>
      </c>
      <c r="R326">
        <f t="shared" si="169"/>
        <v>0</v>
      </c>
      <c r="S326">
        <f>IF(OR(D326&lt;&gt;1,B326="",'Исходные данные'!$B$91="",N('Исходные данные'!$B$80)&lt;=0,'Исходные данные'!$B$88=""),0,IF(AND(YEAR(B326)=YEAR('Исходные данные'!$B$91),MONTH(B326)=MONTH('Исходные данные'!$B$91)),MAX(0,IF('Исходные данные'!$B$88="Последние 12 месяцев",SUMIFS($L$2:$L$194,$B$2:$B$194,"&gt;="&amp;EDATE(B326,-11),$B$2:$B$194,"&lt;="&amp;B326),IF('Исходные данные'!$B$88="Пользовательский NOI",N('Исходные данные'!$B$89),R326))/N('Исходные данные'!$B$80)*(1+N('Исходные данные'!$B$81))),0))</f>
        <v>0</v>
      </c>
      <c r="T326">
        <f>-S326*N('Исходные данные'!$B$73)</f>
        <v>0</v>
      </c>
      <c r="U326">
        <f>IF(S326=0,0,-N('Исходные данные'!$B$87)-IF('Исходные данные'!$B$82="Да",IF('Исходные данные'!$B$84="С выручки",S326,IF('Исходные данные'!$B$84="С прибыли",MAX(0,S326+T326-IF('Исходные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26">
        <f t="shared" si="182"/>
        <v>0</v>
      </c>
      <c r="W326">
        <f>IF(D326=1,Расчёты!AZ326+K326+N326+Q326+V326,0)</f>
        <v>0</v>
      </c>
      <c r="X326" t="str">
        <f t="shared" si="170"/>
        <v/>
      </c>
      <c r="Y326">
        <f>IF(OR(D326=0,'Исходные данные'!$B$9="",'Исходные данные'!$B$90=""),0,W326/(1+'Исходные данные'!$B$90)^((C326-'Исходные данные'!$B$9)/365))</f>
        <v>0</v>
      </c>
      <c r="Z326">
        <f>IF(D326=1,K326+Расчёты!O326+Расчёты!Q326+Расчёты!S326+Расчёты!U326+Расчёты!W326+Расчёты!X326+N326+Q326,0)</f>
        <v>0</v>
      </c>
      <c r="AA326">
        <f>IF(AND(D326=1,X326&gt;=0,X325&lt;0,MIN($X$2:X326)&lt;0),1,0)</f>
        <v>0</v>
      </c>
      <c r="AB326">
        <f>IF(Расчёты!F326=0,0,IF(Расчёты!G326=1,N('Сценарный анализ'!$C$5),IF(Расчёты!G326=2,N('Сценарный анализ'!$C$6),IF(Расчёты!G326=3,N('Сценарный анализ'!$C$7),N('Сценарный анализ'!$C$7)*(1+N('Сценарный анализ'!$C$8))^(Расчёты!G326-3)))))</f>
        <v>0</v>
      </c>
      <c r="AC326">
        <f>IF(OR(Расчёты!F326=0,N('Исходные данные'!$B$5)=0,AB326=0),0,N('Исходные данные'!$B$5)*AB326*IF(AND(B326&lt;='Исходные данные'!$B$30,Расчёты!C326&gt;='Исходные данные'!$B$30),(Расчёты!C326-'Исходные данные'!$B$30+1)/DAY(Расчёты!C326),1))</f>
        <v>0</v>
      </c>
      <c r="AD326">
        <f>IF(AND(Расчёты!F326&gt;0,Расчёты!F326&lt;=N('Исходные данные'!$B$37)),-AC326,0)</f>
        <v>0</v>
      </c>
      <c r="AE326">
        <f>IF(OR(Расчёты!F326=0,Расчёты!F326&lt;=N('Исходные данные'!$B$37)),0,-(AC326+AD326)*N('Сценарный анализ'!$C$9))</f>
        <v>0</v>
      </c>
      <c r="AF326">
        <f t="shared" si="183"/>
        <v>0</v>
      </c>
      <c r="AG326">
        <f>IF('Исходные данные'!$B$51="Да",AF326*N('Исходные данные'!$B$52),0)</f>
        <v>0</v>
      </c>
      <c r="AH326">
        <f t="shared" si="184"/>
        <v>0</v>
      </c>
      <c r="AI326">
        <f>AF326+(Расчёты!Y326-Расчёты!L326)</f>
        <v>0</v>
      </c>
      <c r="AJ326">
        <f t="shared" si="171"/>
        <v>0</v>
      </c>
      <c r="AK326">
        <f>IF('Исходные данные'!$B$51="Да",-MAX(0,AG326+Расчёты!R326+Расчёты!V326-Расчёты!P326-Расчёты!T326-AJ326),0)</f>
        <v>0</v>
      </c>
      <c r="AL326">
        <f>IF('Исходные данные'!$B$51="Да",MAX(0,AJ326+Расчёты!P326+Расчёты!T326-AG326-Расчёты!R326-Расчёты!V326),0)</f>
        <v>0</v>
      </c>
      <c r="AM326">
        <f>IF('Исходные данные'!$B$53="Выручка",MAX(0,AF326+(Расчёты!Q326-Расчёты!R326)+(Расчёты!U326-Расчёты!V326)),IF('Исходные данные'!$B$53="Прибыль до налога",MAX(0,AF326+(Расчёты!Q326-Расчёты!R326)+(Расчёты!U326-Расчёты!V326)+N('Исходные данные'!$B$54)*((Расчёты!O326+Расчёты!P326)+(Расчёты!S326+Расчёты!T326)+Расчёты!W326+Расчёты!X326)+IF('Исходные данные'!$B$55="Да",Расчёты!AG326,0)-N('Исходные данные'!$B$56)/12),IF('Исходные данные'!$B$53="Пользовательская база",MAX(0,N('Исходные данные'!$B$57)/12),0)))</f>
        <v>0</v>
      </c>
      <c r="AN326">
        <f>IF(D326=1,-AM326*N('Исходные данные'!$B$50),0)</f>
        <v>0</v>
      </c>
      <c r="AO326">
        <f t="shared" si="172"/>
        <v>0</v>
      </c>
      <c r="AP326">
        <f>IF(OR(D326&lt;&gt;1,B326="",'Исходные данные'!$B$91="",N('Исходные данные'!$B$80)&lt;=0,'Исходные данные'!$B$88=""),0,IF(AND(YEAR(B326)=YEAR('Исходные данные'!$B$91),MONTH(B326)=MONTH('Исходные данные'!$B$91)),MAX(0,IF('Исходные данные'!$B$88="Последние 12 месяцев",SUMIFS($AI$2:$AI$194,$B$2:$B$194,"&gt;="&amp;EDATE(B326,-11),$B$2:$B$194,"&lt;="&amp;B326),IF('Исходные данные'!$B$88="Пользовательский NOI",N('Исходные данные'!$B$89),AO326))/N('Исходные данные'!$B$80)*(1+N('Исходные данные'!$B$81))),0))</f>
        <v>0</v>
      </c>
      <c r="AQ326">
        <f>-AP326*N('Исходные данные'!$B$73)</f>
        <v>0</v>
      </c>
      <c r="AR326">
        <f>IF(AP326=0,0,-N('Исходные данные'!$B$87)-IF('Исходные данные'!$B$82="Да",IF('Исходные данные'!$B$84="С выручки",AP326,IF('Исходные данные'!$B$84="С прибыли",MAX(0,AP326+AQ326-IF('Исходные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26">
        <f t="shared" si="185"/>
        <v>0</v>
      </c>
      <c r="AT326">
        <f>IF(D326=1,Расчёты!AZ326+AH326+AK326+AN326+AS326,0)</f>
        <v>0</v>
      </c>
      <c r="AU326" t="str">
        <f t="shared" si="173"/>
        <v/>
      </c>
      <c r="AV326">
        <f>IF(OR(D326=0,'Исходные данные'!$B$9="",'Исходные данные'!$B$90=""),0,AT326/(1+'Исходные данные'!$B$90)^((C326-'Исходные данные'!$B$9)/365))</f>
        <v>0</v>
      </c>
      <c r="AW326">
        <f>IF(D326=1,AH326+Расчёты!O326+Расчёты!Q326+Расчёты!S326+Расчёты!U326+Расчёты!W326+Расчёты!X326+AK326+AN326,0)</f>
        <v>0</v>
      </c>
      <c r="AX326">
        <f>IF(AND(D326=1,AU326&gt;=0,AU325&lt;0,MIN($AU$2:AU326)&lt;0),1,0)</f>
        <v>0</v>
      </c>
      <c r="AY326">
        <f>IF(Расчёты!F326=0,0,IF(Расчёты!G326=1,N('Сценарный анализ'!$D$5),IF(Расчёты!G326=2,N('Сценарный анализ'!$D$6),IF(Расчёты!G326=3,N('Сценарный анализ'!$D$7),N('Сценарный анализ'!$D$7)*(1+N('Сценарный анализ'!$D$8))^(Расчёты!G326-3)))))</f>
        <v>0</v>
      </c>
      <c r="AZ326">
        <f>IF(OR(Расчёты!F326=0,N('Исходные данные'!$B$5)=0,AY326=0),0,N('Исходные данные'!$B$5)*AY326*IF(AND(B326&lt;='Исходные данные'!$B$30,Расчёты!C326&gt;='Исходные данные'!$B$30),(Расчёты!C326-'Исходные данные'!$B$30+1)/DAY(Расчёты!C326),1))</f>
        <v>0</v>
      </c>
      <c r="BA326">
        <f>IF(AND(Расчёты!F326&gt;0,Расчёты!F326&lt;=N('Исходные данные'!$B$37)),-AZ326,0)</f>
        <v>0</v>
      </c>
      <c r="BB326">
        <f>IF(OR(Расчёты!F326=0,Расчёты!F326&lt;=N('Исходные данные'!$B$37)),0,-(AZ326+BA326)*N('Сценарный анализ'!$D$9))</f>
        <v>0</v>
      </c>
      <c r="BC326">
        <f t="shared" si="186"/>
        <v>0</v>
      </c>
      <c r="BD326">
        <f>IF('Исходные данные'!$B$51="Да",BC326*N('Исходные данные'!$B$52),0)</f>
        <v>0</v>
      </c>
      <c r="BE326">
        <f t="shared" si="187"/>
        <v>0</v>
      </c>
      <c r="BF326">
        <f>BC326+(Расчёты!Y326-Расчёты!L326)</f>
        <v>0</v>
      </c>
      <c r="BG326">
        <f t="shared" si="174"/>
        <v>0</v>
      </c>
      <c r="BH326">
        <f>IF('Исходные данные'!$B$51="Да",-MAX(0,BD326+Расчёты!R326+Расчёты!V326-Расчёты!P326-Расчёты!T326-BG326),0)</f>
        <v>0</v>
      </c>
      <c r="BI326">
        <f>IF('Исходные данные'!$B$51="Да",MAX(0,BG326+Расчёты!P326+Расчёты!T326-BD326-Расчёты!R326-Расчёты!V326),0)</f>
        <v>0</v>
      </c>
      <c r="BJ326">
        <f>IF('Исходные данные'!$B$53="Выручка",MAX(0,BC326+(Расчёты!Q326-Расчёты!R326)+(Расчёты!U326-Расчёты!V326)),IF('Исходные данные'!$B$53="Прибыль до налога",MAX(0,BC326+(Расчёты!Q326-Расчёты!R326)+(Расчёты!U326-Расчёты!V326)+N('Исходные данные'!$B$54)*((Расчёты!O326+Расчёты!P326)+(Расчёты!S326+Расчёты!T326)+Расчёты!W326+Расчёты!X326)+IF('Исходные данные'!$B$55="Да",Расчёты!AG326,0)-N('Исходные данные'!$B$56)/12),IF('Исходные данные'!$B$53="Пользовательская база",MAX(0,N('Исходные данные'!$B$57)/12),0)))</f>
        <v>0</v>
      </c>
      <c r="BK326">
        <f>IF(D326=1,-BJ326*N('Исходные данные'!$B$50),0)</f>
        <v>0</v>
      </c>
      <c r="BL326">
        <f t="shared" si="175"/>
        <v>0</v>
      </c>
      <c r="BM326">
        <f>IF(OR(D326&lt;&gt;1,B326="",'Исходные данные'!$B$91="",N('Исходные данные'!$B$80)&lt;=0,'Исходные данные'!$B$88=""),0,IF(AND(YEAR(B326)=YEAR('Исходные данные'!$B$91),MONTH(B326)=MONTH('Исходные данные'!$B$91)),MAX(0,IF('Исходные данные'!$B$88="Последние 12 месяцев",SUMIFS($BF$2:$BF$194,$B$2:$B$194,"&gt;="&amp;EDATE(B326,-11),$B$2:$B$194,"&lt;="&amp;B326),IF('Исходные данные'!$B$88="Пользовательский NOI",N('Исходные данные'!$B$89),BL326))/N('Исходные данные'!$B$80)*(1+N('Исходные данные'!$B$81))),0))</f>
        <v>0</v>
      </c>
      <c r="BN326">
        <f>-BM326*N('Исходные данные'!$B$73)</f>
        <v>0</v>
      </c>
      <c r="BO326">
        <f>IF(BM326=0,0,-N('Исходные данные'!$B$87)-IF('Исходные данные'!$B$82="Да",IF('Исходные данные'!$B$84="С выручки",BM326,IF('Исходные данные'!$B$84="С прибыли",MAX(0,BM326+BN326-IF('Исходные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26">
        <f t="shared" si="188"/>
        <v>0</v>
      </c>
      <c r="BQ326">
        <f>IF(D326=1,Расчёты!AZ326+BE326+BH326+BK326+BP326,0)</f>
        <v>0</v>
      </c>
      <c r="BR326" t="str">
        <f t="shared" si="176"/>
        <v/>
      </c>
      <c r="BS326">
        <f>IF(OR(D326=0,'Исходные данные'!$B$9="",'Исходные данные'!$B$90=""),0,BQ326/(1+'Исходные данные'!$B$90)^((C326-'Исходные данные'!$B$9)/365))</f>
        <v>0</v>
      </c>
      <c r="BT326">
        <f>IF(D326=1,BE326+Расчёты!O326+Расчёты!Q326+Расчёты!S326+Расчёты!U326+Расчёты!W326+Расчёты!X326+BH326+BK326,0)</f>
        <v>0</v>
      </c>
      <c r="BU326">
        <f>IF(AND(D326=1,BR326&gt;=0,BR325&lt;0,MIN($BR$2:BR326)&lt;0),1,0)</f>
        <v>0</v>
      </c>
      <c r="BV326">
        <f>Расчёты!AZ326+K326+N326-P326*N('Исходные данные'!$B$50)</f>
        <v>0</v>
      </c>
      <c r="BW326">
        <f t="shared" si="177"/>
        <v>0</v>
      </c>
      <c r="BX326">
        <f>IF(AND(BW326&gt;=0,BW325&lt;0,MIN($BW$2:BW326)&lt;0),1,0)</f>
        <v>0</v>
      </c>
      <c r="BY326">
        <f>Расчёты!AZ326+AH326+AK326-AM326*N('Исходные данные'!$B$50)</f>
        <v>0</v>
      </c>
      <c r="BZ326">
        <f t="shared" si="178"/>
        <v>0</v>
      </c>
      <c r="CA326">
        <f>IF(AND(BZ326&gt;=0,BZ325&lt;0,MIN($BZ$2:BZ326)&lt;0),1,0)</f>
        <v>0</v>
      </c>
      <c r="CB326">
        <f>Расчёты!AZ326+BE326+BH326-BJ326*N('Исходные данные'!$B$50)</f>
        <v>0</v>
      </c>
      <c r="CC326">
        <f t="shared" si="179"/>
        <v>0</v>
      </c>
      <c r="CD326">
        <f>IF(AND(CC326&gt;=0,CC325&lt;0,MIN($CC$2:CC326)&lt;0),1,0)</f>
        <v>0</v>
      </c>
    </row>
    <row r="327" spans="1:82" x14ac:dyDescent="0.2">
      <c r="A327">
        <f>Расчёты!A327</f>
        <v>326</v>
      </c>
      <c r="B327" t="str">
        <f>Расчёты!B327</f>
        <v/>
      </c>
      <c r="C327" t="str">
        <f>Расчёты!D327</f>
        <v/>
      </c>
      <c r="D327">
        <f>Расчёты!E327</f>
        <v>0</v>
      </c>
      <c r="E327">
        <f>IF(Расчёты!F327=0,0,IF(Расчёты!G327=1,N('Сценарный анализ'!$B$5),IF(Расчёты!G327=2,N('Сценарный анализ'!$B$6),IF(Расчёты!G327=3,N('Сценарный анализ'!$B$7),N('Сценарный анализ'!$B$7)*(1+N('Сценарный анализ'!$B$8))^(Расчёты!G327-3)))))</f>
        <v>0</v>
      </c>
      <c r="F327">
        <f>IF(OR(Расчёты!F327=0,N('Исходные данные'!$B$5)=0,E327=0),0,N('Исходные данные'!$B$5)*E327*IF(AND(B327&lt;='Исходные данные'!$B$30,Расчёты!C327&gt;='Исходные данные'!$B$30),(Расчёты!C327-'Исходные данные'!$B$30+1)/DAY(Расчёты!C327),1))</f>
        <v>0</v>
      </c>
      <c r="G327">
        <f>IF(AND(Расчёты!F327&gt;0,Расчёты!F327&lt;=N('Исходные данные'!$B$37)),-F327,0)</f>
        <v>0</v>
      </c>
      <c r="H327">
        <f>IF(OR(Расчёты!F327=0,Расчёты!F327&lt;=N('Исходные данные'!$B$37)),0,-(F327+G327)*N('Сценарный анализ'!$B$9))</f>
        <v>0</v>
      </c>
      <c r="I327">
        <f t="shared" si="180"/>
        <v>0</v>
      </c>
      <c r="J327">
        <f>IF('Исходные данные'!$B$51="Да",I327*N('Исходные данные'!$B$52),0)</f>
        <v>0</v>
      </c>
      <c r="K327">
        <f t="shared" si="181"/>
        <v>0</v>
      </c>
      <c r="L327">
        <f>I327+(Расчёты!Y327-Расчёты!L327)</f>
        <v>0</v>
      </c>
      <c r="M327">
        <f t="shared" si="168"/>
        <v>0</v>
      </c>
      <c r="N327">
        <f>IF('Исходные данные'!$B$51="Да",-MAX(0,J327+Расчёты!R327+Расчёты!V327-Расчёты!P327-Расчёты!T327-M327),0)</f>
        <v>0</v>
      </c>
      <c r="O327">
        <f>IF('Исходные данные'!$B$51="Да",MAX(0,M327+Расчёты!P327+Расчёты!T327-J327-Расчёты!R327-Расчёты!V327),0)</f>
        <v>0</v>
      </c>
      <c r="P327">
        <f>IF('Исходные данные'!$B$53="Выручка",MAX(0,I327+(Расчёты!Q327-Расчёты!R327)+(Расчёты!U327-Расчёты!V327)),IF('Исходные данные'!$B$53="Прибыль до налога",MAX(0,I327+(Расчёты!Q327-Расчёты!R327)+(Расчёты!U327-Расчёты!V327)+N('Исходные данные'!$B$54)*((Расчёты!O327+Расчёты!P327)+(Расчёты!S327+Расчёты!T327)+Расчёты!W327+Расчёты!X327)+IF('Исходные данные'!$B$55="Да",Расчёты!AG327,0)-N('Исходные данные'!$B$56)/12),IF('Исходные данные'!$B$53="Пользовательская база",MAX(0,N('Исходные данные'!$B$57)/12),0)))</f>
        <v>0</v>
      </c>
      <c r="Q327">
        <f>IF(D327=1,-P327*N('Исходные данные'!$B$50),0)</f>
        <v>0</v>
      </c>
      <c r="R327">
        <f t="shared" si="169"/>
        <v>0</v>
      </c>
      <c r="S327">
        <f>IF(OR(D327&lt;&gt;1,B327="",'Исходные данные'!$B$91="",N('Исходные данные'!$B$80)&lt;=0,'Исходные данные'!$B$88=""),0,IF(AND(YEAR(B327)=YEAR('Исходные данные'!$B$91),MONTH(B327)=MONTH('Исходные данные'!$B$91)),MAX(0,IF('Исходные данные'!$B$88="Последние 12 месяцев",SUMIFS($L$2:$L$194,$B$2:$B$194,"&gt;="&amp;EDATE(B327,-11),$B$2:$B$194,"&lt;="&amp;B327),IF('Исходные данные'!$B$88="Пользовательский NOI",N('Исходные данные'!$B$89),R327))/N('Исходные данные'!$B$80)*(1+N('Исходные данные'!$B$81))),0))</f>
        <v>0</v>
      </c>
      <c r="T327">
        <f>-S327*N('Исходные данные'!$B$73)</f>
        <v>0</v>
      </c>
      <c r="U327">
        <f>IF(S327=0,0,-N('Исходные данные'!$B$87)-IF('Исходные данные'!$B$82="Да",IF('Исходные данные'!$B$84="С выручки",S327,IF('Исходные данные'!$B$84="С прибыли",MAX(0,S327+T327-IF('Исходные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27">
        <f t="shared" si="182"/>
        <v>0</v>
      </c>
      <c r="W327">
        <f>IF(D327=1,Расчёты!AZ327+K327+N327+Q327+V327,0)</f>
        <v>0</v>
      </c>
      <c r="X327" t="str">
        <f t="shared" si="170"/>
        <v/>
      </c>
      <c r="Y327">
        <f>IF(OR(D327=0,'Исходные данные'!$B$9="",'Исходные данные'!$B$90=""),0,W327/(1+'Исходные данные'!$B$90)^((C327-'Исходные данные'!$B$9)/365))</f>
        <v>0</v>
      </c>
      <c r="Z327">
        <f>IF(D327=1,K327+Расчёты!O327+Расчёты!Q327+Расчёты!S327+Расчёты!U327+Расчёты!W327+Расчёты!X327+N327+Q327,0)</f>
        <v>0</v>
      </c>
      <c r="AA327">
        <f>IF(AND(D327=1,X327&gt;=0,X326&lt;0,MIN($X$2:X327)&lt;0),1,0)</f>
        <v>0</v>
      </c>
      <c r="AB327">
        <f>IF(Расчёты!F327=0,0,IF(Расчёты!G327=1,N('Сценарный анализ'!$C$5),IF(Расчёты!G327=2,N('Сценарный анализ'!$C$6),IF(Расчёты!G327=3,N('Сценарный анализ'!$C$7),N('Сценарный анализ'!$C$7)*(1+N('Сценарный анализ'!$C$8))^(Расчёты!G327-3)))))</f>
        <v>0</v>
      </c>
      <c r="AC327">
        <f>IF(OR(Расчёты!F327=0,N('Исходные данные'!$B$5)=0,AB327=0),0,N('Исходные данные'!$B$5)*AB327*IF(AND(B327&lt;='Исходные данные'!$B$30,Расчёты!C327&gt;='Исходные данные'!$B$30),(Расчёты!C327-'Исходные данные'!$B$30+1)/DAY(Расчёты!C327),1))</f>
        <v>0</v>
      </c>
      <c r="AD327">
        <f>IF(AND(Расчёты!F327&gt;0,Расчёты!F327&lt;=N('Исходные данные'!$B$37)),-AC327,0)</f>
        <v>0</v>
      </c>
      <c r="AE327">
        <f>IF(OR(Расчёты!F327=0,Расчёты!F327&lt;=N('Исходные данные'!$B$37)),0,-(AC327+AD327)*N('Сценарный анализ'!$C$9))</f>
        <v>0</v>
      </c>
      <c r="AF327">
        <f t="shared" si="183"/>
        <v>0</v>
      </c>
      <c r="AG327">
        <f>IF('Исходные данные'!$B$51="Да",AF327*N('Исходные данные'!$B$52),0)</f>
        <v>0</v>
      </c>
      <c r="AH327">
        <f t="shared" si="184"/>
        <v>0</v>
      </c>
      <c r="AI327">
        <f>AF327+(Расчёты!Y327-Расчёты!L327)</f>
        <v>0</v>
      </c>
      <c r="AJ327">
        <f t="shared" si="171"/>
        <v>0</v>
      </c>
      <c r="AK327">
        <f>IF('Исходные данные'!$B$51="Да",-MAX(0,AG327+Расчёты!R327+Расчёты!V327-Расчёты!P327-Расчёты!T327-AJ327),0)</f>
        <v>0</v>
      </c>
      <c r="AL327">
        <f>IF('Исходные данные'!$B$51="Да",MAX(0,AJ327+Расчёты!P327+Расчёты!T327-AG327-Расчёты!R327-Расчёты!V327),0)</f>
        <v>0</v>
      </c>
      <c r="AM327">
        <f>IF('Исходные данные'!$B$53="Выручка",MAX(0,AF327+(Расчёты!Q327-Расчёты!R327)+(Расчёты!U327-Расчёты!V327)),IF('Исходные данные'!$B$53="Прибыль до налога",MAX(0,AF327+(Расчёты!Q327-Расчёты!R327)+(Расчёты!U327-Расчёты!V327)+N('Исходные данные'!$B$54)*((Расчёты!O327+Расчёты!P327)+(Расчёты!S327+Расчёты!T327)+Расчёты!W327+Расчёты!X327)+IF('Исходные данные'!$B$55="Да",Расчёты!AG327,0)-N('Исходные данные'!$B$56)/12),IF('Исходные данные'!$B$53="Пользовательская база",MAX(0,N('Исходные данные'!$B$57)/12),0)))</f>
        <v>0</v>
      </c>
      <c r="AN327">
        <f>IF(D327=1,-AM327*N('Исходные данные'!$B$50),0)</f>
        <v>0</v>
      </c>
      <c r="AO327">
        <f t="shared" si="172"/>
        <v>0</v>
      </c>
      <c r="AP327">
        <f>IF(OR(D327&lt;&gt;1,B327="",'Исходные данные'!$B$91="",N('Исходные данные'!$B$80)&lt;=0,'Исходные данные'!$B$88=""),0,IF(AND(YEAR(B327)=YEAR('Исходные данные'!$B$91),MONTH(B327)=MONTH('Исходные данные'!$B$91)),MAX(0,IF('Исходные данные'!$B$88="Последние 12 месяцев",SUMIFS($AI$2:$AI$194,$B$2:$B$194,"&gt;="&amp;EDATE(B327,-11),$B$2:$B$194,"&lt;="&amp;B327),IF('Исходные данные'!$B$88="Пользовательский NOI",N('Исходные данные'!$B$89),AO327))/N('Исходные данные'!$B$80)*(1+N('Исходные данные'!$B$81))),0))</f>
        <v>0</v>
      </c>
      <c r="AQ327">
        <f>-AP327*N('Исходные данные'!$B$73)</f>
        <v>0</v>
      </c>
      <c r="AR327">
        <f>IF(AP327=0,0,-N('Исходные данные'!$B$87)-IF('Исходные данные'!$B$82="Да",IF('Исходные данные'!$B$84="С выручки",AP327,IF('Исходные данные'!$B$84="С прибыли",MAX(0,AP327+AQ327-IF('Исходные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27">
        <f t="shared" si="185"/>
        <v>0</v>
      </c>
      <c r="AT327">
        <f>IF(D327=1,Расчёты!AZ327+AH327+AK327+AN327+AS327,0)</f>
        <v>0</v>
      </c>
      <c r="AU327" t="str">
        <f t="shared" si="173"/>
        <v/>
      </c>
      <c r="AV327">
        <f>IF(OR(D327=0,'Исходные данные'!$B$9="",'Исходные данные'!$B$90=""),0,AT327/(1+'Исходные данные'!$B$90)^((C327-'Исходные данные'!$B$9)/365))</f>
        <v>0</v>
      </c>
      <c r="AW327">
        <f>IF(D327=1,AH327+Расчёты!O327+Расчёты!Q327+Расчёты!S327+Расчёты!U327+Расчёты!W327+Расчёты!X327+AK327+AN327,0)</f>
        <v>0</v>
      </c>
      <c r="AX327">
        <f>IF(AND(D327=1,AU327&gt;=0,AU326&lt;0,MIN($AU$2:AU327)&lt;0),1,0)</f>
        <v>0</v>
      </c>
      <c r="AY327">
        <f>IF(Расчёты!F327=0,0,IF(Расчёты!G327=1,N('Сценарный анализ'!$D$5),IF(Расчёты!G327=2,N('Сценарный анализ'!$D$6),IF(Расчёты!G327=3,N('Сценарный анализ'!$D$7),N('Сценарный анализ'!$D$7)*(1+N('Сценарный анализ'!$D$8))^(Расчёты!G327-3)))))</f>
        <v>0</v>
      </c>
      <c r="AZ327">
        <f>IF(OR(Расчёты!F327=0,N('Исходные данные'!$B$5)=0,AY327=0),0,N('Исходные данные'!$B$5)*AY327*IF(AND(B327&lt;='Исходные данные'!$B$30,Расчёты!C327&gt;='Исходные данные'!$B$30),(Расчёты!C327-'Исходные данные'!$B$30+1)/DAY(Расчёты!C327),1))</f>
        <v>0</v>
      </c>
      <c r="BA327">
        <f>IF(AND(Расчёты!F327&gt;0,Расчёты!F327&lt;=N('Исходные данные'!$B$37)),-AZ327,0)</f>
        <v>0</v>
      </c>
      <c r="BB327">
        <f>IF(OR(Расчёты!F327=0,Расчёты!F327&lt;=N('Исходные данные'!$B$37)),0,-(AZ327+BA327)*N('Сценарный анализ'!$D$9))</f>
        <v>0</v>
      </c>
      <c r="BC327">
        <f t="shared" si="186"/>
        <v>0</v>
      </c>
      <c r="BD327">
        <f>IF('Исходные данные'!$B$51="Да",BC327*N('Исходные данные'!$B$52),0)</f>
        <v>0</v>
      </c>
      <c r="BE327">
        <f t="shared" si="187"/>
        <v>0</v>
      </c>
      <c r="BF327">
        <f>BC327+(Расчёты!Y327-Расчёты!L327)</f>
        <v>0</v>
      </c>
      <c r="BG327">
        <f t="shared" si="174"/>
        <v>0</v>
      </c>
      <c r="BH327">
        <f>IF('Исходные данные'!$B$51="Да",-MAX(0,BD327+Расчёты!R327+Расчёты!V327-Расчёты!P327-Расчёты!T327-BG327),0)</f>
        <v>0</v>
      </c>
      <c r="BI327">
        <f>IF('Исходные данные'!$B$51="Да",MAX(0,BG327+Расчёты!P327+Расчёты!T327-BD327-Расчёты!R327-Расчёты!V327),0)</f>
        <v>0</v>
      </c>
      <c r="BJ327">
        <f>IF('Исходные данные'!$B$53="Выручка",MAX(0,BC327+(Расчёты!Q327-Расчёты!R327)+(Расчёты!U327-Расчёты!V327)),IF('Исходные данные'!$B$53="Прибыль до налога",MAX(0,BC327+(Расчёты!Q327-Расчёты!R327)+(Расчёты!U327-Расчёты!V327)+N('Исходные данные'!$B$54)*((Расчёты!O327+Расчёты!P327)+(Расчёты!S327+Расчёты!T327)+Расчёты!W327+Расчёты!X327)+IF('Исходные данные'!$B$55="Да",Расчёты!AG327,0)-N('Исходные данные'!$B$56)/12),IF('Исходные данные'!$B$53="Пользовательская база",MAX(0,N('Исходные данные'!$B$57)/12),0)))</f>
        <v>0</v>
      </c>
      <c r="BK327">
        <f>IF(D327=1,-BJ327*N('Исходные данные'!$B$50),0)</f>
        <v>0</v>
      </c>
      <c r="BL327">
        <f t="shared" si="175"/>
        <v>0</v>
      </c>
      <c r="BM327">
        <f>IF(OR(D327&lt;&gt;1,B327="",'Исходные данные'!$B$91="",N('Исходные данные'!$B$80)&lt;=0,'Исходные данные'!$B$88=""),0,IF(AND(YEAR(B327)=YEAR('Исходные данные'!$B$91),MONTH(B327)=MONTH('Исходные данные'!$B$91)),MAX(0,IF('Исходные данные'!$B$88="Последние 12 месяцев",SUMIFS($BF$2:$BF$194,$B$2:$B$194,"&gt;="&amp;EDATE(B327,-11),$B$2:$B$194,"&lt;="&amp;B327),IF('Исходные данные'!$B$88="Пользовательский NOI",N('Исходные данные'!$B$89),BL327))/N('Исходные данные'!$B$80)*(1+N('Исходные данные'!$B$81))),0))</f>
        <v>0</v>
      </c>
      <c r="BN327">
        <f>-BM327*N('Исходные данные'!$B$73)</f>
        <v>0</v>
      </c>
      <c r="BO327">
        <f>IF(BM327=0,0,-N('Исходные данные'!$B$87)-IF('Исходные данные'!$B$82="Да",IF('Исходные данные'!$B$84="С выручки",BM327,IF('Исходные данные'!$B$84="С прибыли",MAX(0,BM327+BN327-IF('Исходные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27">
        <f t="shared" si="188"/>
        <v>0</v>
      </c>
      <c r="BQ327">
        <f>IF(D327=1,Расчёты!AZ327+BE327+BH327+BK327+BP327,0)</f>
        <v>0</v>
      </c>
      <c r="BR327" t="str">
        <f t="shared" si="176"/>
        <v/>
      </c>
      <c r="BS327">
        <f>IF(OR(D327=0,'Исходные данные'!$B$9="",'Исходные данные'!$B$90=""),0,BQ327/(1+'Исходные данные'!$B$90)^((C327-'Исходные данные'!$B$9)/365))</f>
        <v>0</v>
      </c>
      <c r="BT327">
        <f>IF(D327=1,BE327+Расчёты!O327+Расчёты!Q327+Расчёты!S327+Расчёты!U327+Расчёты!W327+Расчёты!X327+BH327+BK327,0)</f>
        <v>0</v>
      </c>
      <c r="BU327">
        <f>IF(AND(D327=1,BR327&gt;=0,BR326&lt;0,MIN($BR$2:BR327)&lt;0),1,0)</f>
        <v>0</v>
      </c>
      <c r="BV327">
        <f>Расчёты!AZ327+K327+N327-P327*N('Исходные данные'!$B$50)</f>
        <v>0</v>
      </c>
      <c r="BW327">
        <f t="shared" si="177"/>
        <v>0</v>
      </c>
      <c r="BX327">
        <f>IF(AND(BW327&gt;=0,BW326&lt;0,MIN($BW$2:BW327)&lt;0),1,0)</f>
        <v>0</v>
      </c>
      <c r="BY327">
        <f>Расчёты!AZ327+AH327+AK327-AM327*N('Исходные данные'!$B$50)</f>
        <v>0</v>
      </c>
      <c r="BZ327">
        <f t="shared" si="178"/>
        <v>0</v>
      </c>
      <c r="CA327">
        <f>IF(AND(BZ327&gt;=0,BZ326&lt;0,MIN($BZ$2:BZ327)&lt;0),1,0)</f>
        <v>0</v>
      </c>
      <c r="CB327">
        <f>Расчёты!AZ327+BE327+BH327-BJ327*N('Исходные данные'!$B$50)</f>
        <v>0</v>
      </c>
      <c r="CC327">
        <f t="shared" si="179"/>
        <v>0</v>
      </c>
      <c r="CD327">
        <f>IF(AND(CC327&gt;=0,CC326&lt;0,MIN($CC$2:CC327)&lt;0),1,0)</f>
        <v>0</v>
      </c>
    </row>
    <row r="328" spans="1:82" x14ac:dyDescent="0.2">
      <c r="A328">
        <f>Расчёты!A328</f>
        <v>327</v>
      </c>
      <c r="B328" t="str">
        <f>Расчёты!B328</f>
        <v/>
      </c>
      <c r="C328" t="str">
        <f>Расчёты!D328</f>
        <v/>
      </c>
      <c r="D328">
        <f>Расчёты!E328</f>
        <v>0</v>
      </c>
      <c r="E328">
        <f>IF(Расчёты!F328=0,0,IF(Расчёты!G328=1,N('Сценарный анализ'!$B$5),IF(Расчёты!G328=2,N('Сценарный анализ'!$B$6),IF(Расчёты!G328=3,N('Сценарный анализ'!$B$7),N('Сценарный анализ'!$B$7)*(1+N('Сценарный анализ'!$B$8))^(Расчёты!G328-3)))))</f>
        <v>0</v>
      </c>
      <c r="F328">
        <f>IF(OR(Расчёты!F328=0,N('Исходные данные'!$B$5)=0,E328=0),0,N('Исходные данные'!$B$5)*E328*IF(AND(B328&lt;='Исходные данные'!$B$30,Расчёты!C328&gt;='Исходные данные'!$B$30),(Расчёты!C328-'Исходные данные'!$B$30+1)/DAY(Расчёты!C328),1))</f>
        <v>0</v>
      </c>
      <c r="G328">
        <f>IF(AND(Расчёты!F328&gt;0,Расчёты!F328&lt;=N('Исходные данные'!$B$37)),-F328,0)</f>
        <v>0</v>
      </c>
      <c r="H328">
        <f>IF(OR(Расчёты!F328=0,Расчёты!F328&lt;=N('Исходные данные'!$B$37)),0,-(F328+G328)*N('Сценарный анализ'!$B$9))</f>
        <v>0</v>
      </c>
      <c r="I328">
        <f t="shared" si="180"/>
        <v>0</v>
      </c>
      <c r="J328">
        <f>IF('Исходные данные'!$B$51="Да",I328*N('Исходные данные'!$B$52),0)</f>
        <v>0</v>
      </c>
      <c r="K328">
        <f t="shared" si="181"/>
        <v>0</v>
      </c>
      <c r="L328">
        <f>I328+(Расчёты!Y328-Расчёты!L328)</f>
        <v>0</v>
      </c>
      <c r="M328">
        <f t="shared" si="168"/>
        <v>0</v>
      </c>
      <c r="N328">
        <f>IF('Исходные данные'!$B$51="Да",-MAX(0,J328+Расчёты!R328+Расчёты!V328-Расчёты!P328-Расчёты!T328-M328),0)</f>
        <v>0</v>
      </c>
      <c r="O328">
        <f>IF('Исходные данные'!$B$51="Да",MAX(0,M328+Расчёты!P328+Расчёты!T328-J328-Расчёты!R328-Расчёты!V328),0)</f>
        <v>0</v>
      </c>
      <c r="P328">
        <f>IF('Исходные данные'!$B$53="Выручка",MAX(0,I328+(Расчёты!Q328-Расчёты!R328)+(Расчёты!U328-Расчёты!V328)),IF('Исходные данные'!$B$53="Прибыль до налога",MAX(0,I328+(Расчёты!Q328-Расчёты!R328)+(Расчёты!U328-Расчёты!V328)+N('Исходные данные'!$B$54)*((Расчёты!O328+Расчёты!P328)+(Расчёты!S328+Расчёты!T328)+Расчёты!W328+Расчёты!X328)+IF('Исходные данные'!$B$55="Да",Расчёты!AG328,0)-N('Исходные данные'!$B$56)/12),IF('Исходные данные'!$B$53="Пользовательская база",MAX(0,N('Исходные данные'!$B$57)/12),0)))</f>
        <v>0</v>
      </c>
      <c r="Q328">
        <f>IF(D328=1,-P328*N('Исходные данные'!$B$50),0)</f>
        <v>0</v>
      </c>
      <c r="R328">
        <f t="shared" si="169"/>
        <v>0</v>
      </c>
      <c r="S328">
        <f>IF(OR(D328&lt;&gt;1,B328="",'Исходные данные'!$B$91="",N('Исходные данные'!$B$80)&lt;=0,'Исходные данные'!$B$88=""),0,IF(AND(YEAR(B328)=YEAR('Исходные данные'!$B$91),MONTH(B328)=MONTH('Исходные данные'!$B$91)),MAX(0,IF('Исходные данные'!$B$88="Последние 12 месяцев",SUMIFS($L$2:$L$194,$B$2:$B$194,"&gt;="&amp;EDATE(B328,-11),$B$2:$B$194,"&lt;="&amp;B328),IF('Исходные данные'!$B$88="Пользовательский NOI",N('Исходные данные'!$B$89),R328))/N('Исходные данные'!$B$80)*(1+N('Исходные данные'!$B$81))),0))</f>
        <v>0</v>
      </c>
      <c r="T328">
        <f>-S328*N('Исходные данные'!$B$73)</f>
        <v>0</v>
      </c>
      <c r="U328">
        <f>IF(S328=0,0,-N('Исходные данные'!$B$87)-IF('Исходные данные'!$B$82="Да",IF('Исходные данные'!$B$84="С выручки",S328,IF('Исходные данные'!$B$84="С прибыли",MAX(0,S328+T328-IF('Исходные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28">
        <f t="shared" si="182"/>
        <v>0</v>
      </c>
      <c r="W328">
        <f>IF(D328=1,Расчёты!AZ328+K328+N328+Q328+V328,0)</f>
        <v>0</v>
      </c>
      <c r="X328" t="str">
        <f t="shared" si="170"/>
        <v/>
      </c>
      <c r="Y328">
        <f>IF(OR(D328=0,'Исходные данные'!$B$9="",'Исходные данные'!$B$90=""),0,W328/(1+'Исходные данные'!$B$90)^((C328-'Исходные данные'!$B$9)/365))</f>
        <v>0</v>
      </c>
      <c r="Z328">
        <f>IF(D328=1,K328+Расчёты!O328+Расчёты!Q328+Расчёты!S328+Расчёты!U328+Расчёты!W328+Расчёты!X328+N328+Q328,0)</f>
        <v>0</v>
      </c>
      <c r="AA328">
        <f>IF(AND(D328=1,X328&gt;=0,X327&lt;0,MIN($X$2:X328)&lt;0),1,0)</f>
        <v>0</v>
      </c>
      <c r="AB328">
        <f>IF(Расчёты!F328=0,0,IF(Расчёты!G328=1,N('Сценарный анализ'!$C$5),IF(Расчёты!G328=2,N('Сценарный анализ'!$C$6),IF(Расчёты!G328=3,N('Сценарный анализ'!$C$7),N('Сценарный анализ'!$C$7)*(1+N('Сценарный анализ'!$C$8))^(Расчёты!G328-3)))))</f>
        <v>0</v>
      </c>
      <c r="AC328">
        <f>IF(OR(Расчёты!F328=0,N('Исходные данные'!$B$5)=0,AB328=0),0,N('Исходные данные'!$B$5)*AB328*IF(AND(B328&lt;='Исходные данные'!$B$30,Расчёты!C328&gt;='Исходные данные'!$B$30),(Расчёты!C328-'Исходные данные'!$B$30+1)/DAY(Расчёты!C328),1))</f>
        <v>0</v>
      </c>
      <c r="AD328">
        <f>IF(AND(Расчёты!F328&gt;0,Расчёты!F328&lt;=N('Исходные данные'!$B$37)),-AC328,0)</f>
        <v>0</v>
      </c>
      <c r="AE328">
        <f>IF(OR(Расчёты!F328=0,Расчёты!F328&lt;=N('Исходные данные'!$B$37)),0,-(AC328+AD328)*N('Сценарный анализ'!$C$9))</f>
        <v>0</v>
      </c>
      <c r="AF328">
        <f t="shared" si="183"/>
        <v>0</v>
      </c>
      <c r="AG328">
        <f>IF('Исходные данные'!$B$51="Да",AF328*N('Исходные данные'!$B$52),0)</f>
        <v>0</v>
      </c>
      <c r="AH328">
        <f t="shared" si="184"/>
        <v>0</v>
      </c>
      <c r="AI328">
        <f>AF328+(Расчёты!Y328-Расчёты!L328)</f>
        <v>0</v>
      </c>
      <c r="AJ328">
        <f t="shared" si="171"/>
        <v>0</v>
      </c>
      <c r="AK328">
        <f>IF('Исходные данные'!$B$51="Да",-MAX(0,AG328+Расчёты!R328+Расчёты!V328-Расчёты!P328-Расчёты!T328-AJ328),0)</f>
        <v>0</v>
      </c>
      <c r="AL328">
        <f>IF('Исходные данные'!$B$51="Да",MAX(0,AJ328+Расчёты!P328+Расчёты!T328-AG328-Расчёты!R328-Расчёты!V328),0)</f>
        <v>0</v>
      </c>
      <c r="AM328">
        <f>IF('Исходные данные'!$B$53="Выручка",MAX(0,AF328+(Расчёты!Q328-Расчёты!R328)+(Расчёты!U328-Расчёты!V328)),IF('Исходные данные'!$B$53="Прибыль до налога",MAX(0,AF328+(Расчёты!Q328-Расчёты!R328)+(Расчёты!U328-Расчёты!V328)+N('Исходные данные'!$B$54)*((Расчёты!O328+Расчёты!P328)+(Расчёты!S328+Расчёты!T328)+Расчёты!W328+Расчёты!X328)+IF('Исходные данные'!$B$55="Да",Расчёты!AG328,0)-N('Исходные данные'!$B$56)/12),IF('Исходные данные'!$B$53="Пользовательская база",MAX(0,N('Исходные данные'!$B$57)/12),0)))</f>
        <v>0</v>
      </c>
      <c r="AN328">
        <f>IF(D328=1,-AM328*N('Исходные данные'!$B$50),0)</f>
        <v>0</v>
      </c>
      <c r="AO328">
        <f t="shared" si="172"/>
        <v>0</v>
      </c>
      <c r="AP328">
        <f>IF(OR(D328&lt;&gt;1,B328="",'Исходные данные'!$B$91="",N('Исходные данные'!$B$80)&lt;=0,'Исходные данные'!$B$88=""),0,IF(AND(YEAR(B328)=YEAR('Исходные данные'!$B$91),MONTH(B328)=MONTH('Исходные данные'!$B$91)),MAX(0,IF('Исходные данные'!$B$88="Последние 12 месяцев",SUMIFS($AI$2:$AI$194,$B$2:$B$194,"&gt;="&amp;EDATE(B328,-11),$B$2:$B$194,"&lt;="&amp;B328),IF('Исходные данные'!$B$88="Пользовательский NOI",N('Исходные данные'!$B$89),AO328))/N('Исходные данные'!$B$80)*(1+N('Исходные данные'!$B$81))),0))</f>
        <v>0</v>
      </c>
      <c r="AQ328">
        <f>-AP328*N('Исходные данные'!$B$73)</f>
        <v>0</v>
      </c>
      <c r="AR328">
        <f>IF(AP328=0,0,-N('Исходные данные'!$B$87)-IF('Исходные данные'!$B$82="Да",IF('Исходные данные'!$B$84="С выручки",AP328,IF('Исходные данные'!$B$84="С прибыли",MAX(0,AP328+AQ328-IF('Исходные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28">
        <f t="shared" si="185"/>
        <v>0</v>
      </c>
      <c r="AT328">
        <f>IF(D328=1,Расчёты!AZ328+AH328+AK328+AN328+AS328,0)</f>
        <v>0</v>
      </c>
      <c r="AU328" t="str">
        <f t="shared" si="173"/>
        <v/>
      </c>
      <c r="AV328">
        <f>IF(OR(D328=0,'Исходные данные'!$B$9="",'Исходные данные'!$B$90=""),0,AT328/(1+'Исходные данные'!$B$90)^((C328-'Исходные данные'!$B$9)/365))</f>
        <v>0</v>
      </c>
      <c r="AW328">
        <f>IF(D328=1,AH328+Расчёты!O328+Расчёты!Q328+Расчёты!S328+Расчёты!U328+Расчёты!W328+Расчёты!X328+AK328+AN328,0)</f>
        <v>0</v>
      </c>
      <c r="AX328">
        <f>IF(AND(D328=1,AU328&gt;=0,AU327&lt;0,MIN($AU$2:AU328)&lt;0),1,0)</f>
        <v>0</v>
      </c>
      <c r="AY328">
        <f>IF(Расчёты!F328=0,0,IF(Расчёты!G328=1,N('Сценарный анализ'!$D$5),IF(Расчёты!G328=2,N('Сценарный анализ'!$D$6),IF(Расчёты!G328=3,N('Сценарный анализ'!$D$7),N('Сценарный анализ'!$D$7)*(1+N('Сценарный анализ'!$D$8))^(Расчёты!G328-3)))))</f>
        <v>0</v>
      </c>
      <c r="AZ328">
        <f>IF(OR(Расчёты!F328=0,N('Исходные данные'!$B$5)=0,AY328=0),0,N('Исходные данные'!$B$5)*AY328*IF(AND(B328&lt;='Исходные данные'!$B$30,Расчёты!C328&gt;='Исходные данные'!$B$30),(Расчёты!C328-'Исходные данные'!$B$30+1)/DAY(Расчёты!C328),1))</f>
        <v>0</v>
      </c>
      <c r="BA328">
        <f>IF(AND(Расчёты!F328&gt;0,Расчёты!F328&lt;=N('Исходные данные'!$B$37)),-AZ328,0)</f>
        <v>0</v>
      </c>
      <c r="BB328">
        <f>IF(OR(Расчёты!F328=0,Расчёты!F328&lt;=N('Исходные данные'!$B$37)),0,-(AZ328+BA328)*N('Сценарный анализ'!$D$9))</f>
        <v>0</v>
      </c>
      <c r="BC328">
        <f t="shared" si="186"/>
        <v>0</v>
      </c>
      <c r="BD328">
        <f>IF('Исходные данные'!$B$51="Да",BC328*N('Исходные данные'!$B$52),0)</f>
        <v>0</v>
      </c>
      <c r="BE328">
        <f t="shared" si="187"/>
        <v>0</v>
      </c>
      <c r="BF328">
        <f>BC328+(Расчёты!Y328-Расчёты!L328)</f>
        <v>0</v>
      </c>
      <c r="BG328">
        <f t="shared" si="174"/>
        <v>0</v>
      </c>
      <c r="BH328">
        <f>IF('Исходные данные'!$B$51="Да",-MAX(0,BD328+Расчёты!R328+Расчёты!V328-Расчёты!P328-Расчёты!T328-BG328),0)</f>
        <v>0</v>
      </c>
      <c r="BI328">
        <f>IF('Исходные данные'!$B$51="Да",MAX(0,BG328+Расчёты!P328+Расчёты!T328-BD328-Расчёты!R328-Расчёты!V328),0)</f>
        <v>0</v>
      </c>
      <c r="BJ328">
        <f>IF('Исходные данные'!$B$53="Выручка",MAX(0,BC328+(Расчёты!Q328-Расчёты!R328)+(Расчёты!U328-Расчёты!V328)),IF('Исходные данные'!$B$53="Прибыль до налога",MAX(0,BC328+(Расчёты!Q328-Расчёты!R328)+(Расчёты!U328-Расчёты!V328)+N('Исходные данные'!$B$54)*((Расчёты!O328+Расчёты!P328)+(Расчёты!S328+Расчёты!T328)+Расчёты!W328+Расчёты!X328)+IF('Исходные данные'!$B$55="Да",Расчёты!AG328,0)-N('Исходные данные'!$B$56)/12),IF('Исходные данные'!$B$53="Пользовательская база",MAX(0,N('Исходные данные'!$B$57)/12),0)))</f>
        <v>0</v>
      </c>
      <c r="BK328">
        <f>IF(D328=1,-BJ328*N('Исходные данные'!$B$50),0)</f>
        <v>0</v>
      </c>
      <c r="BL328">
        <f t="shared" si="175"/>
        <v>0</v>
      </c>
      <c r="BM328">
        <f>IF(OR(D328&lt;&gt;1,B328="",'Исходные данные'!$B$91="",N('Исходные данные'!$B$80)&lt;=0,'Исходные данные'!$B$88=""),0,IF(AND(YEAR(B328)=YEAR('Исходные данные'!$B$91),MONTH(B328)=MONTH('Исходные данные'!$B$91)),MAX(0,IF('Исходные данные'!$B$88="Последние 12 месяцев",SUMIFS($BF$2:$BF$194,$B$2:$B$194,"&gt;="&amp;EDATE(B328,-11),$B$2:$B$194,"&lt;="&amp;B328),IF('Исходные данные'!$B$88="Пользовательский NOI",N('Исходные данные'!$B$89),BL328))/N('Исходные данные'!$B$80)*(1+N('Исходные данные'!$B$81))),0))</f>
        <v>0</v>
      </c>
      <c r="BN328">
        <f>-BM328*N('Исходные данные'!$B$73)</f>
        <v>0</v>
      </c>
      <c r="BO328">
        <f>IF(BM328=0,0,-N('Исходные данные'!$B$87)-IF('Исходные данные'!$B$82="Да",IF('Исходные данные'!$B$84="С выручки",BM328,IF('Исходные данные'!$B$84="С прибыли",MAX(0,BM328+BN328-IF('Исходные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28">
        <f t="shared" si="188"/>
        <v>0</v>
      </c>
      <c r="BQ328">
        <f>IF(D328=1,Расчёты!AZ328+BE328+BH328+BK328+BP328,0)</f>
        <v>0</v>
      </c>
      <c r="BR328" t="str">
        <f t="shared" si="176"/>
        <v/>
      </c>
      <c r="BS328">
        <f>IF(OR(D328=0,'Исходные данные'!$B$9="",'Исходные данные'!$B$90=""),0,BQ328/(1+'Исходные данные'!$B$90)^((C328-'Исходные данные'!$B$9)/365))</f>
        <v>0</v>
      </c>
      <c r="BT328">
        <f>IF(D328=1,BE328+Расчёты!O328+Расчёты!Q328+Расчёты!S328+Расчёты!U328+Расчёты!W328+Расчёты!X328+BH328+BK328,0)</f>
        <v>0</v>
      </c>
      <c r="BU328">
        <f>IF(AND(D328=1,BR328&gt;=0,BR327&lt;0,MIN($BR$2:BR328)&lt;0),1,0)</f>
        <v>0</v>
      </c>
      <c r="BV328">
        <f>Расчёты!AZ328+K328+N328-P328*N('Исходные данные'!$B$50)</f>
        <v>0</v>
      </c>
      <c r="BW328">
        <f t="shared" si="177"/>
        <v>0</v>
      </c>
      <c r="BX328">
        <f>IF(AND(BW328&gt;=0,BW327&lt;0,MIN($BW$2:BW328)&lt;0),1,0)</f>
        <v>0</v>
      </c>
      <c r="BY328">
        <f>Расчёты!AZ328+AH328+AK328-AM328*N('Исходные данные'!$B$50)</f>
        <v>0</v>
      </c>
      <c r="BZ328">
        <f t="shared" si="178"/>
        <v>0</v>
      </c>
      <c r="CA328">
        <f>IF(AND(BZ328&gt;=0,BZ327&lt;0,MIN($BZ$2:BZ328)&lt;0),1,0)</f>
        <v>0</v>
      </c>
      <c r="CB328">
        <f>Расчёты!AZ328+BE328+BH328-BJ328*N('Исходные данные'!$B$50)</f>
        <v>0</v>
      </c>
      <c r="CC328">
        <f t="shared" si="179"/>
        <v>0</v>
      </c>
      <c r="CD328">
        <f>IF(AND(CC328&gt;=0,CC327&lt;0,MIN($CC$2:CC328)&lt;0),1,0)</f>
        <v>0</v>
      </c>
    </row>
    <row r="329" spans="1:82" x14ac:dyDescent="0.2">
      <c r="A329">
        <f>Расчёты!A329</f>
        <v>328</v>
      </c>
      <c r="B329" t="str">
        <f>Расчёты!B329</f>
        <v/>
      </c>
      <c r="C329" t="str">
        <f>Расчёты!D329</f>
        <v/>
      </c>
      <c r="D329">
        <f>Расчёты!E329</f>
        <v>0</v>
      </c>
      <c r="E329">
        <f>IF(Расчёты!F329=0,0,IF(Расчёты!G329=1,N('Сценарный анализ'!$B$5),IF(Расчёты!G329=2,N('Сценарный анализ'!$B$6),IF(Расчёты!G329=3,N('Сценарный анализ'!$B$7),N('Сценарный анализ'!$B$7)*(1+N('Сценарный анализ'!$B$8))^(Расчёты!G329-3)))))</f>
        <v>0</v>
      </c>
      <c r="F329">
        <f>IF(OR(Расчёты!F329=0,N('Исходные данные'!$B$5)=0,E329=0),0,N('Исходные данные'!$B$5)*E329*IF(AND(B329&lt;='Исходные данные'!$B$30,Расчёты!C329&gt;='Исходные данные'!$B$30),(Расчёты!C329-'Исходные данные'!$B$30+1)/DAY(Расчёты!C329),1))</f>
        <v>0</v>
      </c>
      <c r="G329">
        <f>IF(AND(Расчёты!F329&gt;0,Расчёты!F329&lt;=N('Исходные данные'!$B$37)),-F329,0)</f>
        <v>0</v>
      </c>
      <c r="H329">
        <f>IF(OR(Расчёты!F329=0,Расчёты!F329&lt;=N('Исходные данные'!$B$37)),0,-(F329+G329)*N('Сценарный анализ'!$B$9))</f>
        <v>0</v>
      </c>
      <c r="I329">
        <f t="shared" si="180"/>
        <v>0</v>
      </c>
      <c r="J329">
        <f>IF('Исходные данные'!$B$51="Да",I329*N('Исходные данные'!$B$52),0)</f>
        <v>0</v>
      </c>
      <c r="K329">
        <f t="shared" si="181"/>
        <v>0</v>
      </c>
      <c r="L329">
        <f>I329+(Расчёты!Y329-Расчёты!L329)</f>
        <v>0</v>
      </c>
      <c r="M329">
        <f t="shared" si="168"/>
        <v>0</v>
      </c>
      <c r="N329">
        <f>IF('Исходные данные'!$B$51="Да",-MAX(0,J329+Расчёты!R329+Расчёты!V329-Расчёты!P329-Расчёты!T329-M329),0)</f>
        <v>0</v>
      </c>
      <c r="O329">
        <f>IF('Исходные данные'!$B$51="Да",MAX(0,M329+Расчёты!P329+Расчёты!T329-J329-Расчёты!R329-Расчёты!V329),0)</f>
        <v>0</v>
      </c>
      <c r="P329">
        <f>IF('Исходные данные'!$B$53="Выручка",MAX(0,I329+(Расчёты!Q329-Расчёты!R329)+(Расчёты!U329-Расчёты!V329)),IF('Исходные данные'!$B$53="Прибыль до налога",MAX(0,I329+(Расчёты!Q329-Расчёты!R329)+(Расчёты!U329-Расчёты!V329)+N('Исходные данные'!$B$54)*((Расчёты!O329+Расчёты!P329)+(Расчёты!S329+Расчёты!T329)+Расчёты!W329+Расчёты!X329)+IF('Исходные данные'!$B$55="Да",Расчёты!AG329,0)-N('Исходные данные'!$B$56)/12),IF('Исходные данные'!$B$53="Пользовательская база",MAX(0,N('Исходные данные'!$B$57)/12),0)))</f>
        <v>0</v>
      </c>
      <c r="Q329">
        <f>IF(D329=1,-P329*N('Исходные данные'!$B$50),0)</f>
        <v>0</v>
      </c>
      <c r="R329">
        <f t="shared" si="169"/>
        <v>0</v>
      </c>
      <c r="S329">
        <f>IF(OR(D329&lt;&gt;1,B329="",'Исходные данные'!$B$91="",N('Исходные данные'!$B$80)&lt;=0,'Исходные данные'!$B$88=""),0,IF(AND(YEAR(B329)=YEAR('Исходные данные'!$B$91),MONTH(B329)=MONTH('Исходные данные'!$B$91)),MAX(0,IF('Исходные данные'!$B$88="Последние 12 месяцев",SUMIFS($L$2:$L$194,$B$2:$B$194,"&gt;="&amp;EDATE(B329,-11),$B$2:$B$194,"&lt;="&amp;B329),IF('Исходные данные'!$B$88="Пользовательский NOI",N('Исходные данные'!$B$89),R329))/N('Исходные данные'!$B$80)*(1+N('Исходные данные'!$B$81))),0))</f>
        <v>0</v>
      </c>
      <c r="T329">
        <f>-S329*N('Исходные данные'!$B$73)</f>
        <v>0</v>
      </c>
      <c r="U329">
        <f>IF(S329=0,0,-N('Исходные данные'!$B$87)-IF('Исходные данные'!$B$82="Да",IF('Исходные данные'!$B$84="С выручки",S329,IF('Исходные данные'!$B$84="С прибыли",MAX(0,S329+T329-IF('Исходные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29">
        <f t="shared" si="182"/>
        <v>0</v>
      </c>
      <c r="W329">
        <f>IF(D329=1,Расчёты!AZ329+K329+N329+Q329+V329,0)</f>
        <v>0</v>
      </c>
      <c r="X329" t="str">
        <f t="shared" si="170"/>
        <v/>
      </c>
      <c r="Y329">
        <f>IF(OR(D329=0,'Исходные данные'!$B$9="",'Исходные данные'!$B$90=""),0,W329/(1+'Исходные данные'!$B$90)^((C329-'Исходные данные'!$B$9)/365))</f>
        <v>0</v>
      </c>
      <c r="Z329">
        <f>IF(D329=1,K329+Расчёты!O329+Расчёты!Q329+Расчёты!S329+Расчёты!U329+Расчёты!W329+Расчёты!X329+N329+Q329,0)</f>
        <v>0</v>
      </c>
      <c r="AA329">
        <f>IF(AND(D329=1,X329&gt;=0,X328&lt;0,MIN($X$2:X329)&lt;0),1,0)</f>
        <v>0</v>
      </c>
      <c r="AB329">
        <f>IF(Расчёты!F329=0,0,IF(Расчёты!G329=1,N('Сценарный анализ'!$C$5),IF(Расчёты!G329=2,N('Сценарный анализ'!$C$6),IF(Расчёты!G329=3,N('Сценарный анализ'!$C$7),N('Сценарный анализ'!$C$7)*(1+N('Сценарный анализ'!$C$8))^(Расчёты!G329-3)))))</f>
        <v>0</v>
      </c>
      <c r="AC329">
        <f>IF(OR(Расчёты!F329=0,N('Исходные данные'!$B$5)=0,AB329=0),0,N('Исходные данные'!$B$5)*AB329*IF(AND(B329&lt;='Исходные данные'!$B$30,Расчёты!C329&gt;='Исходные данные'!$B$30),(Расчёты!C329-'Исходные данные'!$B$30+1)/DAY(Расчёты!C329),1))</f>
        <v>0</v>
      </c>
      <c r="AD329">
        <f>IF(AND(Расчёты!F329&gt;0,Расчёты!F329&lt;=N('Исходные данные'!$B$37)),-AC329,0)</f>
        <v>0</v>
      </c>
      <c r="AE329">
        <f>IF(OR(Расчёты!F329=0,Расчёты!F329&lt;=N('Исходные данные'!$B$37)),0,-(AC329+AD329)*N('Сценарный анализ'!$C$9))</f>
        <v>0</v>
      </c>
      <c r="AF329">
        <f t="shared" si="183"/>
        <v>0</v>
      </c>
      <c r="AG329">
        <f>IF('Исходные данные'!$B$51="Да",AF329*N('Исходные данные'!$B$52),0)</f>
        <v>0</v>
      </c>
      <c r="AH329">
        <f t="shared" si="184"/>
        <v>0</v>
      </c>
      <c r="AI329">
        <f>AF329+(Расчёты!Y329-Расчёты!L329)</f>
        <v>0</v>
      </c>
      <c r="AJ329">
        <f t="shared" si="171"/>
        <v>0</v>
      </c>
      <c r="AK329">
        <f>IF('Исходные данные'!$B$51="Да",-MAX(0,AG329+Расчёты!R329+Расчёты!V329-Расчёты!P329-Расчёты!T329-AJ329),0)</f>
        <v>0</v>
      </c>
      <c r="AL329">
        <f>IF('Исходные данные'!$B$51="Да",MAX(0,AJ329+Расчёты!P329+Расчёты!T329-AG329-Расчёты!R329-Расчёты!V329),0)</f>
        <v>0</v>
      </c>
      <c r="AM329">
        <f>IF('Исходные данные'!$B$53="Выручка",MAX(0,AF329+(Расчёты!Q329-Расчёты!R329)+(Расчёты!U329-Расчёты!V329)),IF('Исходные данные'!$B$53="Прибыль до налога",MAX(0,AF329+(Расчёты!Q329-Расчёты!R329)+(Расчёты!U329-Расчёты!V329)+N('Исходные данные'!$B$54)*((Расчёты!O329+Расчёты!P329)+(Расчёты!S329+Расчёты!T329)+Расчёты!W329+Расчёты!X329)+IF('Исходные данные'!$B$55="Да",Расчёты!AG329,0)-N('Исходные данные'!$B$56)/12),IF('Исходные данные'!$B$53="Пользовательская база",MAX(0,N('Исходные данные'!$B$57)/12),0)))</f>
        <v>0</v>
      </c>
      <c r="AN329">
        <f>IF(D329=1,-AM329*N('Исходные данные'!$B$50),0)</f>
        <v>0</v>
      </c>
      <c r="AO329">
        <f t="shared" si="172"/>
        <v>0</v>
      </c>
      <c r="AP329">
        <f>IF(OR(D329&lt;&gt;1,B329="",'Исходные данные'!$B$91="",N('Исходные данные'!$B$80)&lt;=0,'Исходные данные'!$B$88=""),0,IF(AND(YEAR(B329)=YEAR('Исходные данные'!$B$91),MONTH(B329)=MONTH('Исходные данные'!$B$91)),MAX(0,IF('Исходные данные'!$B$88="Последние 12 месяцев",SUMIFS($AI$2:$AI$194,$B$2:$B$194,"&gt;="&amp;EDATE(B329,-11),$B$2:$B$194,"&lt;="&amp;B329),IF('Исходные данные'!$B$88="Пользовательский NOI",N('Исходные данные'!$B$89),AO329))/N('Исходные данные'!$B$80)*(1+N('Исходные данные'!$B$81))),0))</f>
        <v>0</v>
      </c>
      <c r="AQ329">
        <f>-AP329*N('Исходные данные'!$B$73)</f>
        <v>0</v>
      </c>
      <c r="AR329">
        <f>IF(AP329=0,0,-N('Исходные данные'!$B$87)-IF('Исходные данные'!$B$82="Да",IF('Исходные данные'!$B$84="С выручки",AP329,IF('Исходные данные'!$B$84="С прибыли",MAX(0,AP329+AQ329-IF('Исходные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29">
        <f t="shared" si="185"/>
        <v>0</v>
      </c>
      <c r="AT329">
        <f>IF(D329=1,Расчёты!AZ329+AH329+AK329+AN329+AS329,0)</f>
        <v>0</v>
      </c>
      <c r="AU329" t="str">
        <f t="shared" si="173"/>
        <v/>
      </c>
      <c r="AV329">
        <f>IF(OR(D329=0,'Исходные данные'!$B$9="",'Исходные данные'!$B$90=""),0,AT329/(1+'Исходные данные'!$B$90)^((C329-'Исходные данные'!$B$9)/365))</f>
        <v>0</v>
      </c>
      <c r="AW329">
        <f>IF(D329=1,AH329+Расчёты!O329+Расчёты!Q329+Расчёты!S329+Расчёты!U329+Расчёты!W329+Расчёты!X329+AK329+AN329,0)</f>
        <v>0</v>
      </c>
      <c r="AX329">
        <f>IF(AND(D329=1,AU329&gt;=0,AU328&lt;0,MIN($AU$2:AU329)&lt;0),1,0)</f>
        <v>0</v>
      </c>
      <c r="AY329">
        <f>IF(Расчёты!F329=0,0,IF(Расчёты!G329=1,N('Сценарный анализ'!$D$5),IF(Расчёты!G329=2,N('Сценарный анализ'!$D$6),IF(Расчёты!G329=3,N('Сценарный анализ'!$D$7),N('Сценарный анализ'!$D$7)*(1+N('Сценарный анализ'!$D$8))^(Расчёты!G329-3)))))</f>
        <v>0</v>
      </c>
      <c r="AZ329">
        <f>IF(OR(Расчёты!F329=0,N('Исходные данные'!$B$5)=0,AY329=0),0,N('Исходные данные'!$B$5)*AY329*IF(AND(B329&lt;='Исходные данные'!$B$30,Расчёты!C329&gt;='Исходные данные'!$B$30),(Расчёты!C329-'Исходные данные'!$B$30+1)/DAY(Расчёты!C329),1))</f>
        <v>0</v>
      </c>
      <c r="BA329">
        <f>IF(AND(Расчёты!F329&gt;0,Расчёты!F329&lt;=N('Исходные данные'!$B$37)),-AZ329,0)</f>
        <v>0</v>
      </c>
      <c r="BB329">
        <f>IF(OR(Расчёты!F329=0,Расчёты!F329&lt;=N('Исходные данные'!$B$37)),0,-(AZ329+BA329)*N('Сценарный анализ'!$D$9))</f>
        <v>0</v>
      </c>
      <c r="BC329">
        <f t="shared" si="186"/>
        <v>0</v>
      </c>
      <c r="BD329">
        <f>IF('Исходные данные'!$B$51="Да",BC329*N('Исходные данные'!$B$52),0)</f>
        <v>0</v>
      </c>
      <c r="BE329">
        <f t="shared" si="187"/>
        <v>0</v>
      </c>
      <c r="BF329">
        <f>BC329+(Расчёты!Y329-Расчёты!L329)</f>
        <v>0</v>
      </c>
      <c r="BG329">
        <f t="shared" si="174"/>
        <v>0</v>
      </c>
      <c r="BH329">
        <f>IF('Исходные данные'!$B$51="Да",-MAX(0,BD329+Расчёты!R329+Расчёты!V329-Расчёты!P329-Расчёты!T329-BG329),0)</f>
        <v>0</v>
      </c>
      <c r="BI329">
        <f>IF('Исходные данные'!$B$51="Да",MAX(0,BG329+Расчёты!P329+Расчёты!T329-BD329-Расчёты!R329-Расчёты!V329),0)</f>
        <v>0</v>
      </c>
      <c r="BJ329">
        <f>IF('Исходные данные'!$B$53="Выручка",MAX(0,BC329+(Расчёты!Q329-Расчёты!R329)+(Расчёты!U329-Расчёты!V329)),IF('Исходные данные'!$B$53="Прибыль до налога",MAX(0,BC329+(Расчёты!Q329-Расчёты!R329)+(Расчёты!U329-Расчёты!V329)+N('Исходные данные'!$B$54)*((Расчёты!O329+Расчёты!P329)+(Расчёты!S329+Расчёты!T329)+Расчёты!W329+Расчёты!X329)+IF('Исходные данные'!$B$55="Да",Расчёты!AG329,0)-N('Исходные данные'!$B$56)/12),IF('Исходные данные'!$B$53="Пользовательская база",MAX(0,N('Исходные данные'!$B$57)/12),0)))</f>
        <v>0</v>
      </c>
      <c r="BK329">
        <f>IF(D329=1,-BJ329*N('Исходные данные'!$B$50),0)</f>
        <v>0</v>
      </c>
      <c r="BL329">
        <f t="shared" si="175"/>
        <v>0</v>
      </c>
      <c r="BM329">
        <f>IF(OR(D329&lt;&gt;1,B329="",'Исходные данные'!$B$91="",N('Исходные данные'!$B$80)&lt;=0,'Исходные данные'!$B$88=""),0,IF(AND(YEAR(B329)=YEAR('Исходные данные'!$B$91),MONTH(B329)=MONTH('Исходные данные'!$B$91)),MAX(0,IF('Исходные данные'!$B$88="Последние 12 месяцев",SUMIFS($BF$2:$BF$194,$B$2:$B$194,"&gt;="&amp;EDATE(B329,-11),$B$2:$B$194,"&lt;="&amp;B329),IF('Исходные данные'!$B$88="Пользовательский NOI",N('Исходные данные'!$B$89),BL329))/N('Исходные данные'!$B$80)*(1+N('Исходные данные'!$B$81))),0))</f>
        <v>0</v>
      </c>
      <c r="BN329">
        <f>-BM329*N('Исходные данные'!$B$73)</f>
        <v>0</v>
      </c>
      <c r="BO329">
        <f>IF(BM329=0,0,-N('Исходные данные'!$B$87)-IF('Исходные данные'!$B$82="Да",IF('Исходные данные'!$B$84="С выручки",BM329,IF('Исходные данные'!$B$84="С прибыли",MAX(0,BM329+BN329-IF('Исходные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29">
        <f t="shared" si="188"/>
        <v>0</v>
      </c>
      <c r="BQ329">
        <f>IF(D329=1,Расчёты!AZ329+BE329+BH329+BK329+BP329,0)</f>
        <v>0</v>
      </c>
      <c r="BR329" t="str">
        <f t="shared" si="176"/>
        <v/>
      </c>
      <c r="BS329">
        <f>IF(OR(D329=0,'Исходные данные'!$B$9="",'Исходные данные'!$B$90=""),0,BQ329/(1+'Исходные данные'!$B$90)^((C329-'Исходные данные'!$B$9)/365))</f>
        <v>0</v>
      </c>
      <c r="BT329">
        <f>IF(D329=1,BE329+Расчёты!O329+Расчёты!Q329+Расчёты!S329+Расчёты!U329+Расчёты!W329+Расчёты!X329+BH329+BK329,0)</f>
        <v>0</v>
      </c>
      <c r="BU329">
        <f>IF(AND(D329=1,BR329&gt;=0,BR328&lt;0,MIN($BR$2:BR329)&lt;0),1,0)</f>
        <v>0</v>
      </c>
      <c r="BV329">
        <f>Расчёты!AZ329+K329+N329-P329*N('Исходные данные'!$B$50)</f>
        <v>0</v>
      </c>
      <c r="BW329">
        <f t="shared" si="177"/>
        <v>0</v>
      </c>
      <c r="BX329">
        <f>IF(AND(BW329&gt;=0,BW328&lt;0,MIN($BW$2:BW329)&lt;0),1,0)</f>
        <v>0</v>
      </c>
      <c r="BY329">
        <f>Расчёты!AZ329+AH329+AK329-AM329*N('Исходные данные'!$B$50)</f>
        <v>0</v>
      </c>
      <c r="BZ329">
        <f t="shared" si="178"/>
        <v>0</v>
      </c>
      <c r="CA329">
        <f>IF(AND(BZ329&gt;=0,BZ328&lt;0,MIN($BZ$2:BZ329)&lt;0),1,0)</f>
        <v>0</v>
      </c>
      <c r="CB329">
        <f>Расчёты!AZ329+BE329+BH329-BJ329*N('Исходные данные'!$B$50)</f>
        <v>0</v>
      </c>
      <c r="CC329">
        <f t="shared" si="179"/>
        <v>0</v>
      </c>
      <c r="CD329">
        <f>IF(AND(CC329&gt;=0,CC328&lt;0,MIN($CC$2:CC329)&lt;0),1,0)</f>
        <v>0</v>
      </c>
    </row>
    <row r="330" spans="1:82" x14ac:dyDescent="0.2">
      <c r="A330">
        <f>Расчёты!A330</f>
        <v>329</v>
      </c>
      <c r="B330" t="str">
        <f>Расчёты!B330</f>
        <v/>
      </c>
      <c r="C330" t="str">
        <f>Расчёты!D330</f>
        <v/>
      </c>
      <c r="D330">
        <f>Расчёты!E330</f>
        <v>0</v>
      </c>
      <c r="E330">
        <f>IF(Расчёты!F330=0,0,IF(Расчёты!G330=1,N('Сценарный анализ'!$B$5),IF(Расчёты!G330=2,N('Сценарный анализ'!$B$6),IF(Расчёты!G330=3,N('Сценарный анализ'!$B$7),N('Сценарный анализ'!$B$7)*(1+N('Сценарный анализ'!$B$8))^(Расчёты!G330-3)))))</f>
        <v>0</v>
      </c>
      <c r="F330">
        <f>IF(OR(Расчёты!F330=0,N('Исходные данные'!$B$5)=0,E330=0),0,N('Исходные данные'!$B$5)*E330*IF(AND(B330&lt;='Исходные данные'!$B$30,Расчёты!C330&gt;='Исходные данные'!$B$30),(Расчёты!C330-'Исходные данные'!$B$30+1)/DAY(Расчёты!C330),1))</f>
        <v>0</v>
      </c>
      <c r="G330">
        <f>IF(AND(Расчёты!F330&gt;0,Расчёты!F330&lt;=N('Исходные данные'!$B$37)),-F330,0)</f>
        <v>0</v>
      </c>
      <c r="H330">
        <f>IF(OR(Расчёты!F330=0,Расчёты!F330&lt;=N('Исходные данные'!$B$37)),0,-(F330+G330)*N('Сценарный анализ'!$B$9))</f>
        <v>0</v>
      </c>
      <c r="I330">
        <f t="shared" si="180"/>
        <v>0</v>
      </c>
      <c r="J330">
        <f>IF('Исходные данные'!$B$51="Да",I330*N('Исходные данные'!$B$52),0)</f>
        <v>0</v>
      </c>
      <c r="K330">
        <f t="shared" si="181"/>
        <v>0</v>
      </c>
      <c r="L330">
        <f>I330+(Расчёты!Y330-Расчёты!L330)</f>
        <v>0</v>
      </c>
      <c r="M330">
        <f t="shared" si="168"/>
        <v>0</v>
      </c>
      <c r="N330">
        <f>IF('Исходные данные'!$B$51="Да",-MAX(0,J330+Расчёты!R330+Расчёты!V330-Расчёты!P330-Расчёты!T330-M330),0)</f>
        <v>0</v>
      </c>
      <c r="O330">
        <f>IF('Исходные данные'!$B$51="Да",MAX(0,M330+Расчёты!P330+Расчёты!T330-J330-Расчёты!R330-Расчёты!V330),0)</f>
        <v>0</v>
      </c>
      <c r="P330">
        <f>IF('Исходные данные'!$B$53="Выручка",MAX(0,I330+(Расчёты!Q330-Расчёты!R330)+(Расчёты!U330-Расчёты!V330)),IF('Исходные данные'!$B$53="Прибыль до налога",MAX(0,I330+(Расчёты!Q330-Расчёты!R330)+(Расчёты!U330-Расчёты!V330)+N('Исходные данные'!$B$54)*((Расчёты!O330+Расчёты!P330)+(Расчёты!S330+Расчёты!T330)+Расчёты!W330+Расчёты!X330)+IF('Исходные данные'!$B$55="Да",Расчёты!AG330,0)-N('Исходные данные'!$B$56)/12),IF('Исходные данные'!$B$53="Пользовательская база",MAX(0,N('Исходные данные'!$B$57)/12),0)))</f>
        <v>0</v>
      </c>
      <c r="Q330">
        <f>IF(D330=1,-P330*N('Исходные данные'!$B$50),0)</f>
        <v>0</v>
      </c>
      <c r="R330">
        <f t="shared" si="169"/>
        <v>0</v>
      </c>
      <c r="S330">
        <f>IF(OR(D330&lt;&gt;1,B330="",'Исходные данные'!$B$91="",N('Исходные данные'!$B$80)&lt;=0,'Исходные данные'!$B$88=""),0,IF(AND(YEAR(B330)=YEAR('Исходные данные'!$B$91),MONTH(B330)=MONTH('Исходные данные'!$B$91)),MAX(0,IF('Исходные данные'!$B$88="Последние 12 месяцев",SUMIFS($L$2:$L$194,$B$2:$B$194,"&gt;="&amp;EDATE(B330,-11),$B$2:$B$194,"&lt;="&amp;B330),IF('Исходные данные'!$B$88="Пользовательский NOI",N('Исходные данные'!$B$89),R330))/N('Исходные данные'!$B$80)*(1+N('Исходные данные'!$B$81))),0))</f>
        <v>0</v>
      </c>
      <c r="T330">
        <f>-S330*N('Исходные данные'!$B$73)</f>
        <v>0</v>
      </c>
      <c r="U330">
        <f>IF(S330=0,0,-N('Исходные данные'!$B$87)-IF('Исходные данные'!$B$82="Да",IF('Исходные данные'!$B$84="С выручки",S330,IF('Исходные данные'!$B$84="С прибыли",MAX(0,S330+T330-IF('Исходные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30">
        <f t="shared" si="182"/>
        <v>0</v>
      </c>
      <c r="W330">
        <f>IF(D330=1,Расчёты!AZ330+K330+N330+Q330+V330,0)</f>
        <v>0</v>
      </c>
      <c r="X330" t="str">
        <f t="shared" si="170"/>
        <v/>
      </c>
      <c r="Y330">
        <f>IF(OR(D330=0,'Исходные данные'!$B$9="",'Исходные данные'!$B$90=""),0,W330/(1+'Исходные данные'!$B$90)^((C330-'Исходные данные'!$B$9)/365))</f>
        <v>0</v>
      </c>
      <c r="Z330">
        <f>IF(D330=1,K330+Расчёты!O330+Расчёты!Q330+Расчёты!S330+Расчёты!U330+Расчёты!W330+Расчёты!X330+N330+Q330,0)</f>
        <v>0</v>
      </c>
      <c r="AA330">
        <f>IF(AND(D330=1,X330&gt;=0,X329&lt;0,MIN($X$2:X330)&lt;0),1,0)</f>
        <v>0</v>
      </c>
      <c r="AB330">
        <f>IF(Расчёты!F330=0,0,IF(Расчёты!G330=1,N('Сценарный анализ'!$C$5),IF(Расчёты!G330=2,N('Сценарный анализ'!$C$6),IF(Расчёты!G330=3,N('Сценарный анализ'!$C$7),N('Сценарный анализ'!$C$7)*(1+N('Сценарный анализ'!$C$8))^(Расчёты!G330-3)))))</f>
        <v>0</v>
      </c>
      <c r="AC330">
        <f>IF(OR(Расчёты!F330=0,N('Исходные данные'!$B$5)=0,AB330=0),0,N('Исходные данные'!$B$5)*AB330*IF(AND(B330&lt;='Исходные данные'!$B$30,Расчёты!C330&gt;='Исходные данные'!$B$30),(Расчёты!C330-'Исходные данные'!$B$30+1)/DAY(Расчёты!C330),1))</f>
        <v>0</v>
      </c>
      <c r="AD330">
        <f>IF(AND(Расчёты!F330&gt;0,Расчёты!F330&lt;=N('Исходные данные'!$B$37)),-AC330,0)</f>
        <v>0</v>
      </c>
      <c r="AE330">
        <f>IF(OR(Расчёты!F330=0,Расчёты!F330&lt;=N('Исходные данные'!$B$37)),0,-(AC330+AD330)*N('Сценарный анализ'!$C$9))</f>
        <v>0</v>
      </c>
      <c r="AF330">
        <f t="shared" si="183"/>
        <v>0</v>
      </c>
      <c r="AG330">
        <f>IF('Исходные данные'!$B$51="Да",AF330*N('Исходные данные'!$B$52),0)</f>
        <v>0</v>
      </c>
      <c r="AH330">
        <f t="shared" si="184"/>
        <v>0</v>
      </c>
      <c r="AI330">
        <f>AF330+(Расчёты!Y330-Расчёты!L330)</f>
        <v>0</v>
      </c>
      <c r="AJ330">
        <f t="shared" si="171"/>
        <v>0</v>
      </c>
      <c r="AK330">
        <f>IF('Исходные данные'!$B$51="Да",-MAX(0,AG330+Расчёты!R330+Расчёты!V330-Расчёты!P330-Расчёты!T330-AJ330),0)</f>
        <v>0</v>
      </c>
      <c r="AL330">
        <f>IF('Исходные данные'!$B$51="Да",MAX(0,AJ330+Расчёты!P330+Расчёты!T330-AG330-Расчёты!R330-Расчёты!V330),0)</f>
        <v>0</v>
      </c>
      <c r="AM330">
        <f>IF('Исходные данные'!$B$53="Выручка",MAX(0,AF330+(Расчёты!Q330-Расчёты!R330)+(Расчёты!U330-Расчёты!V330)),IF('Исходные данные'!$B$53="Прибыль до налога",MAX(0,AF330+(Расчёты!Q330-Расчёты!R330)+(Расчёты!U330-Расчёты!V330)+N('Исходные данные'!$B$54)*((Расчёты!O330+Расчёты!P330)+(Расчёты!S330+Расчёты!T330)+Расчёты!W330+Расчёты!X330)+IF('Исходные данные'!$B$55="Да",Расчёты!AG330,0)-N('Исходные данные'!$B$56)/12),IF('Исходные данные'!$B$53="Пользовательская база",MAX(0,N('Исходные данные'!$B$57)/12),0)))</f>
        <v>0</v>
      </c>
      <c r="AN330">
        <f>IF(D330=1,-AM330*N('Исходные данные'!$B$50),0)</f>
        <v>0</v>
      </c>
      <c r="AO330">
        <f t="shared" si="172"/>
        <v>0</v>
      </c>
      <c r="AP330">
        <f>IF(OR(D330&lt;&gt;1,B330="",'Исходные данные'!$B$91="",N('Исходные данные'!$B$80)&lt;=0,'Исходные данные'!$B$88=""),0,IF(AND(YEAR(B330)=YEAR('Исходные данные'!$B$91),MONTH(B330)=MONTH('Исходные данные'!$B$91)),MAX(0,IF('Исходные данные'!$B$88="Последние 12 месяцев",SUMIFS($AI$2:$AI$194,$B$2:$B$194,"&gt;="&amp;EDATE(B330,-11),$B$2:$B$194,"&lt;="&amp;B330),IF('Исходные данные'!$B$88="Пользовательский NOI",N('Исходные данные'!$B$89),AO330))/N('Исходные данные'!$B$80)*(1+N('Исходные данные'!$B$81))),0))</f>
        <v>0</v>
      </c>
      <c r="AQ330">
        <f>-AP330*N('Исходные данные'!$B$73)</f>
        <v>0</v>
      </c>
      <c r="AR330">
        <f>IF(AP330=0,0,-N('Исходные данные'!$B$87)-IF('Исходные данные'!$B$82="Да",IF('Исходные данные'!$B$84="С выручки",AP330,IF('Исходные данные'!$B$84="С прибыли",MAX(0,AP330+AQ330-IF('Исходные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30">
        <f t="shared" si="185"/>
        <v>0</v>
      </c>
      <c r="AT330">
        <f>IF(D330=1,Расчёты!AZ330+AH330+AK330+AN330+AS330,0)</f>
        <v>0</v>
      </c>
      <c r="AU330" t="str">
        <f t="shared" si="173"/>
        <v/>
      </c>
      <c r="AV330">
        <f>IF(OR(D330=0,'Исходные данные'!$B$9="",'Исходные данные'!$B$90=""),0,AT330/(1+'Исходные данные'!$B$90)^((C330-'Исходные данные'!$B$9)/365))</f>
        <v>0</v>
      </c>
      <c r="AW330">
        <f>IF(D330=1,AH330+Расчёты!O330+Расчёты!Q330+Расчёты!S330+Расчёты!U330+Расчёты!W330+Расчёты!X330+AK330+AN330,0)</f>
        <v>0</v>
      </c>
      <c r="AX330">
        <f>IF(AND(D330=1,AU330&gt;=0,AU329&lt;0,MIN($AU$2:AU330)&lt;0),1,0)</f>
        <v>0</v>
      </c>
      <c r="AY330">
        <f>IF(Расчёты!F330=0,0,IF(Расчёты!G330=1,N('Сценарный анализ'!$D$5),IF(Расчёты!G330=2,N('Сценарный анализ'!$D$6),IF(Расчёты!G330=3,N('Сценарный анализ'!$D$7),N('Сценарный анализ'!$D$7)*(1+N('Сценарный анализ'!$D$8))^(Расчёты!G330-3)))))</f>
        <v>0</v>
      </c>
      <c r="AZ330">
        <f>IF(OR(Расчёты!F330=0,N('Исходные данные'!$B$5)=0,AY330=0),0,N('Исходные данные'!$B$5)*AY330*IF(AND(B330&lt;='Исходные данные'!$B$30,Расчёты!C330&gt;='Исходные данные'!$B$30),(Расчёты!C330-'Исходные данные'!$B$30+1)/DAY(Расчёты!C330),1))</f>
        <v>0</v>
      </c>
      <c r="BA330">
        <f>IF(AND(Расчёты!F330&gt;0,Расчёты!F330&lt;=N('Исходные данные'!$B$37)),-AZ330,0)</f>
        <v>0</v>
      </c>
      <c r="BB330">
        <f>IF(OR(Расчёты!F330=0,Расчёты!F330&lt;=N('Исходные данные'!$B$37)),0,-(AZ330+BA330)*N('Сценарный анализ'!$D$9))</f>
        <v>0</v>
      </c>
      <c r="BC330">
        <f t="shared" si="186"/>
        <v>0</v>
      </c>
      <c r="BD330">
        <f>IF('Исходные данные'!$B$51="Да",BC330*N('Исходные данные'!$B$52),0)</f>
        <v>0</v>
      </c>
      <c r="BE330">
        <f t="shared" si="187"/>
        <v>0</v>
      </c>
      <c r="BF330">
        <f>BC330+(Расчёты!Y330-Расчёты!L330)</f>
        <v>0</v>
      </c>
      <c r="BG330">
        <f t="shared" si="174"/>
        <v>0</v>
      </c>
      <c r="BH330">
        <f>IF('Исходные данные'!$B$51="Да",-MAX(0,BD330+Расчёты!R330+Расчёты!V330-Расчёты!P330-Расчёты!T330-BG330),0)</f>
        <v>0</v>
      </c>
      <c r="BI330">
        <f>IF('Исходные данные'!$B$51="Да",MAX(0,BG330+Расчёты!P330+Расчёты!T330-BD330-Расчёты!R330-Расчёты!V330),0)</f>
        <v>0</v>
      </c>
      <c r="BJ330">
        <f>IF('Исходные данные'!$B$53="Выручка",MAX(0,BC330+(Расчёты!Q330-Расчёты!R330)+(Расчёты!U330-Расчёты!V330)),IF('Исходные данные'!$B$53="Прибыль до налога",MAX(0,BC330+(Расчёты!Q330-Расчёты!R330)+(Расчёты!U330-Расчёты!V330)+N('Исходные данные'!$B$54)*((Расчёты!O330+Расчёты!P330)+(Расчёты!S330+Расчёты!T330)+Расчёты!W330+Расчёты!X330)+IF('Исходные данные'!$B$55="Да",Расчёты!AG330,0)-N('Исходные данные'!$B$56)/12),IF('Исходные данные'!$B$53="Пользовательская база",MAX(0,N('Исходные данные'!$B$57)/12),0)))</f>
        <v>0</v>
      </c>
      <c r="BK330">
        <f>IF(D330=1,-BJ330*N('Исходные данные'!$B$50),0)</f>
        <v>0</v>
      </c>
      <c r="BL330">
        <f t="shared" si="175"/>
        <v>0</v>
      </c>
      <c r="BM330">
        <f>IF(OR(D330&lt;&gt;1,B330="",'Исходные данные'!$B$91="",N('Исходные данные'!$B$80)&lt;=0,'Исходные данные'!$B$88=""),0,IF(AND(YEAR(B330)=YEAR('Исходные данные'!$B$91),MONTH(B330)=MONTH('Исходные данные'!$B$91)),MAX(0,IF('Исходные данные'!$B$88="Последние 12 месяцев",SUMIFS($BF$2:$BF$194,$B$2:$B$194,"&gt;="&amp;EDATE(B330,-11),$B$2:$B$194,"&lt;="&amp;B330),IF('Исходные данные'!$B$88="Пользовательский NOI",N('Исходные данные'!$B$89),BL330))/N('Исходные данные'!$B$80)*(1+N('Исходные данные'!$B$81))),0))</f>
        <v>0</v>
      </c>
      <c r="BN330">
        <f>-BM330*N('Исходные данные'!$B$73)</f>
        <v>0</v>
      </c>
      <c r="BO330">
        <f>IF(BM330=0,0,-N('Исходные данные'!$B$87)-IF('Исходные данные'!$B$82="Да",IF('Исходные данные'!$B$84="С выручки",BM330,IF('Исходные данные'!$B$84="С прибыли",MAX(0,BM330+BN330-IF('Исходные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30">
        <f t="shared" si="188"/>
        <v>0</v>
      </c>
      <c r="BQ330">
        <f>IF(D330=1,Расчёты!AZ330+BE330+BH330+BK330+BP330,0)</f>
        <v>0</v>
      </c>
      <c r="BR330" t="str">
        <f t="shared" si="176"/>
        <v/>
      </c>
      <c r="BS330">
        <f>IF(OR(D330=0,'Исходные данные'!$B$9="",'Исходные данные'!$B$90=""),0,BQ330/(1+'Исходные данные'!$B$90)^((C330-'Исходные данные'!$B$9)/365))</f>
        <v>0</v>
      </c>
      <c r="BT330">
        <f>IF(D330=1,BE330+Расчёты!O330+Расчёты!Q330+Расчёты!S330+Расчёты!U330+Расчёты!W330+Расчёты!X330+BH330+BK330,0)</f>
        <v>0</v>
      </c>
      <c r="BU330">
        <f>IF(AND(D330=1,BR330&gt;=0,BR329&lt;0,MIN($BR$2:BR330)&lt;0),1,0)</f>
        <v>0</v>
      </c>
      <c r="BV330">
        <f>Расчёты!AZ330+K330+N330-P330*N('Исходные данные'!$B$50)</f>
        <v>0</v>
      </c>
      <c r="BW330">
        <f t="shared" si="177"/>
        <v>0</v>
      </c>
      <c r="BX330">
        <f>IF(AND(BW330&gt;=0,BW329&lt;0,MIN($BW$2:BW330)&lt;0),1,0)</f>
        <v>0</v>
      </c>
      <c r="BY330">
        <f>Расчёты!AZ330+AH330+AK330-AM330*N('Исходные данные'!$B$50)</f>
        <v>0</v>
      </c>
      <c r="BZ330">
        <f t="shared" si="178"/>
        <v>0</v>
      </c>
      <c r="CA330">
        <f>IF(AND(BZ330&gt;=0,BZ329&lt;0,MIN($BZ$2:BZ330)&lt;0),1,0)</f>
        <v>0</v>
      </c>
      <c r="CB330">
        <f>Расчёты!AZ330+BE330+BH330-BJ330*N('Исходные данные'!$B$50)</f>
        <v>0</v>
      </c>
      <c r="CC330">
        <f t="shared" si="179"/>
        <v>0</v>
      </c>
      <c r="CD330">
        <f>IF(AND(CC330&gt;=0,CC329&lt;0,MIN($CC$2:CC330)&lt;0),1,0)</f>
        <v>0</v>
      </c>
    </row>
    <row r="331" spans="1:82" x14ac:dyDescent="0.2">
      <c r="A331">
        <f>Расчёты!A331</f>
        <v>330</v>
      </c>
      <c r="B331" t="str">
        <f>Расчёты!B331</f>
        <v/>
      </c>
      <c r="C331" t="str">
        <f>Расчёты!D331</f>
        <v/>
      </c>
      <c r="D331">
        <f>Расчёты!E331</f>
        <v>0</v>
      </c>
      <c r="E331">
        <f>IF(Расчёты!F331=0,0,IF(Расчёты!G331=1,N('Сценарный анализ'!$B$5),IF(Расчёты!G331=2,N('Сценарный анализ'!$B$6),IF(Расчёты!G331=3,N('Сценарный анализ'!$B$7),N('Сценарный анализ'!$B$7)*(1+N('Сценарный анализ'!$B$8))^(Расчёты!G331-3)))))</f>
        <v>0</v>
      </c>
      <c r="F331">
        <f>IF(OR(Расчёты!F331=0,N('Исходные данные'!$B$5)=0,E331=0),0,N('Исходные данные'!$B$5)*E331*IF(AND(B331&lt;='Исходные данные'!$B$30,Расчёты!C331&gt;='Исходные данные'!$B$30),(Расчёты!C331-'Исходные данные'!$B$30+1)/DAY(Расчёты!C331),1))</f>
        <v>0</v>
      </c>
      <c r="G331">
        <f>IF(AND(Расчёты!F331&gt;0,Расчёты!F331&lt;=N('Исходные данные'!$B$37)),-F331,0)</f>
        <v>0</v>
      </c>
      <c r="H331">
        <f>IF(OR(Расчёты!F331=0,Расчёты!F331&lt;=N('Исходные данные'!$B$37)),0,-(F331+G331)*N('Сценарный анализ'!$B$9))</f>
        <v>0</v>
      </c>
      <c r="I331">
        <f t="shared" si="180"/>
        <v>0</v>
      </c>
      <c r="J331">
        <f>IF('Исходные данные'!$B$51="Да",I331*N('Исходные данные'!$B$52),0)</f>
        <v>0</v>
      </c>
      <c r="K331">
        <f t="shared" si="181"/>
        <v>0</v>
      </c>
      <c r="L331">
        <f>I331+(Расчёты!Y331-Расчёты!L331)</f>
        <v>0</v>
      </c>
      <c r="M331">
        <f t="shared" si="168"/>
        <v>0</v>
      </c>
      <c r="N331">
        <f>IF('Исходные данные'!$B$51="Да",-MAX(0,J331+Расчёты!R331+Расчёты!V331-Расчёты!P331-Расчёты!T331-M331),0)</f>
        <v>0</v>
      </c>
      <c r="O331">
        <f>IF('Исходные данные'!$B$51="Да",MAX(0,M331+Расчёты!P331+Расчёты!T331-J331-Расчёты!R331-Расчёты!V331),0)</f>
        <v>0</v>
      </c>
      <c r="P331">
        <f>IF('Исходные данные'!$B$53="Выручка",MAX(0,I331+(Расчёты!Q331-Расчёты!R331)+(Расчёты!U331-Расчёты!V331)),IF('Исходные данные'!$B$53="Прибыль до налога",MAX(0,I331+(Расчёты!Q331-Расчёты!R331)+(Расчёты!U331-Расчёты!V331)+N('Исходные данные'!$B$54)*((Расчёты!O331+Расчёты!P331)+(Расчёты!S331+Расчёты!T331)+Расчёты!W331+Расчёты!X331)+IF('Исходные данные'!$B$55="Да",Расчёты!AG331,0)-N('Исходные данные'!$B$56)/12),IF('Исходные данные'!$B$53="Пользовательская база",MAX(0,N('Исходные данные'!$B$57)/12),0)))</f>
        <v>0</v>
      </c>
      <c r="Q331">
        <f>IF(D331=1,-P331*N('Исходные данные'!$B$50),0)</f>
        <v>0</v>
      </c>
      <c r="R331">
        <f t="shared" si="169"/>
        <v>0</v>
      </c>
      <c r="S331">
        <f>IF(OR(D331&lt;&gt;1,B331="",'Исходные данные'!$B$91="",N('Исходные данные'!$B$80)&lt;=0,'Исходные данные'!$B$88=""),0,IF(AND(YEAR(B331)=YEAR('Исходные данные'!$B$91),MONTH(B331)=MONTH('Исходные данные'!$B$91)),MAX(0,IF('Исходные данные'!$B$88="Последние 12 месяцев",SUMIFS($L$2:$L$194,$B$2:$B$194,"&gt;="&amp;EDATE(B331,-11),$B$2:$B$194,"&lt;="&amp;B331),IF('Исходные данные'!$B$88="Пользовательский NOI",N('Исходные данные'!$B$89),R331))/N('Исходные данные'!$B$80)*(1+N('Исходные данные'!$B$81))),0))</f>
        <v>0</v>
      </c>
      <c r="T331">
        <f>-S331*N('Исходные данные'!$B$73)</f>
        <v>0</v>
      </c>
      <c r="U331">
        <f>IF(S331=0,0,-N('Исходные данные'!$B$87)-IF('Исходные данные'!$B$82="Да",IF('Исходные данные'!$B$84="С выручки",S331,IF('Исходные данные'!$B$84="С прибыли",MAX(0,S331+T331-IF('Исходные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31">
        <f t="shared" si="182"/>
        <v>0</v>
      </c>
      <c r="W331">
        <f>IF(D331=1,Расчёты!AZ331+K331+N331+Q331+V331,0)</f>
        <v>0</v>
      </c>
      <c r="X331" t="str">
        <f t="shared" si="170"/>
        <v/>
      </c>
      <c r="Y331">
        <f>IF(OR(D331=0,'Исходные данные'!$B$9="",'Исходные данные'!$B$90=""),0,W331/(1+'Исходные данные'!$B$90)^((C331-'Исходные данные'!$B$9)/365))</f>
        <v>0</v>
      </c>
      <c r="Z331">
        <f>IF(D331=1,K331+Расчёты!O331+Расчёты!Q331+Расчёты!S331+Расчёты!U331+Расчёты!W331+Расчёты!X331+N331+Q331,0)</f>
        <v>0</v>
      </c>
      <c r="AA331">
        <f>IF(AND(D331=1,X331&gt;=0,X330&lt;0,MIN($X$2:X331)&lt;0),1,0)</f>
        <v>0</v>
      </c>
      <c r="AB331">
        <f>IF(Расчёты!F331=0,0,IF(Расчёты!G331=1,N('Сценарный анализ'!$C$5),IF(Расчёты!G331=2,N('Сценарный анализ'!$C$6),IF(Расчёты!G331=3,N('Сценарный анализ'!$C$7),N('Сценарный анализ'!$C$7)*(1+N('Сценарный анализ'!$C$8))^(Расчёты!G331-3)))))</f>
        <v>0</v>
      </c>
      <c r="AC331">
        <f>IF(OR(Расчёты!F331=0,N('Исходные данные'!$B$5)=0,AB331=0),0,N('Исходные данные'!$B$5)*AB331*IF(AND(B331&lt;='Исходные данные'!$B$30,Расчёты!C331&gt;='Исходные данные'!$B$30),(Расчёты!C331-'Исходные данные'!$B$30+1)/DAY(Расчёты!C331),1))</f>
        <v>0</v>
      </c>
      <c r="AD331">
        <f>IF(AND(Расчёты!F331&gt;0,Расчёты!F331&lt;=N('Исходные данные'!$B$37)),-AC331,0)</f>
        <v>0</v>
      </c>
      <c r="AE331">
        <f>IF(OR(Расчёты!F331=0,Расчёты!F331&lt;=N('Исходные данные'!$B$37)),0,-(AC331+AD331)*N('Сценарный анализ'!$C$9))</f>
        <v>0</v>
      </c>
      <c r="AF331">
        <f t="shared" si="183"/>
        <v>0</v>
      </c>
      <c r="AG331">
        <f>IF('Исходные данные'!$B$51="Да",AF331*N('Исходные данные'!$B$52),0)</f>
        <v>0</v>
      </c>
      <c r="AH331">
        <f t="shared" si="184"/>
        <v>0</v>
      </c>
      <c r="AI331">
        <f>AF331+(Расчёты!Y331-Расчёты!L331)</f>
        <v>0</v>
      </c>
      <c r="AJ331">
        <f t="shared" si="171"/>
        <v>0</v>
      </c>
      <c r="AK331">
        <f>IF('Исходные данные'!$B$51="Да",-MAX(0,AG331+Расчёты!R331+Расчёты!V331-Расчёты!P331-Расчёты!T331-AJ331),0)</f>
        <v>0</v>
      </c>
      <c r="AL331">
        <f>IF('Исходные данные'!$B$51="Да",MAX(0,AJ331+Расчёты!P331+Расчёты!T331-AG331-Расчёты!R331-Расчёты!V331),0)</f>
        <v>0</v>
      </c>
      <c r="AM331">
        <f>IF('Исходные данные'!$B$53="Выручка",MAX(0,AF331+(Расчёты!Q331-Расчёты!R331)+(Расчёты!U331-Расчёты!V331)),IF('Исходные данные'!$B$53="Прибыль до налога",MAX(0,AF331+(Расчёты!Q331-Расчёты!R331)+(Расчёты!U331-Расчёты!V331)+N('Исходные данные'!$B$54)*((Расчёты!O331+Расчёты!P331)+(Расчёты!S331+Расчёты!T331)+Расчёты!W331+Расчёты!X331)+IF('Исходные данные'!$B$55="Да",Расчёты!AG331,0)-N('Исходные данные'!$B$56)/12),IF('Исходные данные'!$B$53="Пользовательская база",MAX(0,N('Исходные данные'!$B$57)/12),0)))</f>
        <v>0</v>
      </c>
      <c r="AN331">
        <f>IF(D331=1,-AM331*N('Исходные данные'!$B$50),0)</f>
        <v>0</v>
      </c>
      <c r="AO331">
        <f t="shared" si="172"/>
        <v>0</v>
      </c>
      <c r="AP331">
        <f>IF(OR(D331&lt;&gt;1,B331="",'Исходные данные'!$B$91="",N('Исходные данные'!$B$80)&lt;=0,'Исходные данные'!$B$88=""),0,IF(AND(YEAR(B331)=YEAR('Исходные данные'!$B$91),MONTH(B331)=MONTH('Исходные данные'!$B$91)),MAX(0,IF('Исходные данные'!$B$88="Последние 12 месяцев",SUMIFS($AI$2:$AI$194,$B$2:$B$194,"&gt;="&amp;EDATE(B331,-11),$B$2:$B$194,"&lt;="&amp;B331),IF('Исходные данные'!$B$88="Пользовательский NOI",N('Исходные данные'!$B$89),AO331))/N('Исходные данные'!$B$80)*(1+N('Исходные данные'!$B$81))),0))</f>
        <v>0</v>
      </c>
      <c r="AQ331">
        <f>-AP331*N('Исходные данные'!$B$73)</f>
        <v>0</v>
      </c>
      <c r="AR331">
        <f>IF(AP331=0,0,-N('Исходные данные'!$B$87)-IF('Исходные данные'!$B$82="Да",IF('Исходные данные'!$B$84="С выручки",AP331,IF('Исходные данные'!$B$84="С прибыли",MAX(0,AP331+AQ331-IF('Исходные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31">
        <f t="shared" si="185"/>
        <v>0</v>
      </c>
      <c r="AT331">
        <f>IF(D331=1,Расчёты!AZ331+AH331+AK331+AN331+AS331,0)</f>
        <v>0</v>
      </c>
      <c r="AU331" t="str">
        <f t="shared" si="173"/>
        <v/>
      </c>
      <c r="AV331">
        <f>IF(OR(D331=0,'Исходные данные'!$B$9="",'Исходные данные'!$B$90=""),0,AT331/(1+'Исходные данные'!$B$90)^((C331-'Исходные данные'!$B$9)/365))</f>
        <v>0</v>
      </c>
      <c r="AW331">
        <f>IF(D331=1,AH331+Расчёты!O331+Расчёты!Q331+Расчёты!S331+Расчёты!U331+Расчёты!W331+Расчёты!X331+AK331+AN331,0)</f>
        <v>0</v>
      </c>
      <c r="AX331">
        <f>IF(AND(D331=1,AU331&gt;=0,AU330&lt;0,MIN($AU$2:AU331)&lt;0),1,0)</f>
        <v>0</v>
      </c>
      <c r="AY331">
        <f>IF(Расчёты!F331=0,0,IF(Расчёты!G331=1,N('Сценарный анализ'!$D$5),IF(Расчёты!G331=2,N('Сценарный анализ'!$D$6),IF(Расчёты!G331=3,N('Сценарный анализ'!$D$7),N('Сценарный анализ'!$D$7)*(1+N('Сценарный анализ'!$D$8))^(Расчёты!G331-3)))))</f>
        <v>0</v>
      </c>
      <c r="AZ331">
        <f>IF(OR(Расчёты!F331=0,N('Исходные данные'!$B$5)=0,AY331=0),0,N('Исходные данные'!$B$5)*AY331*IF(AND(B331&lt;='Исходные данные'!$B$30,Расчёты!C331&gt;='Исходные данные'!$B$30),(Расчёты!C331-'Исходные данные'!$B$30+1)/DAY(Расчёты!C331),1))</f>
        <v>0</v>
      </c>
      <c r="BA331">
        <f>IF(AND(Расчёты!F331&gt;0,Расчёты!F331&lt;=N('Исходные данные'!$B$37)),-AZ331,0)</f>
        <v>0</v>
      </c>
      <c r="BB331">
        <f>IF(OR(Расчёты!F331=0,Расчёты!F331&lt;=N('Исходные данные'!$B$37)),0,-(AZ331+BA331)*N('Сценарный анализ'!$D$9))</f>
        <v>0</v>
      </c>
      <c r="BC331">
        <f t="shared" si="186"/>
        <v>0</v>
      </c>
      <c r="BD331">
        <f>IF('Исходные данные'!$B$51="Да",BC331*N('Исходные данные'!$B$52),0)</f>
        <v>0</v>
      </c>
      <c r="BE331">
        <f t="shared" si="187"/>
        <v>0</v>
      </c>
      <c r="BF331">
        <f>BC331+(Расчёты!Y331-Расчёты!L331)</f>
        <v>0</v>
      </c>
      <c r="BG331">
        <f t="shared" si="174"/>
        <v>0</v>
      </c>
      <c r="BH331">
        <f>IF('Исходные данные'!$B$51="Да",-MAX(0,BD331+Расчёты!R331+Расчёты!V331-Расчёты!P331-Расчёты!T331-BG331),0)</f>
        <v>0</v>
      </c>
      <c r="BI331">
        <f>IF('Исходные данные'!$B$51="Да",MAX(0,BG331+Расчёты!P331+Расчёты!T331-BD331-Расчёты!R331-Расчёты!V331),0)</f>
        <v>0</v>
      </c>
      <c r="BJ331">
        <f>IF('Исходные данные'!$B$53="Выручка",MAX(0,BC331+(Расчёты!Q331-Расчёты!R331)+(Расчёты!U331-Расчёты!V331)),IF('Исходные данные'!$B$53="Прибыль до налога",MAX(0,BC331+(Расчёты!Q331-Расчёты!R331)+(Расчёты!U331-Расчёты!V331)+N('Исходные данные'!$B$54)*((Расчёты!O331+Расчёты!P331)+(Расчёты!S331+Расчёты!T331)+Расчёты!W331+Расчёты!X331)+IF('Исходные данные'!$B$55="Да",Расчёты!AG331,0)-N('Исходные данные'!$B$56)/12),IF('Исходные данные'!$B$53="Пользовательская база",MAX(0,N('Исходные данные'!$B$57)/12),0)))</f>
        <v>0</v>
      </c>
      <c r="BK331">
        <f>IF(D331=1,-BJ331*N('Исходные данные'!$B$50),0)</f>
        <v>0</v>
      </c>
      <c r="BL331">
        <f t="shared" si="175"/>
        <v>0</v>
      </c>
      <c r="BM331">
        <f>IF(OR(D331&lt;&gt;1,B331="",'Исходные данные'!$B$91="",N('Исходные данные'!$B$80)&lt;=0,'Исходные данные'!$B$88=""),0,IF(AND(YEAR(B331)=YEAR('Исходные данные'!$B$91),MONTH(B331)=MONTH('Исходные данные'!$B$91)),MAX(0,IF('Исходные данные'!$B$88="Последние 12 месяцев",SUMIFS($BF$2:$BF$194,$B$2:$B$194,"&gt;="&amp;EDATE(B331,-11),$B$2:$B$194,"&lt;="&amp;B331),IF('Исходные данные'!$B$88="Пользовательский NOI",N('Исходные данные'!$B$89),BL331))/N('Исходные данные'!$B$80)*(1+N('Исходные данные'!$B$81))),0))</f>
        <v>0</v>
      </c>
      <c r="BN331">
        <f>-BM331*N('Исходные данные'!$B$73)</f>
        <v>0</v>
      </c>
      <c r="BO331">
        <f>IF(BM331=0,0,-N('Исходные данные'!$B$87)-IF('Исходные данные'!$B$82="Да",IF('Исходные данные'!$B$84="С выручки",BM331,IF('Исходные данные'!$B$84="С прибыли",MAX(0,BM331+BN331-IF('Исходные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31">
        <f t="shared" si="188"/>
        <v>0</v>
      </c>
      <c r="BQ331">
        <f>IF(D331=1,Расчёты!AZ331+BE331+BH331+BK331+BP331,0)</f>
        <v>0</v>
      </c>
      <c r="BR331" t="str">
        <f t="shared" si="176"/>
        <v/>
      </c>
      <c r="BS331">
        <f>IF(OR(D331=0,'Исходные данные'!$B$9="",'Исходные данные'!$B$90=""),0,BQ331/(1+'Исходные данные'!$B$90)^((C331-'Исходные данные'!$B$9)/365))</f>
        <v>0</v>
      </c>
      <c r="BT331">
        <f>IF(D331=1,BE331+Расчёты!O331+Расчёты!Q331+Расчёты!S331+Расчёты!U331+Расчёты!W331+Расчёты!X331+BH331+BK331,0)</f>
        <v>0</v>
      </c>
      <c r="BU331">
        <f>IF(AND(D331=1,BR331&gt;=0,BR330&lt;0,MIN($BR$2:BR331)&lt;0),1,0)</f>
        <v>0</v>
      </c>
      <c r="BV331">
        <f>Расчёты!AZ331+K331+N331-P331*N('Исходные данные'!$B$50)</f>
        <v>0</v>
      </c>
      <c r="BW331">
        <f t="shared" si="177"/>
        <v>0</v>
      </c>
      <c r="BX331">
        <f>IF(AND(BW331&gt;=0,BW330&lt;0,MIN($BW$2:BW331)&lt;0),1,0)</f>
        <v>0</v>
      </c>
      <c r="BY331">
        <f>Расчёты!AZ331+AH331+AK331-AM331*N('Исходные данные'!$B$50)</f>
        <v>0</v>
      </c>
      <c r="BZ331">
        <f t="shared" si="178"/>
        <v>0</v>
      </c>
      <c r="CA331">
        <f>IF(AND(BZ331&gt;=0,BZ330&lt;0,MIN($BZ$2:BZ331)&lt;0),1,0)</f>
        <v>0</v>
      </c>
      <c r="CB331">
        <f>Расчёты!AZ331+BE331+BH331-BJ331*N('Исходные данные'!$B$50)</f>
        <v>0</v>
      </c>
      <c r="CC331">
        <f t="shared" si="179"/>
        <v>0</v>
      </c>
      <c r="CD331">
        <f>IF(AND(CC331&gt;=0,CC330&lt;0,MIN($CC$2:CC331)&lt;0),1,0)</f>
        <v>0</v>
      </c>
    </row>
    <row r="332" spans="1:82" x14ac:dyDescent="0.2">
      <c r="A332">
        <f>Расчёты!A332</f>
        <v>331</v>
      </c>
      <c r="B332" t="str">
        <f>Расчёты!B332</f>
        <v/>
      </c>
      <c r="C332" t="str">
        <f>Расчёты!D332</f>
        <v/>
      </c>
      <c r="D332">
        <f>Расчёты!E332</f>
        <v>0</v>
      </c>
      <c r="E332">
        <f>IF(Расчёты!F332=0,0,IF(Расчёты!G332=1,N('Сценарный анализ'!$B$5),IF(Расчёты!G332=2,N('Сценарный анализ'!$B$6),IF(Расчёты!G332=3,N('Сценарный анализ'!$B$7),N('Сценарный анализ'!$B$7)*(1+N('Сценарный анализ'!$B$8))^(Расчёты!G332-3)))))</f>
        <v>0</v>
      </c>
      <c r="F332">
        <f>IF(OR(Расчёты!F332=0,N('Исходные данные'!$B$5)=0,E332=0),0,N('Исходные данные'!$B$5)*E332*IF(AND(B332&lt;='Исходные данные'!$B$30,Расчёты!C332&gt;='Исходные данные'!$B$30),(Расчёты!C332-'Исходные данные'!$B$30+1)/DAY(Расчёты!C332),1))</f>
        <v>0</v>
      </c>
      <c r="G332">
        <f>IF(AND(Расчёты!F332&gt;0,Расчёты!F332&lt;=N('Исходные данные'!$B$37)),-F332,0)</f>
        <v>0</v>
      </c>
      <c r="H332">
        <f>IF(OR(Расчёты!F332=0,Расчёты!F332&lt;=N('Исходные данные'!$B$37)),0,-(F332+G332)*N('Сценарный анализ'!$B$9))</f>
        <v>0</v>
      </c>
      <c r="I332">
        <f t="shared" si="180"/>
        <v>0</v>
      </c>
      <c r="J332">
        <f>IF('Исходные данные'!$B$51="Да",I332*N('Исходные данные'!$B$52),0)</f>
        <v>0</v>
      </c>
      <c r="K332">
        <f t="shared" si="181"/>
        <v>0</v>
      </c>
      <c r="L332">
        <f>I332+(Расчёты!Y332-Расчёты!L332)</f>
        <v>0</v>
      </c>
      <c r="M332">
        <f t="shared" si="168"/>
        <v>0</v>
      </c>
      <c r="N332">
        <f>IF('Исходные данные'!$B$51="Да",-MAX(0,J332+Расчёты!R332+Расчёты!V332-Расчёты!P332-Расчёты!T332-M332),0)</f>
        <v>0</v>
      </c>
      <c r="O332">
        <f>IF('Исходные данные'!$B$51="Да",MAX(0,M332+Расчёты!P332+Расчёты!T332-J332-Расчёты!R332-Расчёты!V332),0)</f>
        <v>0</v>
      </c>
      <c r="P332">
        <f>IF('Исходные данные'!$B$53="Выручка",MAX(0,I332+(Расчёты!Q332-Расчёты!R332)+(Расчёты!U332-Расчёты!V332)),IF('Исходные данные'!$B$53="Прибыль до налога",MAX(0,I332+(Расчёты!Q332-Расчёты!R332)+(Расчёты!U332-Расчёты!V332)+N('Исходные данные'!$B$54)*((Расчёты!O332+Расчёты!P332)+(Расчёты!S332+Расчёты!T332)+Расчёты!W332+Расчёты!X332)+IF('Исходные данные'!$B$55="Да",Расчёты!AG332,0)-N('Исходные данные'!$B$56)/12),IF('Исходные данные'!$B$53="Пользовательская база",MAX(0,N('Исходные данные'!$B$57)/12),0)))</f>
        <v>0</v>
      </c>
      <c r="Q332">
        <f>IF(D332=1,-P332*N('Исходные данные'!$B$50),0)</f>
        <v>0</v>
      </c>
      <c r="R332">
        <f t="shared" si="169"/>
        <v>0</v>
      </c>
      <c r="S332">
        <f>IF(OR(D332&lt;&gt;1,B332="",'Исходные данные'!$B$91="",N('Исходные данные'!$B$80)&lt;=0,'Исходные данные'!$B$88=""),0,IF(AND(YEAR(B332)=YEAR('Исходные данные'!$B$91),MONTH(B332)=MONTH('Исходные данные'!$B$91)),MAX(0,IF('Исходные данные'!$B$88="Последние 12 месяцев",SUMIFS($L$2:$L$194,$B$2:$B$194,"&gt;="&amp;EDATE(B332,-11),$B$2:$B$194,"&lt;="&amp;B332),IF('Исходные данные'!$B$88="Пользовательский NOI",N('Исходные данные'!$B$89),R332))/N('Исходные данные'!$B$80)*(1+N('Исходные данные'!$B$81))),0))</f>
        <v>0</v>
      </c>
      <c r="T332">
        <f>-S332*N('Исходные данные'!$B$73)</f>
        <v>0</v>
      </c>
      <c r="U332">
        <f>IF(S332=0,0,-N('Исходные данные'!$B$87)-IF('Исходные данные'!$B$82="Да",IF('Исходные данные'!$B$84="С выручки",S332,IF('Исходные данные'!$B$84="С прибыли",MAX(0,S332+T332-IF('Исходные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32">
        <f t="shared" si="182"/>
        <v>0</v>
      </c>
      <c r="W332">
        <f>IF(D332=1,Расчёты!AZ332+K332+N332+Q332+V332,0)</f>
        <v>0</v>
      </c>
      <c r="X332" t="str">
        <f t="shared" si="170"/>
        <v/>
      </c>
      <c r="Y332">
        <f>IF(OR(D332=0,'Исходные данные'!$B$9="",'Исходные данные'!$B$90=""),0,W332/(1+'Исходные данные'!$B$90)^((C332-'Исходные данные'!$B$9)/365))</f>
        <v>0</v>
      </c>
      <c r="Z332">
        <f>IF(D332=1,K332+Расчёты!O332+Расчёты!Q332+Расчёты!S332+Расчёты!U332+Расчёты!W332+Расчёты!X332+N332+Q332,0)</f>
        <v>0</v>
      </c>
      <c r="AA332">
        <f>IF(AND(D332=1,X332&gt;=0,X331&lt;0,MIN($X$2:X332)&lt;0),1,0)</f>
        <v>0</v>
      </c>
      <c r="AB332">
        <f>IF(Расчёты!F332=0,0,IF(Расчёты!G332=1,N('Сценарный анализ'!$C$5),IF(Расчёты!G332=2,N('Сценарный анализ'!$C$6),IF(Расчёты!G332=3,N('Сценарный анализ'!$C$7),N('Сценарный анализ'!$C$7)*(1+N('Сценарный анализ'!$C$8))^(Расчёты!G332-3)))))</f>
        <v>0</v>
      </c>
      <c r="AC332">
        <f>IF(OR(Расчёты!F332=0,N('Исходные данные'!$B$5)=0,AB332=0),0,N('Исходные данные'!$B$5)*AB332*IF(AND(B332&lt;='Исходные данные'!$B$30,Расчёты!C332&gt;='Исходные данные'!$B$30),(Расчёты!C332-'Исходные данные'!$B$30+1)/DAY(Расчёты!C332),1))</f>
        <v>0</v>
      </c>
      <c r="AD332">
        <f>IF(AND(Расчёты!F332&gt;0,Расчёты!F332&lt;=N('Исходные данные'!$B$37)),-AC332,0)</f>
        <v>0</v>
      </c>
      <c r="AE332">
        <f>IF(OR(Расчёты!F332=0,Расчёты!F332&lt;=N('Исходные данные'!$B$37)),0,-(AC332+AD332)*N('Сценарный анализ'!$C$9))</f>
        <v>0</v>
      </c>
      <c r="AF332">
        <f t="shared" si="183"/>
        <v>0</v>
      </c>
      <c r="AG332">
        <f>IF('Исходные данные'!$B$51="Да",AF332*N('Исходные данные'!$B$52),0)</f>
        <v>0</v>
      </c>
      <c r="AH332">
        <f t="shared" si="184"/>
        <v>0</v>
      </c>
      <c r="AI332">
        <f>AF332+(Расчёты!Y332-Расчёты!L332)</f>
        <v>0</v>
      </c>
      <c r="AJ332">
        <f t="shared" si="171"/>
        <v>0</v>
      </c>
      <c r="AK332">
        <f>IF('Исходные данные'!$B$51="Да",-MAX(0,AG332+Расчёты!R332+Расчёты!V332-Расчёты!P332-Расчёты!T332-AJ332),0)</f>
        <v>0</v>
      </c>
      <c r="AL332">
        <f>IF('Исходные данные'!$B$51="Да",MAX(0,AJ332+Расчёты!P332+Расчёты!T332-AG332-Расчёты!R332-Расчёты!V332),0)</f>
        <v>0</v>
      </c>
      <c r="AM332">
        <f>IF('Исходные данные'!$B$53="Выручка",MAX(0,AF332+(Расчёты!Q332-Расчёты!R332)+(Расчёты!U332-Расчёты!V332)),IF('Исходные данные'!$B$53="Прибыль до налога",MAX(0,AF332+(Расчёты!Q332-Расчёты!R332)+(Расчёты!U332-Расчёты!V332)+N('Исходные данные'!$B$54)*((Расчёты!O332+Расчёты!P332)+(Расчёты!S332+Расчёты!T332)+Расчёты!W332+Расчёты!X332)+IF('Исходные данные'!$B$55="Да",Расчёты!AG332,0)-N('Исходные данные'!$B$56)/12),IF('Исходные данные'!$B$53="Пользовательская база",MAX(0,N('Исходные данные'!$B$57)/12),0)))</f>
        <v>0</v>
      </c>
      <c r="AN332">
        <f>IF(D332=1,-AM332*N('Исходные данные'!$B$50),0)</f>
        <v>0</v>
      </c>
      <c r="AO332">
        <f t="shared" si="172"/>
        <v>0</v>
      </c>
      <c r="AP332">
        <f>IF(OR(D332&lt;&gt;1,B332="",'Исходные данные'!$B$91="",N('Исходные данные'!$B$80)&lt;=0,'Исходные данные'!$B$88=""),0,IF(AND(YEAR(B332)=YEAR('Исходные данные'!$B$91),MONTH(B332)=MONTH('Исходные данные'!$B$91)),MAX(0,IF('Исходные данные'!$B$88="Последние 12 месяцев",SUMIFS($AI$2:$AI$194,$B$2:$B$194,"&gt;="&amp;EDATE(B332,-11),$B$2:$B$194,"&lt;="&amp;B332),IF('Исходные данные'!$B$88="Пользовательский NOI",N('Исходные данные'!$B$89),AO332))/N('Исходные данные'!$B$80)*(1+N('Исходные данные'!$B$81))),0))</f>
        <v>0</v>
      </c>
      <c r="AQ332">
        <f>-AP332*N('Исходные данные'!$B$73)</f>
        <v>0</v>
      </c>
      <c r="AR332">
        <f>IF(AP332=0,0,-N('Исходные данные'!$B$87)-IF('Исходные данные'!$B$82="Да",IF('Исходные данные'!$B$84="С выручки",AP332,IF('Исходные данные'!$B$84="С прибыли",MAX(0,AP332+AQ332-IF('Исходные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32">
        <f t="shared" si="185"/>
        <v>0</v>
      </c>
      <c r="AT332">
        <f>IF(D332=1,Расчёты!AZ332+AH332+AK332+AN332+AS332,0)</f>
        <v>0</v>
      </c>
      <c r="AU332" t="str">
        <f t="shared" si="173"/>
        <v/>
      </c>
      <c r="AV332">
        <f>IF(OR(D332=0,'Исходные данные'!$B$9="",'Исходные данные'!$B$90=""),0,AT332/(1+'Исходные данные'!$B$90)^((C332-'Исходные данные'!$B$9)/365))</f>
        <v>0</v>
      </c>
      <c r="AW332">
        <f>IF(D332=1,AH332+Расчёты!O332+Расчёты!Q332+Расчёты!S332+Расчёты!U332+Расчёты!W332+Расчёты!X332+AK332+AN332,0)</f>
        <v>0</v>
      </c>
      <c r="AX332">
        <f>IF(AND(D332=1,AU332&gt;=0,AU331&lt;0,MIN($AU$2:AU332)&lt;0),1,0)</f>
        <v>0</v>
      </c>
      <c r="AY332">
        <f>IF(Расчёты!F332=0,0,IF(Расчёты!G332=1,N('Сценарный анализ'!$D$5),IF(Расчёты!G332=2,N('Сценарный анализ'!$D$6),IF(Расчёты!G332=3,N('Сценарный анализ'!$D$7),N('Сценарный анализ'!$D$7)*(1+N('Сценарный анализ'!$D$8))^(Расчёты!G332-3)))))</f>
        <v>0</v>
      </c>
      <c r="AZ332">
        <f>IF(OR(Расчёты!F332=0,N('Исходные данные'!$B$5)=0,AY332=0),0,N('Исходные данные'!$B$5)*AY332*IF(AND(B332&lt;='Исходные данные'!$B$30,Расчёты!C332&gt;='Исходные данные'!$B$30),(Расчёты!C332-'Исходные данные'!$B$30+1)/DAY(Расчёты!C332),1))</f>
        <v>0</v>
      </c>
      <c r="BA332">
        <f>IF(AND(Расчёты!F332&gt;0,Расчёты!F332&lt;=N('Исходные данные'!$B$37)),-AZ332,0)</f>
        <v>0</v>
      </c>
      <c r="BB332">
        <f>IF(OR(Расчёты!F332=0,Расчёты!F332&lt;=N('Исходные данные'!$B$37)),0,-(AZ332+BA332)*N('Сценарный анализ'!$D$9))</f>
        <v>0</v>
      </c>
      <c r="BC332">
        <f t="shared" si="186"/>
        <v>0</v>
      </c>
      <c r="BD332">
        <f>IF('Исходные данные'!$B$51="Да",BC332*N('Исходные данные'!$B$52),0)</f>
        <v>0</v>
      </c>
      <c r="BE332">
        <f t="shared" si="187"/>
        <v>0</v>
      </c>
      <c r="BF332">
        <f>BC332+(Расчёты!Y332-Расчёты!L332)</f>
        <v>0</v>
      </c>
      <c r="BG332">
        <f t="shared" si="174"/>
        <v>0</v>
      </c>
      <c r="BH332">
        <f>IF('Исходные данные'!$B$51="Да",-MAX(0,BD332+Расчёты!R332+Расчёты!V332-Расчёты!P332-Расчёты!T332-BG332),0)</f>
        <v>0</v>
      </c>
      <c r="BI332">
        <f>IF('Исходные данные'!$B$51="Да",MAX(0,BG332+Расчёты!P332+Расчёты!T332-BD332-Расчёты!R332-Расчёты!V332),0)</f>
        <v>0</v>
      </c>
      <c r="BJ332">
        <f>IF('Исходные данные'!$B$53="Выручка",MAX(0,BC332+(Расчёты!Q332-Расчёты!R332)+(Расчёты!U332-Расчёты!V332)),IF('Исходные данные'!$B$53="Прибыль до налога",MAX(0,BC332+(Расчёты!Q332-Расчёты!R332)+(Расчёты!U332-Расчёты!V332)+N('Исходные данные'!$B$54)*((Расчёты!O332+Расчёты!P332)+(Расчёты!S332+Расчёты!T332)+Расчёты!W332+Расчёты!X332)+IF('Исходные данные'!$B$55="Да",Расчёты!AG332,0)-N('Исходные данные'!$B$56)/12),IF('Исходные данные'!$B$53="Пользовательская база",MAX(0,N('Исходные данные'!$B$57)/12),0)))</f>
        <v>0</v>
      </c>
      <c r="BK332">
        <f>IF(D332=1,-BJ332*N('Исходные данные'!$B$50),0)</f>
        <v>0</v>
      </c>
      <c r="BL332">
        <f t="shared" si="175"/>
        <v>0</v>
      </c>
      <c r="BM332">
        <f>IF(OR(D332&lt;&gt;1,B332="",'Исходные данные'!$B$91="",N('Исходные данные'!$B$80)&lt;=0,'Исходные данные'!$B$88=""),0,IF(AND(YEAR(B332)=YEAR('Исходные данные'!$B$91),MONTH(B332)=MONTH('Исходные данные'!$B$91)),MAX(0,IF('Исходные данные'!$B$88="Последние 12 месяцев",SUMIFS($BF$2:$BF$194,$B$2:$B$194,"&gt;="&amp;EDATE(B332,-11),$B$2:$B$194,"&lt;="&amp;B332),IF('Исходные данные'!$B$88="Пользовательский NOI",N('Исходные данные'!$B$89),BL332))/N('Исходные данные'!$B$80)*(1+N('Исходные данные'!$B$81))),0))</f>
        <v>0</v>
      </c>
      <c r="BN332">
        <f>-BM332*N('Исходные данные'!$B$73)</f>
        <v>0</v>
      </c>
      <c r="BO332">
        <f>IF(BM332=0,0,-N('Исходные данные'!$B$87)-IF('Исходные данные'!$B$82="Да",IF('Исходные данные'!$B$84="С выручки",BM332,IF('Исходные данные'!$B$84="С прибыли",MAX(0,BM332+BN332-IF('Исходные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32">
        <f t="shared" si="188"/>
        <v>0</v>
      </c>
      <c r="BQ332">
        <f>IF(D332=1,Расчёты!AZ332+BE332+BH332+BK332+BP332,0)</f>
        <v>0</v>
      </c>
      <c r="BR332" t="str">
        <f t="shared" si="176"/>
        <v/>
      </c>
      <c r="BS332">
        <f>IF(OR(D332=0,'Исходные данные'!$B$9="",'Исходные данные'!$B$90=""),0,BQ332/(1+'Исходные данные'!$B$90)^((C332-'Исходные данные'!$B$9)/365))</f>
        <v>0</v>
      </c>
      <c r="BT332">
        <f>IF(D332=1,BE332+Расчёты!O332+Расчёты!Q332+Расчёты!S332+Расчёты!U332+Расчёты!W332+Расчёты!X332+BH332+BK332,0)</f>
        <v>0</v>
      </c>
      <c r="BU332">
        <f>IF(AND(D332=1,BR332&gt;=0,BR331&lt;0,MIN($BR$2:BR332)&lt;0),1,0)</f>
        <v>0</v>
      </c>
      <c r="BV332">
        <f>Расчёты!AZ332+K332+N332-P332*N('Исходные данные'!$B$50)</f>
        <v>0</v>
      </c>
      <c r="BW332">
        <f t="shared" si="177"/>
        <v>0</v>
      </c>
      <c r="BX332">
        <f>IF(AND(BW332&gt;=0,BW331&lt;0,MIN($BW$2:BW332)&lt;0),1,0)</f>
        <v>0</v>
      </c>
      <c r="BY332">
        <f>Расчёты!AZ332+AH332+AK332-AM332*N('Исходные данные'!$B$50)</f>
        <v>0</v>
      </c>
      <c r="BZ332">
        <f t="shared" si="178"/>
        <v>0</v>
      </c>
      <c r="CA332">
        <f>IF(AND(BZ332&gt;=0,BZ331&lt;0,MIN($BZ$2:BZ332)&lt;0),1,0)</f>
        <v>0</v>
      </c>
      <c r="CB332">
        <f>Расчёты!AZ332+BE332+BH332-BJ332*N('Исходные данные'!$B$50)</f>
        <v>0</v>
      </c>
      <c r="CC332">
        <f t="shared" si="179"/>
        <v>0</v>
      </c>
      <c r="CD332">
        <f>IF(AND(CC332&gt;=0,CC331&lt;0,MIN($CC$2:CC332)&lt;0),1,0)</f>
        <v>0</v>
      </c>
    </row>
    <row r="333" spans="1:82" x14ac:dyDescent="0.2">
      <c r="A333">
        <f>Расчёты!A333</f>
        <v>332</v>
      </c>
      <c r="B333" t="str">
        <f>Расчёты!B333</f>
        <v/>
      </c>
      <c r="C333" t="str">
        <f>Расчёты!D333</f>
        <v/>
      </c>
      <c r="D333">
        <f>Расчёты!E333</f>
        <v>0</v>
      </c>
      <c r="E333">
        <f>IF(Расчёты!F333=0,0,IF(Расчёты!G333=1,N('Сценарный анализ'!$B$5),IF(Расчёты!G333=2,N('Сценарный анализ'!$B$6),IF(Расчёты!G333=3,N('Сценарный анализ'!$B$7),N('Сценарный анализ'!$B$7)*(1+N('Сценарный анализ'!$B$8))^(Расчёты!G333-3)))))</f>
        <v>0</v>
      </c>
      <c r="F333">
        <f>IF(OR(Расчёты!F333=0,N('Исходные данные'!$B$5)=0,E333=0),0,N('Исходные данные'!$B$5)*E333*IF(AND(B333&lt;='Исходные данные'!$B$30,Расчёты!C333&gt;='Исходные данные'!$B$30),(Расчёты!C333-'Исходные данные'!$B$30+1)/DAY(Расчёты!C333),1))</f>
        <v>0</v>
      </c>
      <c r="G333">
        <f>IF(AND(Расчёты!F333&gt;0,Расчёты!F333&lt;=N('Исходные данные'!$B$37)),-F333,0)</f>
        <v>0</v>
      </c>
      <c r="H333">
        <f>IF(OR(Расчёты!F333=0,Расчёты!F333&lt;=N('Исходные данные'!$B$37)),0,-(F333+G333)*N('Сценарный анализ'!$B$9))</f>
        <v>0</v>
      </c>
      <c r="I333">
        <f t="shared" si="180"/>
        <v>0</v>
      </c>
      <c r="J333">
        <f>IF('Исходные данные'!$B$51="Да",I333*N('Исходные данные'!$B$52),0)</f>
        <v>0</v>
      </c>
      <c r="K333">
        <f t="shared" si="181"/>
        <v>0</v>
      </c>
      <c r="L333">
        <f>I333+(Расчёты!Y333-Расчёты!L333)</f>
        <v>0</v>
      </c>
      <c r="M333">
        <f t="shared" si="168"/>
        <v>0</v>
      </c>
      <c r="N333">
        <f>IF('Исходные данные'!$B$51="Да",-MAX(0,J333+Расчёты!R333+Расчёты!V333-Расчёты!P333-Расчёты!T333-M333),0)</f>
        <v>0</v>
      </c>
      <c r="O333">
        <f>IF('Исходные данные'!$B$51="Да",MAX(0,M333+Расчёты!P333+Расчёты!T333-J333-Расчёты!R333-Расчёты!V333),0)</f>
        <v>0</v>
      </c>
      <c r="P333">
        <f>IF('Исходные данные'!$B$53="Выручка",MAX(0,I333+(Расчёты!Q333-Расчёты!R333)+(Расчёты!U333-Расчёты!V333)),IF('Исходные данные'!$B$53="Прибыль до налога",MAX(0,I333+(Расчёты!Q333-Расчёты!R333)+(Расчёты!U333-Расчёты!V333)+N('Исходные данные'!$B$54)*((Расчёты!O333+Расчёты!P333)+(Расчёты!S333+Расчёты!T333)+Расчёты!W333+Расчёты!X333)+IF('Исходные данные'!$B$55="Да",Расчёты!AG333,0)-N('Исходные данные'!$B$56)/12),IF('Исходные данные'!$B$53="Пользовательская база",MAX(0,N('Исходные данные'!$B$57)/12),0)))</f>
        <v>0</v>
      </c>
      <c r="Q333">
        <f>IF(D333=1,-P333*N('Исходные данные'!$B$50),0)</f>
        <v>0</v>
      </c>
      <c r="R333">
        <f t="shared" si="169"/>
        <v>0</v>
      </c>
      <c r="S333">
        <f>IF(OR(D333&lt;&gt;1,B333="",'Исходные данные'!$B$91="",N('Исходные данные'!$B$80)&lt;=0,'Исходные данные'!$B$88=""),0,IF(AND(YEAR(B333)=YEAR('Исходные данные'!$B$91),MONTH(B333)=MONTH('Исходные данные'!$B$91)),MAX(0,IF('Исходные данные'!$B$88="Последние 12 месяцев",SUMIFS($L$2:$L$194,$B$2:$B$194,"&gt;="&amp;EDATE(B333,-11),$B$2:$B$194,"&lt;="&amp;B333),IF('Исходные данные'!$B$88="Пользовательский NOI",N('Исходные данные'!$B$89),R333))/N('Исходные данные'!$B$80)*(1+N('Исходные данные'!$B$81))),0))</f>
        <v>0</v>
      </c>
      <c r="T333">
        <f>-S333*N('Исходные данные'!$B$73)</f>
        <v>0</v>
      </c>
      <c r="U333">
        <f>IF(S333=0,0,-N('Исходные данные'!$B$87)-IF('Исходные данные'!$B$82="Да",IF('Исходные данные'!$B$84="С выручки",S333,IF('Исходные данные'!$B$84="С прибыли",MAX(0,S333+T333-IF('Исходные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33">
        <f t="shared" si="182"/>
        <v>0</v>
      </c>
      <c r="W333">
        <f>IF(D333=1,Расчёты!AZ333+K333+N333+Q333+V333,0)</f>
        <v>0</v>
      </c>
      <c r="X333" t="str">
        <f t="shared" si="170"/>
        <v/>
      </c>
      <c r="Y333">
        <f>IF(OR(D333=0,'Исходные данные'!$B$9="",'Исходные данные'!$B$90=""),0,W333/(1+'Исходные данные'!$B$90)^((C333-'Исходные данные'!$B$9)/365))</f>
        <v>0</v>
      </c>
      <c r="Z333">
        <f>IF(D333=1,K333+Расчёты!O333+Расчёты!Q333+Расчёты!S333+Расчёты!U333+Расчёты!W333+Расчёты!X333+N333+Q333,0)</f>
        <v>0</v>
      </c>
      <c r="AA333">
        <f>IF(AND(D333=1,X333&gt;=0,X332&lt;0,MIN($X$2:X333)&lt;0),1,0)</f>
        <v>0</v>
      </c>
      <c r="AB333">
        <f>IF(Расчёты!F333=0,0,IF(Расчёты!G333=1,N('Сценарный анализ'!$C$5),IF(Расчёты!G333=2,N('Сценарный анализ'!$C$6),IF(Расчёты!G333=3,N('Сценарный анализ'!$C$7),N('Сценарный анализ'!$C$7)*(1+N('Сценарный анализ'!$C$8))^(Расчёты!G333-3)))))</f>
        <v>0</v>
      </c>
      <c r="AC333">
        <f>IF(OR(Расчёты!F333=0,N('Исходные данные'!$B$5)=0,AB333=0),0,N('Исходные данные'!$B$5)*AB333*IF(AND(B333&lt;='Исходные данные'!$B$30,Расчёты!C333&gt;='Исходные данные'!$B$30),(Расчёты!C333-'Исходные данные'!$B$30+1)/DAY(Расчёты!C333),1))</f>
        <v>0</v>
      </c>
      <c r="AD333">
        <f>IF(AND(Расчёты!F333&gt;0,Расчёты!F333&lt;=N('Исходные данные'!$B$37)),-AC333,0)</f>
        <v>0</v>
      </c>
      <c r="AE333">
        <f>IF(OR(Расчёты!F333=0,Расчёты!F333&lt;=N('Исходные данные'!$B$37)),0,-(AC333+AD333)*N('Сценарный анализ'!$C$9))</f>
        <v>0</v>
      </c>
      <c r="AF333">
        <f t="shared" si="183"/>
        <v>0</v>
      </c>
      <c r="AG333">
        <f>IF('Исходные данные'!$B$51="Да",AF333*N('Исходные данные'!$B$52),0)</f>
        <v>0</v>
      </c>
      <c r="AH333">
        <f t="shared" si="184"/>
        <v>0</v>
      </c>
      <c r="AI333">
        <f>AF333+(Расчёты!Y333-Расчёты!L333)</f>
        <v>0</v>
      </c>
      <c r="AJ333">
        <f t="shared" si="171"/>
        <v>0</v>
      </c>
      <c r="AK333">
        <f>IF('Исходные данные'!$B$51="Да",-MAX(0,AG333+Расчёты!R333+Расчёты!V333-Расчёты!P333-Расчёты!T333-AJ333),0)</f>
        <v>0</v>
      </c>
      <c r="AL333">
        <f>IF('Исходные данные'!$B$51="Да",MAX(0,AJ333+Расчёты!P333+Расчёты!T333-AG333-Расчёты!R333-Расчёты!V333),0)</f>
        <v>0</v>
      </c>
      <c r="AM333">
        <f>IF('Исходные данные'!$B$53="Выручка",MAX(0,AF333+(Расчёты!Q333-Расчёты!R333)+(Расчёты!U333-Расчёты!V333)),IF('Исходные данные'!$B$53="Прибыль до налога",MAX(0,AF333+(Расчёты!Q333-Расчёты!R333)+(Расчёты!U333-Расчёты!V333)+N('Исходные данные'!$B$54)*((Расчёты!O333+Расчёты!P333)+(Расчёты!S333+Расчёты!T333)+Расчёты!W333+Расчёты!X333)+IF('Исходные данные'!$B$55="Да",Расчёты!AG333,0)-N('Исходные данные'!$B$56)/12),IF('Исходные данные'!$B$53="Пользовательская база",MAX(0,N('Исходные данные'!$B$57)/12),0)))</f>
        <v>0</v>
      </c>
      <c r="AN333">
        <f>IF(D333=1,-AM333*N('Исходные данные'!$B$50),0)</f>
        <v>0</v>
      </c>
      <c r="AO333">
        <f t="shared" si="172"/>
        <v>0</v>
      </c>
      <c r="AP333">
        <f>IF(OR(D333&lt;&gt;1,B333="",'Исходные данные'!$B$91="",N('Исходные данные'!$B$80)&lt;=0,'Исходные данные'!$B$88=""),0,IF(AND(YEAR(B333)=YEAR('Исходные данные'!$B$91),MONTH(B333)=MONTH('Исходные данные'!$B$91)),MAX(0,IF('Исходные данные'!$B$88="Последние 12 месяцев",SUMIFS($AI$2:$AI$194,$B$2:$B$194,"&gt;="&amp;EDATE(B333,-11),$B$2:$B$194,"&lt;="&amp;B333),IF('Исходные данные'!$B$88="Пользовательский NOI",N('Исходные данные'!$B$89),AO333))/N('Исходные данные'!$B$80)*(1+N('Исходные данные'!$B$81))),0))</f>
        <v>0</v>
      </c>
      <c r="AQ333">
        <f>-AP333*N('Исходные данные'!$B$73)</f>
        <v>0</v>
      </c>
      <c r="AR333">
        <f>IF(AP333=0,0,-N('Исходные данные'!$B$87)-IF('Исходные данные'!$B$82="Да",IF('Исходные данные'!$B$84="С выручки",AP333,IF('Исходные данные'!$B$84="С прибыли",MAX(0,AP333+AQ333-IF('Исходные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33">
        <f t="shared" si="185"/>
        <v>0</v>
      </c>
      <c r="AT333">
        <f>IF(D333=1,Расчёты!AZ333+AH333+AK333+AN333+AS333,0)</f>
        <v>0</v>
      </c>
      <c r="AU333" t="str">
        <f t="shared" si="173"/>
        <v/>
      </c>
      <c r="AV333">
        <f>IF(OR(D333=0,'Исходные данные'!$B$9="",'Исходные данные'!$B$90=""),0,AT333/(1+'Исходные данные'!$B$90)^((C333-'Исходные данные'!$B$9)/365))</f>
        <v>0</v>
      </c>
      <c r="AW333">
        <f>IF(D333=1,AH333+Расчёты!O333+Расчёты!Q333+Расчёты!S333+Расчёты!U333+Расчёты!W333+Расчёты!X333+AK333+AN333,0)</f>
        <v>0</v>
      </c>
      <c r="AX333">
        <f>IF(AND(D333=1,AU333&gt;=0,AU332&lt;0,MIN($AU$2:AU333)&lt;0),1,0)</f>
        <v>0</v>
      </c>
      <c r="AY333">
        <f>IF(Расчёты!F333=0,0,IF(Расчёты!G333=1,N('Сценарный анализ'!$D$5),IF(Расчёты!G333=2,N('Сценарный анализ'!$D$6),IF(Расчёты!G333=3,N('Сценарный анализ'!$D$7),N('Сценарный анализ'!$D$7)*(1+N('Сценарный анализ'!$D$8))^(Расчёты!G333-3)))))</f>
        <v>0</v>
      </c>
      <c r="AZ333">
        <f>IF(OR(Расчёты!F333=0,N('Исходные данные'!$B$5)=0,AY333=0),0,N('Исходные данные'!$B$5)*AY333*IF(AND(B333&lt;='Исходные данные'!$B$30,Расчёты!C333&gt;='Исходные данные'!$B$30),(Расчёты!C333-'Исходные данные'!$B$30+1)/DAY(Расчёты!C333),1))</f>
        <v>0</v>
      </c>
      <c r="BA333">
        <f>IF(AND(Расчёты!F333&gt;0,Расчёты!F333&lt;=N('Исходные данные'!$B$37)),-AZ333,0)</f>
        <v>0</v>
      </c>
      <c r="BB333">
        <f>IF(OR(Расчёты!F333=0,Расчёты!F333&lt;=N('Исходные данные'!$B$37)),0,-(AZ333+BA333)*N('Сценарный анализ'!$D$9))</f>
        <v>0</v>
      </c>
      <c r="BC333">
        <f t="shared" si="186"/>
        <v>0</v>
      </c>
      <c r="BD333">
        <f>IF('Исходные данные'!$B$51="Да",BC333*N('Исходные данные'!$B$52),0)</f>
        <v>0</v>
      </c>
      <c r="BE333">
        <f t="shared" si="187"/>
        <v>0</v>
      </c>
      <c r="BF333">
        <f>BC333+(Расчёты!Y333-Расчёты!L333)</f>
        <v>0</v>
      </c>
      <c r="BG333">
        <f t="shared" si="174"/>
        <v>0</v>
      </c>
      <c r="BH333">
        <f>IF('Исходные данные'!$B$51="Да",-MAX(0,BD333+Расчёты!R333+Расчёты!V333-Расчёты!P333-Расчёты!T333-BG333),0)</f>
        <v>0</v>
      </c>
      <c r="BI333">
        <f>IF('Исходные данные'!$B$51="Да",MAX(0,BG333+Расчёты!P333+Расчёты!T333-BD333-Расчёты!R333-Расчёты!V333),0)</f>
        <v>0</v>
      </c>
      <c r="BJ333">
        <f>IF('Исходные данные'!$B$53="Выручка",MAX(0,BC333+(Расчёты!Q333-Расчёты!R333)+(Расчёты!U333-Расчёты!V333)),IF('Исходные данные'!$B$53="Прибыль до налога",MAX(0,BC333+(Расчёты!Q333-Расчёты!R333)+(Расчёты!U333-Расчёты!V333)+N('Исходные данные'!$B$54)*((Расчёты!O333+Расчёты!P333)+(Расчёты!S333+Расчёты!T333)+Расчёты!W333+Расчёты!X333)+IF('Исходные данные'!$B$55="Да",Расчёты!AG333,0)-N('Исходные данные'!$B$56)/12),IF('Исходные данные'!$B$53="Пользовательская база",MAX(0,N('Исходные данные'!$B$57)/12),0)))</f>
        <v>0</v>
      </c>
      <c r="BK333">
        <f>IF(D333=1,-BJ333*N('Исходные данные'!$B$50),0)</f>
        <v>0</v>
      </c>
      <c r="BL333">
        <f t="shared" si="175"/>
        <v>0</v>
      </c>
      <c r="BM333">
        <f>IF(OR(D333&lt;&gt;1,B333="",'Исходные данные'!$B$91="",N('Исходные данные'!$B$80)&lt;=0,'Исходные данные'!$B$88=""),0,IF(AND(YEAR(B333)=YEAR('Исходные данные'!$B$91),MONTH(B333)=MONTH('Исходные данные'!$B$91)),MAX(0,IF('Исходные данные'!$B$88="Последние 12 месяцев",SUMIFS($BF$2:$BF$194,$B$2:$B$194,"&gt;="&amp;EDATE(B333,-11),$B$2:$B$194,"&lt;="&amp;B333),IF('Исходные данные'!$B$88="Пользовательский NOI",N('Исходные данные'!$B$89),BL333))/N('Исходные данные'!$B$80)*(1+N('Исходные данные'!$B$81))),0))</f>
        <v>0</v>
      </c>
      <c r="BN333">
        <f>-BM333*N('Исходные данные'!$B$73)</f>
        <v>0</v>
      </c>
      <c r="BO333">
        <f>IF(BM333=0,0,-N('Исходные данные'!$B$87)-IF('Исходные данные'!$B$82="Да",IF('Исходные данные'!$B$84="С выручки",BM333,IF('Исходные данные'!$B$84="С прибыли",MAX(0,BM333+BN333-IF('Исходные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33">
        <f t="shared" si="188"/>
        <v>0</v>
      </c>
      <c r="BQ333">
        <f>IF(D333=1,Расчёты!AZ333+BE333+BH333+BK333+BP333,0)</f>
        <v>0</v>
      </c>
      <c r="BR333" t="str">
        <f t="shared" si="176"/>
        <v/>
      </c>
      <c r="BS333">
        <f>IF(OR(D333=0,'Исходные данные'!$B$9="",'Исходные данные'!$B$90=""),0,BQ333/(1+'Исходные данные'!$B$90)^((C333-'Исходные данные'!$B$9)/365))</f>
        <v>0</v>
      </c>
      <c r="BT333">
        <f>IF(D333=1,BE333+Расчёты!O333+Расчёты!Q333+Расчёты!S333+Расчёты!U333+Расчёты!W333+Расчёты!X333+BH333+BK333,0)</f>
        <v>0</v>
      </c>
      <c r="BU333">
        <f>IF(AND(D333=1,BR333&gt;=0,BR332&lt;0,MIN($BR$2:BR333)&lt;0),1,0)</f>
        <v>0</v>
      </c>
      <c r="BV333">
        <f>Расчёты!AZ333+K333+N333-P333*N('Исходные данные'!$B$50)</f>
        <v>0</v>
      </c>
      <c r="BW333">
        <f t="shared" si="177"/>
        <v>0</v>
      </c>
      <c r="BX333">
        <f>IF(AND(BW333&gt;=0,BW332&lt;0,MIN($BW$2:BW333)&lt;0),1,0)</f>
        <v>0</v>
      </c>
      <c r="BY333">
        <f>Расчёты!AZ333+AH333+AK333-AM333*N('Исходные данные'!$B$50)</f>
        <v>0</v>
      </c>
      <c r="BZ333">
        <f t="shared" si="178"/>
        <v>0</v>
      </c>
      <c r="CA333">
        <f>IF(AND(BZ333&gt;=0,BZ332&lt;0,MIN($BZ$2:BZ333)&lt;0),1,0)</f>
        <v>0</v>
      </c>
      <c r="CB333">
        <f>Расчёты!AZ333+BE333+BH333-BJ333*N('Исходные данные'!$B$50)</f>
        <v>0</v>
      </c>
      <c r="CC333">
        <f t="shared" si="179"/>
        <v>0</v>
      </c>
      <c r="CD333">
        <f>IF(AND(CC333&gt;=0,CC332&lt;0,MIN($CC$2:CC333)&lt;0),1,0)</f>
        <v>0</v>
      </c>
    </row>
    <row r="334" spans="1:82" x14ac:dyDescent="0.2">
      <c r="A334">
        <f>Расчёты!A334</f>
        <v>333</v>
      </c>
      <c r="B334" t="str">
        <f>Расчёты!B334</f>
        <v/>
      </c>
      <c r="C334" t="str">
        <f>Расчёты!D334</f>
        <v/>
      </c>
      <c r="D334">
        <f>Расчёты!E334</f>
        <v>0</v>
      </c>
      <c r="E334">
        <f>IF(Расчёты!F334=0,0,IF(Расчёты!G334=1,N('Сценарный анализ'!$B$5),IF(Расчёты!G334=2,N('Сценарный анализ'!$B$6),IF(Расчёты!G334=3,N('Сценарный анализ'!$B$7),N('Сценарный анализ'!$B$7)*(1+N('Сценарный анализ'!$B$8))^(Расчёты!G334-3)))))</f>
        <v>0</v>
      </c>
      <c r="F334">
        <f>IF(OR(Расчёты!F334=0,N('Исходные данные'!$B$5)=0,E334=0),0,N('Исходные данные'!$B$5)*E334*IF(AND(B334&lt;='Исходные данные'!$B$30,Расчёты!C334&gt;='Исходные данные'!$B$30),(Расчёты!C334-'Исходные данные'!$B$30+1)/DAY(Расчёты!C334),1))</f>
        <v>0</v>
      </c>
      <c r="G334">
        <f>IF(AND(Расчёты!F334&gt;0,Расчёты!F334&lt;=N('Исходные данные'!$B$37)),-F334,0)</f>
        <v>0</v>
      </c>
      <c r="H334">
        <f>IF(OR(Расчёты!F334=0,Расчёты!F334&lt;=N('Исходные данные'!$B$37)),0,-(F334+G334)*N('Сценарный анализ'!$B$9))</f>
        <v>0</v>
      </c>
      <c r="I334">
        <f t="shared" si="180"/>
        <v>0</v>
      </c>
      <c r="J334">
        <f>IF('Исходные данные'!$B$51="Да",I334*N('Исходные данные'!$B$52),0)</f>
        <v>0</v>
      </c>
      <c r="K334">
        <f t="shared" si="181"/>
        <v>0</v>
      </c>
      <c r="L334">
        <f>I334+(Расчёты!Y334-Расчёты!L334)</f>
        <v>0</v>
      </c>
      <c r="M334">
        <f t="shared" si="168"/>
        <v>0</v>
      </c>
      <c r="N334">
        <f>IF('Исходные данные'!$B$51="Да",-MAX(0,J334+Расчёты!R334+Расчёты!V334-Расчёты!P334-Расчёты!T334-M334),0)</f>
        <v>0</v>
      </c>
      <c r="O334">
        <f>IF('Исходные данные'!$B$51="Да",MAX(0,M334+Расчёты!P334+Расчёты!T334-J334-Расчёты!R334-Расчёты!V334),0)</f>
        <v>0</v>
      </c>
      <c r="P334">
        <f>IF('Исходные данные'!$B$53="Выручка",MAX(0,I334+(Расчёты!Q334-Расчёты!R334)+(Расчёты!U334-Расчёты!V334)),IF('Исходные данные'!$B$53="Прибыль до налога",MAX(0,I334+(Расчёты!Q334-Расчёты!R334)+(Расчёты!U334-Расчёты!V334)+N('Исходные данные'!$B$54)*((Расчёты!O334+Расчёты!P334)+(Расчёты!S334+Расчёты!T334)+Расчёты!W334+Расчёты!X334)+IF('Исходные данные'!$B$55="Да",Расчёты!AG334,0)-N('Исходные данные'!$B$56)/12),IF('Исходные данные'!$B$53="Пользовательская база",MAX(0,N('Исходные данные'!$B$57)/12),0)))</f>
        <v>0</v>
      </c>
      <c r="Q334">
        <f>IF(D334=1,-P334*N('Исходные данные'!$B$50),0)</f>
        <v>0</v>
      </c>
      <c r="R334">
        <f t="shared" si="169"/>
        <v>0</v>
      </c>
      <c r="S334">
        <f>IF(OR(D334&lt;&gt;1,B334="",'Исходные данные'!$B$91="",N('Исходные данные'!$B$80)&lt;=0,'Исходные данные'!$B$88=""),0,IF(AND(YEAR(B334)=YEAR('Исходные данные'!$B$91),MONTH(B334)=MONTH('Исходные данные'!$B$91)),MAX(0,IF('Исходные данные'!$B$88="Последние 12 месяцев",SUMIFS($L$2:$L$194,$B$2:$B$194,"&gt;="&amp;EDATE(B334,-11),$B$2:$B$194,"&lt;="&amp;B334),IF('Исходные данные'!$B$88="Пользовательский NOI",N('Исходные данные'!$B$89),R334))/N('Исходные данные'!$B$80)*(1+N('Исходные данные'!$B$81))),0))</f>
        <v>0</v>
      </c>
      <c r="T334">
        <f>-S334*N('Исходные данные'!$B$73)</f>
        <v>0</v>
      </c>
      <c r="U334">
        <f>IF(S334=0,0,-N('Исходные данные'!$B$87)-IF('Исходные данные'!$B$82="Да",IF('Исходные данные'!$B$84="С выручки",S334,IF('Исходные данные'!$B$84="С прибыли",MAX(0,S334+T334-IF('Исходные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34">
        <f t="shared" si="182"/>
        <v>0</v>
      </c>
      <c r="W334">
        <f>IF(D334=1,Расчёты!AZ334+K334+N334+Q334+V334,0)</f>
        <v>0</v>
      </c>
      <c r="X334" t="str">
        <f t="shared" si="170"/>
        <v/>
      </c>
      <c r="Y334">
        <f>IF(OR(D334=0,'Исходные данные'!$B$9="",'Исходные данные'!$B$90=""),0,W334/(1+'Исходные данные'!$B$90)^((C334-'Исходные данные'!$B$9)/365))</f>
        <v>0</v>
      </c>
      <c r="Z334">
        <f>IF(D334=1,K334+Расчёты!O334+Расчёты!Q334+Расчёты!S334+Расчёты!U334+Расчёты!W334+Расчёты!X334+N334+Q334,0)</f>
        <v>0</v>
      </c>
      <c r="AA334">
        <f>IF(AND(D334=1,X334&gt;=0,X333&lt;0,MIN($X$2:X334)&lt;0),1,0)</f>
        <v>0</v>
      </c>
      <c r="AB334">
        <f>IF(Расчёты!F334=0,0,IF(Расчёты!G334=1,N('Сценарный анализ'!$C$5),IF(Расчёты!G334=2,N('Сценарный анализ'!$C$6),IF(Расчёты!G334=3,N('Сценарный анализ'!$C$7),N('Сценарный анализ'!$C$7)*(1+N('Сценарный анализ'!$C$8))^(Расчёты!G334-3)))))</f>
        <v>0</v>
      </c>
      <c r="AC334">
        <f>IF(OR(Расчёты!F334=0,N('Исходные данные'!$B$5)=0,AB334=0),0,N('Исходные данные'!$B$5)*AB334*IF(AND(B334&lt;='Исходные данные'!$B$30,Расчёты!C334&gt;='Исходные данные'!$B$30),(Расчёты!C334-'Исходные данные'!$B$30+1)/DAY(Расчёты!C334),1))</f>
        <v>0</v>
      </c>
      <c r="AD334">
        <f>IF(AND(Расчёты!F334&gt;0,Расчёты!F334&lt;=N('Исходные данные'!$B$37)),-AC334,0)</f>
        <v>0</v>
      </c>
      <c r="AE334">
        <f>IF(OR(Расчёты!F334=0,Расчёты!F334&lt;=N('Исходные данные'!$B$37)),0,-(AC334+AD334)*N('Сценарный анализ'!$C$9))</f>
        <v>0</v>
      </c>
      <c r="AF334">
        <f t="shared" si="183"/>
        <v>0</v>
      </c>
      <c r="AG334">
        <f>IF('Исходные данные'!$B$51="Да",AF334*N('Исходные данные'!$B$52),0)</f>
        <v>0</v>
      </c>
      <c r="AH334">
        <f t="shared" si="184"/>
        <v>0</v>
      </c>
      <c r="AI334">
        <f>AF334+(Расчёты!Y334-Расчёты!L334)</f>
        <v>0</v>
      </c>
      <c r="AJ334">
        <f t="shared" si="171"/>
        <v>0</v>
      </c>
      <c r="AK334">
        <f>IF('Исходные данные'!$B$51="Да",-MAX(0,AG334+Расчёты!R334+Расчёты!V334-Расчёты!P334-Расчёты!T334-AJ334),0)</f>
        <v>0</v>
      </c>
      <c r="AL334">
        <f>IF('Исходные данные'!$B$51="Да",MAX(0,AJ334+Расчёты!P334+Расчёты!T334-AG334-Расчёты!R334-Расчёты!V334),0)</f>
        <v>0</v>
      </c>
      <c r="AM334">
        <f>IF('Исходные данные'!$B$53="Выручка",MAX(0,AF334+(Расчёты!Q334-Расчёты!R334)+(Расчёты!U334-Расчёты!V334)),IF('Исходные данные'!$B$53="Прибыль до налога",MAX(0,AF334+(Расчёты!Q334-Расчёты!R334)+(Расчёты!U334-Расчёты!V334)+N('Исходные данные'!$B$54)*((Расчёты!O334+Расчёты!P334)+(Расчёты!S334+Расчёты!T334)+Расчёты!W334+Расчёты!X334)+IF('Исходные данные'!$B$55="Да",Расчёты!AG334,0)-N('Исходные данные'!$B$56)/12),IF('Исходные данные'!$B$53="Пользовательская база",MAX(0,N('Исходные данные'!$B$57)/12),0)))</f>
        <v>0</v>
      </c>
      <c r="AN334">
        <f>IF(D334=1,-AM334*N('Исходные данные'!$B$50),0)</f>
        <v>0</v>
      </c>
      <c r="AO334">
        <f t="shared" si="172"/>
        <v>0</v>
      </c>
      <c r="AP334">
        <f>IF(OR(D334&lt;&gt;1,B334="",'Исходные данные'!$B$91="",N('Исходные данные'!$B$80)&lt;=0,'Исходные данные'!$B$88=""),0,IF(AND(YEAR(B334)=YEAR('Исходные данные'!$B$91),MONTH(B334)=MONTH('Исходные данные'!$B$91)),MAX(0,IF('Исходные данные'!$B$88="Последние 12 месяцев",SUMIFS($AI$2:$AI$194,$B$2:$B$194,"&gt;="&amp;EDATE(B334,-11),$B$2:$B$194,"&lt;="&amp;B334),IF('Исходные данные'!$B$88="Пользовательский NOI",N('Исходные данные'!$B$89),AO334))/N('Исходные данные'!$B$80)*(1+N('Исходные данные'!$B$81))),0))</f>
        <v>0</v>
      </c>
      <c r="AQ334">
        <f>-AP334*N('Исходные данные'!$B$73)</f>
        <v>0</v>
      </c>
      <c r="AR334">
        <f>IF(AP334=0,0,-N('Исходные данные'!$B$87)-IF('Исходные данные'!$B$82="Да",IF('Исходные данные'!$B$84="С выручки",AP334,IF('Исходные данные'!$B$84="С прибыли",MAX(0,AP334+AQ334-IF('Исходные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34">
        <f t="shared" si="185"/>
        <v>0</v>
      </c>
      <c r="AT334">
        <f>IF(D334=1,Расчёты!AZ334+AH334+AK334+AN334+AS334,0)</f>
        <v>0</v>
      </c>
      <c r="AU334" t="str">
        <f t="shared" si="173"/>
        <v/>
      </c>
      <c r="AV334">
        <f>IF(OR(D334=0,'Исходные данные'!$B$9="",'Исходные данные'!$B$90=""),0,AT334/(1+'Исходные данные'!$B$90)^((C334-'Исходные данные'!$B$9)/365))</f>
        <v>0</v>
      </c>
      <c r="AW334">
        <f>IF(D334=1,AH334+Расчёты!O334+Расчёты!Q334+Расчёты!S334+Расчёты!U334+Расчёты!W334+Расчёты!X334+AK334+AN334,0)</f>
        <v>0</v>
      </c>
      <c r="AX334">
        <f>IF(AND(D334=1,AU334&gt;=0,AU333&lt;0,MIN($AU$2:AU334)&lt;0),1,0)</f>
        <v>0</v>
      </c>
      <c r="AY334">
        <f>IF(Расчёты!F334=0,0,IF(Расчёты!G334=1,N('Сценарный анализ'!$D$5),IF(Расчёты!G334=2,N('Сценарный анализ'!$D$6),IF(Расчёты!G334=3,N('Сценарный анализ'!$D$7),N('Сценарный анализ'!$D$7)*(1+N('Сценарный анализ'!$D$8))^(Расчёты!G334-3)))))</f>
        <v>0</v>
      </c>
      <c r="AZ334">
        <f>IF(OR(Расчёты!F334=0,N('Исходные данные'!$B$5)=0,AY334=0),0,N('Исходные данные'!$B$5)*AY334*IF(AND(B334&lt;='Исходные данные'!$B$30,Расчёты!C334&gt;='Исходные данные'!$B$30),(Расчёты!C334-'Исходные данные'!$B$30+1)/DAY(Расчёты!C334),1))</f>
        <v>0</v>
      </c>
      <c r="BA334">
        <f>IF(AND(Расчёты!F334&gt;0,Расчёты!F334&lt;=N('Исходные данные'!$B$37)),-AZ334,0)</f>
        <v>0</v>
      </c>
      <c r="BB334">
        <f>IF(OR(Расчёты!F334=0,Расчёты!F334&lt;=N('Исходные данные'!$B$37)),0,-(AZ334+BA334)*N('Сценарный анализ'!$D$9))</f>
        <v>0</v>
      </c>
      <c r="BC334">
        <f t="shared" si="186"/>
        <v>0</v>
      </c>
      <c r="BD334">
        <f>IF('Исходные данные'!$B$51="Да",BC334*N('Исходные данные'!$B$52),0)</f>
        <v>0</v>
      </c>
      <c r="BE334">
        <f t="shared" si="187"/>
        <v>0</v>
      </c>
      <c r="BF334">
        <f>BC334+(Расчёты!Y334-Расчёты!L334)</f>
        <v>0</v>
      </c>
      <c r="BG334">
        <f t="shared" si="174"/>
        <v>0</v>
      </c>
      <c r="BH334">
        <f>IF('Исходные данные'!$B$51="Да",-MAX(0,BD334+Расчёты!R334+Расчёты!V334-Расчёты!P334-Расчёты!T334-BG334),0)</f>
        <v>0</v>
      </c>
      <c r="BI334">
        <f>IF('Исходные данные'!$B$51="Да",MAX(0,BG334+Расчёты!P334+Расчёты!T334-BD334-Расчёты!R334-Расчёты!V334),0)</f>
        <v>0</v>
      </c>
      <c r="BJ334">
        <f>IF('Исходные данные'!$B$53="Выручка",MAX(0,BC334+(Расчёты!Q334-Расчёты!R334)+(Расчёты!U334-Расчёты!V334)),IF('Исходные данные'!$B$53="Прибыль до налога",MAX(0,BC334+(Расчёты!Q334-Расчёты!R334)+(Расчёты!U334-Расчёты!V334)+N('Исходные данные'!$B$54)*((Расчёты!O334+Расчёты!P334)+(Расчёты!S334+Расчёты!T334)+Расчёты!W334+Расчёты!X334)+IF('Исходные данные'!$B$55="Да",Расчёты!AG334,0)-N('Исходные данные'!$B$56)/12),IF('Исходные данные'!$B$53="Пользовательская база",MAX(0,N('Исходные данные'!$B$57)/12),0)))</f>
        <v>0</v>
      </c>
      <c r="BK334">
        <f>IF(D334=1,-BJ334*N('Исходные данные'!$B$50),0)</f>
        <v>0</v>
      </c>
      <c r="BL334">
        <f t="shared" si="175"/>
        <v>0</v>
      </c>
      <c r="BM334">
        <f>IF(OR(D334&lt;&gt;1,B334="",'Исходные данные'!$B$91="",N('Исходные данные'!$B$80)&lt;=0,'Исходные данные'!$B$88=""),0,IF(AND(YEAR(B334)=YEAR('Исходные данные'!$B$91),MONTH(B334)=MONTH('Исходные данные'!$B$91)),MAX(0,IF('Исходные данные'!$B$88="Последние 12 месяцев",SUMIFS($BF$2:$BF$194,$B$2:$B$194,"&gt;="&amp;EDATE(B334,-11),$B$2:$B$194,"&lt;="&amp;B334),IF('Исходные данные'!$B$88="Пользовательский NOI",N('Исходные данные'!$B$89),BL334))/N('Исходные данные'!$B$80)*(1+N('Исходные данные'!$B$81))),0))</f>
        <v>0</v>
      </c>
      <c r="BN334">
        <f>-BM334*N('Исходные данные'!$B$73)</f>
        <v>0</v>
      </c>
      <c r="BO334">
        <f>IF(BM334=0,0,-N('Исходные данные'!$B$87)-IF('Исходные данные'!$B$82="Да",IF('Исходные данные'!$B$84="С выручки",BM334,IF('Исходные данные'!$B$84="С прибыли",MAX(0,BM334+BN334-IF('Исходные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34">
        <f t="shared" si="188"/>
        <v>0</v>
      </c>
      <c r="BQ334">
        <f>IF(D334=1,Расчёты!AZ334+BE334+BH334+BK334+BP334,0)</f>
        <v>0</v>
      </c>
      <c r="BR334" t="str">
        <f t="shared" si="176"/>
        <v/>
      </c>
      <c r="BS334">
        <f>IF(OR(D334=0,'Исходные данные'!$B$9="",'Исходные данные'!$B$90=""),0,BQ334/(1+'Исходные данные'!$B$90)^((C334-'Исходные данные'!$B$9)/365))</f>
        <v>0</v>
      </c>
      <c r="BT334">
        <f>IF(D334=1,BE334+Расчёты!O334+Расчёты!Q334+Расчёты!S334+Расчёты!U334+Расчёты!W334+Расчёты!X334+BH334+BK334,0)</f>
        <v>0</v>
      </c>
      <c r="BU334">
        <f>IF(AND(D334=1,BR334&gt;=0,BR333&lt;0,MIN($BR$2:BR334)&lt;0),1,0)</f>
        <v>0</v>
      </c>
      <c r="BV334">
        <f>Расчёты!AZ334+K334+N334-P334*N('Исходные данные'!$B$50)</f>
        <v>0</v>
      </c>
      <c r="BW334">
        <f t="shared" si="177"/>
        <v>0</v>
      </c>
      <c r="BX334">
        <f>IF(AND(BW334&gt;=0,BW333&lt;0,MIN($BW$2:BW334)&lt;0),1,0)</f>
        <v>0</v>
      </c>
      <c r="BY334">
        <f>Расчёты!AZ334+AH334+AK334-AM334*N('Исходные данные'!$B$50)</f>
        <v>0</v>
      </c>
      <c r="BZ334">
        <f t="shared" si="178"/>
        <v>0</v>
      </c>
      <c r="CA334">
        <f>IF(AND(BZ334&gt;=0,BZ333&lt;0,MIN($BZ$2:BZ334)&lt;0),1,0)</f>
        <v>0</v>
      </c>
      <c r="CB334">
        <f>Расчёты!AZ334+BE334+BH334-BJ334*N('Исходные данные'!$B$50)</f>
        <v>0</v>
      </c>
      <c r="CC334">
        <f t="shared" si="179"/>
        <v>0</v>
      </c>
      <c r="CD334">
        <f>IF(AND(CC334&gt;=0,CC333&lt;0,MIN($CC$2:CC334)&lt;0),1,0)</f>
        <v>0</v>
      </c>
    </row>
    <row r="335" spans="1:82" x14ac:dyDescent="0.2">
      <c r="A335">
        <f>Расчёты!A335</f>
        <v>334</v>
      </c>
      <c r="B335" t="str">
        <f>Расчёты!B335</f>
        <v/>
      </c>
      <c r="C335" t="str">
        <f>Расчёты!D335</f>
        <v/>
      </c>
      <c r="D335">
        <f>Расчёты!E335</f>
        <v>0</v>
      </c>
      <c r="E335">
        <f>IF(Расчёты!F335=0,0,IF(Расчёты!G335=1,N('Сценарный анализ'!$B$5),IF(Расчёты!G335=2,N('Сценарный анализ'!$B$6),IF(Расчёты!G335=3,N('Сценарный анализ'!$B$7),N('Сценарный анализ'!$B$7)*(1+N('Сценарный анализ'!$B$8))^(Расчёты!G335-3)))))</f>
        <v>0</v>
      </c>
      <c r="F335">
        <f>IF(OR(Расчёты!F335=0,N('Исходные данные'!$B$5)=0,E335=0),0,N('Исходные данные'!$B$5)*E335*IF(AND(B335&lt;='Исходные данные'!$B$30,Расчёты!C335&gt;='Исходные данные'!$B$30),(Расчёты!C335-'Исходные данные'!$B$30+1)/DAY(Расчёты!C335),1))</f>
        <v>0</v>
      </c>
      <c r="G335">
        <f>IF(AND(Расчёты!F335&gt;0,Расчёты!F335&lt;=N('Исходные данные'!$B$37)),-F335,0)</f>
        <v>0</v>
      </c>
      <c r="H335">
        <f>IF(OR(Расчёты!F335=0,Расчёты!F335&lt;=N('Исходные данные'!$B$37)),0,-(F335+G335)*N('Сценарный анализ'!$B$9))</f>
        <v>0</v>
      </c>
      <c r="I335">
        <f t="shared" si="180"/>
        <v>0</v>
      </c>
      <c r="J335">
        <f>IF('Исходные данные'!$B$51="Да",I335*N('Исходные данные'!$B$52),0)</f>
        <v>0</v>
      </c>
      <c r="K335">
        <f t="shared" si="181"/>
        <v>0</v>
      </c>
      <c r="L335">
        <f>I335+(Расчёты!Y335-Расчёты!L335)</f>
        <v>0</v>
      </c>
      <c r="M335">
        <f t="shared" si="168"/>
        <v>0</v>
      </c>
      <c r="N335">
        <f>IF('Исходные данные'!$B$51="Да",-MAX(0,J335+Расчёты!R335+Расчёты!V335-Расчёты!P335-Расчёты!T335-M335),0)</f>
        <v>0</v>
      </c>
      <c r="O335">
        <f>IF('Исходные данные'!$B$51="Да",MAX(0,M335+Расчёты!P335+Расчёты!T335-J335-Расчёты!R335-Расчёты!V335),0)</f>
        <v>0</v>
      </c>
      <c r="P335">
        <f>IF('Исходные данные'!$B$53="Выручка",MAX(0,I335+(Расчёты!Q335-Расчёты!R335)+(Расчёты!U335-Расчёты!V335)),IF('Исходные данные'!$B$53="Прибыль до налога",MAX(0,I335+(Расчёты!Q335-Расчёты!R335)+(Расчёты!U335-Расчёты!V335)+N('Исходные данные'!$B$54)*((Расчёты!O335+Расчёты!P335)+(Расчёты!S335+Расчёты!T335)+Расчёты!W335+Расчёты!X335)+IF('Исходные данные'!$B$55="Да",Расчёты!AG335,0)-N('Исходные данные'!$B$56)/12),IF('Исходные данные'!$B$53="Пользовательская база",MAX(0,N('Исходные данные'!$B$57)/12),0)))</f>
        <v>0</v>
      </c>
      <c r="Q335">
        <f>IF(D335=1,-P335*N('Исходные данные'!$B$50),0)</f>
        <v>0</v>
      </c>
      <c r="R335">
        <f t="shared" si="169"/>
        <v>0</v>
      </c>
      <c r="S335">
        <f>IF(OR(D335&lt;&gt;1,B335="",'Исходные данные'!$B$91="",N('Исходные данные'!$B$80)&lt;=0,'Исходные данные'!$B$88=""),0,IF(AND(YEAR(B335)=YEAR('Исходные данные'!$B$91),MONTH(B335)=MONTH('Исходные данные'!$B$91)),MAX(0,IF('Исходные данные'!$B$88="Последние 12 месяцев",SUMIFS($L$2:$L$194,$B$2:$B$194,"&gt;="&amp;EDATE(B335,-11),$B$2:$B$194,"&lt;="&amp;B335),IF('Исходные данные'!$B$88="Пользовательский NOI",N('Исходные данные'!$B$89),R335))/N('Исходные данные'!$B$80)*(1+N('Исходные данные'!$B$81))),0))</f>
        <v>0</v>
      </c>
      <c r="T335">
        <f>-S335*N('Исходные данные'!$B$73)</f>
        <v>0</v>
      </c>
      <c r="U335">
        <f>IF(S335=0,0,-N('Исходные данные'!$B$87)-IF('Исходные данные'!$B$82="Да",IF('Исходные данные'!$B$84="С выручки",S335,IF('Исходные данные'!$B$84="С прибыли",MAX(0,S335+T335-IF('Исходные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35">
        <f t="shared" si="182"/>
        <v>0</v>
      </c>
      <c r="W335">
        <f>IF(D335=1,Расчёты!AZ335+K335+N335+Q335+V335,0)</f>
        <v>0</v>
      </c>
      <c r="X335" t="str">
        <f t="shared" si="170"/>
        <v/>
      </c>
      <c r="Y335">
        <f>IF(OR(D335=0,'Исходные данные'!$B$9="",'Исходные данные'!$B$90=""),0,W335/(1+'Исходные данные'!$B$90)^((C335-'Исходные данные'!$B$9)/365))</f>
        <v>0</v>
      </c>
      <c r="Z335">
        <f>IF(D335=1,K335+Расчёты!O335+Расчёты!Q335+Расчёты!S335+Расчёты!U335+Расчёты!W335+Расчёты!X335+N335+Q335,0)</f>
        <v>0</v>
      </c>
      <c r="AA335">
        <f>IF(AND(D335=1,X335&gt;=0,X334&lt;0,MIN($X$2:X335)&lt;0),1,0)</f>
        <v>0</v>
      </c>
      <c r="AB335">
        <f>IF(Расчёты!F335=0,0,IF(Расчёты!G335=1,N('Сценарный анализ'!$C$5),IF(Расчёты!G335=2,N('Сценарный анализ'!$C$6),IF(Расчёты!G335=3,N('Сценарный анализ'!$C$7),N('Сценарный анализ'!$C$7)*(1+N('Сценарный анализ'!$C$8))^(Расчёты!G335-3)))))</f>
        <v>0</v>
      </c>
      <c r="AC335">
        <f>IF(OR(Расчёты!F335=0,N('Исходные данные'!$B$5)=0,AB335=0),0,N('Исходные данные'!$B$5)*AB335*IF(AND(B335&lt;='Исходные данные'!$B$30,Расчёты!C335&gt;='Исходные данные'!$B$30),(Расчёты!C335-'Исходные данные'!$B$30+1)/DAY(Расчёты!C335),1))</f>
        <v>0</v>
      </c>
      <c r="AD335">
        <f>IF(AND(Расчёты!F335&gt;0,Расчёты!F335&lt;=N('Исходные данные'!$B$37)),-AC335,0)</f>
        <v>0</v>
      </c>
      <c r="AE335">
        <f>IF(OR(Расчёты!F335=0,Расчёты!F335&lt;=N('Исходные данные'!$B$37)),0,-(AC335+AD335)*N('Сценарный анализ'!$C$9))</f>
        <v>0</v>
      </c>
      <c r="AF335">
        <f t="shared" si="183"/>
        <v>0</v>
      </c>
      <c r="AG335">
        <f>IF('Исходные данные'!$B$51="Да",AF335*N('Исходные данные'!$B$52),0)</f>
        <v>0</v>
      </c>
      <c r="AH335">
        <f t="shared" si="184"/>
        <v>0</v>
      </c>
      <c r="AI335">
        <f>AF335+(Расчёты!Y335-Расчёты!L335)</f>
        <v>0</v>
      </c>
      <c r="AJ335">
        <f t="shared" si="171"/>
        <v>0</v>
      </c>
      <c r="AK335">
        <f>IF('Исходные данные'!$B$51="Да",-MAX(0,AG335+Расчёты!R335+Расчёты!V335-Расчёты!P335-Расчёты!T335-AJ335),0)</f>
        <v>0</v>
      </c>
      <c r="AL335">
        <f>IF('Исходные данные'!$B$51="Да",MAX(0,AJ335+Расчёты!P335+Расчёты!T335-AG335-Расчёты!R335-Расчёты!V335),0)</f>
        <v>0</v>
      </c>
      <c r="AM335">
        <f>IF('Исходные данные'!$B$53="Выручка",MAX(0,AF335+(Расчёты!Q335-Расчёты!R335)+(Расчёты!U335-Расчёты!V335)),IF('Исходные данные'!$B$53="Прибыль до налога",MAX(0,AF335+(Расчёты!Q335-Расчёты!R335)+(Расчёты!U335-Расчёты!V335)+N('Исходные данные'!$B$54)*((Расчёты!O335+Расчёты!P335)+(Расчёты!S335+Расчёты!T335)+Расчёты!W335+Расчёты!X335)+IF('Исходные данные'!$B$55="Да",Расчёты!AG335,0)-N('Исходные данные'!$B$56)/12),IF('Исходные данные'!$B$53="Пользовательская база",MAX(0,N('Исходные данные'!$B$57)/12),0)))</f>
        <v>0</v>
      </c>
      <c r="AN335">
        <f>IF(D335=1,-AM335*N('Исходные данные'!$B$50),0)</f>
        <v>0</v>
      </c>
      <c r="AO335">
        <f t="shared" si="172"/>
        <v>0</v>
      </c>
      <c r="AP335">
        <f>IF(OR(D335&lt;&gt;1,B335="",'Исходные данные'!$B$91="",N('Исходные данные'!$B$80)&lt;=0,'Исходные данные'!$B$88=""),0,IF(AND(YEAR(B335)=YEAR('Исходные данные'!$B$91),MONTH(B335)=MONTH('Исходные данные'!$B$91)),MAX(0,IF('Исходные данные'!$B$88="Последние 12 месяцев",SUMIFS($AI$2:$AI$194,$B$2:$B$194,"&gt;="&amp;EDATE(B335,-11),$B$2:$B$194,"&lt;="&amp;B335),IF('Исходные данные'!$B$88="Пользовательский NOI",N('Исходные данные'!$B$89),AO335))/N('Исходные данные'!$B$80)*(1+N('Исходные данные'!$B$81))),0))</f>
        <v>0</v>
      </c>
      <c r="AQ335">
        <f>-AP335*N('Исходные данные'!$B$73)</f>
        <v>0</v>
      </c>
      <c r="AR335">
        <f>IF(AP335=0,0,-N('Исходные данные'!$B$87)-IF('Исходные данные'!$B$82="Да",IF('Исходные данные'!$B$84="С выручки",AP335,IF('Исходные данные'!$B$84="С прибыли",MAX(0,AP335+AQ335-IF('Исходные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35">
        <f t="shared" si="185"/>
        <v>0</v>
      </c>
      <c r="AT335">
        <f>IF(D335=1,Расчёты!AZ335+AH335+AK335+AN335+AS335,0)</f>
        <v>0</v>
      </c>
      <c r="AU335" t="str">
        <f t="shared" si="173"/>
        <v/>
      </c>
      <c r="AV335">
        <f>IF(OR(D335=0,'Исходные данные'!$B$9="",'Исходные данные'!$B$90=""),0,AT335/(1+'Исходные данные'!$B$90)^((C335-'Исходные данные'!$B$9)/365))</f>
        <v>0</v>
      </c>
      <c r="AW335">
        <f>IF(D335=1,AH335+Расчёты!O335+Расчёты!Q335+Расчёты!S335+Расчёты!U335+Расчёты!W335+Расчёты!X335+AK335+AN335,0)</f>
        <v>0</v>
      </c>
      <c r="AX335">
        <f>IF(AND(D335=1,AU335&gt;=0,AU334&lt;0,MIN($AU$2:AU335)&lt;0),1,0)</f>
        <v>0</v>
      </c>
      <c r="AY335">
        <f>IF(Расчёты!F335=0,0,IF(Расчёты!G335=1,N('Сценарный анализ'!$D$5),IF(Расчёты!G335=2,N('Сценарный анализ'!$D$6),IF(Расчёты!G335=3,N('Сценарный анализ'!$D$7),N('Сценарный анализ'!$D$7)*(1+N('Сценарный анализ'!$D$8))^(Расчёты!G335-3)))))</f>
        <v>0</v>
      </c>
      <c r="AZ335">
        <f>IF(OR(Расчёты!F335=0,N('Исходные данные'!$B$5)=0,AY335=0),0,N('Исходные данные'!$B$5)*AY335*IF(AND(B335&lt;='Исходные данные'!$B$30,Расчёты!C335&gt;='Исходные данные'!$B$30),(Расчёты!C335-'Исходные данные'!$B$30+1)/DAY(Расчёты!C335),1))</f>
        <v>0</v>
      </c>
      <c r="BA335">
        <f>IF(AND(Расчёты!F335&gt;0,Расчёты!F335&lt;=N('Исходные данные'!$B$37)),-AZ335,0)</f>
        <v>0</v>
      </c>
      <c r="BB335">
        <f>IF(OR(Расчёты!F335=0,Расчёты!F335&lt;=N('Исходные данные'!$B$37)),0,-(AZ335+BA335)*N('Сценарный анализ'!$D$9))</f>
        <v>0</v>
      </c>
      <c r="BC335">
        <f t="shared" si="186"/>
        <v>0</v>
      </c>
      <c r="BD335">
        <f>IF('Исходные данные'!$B$51="Да",BC335*N('Исходные данные'!$B$52),0)</f>
        <v>0</v>
      </c>
      <c r="BE335">
        <f t="shared" si="187"/>
        <v>0</v>
      </c>
      <c r="BF335">
        <f>BC335+(Расчёты!Y335-Расчёты!L335)</f>
        <v>0</v>
      </c>
      <c r="BG335">
        <f t="shared" si="174"/>
        <v>0</v>
      </c>
      <c r="BH335">
        <f>IF('Исходные данные'!$B$51="Да",-MAX(0,BD335+Расчёты!R335+Расчёты!V335-Расчёты!P335-Расчёты!T335-BG335),0)</f>
        <v>0</v>
      </c>
      <c r="BI335">
        <f>IF('Исходные данные'!$B$51="Да",MAX(0,BG335+Расчёты!P335+Расчёты!T335-BD335-Расчёты!R335-Расчёты!V335),0)</f>
        <v>0</v>
      </c>
      <c r="BJ335">
        <f>IF('Исходные данные'!$B$53="Выручка",MAX(0,BC335+(Расчёты!Q335-Расчёты!R335)+(Расчёты!U335-Расчёты!V335)),IF('Исходные данные'!$B$53="Прибыль до налога",MAX(0,BC335+(Расчёты!Q335-Расчёты!R335)+(Расчёты!U335-Расчёты!V335)+N('Исходные данные'!$B$54)*((Расчёты!O335+Расчёты!P335)+(Расчёты!S335+Расчёты!T335)+Расчёты!W335+Расчёты!X335)+IF('Исходные данные'!$B$55="Да",Расчёты!AG335,0)-N('Исходные данные'!$B$56)/12),IF('Исходные данные'!$B$53="Пользовательская база",MAX(0,N('Исходные данные'!$B$57)/12),0)))</f>
        <v>0</v>
      </c>
      <c r="BK335">
        <f>IF(D335=1,-BJ335*N('Исходные данные'!$B$50),0)</f>
        <v>0</v>
      </c>
      <c r="BL335">
        <f t="shared" si="175"/>
        <v>0</v>
      </c>
      <c r="BM335">
        <f>IF(OR(D335&lt;&gt;1,B335="",'Исходные данные'!$B$91="",N('Исходные данные'!$B$80)&lt;=0,'Исходные данные'!$B$88=""),0,IF(AND(YEAR(B335)=YEAR('Исходные данные'!$B$91),MONTH(B335)=MONTH('Исходные данные'!$B$91)),MAX(0,IF('Исходные данные'!$B$88="Последние 12 месяцев",SUMIFS($BF$2:$BF$194,$B$2:$B$194,"&gt;="&amp;EDATE(B335,-11),$B$2:$B$194,"&lt;="&amp;B335),IF('Исходные данные'!$B$88="Пользовательский NOI",N('Исходные данные'!$B$89),BL335))/N('Исходные данные'!$B$80)*(1+N('Исходные данные'!$B$81))),0))</f>
        <v>0</v>
      </c>
      <c r="BN335">
        <f>-BM335*N('Исходные данные'!$B$73)</f>
        <v>0</v>
      </c>
      <c r="BO335">
        <f>IF(BM335=0,0,-N('Исходные данные'!$B$87)-IF('Исходные данные'!$B$82="Да",IF('Исходные данные'!$B$84="С выручки",BM335,IF('Исходные данные'!$B$84="С прибыли",MAX(0,BM335+BN335-IF('Исходные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35">
        <f t="shared" si="188"/>
        <v>0</v>
      </c>
      <c r="BQ335">
        <f>IF(D335=1,Расчёты!AZ335+BE335+BH335+BK335+BP335,0)</f>
        <v>0</v>
      </c>
      <c r="BR335" t="str">
        <f t="shared" si="176"/>
        <v/>
      </c>
      <c r="BS335">
        <f>IF(OR(D335=0,'Исходные данные'!$B$9="",'Исходные данные'!$B$90=""),0,BQ335/(1+'Исходные данные'!$B$90)^((C335-'Исходные данные'!$B$9)/365))</f>
        <v>0</v>
      </c>
      <c r="BT335">
        <f>IF(D335=1,BE335+Расчёты!O335+Расчёты!Q335+Расчёты!S335+Расчёты!U335+Расчёты!W335+Расчёты!X335+BH335+BK335,0)</f>
        <v>0</v>
      </c>
      <c r="BU335">
        <f>IF(AND(D335=1,BR335&gt;=0,BR334&lt;0,MIN($BR$2:BR335)&lt;0),1,0)</f>
        <v>0</v>
      </c>
      <c r="BV335">
        <f>Расчёты!AZ335+K335+N335-P335*N('Исходные данные'!$B$50)</f>
        <v>0</v>
      </c>
      <c r="BW335">
        <f t="shared" si="177"/>
        <v>0</v>
      </c>
      <c r="BX335">
        <f>IF(AND(BW335&gt;=0,BW334&lt;0,MIN($BW$2:BW335)&lt;0),1,0)</f>
        <v>0</v>
      </c>
      <c r="BY335">
        <f>Расчёты!AZ335+AH335+AK335-AM335*N('Исходные данные'!$B$50)</f>
        <v>0</v>
      </c>
      <c r="BZ335">
        <f t="shared" si="178"/>
        <v>0</v>
      </c>
      <c r="CA335">
        <f>IF(AND(BZ335&gt;=0,BZ334&lt;0,MIN($BZ$2:BZ335)&lt;0),1,0)</f>
        <v>0</v>
      </c>
      <c r="CB335">
        <f>Расчёты!AZ335+BE335+BH335-BJ335*N('Исходные данные'!$B$50)</f>
        <v>0</v>
      </c>
      <c r="CC335">
        <f t="shared" si="179"/>
        <v>0</v>
      </c>
      <c r="CD335">
        <f>IF(AND(CC335&gt;=0,CC334&lt;0,MIN($CC$2:CC335)&lt;0),1,0)</f>
        <v>0</v>
      </c>
    </row>
    <row r="336" spans="1:82" x14ac:dyDescent="0.2">
      <c r="A336">
        <f>Расчёты!A336</f>
        <v>335</v>
      </c>
      <c r="B336" t="str">
        <f>Расчёты!B336</f>
        <v/>
      </c>
      <c r="C336" t="str">
        <f>Расчёты!D336</f>
        <v/>
      </c>
      <c r="D336">
        <f>Расчёты!E336</f>
        <v>0</v>
      </c>
      <c r="E336">
        <f>IF(Расчёты!F336=0,0,IF(Расчёты!G336=1,N('Сценарный анализ'!$B$5),IF(Расчёты!G336=2,N('Сценарный анализ'!$B$6),IF(Расчёты!G336=3,N('Сценарный анализ'!$B$7),N('Сценарный анализ'!$B$7)*(1+N('Сценарный анализ'!$B$8))^(Расчёты!G336-3)))))</f>
        <v>0</v>
      </c>
      <c r="F336">
        <f>IF(OR(Расчёты!F336=0,N('Исходные данные'!$B$5)=0,E336=0),0,N('Исходные данные'!$B$5)*E336*IF(AND(B336&lt;='Исходные данные'!$B$30,Расчёты!C336&gt;='Исходные данные'!$B$30),(Расчёты!C336-'Исходные данные'!$B$30+1)/DAY(Расчёты!C336),1))</f>
        <v>0</v>
      </c>
      <c r="G336">
        <f>IF(AND(Расчёты!F336&gt;0,Расчёты!F336&lt;=N('Исходные данные'!$B$37)),-F336,0)</f>
        <v>0</v>
      </c>
      <c r="H336">
        <f>IF(OR(Расчёты!F336=0,Расчёты!F336&lt;=N('Исходные данные'!$B$37)),0,-(F336+G336)*N('Сценарный анализ'!$B$9))</f>
        <v>0</v>
      </c>
      <c r="I336">
        <f t="shared" si="180"/>
        <v>0</v>
      </c>
      <c r="J336">
        <f>IF('Исходные данные'!$B$51="Да",I336*N('Исходные данные'!$B$52),0)</f>
        <v>0</v>
      </c>
      <c r="K336">
        <f t="shared" si="181"/>
        <v>0</v>
      </c>
      <c r="L336">
        <f>I336+(Расчёты!Y336-Расчёты!L336)</f>
        <v>0</v>
      </c>
      <c r="M336">
        <f t="shared" si="168"/>
        <v>0</v>
      </c>
      <c r="N336">
        <f>IF('Исходные данные'!$B$51="Да",-MAX(0,J336+Расчёты!R336+Расчёты!V336-Расчёты!P336-Расчёты!T336-M336),0)</f>
        <v>0</v>
      </c>
      <c r="O336">
        <f>IF('Исходные данные'!$B$51="Да",MAX(0,M336+Расчёты!P336+Расчёты!T336-J336-Расчёты!R336-Расчёты!V336),0)</f>
        <v>0</v>
      </c>
      <c r="P336">
        <f>IF('Исходные данные'!$B$53="Выручка",MAX(0,I336+(Расчёты!Q336-Расчёты!R336)+(Расчёты!U336-Расчёты!V336)),IF('Исходные данные'!$B$53="Прибыль до налога",MAX(0,I336+(Расчёты!Q336-Расчёты!R336)+(Расчёты!U336-Расчёты!V336)+N('Исходные данные'!$B$54)*((Расчёты!O336+Расчёты!P336)+(Расчёты!S336+Расчёты!T336)+Расчёты!W336+Расчёты!X336)+IF('Исходные данные'!$B$55="Да",Расчёты!AG336,0)-N('Исходные данные'!$B$56)/12),IF('Исходные данные'!$B$53="Пользовательская база",MAX(0,N('Исходные данные'!$B$57)/12),0)))</f>
        <v>0</v>
      </c>
      <c r="Q336">
        <f>IF(D336=1,-P336*N('Исходные данные'!$B$50),0)</f>
        <v>0</v>
      </c>
      <c r="R336">
        <f t="shared" si="169"/>
        <v>0</v>
      </c>
      <c r="S336">
        <f>IF(OR(D336&lt;&gt;1,B336="",'Исходные данные'!$B$91="",N('Исходные данные'!$B$80)&lt;=0,'Исходные данные'!$B$88=""),0,IF(AND(YEAR(B336)=YEAR('Исходные данные'!$B$91),MONTH(B336)=MONTH('Исходные данные'!$B$91)),MAX(0,IF('Исходные данные'!$B$88="Последние 12 месяцев",SUMIFS($L$2:$L$194,$B$2:$B$194,"&gt;="&amp;EDATE(B336,-11),$B$2:$B$194,"&lt;="&amp;B336),IF('Исходные данные'!$B$88="Пользовательский NOI",N('Исходные данные'!$B$89),R336))/N('Исходные данные'!$B$80)*(1+N('Исходные данные'!$B$81))),0))</f>
        <v>0</v>
      </c>
      <c r="T336">
        <f>-S336*N('Исходные данные'!$B$73)</f>
        <v>0</v>
      </c>
      <c r="U336">
        <f>IF(S336=0,0,-N('Исходные данные'!$B$87)-IF('Исходные данные'!$B$82="Да",IF('Исходные данные'!$B$84="С выручки",S336,IF('Исходные данные'!$B$84="С прибыли",MAX(0,S336+T336-IF('Исходные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36">
        <f t="shared" si="182"/>
        <v>0</v>
      </c>
      <c r="W336">
        <f>IF(D336=1,Расчёты!AZ336+K336+N336+Q336+V336,0)</f>
        <v>0</v>
      </c>
      <c r="X336" t="str">
        <f t="shared" si="170"/>
        <v/>
      </c>
      <c r="Y336">
        <f>IF(OR(D336=0,'Исходные данные'!$B$9="",'Исходные данные'!$B$90=""),0,W336/(1+'Исходные данные'!$B$90)^((C336-'Исходные данные'!$B$9)/365))</f>
        <v>0</v>
      </c>
      <c r="Z336">
        <f>IF(D336=1,K336+Расчёты!O336+Расчёты!Q336+Расчёты!S336+Расчёты!U336+Расчёты!W336+Расчёты!X336+N336+Q336,0)</f>
        <v>0</v>
      </c>
      <c r="AA336">
        <f>IF(AND(D336=1,X336&gt;=0,X335&lt;0,MIN($X$2:X336)&lt;0),1,0)</f>
        <v>0</v>
      </c>
      <c r="AB336">
        <f>IF(Расчёты!F336=0,0,IF(Расчёты!G336=1,N('Сценарный анализ'!$C$5),IF(Расчёты!G336=2,N('Сценарный анализ'!$C$6),IF(Расчёты!G336=3,N('Сценарный анализ'!$C$7),N('Сценарный анализ'!$C$7)*(1+N('Сценарный анализ'!$C$8))^(Расчёты!G336-3)))))</f>
        <v>0</v>
      </c>
      <c r="AC336">
        <f>IF(OR(Расчёты!F336=0,N('Исходные данные'!$B$5)=0,AB336=0),0,N('Исходные данные'!$B$5)*AB336*IF(AND(B336&lt;='Исходные данные'!$B$30,Расчёты!C336&gt;='Исходные данные'!$B$30),(Расчёты!C336-'Исходные данные'!$B$30+1)/DAY(Расчёты!C336),1))</f>
        <v>0</v>
      </c>
      <c r="AD336">
        <f>IF(AND(Расчёты!F336&gt;0,Расчёты!F336&lt;=N('Исходные данные'!$B$37)),-AC336,0)</f>
        <v>0</v>
      </c>
      <c r="AE336">
        <f>IF(OR(Расчёты!F336=0,Расчёты!F336&lt;=N('Исходные данные'!$B$37)),0,-(AC336+AD336)*N('Сценарный анализ'!$C$9))</f>
        <v>0</v>
      </c>
      <c r="AF336">
        <f t="shared" si="183"/>
        <v>0</v>
      </c>
      <c r="AG336">
        <f>IF('Исходные данные'!$B$51="Да",AF336*N('Исходные данные'!$B$52),0)</f>
        <v>0</v>
      </c>
      <c r="AH336">
        <f t="shared" si="184"/>
        <v>0</v>
      </c>
      <c r="AI336">
        <f>AF336+(Расчёты!Y336-Расчёты!L336)</f>
        <v>0</v>
      </c>
      <c r="AJ336">
        <f t="shared" si="171"/>
        <v>0</v>
      </c>
      <c r="AK336">
        <f>IF('Исходные данные'!$B$51="Да",-MAX(0,AG336+Расчёты!R336+Расчёты!V336-Расчёты!P336-Расчёты!T336-AJ336),0)</f>
        <v>0</v>
      </c>
      <c r="AL336">
        <f>IF('Исходные данные'!$B$51="Да",MAX(0,AJ336+Расчёты!P336+Расчёты!T336-AG336-Расчёты!R336-Расчёты!V336),0)</f>
        <v>0</v>
      </c>
      <c r="AM336">
        <f>IF('Исходные данные'!$B$53="Выручка",MAX(0,AF336+(Расчёты!Q336-Расчёты!R336)+(Расчёты!U336-Расчёты!V336)),IF('Исходные данные'!$B$53="Прибыль до налога",MAX(0,AF336+(Расчёты!Q336-Расчёты!R336)+(Расчёты!U336-Расчёты!V336)+N('Исходные данные'!$B$54)*((Расчёты!O336+Расчёты!P336)+(Расчёты!S336+Расчёты!T336)+Расчёты!W336+Расчёты!X336)+IF('Исходные данные'!$B$55="Да",Расчёты!AG336,0)-N('Исходные данные'!$B$56)/12),IF('Исходные данные'!$B$53="Пользовательская база",MAX(0,N('Исходные данные'!$B$57)/12),0)))</f>
        <v>0</v>
      </c>
      <c r="AN336">
        <f>IF(D336=1,-AM336*N('Исходные данные'!$B$50),0)</f>
        <v>0</v>
      </c>
      <c r="AO336">
        <f t="shared" si="172"/>
        <v>0</v>
      </c>
      <c r="AP336">
        <f>IF(OR(D336&lt;&gt;1,B336="",'Исходные данные'!$B$91="",N('Исходные данные'!$B$80)&lt;=0,'Исходные данные'!$B$88=""),0,IF(AND(YEAR(B336)=YEAR('Исходные данные'!$B$91),MONTH(B336)=MONTH('Исходные данные'!$B$91)),MAX(0,IF('Исходные данные'!$B$88="Последние 12 месяцев",SUMIFS($AI$2:$AI$194,$B$2:$B$194,"&gt;="&amp;EDATE(B336,-11),$B$2:$B$194,"&lt;="&amp;B336),IF('Исходные данные'!$B$88="Пользовательский NOI",N('Исходные данные'!$B$89),AO336))/N('Исходные данные'!$B$80)*(1+N('Исходные данные'!$B$81))),0))</f>
        <v>0</v>
      </c>
      <c r="AQ336">
        <f>-AP336*N('Исходные данные'!$B$73)</f>
        <v>0</v>
      </c>
      <c r="AR336">
        <f>IF(AP336=0,0,-N('Исходные данные'!$B$87)-IF('Исходные данные'!$B$82="Да",IF('Исходные данные'!$B$84="С выручки",AP336,IF('Исходные данные'!$B$84="С прибыли",MAX(0,AP336+AQ336-IF('Исходные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36">
        <f t="shared" si="185"/>
        <v>0</v>
      </c>
      <c r="AT336">
        <f>IF(D336=1,Расчёты!AZ336+AH336+AK336+AN336+AS336,0)</f>
        <v>0</v>
      </c>
      <c r="AU336" t="str">
        <f t="shared" si="173"/>
        <v/>
      </c>
      <c r="AV336">
        <f>IF(OR(D336=0,'Исходные данные'!$B$9="",'Исходные данные'!$B$90=""),0,AT336/(1+'Исходные данные'!$B$90)^((C336-'Исходные данные'!$B$9)/365))</f>
        <v>0</v>
      </c>
      <c r="AW336">
        <f>IF(D336=1,AH336+Расчёты!O336+Расчёты!Q336+Расчёты!S336+Расчёты!U336+Расчёты!W336+Расчёты!X336+AK336+AN336,0)</f>
        <v>0</v>
      </c>
      <c r="AX336">
        <f>IF(AND(D336=1,AU336&gt;=0,AU335&lt;0,MIN($AU$2:AU336)&lt;0),1,0)</f>
        <v>0</v>
      </c>
      <c r="AY336">
        <f>IF(Расчёты!F336=0,0,IF(Расчёты!G336=1,N('Сценарный анализ'!$D$5),IF(Расчёты!G336=2,N('Сценарный анализ'!$D$6),IF(Расчёты!G336=3,N('Сценарный анализ'!$D$7),N('Сценарный анализ'!$D$7)*(1+N('Сценарный анализ'!$D$8))^(Расчёты!G336-3)))))</f>
        <v>0</v>
      </c>
      <c r="AZ336">
        <f>IF(OR(Расчёты!F336=0,N('Исходные данные'!$B$5)=0,AY336=0),0,N('Исходные данные'!$B$5)*AY336*IF(AND(B336&lt;='Исходные данные'!$B$30,Расчёты!C336&gt;='Исходные данные'!$B$30),(Расчёты!C336-'Исходные данные'!$B$30+1)/DAY(Расчёты!C336),1))</f>
        <v>0</v>
      </c>
      <c r="BA336">
        <f>IF(AND(Расчёты!F336&gt;0,Расчёты!F336&lt;=N('Исходные данные'!$B$37)),-AZ336,0)</f>
        <v>0</v>
      </c>
      <c r="BB336">
        <f>IF(OR(Расчёты!F336=0,Расчёты!F336&lt;=N('Исходные данные'!$B$37)),0,-(AZ336+BA336)*N('Сценарный анализ'!$D$9))</f>
        <v>0</v>
      </c>
      <c r="BC336">
        <f t="shared" si="186"/>
        <v>0</v>
      </c>
      <c r="BD336">
        <f>IF('Исходные данные'!$B$51="Да",BC336*N('Исходные данные'!$B$52),0)</f>
        <v>0</v>
      </c>
      <c r="BE336">
        <f t="shared" si="187"/>
        <v>0</v>
      </c>
      <c r="BF336">
        <f>BC336+(Расчёты!Y336-Расчёты!L336)</f>
        <v>0</v>
      </c>
      <c r="BG336">
        <f t="shared" si="174"/>
        <v>0</v>
      </c>
      <c r="BH336">
        <f>IF('Исходные данные'!$B$51="Да",-MAX(0,BD336+Расчёты!R336+Расчёты!V336-Расчёты!P336-Расчёты!T336-BG336),0)</f>
        <v>0</v>
      </c>
      <c r="BI336">
        <f>IF('Исходные данные'!$B$51="Да",MAX(0,BG336+Расчёты!P336+Расчёты!T336-BD336-Расчёты!R336-Расчёты!V336),0)</f>
        <v>0</v>
      </c>
      <c r="BJ336">
        <f>IF('Исходные данные'!$B$53="Выручка",MAX(0,BC336+(Расчёты!Q336-Расчёты!R336)+(Расчёты!U336-Расчёты!V336)),IF('Исходные данные'!$B$53="Прибыль до налога",MAX(0,BC336+(Расчёты!Q336-Расчёты!R336)+(Расчёты!U336-Расчёты!V336)+N('Исходные данные'!$B$54)*((Расчёты!O336+Расчёты!P336)+(Расчёты!S336+Расчёты!T336)+Расчёты!W336+Расчёты!X336)+IF('Исходные данные'!$B$55="Да",Расчёты!AG336,0)-N('Исходные данные'!$B$56)/12),IF('Исходные данные'!$B$53="Пользовательская база",MAX(0,N('Исходные данные'!$B$57)/12),0)))</f>
        <v>0</v>
      </c>
      <c r="BK336">
        <f>IF(D336=1,-BJ336*N('Исходные данные'!$B$50),0)</f>
        <v>0</v>
      </c>
      <c r="BL336">
        <f t="shared" si="175"/>
        <v>0</v>
      </c>
      <c r="BM336">
        <f>IF(OR(D336&lt;&gt;1,B336="",'Исходные данные'!$B$91="",N('Исходные данные'!$B$80)&lt;=0,'Исходные данные'!$B$88=""),0,IF(AND(YEAR(B336)=YEAR('Исходные данные'!$B$91),MONTH(B336)=MONTH('Исходные данные'!$B$91)),MAX(0,IF('Исходные данные'!$B$88="Последние 12 месяцев",SUMIFS($BF$2:$BF$194,$B$2:$B$194,"&gt;="&amp;EDATE(B336,-11),$B$2:$B$194,"&lt;="&amp;B336),IF('Исходные данные'!$B$88="Пользовательский NOI",N('Исходные данные'!$B$89),BL336))/N('Исходные данные'!$B$80)*(1+N('Исходные данные'!$B$81))),0))</f>
        <v>0</v>
      </c>
      <c r="BN336">
        <f>-BM336*N('Исходные данные'!$B$73)</f>
        <v>0</v>
      </c>
      <c r="BO336">
        <f>IF(BM336=0,0,-N('Исходные данные'!$B$87)-IF('Исходные данные'!$B$82="Да",IF('Исходные данные'!$B$84="С выручки",BM336,IF('Исходные данные'!$B$84="С прибыли",MAX(0,BM336+BN336-IF('Исходные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36">
        <f t="shared" si="188"/>
        <v>0</v>
      </c>
      <c r="BQ336">
        <f>IF(D336=1,Расчёты!AZ336+BE336+BH336+BK336+BP336,0)</f>
        <v>0</v>
      </c>
      <c r="BR336" t="str">
        <f t="shared" si="176"/>
        <v/>
      </c>
      <c r="BS336">
        <f>IF(OR(D336=0,'Исходные данные'!$B$9="",'Исходные данные'!$B$90=""),0,BQ336/(1+'Исходные данные'!$B$90)^((C336-'Исходные данные'!$B$9)/365))</f>
        <v>0</v>
      </c>
      <c r="BT336">
        <f>IF(D336=1,BE336+Расчёты!O336+Расчёты!Q336+Расчёты!S336+Расчёты!U336+Расчёты!W336+Расчёты!X336+BH336+BK336,0)</f>
        <v>0</v>
      </c>
      <c r="BU336">
        <f>IF(AND(D336=1,BR336&gt;=0,BR335&lt;0,MIN($BR$2:BR336)&lt;0),1,0)</f>
        <v>0</v>
      </c>
      <c r="BV336">
        <f>Расчёты!AZ336+K336+N336-P336*N('Исходные данные'!$B$50)</f>
        <v>0</v>
      </c>
      <c r="BW336">
        <f t="shared" si="177"/>
        <v>0</v>
      </c>
      <c r="BX336">
        <f>IF(AND(BW336&gt;=0,BW335&lt;0,MIN($BW$2:BW336)&lt;0),1,0)</f>
        <v>0</v>
      </c>
      <c r="BY336">
        <f>Расчёты!AZ336+AH336+AK336-AM336*N('Исходные данные'!$B$50)</f>
        <v>0</v>
      </c>
      <c r="BZ336">
        <f t="shared" si="178"/>
        <v>0</v>
      </c>
      <c r="CA336">
        <f>IF(AND(BZ336&gt;=0,BZ335&lt;0,MIN($BZ$2:BZ336)&lt;0),1,0)</f>
        <v>0</v>
      </c>
      <c r="CB336">
        <f>Расчёты!AZ336+BE336+BH336-BJ336*N('Исходные данные'!$B$50)</f>
        <v>0</v>
      </c>
      <c r="CC336">
        <f t="shared" si="179"/>
        <v>0</v>
      </c>
      <c r="CD336">
        <f>IF(AND(CC336&gt;=0,CC335&lt;0,MIN($CC$2:CC336)&lt;0),1,0)</f>
        <v>0</v>
      </c>
    </row>
    <row r="337" spans="1:82" x14ac:dyDescent="0.2">
      <c r="A337">
        <f>Расчёты!A337</f>
        <v>336</v>
      </c>
      <c r="B337" t="str">
        <f>Расчёты!B337</f>
        <v/>
      </c>
      <c r="C337" t="str">
        <f>Расчёты!D337</f>
        <v/>
      </c>
      <c r="D337">
        <f>Расчёты!E337</f>
        <v>0</v>
      </c>
      <c r="E337">
        <f>IF(Расчёты!F337=0,0,IF(Расчёты!G337=1,N('Сценарный анализ'!$B$5),IF(Расчёты!G337=2,N('Сценарный анализ'!$B$6),IF(Расчёты!G337=3,N('Сценарный анализ'!$B$7),N('Сценарный анализ'!$B$7)*(1+N('Сценарный анализ'!$B$8))^(Расчёты!G337-3)))))</f>
        <v>0</v>
      </c>
      <c r="F337">
        <f>IF(OR(Расчёты!F337=0,N('Исходные данные'!$B$5)=0,E337=0),0,N('Исходные данные'!$B$5)*E337*IF(AND(B337&lt;='Исходные данные'!$B$30,Расчёты!C337&gt;='Исходные данные'!$B$30),(Расчёты!C337-'Исходные данные'!$B$30+1)/DAY(Расчёты!C337),1))</f>
        <v>0</v>
      </c>
      <c r="G337">
        <f>IF(AND(Расчёты!F337&gt;0,Расчёты!F337&lt;=N('Исходные данные'!$B$37)),-F337,0)</f>
        <v>0</v>
      </c>
      <c r="H337">
        <f>IF(OR(Расчёты!F337=0,Расчёты!F337&lt;=N('Исходные данные'!$B$37)),0,-(F337+G337)*N('Сценарный анализ'!$B$9))</f>
        <v>0</v>
      </c>
      <c r="I337">
        <f t="shared" si="180"/>
        <v>0</v>
      </c>
      <c r="J337">
        <f>IF('Исходные данные'!$B$51="Да",I337*N('Исходные данные'!$B$52),0)</f>
        <v>0</v>
      </c>
      <c r="K337">
        <f t="shared" si="181"/>
        <v>0</v>
      </c>
      <c r="L337">
        <f>I337+(Расчёты!Y337-Расчёты!L337)</f>
        <v>0</v>
      </c>
      <c r="M337">
        <f t="shared" si="168"/>
        <v>0</v>
      </c>
      <c r="N337">
        <f>IF('Исходные данные'!$B$51="Да",-MAX(0,J337+Расчёты!R337+Расчёты!V337-Расчёты!P337-Расчёты!T337-M337),0)</f>
        <v>0</v>
      </c>
      <c r="O337">
        <f>IF('Исходные данные'!$B$51="Да",MAX(0,M337+Расчёты!P337+Расчёты!T337-J337-Расчёты!R337-Расчёты!V337),0)</f>
        <v>0</v>
      </c>
      <c r="P337">
        <f>IF('Исходные данные'!$B$53="Выручка",MAX(0,I337+(Расчёты!Q337-Расчёты!R337)+(Расчёты!U337-Расчёты!V337)),IF('Исходные данные'!$B$53="Прибыль до налога",MAX(0,I337+(Расчёты!Q337-Расчёты!R337)+(Расчёты!U337-Расчёты!V337)+N('Исходные данные'!$B$54)*((Расчёты!O337+Расчёты!P337)+(Расчёты!S337+Расчёты!T337)+Расчёты!W337+Расчёты!X337)+IF('Исходные данные'!$B$55="Да",Расчёты!AG337,0)-N('Исходные данные'!$B$56)/12),IF('Исходные данные'!$B$53="Пользовательская база",MAX(0,N('Исходные данные'!$B$57)/12),0)))</f>
        <v>0</v>
      </c>
      <c r="Q337">
        <f>IF(D337=1,-P337*N('Исходные данные'!$B$50),0)</f>
        <v>0</v>
      </c>
      <c r="R337">
        <f t="shared" si="169"/>
        <v>0</v>
      </c>
      <c r="S337">
        <f>IF(OR(D337&lt;&gt;1,B337="",'Исходные данные'!$B$91="",N('Исходные данные'!$B$80)&lt;=0,'Исходные данные'!$B$88=""),0,IF(AND(YEAR(B337)=YEAR('Исходные данные'!$B$91),MONTH(B337)=MONTH('Исходные данные'!$B$91)),MAX(0,IF('Исходные данные'!$B$88="Последние 12 месяцев",SUMIFS($L$2:$L$194,$B$2:$B$194,"&gt;="&amp;EDATE(B337,-11),$B$2:$B$194,"&lt;="&amp;B337),IF('Исходные данные'!$B$88="Пользовательский NOI",N('Исходные данные'!$B$89),R337))/N('Исходные данные'!$B$80)*(1+N('Исходные данные'!$B$81))),0))</f>
        <v>0</v>
      </c>
      <c r="T337">
        <f>-S337*N('Исходные данные'!$B$73)</f>
        <v>0</v>
      </c>
      <c r="U337">
        <f>IF(S337=0,0,-N('Исходные данные'!$B$87)-IF('Исходные данные'!$B$82="Да",IF('Исходные данные'!$B$84="С выручки",S337,IF('Исходные данные'!$B$84="С прибыли",MAX(0,S337+T337-IF('Исходные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37">
        <f t="shared" si="182"/>
        <v>0</v>
      </c>
      <c r="W337">
        <f>IF(D337=1,Расчёты!AZ337+K337+N337+Q337+V337,0)</f>
        <v>0</v>
      </c>
      <c r="X337" t="str">
        <f t="shared" si="170"/>
        <v/>
      </c>
      <c r="Y337">
        <f>IF(OR(D337=0,'Исходные данные'!$B$9="",'Исходные данные'!$B$90=""),0,W337/(1+'Исходные данные'!$B$90)^((C337-'Исходные данные'!$B$9)/365))</f>
        <v>0</v>
      </c>
      <c r="Z337">
        <f>IF(D337=1,K337+Расчёты!O337+Расчёты!Q337+Расчёты!S337+Расчёты!U337+Расчёты!W337+Расчёты!X337+N337+Q337,0)</f>
        <v>0</v>
      </c>
      <c r="AA337">
        <f>IF(AND(D337=1,X337&gt;=0,X336&lt;0,MIN($X$2:X337)&lt;0),1,0)</f>
        <v>0</v>
      </c>
      <c r="AB337">
        <f>IF(Расчёты!F337=0,0,IF(Расчёты!G337=1,N('Сценарный анализ'!$C$5),IF(Расчёты!G337=2,N('Сценарный анализ'!$C$6),IF(Расчёты!G337=3,N('Сценарный анализ'!$C$7),N('Сценарный анализ'!$C$7)*(1+N('Сценарный анализ'!$C$8))^(Расчёты!G337-3)))))</f>
        <v>0</v>
      </c>
      <c r="AC337">
        <f>IF(OR(Расчёты!F337=0,N('Исходные данные'!$B$5)=0,AB337=0),0,N('Исходные данные'!$B$5)*AB337*IF(AND(B337&lt;='Исходные данные'!$B$30,Расчёты!C337&gt;='Исходные данные'!$B$30),(Расчёты!C337-'Исходные данные'!$B$30+1)/DAY(Расчёты!C337),1))</f>
        <v>0</v>
      </c>
      <c r="AD337">
        <f>IF(AND(Расчёты!F337&gt;0,Расчёты!F337&lt;=N('Исходные данные'!$B$37)),-AC337,0)</f>
        <v>0</v>
      </c>
      <c r="AE337">
        <f>IF(OR(Расчёты!F337=0,Расчёты!F337&lt;=N('Исходные данные'!$B$37)),0,-(AC337+AD337)*N('Сценарный анализ'!$C$9))</f>
        <v>0</v>
      </c>
      <c r="AF337">
        <f t="shared" si="183"/>
        <v>0</v>
      </c>
      <c r="AG337">
        <f>IF('Исходные данные'!$B$51="Да",AF337*N('Исходные данные'!$B$52),0)</f>
        <v>0</v>
      </c>
      <c r="AH337">
        <f t="shared" si="184"/>
        <v>0</v>
      </c>
      <c r="AI337">
        <f>AF337+(Расчёты!Y337-Расчёты!L337)</f>
        <v>0</v>
      </c>
      <c r="AJ337">
        <f t="shared" si="171"/>
        <v>0</v>
      </c>
      <c r="AK337">
        <f>IF('Исходные данные'!$B$51="Да",-MAX(0,AG337+Расчёты!R337+Расчёты!V337-Расчёты!P337-Расчёты!T337-AJ337),0)</f>
        <v>0</v>
      </c>
      <c r="AL337">
        <f>IF('Исходные данные'!$B$51="Да",MAX(0,AJ337+Расчёты!P337+Расчёты!T337-AG337-Расчёты!R337-Расчёты!V337),0)</f>
        <v>0</v>
      </c>
      <c r="AM337">
        <f>IF('Исходные данные'!$B$53="Выручка",MAX(0,AF337+(Расчёты!Q337-Расчёты!R337)+(Расчёты!U337-Расчёты!V337)),IF('Исходные данные'!$B$53="Прибыль до налога",MAX(0,AF337+(Расчёты!Q337-Расчёты!R337)+(Расчёты!U337-Расчёты!V337)+N('Исходные данные'!$B$54)*((Расчёты!O337+Расчёты!P337)+(Расчёты!S337+Расчёты!T337)+Расчёты!W337+Расчёты!X337)+IF('Исходные данные'!$B$55="Да",Расчёты!AG337,0)-N('Исходные данные'!$B$56)/12),IF('Исходные данные'!$B$53="Пользовательская база",MAX(0,N('Исходные данные'!$B$57)/12),0)))</f>
        <v>0</v>
      </c>
      <c r="AN337">
        <f>IF(D337=1,-AM337*N('Исходные данные'!$B$50),0)</f>
        <v>0</v>
      </c>
      <c r="AO337">
        <f t="shared" si="172"/>
        <v>0</v>
      </c>
      <c r="AP337">
        <f>IF(OR(D337&lt;&gt;1,B337="",'Исходные данные'!$B$91="",N('Исходные данные'!$B$80)&lt;=0,'Исходные данные'!$B$88=""),0,IF(AND(YEAR(B337)=YEAR('Исходные данные'!$B$91),MONTH(B337)=MONTH('Исходные данные'!$B$91)),MAX(0,IF('Исходные данные'!$B$88="Последние 12 месяцев",SUMIFS($AI$2:$AI$194,$B$2:$B$194,"&gt;="&amp;EDATE(B337,-11),$B$2:$B$194,"&lt;="&amp;B337),IF('Исходные данные'!$B$88="Пользовательский NOI",N('Исходные данные'!$B$89),AO337))/N('Исходные данные'!$B$80)*(1+N('Исходные данные'!$B$81))),0))</f>
        <v>0</v>
      </c>
      <c r="AQ337">
        <f>-AP337*N('Исходные данные'!$B$73)</f>
        <v>0</v>
      </c>
      <c r="AR337">
        <f>IF(AP337=0,0,-N('Исходные данные'!$B$87)-IF('Исходные данные'!$B$82="Да",IF('Исходные данные'!$B$84="С выручки",AP337,IF('Исходные данные'!$B$84="С прибыли",MAX(0,AP337+AQ337-IF('Исходные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37">
        <f t="shared" si="185"/>
        <v>0</v>
      </c>
      <c r="AT337">
        <f>IF(D337=1,Расчёты!AZ337+AH337+AK337+AN337+AS337,0)</f>
        <v>0</v>
      </c>
      <c r="AU337" t="str">
        <f t="shared" si="173"/>
        <v/>
      </c>
      <c r="AV337">
        <f>IF(OR(D337=0,'Исходные данные'!$B$9="",'Исходные данные'!$B$90=""),0,AT337/(1+'Исходные данные'!$B$90)^((C337-'Исходные данные'!$B$9)/365))</f>
        <v>0</v>
      </c>
      <c r="AW337">
        <f>IF(D337=1,AH337+Расчёты!O337+Расчёты!Q337+Расчёты!S337+Расчёты!U337+Расчёты!W337+Расчёты!X337+AK337+AN337,0)</f>
        <v>0</v>
      </c>
      <c r="AX337">
        <f>IF(AND(D337=1,AU337&gt;=0,AU336&lt;0,MIN($AU$2:AU337)&lt;0),1,0)</f>
        <v>0</v>
      </c>
      <c r="AY337">
        <f>IF(Расчёты!F337=0,0,IF(Расчёты!G337=1,N('Сценарный анализ'!$D$5),IF(Расчёты!G337=2,N('Сценарный анализ'!$D$6),IF(Расчёты!G337=3,N('Сценарный анализ'!$D$7),N('Сценарный анализ'!$D$7)*(1+N('Сценарный анализ'!$D$8))^(Расчёты!G337-3)))))</f>
        <v>0</v>
      </c>
      <c r="AZ337">
        <f>IF(OR(Расчёты!F337=0,N('Исходные данные'!$B$5)=0,AY337=0),0,N('Исходные данные'!$B$5)*AY337*IF(AND(B337&lt;='Исходные данные'!$B$30,Расчёты!C337&gt;='Исходные данные'!$B$30),(Расчёты!C337-'Исходные данные'!$B$30+1)/DAY(Расчёты!C337),1))</f>
        <v>0</v>
      </c>
      <c r="BA337">
        <f>IF(AND(Расчёты!F337&gt;0,Расчёты!F337&lt;=N('Исходные данные'!$B$37)),-AZ337,0)</f>
        <v>0</v>
      </c>
      <c r="BB337">
        <f>IF(OR(Расчёты!F337=0,Расчёты!F337&lt;=N('Исходные данные'!$B$37)),0,-(AZ337+BA337)*N('Сценарный анализ'!$D$9))</f>
        <v>0</v>
      </c>
      <c r="BC337">
        <f t="shared" si="186"/>
        <v>0</v>
      </c>
      <c r="BD337">
        <f>IF('Исходные данные'!$B$51="Да",BC337*N('Исходные данные'!$B$52),0)</f>
        <v>0</v>
      </c>
      <c r="BE337">
        <f t="shared" si="187"/>
        <v>0</v>
      </c>
      <c r="BF337">
        <f>BC337+(Расчёты!Y337-Расчёты!L337)</f>
        <v>0</v>
      </c>
      <c r="BG337">
        <f t="shared" si="174"/>
        <v>0</v>
      </c>
      <c r="BH337">
        <f>IF('Исходные данные'!$B$51="Да",-MAX(0,BD337+Расчёты!R337+Расчёты!V337-Расчёты!P337-Расчёты!T337-BG337),0)</f>
        <v>0</v>
      </c>
      <c r="BI337">
        <f>IF('Исходные данные'!$B$51="Да",MAX(0,BG337+Расчёты!P337+Расчёты!T337-BD337-Расчёты!R337-Расчёты!V337),0)</f>
        <v>0</v>
      </c>
      <c r="BJ337">
        <f>IF('Исходные данные'!$B$53="Выручка",MAX(0,BC337+(Расчёты!Q337-Расчёты!R337)+(Расчёты!U337-Расчёты!V337)),IF('Исходные данные'!$B$53="Прибыль до налога",MAX(0,BC337+(Расчёты!Q337-Расчёты!R337)+(Расчёты!U337-Расчёты!V337)+N('Исходные данные'!$B$54)*((Расчёты!O337+Расчёты!P337)+(Расчёты!S337+Расчёты!T337)+Расчёты!W337+Расчёты!X337)+IF('Исходные данные'!$B$55="Да",Расчёты!AG337,0)-N('Исходные данные'!$B$56)/12),IF('Исходные данные'!$B$53="Пользовательская база",MAX(0,N('Исходные данные'!$B$57)/12),0)))</f>
        <v>0</v>
      </c>
      <c r="BK337">
        <f>IF(D337=1,-BJ337*N('Исходные данные'!$B$50),0)</f>
        <v>0</v>
      </c>
      <c r="BL337">
        <f t="shared" si="175"/>
        <v>0</v>
      </c>
      <c r="BM337">
        <f>IF(OR(D337&lt;&gt;1,B337="",'Исходные данные'!$B$91="",N('Исходные данные'!$B$80)&lt;=0,'Исходные данные'!$B$88=""),0,IF(AND(YEAR(B337)=YEAR('Исходные данные'!$B$91),MONTH(B337)=MONTH('Исходные данные'!$B$91)),MAX(0,IF('Исходные данные'!$B$88="Последние 12 месяцев",SUMIFS($BF$2:$BF$194,$B$2:$B$194,"&gt;="&amp;EDATE(B337,-11),$B$2:$B$194,"&lt;="&amp;B337),IF('Исходные данные'!$B$88="Пользовательский NOI",N('Исходные данные'!$B$89),BL337))/N('Исходные данные'!$B$80)*(1+N('Исходные данные'!$B$81))),0))</f>
        <v>0</v>
      </c>
      <c r="BN337">
        <f>-BM337*N('Исходные данные'!$B$73)</f>
        <v>0</v>
      </c>
      <c r="BO337">
        <f>IF(BM337=0,0,-N('Исходные данные'!$B$87)-IF('Исходные данные'!$B$82="Да",IF('Исходные данные'!$B$84="С выручки",BM337,IF('Исходные данные'!$B$84="С прибыли",MAX(0,BM337+BN337-IF('Исходные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37">
        <f t="shared" si="188"/>
        <v>0</v>
      </c>
      <c r="BQ337">
        <f>IF(D337=1,Расчёты!AZ337+BE337+BH337+BK337+BP337,0)</f>
        <v>0</v>
      </c>
      <c r="BR337" t="str">
        <f t="shared" si="176"/>
        <v/>
      </c>
      <c r="BS337">
        <f>IF(OR(D337=0,'Исходные данные'!$B$9="",'Исходные данные'!$B$90=""),0,BQ337/(1+'Исходные данные'!$B$90)^((C337-'Исходные данные'!$B$9)/365))</f>
        <v>0</v>
      </c>
      <c r="BT337">
        <f>IF(D337=1,BE337+Расчёты!O337+Расчёты!Q337+Расчёты!S337+Расчёты!U337+Расчёты!W337+Расчёты!X337+BH337+BK337,0)</f>
        <v>0</v>
      </c>
      <c r="BU337">
        <f>IF(AND(D337=1,BR337&gt;=0,BR336&lt;0,MIN($BR$2:BR337)&lt;0),1,0)</f>
        <v>0</v>
      </c>
      <c r="BV337">
        <f>Расчёты!AZ337+K337+N337-P337*N('Исходные данные'!$B$50)</f>
        <v>0</v>
      </c>
      <c r="BW337">
        <f t="shared" si="177"/>
        <v>0</v>
      </c>
      <c r="BX337">
        <f>IF(AND(BW337&gt;=0,BW336&lt;0,MIN($BW$2:BW337)&lt;0),1,0)</f>
        <v>0</v>
      </c>
      <c r="BY337">
        <f>Расчёты!AZ337+AH337+AK337-AM337*N('Исходные данные'!$B$50)</f>
        <v>0</v>
      </c>
      <c r="BZ337">
        <f t="shared" si="178"/>
        <v>0</v>
      </c>
      <c r="CA337">
        <f>IF(AND(BZ337&gt;=0,BZ336&lt;0,MIN($BZ$2:BZ337)&lt;0),1,0)</f>
        <v>0</v>
      </c>
      <c r="CB337">
        <f>Расчёты!AZ337+BE337+BH337-BJ337*N('Исходные данные'!$B$50)</f>
        <v>0</v>
      </c>
      <c r="CC337">
        <f t="shared" si="179"/>
        <v>0</v>
      </c>
      <c r="CD337">
        <f>IF(AND(CC337&gt;=0,CC336&lt;0,MIN($CC$2:CC337)&lt;0),1,0)</f>
        <v>0</v>
      </c>
    </row>
    <row r="338" spans="1:82" x14ac:dyDescent="0.2">
      <c r="A338">
        <f>Расчёты!A338</f>
        <v>337</v>
      </c>
      <c r="B338" t="str">
        <f>Расчёты!B338</f>
        <v/>
      </c>
      <c r="C338" t="str">
        <f>Расчёты!D338</f>
        <v/>
      </c>
      <c r="D338">
        <f>Расчёты!E338</f>
        <v>0</v>
      </c>
      <c r="E338">
        <f>IF(Расчёты!F338=0,0,IF(Расчёты!G338=1,N('Сценарный анализ'!$B$5),IF(Расчёты!G338=2,N('Сценарный анализ'!$B$6),IF(Расчёты!G338=3,N('Сценарный анализ'!$B$7),N('Сценарный анализ'!$B$7)*(1+N('Сценарный анализ'!$B$8))^(Расчёты!G338-3)))))</f>
        <v>0</v>
      </c>
      <c r="F338">
        <f>IF(OR(Расчёты!F338=0,N('Исходные данные'!$B$5)=0,E338=0),0,N('Исходные данные'!$B$5)*E338*IF(AND(B338&lt;='Исходные данные'!$B$30,Расчёты!C338&gt;='Исходные данные'!$B$30),(Расчёты!C338-'Исходные данные'!$B$30+1)/DAY(Расчёты!C338),1))</f>
        <v>0</v>
      </c>
      <c r="G338">
        <f>IF(AND(Расчёты!F338&gt;0,Расчёты!F338&lt;=N('Исходные данные'!$B$37)),-F338,0)</f>
        <v>0</v>
      </c>
      <c r="H338">
        <f>IF(OR(Расчёты!F338=0,Расчёты!F338&lt;=N('Исходные данные'!$B$37)),0,-(F338+G338)*N('Сценарный анализ'!$B$9))</f>
        <v>0</v>
      </c>
      <c r="I338">
        <f t="shared" si="180"/>
        <v>0</v>
      </c>
      <c r="J338">
        <f>IF('Исходные данные'!$B$51="Да",I338*N('Исходные данные'!$B$52),0)</f>
        <v>0</v>
      </c>
      <c r="K338">
        <f t="shared" si="181"/>
        <v>0</v>
      </c>
      <c r="L338">
        <f>I338+(Расчёты!Y338-Расчёты!L338)</f>
        <v>0</v>
      </c>
      <c r="M338">
        <f t="shared" si="168"/>
        <v>0</v>
      </c>
      <c r="N338">
        <f>IF('Исходные данные'!$B$51="Да",-MAX(0,J338+Расчёты!R338+Расчёты!V338-Расчёты!P338-Расчёты!T338-M338),0)</f>
        <v>0</v>
      </c>
      <c r="O338">
        <f>IF('Исходные данные'!$B$51="Да",MAX(0,M338+Расчёты!P338+Расчёты!T338-J338-Расчёты!R338-Расчёты!V338),0)</f>
        <v>0</v>
      </c>
      <c r="P338">
        <f>IF('Исходные данные'!$B$53="Выручка",MAX(0,I338+(Расчёты!Q338-Расчёты!R338)+(Расчёты!U338-Расчёты!V338)),IF('Исходные данные'!$B$53="Прибыль до налога",MAX(0,I338+(Расчёты!Q338-Расчёты!R338)+(Расчёты!U338-Расчёты!V338)+N('Исходные данные'!$B$54)*((Расчёты!O338+Расчёты!P338)+(Расчёты!S338+Расчёты!T338)+Расчёты!W338+Расчёты!X338)+IF('Исходные данные'!$B$55="Да",Расчёты!AG338,0)-N('Исходные данные'!$B$56)/12),IF('Исходные данные'!$B$53="Пользовательская база",MAX(0,N('Исходные данные'!$B$57)/12),0)))</f>
        <v>0</v>
      </c>
      <c r="Q338">
        <f>IF(D338=1,-P338*N('Исходные данные'!$B$50),0)</f>
        <v>0</v>
      </c>
      <c r="R338">
        <f t="shared" si="169"/>
        <v>0</v>
      </c>
      <c r="S338">
        <f>IF(OR(D338&lt;&gt;1,B338="",'Исходные данные'!$B$91="",N('Исходные данные'!$B$80)&lt;=0,'Исходные данные'!$B$88=""),0,IF(AND(YEAR(B338)=YEAR('Исходные данные'!$B$91),MONTH(B338)=MONTH('Исходные данные'!$B$91)),MAX(0,IF('Исходные данные'!$B$88="Последние 12 месяцев",SUMIFS($L$2:$L$194,$B$2:$B$194,"&gt;="&amp;EDATE(B338,-11),$B$2:$B$194,"&lt;="&amp;B338),IF('Исходные данные'!$B$88="Пользовательский NOI",N('Исходные данные'!$B$89),R338))/N('Исходные данные'!$B$80)*(1+N('Исходные данные'!$B$81))),0))</f>
        <v>0</v>
      </c>
      <c r="T338">
        <f>-S338*N('Исходные данные'!$B$73)</f>
        <v>0</v>
      </c>
      <c r="U338">
        <f>IF(S338=0,0,-N('Исходные данные'!$B$87)-IF('Исходные данные'!$B$82="Да",IF('Исходные данные'!$B$84="С выручки",S338,IF('Исходные данные'!$B$84="С прибыли",MAX(0,S338+T338-IF('Исходные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38">
        <f t="shared" si="182"/>
        <v>0</v>
      </c>
      <c r="W338">
        <f>IF(D338=1,Расчёты!AZ338+K338+N338+Q338+V338,0)</f>
        <v>0</v>
      </c>
      <c r="X338" t="str">
        <f t="shared" si="170"/>
        <v/>
      </c>
      <c r="Y338">
        <f>IF(OR(D338=0,'Исходные данные'!$B$9="",'Исходные данные'!$B$90=""),0,W338/(1+'Исходные данные'!$B$90)^((C338-'Исходные данные'!$B$9)/365))</f>
        <v>0</v>
      </c>
      <c r="Z338">
        <f>IF(D338=1,K338+Расчёты!O338+Расчёты!Q338+Расчёты!S338+Расчёты!U338+Расчёты!W338+Расчёты!X338+N338+Q338,0)</f>
        <v>0</v>
      </c>
      <c r="AA338">
        <f>IF(AND(D338=1,X338&gt;=0,X337&lt;0,MIN($X$2:X338)&lt;0),1,0)</f>
        <v>0</v>
      </c>
      <c r="AB338">
        <f>IF(Расчёты!F338=0,0,IF(Расчёты!G338=1,N('Сценарный анализ'!$C$5),IF(Расчёты!G338=2,N('Сценарный анализ'!$C$6),IF(Расчёты!G338=3,N('Сценарный анализ'!$C$7),N('Сценарный анализ'!$C$7)*(1+N('Сценарный анализ'!$C$8))^(Расчёты!G338-3)))))</f>
        <v>0</v>
      </c>
      <c r="AC338">
        <f>IF(OR(Расчёты!F338=0,N('Исходные данные'!$B$5)=0,AB338=0),0,N('Исходные данные'!$B$5)*AB338*IF(AND(B338&lt;='Исходные данные'!$B$30,Расчёты!C338&gt;='Исходные данные'!$B$30),(Расчёты!C338-'Исходные данные'!$B$30+1)/DAY(Расчёты!C338),1))</f>
        <v>0</v>
      </c>
      <c r="AD338">
        <f>IF(AND(Расчёты!F338&gt;0,Расчёты!F338&lt;=N('Исходные данные'!$B$37)),-AC338,0)</f>
        <v>0</v>
      </c>
      <c r="AE338">
        <f>IF(OR(Расчёты!F338=0,Расчёты!F338&lt;=N('Исходные данные'!$B$37)),0,-(AC338+AD338)*N('Сценарный анализ'!$C$9))</f>
        <v>0</v>
      </c>
      <c r="AF338">
        <f t="shared" si="183"/>
        <v>0</v>
      </c>
      <c r="AG338">
        <f>IF('Исходные данные'!$B$51="Да",AF338*N('Исходные данные'!$B$52),0)</f>
        <v>0</v>
      </c>
      <c r="AH338">
        <f t="shared" si="184"/>
        <v>0</v>
      </c>
      <c r="AI338">
        <f>AF338+(Расчёты!Y338-Расчёты!L338)</f>
        <v>0</v>
      </c>
      <c r="AJ338">
        <f t="shared" si="171"/>
        <v>0</v>
      </c>
      <c r="AK338">
        <f>IF('Исходные данные'!$B$51="Да",-MAX(0,AG338+Расчёты!R338+Расчёты!V338-Расчёты!P338-Расчёты!T338-AJ338),0)</f>
        <v>0</v>
      </c>
      <c r="AL338">
        <f>IF('Исходные данные'!$B$51="Да",MAX(0,AJ338+Расчёты!P338+Расчёты!T338-AG338-Расчёты!R338-Расчёты!V338),0)</f>
        <v>0</v>
      </c>
      <c r="AM338">
        <f>IF('Исходные данные'!$B$53="Выручка",MAX(0,AF338+(Расчёты!Q338-Расчёты!R338)+(Расчёты!U338-Расчёты!V338)),IF('Исходные данные'!$B$53="Прибыль до налога",MAX(0,AF338+(Расчёты!Q338-Расчёты!R338)+(Расчёты!U338-Расчёты!V338)+N('Исходные данные'!$B$54)*((Расчёты!O338+Расчёты!P338)+(Расчёты!S338+Расчёты!T338)+Расчёты!W338+Расчёты!X338)+IF('Исходные данные'!$B$55="Да",Расчёты!AG338,0)-N('Исходные данные'!$B$56)/12),IF('Исходные данные'!$B$53="Пользовательская база",MAX(0,N('Исходные данные'!$B$57)/12),0)))</f>
        <v>0</v>
      </c>
      <c r="AN338">
        <f>IF(D338=1,-AM338*N('Исходные данные'!$B$50),0)</f>
        <v>0</v>
      </c>
      <c r="AO338">
        <f t="shared" si="172"/>
        <v>0</v>
      </c>
      <c r="AP338">
        <f>IF(OR(D338&lt;&gt;1,B338="",'Исходные данные'!$B$91="",N('Исходные данные'!$B$80)&lt;=0,'Исходные данные'!$B$88=""),0,IF(AND(YEAR(B338)=YEAR('Исходные данные'!$B$91),MONTH(B338)=MONTH('Исходные данные'!$B$91)),MAX(0,IF('Исходные данные'!$B$88="Последние 12 месяцев",SUMIFS($AI$2:$AI$194,$B$2:$B$194,"&gt;="&amp;EDATE(B338,-11),$B$2:$B$194,"&lt;="&amp;B338),IF('Исходные данные'!$B$88="Пользовательский NOI",N('Исходные данные'!$B$89),AO338))/N('Исходные данные'!$B$80)*(1+N('Исходные данные'!$B$81))),0))</f>
        <v>0</v>
      </c>
      <c r="AQ338">
        <f>-AP338*N('Исходные данные'!$B$73)</f>
        <v>0</v>
      </c>
      <c r="AR338">
        <f>IF(AP338=0,0,-N('Исходные данные'!$B$87)-IF('Исходные данные'!$B$82="Да",IF('Исходные данные'!$B$84="С выручки",AP338,IF('Исходные данные'!$B$84="С прибыли",MAX(0,AP338+AQ338-IF('Исходные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38">
        <f t="shared" si="185"/>
        <v>0</v>
      </c>
      <c r="AT338">
        <f>IF(D338=1,Расчёты!AZ338+AH338+AK338+AN338+AS338,0)</f>
        <v>0</v>
      </c>
      <c r="AU338" t="str">
        <f t="shared" si="173"/>
        <v/>
      </c>
      <c r="AV338">
        <f>IF(OR(D338=0,'Исходные данные'!$B$9="",'Исходные данные'!$B$90=""),0,AT338/(1+'Исходные данные'!$B$90)^((C338-'Исходные данные'!$B$9)/365))</f>
        <v>0</v>
      </c>
      <c r="AW338">
        <f>IF(D338=1,AH338+Расчёты!O338+Расчёты!Q338+Расчёты!S338+Расчёты!U338+Расчёты!W338+Расчёты!X338+AK338+AN338,0)</f>
        <v>0</v>
      </c>
      <c r="AX338">
        <f>IF(AND(D338=1,AU338&gt;=0,AU337&lt;0,MIN($AU$2:AU338)&lt;0),1,0)</f>
        <v>0</v>
      </c>
      <c r="AY338">
        <f>IF(Расчёты!F338=0,0,IF(Расчёты!G338=1,N('Сценарный анализ'!$D$5),IF(Расчёты!G338=2,N('Сценарный анализ'!$D$6),IF(Расчёты!G338=3,N('Сценарный анализ'!$D$7),N('Сценарный анализ'!$D$7)*(1+N('Сценарный анализ'!$D$8))^(Расчёты!G338-3)))))</f>
        <v>0</v>
      </c>
      <c r="AZ338">
        <f>IF(OR(Расчёты!F338=0,N('Исходные данные'!$B$5)=0,AY338=0),0,N('Исходные данные'!$B$5)*AY338*IF(AND(B338&lt;='Исходные данные'!$B$30,Расчёты!C338&gt;='Исходные данные'!$B$30),(Расчёты!C338-'Исходные данные'!$B$30+1)/DAY(Расчёты!C338),1))</f>
        <v>0</v>
      </c>
      <c r="BA338">
        <f>IF(AND(Расчёты!F338&gt;0,Расчёты!F338&lt;=N('Исходные данные'!$B$37)),-AZ338,0)</f>
        <v>0</v>
      </c>
      <c r="BB338">
        <f>IF(OR(Расчёты!F338=0,Расчёты!F338&lt;=N('Исходные данные'!$B$37)),0,-(AZ338+BA338)*N('Сценарный анализ'!$D$9))</f>
        <v>0</v>
      </c>
      <c r="BC338">
        <f t="shared" si="186"/>
        <v>0</v>
      </c>
      <c r="BD338">
        <f>IF('Исходные данные'!$B$51="Да",BC338*N('Исходные данные'!$B$52),0)</f>
        <v>0</v>
      </c>
      <c r="BE338">
        <f t="shared" si="187"/>
        <v>0</v>
      </c>
      <c r="BF338">
        <f>BC338+(Расчёты!Y338-Расчёты!L338)</f>
        <v>0</v>
      </c>
      <c r="BG338">
        <f t="shared" si="174"/>
        <v>0</v>
      </c>
      <c r="BH338">
        <f>IF('Исходные данные'!$B$51="Да",-MAX(0,BD338+Расчёты!R338+Расчёты!V338-Расчёты!P338-Расчёты!T338-BG338),0)</f>
        <v>0</v>
      </c>
      <c r="BI338">
        <f>IF('Исходные данные'!$B$51="Да",MAX(0,BG338+Расчёты!P338+Расчёты!T338-BD338-Расчёты!R338-Расчёты!V338),0)</f>
        <v>0</v>
      </c>
      <c r="BJ338">
        <f>IF('Исходные данные'!$B$53="Выручка",MAX(0,BC338+(Расчёты!Q338-Расчёты!R338)+(Расчёты!U338-Расчёты!V338)),IF('Исходные данные'!$B$53="Прибыль до налога",MAX(0,BC338+(Расчёты!Q338-Расчёты!R338)+(Расчёты!U338-Расчёты!V338)+N('Исходные данные'!$B$54)*((Расчёты!O338+Расчёты!P338)+(Расчёты!S338+Расчёты!T338)+Расчёты!W338+Расчёты!X338)+IF('Исходные данные'!$B$55="Да",Расчёты!AG338,0)-N('Исходные данные'!$B$56)/12),IF('Исходные данные'!$B$53="Пользовательская база",MAX(0,N('Исходные данные'!$B$57)/12),0)))</f>
        <v>0</v>
      </c>
      <c r="BK338">
        <f>IF(D338=1,-BJ338*N('Исходные данные'!$B$50),0)</f>
        <v>0</v>
      </c>
      <c r="BL338">
        <f t="shared" si="175"/>
        <v>0</v>
      </c>
      <c r="BM338">
        <f>IF(OR(D338&lt;&gt;1,B338="",'Исходные данные'!$B$91="",N('Исходные данные'!$B$80)&lt;=0,'Исходные данные'!$B$88=""),0,IF(AND(YEAR(B338)=YEAR('Исходные данные'!$B$91),MONTH(B338)=MONTH('Исходные данные'!$B$91)),MAX(0,IF('Исходные данные'!$B$88="Последние 12 месяцев",SUMIFS($BF$2:$BF$194,$B$2:$B$194,"&gt;="&amp;EDATE(B338,-11),$B$2:$B$194,"&lt;="&amp;B338),IF('Исходные данные'!$B$88="Пользовательский NOI",N('Исходные данные'!$B$89),BL338))/N('Исходные данные'!$B$80)*(1+N('Исходные данные'!$B$81))),0))</f>
        <v>0</v>
      </c>
      <c r="BN338">
        <f>-BM338*N('Исходные данные'!$B$73)</f>
        <v>0</v>
      </c>
      <c r="BO338">
        <f>IF(BM338=0,0,-N('Исходные данные'!$B$87)-IF('Исходные данные'!$B$82="Да",IF('Исходные данные'!$B$84="С выручки",BM338,IF('Исходные данные'!$B$84="С прибыли",MAX(0,BM338+BN338-IF('Исходные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38">
        <f t="shared" si="188"/>
        <v>0</v>
      </c>
      <c r="BQ338">
        <f>IF(D338=1,Расчёты!AZ338+BE338+BH338+BK338+BP338,0)</f>
        <v>0</v>
      </c>
      <c r="BR338" t="str">
        <f t="shared" si="176"/>
        <v/>
      </c>
      <c r="BS338">
        <f>IF(OR(D338=0,'Исходные данные'!$B$9="",'Исходные данные'!$B$90=""),0,BQ338/(1+'Исходные данные'!$B$90)^((C338-'Исходные данные'!$B$9)/365))</f>
        <v>0</v>
      </c>
      <c r="BT338">
        <f>IF(D338=1,BE338+Расчёты!O338+Расчёты!Q338+Расчёты!S338+Расчёты!U338+Расчёты!W338+Расчёты!X338+BH338+BK338,0)</f>
        <v>0</v>
      </c>
      <c r="BU338">
        <f>IF(AND(D338=1,BR338&gt;=0,BR337&lt;0,MIN($BR$2:BR338)&lt;0),1,0)</f>
        <v>0</v>
      </c>
      <c r="BV338">
        <f>Расчёты!AZ338+K338+N338-P338*N('Исходные данные'!$B$50)</f>
        <v>0</v>
      </c>
      <c r="BW338">
        <f t="shared" si="177"/>
        <v>0</v>
      </c>
      <c r="BX338">
        <f>IF(AND(BW338&gt;=0,BW337&lt;0,MIN($BW$2:BW338)&lt;0),1,0)</f>
        <v>0</v>
      </c>
      <c r="BY338">
        <f>Расчёты!AZ338+AH338+AK338-AM338*N('Исходные данные'!$B$50)</f>
        <v>0</v>
      </c>
      <c r="BZ338">
        <f t="shared" si="178"/>
        <v>0</v>
      </c>
      <c r="CA338">
        <f>IF(AND(BZ338&gt;=0,BZ337&lt;0,MIN($BZ$2:BZ338)&lt;0),1,0)</f>
        <v>0</v>
      </c>
      <c r="CB338">
        <f>Расчёты!AZ338+BE338+BH338-BJ338*N('Исходные данные'!$B$50)</f>
        <v>0</v>
      </c>
      <c r="CC338">
        <f t="shared" si="179"/>
        <v>0</v>
      </c>
      <c r="CD338">
        <f>IF(AND(CC338&gt;=0,CC337&lt;0,MIN($CC$2:CC338)&lt;0),1,0)</f>
        <v>0</v>
      </c>
    </row>
    <row r="339" spans="1:82" x14ac:dyDescent="0.2">
      <c r="A339">
        <f>Расчёты!A339</f>
        <v>338</v>
      </c>
      <c r="B339" t="str">
        <f>Расчёты!B339</f>
        <v/>
      </c>
      <c r="C339" t="str">
        <f>Расчёты!D339</f>
        <v/>
      </c>
      <c r="D339">
        <f>Расчёты!E339</f>
        <v>0</v>
      </c>
      <c r="E339">
        <f>IF(Расчёты!F339=0,0,IF(Расчёты!G339=1,N('Сценарный анализ'!$B$5),IF(Расчёты!G339=2,N('Сценарный анализ'!$B$6),IF(Расчёты!G339=3,N('Сценарный анализ'!$B$7),N('Сценарный анализ'!$B$7)*(1+N('Сценарный анализ'!$B$8))^(Расчёты!G339-3)))))</f>
        <v>0</v>
      </c>
      <c r="F339">
        <f>IF(OR(Расчёты!F339=0,N('Исходные данные'!$B$5)=0,E339=0),0,N('Исходные данные'!$B$5)*E339*IF(AND(B339&lt;='Исходные данные'!$B$30,Расчёты!C339&gt;='Исходные данные'!$B$30),(Расчёты!C339-'Исходные данные'!$B$30+1)/DAY(Расчёты!C339),1))</f>
        <v>0</v>
      </c>
      <c r="G339">
        <f>IF(AND(Расчёты!F339&gt;0,Расчёты!F339&lt;=N('Исходные данные'!$B$37)),-F339,0)</f>
        <v>0</v>
      </c>
      <c r="H339">
        <f>IF(OR(Расчёты!F339=0,Расчёты!F339&lt;=N('Исходные данные'!$B$37)),0,-(F339+G339)*N('Сценарный анализ'!$B$9))</f>
        <v>0</v>
      </c>
      <c r="I339">
        <f t="shared" si="180"/>
        <v>0</v>
      </c>
      <c r="J339">
        <f>IF('Исходные данные'!$B$51="Да",I339*N('Исходные данные'!$B$52),0)</f>
        <v>0</v>
      </c>
      <c r="K339">
        <f t="shared" si="181"/>
        <v>0</v>
      </c>
      <c r="L339">
        <f>I339+(Расчёты!Y339-Расчёты!L339)</f>
        <v>0</v>
      </c>
      <c r="M339">
        <f t="shared" si="168"/>
        <v>0</v>
      </c>
      <c r="N339">
        <f>IF('Исходные данные'!$B$51="Да",-MAX(0,J339+Расчёты!R339+Расчёты!V339-Расчёты!P339-Расчёты!T339-M339),0)</f>
        <v>0</v>
      </c>
      <c r="O339">
        <f>IF('Исходные данные'!$B$51="Да",MAX(0,M339+Расчёты!P339+Расчёты!T339-J339-Расчёты!R339-Расчёты!V339),0)</f>
        <v>0</v>
      </c>
      <c r="P339">
        <f>IF('Исходные данные'!$B$53="Выручка",MAX(0,I339+(Расчёты!Q339-Расчёты!R339)+(Расчёты!U339-Расчёты!V339)),IF('Исходные данные'!$B$53="Прибыль до налога",MAX(0,I339+(Расчёты!Q339-Расчёты!R339)+(Расчёты!U339-Расчёты!V339)+N('Исходные данные'!$B$54)*((Расчёты!O339+Расчёты!P339)+(Расчёты!S339+Расчёты!T339)+Расчёты!W339+Расчёты!X339)+IF('Исходные данные'!$B$55="Да",Расчёты!AG339,0)-N('Исходные данные'!$B$56)/12),IF('Исходные данные'!$B$53="Пользовательская база",MAX(0,N('Исходные данные'!$B$57)/12),0)))</f>
        <v>0</v>
      </c>
      <c r="Q339">
        <f>IF(D339=1,-P339*N('Исходные данные'!$B$50),0)</f>
        <v>0</v>
      </c>
      <c r="R339">
        <f t="shared" si="169"/>
        <v>0</v>
      </c>
      <c r="S339">
        <f>IF(OR(D339&lt;&gt;1,B339="",'Исходные данные'!$B$91="",N('Исходные данные'!$B$80)&lt;=0,'Исходные данные'!$B$88=""),0,IF(AND(YEAR(B339)=YEAR('Исходные данные'!$B$91),MONTH(B339)=MONTH('Исходные данные'!$B$91)),MAX(0,IF('Исходные данные'!$B$88="Последние 12 месяцев",SUMIFS($L$2:$L$194,$B$2:$B$194,"&gt;="&amp;EDATE(B339,-11),$B$2:$B$194,"&lt;="&amp;B339),IF('Исходные данные'!$B$88="Пользовательский NOI",N('Исходные данные'!$B$89),R339))/N('Исходные данные'!$B$80)*(1+N('Исходные данные'!$B$81))),0))</f>
        <v>0</v>
      </c>
      <c r="T339">
        <f>-S339*N('Исходные данные'!$B$73)</f>
        <v>0</v>
      </c>
      <c r="U339">
        <f>IF(S339=0,0,-N('Исходные данные'!$B$87)-IF('Исходные данные'!$B$82="Да",IF('Исходные данные'!$B$84="С выручки",S339,IF('Исходные данные'!$B$84="С прибыли",MAX(0,S339+T339-IF('Исходные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39">
        <f t="shared" si="182"/>
        <v>0</v>
      </c>
      <c r="W339">
        <f>IF(D339=1,Расчёты!AZ339+K339+N339+Q339+V339,0)</f>
        <v>0</v>
      </c>
      <c r="X339" t="str">
        <f t="shared" si="170"/>
        <v/>
      </c>
      <c r="Y339">
        <f>IF(OR(D339=0,'Исходные данные'!$B$9="",'Исходные данные'!$B$90=""),0,W339/(1+'Исходные данные'!$B$90)^((C339-'Исходные данные'!$B$9)/365))</f>
        <v>0</v>
      </c>
      <c r="Z339">
        <f>IF(D339=1,K339+Расчёты!O339+Расчёты!Q339+Расчёты!S339+Расчёты!U339+Расчёты!W339+Расчёты!X339+N339+Q339,0)</f>
        <v>0</v>
      </c>
      <c r="AA339">
        <f>IF(AND(D339=1,X339&gt;=0,X338&lt;0,MIN($X$2:X339)&lt;0),1,0)</f>
        <v>0</v>
      </c>
      <c r="AB339">
        <f>IF(Расчёты!F339=0,0,IF(Расчёты!G339=1,N('Сценарный анализ'!$C$5),IF(Расчёты!G339=2,N('Сценарный анализ'!$C$6),IF(Расчёты!G339=3,N('Сценарный анализ'!$C$7),N('Сценарный анализ'!$C$7)*(1+N('Сценарный анализ'!$C$8))^(Расчёты!G339-3)))))</f>
        <v>0</v>
      </c>
      <c r="AC339">
        <f>IF(OR(Расчёты!F339=0,N('Исходные данные'!$B$5)=0,AB339=0),0,N('Исходные данные'!$B$5)*AB339*IF(AND(B339&lt;='Исходные данные'!$B$30,Расчёты!C339&gt;='Исходные данные'!$B$30),(Расчёты!C339-'Исходные данные'!$B$30+1)/DAY(Расчёты!C339),1))</f>
        <v>0</v>
      </c>
      <c r="AD339">
        <f>IF(AND(Расчёты!F339&gt;0,Расчёты!F339&lt;=N('Исходные данные'!$B$37)),-AC339,0)</f>
        <v>0</v>
      </c>
      <c r="AE339">
        <f>IF(OR(Расчёты!F339=0,Расчёты!F339&lt;=N('Исходные данные'!$B$37)),0,-(AC339+AD339)*N('Сценарный анализ'!$C$9))</f>
        <v>0</v>
      </c>
      <c r="AF339">
        <f t="shared" si="183"/>
        <v>0</v>
      </c>
      <c r="AG339">
        <f>IF('Исходные данные'!$B$51="Да",AF339*N('Исходные данные'!$B$52),0)</f>
        <v>0</v>
      </c>
      <c r="AH339">
        <f t="shared" si="184"/>
        <v>0</v>
      </c>
      <c r="AI339">
        <f>AF339+(Расчёты!Y339-Расчёты!L339)</f>
        <v>0</v>
      </c>
      <c r="AJ339">
        <f t="shared" si="171"/>
        <v>0</v>
      </c>
      <c r="AK339">
        <f>IF('Исходные данные'!$B$51="Да",-MAX(0,AG339+Расчёты!R339+Расчёты!V339-Расчёты!P339-Расчёты!T339-AJ339),0)</f>
        <v>0</v>
      </c>
      <c r="AL339">
        <f>IF('Исходные данные'!$B$51="Да",MAX(0,AJ339+Расчёты!P339+Расчёты!T339-AG339-Расчёты!R339-Расчёты!V339),0)</f>
        <v>0</v>
      </c>
      <c r="AM339">
        <f>IF('Исходные данные'!$B$53="Выручка",MAX(0,AF339+(Расчёты!Q339-Расчёты!R339)+(Расчёты!U339-Расчёты!V339)),IF('Исходные данные'!$B$53="Прибыль до налога",MAX(0,AF339+(Расчёты!Q339-Расчёты!R339)+(Расчёты!U339-Расчёты!V339)+N('Исходные данные'!$B$54)*((Расчёты!O339+Расчёты!P339)+(Расчёты!S339+Расчёты!T339)+Расчёты!W339+Расчёты!X339)+IF('Исходные данные'!$B$55="Да",Расчёты!AG339,0)-N('Исходные данные'!$B$56)/12),IF('Исходные данные'!$B$53="Пользовательская база",MAX(0,N('Исходные данные'!$B$57)/12),0)))</f>
        <v>0</v>
      </c>
      <c r="AN339">
        <f>IF(D339=1,-AM339*N('Исходные данные'!$B$50),0)</f>
        <v>0</v>
      </c>
      <c r="AO339">
        <f t="shared" si="172"/>
        <v>0</v>
      </c>
      <c r="AP339">
        <f>IF(OR(D339&lt;&gt;1,B339="",'Исходные данные'!$B$91="",N('Исходные данные'!$B$80)&lt;=0,'Исходные данные'!$B$88=""),0,IF(AND(YEAR(B339)=YEAR('Исходные данные'!$B$91),MONTH(B339)=MONTH('Исходные данные'!$B$91)),MAX(0,IF('Исходные данные'!$B$88="Последние 12 месяцев",SUMIFS($AI$2:$AI$194,$B$2:$B$194,"&gt;="&amp;EDATE(B339,-11),$B$2:$B$194,"&lt;="&amp;B339),IF('Исходные данные'!$B$88="Пользовательский NOI",N('Исходные данные'!$B$89),AO339))/N('Исходные данные'!$B$80)*(1+N('Исходные данные'!$B$81))),0))</f>
        <v>0</v>
      </c>
      <c r="AQ339">
        <f>-AP339*N('Исходные данные'!$B$73)</f>
        <v>0</v>
      </c>
      <c r="AR339">
        <f>IF(AP339=0,0,-N('Исходные данные'!$B$87)-IF('Исходные данные'!$B$82="Да",IF('Исходные данные'!$B$84="С выручки",AP339,IF('Исходные данные'!$B$84="С прибыли",MAX(0,AP339+AQ339-IF('Исходные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39">
        <f t="shared" si="185"/>
        <v>0</v>
      </c>
      <c r="AT339">
        <f>IF(D339=1,Расчёты!AZ339+AH339+AK339+AN339+AS339,0)</f>
        <v>0</v>
      </c>
      <c r="AU339" t="str">
        <f t="shared" si="173"/>
        <v/>
      </c>
      <c r="AV339">
        <f>IF(OR(D339=0,'Исходные данные'!$B$9="",'Исходные данные'!$B$90=""),0,AT339/(1+'Исходные данные'!$B$90)^((C339-'Исходные данные'!$B$9)/365))</f>
        <v>0</v>
      </c>
      <c r="AW339">
        <f>IF(D339=1,AH339+Расчёты!O339+Расчёты!Q339+Расчёты!S339+Расчёты!U339+Расчёты!W339+Расчёты!X339+AK339+AN339,0)</f>
        <v>0</v>
      </c>
      <c r="AX339">
        <f>IF(AND(D339=1,AU339&gt;=0,AU338&lt;0,MIN($AU$2:AU339)&lt;0),1,0)</f>
        <v>0</v>
      </c>
      <c r="AY339">
        <f>IF(Расчёты!F339=0,0,IF(Расчёты!G339=1,N('Сценарный анализ'!$D$5),IF(Расчёты!G339=2,N('Сценарный анализ'!$D$6),IF(Расчёты!G339=3,N('Сценарный анализ'!$D$7),N('Сценарный анализ'!$D$7)*(1+N('Сценарный анализ'!$D$8))^(Расчёты!G339-3)))))</f>
        <v>0</v>
      </c>
      <c r="AZ339">
        <f>IF(OR(Расчёты!F339=0,N('Исходные данные'!$B$5)=0,AY339=0),0,N('Исходные данные'!$B$5)*AY339*IF(AND(B339&lt;='Исходные данные'!$B$30,Расчёты!C339&gt;='Исходные данные'!$B$30),(Расчёты!C339-'Исходные данные'!$B$30+1)/DAY(Расчёты!C339),1))</f>
        <v>0</v>
      </c>
      <c r="BA339">
        <f>IF(AND(Расчёты!F339&gt;0,Расчёты!F339&lt;=N('Исходные данные'!$B$37)),-AZ339,0)</f>
        <v>0</v>
      </c>
      <c r="BB339">
        <f>IF(OR(Расчёты!F339=0,Расчёты!F339&lt;=N('Исходные данные'!$B$37)),0,-(AZ339+BA339)*N('Сценарный анализ'!$D$9))</f>
        <v>0</v>
      </c>
      <c r="BC339">
        <f t="shared" si="186"/>
        <v>0</v>
      </c>
      <c r="BD339">
        <f>IF('Исходные данные'!$B$51="Да",BC339*N('Исходные данные'!$B$52),0)</f>
        <v>0</v>
      </c>
      <c r="BE339">
        <f t="shared" si="187"/>
        <v>0</v>
      </c>
      <c r="BF339">
        <f>BC339+(Расчёты!Y339-Расчёты!L339)</f>
        <v>0</v>
      </c>
      <c r="BG339">
        <f t="shared" si="174"/>
        <v>0</v>
      </c>
      <c r="BH339">
        <f>IF('Исходные данные'!$B$51="Да",-MAX(0,BD339+Расчёты!R339+Расчёты!V339-Расчёты!P339-Расчёты!T339-BG339),0)</f>
        <v>0</v>
      </c>
      <c r="BI339">
        <f>IF('Исходные данные'!$B$51="Да",MAX(0,BG339+Расчёты!P339+Расчёты!T339-BD339-Расчёты!R339-Расчёты!V339),0)</f>
        <v>0</v>
      </c>
      <c r="BJ339">
        <f>IF('Исходные данные'!$B$53="Выручка",MAX(0,BC339+(Расчёты!Q339-Расчёты!R339)+(Расчёты!U339-Расчёты!V339)),IF('Исходные данные'!$B$53="Прибыль до налога",MAX(0,BC339+(Расчёты!Q339-Расчёты!R339)+(Расчёты!U339-Расчёты!V339)+N('Исходные данные'!$B$54)*((Расчёты!O339+Расчёты!P339)+(Расчёты!S339+Расчёты!T339)+Расчёты!W339+Расчёты!X339)+IF('Исходные данные'!$B$55="Да",Расчёты!AG339,0)-N('Исходные данные'!$B$56)/12),IF('Исходные данные'!$B$53="Пользовательская база",MAX(0,N('Исходные данные'!$B$57)/12),0)))</f>
        <v>0</v>
      </c>
      <c r="BK339">
        <f>IF(D339=1,-BJ339*N('Исходные данные'!$B$50),0)</f>
        <v>0</v>
      </c>
      <c r="BL339">
        <f t="shared" si="175"/>
        <v>0</v>
      </c>
      <c r="BM339">
        <f>IF(OR(D339&lt;&gt;1,B339="",'Исходные данные'!$B$91="",N('Исходные данные'!$B$80)&lt;=0,'Исходные данные'!$B$88=""),0,IF(AND(YEAR(B339)=YEAR('Исходные данные'!$B$91),MONTH(B339)=MONTH('Исходные данные'!$B$91)),MAX(0,IF('Исходные данные'!$B$88="Последние 12 месяцев",SUMIFS($BF$2:$BF$194,$B$2:$B$194,"&gt;="&amp;EDATE(B339,-11),$B$2:$B$194,"&lt;="&amp;B339),IF('Исходные данные'!$B$88="Пользовательский NOI",N('Исходные данные'!$B$89),BL339))/N('Исходные данные'!$B$80)*(1+N('Исходные данные'!$B$81))),0))</f>
        <v>0</v>
      </c>
      <c r="BN339">
        <f>-BM339*N('Исходные данные'!$B$73)</f>
        <v>0</v>
      </c>
      <c r="BO339">
        <f>IF(BM339=0,0,-N('Исходные данные'!$B$87)-IF('Исходные данные'!$B$82="Да",IF('Исходные данные'!$B$84="С выручки",BM339,IF('Исходные данные'!$B$84="С прибыли",MAX(0,BM339+BN339-IF('Исходные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39">
        <f t="shared" si="188"/>
        <v>0</v>
      </c>
      <c r="BQ339">
        <f>IF(D339=1,Расчёты!AZ339+BE339+BH339+BK339+BP339,0)</f>
        <v>0</v>
      </c>
      <c r="BR339" t="str">
        <f t="shared" si="176"/>
        <v/>
      </c>
      <c r="BS339">
        <f>IF(OR(D339=0,'Исходные данные'!$B$9="",'Исходные данные'!$B$90=""),0,BQ339/(1+'Исходные данные'!$B$90)^((C339-'Исходные данные'!$B$9)/365))</f>
        <v>0</v>
      </c>
      <c r="BT339">
        <f>IF(D339=1,BE339+Расчёты!O339+Расчёты!Q339+Расчёты!S339+Расчёты!U339+Расчёты!W339+Расчёты!X339+BH339+BK339,0)</f>
        <v>0</v>
      </c>
      <c r="BU339">
        <f>IF(AND(D339=1,BR339&gt;=0,BR338&lt;0,MIN($BR$2:BR339)&lt;0),1,0)</f>
        <v>0</v>
      </c>
      <c r="BV339">
        <f>Расчёты!AZ339+K339+N339-P339*N('Исходные данные'!$B$50)</f>
        <v>0</v>
      </c>
      <c r="BW339">
        <f t="shared" si="177"/>
        <v>0</v>
      </c>
      <c r="BX339">
        <f>IF(AND(BW339&gt;=0,BW338&lt;0,MIN($BW$2:BW339)&lt;0),1,0)</f>
        <v>0</v>
      </c>
      <c r="BY339">
        <f>Расчёты!AZ339+AH339+AK339-AM339*N('Исходные данные'!$B$50)</f>
        <v>0</v>
      </c>
      <c r="BZ339">
        <f t="shared" si="178"/>
        <v>0</v>
      </c>
      <c r="CA339">
        <f>IF(AND(BZ339&gt;=0,BZ338&lt;0,MIN($BZ$2:BZ339)&lt;0),1,0)</f>
        <v>0</v>
      </c>
      <c r="CB339">
        <f>Расчёты!AZ339+BE339+BH339-BJ339*N('Исходные данные'!$B$50)</f>
        <v>0</v>
      </c>
      <c r="CC339">
        <f t="shared" si="179"/>
        <v>0</v>
      </c>
      <c r="CD339">
        <f>IF(AND(CC339&gt;=0,CC338&lt;0,MIN($CC$2:CC339)&lt;0),1,0)</f>
        <v>0</v>
      </c>
    </row>
    <row r="340" spans="1:82" x14ac:dyDescent="0.2">
      <c r="A340">
        <f>Расчёты!A340</f>
        <v>339</v>
      </c>
      <c r="B340" t="str">
        <f>Расчёты!B340</f>
        <v/>
      </c>
      <c r="C340" t="str">
        <f>Расчёты!D340</f>
        <v/>
      </c>
      <c r="D340">
        <f>Расчёты!E340</f>
        <v>0</v>
      </c>
      <c r="E340">
        <f>IF(Расчёты!F340=0,0,IF(Расчёты!G340=1,N('Сценарный анализ'!$B$5),IF(Расчёты!G340=2,N('Сценарный анализ'!$B$6),IF(Расчёты!G340=3,N('Сценарный анализ'!$B$7),N('Сценарный анализ'!$B$7)*(1+N('Сценарный анализ'!$B$8))^(Расчёты!G340-3)))))</f>
        <v>0</v>
      </c>
      <c r="F340">
        <f>IF(OR(Расчёты!F340=0,N('Исходные данные'!$B$5)=0,E340=0),0,N('Исходные данные'!$B$5)*E340*IF(AND(B340&lt;='Исходные данные'!$B$30,Расчёты!C340&gt;='Исходные данные'!$B$30),(Расчёты!C340-'Исходные данные'!$B$30+1)/DAY(Расчёты!C340),1))</f>
        <v>0</v>
      </c>
      <c r="G340">
        <f>IF(AND(Расчёты!F340&gt;0,Расчёты!F340&lt;=N('Исходные данные'!$B$37)),-F340,0)</f>
        <v>0</v>
      </c>
      <c r="H340">
        <f>IF(OR(Расчёты!F340=0,Расчёты!F340&lt;=N('Исходные данные'!$B$37)),0,-(F340+G340)*N('Сценарный анализ'!$B$9))</f>
        <v>0</v>
      </c>
      <c r="I340">
        <f t="shared" si="180"/>
        <v>0</v>
      </c>
      <c r="J340">
        <f>IF('Исходные данные'!$B$51="Да",I340*N('Исходные данные'!$B$52),0)</f>
        <v>0</v>
      </c>
      <c r="K340">
        <f t="shared" si="181"/>
        <v>0</v>
      </c>
      <c r="L340">
        <f>I340+(Расчёты!Y340-Расчёты!L340)</f>
        <v>0</v>
      </c>
      <c r="M340">
        <f t="shared" si="168"/>
        <v>0</v>
      </c>
      <c r="N340">
        <f>IF('Исходные данные'!$B$51="Да",-MAX(0,J340+Расчёты!R340+Расчёты!V340-Расчёты!P340-Расчёты!T340-M340),0)</f>
        <v>0</v>
      </c>
      <c r="O340">
        <f>IF('Исходные данные'!$B$51="Да",MAX(0,M340+Расчёты!P340+Расчёты!T340-J340-Расчёты!R340-Расчёты!V340),0)</f>
        <v>0</v>
      </c>
      <c r="P340">
        <f>IF('Исходные данные'!$B$53="Выручка",MAX(0,I340+(Расчёты!Q340-Расчёты!R340)+(Расчёты!U340-Расчёты!V340)),IF('Исходные данные'!$B$53="Прибыль до налога",MAX(0,I340+(Расчёты!Q340-Расчёты!R340)+(Расчёты!U340-Расчёты!V340)+N('Исходные данные'!$B$54)*((Расчёты!O340+Расчёты!P340)+(Расчёты!S340+Расчёты!T340)+Расчёты!W340+Расчёты!X340)+IF('Исходные данные'!$B$55="Да",Расчёты!AG340,0)-N('Исходные данные'!$B$56)/12),IF('Исходные данные'!$B$53="Пользовательская база",MAX(0,N('Исходные данные'!$B$57)/12),0)))</f>
        <v>0</v>
      </c>
      <c r="Q340">
        <f>IF(D340=1,-P340*N('Исходные данные'!$B$50),0)</f>
        <v>0</v>
      </c>
      <c r="R340">
        <f t="shared" si="169"/>
        <v>0</v>
      </c>
      <c r="S340">
        <f>IF(OR(D340&lt;&gt;1,B340="",'Исходные данные'!$B$91="",N('Исходные данные'!$B$80)&lt;=0,'Исходные данные'!$B$88=""),0,IF(AND(YEAR(B340)=YEAR('Исходные данные'!$B$91),MONTH(B340)=MONTH('Исходные данные'!$B$91)),MAX(0,IF('Исходные данные'!$B$88="Последние 12 месяцев",SUMIFS($L$2:$L$194,$B$2:$B$194,"&gt;="&amp;EDATE(B340,-11),$B$2:$B$194,"&lt;="&amp;B340),IF('Исходные данные'!$B$88="Пользовательский NOI",N('Исходные данные'!$B$89),R340))/N('Исходные данные'!$B$80)*(1+N('Исходные данные'!$B$81))),0))</f>
        <v>0</v>
      </c>
      <c r="T340">
        <f>-S340*N('Исходные данные'!$B$73)</f>
        <v>0</v>
      </c>
      <c r="U340">
        <f>IF(S340=0,0,-N('Исходные данные'!$B$87)-IF('Исходные данные'!$B$82="Да",IF('Исходные данные'!$B$84="С выручки",S340,IF('Исходные данные'!$B$84="С прибыли",MAX(0,S340+T340-IF('Исходные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40">
        <f t="shared" si="182"/>
        <v>0</v>
      </c>
      <c r="W340">
        <f>IF(D340=1,Расчёты!AZ340+K340+N340+Q340+V340,0)</f>
        <v>0</v>
      </c>
      <c r="X340" t="str">
        <f t="shared" si="170"/>
        <v/>
      </c>
      <c r="Y340">
        <f>IF(OR(D340=0,'Исходные данные'!$B$9="",'Исходные данные'!$B$90=""),0,W340/(1+'Исходные данные'!$B$90)^((C340-'Исходные данные'!$B$9)/365))</f>
        <v>0</v>
      </c>
      <c r="Z340">
        <f>IF(D340=1,K340+Расчёты!O340+Расчёты!Q340+Расчёты!S340+Расчёты!U340+Расчёты!W340+Расчёты!X340+N340+Q340,0)</f>
        <v>0</v>
      </c>
      <c r="AA340">
        <f>IF(AND(D340=1,X340&gt;=0,X339&lt;0,MIN($X$2:X340)&lt;0),1,0)</f>
        <v>0</v>
      </c>
      <c r="AB340">
        <f>IF(Расчёты!F340=0,0,IF(Расчёты!G340=1,N('Сценарный анализ'!$C$5),IF(Расчёты!G340=2,N('Сценарный анализ'!$C$6),IF(Расчёты!G340=3,N('Сценарный анализ'!$C$7),N('Сценарный анализ'!$C$7)*(1+N('Сценарный анализ'!$C$8))^(Расчёты!G340-3)))))</f>
        <v>0</v>
      </c>
      <c r="AC340">
        <f>IF(OR(Расчёты!F340=0,N('Исходные данные'!$B$5)=0,AB340=0),0,N('Исходные данные'!$B$5)*AB340*IF(AND(B340&lt;='Исходные данные'!$B$30,Расчёты!C340&gt;='Исходные данные'!$B$30),(Расчёты!C340-'Исходные данные'!$B$30+1)/DAY(Расчёты!C340),1))</f>
        <v>0</v>
      </c>
      <c r="AD340">
        <f>IF(AND(Расчёты!F340&gt;0,Расчёты!F340&lt;=N('Исходные данные'!$B$37)),-AC340,0)</f>
        <v>0</v>
      </c>
      <c r="AE340">
        <f>IF(OR(Расчёты!F340=0,Расчёты!F340&lt;=N('Исходные данные'!$B$37)),0,-(AC340+AD340)*N('Сценарный анализ'!$C$9))</f>
        <v>0</v>
      </c>
      <c r="AF340">
        <f t="shared" si="183"/>
        <v>0</v>
      </c>
      <c r="AG340">
        <f>IF('Исходные данные'!$B$51="Да",AF340*N('Исходные данные'!$B$52),0)</f>
        <v>0</v>
      </c>
      <c r="AH340">
        <f t="shared" si="184"/>
        <v>0</v>
      </c>
      <c r="AI340">
        <f>AF340+(Расчёты!Y340-Расчёты!L340)</f>
        <v>0</v>
      </c>
      <c r="AJ340">
        <f t="shared" si="171"/>
        <v>0</v>
      </c>
      <c r="AK340">
        <f>IF('Исходные данные'!$B$51="Да",-MAX(0,AG340+Расчёты!R340+Расчёты!V340-Расчёты!P340-Расчёты!T340-AJ340),0)</f>
        <v>0</v>
      </c>
      <c r="AL340">
        <f>IF('Исходные данные'!$B$51="Да",MAX(0,AJ340+Расчёты!P340+Расчёты!T340-AG340-Расчёты!R340-Расчёты!V340),0)</f>
        <v>0</v>
      </c>
      <c r="AM340">
        <f>IF('Исходные данные'!$B$53="Выручка",MAX(0,AF340+(Расчёты!Q340-Расчёты!R340)+(Расчёты!U340-Расчёты!V340)),IF('Исходные данные'!$B$53="Прибыль до налога",MAX(0,AF340+(Расчёты!Q340-Расчёты!R340)+(Расчёты!U340-Расчёты!V340)+N('Исходные данные'!$B$54)*((Расчёты!O340+Расчёты!P340)+(Расчёты!S340+Расчёты!T340)+Расчёты!W340+Расчёты!X340)+IF('Исходные данные'!$B$55="Да",Расчёты!AG340,0)-N('Исходные данные'!$B$56)/12),IF('Исходные данные'!$B$53="Пользовательская база",MAX(0,N('Исходные данные'!$B$57)/12),0)))</f>
        <v>0</v>
      </c>
      <c r="AN340">
        <f>IF(D340=1,-AM340*N('Исходные данные'!$B$50),0)</f>
        <v>0</v>
      </c>
      <c r="AO340">
        <f t="shared" si="172"/>
        <v>0</v>
      </c>
      <c r="AP340">
        <f>IF(OR(D340&lt;&gt;1,B340="",'Исходные данные'!$B$91="",N('Исходные данные'!$B$80)&lt;=0,'Исходные данные'!$B$88=""),0,IF(AND(YEAR(B340)=YEAR('Исходные данные'!$B$91),MONTH(B340)=MONTH('Исходные данные'!$B$91)),MAX(0,IF('Исходные данные'!$B$88="Последние 12 месяцев",SUMIFS($AI$2:$AI$194,$B$2:$B$194,"&gt;="&amp;EDATE(B340,-11),$B$2:$B$194,"&lt;="&amp;B340),IF('Исходные данные'!$B$88="Пользовательский NOI",N('Исходные данные'!$B$89),AO340))/N('Исходные данные'!$B$80)*(1+N('Исходные данные'!$B$81))),0))</f>
        <v>0</v>
      </c>
      <c r="AQ340">
        <f>-AP340*N('Исходные данные'!$B$73)</f>
        <v>0</v>
      </c>
      <c r="AR340">
        <f>IF(AP340=0,0,-N('Исходные данные'!$B$87)-IF('Исходные данные'!$B$82="Да",IF('Исходные данные'!$B$84="С выручки",AP340,IF('Исходные данные'!$B$84="С прибыли",MAX(0,AP340+AQ340-IF('Исходные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40">
        <f t="shared" si="185"/>
        <v>0</v>
      </c>
      <c r="AT340">
        <f>IF(D340=1,Расчёты!AZ340+AH340+AK340+AN340+AS340,0)</f>
        <v>0</v>
      </c>
      <c r="AU340" t="str">
        <f t="shared" si="173"/>
        <v/>
      </c>
      <c r="AV340">
        <f>IF(OR(D340=0,'Исходные данные'!$B$9="",'Исходные данные'!$B$90=""),0,AT340/(1+'Исходные данные'!$B$90)^((C340-'Исходные данные'!$B$9)/365))</f>
        <v>0</v>
      </c>
      <c r="AW340">
        <f>IF(D340=1,AH340+Расчёты!O340+Расчёты!Q340+Расчёты!S340+Расчёты!U340+Расчёты!W340+Расчёты!X340+AK340+AN340,0)</f>
        <v>0</v>
      </c>
      <c r="AX340">
        <f>IF(AND(D340=1,AU340&gt;=0,AU339&lt;0,MIN($AU$2:AU340)&lt;0),1,0)</f>
        <v>0</v>
      </c>
      <c r="AY340">
        <f>IF(Расчёты!F340=0,0,IF(Расчёты!G340=1,N('Сценарный анализ'!$D$5),IF(Расчёты!G340=2,N('Сценарный анализ'!$D$6),IF(Расчёты!G340=3,N('Сценарный анализ'!$D$7),N('Сценарный анализ'!$D$7)*(1+N('Сценарный анализ'!$D$8))^(Расчёты!G340-3)))))</f>
        <v>0</v>
      </c>
      <c r="AZ340">
        <f>IF(OR(Расчёты!F340=0,N('Исходные данные'!$B$5)=0,AY340=0),0,N('Исходные данные'!$B$5)*AY340*IF(AND(B340&lt;='Исходные данные'!$B$30,Расчёты!C340&gt;='Исходные данные'!$B$30),(Расчёты!C340-'Исходные данные'!$B$30+1)/DAY(Расчёты!C340),1))</f>
        <v>0</v>
      </c>
      <c r="BA340">
        <f>IF(AND(Расчёты!F340&gt;0,Расчёты!F340&lt;=N('Исходные данные'!$B$37)),-AZ340,0)</f>
        <v>0</v>
      </c>
      <c r="BB340">
        <f>IF(OR(Расчёты!F340=0,Расчёты!F340&lt;=N('Исходные данные'!$B$37)),0,-(AZ340+BA340)*N('Сценарный анализ'!$D$9))</f>
        <v>0</v>
      </c>
      <c r="BC340">
        <f t="shared" si="186"/>
        <v>0</v>
      </c>
      <c r="BD340">
        <f>IF('Исходные данные'!$B$51="Да",BC340*N('Исходные данные'!$B$52),0)</f>
        <v>0</v>
      </c>
      <c r="BE340">
        <f t="shared" si="187"/>
        <v>0</v>
      </c>
      <c r="BF340">
        <f>BC340+(Расчёты!Y340-Расчёты!L340)</f>
        <v>0</v>
      </c>
      <c r="BG340">
        <f t="shared" si="174"/>
        <v>0</v>
      </c>
      <c r="BH340">
        <f>IF('Исходные данные'!$B$51="Да",-MAX(0,BD340+Расчёты!R340+Расчёты!V340-Расчёты!P340-Расчёты!T340-BG340),0)</f>
        <v>0</v>
      </c>
      <c r="BI340">
        <f>IF('Исходные данные'!$B$51="Да",MAX(0,BG340+Расчёты!P340+Расчёты!T340-BD340-Расчёты!R340-Расчёты!V340),0)</f>
        <v>0</v>
      </c>
      <c r="BJ340">
        <f>IF('Исходные данные'!$B$53="Выручка",MAX(0,BC340+(Расчёты!Q340-Расчёты!R340)+(Расчёты!U340-Расчёты!V340)),IF('Исходные данные'!$B$53="Прибыль до налога",MAX(0,BC340+(Расчёты!Q340-Расчёты!R340)+(Расчёты!U340-Расчёты!V340)+N('Исходные данные'!$B$54)*((Расчёты!O340+Расчёты!P340)+(Расчёты!S340+Расчёты!T340)+Расчёты!W340+Расчёты!X340)+IF('Исходные данные'!$B$55="Да",Расчёты!AG340,0)-N('Исходные данные'!$B$56)/12),IF('Исходные данные'!$B$53="Пользовательская база",MAX(0,N('Исходные данные'!$B$57)/12),0)))</f>
        <v>0</v>
      </c>
      <c r="BK340">
        <f>IF(D340=1,-BJ340*N('Исходные данные'!$B$50),0)</f>
        <v>0</v>
      </c>
      <c r="BL340">
        <f t="shared" si="175"/>
        <v>0</v>
      </c>
      <c r="BM340">
        <f>IF(OR(D340&lt;&gt;1,B340="",'Исходные данные'!$B$91="",N('Исходные данные'!$B$80)&lt;=0,'Исходные данные'!$B$88=""),0,IF(AND(YEAR(B340)=YEAR('Исходные данные'!$B$91),MONTH(B340)=MONTH('Исходные данные'!$B$91)),MAX(0,IF('Исходные данные'!$B$88="Последние 12 месяцев",SUMIFS($BF$2:$BF$194,$B$2:$B$194,"&gt;="&amp;EDATE(B340,-11),$B$2:$B$194,"&lt;="&amp;B340),IF('Исходные данные'!$B$88="Пользовательский NOI",N('Исходные данные'!$B$89),BL340))/N('Исходные данные'!$B$80)*(1+N('Исходные данные'!$B$81))),0))</f>
        <v>0</v>
      </c>
      <c r="BN340">
        <f>-BM340*N('Исходные данные'!$B$73)</f>
        <v>0</v>
      </c>
      <c r="BO340">
        <f>IF(BM340=0,0,-N('Исходные данные'!$B$87)-IF('Исходные данные'!$B$82="Да",IF('Исходные данные'!$B$84="С выручки",BM340,IF('Исходные данные'!$B$84="С прибыли",MAX(0,BM340+BN340-IF('Исходные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40">
        <f t="shared" si="188"/>
        <v>0</v>
      </c>
      <c r="BQ340">
        <f>IF(D340=1,Расчёты!AZ340+BE340+BH340+BK340+BP340,0)</f>
        <v>0</v>
      </c>
      <c r="BR340" t="str">
        <f t="shared" si="176"/>
        <v/>
      </c>
      <c r="BS340">
        <f>IF(OR(D340=0,'Исходные данные'!$B$9="",'Исходные данные'!$B$90=""),0,BQ340/(1+'Исходные данные'!$B$90)^((C340-'Исходные данные'!$B$9)/365))</f>
        <v>0</v>
      </c>
      <c r="BT340">
        <f>IF(D340=1,BE340+Расчёты!O340+Расчёты!Q340+Расчёты!S340+Расчёты!U340+Расчёты!W340+Расчёты!X340+BH340+BK340,0)</f>
        <v>0</v>
      </c>
      <c r="BU340">
        <f>IF(AND(D340=1,BR340&gt;=0,BR339&lt;0,MIN($BR$2:BR340)&lt;0),1,0)</f>
        <v>0</v>
      </c>
      <c r="BV340">
        <f>Расчёты!AZ340+K340+N340-P340*N('Исходные данные'!$B$50)</f>
        <v>0</v>
      </c>
      <c r="BW340">
        <f t="shared" si="177"/>
        <v>0</v>
      </c>
      <c r="BX340">
        <f>IF(AND(BW340&gt;=0,BW339&lt;0,MIN($BW$2:BW340)&lt;0),1,0)</f>
        <v>0</v>
      </c>
      <c r="BY340">
        <f>Расчёты!AZ340+AH340+AK340-AM340*N('Исходные данные'!$B$50)</f>
        <v>0</v>
      </c>
      <c r="BZ340">
        <f t="shared" si="178"/>
        <v>0</v>
      </c>
      <c r="CA340">
        <f>IF(AND(BZ340&gt;=0,BZ339&lt;0,MIN($BZ$2:BZ340)&lt;0),1,0)</f>
        <v>0</v>
      </c>
      <c r="CB340">
        <f>Расчёты!AZ340+BE340+BH340-BJ340*N('Исходные данные'!$B$50)</f>
        <v>0</v>
      </c>
      <c r="CC340">
        <f t="shared" si="179"/>
        <v>0</v>
      </c>
      <c r="CD340">
        <f>IF(AND(CC340&gt;=0,CC339&lt;0,MIN($CC$2:CC340)&lt;0),1,0)</f>
        <v>0</v>
      </c>
    </row>
    <row r="341" spans="1:82" x14ac:dyDescent="0.2">
      <c r="A341">
        <f>Расчёты!A341</f>
        <v>340</v>
      </c>
      <c r="B341" t="str">
        <f>Расчёты!B341</f>
        <v/>
      </c>
      <c r="C341" t="str">
        <f>Расчёты!D341</f>
        <v/>
      </c>
      <c r="D341">
        <f>Расчёты!E341</f>
        <v>0</v>
      </c>
      <c r="E341">
        <f>IF(Расчёты!F341=0,0,IF(Расчёты!G341=1,N('Сценарный анализ'!$B$5),IF(Расчёты!G341=2,N('Сценарный анализ'!$B$6),IF(Расчёты!G341=3,N('Сценарный анализ'!$B$7),N('Сценарный анализ'!$B$7)*(1+N('Сценарный анализ'!$B$8))^(Расчёты!G341-3)))))</f>
        <v>0</v>
      </c>
      <c r="F341">
        <f>IF(OR(Расчёты!F341=0,N('Исходные данные'!$B$5)=0,E341=0),0,N('Исходные данные'!$B$5)*E341*IF(AND(B341&lt;='Исходные данные'!$B$30,Расчёты!C341&gt;='Исходные данные'!$B$30),(Расчёты!C341-'Исходные данные'!$B$30+1)/DAY(Расчёты!C341),1))</f>
        <v>0</v>
      </c>
      <c r="G341">
        <f>IF(AND(Расчёты!F341&gt;0,Расчёты!F341&lt;=N('Исходные данные'!$B$37)),-F341,0)</f>
        <v>0</v>
      </c>
      <c r="H341">
        <f>IF(OR(Расчёты!F341=0,Расчёты!F341&lt;=N('Исходные данные'!$B$37)),0,-(F341+G341)*N('Сценарный анализ'!$B$9))</f>
        <v>0</v>
      </c>
      <c r="I341">
        <f t="shared" si="180"/>
        <v>0</v>
      </c>
      <c r="J341">
        <f>IF('Исходные данные'!$B$51="Да",I341*N('Исходные данные'!$B$52),0)</f>
        <v>0</v>
      </c>
      <c r="K341">
        <f t="shared" si="181"/>
        <v>0</v>
      </c>
      <c r="L341">
        <f>I341+(Расчёты!Y341-Расчёты!L341)</f>
        <v>0</v>
      </c>
      <c r="M341">
        <f t="shared" si="168"/>
        <v>0</v>
      </c>
      <c r="N341">
        <f>IF('Исходные данные'!$B$51="Да",-MAX(0,J341+Расчёты!R341+Расчёты!V341-Расчёты!P341-Расчёты!T341-M341),0)</f>
        <v>0</v>
      </c>
      <c r="O341">
        <f>IF('Исходные данные'!$B$51="Да",MAX(0,M341+Расчёты!P341+Расчёты!T341-J341-Расчёты!R341-Расчёты!V341),0)</f>
        <v>0</v>
      </c>
      <c r="P341">
        <f>IF('Исходные данные'!$B$53="Выручка",MAX(0,I341+(Расчёты!Q341-Расчёты!R341)+(Расчёты!U341-Расчёты!V341)),IF('Исходные данные'!$B$53="Прибыль до налога",MAX(0,I341+(Расчёты!Q341-Расчёты!R341)+(Расчёты!U341-Расчёты!V341)+N('Исходные данные'!$B$54)*((Расчёты!O341+Расчёты!P341)+(Расчёты!S341+Расчёты!T341)+Расчёты!W341+Расчёты!X341)+IF('Исходные данные'!$B$55="Да",Расчёты!AG341,0)-N('Исходные данные'!$B$56)/12),IF('Исходные данные'!$B$53="Пользовательская база",MAX(0,N('Исходные данные'!$B$57)/12),0)))</f>
        <v>0</v>
      </c>
      <c r="Q341">
        <f>IF(D341=1,-P341*N('Исходные данные'!$B$50),0)</f>
        <v>0</v>
      </c>
      <c r="R341">
        <f t="shared" si="169"/>
        <v>0</v>
      </c>
      <c r="S341">
        <f>IF(OR(D341&lt;&gt;1,B341="",'Исходные данные'!$B$91="",N('Исходные данные'!$B$80)&lt;=0,'Исходные данные'!$B$88=""),0,IF(AND(YEAR(B341)=YEAR('Исходные данные'!$B$91),MONTH(B341)=MONTH('Исходные данные'!$B$91)),MAX(0,IF('Исходные данные'!$B$88="Последние 12 месяцев",SUMIFS($L$2:$L$194,$B$2:$B$194,"&gt;="&amp;EDATE(B341,-11),$B$2:$B$194,"&lt;="&amp;B341),IF('Исходные данные'!$B$88="Пользовательский NOI",N('Исходные данные'!$B$89),R341))/N('Исходные данные'!$B$80)*(1+N('Исходные данные'!$B$81))),0))</f>
        <v>0</v>
      </c>
      <c r="T341">
        <f>-S341*N('Исходные данные'!$B$73)</f>
        <v>0</v>
      </c>
      <c r="U341">
        <f>IF(S341=0,0,-N('Исходные данные'!$B$87)-IF('Исходные данные'!$B$82="Да",IF('Исходные данные'!$B$84="С выручки",S341,IF('Исходные данные'!$B$84="С прибыли",MAX(0,S341+T341-IF('Исходные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41">
        <f t="shared" si="182"/>
        <v>0</v>
      </c>
      <c r="W341">
        <f>IF(D341=1,Расчёты!AZ341+K341+N341+Q341+V341,0)</f>
        <v>0</v>
      </c>
      <c r="X341" t="str">
        <f t="shared" si="170"/>
        <v/>
      </c>
      <c r="Y341">
        <f>IF(OR(D341=0,'Исходные данные'!$B$9="",'Исходные данные'!$B$90=""),0,W341/(1+'Исходные данные'!$B$90)^((C341-'Исходные данные'!$B$9)/365))</f>
        <v>0</v>
      </c>
      <c r="Z341">
        <f>IF(D341=1,K341+Расчёты!O341+Расчёты!Q341+Расчёты!S341+Расчёты!U341+Расчёты!W341+Расчёты!X341+N341+Q341,0)</f>
        <v>0</v>
      </c>
      <c r="AA341">
        <f>IF(AND(D341=1,X341&gt;=0,X340&lt;0,MIN($X$2:X341)&lt;0),1,0)</f>
        <v>0</v>
      </c>
      <c r="AB341">
        <f>IF(Расчёты!F341=0,0,IF(Расчёты!G341=1,N('Сценарный анализ'!$C$5),IF(Расчёты!G341=2,N('Сценарный анализ'!$C$6),IF(Расчёты!G341=3,N('Сценарный анализ'!$C$7),N('Сценарный анализ'!$C$7)*(1+N('Сценарный анализ'!$C$8))^(Расчёты!G341-3)))))</f>
        <v>0</v>
      </c>
      <c r="AC341">
        <f>IF(OR(Расчёты!F341=0,N('Исходные данные'!$B$5)=0,AB341=0),0,N('Исходные данные'!$B$5)*AB341*IF(AND(B341&lt;='Исходные данные'!$B$30,Расчёты!C341&gt;='Исходные данные'!$B$30),(Расчёты!C341-'Исходные данные'!$B$30+1)/DAY(Расчёты!C341),1))</f>
        <v>0</v>
      </c>
      <c r="AD341">
        <f>IF(AND(Расчёты!F341&gt;0,Расчёты!F341&lt;=N('Исходные данные'!$B$37)),-AC341,0)</f>
        <v>0</v>
      </c>
      <c r="AE341">
        <f>IF(OR(Расчёты!F341=0,Расчёты!F341&lt;=N('Исходные данные'!$B$37)),0,-(AC341+AD341)*N('Сценарный анализ'!$C$9))</f>
        <v>0</v>
      </c>
      <c r="AF341">
        <f t="shared" si="183"/>
        <v>0</v>
      </c>
      <c r="AG341">
        <f>IF('Исходные данные'!$B$51="Да",AF341*N('Исходные данные'!$B$52),0)</f>
        <v>0</v>
      </c>
      <c r="AH341">
        <f t="shared" si="184"/>
        <v>0</v>
      </c>
      <c r="AI341">
        <f>AF341+(Расчёты!Y341-Расчёты!L341)</f>
        <v>0</v>
      </c>
      <c r="AJ341">
        <f t="shared" si="171"/>
        <v>0</v>
      </c>
      <c r="AK341">
        <f>IF('Исходные данные'!$B$51="Да",-MAX(0,AG341+Расчёты!R341+Расчёты!V341-Расчёты!P341-Расчёты!T341-AJ341),0)</f>
        <v>0</v>
      </c>
      <c r="AL341">
        <f>IF('Исходные данные'!$B$51="Да",MAX(0,AJ341+Расчёты!P341+Расчёты!T341-AG341-Расчёты!R341-Расчёты!V341),0)</f>
        <v>0</v>
      </c>
      <c r="AM341">
        <f>IF('Исходные данные'!$B$53="Выручка",MAX(0,AF341+(Расчёты!Q341-Расчёты!R341)+(Расчёты!U341-Расчёты!V341)),IF('Исходные данные'!$B$53="Прибыль до налога",MAX(0,AF341+(Расчёты!Q341-Расчёты!R341)+(Расчёты!U341-Расчёты!V341)+N('Исходные данные'!$B$54)*((Расчёты!O341+Расчёты!P341)+(Расчёты!S341+Расчёты!T341)+Расчёты!W341+Расчёты!X341)+IF('Исходные данные'!$B$55="Да",Расчёты!AG341,0)-N('Исходные данные'!$B$56)/12),IF('Исходные данные'!$B$53="Пользовательская база",MAX(0,N('Исходные данные'!$B$57)/12),0)))</f>
        <v>0</v>
      </c>
      <c r="AN341">
        <f>IF(D341=1,-AM341*N('Исходные данные'!$B$50),0)</f>
        <v>0</v>
      </c>
      <c r="AO341">
        <f t="shared" si="172"/>
        <v>0</v>
      </c>
      <c r="AP341">
        <f>IF(OR(D341&lt;&gt;1,B341="",'Исходные данные'!$B$91="",N('Исходные данные'!$B$80)&lt;=0,'Исходные данные'!$B$88=""),0,IF(AND(YEAR(B341)=YEAR('Исходные данные'!$B$91),MONTH(B341)=MONTH('Исходные данные'!$B$91)),MAX(0,IF('Исходные данные'!$B$88="Последние 12 месяцев",SUMIFS($AI$2:$AI$194,$B$2:$B$194,"&gt;="&amp;EDATE(B341,-11),$B$2:$B$194,"&lt;="&amp;B341),IF('Исходные данные'!$B$88="Пользовательский NOI",N('Исходные данные'!$B$89),AO341))/N('Исходные данные'!$B$80)*(1+N('Исходные данные'!$B$81))),0))</f>
        <v>0</v>
      </c>
      <c r="AQ341">
        <f>-AP341*N('Исходные данные'!$B$73)</f>
        <v>0</v>
      </c>
      <c r="AR341">
        <f>IF(AP341=0,0,-N('Исходные данные'!$B$87)-IF('Исходные данные'!$B$82="Да",IF('Исходные данные'!$B$84="С выручки",AP341,IF('Исходные данные'!$B$84="С прибыли",MAX(0,AP341+AQ341-IF('Исходные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41">
        <f t="shared" si="185"/>
        <v>0</v>
      </c>
      <c r="AT341">
        <f>IF(D341=1,Расчёты!AZ341+AH341+AK341+AN341+AS341,0)</f>
        <v>0</v>
      </c>
      <c r="AU341" t="str">
        <f t="shared" si="173"/>
        <v/>
      </c>
      <c r="AV341">
        <f>IF(OR(D341=0,'Исходные данные'!$B$9="",'Исходные данные'!$B$90=""),0,AT341/(1+'Исходные данные'!$B$90)^((C341-'Исходные данные'!$B$9)/365))</f>
        <v>0</v>
      </c>
      <c r="AW341">
        <f>IF(D341=1,AH341+Расчёты!O341+Расчёты!Q341+Расчёты!S341+Расчёты!U341+Расчёты!W341+Расчёты!X341+AK341+AN341,0)</f>
        <v>0</v>
      </c>
      <c r="AX341">
        <f>IF(AND(D341=1,AU341&gt;=0,AU340&lt;0,MIN($AU$2:AU341)&lt;0),1,0)</f>
        <v>0</v>
      </c>
      <c r="AY341">
        <f>IF(Расчёты!F341=0,0,IF(Расчёты!G341=1,N('Сценарный анализ'!$D$5),IF(Расчёты!G341=2,N('Сценарный анализ'!$D$6),IF(Расчёты!G341=3,N('Сценарный анализ'!$D$7),N('Сценарный анализ'!$D$7)*(1+N('Сценарный анализ'!$D$8))^(Расчёты!G341-3)))))</f>
        <v>0</v>
      </c>
      <c r="AZ341">
        <f>IF(OR(Расчёты!F341=0,N('Исходные данные'!$B$5)=0,AY341=0),0,N('Исходные данные'!$B$5)*AY341*IF(AND(B341&lt;='Исходные данные'!$B$30,Расчёты!C341&gt;='Исходные данные'!$B$30),(Расчёты!C341-'Исходные данные'!$B$30+1)/DAY(Расчёты!C341),1))</f>
        <v>0</v>
      </c>
      <c r="BA341">
        <f>IF(AND(Расчёты!F341&gt;0,Расчёты!F341&lt;=N('Исходные данные'!$B$37)),-AZ341,0)</f>
        <v>0</v>
      </c>
      <c r="BB341">
        <f>IF(OR(Расчёты!F341=0,Расчёты!F341&lt;=N('Исходные данные'!$B$37)),0,-(AZ341+BA341)*N('Сценарный анализ'!$D$9))</f>
        <v>0</v>
      </c>
      <c r="BC341">
        <f t="shared" si="186"/>
        <v>0</v>
      </c>
      <c r="BD341">
        <f>IF('Исходные данные'!$B$51="Да",BC341*N('Исходные данные'!$B$52),0)</f>
        <v>0</v>
      </c>
      <c r="BE341">
        <f t="shared" si="187"/>
        <v>0</v>
      </c>
      <c r="BF341">
        <f>BC341+(Расчёты!Y341-Расчёты!L341)</f>
        <v>0</v>
      </c>
      <c r="BG341">
        <f t="shared" si="174"/>
        <v>0</v>
      </c>
      <c r="BH341">
        <f>IF('Исходные данные'!$B$51="Да",-MAX(0,BD341+Расчёты!R341+Расчёты!V341-Расчёты!P341-Расчёты!T341-BG341),0)</f>
        <v>0</v>
      </c>
      <c r="BI341">
        <f>IF('Исходные данные'!$B$51="Да",MAX(0,BG341+Расчёты!P341+Расчёты!T341-BD341-Расчёты!R341-Расчёты!V341),0)</f>
        <v>0</v>
      </c>
      <c r="BJ341">
        <f>IF('Исходные данные'!$B$53="Выручка",MAX(0,BC341+(Расчёты!Q341-Расчёты!R341)+(Расчёты!U341-Расчёты!V341)),IF('Исходные данные'!$B$53="Прибыль до налога",MAX(0,BC341+(Расчёты!Q341-Расчёты!R341)+(Расчёты!U341-Расчёты!V341)+N('Исходные данные'!$B$54)*((Расчёты!O341+Расчёты!P341)+(Расчёты!S341+Расчёты!T341)+Расчёты!W341+Расчёты!X341)+IF('Исходные данные'!$B$55="Да",Расчёты!AG341,0)-N('Исходные данные'!$B$56)/12),IF('Исходные данные'!$B$53="Пользовательская база",MAX(0,N('Исходные данные'!$B$57)/12),0)))</f>
        <v>0</v>
      </c>
      <c r="BK341">
        <f>IF(D341=1,-BJ341*N('Исходные данные'!$B$50),0)</f>
        <v>0</v>
      </c>
      <c r="BL341">
        <f t="shared" si="175"/>
        <v>0</v>
      </c>
      <c r="BM341">
        <f>IF(OR(D341&lt;&gt;1,B341="",'Исходные данные'!$B$91="",N('Исходные данные'!$B$80)&lt;=0,'Исходные данные'!$B$88=""),0,IF(AND(YEAR(B341)=YEAR('Исходные данные'!$B$91),MONTH(B341)=MONTH('Исходные данные'!$B$91)),MAX(0,IF('Исходные данные'!$B$88="Последние 12 месяцев",SUMIFS($BF$2:$BF$194,$B$2:$B$194,"&gt;="&amp;EDATE(B341,-11),$B$2:$B$194,"&lt;="&amp;B341),IF('Исходные данные'!$B$88="Пользовательский NOI",N('Исходные данные'!$B$89),BL341))/N('Исходные данные'!$B$80)*(1+N('Исходные данные'!$B$81))),0))</f>
        <v>0</v>
      </c>
      <c r="BN341">
        <f>-BM341*N('Исходные данные'!$B$73)</f>
        <v>0</v>
      </c>
      <c r="BO341">
        <f>IF(BM341=0,0,-N('Исходные данные'!$B$87)-IF('Исходные данные'!$B$82="Да",IF('Исходные данные'!$B$84="С выручки",BM341,IF('Исходные данные'!$B$84="С прибыли",MAX(0,BM341+BN341-IF('Исходные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41">
        <f t="shared" si="188"/>
        <v>0</v>
      </c>
      <c r="BQ341">
        <f>IF(D341=1,Расчёты!AZ341+BE341+BH341+BK341+BP341,0)</f>
        <v>0</v>
      </c>
      <c r="BR341" t="str">
        <f t="shared" si="176"/>
        <v/>
      </c>
      <c r="BS341">
        <f>IF(OR(D341=0,'Исходные данные'!$B$9="",'Исходные данные'!$B$90=""),0,BQ341/(1+'Исходные данные'!$B$90)^((C341-'Исходные данные'!$B$9)/365))</f>
        <v>0</v>
      </c>
      <c r="BT341">
        <f>IF(D341=1,BE341+Расчёты!O341+Расчёты!Q341+Расчёты!S341+Расчёты!U341+Расчёты!W341+Расчёты!X341+BH341+BK341,0)</f>
        <v>0</v>
      </c>
      <c r="BU341">
        <f>IF(AND(D341=1,BR341&gt;=0,BR340&lt;0,MIN($BR$2:BR341)&lt;0),1,0)</f>
        <v>0</v>
      </c>
      <c r="BV341">
        <f>Расчёты!AZ341+K341+N341-P341*N('Исходные данные'!$B$50)</f>
        <v>0</v>
      </c>
      <c r="BW341">
        <f t="shared" si="177"/>
        <v>0</v>
      </c>
      <c r="BX341">
        <f>IF(AND(BW341&gt;=0,BW340&lt;0,MIN($BW$2:BW341)&lt;0),1,0)</f>
        <v>0</v>
      </c>
      <c r="BY341">
        <f>Расчёты!AZ341+AH341+AK341-AM341*N('Исходные данные'!$B$50)</f>
        <v>0</v>
      </c>
      <c r="BZ341">
        <f t="shared" si="178"/>
        <v>0</v>
      </c>
      <c r="CA341">
        <f>IF(AND(BZ341&gt;=0,BZ340&lt;0,MIN($BZ$2:BZ341)&lt;0),1,0)</f>
        <v>0</v>
      </c>
      <c r="CB341">
        <f>Расчёты!AZ341+BE341+BH341-BJ341*N('Исходные данные'!$B$50)</f>
        <v>0</v>
      </c>
      <c r="CC341">
        <f t="shared" si="179"/>
        <v>0</v>
      </c>
      <c r="CD341">
        <f>IF(AND(CC341&gt;=0,CC340&lt;0,MIN($CC$2:CC341)&lt;0),1,0)</f>
        <v>0</v>
      </c>
    </row>
    <row r="342" spans="1:82" x14ac:dyDescent="0.2">
      <c r="A342">
        <f>Расчёты!A342</f>
        <v>341</v>
      </c>
      <c r="B342" t="str">
        <f>Расчёты!B342</f>
        <v/>
      </c>
      <c r="C342" t="str">
        <f>Расчёты!D342</f>
        <v/>
      </c>
      <c r="D342">
        <f>Расчёты!E342</f>
        <v>0</v>
      </c>
      <c r="E342">
        <f>IF(Расчёты!F342=0,0,IF(Расчёты!G342=1,N('Сценарный анализ'!$B$5),IF(Расчёты!G342=2,N('Сценарный анализ'!$B$6),IF(Расчёты!G342=3,N('Сценарный анализ'!$B$7),N('Сценарный анализ'!$B$7)*(1+N('Сценарный анализ'!$B$8))^(Расчёты!G342-3)))))</f>
        <v>0</v>
      </c>
      <c r="F342">
        <f>IF(OR(Расчёты!F342=0,N('Исходные данные'!$B$5)=0,E342=0),0,N('Исходные данные'!$B$5)*E342*IF(AND(B342&lt;='Исходные данные'!$B$30,Расчёты!C342&gt;='Исходные данные'!$B$30),(Расчёты!C342-'Исходные данные'!$B$30+1)/DAY(Расчёты!C342),1))</f>
        <v>0</v>
      </c>
      <c r="G342">
        <f>IF(AND(Расчёты!F342&gt;0,Расчёты!F342&lt;=N('Исходные данные'!$B$37)),-F342,0)</f>
        <v>0</v>
      </c>
      <c r="H342">
        <f>IF(OR(Расчёты!F342=0,Расчёты!F342&lt;=N('Исходные данные'!$B$37)),0,-(F342+G342)*N('Сценарный анализ'!$B$9))</f>
        <v>0</v>
      </c>
      <c r="I342">
        <f t="shared" si="180"/>
        <v>0</v>
      </c>
      <c r="J342">
        <f>IF('Исходные данные'!$B$51="Да",I342*N('Исходные данные'!$B$52),0)</f>
        <v>0</v>
      </c>
      <c r="K342">
        <f t="shared" si="181"/>
        <v>0</v>
      </c>
      <c r="L342">
        <f>I342+(Расчёты!Y342-Расчёты!L342)</f>
        <v>0</v>
      </c>
      <c r="M342">
        <f t="shared" si="168"/>
        <v>0</v>
      </c>
      <c r="N342">
        <f>IF('Исходные данные'!$B$51="Да",-MAX(0,J342+Расчёты!R342+Расчёты!V342-Расчёты!P342-Расчёты!T342-M342),0)</f>
        <v>0</v>
      </c>
      <c r="O342">
        <f>IF('Исходные данные'!$B$51="Да",MAX(0,M342+Расчёты!P342+Расчёты!T342-J342-Расчёты!R342-Расчёты!V342),0)</f>
        <v>0</v>
      </c>
      <c r="P342">
        <f>IF('Исходные данные'!$B$53="Выручка",MAX(0,I342+(Расчёты!Q342-Расчёты!R342)+(Расчёты!U342-Расчёты!V342)),IF('Исходные данные'!$B$53="Прибыль до налога",MAX(0,I342+(Расчёты!Q342-Расчёты!R342)+(Расчёты!U342-Расчёты!V342)+N('Исходные данные'!$B$54)*((Расчёты!O342+Расчёты!P342)+(Расчёты!S342+Расчёты!T342)+Расчёты!W342+Расчёты!X342)+IF('Исходные данные'!$B$55="Да",Расчёты!AG342,0)-N('Исходные данные'!$B$56)/12),IF('Исходные данные'!$B$53="Пользовательская база",MAX(0,N('Исходные данные'!$B$57)/12),0)))</f>
        <v>0</v>
      </c>
      <c r="Q342">
        <f>IF(D342=1,-P342*N('Исходные данные'!$B$50),0)</f>
        <v>0</v>
      </c>
      <c r="R342">
        <f t="shared" si="169"/>
        <v>0</v>
      </c>
      <c r="S342">
        <f>IF(OR(D342&lt;&gt;1,B342="",'Исходные данные'!$B$91="",N('Исходные данные'!$B$80)&lt;=0,'Исходные данные'!$B$88=""),0,IF(AND(YEAR(B342)=YEAR('Исходные данные'!$B$91),MONTH(B342)=MONTH('Исходные данные'!$B$91)),MAX(0,IF('Исходные данные'!$B$88="Последние 12 месяцев",SUMIFS($L$2:$L$194,$B$2:$B$194,"&gt;="&amp;EDATE(B342,-11),$B$2:$B$194,"&lt;="&amp;B342),IF('Исходные данные'!$B$88="Пользовательский NOI",N('Исходные данные'!$B$89),R342))/N('Исходные данные'!$B$80)*(1+N('Исходные данные'!$B$81))),0))</f>
        <v>0</v>
      </c>
      <c r="T342">
        <f>-S342*N('Исходные данные'!$B$73)</f>
        <v>0</v>
      </c>
      <c r="U342">
        <f>IF(S342=0,0,-N('Исходные данные'!$B$87)-IF('Исходные данные'!$B$82="Да",IF('Исходные данные'!$B$84="С выручки",S342,IF('Исходные данные'!$B$84="С прибыли",MAX(0,S342+T342-IF('Исходные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42">
        <f t="shared" si="182"/>
        <v>0</v>
      </c>
      <c r="W342">
        <f>IF(D342=1,Расчёты!AZ342+K342+N342+Q342+V342,0)</f>
        <v>0</v>
      </c>
      <c r="X342" t="str">
        <f t="shared" si="170"/>
        <v/>
      </c>
      <c r="Y342">
        <f>IF(OR(D342=0,'Исходные данные'!$B$9="",'Исходные данные'!$B$90=""),0,W342/(1+'Исходные данные'!$B$90)^((C342-'Исходные данные'!$B$9)/365))</f>
        <v>0</v>
      </c>
      <c r="Z342">
        <f>IF(D342=1,K342+Расчёты!O342+Расчёты!Q342+Расчёты!S342+Расчёты!U342+Расчёты!W342+Расчёты!X342+N342+Q342,0)</f>
        <v>0</v>
      </c>
      <c r="AA342">
        <f>IF(AND(D342=1,X342&gt;=0,X341&lt;0,MIN($X$2:X342)&lt;0),1,0)</f>
        <v>0</v>
      </c>
      <c r="AB342">
        <f>IF(Расчёты!F342=0,0,IF(Расчёты!G342=1,N('Сценарный анализ'!$C$5),IF(Расчёты!G342=2,N('Сценарный анализ'!$C$6),IF(Расчёты!G342=3,N('Сценарный анализ'!$C$7),N('Сценарный анализ'!$C$7)*(1+N('Сценарный анализ'!$C$8))^(Расчёты!G342-3)))))</f>
        <v>0</v>
      </c>
      <c r="AC342">
        <f>IF(OR(Расчёты!F342=0,N('Исходные данные'!$B$5)=0,AB342=0),0,N('Исходные данные'!$B$5)*AB342*IF(AND(B342&lt;='Исходные данные'!$B$30,Расчёты!C342&gt;='Исходные данные'!$B$30),(Расчёты!C342-'Исходные данные'!$B$30+1)/DAY(Расчёты!C342),1))</f>
        <v>0</v>
      </c>
      <c r="AD342">
        <f>IF(AND(Расчёты!F342&gt;0,Расчёты!F342&lt;=N('Исходные данные'!$B$37)),-AC342,0)</f>
        <v>0</v>
      </c>
      <c r="AE342">
        <f>IF(OR(Расчёты!F342=0,Расчёты!F342&lt;=N('Исходные данные'!$B$37)),0,-(AC342+AD342)*N('Сценарный анализ'!$C$9))</f>
        <v>0</v>
      </c>
      <c r="AF342">
        <f t="shared" si="183"/>
        <v>0</v>
      </c>
      <c r="AG342">
        <f>IF('Исходные данные'!$B$51="Да",AF342*N('Исходные данные'!$B$52),0)</f>
        <v>0</v>
      </c>
      <c r="AH342">
        <f t="shared" si="184"/>
        <v>0</v>
      </c>
      <c r="AI342">
        <f>AF342+(Расчёты!Y342-Расчёты!L342)</f>
        <v>0</v>
      </c>
      <c r="AJ342">
        <f t="shared" si="171"/>
        <v>0</v>
      </c>
      <c r="AK342">
        <f>IF('Исходные данные'!$B$51="Да",-MAX(0,AG342+Расчёты!R342+Расчёты!V342-Расчёты!P342-Расчёты!T342-AJ342),0)</f>
        <v>0</v>
      </c>
      <c r="AL342">
        <f>IF('Исходные данные'!$B$51="Да",MAX(0,AJ342+Расчёты!P342+Расчёты!T342-AG342-Расчёты!R342-Расчёты!V342),0)</f>
        <v>0</v>
      </c>
      <c r="AM342">
        <f>IF('Исходные данные'!$B$53="Выручка",MAX(0,AF342+(Расчёты!Q342-Расчёты!R342)+(Расчёты!U342-Расчёты!V342)),IF('Исходные данные'!$B$53="Прибыль до налога",MAX(0,AF342+(Расчёты!Q342-Расчёты!R342)+(Расчёты!U342-Расчёты!V342)+N('Исходные данные'!$B$54)*((Расчёты!O342+Расчёты!P342)+(Расчёты!S342+Расчёты!T342)+Расчёты!W342+Расчёты!X342)+IF('Исходные данные'!$B$55="Да",Расчёты!AG342,0)-N('Исходные данные'!$B$56)/12),IF('Исходные данные'!$B$53="Пользовательская база",MAX(0,N('Исходные данные'!$B$57)/12),0)))</f>
        <v>0</v>
      </c>
      <c r="AN342">
        <f>IF(D342=1,-AM342*N('Исходные данные'!$B$50),0)</f>
        <v>0</v>
      </c>
      <c r="AO342">
        <f t="shared" si="172"/>
        <v>0</v>
      </c>
      <c r="AP342">
        <f>IF(OR(D342&lt;&gt;1,B342="",'Исходные данные'!$B$91="",N('Исходные данные'!$B$80)&lt;=0,'Исходные данные'!$B$88=""),0,IF(AND(YEAR(B342)=YEAR('Исходные данные'!$B$91),MONTH(B342)=MONTH('Исходные данные'!$B$91)),MAX(0,IF('Исходные данные'!$B$88="Последние 12 месяцев",SUMIFS($AI$2:$AI$194,$B$2:$B$194,"&gt;="&amp;EDATE(B342,-11),$B$2:$B$194,"&lt;="&amp;B342),IF('Исходные данные'!$B$88="Пользовательский NOI",N('Исходные данные'!$B$89),AO342))/N('Исходные данные'!$B$80)*(1+N('Исходные данные'!$B$81))),0))</f>
        <v>0</v>
      </c>
      <c r="AQ342">
        <f>-AP342*N('Исходные данные'!$B$73)</f>
        <v>0</v>
      </c>
      <c r="AR342">
        <f>IF(AP342=0,0,-N('Исходные данные'!$B$87)-IF('Исходные данные'!$B$82="Да",IF('Исходные данные'!$B$84="С выручки",AP342,IF('Исходные данные'!$B$84="С прибыли",MAX(0,AP342+AQ342-IF('Исходные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42">
        <f t="shared" si="185"/>
        <v>0</v>
      </c>
      <c r="AT342">
        <f>IF(D342=1,Расчёты!AZ342+AH342+AK342+AN342+AS342,0)</f>
        <v>0</v>
      </c>
      <c r="AU342" t="str">
        <f t="shared" si="173"/>
        <v/>
      </c>
      <c r="AV342">
        <f>IF(OR(D342=0,'Исходные данные'!$B$9="",'Исходные данные'!$B$90=""),0,AT342/(1+'Исходные данные'!$B$90)^((C342-'Исходные данные'!$B$9)/365))</f>
        <v>0</v>
      </c>
      <c r="AW342">
        <f>IF(D342=1,AH342+Расчёты!O342+Расчёты!Q342+Расчёты!S342+Расчёты!U342+Расчёты!W342+Расчёты!X342+AK342+AN342,0)</f>
        <v>0</v>
      </c>
      <c r="AX342">
        <f>IF(AND(D342=1,AU342&gt;=0,AU341&lt;0,MIN($AU$2:AU342)&lt;0),1,0)</f>
        <v>0</v>
      </c>
      <c r="AY342">
        <f>IF(Расчёты!F342=0,0,IF(Расчёты!G342=1,N('Сценарный анализ'!$D$5),IF(Расчёты!G342=2,N('Сценарный анализ'!$D$6),IF(Расчёты!G342=3,N('Сценарный анализ'!$D$7),N('Сценарный анализ'!$D$7)*(1+N('Сценарный анализ'!$D$8))^(Расчёты!G342-3)))))</f>
        <v>0</v>
      </c>
      <c r="AZ342">
        <f>IF(OR(Расчёты!F342=0,N('Исходные данные'!$B$5)=0,AY342=0),0,N('Исходные данные'!$B$5)*AY342*IF(AND(B342&lt;='Исходные данные'!$B$30,Расчёты!C342&gt;='Исходные данные'!$B$30),(Расчёты!C342-'Исходные данные'!$B$30+1)/DAY(Расчёты!C342),1))</f>
        <v>0</v>
      </c>
      <c r="BA342">
        <f>IF(AND(Расчёты!F342&gt;0,Расчёты!F342&lt;=N('Исходные данные'!$B$37)),-AZ342,0)</f>
        <v>0</v>
      </c>
      <c r="BB342">
        <f>IF(OR(Расчёты!F342=0,Расчёты!F342&lt;=N('Исходные данные'!$B$37)),0,-(AZ342+BA342)*N('Сценарный анализ'!$D$9))</f>
        <v>0</v>
      </c>
      <c r="BC342">
        <f t="shared" si="186"/>
        <v>0</v>
      </c>
      <c r="BD342">
        <f>IF('Исходные данные'!$B$51="Да",BC342*N('Исходные данные'!$B$52),0)</f>
        <v>0</v>
      </c>
      <c r="BE342">
        <f t="shared" si="187"/>
        <v>0</v>
      </c>
      <c r="BF342">
        <f>BC342+(Расчёты!Y342-Расчёты!L342)</f>
        <v>0</v>
      </c>
      <c r="BG342">
        <f t="shared" si="174"/>
        <v>0</v>
      </c>
      <c r="BH342">
        <f>IF('Исходные данные'!$B$51="Да",-MAX(0,BD342+Расчёты!R342+Расчёты!V342-Расчёты!P342-Расчёты!T342-BG342),0)</f>
        <v>0</v>
      </c>
      <c r="BI342">
        <f>IF('Исходные данные'!$B$51="Да",MAX(0,BG342+Расчёты!P342+Расчёты!T342-BD342-Расчёты!R342-Расчёты!V342),0)</f>
        <v>0</v>
      </c>
      <c r="BJ342">
        <f>IF('Исходные данные'!$B$53="Выручка",MAX(0,BC342+(Расчёты!Q342-Расчёты!R342)+(Расчёты!U342-Расчёты!V342)),IF('Исходные данные'!$B$53="Прибыль до налога",MAX(0,BC342+(Расчёты!Q342-Расчёты!R342)+(Расчёты!U342-Расчёты!V342)+N('Исходные данные'!$B$54)*((Расчёты!O342+Расчёты!P342)+(Расчёты!S342+Расчёты!T342)+Расчёты!W342+Расчёты!X342)+IF('Исходные данные'!$B$55="Да",Расчёты!AG342,0)-N('Исходные данные'!$B$56)/12),IF('Исходные данные'!$B$53="Пользовательская база",MAX(0,N('Исходные данные'!$B$57)/12),0)))</f>
        <v>0</v>
      </c>
      <c r="BK342">
        <f>IF(D342=1,-BJ342*N('Исходные данные'!$B$50),0)</f>
        <v>0</v>
      </c>
      <c r="BL342">
        <f t="shared" si="175"/>
        <v>0</v>
      </c>
      <c r="BM342">
        <f>IF(OR(D342&lt;&gt;1,B342="",'Исходные данные'!$B$91="",N('Исходные данные'!$B$80)&lt;=0,'Исходные данные'!$B$88=""),0,IF(AND(YEAR(B342)=YEAR('Исходные данные'!$B$91),MONTH(B342)=MONTH('Исходные данные'!$B$91)),MAX(0,IF('Исходные данные'!$B$88="Последние 12 месяцев",SUMIFS($BF$2:$BF$194,$B$2:$B$194,"&gt;="&amp;EDATE(B342,-11),$B$2:$B$194,"&lt;="&amp;B342),IF('Исходные данные'!$B$88="Пользовательский NOI",N('Исходные данные'!$B$89),BL342))/N('Исходные данные'!$B$80)*(1+N('Исходные данные'!$B$81))),0))</f>
        <v>0</v>
      </c>
      <c r="BN342">
        <f>-BM342*N('Исходные данные'!$B$73)</f>
        <v>0</v>
      </c>
      <c r="BO342">
        <f>IF(BM342=0,0,-N('Исходные данные'!$B$87)-IF('Исходные данные'!$B$82="Да",IF('Исходные данные'!$B$84="С выручки",BM342,IF('Исходные данные'!$B$84="С прибыли",MAX(0,BM342+BN342-IF('Исходные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42">
        <f t="shared" si="188"/>
        <v>0</v>
      </c>
      <c r="BQ342">
        <f>IF(D342=1,Расчёты!AZ342+BE342+BH342+BK342+BP342,0)</f>
        <v>0</v>
      </c>
      <c r="BR342" t="str">
        <f t="shared" si="176"/>
        <v/>
      </c>
      <c r="BS342">
        <f>IF(OR(D342=0,'Исходные данные'!$B$9="",'Исходные данные'!$B$90=""),0,BQ342/(1+'Исходные данные'!$B$90)^((C342-'Исходные данные'!$B$9)/365))</f>
        <v>0</v>
      </c>
      <c r="BT342">
        <f>IF(D342=1,BE342+Расчёты!O342+Расчёты!Q342+Расчёты!S342+Расчёты!U342+Расчёты!W342+Расчёты!X342+BH342+BK342,0)</f>
        <v>0</v>
      </c>
      <c r="BU342">
        <f>IF(AND(D342=1,BR342&gt;=0,BR341&lt;0,MIN($BR$2:BR342)&lt;0),1,0)</f>
        <v>0</v>
      </c>
      <c r="BV342">
        <f>Расчёты!AZ342+K342+N342-P342*N('Исходные данные'!$B$50)</f>
        <v>0</v>
      </c>
      <c r="BW342">
        <f t="shared" si="177"/>
        <v>0</v>
      </c>
      <c r="BX342">
        <f>IF(AND(BW342&gt;=0,BW341&lt;0,MIN($BW$2:BW342)&lt;0),1,0)</f>
        <v>0</v>
      </c>
      <c r="BY342">
        <f>Расчёты!AZ342+AH342+AK342-AM342*N('Исходные данные'!$B$50)</f>
        <v>0</v>
      </c>
      <c r="BZ342">
        <f t="shared" si="178"/>
        <v>0</v>
      </c>
      <c r="CA342">
        <f>IF(AND(BZ342&gt;=0,BZ341&lt;0,MIN($BZ$2:BZ342)&lt;0),1,0)</f>
        <v>0</v>
      </c>
      <c r="CB342">
        <f>Расчёты!AZ342+BE342+BH342-BJ342*N('Исходные данные'!$B$50)</f>
        <v>0</v>
      </c>
      <c r="CC342">
        <f t="shared" si="179"/>
        <v>0</v>
      </c>
      <c r="CD342">
        <f>IF(AND(CC342&gt;=0,CC341&lt;0,MIN($CC$2:CC342)&lt;0),1,0)</f>
        <v>0</v>
      </c>
    </row>
    <row r="343" spans="1:82" x14ac:dyDescent="0.2">
      <c r="A343">
        <f>Расчёты!A343</f>
        <v>342</v>
      </c>
      <c r="B343" t="str">
        <f>Расчёты!B343</f>
        <v/>
      </c>
      <c r="C343" t="str">
        <f>Расчёты!D343</f>
        <v/>
      </c>
      <c r="D343">
        <f>Расчёты!E343</f>
        <v>0</v>
      </c>
      <c r="E343">
        <f>IF(Расчёты!F343=0,0,IF(Расчёты!G343=1,N('Сценарный анализ'!$B$5),IF(Расчёты!G343=2,N('Сценарный анализ'!$B$6),IF(Расчёты!G343=3,N('Сценарный анализ'!$B$7),N('Сценарный анализ'!$B$7)*(1+N('Сценарный анализ'!$B$8))^(Расчёты!G343-3)))))</f>
        <v>0</v>
      </c>
      <c r="F343">
        <f>IF(OR(Расчёты!F343=0,N('Исходные данные'!$B$5)=0,E343=0),0,N('Исходные данные'!$B$5)*E343*IF(AND(B343&lt;='Исходные данные'!$B$30,Расчёты!C343&gt;='Исходные данные'!$B$30),(Расчёты!C343-'Исходные данные'!$B$30+1)/DAY(Расчёты!C343),1))</f>
        <v>0</v>
      </c>
      <c r="G343">
        <f>IF(AND(Расчёты!F343&gt;0,Расчёты!F343&lt;=N('Исходные данные'!$B$37)),-F343,0)</f>
        <v>0</v>
      </c>
      <c r="H343">
        <f>IF(OR(Расчёты!F343=0,Расчёты!F343&lt;=N('Исходные данные'!$B$37)),0,-(F343+G343)*N('Сценарный анализ'!$B$9))</f>
        <v>0</v>
      </c>
      <c r="I343">
        <f t="shared" si="180"/>
        <v>0</v>
      </c>
      <c r="J343">
        <f>IF('Исходные данные'!$B$51="Да",I343*N('Исходные данные'!$B$52),0)</f>
        <v>0</v>
      </c>
      <c r="K343">
        <f t="shared" si="181"/>
        <v>0</v>
      </c>
      <c r="L343">
        <f>I343+(Расчёты!Y343-Расчёты!L343)</f>
        <v>0</v>
      </c>
      <c r="M343">
        <f t="shared" si="168"/>
        <v>0</v>
      </c>
      <c r="N343">
        <f>IF('Исходные данные'!$B$51="Да",-MAX(0,J343+Расчёты!R343+Расчёты!V343-Расчёты!P343-Расчёты!T343-M343),0)</f>
        <v>0</v>
      </c>
      <c r="O343">
        <f>IF('Исходные данные'!$B$51="Да",MAX(0,M343+Расчёты!P343+Расчёты!T343-J343-Расчёты!R343-Расчёты!V343),0)</f>
        <v>0</v>
      </c>
      <c r="P343">
        <f>IF('Исходные данные'!$B$53="Выручка",MAX(0,I343+(Расчёты!Q343-Расчёты!R343)+(Расчёты!U343-Расчёты!V343)),IF('Исходные данные'!$B$53="Прибыль до налога",MAX(0,I343+(Расчёты!Q343-Расчёты!R343)+(Расчёты!U343-Расчёты!V343)+N('Исходные данные'!$B$54)*((Расчёты!O343+Расчёты!P343)+(Расчёты!S343+Расчёты!T343)+Расчёты!W343+Расчёты!X343)+IF('Исходные данные'!$B$55="Да",Расчёты!AG343,0)-N('Исходные данные'!$B$56)/12),IF('Исходные данные'!$B$53="Пользовательская база",MAX(0,N('Исходные данные'!$B$57)/12),0)))</f>
        <v>0</v>
      </c>
      <c r="Q343">
        <f>IF(D343=1,-P343*N('Исходные данные'!$B$50),0)</f>
        <v>0</v>
      </c>
      <c r="R343">
        <f t="shared" si="169"/>
        <v>0</v>
      </c>
      <c r="S343">
        <f>IF(OR(D343&lt;&gt;1,B343="",'Исходные данные'!$B$91="",N('Исходные данные'!$B$80)&lt;=0,'Исходные данные'!$B$88=""),0,IF(AND(YEAR(B343)=YEAR('Исходные данные'!$B$91),MONTH(B343)=MONTH('Исходные данные'!$B$91)),MAX(0,IF('Исходные данные'!$B$88="Последние 12 месяцев",SUMIFS($L$2:$L$194,$B$2:$B$194,"&gt;="&amp;EDATE(B343,-11),$B$2:$B$194,"&lt;="&amp;B343),IF('Исходные данные'!$B$88="Пользовательский NOI",N('Исходные данные'!$B$89),R343))/N('Исходные данные'!$B$80)*(1+N('Исходные данные'!$B$81))),0))</f>
        <v>0</v>
      </c>
      <c r="T343">
        <f>-S343*N('Исходные данные'!$B$73)</f>
        <v>0</v>
      </c>
      <c r="U343">
        <f>IF(S343=0,0,-N('Исходные данные'!$B$87)-IF('Исходные данные'!$B$82="Да",IF('Исходные данные'!$B$84="С выручки",S343,IF('Исходные данные'!$B$84="С прибыли",MAX(0,S343+T343-IF('Исходные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43">
        <f t="shared" si="182"/>
        <v>0</v>
      </c>
      <c r="W343">
        <f>IF(D343=1,Расчёты!AZ343+K343+N343+Q343+V343,0)</f>
        <v>0</v>
      </c>
      <c r="X343" t="str">
        <f t="shared" si="170"/>
        <v/>
      </c>
      <c r="Y343">
        <f>IF(OR(D343=0,'Исходные данные'!$B$9="",'Исходные данные'!$B$90=""),0,W343/(1+'Исходные данные'!$B$90)^((C343-'Исходные данные'!$B$9)/365))</f>
        <v>0</v>
      </c>
      <c r="Z343">
        <f>IF(D343=1,K343+Расчёты!O343+Расчёты!Q343+Расчёты!S343+Расчёты!U343+Расчёты!W343+Расчёты!X343+N343+Q343,0)</f>
        <v>0</v>
      </c>
      <c r="AA343">
        <f>IF(AND(D343=1,X343&gt;=0,X342&lt;0,MIN($X$2:X343)&lt;0),1,0)</f>
        <v>0</v>
      </c>
      <c r="AB343">
        <f>IF(Расчёты!F343=0,0,IF(Расчёты!G343=1,N('Сценарный анализ'!$C$5),IF(Расчёты!G343=2,N('Сценарный анализ'!$C$6),IF(Расчёты!G343=3,N('Сценарный анализ'!$C$7),N('Сценарный анализ'!$C$7)*(1+N('Сценарный анализ'!$C$8))^(Расчёты!G343-3)))))</f>
        <v>0</v>
      </c>
      <c r="AC343">
        <f>IF(OR(Расчёты!F343=0,N('Исходные данные'!$B$5)=0,AB343=0),0,N('Исходные данные'!$B$5)*AB343*IF(AND(B343&lt;='Исходные данные'!$B$30,Расчёты!C343&gt;='Исходные данные'!$B$30),(Расчёты!C343-'Исходные данные'!$B$30+1)/DAY(Расчёты!C343),1))</f>
        <v>0</v>
      </c>
      <c r="AD343">
        <f>IF(AND(Расчёты!F343&gt;0,Расчёты!F343&lt;=N('Исходные данные'!$B$37)),-AC343,0)</f>
        <v>0</v>
      </c>
      <c r="AE343">
        <f>IF(OR(Расчёты!F343=0,Расчёты!F343&lt;=N('Исходные данные'!$B$37)),0,-(AC343+AD343)*N('Сценарный анализ'!$C$9))</f>
        <v>0</v>
      </c>
      <c r="AF343">
        <f t="shared" si="183"/>
        <v>0</v>
      </c>
      <c r="AG343">
        <f>IF('Исходные данные'!$B$51="Да",AF343*N('Исходные данные'!$B$52),0)</f>
        <v>0</v>
      </c>
      <c r="AH343">
        <f t="shared" si="184"/>
        <v>0</v>
      </c>
      <c r="AI343">
        <f>AF343+(Расчёты!Y343-Расчёты!L343)</f>
        <v>0</v>
      </c>
      <c r="AJ343">
        <f t="shared" si="171"/>
        <v>0</v>
      </c>
      <c r="AK343">
        <f>IF('Исходные данные'!$B$51="Да",-MAX(0,AG343+Расчёты!R343+Расчёты!V343-Расчёты!P343-Расчёты!T343-AJ343),0)</f>
        <v>0</v>
      </c>
      <c r="AL343">
        <f>IF('Исходные данные'!$B$51="Да",MAX(0,AJ343+Расчёты!P343+Расчёты!T343-AG343-Расчёты!R343-Расчёты!V343),0)</f>
        <v>0</v>
      </c>
      <c r="AM343">
        <f>IF('Исходные данные'!$B$53="Выручка",MAX(0,AF343+(Расчёты!Q343-Расчёты!R343)+(Расчёты!U343-Расчёты!V343)),IF('Исходные данные'!$B$53="Прибыль до налога",MAX(0,AF343+(Расчёты!Q343-Расчёты!R343)+(Расчёты!U343-Расчёты!V343)+N('Исходные данные'!$B$54)*((Расчёты!O343+Расчёты!P343)+(Расчёты!S343+Расчёты!T343)+Расчёты!W343+Расчёты!X343)+IF('Исходные данные'!$B$55="Да",Расчёты!AG343,0)-N('Исходные данные'!$B$56)/12),IF('Исходные данные'!$B$53="Пользовательская база",MAX(0,N('Исходные данные'!$B$57)/12),0)))</f>
        <v>0</v>
      </c>
      <c r="AN343">
        <f>IF(D343=1,-AM343*N('Исходные данные'!$B$50),0)</f>
        <v>0</v>
      </c>
      <c r="AO343">
        <f t="shared" si="172"/>
        <v>0</v>
      </c>
      <c r="AP343">
        <f>IF(OR(D343&lt;&gt;1,B343="",'Исходные данные'!$B$91="",N('Исходные данные'!$B$80)&lt;=0,'Исходные данные'!$B$88=""),0,IF(AND(YEAR(B343)=YEAR('Исходные данные'!$B$91),MONTH(B343)=MONTH('Исходные данные'!$B$91)),MAX(0,IF('Исходные данные'!$B$88="Последние 12 месяцев",SUMIFS($AI$2:$AI$194,$B$2:$B$194,"&gt;="&amp;EDATE(B343,-11),$B$2:$B$194,"&lt;="&amp;B343),IF('Исходные данные'!$B$88="Пользовательский NOI",N('Исходные данные'!$B$89),AO343))/N('Исходные данные'!$B$80)*(1+N('Исходные данные'!$B$81))),0))</f>
        <v>0</v>
      </c>
      <c r="AQ343">
        <f>-AP343*N('Исходные данные'!$B$73)</f>
        <v>0</v>
      </c>
      <c r="AR343">
        <f>IF(AP343=0,0,-N('Исходные данные'!$B$87)-IF('Исходные данные'!$B$82="Да",IF('Исходные данные'!$B$84="С выручки",AP343,IF('Исходные данные'!$B$84="С прибыли",MAX(0,AP343+AQ343-IF('Исходные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43">
        <f t="shared" si="185"/>
        <v>0</v>
      </c>
      <c r="AT343">
        <f>IF(D343=1,Расчёты!AZ343+AH343+AK343+AN343+AS343,0)</f>
        <v>0</v>
      </c>
      <c r="AU343" t="str">
        <f t="shared" si="173"/>
        <v/>
      </c>
      <c r="AV343">
        <f>IF(OR(D343=0,'Исходные данные'!$B$9="",'Исходные данные'!$B$90=""),0,AT343/(1+'Исходные данные'!$B$90)^((C343-'Исходные данные'!$B$9)/365))</f>
        <v>0</v>
      </c>
      <c r="AW343">
        <f>IF(D343=1,AH343+Расчёты!O343+Расчёты!Q343+Расчёты!S343+Расчёты!U343+Расчёты!W343+Расчёты!X343+AK343+AN343,0)</f>
        <v>0</v>
      </c>
      <c r="AX343">
        <f>IF(AND(D343=1,AU343&gt;=0,AU342&lt;0,MIN($AU$2:AU343)&lt;0),1,0)</f>
        <v>0</v>
      </c>
      <c r="AY343">
        <f>IF(Расчёты!F343=0,0,IF(Расчёты!G343=1,N('Сценарный анализ'!$D$5),IF(Расчёты!G343=2,N('Сценарный анализ'!$D$6),IF(Расчёты!G343=3,N('Сценарный анализ'!$D$7),N('Сценарный анализ'!$D$7)*(1+N('Сценарный анализ'!$D$8))^(Расчёты!G343-3)))))</f>
        <v>0</v>
      </c>
      <c r="AZ343">
        <f>IF(OR(Расчёты!F343=0,N('Исходные данные'!$B$5)=0,AY343=0),0,N('Исходные данные'!$B$5)*AY343*IF(AND(B343&lt;='Исходные данные'!$B$30,Расчёты!C343&gt;='Исходные данные'!$B$30),(Расчёты!C343-'Исходные данные'!$B$30+1)/DAY(Расчёты!C343),1))</f>
        <v>0</v>
      </c>
      <c r="BA343">
        <f>IF(AND(Расчёты!F343&gt;0,Расчёты!F343&lt;=N('Исходные данные'!$B$37)),-AZ343,0)</f>
        <v>0</v>
      </c>
      <c r="BB343">
        <f>IF(OR(Расчёты!F343=0,Расчёты!F343&lt;=N('Исходные данные'!$B$37)),0,-(AZ343+BA343)*N('Сценарный анализ'!$D$9))</f>
        <v>0</v>
      </c>
      <c r="BC343">
        <f t="shared" si="186"/>
        <v>0</v>
      </c>
      <c r="BD343">
        <f>IF('Исходные данные'!$B$51="Да",BC343*N('Исходные данные'!$B$52),0)</f>
        <v>0</v>
      </c>
      <c r="BE343">
        <f t="shared" si="187"/>
        <v>0</v>
      </c>
      <c r="BF343">
        <f>BC343+(Расчёты!Y343-Расчёты!L343)</f>
        <v>0</v>
      </c>
      <c r="BG343">
        <f t="shared" si="174"/>
        <v>0</v>
      </c>
      <c r="BH343">
        <f>IF('Исходные данные'!$B$51="Да",-MAX(0,BD343+Расчёты!R343+Расчёты!V343-Расчёты!P343-Расчёты!T343-BG343),0)</f>
        <v>0</v>
      </c>
      <c r="BI343">
        <f>IF('Исходные данные'!$B$51="Да",MAX(0,BG343+Расчёты!P343+Расчёты!T343-BD343-Расчёты!R343-Расчёты!V343),0)</f>
        <v>0</v>
      </c>
      <c r="BJ343">
        <f>IF('Исходные данные'!$B$53="Выручка",MAX(0,BC343+(Расчёты!Q343-Расчёты!R343)+(Расчёты!U343-Расчёты!V343)),IF('Исходные данные'!$B$53="Прибыль до налога",MAX(0,BC343+(Расчёты!Q343-Расчёты!R343)+(Расчёты!U343-Расчёты!V343)+N('Исходные данные'!$B$54)*((Расчёты!O343+Расчёты!P343)+(Расчёты!S343+Расчёты!T343)+Расчёты!W343+Расчёты!X343)+IF('Исходные данные'!$B$55="Да",Расчёты!AG343,0)-N('Исходные данные'!$B$56)/12),IF('Исходные данные'!$B$53="Пользовательская база",MAX(0,N('Исходные данные'!$B$57)/12),0)))</f>
        <v>0</v>
      </c>
      <c r="BK343">
        <f>IF(D343=1,-BJ343*N('Исходные данные'!$B$50),0)</f>
        <v>0</v>
      </c>
      <c r="BL343">
        <f t="shared" si="175"/>
        <v>0</v>
      </c>
      <c r="BM343">
        <f>IF(OR(D343&lt;&gt;1,B343="",'Исходные данные'!$B$91="",N('Исходные данные'!$B$80)&lt;=0,'Исходные данные'!$B$88=""),0,IF(AND(YEAR(B343)=YEAR('Исходные данные'!$B$91),MONTH(B343)=MONTH('Исходные данные'!$B$91)),MAX(0,IF('Исходные данные'!$B$88="Последние 12 месяцев",SUMIFS($BF$2:$BF$194,$B$2:$B$194,"&gt;="&amp;EDATE(B343,-11),$B$2:$B$194,"&lt;="&amp;B343),IF('Исходные данные'!$B$88="Пользовательский NOI",N('Исходные данные'!$B$89),BL343))/N('Исходные данные'!$B$80)*(1+N('Исходные данные'!$B$81))),0))</f>
        <v>0</v>
      </c>
      <c r="BN343">
        <f>-BM343*N('Исходные данные'!$B$73)</f>
        <v>0</v>
      </c>
      <c r="BO343">
        <f>IF(BM343=0,0,-N('Исходные данные'!$B$87)-IF('Исходные данные'!$B$82="Да",IF('Исходные данные'!$B$84="С выручки",BM343,IF('Исходные данные'!$B$84="С прибыли",MAX(0,BM343+BN343-IF('Исходные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43">
        <f t="shared" si="188"/>
        <v>0</v>
      </c>
      <c r="BQ343">
        <f>IF(D343=1,Расчёты!AZ343+BE343+BH343+BK343+BP343,0)</f>
        <v>0</v>
      </c>
      <c r="BR343" t="str">
        <f t="shared" si="176"/>
        <v/>
      </c>
      <c r="BS343">
        <f>IF(OR(D343=0,'Исходные данные'!$B$9="",'Исходные данные'!$B$90=""),0,BQ343/(1+'Исходные данные'!$B$90)^((C343-'Исходные данные'!$B$9)/365))</f>
        <v>0</v>
      </c>
      <c r="BT343">
        <f>IF(D343=1,BE343+Расчёты!O343+Расчёты!Q343+Расчёты!S343+Расчёты!U343+Расчёты!W343+Расчёты!X343+BH343+BK343,0)</f>
        <v>0</v>
      </c>
      <c r="BU343">
        <f>IF(AND(D343=1,BR343&gt;=0,BR342&lt;0,MIN($BR$2:BR343)&lt;0),1,0)</f>
        <v>0</v>
      </c>
      <c r="BV343">
        <f>Расчёты!AZ343+K343+N343-P343*N('Исходные данные'!$B$50)</f>
        <v>0</v>
      </c>
      <c r="BW343">
        <f t="shared" si="177"/>
        <v>0</v>
      </c>
      <c r="BX343">
        <f>IF(AND(BW343&gt;=0,BW342&lt;0,MIN($BW$2:BW343)&lt;0),1,0)</f>
        <v>0</v>
      </c>
      <c r="BY343">
        <f>Расчёты!AZ343+AH343+AK343-AM343*N('Исходные данные'!$B$50)</f>
        <v>0</v>
      </c>
      <c r="BZ343">
        <f t="shared" si="178"/>
        <v>0</v>
      </c>
      <c r="CA343">
        <f>IF(AND(BZ343&gt;=0,BZ342&lt;0,MIN($BZ$2:BZ343)&lt;0),1,0)</f>
        <v>0</v>
      </c>
      <c r="CB343">
        <f>Расчёты!AZ343+BE343+BH343-BJ343*N('Исходные данные'!$B$50)</f>
        <v>0</v>
      </c>
      <c r="CC343">
        <f t="shared" si="179"/>
        <v>0</v>
      </c>
      <c r="CD343">
        <f>IF(AND(CC343&gt;=0,CC342&lt;0,MIN($CC$2:CC343)&lt;0),1,0)</f>
        <v>0</v>
      </c>
    </row>
    <row r="344" spans="1:82" x14ac:dyDescent="0.2">
      <c r="A344">
        <f>Расчёты!A344</f>
        <v>343</v>
      </c>
      <c r="B344" t="str">
        <f>Расчёты!B344</f>
        <v/>
      </c>
      <c r="C344" t="str">
        <f>Расчёты!D344</f>
        <v/>
      </c>
      <c r="D344">
        <f>Расчёты!E344</f>
        <v>0</v>
      </c>
      <c r="E344">
        <f>IF(Расчёты!F344=0,0,IF(Расчёты!G344=1,N('Сценарный анализ'!$B$5),IF(Расчёты!G344=2,N('Сценарный анализ'!$B$6),IF(Расчёты!G344=3,N('Сценарный анализ'!$B$7),N('Сценарный анализ'!$B$7)*(1+N('Сценарный анализ'!$B$8))^(Расчёты!G344-3)))))</f>
        <v>0</v>
      </c>
      <c r="F344">
        <f>IF(OR(Расчёты!F344=0,N('Исходные данные'!$B$5)=0,E344=0),0,N('Исходные данные'!$B$5)*E344*IF(AND(B344&lt;='Исходные данные'!$B$30,Расчёты!C344&gt;='Исходные данные'!$B$30),(Расчёты!C344-'Исходные данные'!$B$30+1)/DAY(Расчёты!C344),1))</f>
        <v>0</v>
      </c>
      <c r="G344">
        <f>IF(AND(Расчёты!F344&gt;0,Расчёты!F344&lt;=N('Исходные данные'!$B$37)),-F344,0)</f>
        <v>0</v>
      </c>
      <c r="H344">
        <f>IF(OR(Расчёты!F344=0,Расчёты!F344&lt;=N('Исходные данные'!$B$37)),0,-(F344+G344)*N('Сценарный анализ'!$B$9))</f>
        <v>0</v>
      </c>
      <c r="I344">
        <f t="shared" si="180"/>
        <v>0</v>
      </c>
      <c r="J344">
        <f>IF('Исходные данные'!$B$51="Да",I344*N('Исходные данные'!$B$52),0)</f>
        <v>0</v>
      </c>
      <c r="K344">
        <f t="shared" si="181"/>
        <v>0</v>
      </c>
      <c r="L344">
        <f>I344+(Расчёты!Y344-Расчёты!L344)</f>
        <v>0</v>
      </c>
      <c r="M344">
        <f t="shared" si="168"/>
        <v>0</v>
      </c>
      <c r="N344">
        <f>IF('Исходные данные'!$B$51="Да",-MAX(0,J344+Расчёты!R344+Расчёты!V344-Расчёты!P344-Расчёты!T344-M344),0)</f>
        <v>0</v>
      </c>
      <c r="O344">
        <f>IF('Исходные данные'!$B$51="Да",MAX(0,M344+Расчёты!P344+Расчёты!T344-J344-Расчёты!R344-Расчёты!V344),0)</f>
        <v>0</v>
      </c>
      <c r="P344">
        <f>IF('Исходные данные'!$B$53="Выручка",MAX(0,I344+(Расчёты!Q344-Расчёты!R344)+(Расчёты!U344-Расчёты!V344)),IF('Исходные данные'!$B$53="Прибыль до налога",MAX(0,I344+(Расчёты!Q344-Расчёты!R344)+(Расчёты!U344-Расчёты!V344)+N('Исходные данные'!$B$54)*((Расчёты!O344+Расчёты!P344)+(Расчёты!S344+Расчёты!T344)+Расчёты!W344+Расчёты!X344)+IF('Исходные данные'!$B$55="Да",Расчёты!AG344,0)-N('Исходные данные'!$B$56)/12),IF('Исходные данные'!$B$53="Пользовательская база",MAX(0,N('Исходные данные'!$B$57)/12),0)))</f>
        <v>0</v>
      </c>
      <c r="Q344">
        <f>IF(D344=1,-P344*N('Исходные данные'!$B$50),0)</f>
        <v>0</v>
      </c>
      <c r="R344">
        <f t="shared" si="169"/>
        <v>0</v>
      </c>
      <c r="S344">
        <f>IF(OR(D344&lt;&gt;1,B344="",'Исходные данные'!$B$91="",N('Исходные данные'!$B$80)&lt;=0,'Исходные данные'!$B$88=""),0,IF(AND(YEAR(B344)=YEAR('Исходные данные'!$B$91),MONTH(B344)=MONTH('Исходные данные'!$B$91)),MAX(0,IF('Исходные данные'!$B$88="Последние 12 месяцев",SUMIFS($L$2:$L$194,$B$2:$B$194,"&gt;="&amp;EDATE(B344,-11),$B$2:$B$194,"&lt;="&amp;B344),IF('Исходные данные'!$B$88="Пользовательский NOI",N('Исходные данные'!$B$89),R344))/N('Исходные данные'!$B$80)*(1+N('Исходные данные'!$B$81))),0))</f>
        <v>0</v>
      </c>
      <c r="T344">
        <f>-S344*N('Исходные данные'!$B$73)</f>
        <v>0</v>
      </c>
      <c r="U344">
        <f>IF(S344=0,0,-N('Исходные данные'!$B$87)-IF('Исходные данные'!$B$82="Да",IF('Исходные данные'!$B$84="С выручки",S344,IF('Исходные данные'!$B$84="С прибыли",MAX(0,S344+T344-IF('Исходные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44">
        <f t="shared" si="182"/>
        <v>0</v>
      </c>
      <c r="W344">
        <f>IF(D344=1,Расчёты!AZ344+K344+N344+Q344+V344,0)</f>
        <v>0</v>
      </c>
      <c r="X344" t="str">
        <f t="shared" si="170"/>
        <v/>
      </c>
      <c r="Y344">
        <f>IF(OR(D344=0,'Исходные данные'!$B$9="",'Исходные данные'!$B$90=""),0,W344/(1+'Исходные данные'!$B$90)^((C344-'Исходные данные'!$B$9)/365))</f>
        <v>0</v>
      </c>
      <c r="Z344">
        <f>IF(D344=1,K344+Расчёты!O344+Расчёты!Q344+Расчёты!S344+Расчёты!U344+Расчёты!W344+Расчёты!X344+N344+Q344,0)</f>
        <v>0</v>
      </c>
      <c r="AA344">
        <f>IF(AND(D344=1,X344&gt;=0,X343&lt;0,MIN($X$2:X344)&lt;0),1,0)</f>
        <v>0</v>
      </c>
      <c r="AB344">
        <f>IF(Расчёты!F344=0,0,IF(Расчёты!G344=1,N('Сценарный анализ'!$C$5),IF(Расчёты!G344=2,N('Сценарный анализ'!$C$6),IF(Расчёты!G344=3,N('Сценарный анализ'!$C$7),N('Сценарный анализ'!$C$7)*(1+N('Сценарный анализ'!$C$8))^(Расчёты!G344-3)))))</f>
        <v>0</v>
      </c>
      <c r="AC344">
        <f>IF(OR(Расчёты!F344=0,N('Исходные данные'!$B$5)=0,AB344=0),0,N('Исходные данные'!$B$5)*AB344*IF(AND(B344&lt;='Исходные данные'!$B$30,Расчёты!C344&gt;='Исходные данные'!$B$30),(Расчёты!C344-'Исходные данные'!$B$30+1)/DAY(Расчёты!C344),1))</f>
        <v>0</v>
      </c>
      <c r="AD344">
        <f>IF(AND(Расчёты!F344&gt;0,Расчёты!F344&lt;=N('Исходные данные'!$B$37)),-AC344,0)</f>
        <v>0</v>
      </c>
      <c r="AE344">
        <f>IF(OR(Расчёты!F344=0,Расчёты!F344&lt;=N('Исходные данные'!$B$37)),0,-(AC344+AD344)*N('Сценарный анализ'!$C$9))</f>
        <v>0</v>
      </c>
      <c r="AF344">
        <f t="shared" si="183"/>
        <v>0</v>
      </c>
      <c r="AG344">
        <f>IF('Исходные данные'!$B$51="Да",AF344*N('Исходные данные'!$B$52),0)</f>
        <v>0</v>
      </c>
      <c r="AH344">
        <f t="shared" si="184"/>
        <v>0</v>
      </c>
      <c r="AI344">
        <f>AF344+(Расчёты!Y344-Расчёты!L344)</f>
        <v>0</v>
      </c>
      <c r="AJ344">
        <f t="shared" si="171"/>
        <v>0</v>
      </c>
      <c r="AK344">
        <f>IF('Исходные данные'!$B$51="Да",-MAX(0,AG344+Расчёты!R344+Расчёты!V344-Расчёты!P344-Расчёты!T344-AJ344),0)</f>
        <v>0</v>
      </c>
      <c r="AL344">
        <f>IF('Исходные данные'!$B$51="Да",MAX(0,AJ344+Расчёты!P344+Расчёты!T344-AG344-Расчёты!R344-Расчёты!V344),0)</f>
        <v>0</v>
      </c>
      <c r="AM344">
        <f>IF('Исходные данные'!$B$53="Выручка",MAX(0,AF344+(Расчёты!Q344-Расчёты!R344)+(Расчёты!U344-Расчёты!V344)),IF('Исходные данные'!$B$53="Прибыль до налога",MAX(0,AF344+(Расчёты!Q344-Расчёты!R344)+(Расчёты!U344-Расчёты!V344)+N('Исходные данные'!$B$54)*((Расчёты!O344+Расчёты!P344)+(Расчёты!S344+Расчёты!T344)+Расчёты!W344+Расчёты!X344)+IF('Исходные данные'!$B$55="Да",Расчёты!AG344,0)-N('Исходные данные'!$B$56)/12),IF('Исходные данные'!$B$53="Пользовательская база",MAX(0,N('Исходные данные'!$B$57)/12),0)))</f>
        <v>0</v>
      </c>
      <c r="AN344">
        <f>IF(D344=1,-AM344*N('Исходные данные'!$B$50),0)</f>
        <v>0</v>
      </c>
      <c r="AO344">
        <f t="shared" si="172"/>
        <v>0</v>
      </c>
      <c r="AP344">
        <f>IF(OR(D344&lt;&gt;1,B344="",'Исходные данные'!$B$91="",N('Исходные данные'!$B$80)&lt;=0,'Исходные данные'!$B$88=""),0,IF(AND(YEAR(B344)=YEAR('Исходные данные'!$B$91),MONTH(B344)=MONTH('Исходные данные'!$B$91)),MAX(0,IF('Исходные данные'!$B$88="Последние 12 месяцев",SUMIFS($AI$2:$AI$194,$B$2:$B$194,"&gt;="&amp;EDATE(B344,-11),$B$2:$B$194,"&lt;="&amp;B344),IF('Исходные данные'!$B$88="Пользовательский NOI",N('Исходные данные'!$B$89),AO344))/N('Исходные данные'!$B$80)*(1+N('Исходные данные'!$B$81))),0))</f>
        <v>0</v>
      </c>
      <c r="AQ344">
        <f>-AP344*N('Исходные данные'!$B$73)</f>
        <v>0</v>
      </c>
      <c r="AR344">
        <f>IF(AP344=0,0,-N('Исходные данные'!$B$87)-IF('Исходные данные'!$B$82="Да",IF('Исходные данные'!$B$84="С выручки",AP344,IF('Исходные данные'!$B$84="С прибыли",MAX(0,AP344+AQ344-IF('Исходные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44">
        <f t="shared" si="185"/>
        <v>0</v>
      </c>
      <c r="AT344">
        <f>IF(D344=1,Расчёты!AZ344+AH344+AK344+AN344+AS344,0)</f>
        <v>0</v>
      </c>
      <c r="AU344" t="str">
        <f t="shared" si="173"/>
        <v/>
      </c>
      <c r="AV344">
        <f>IF(OR(D344=0,'Исходные данные'!$B$9="",'Исходные данные'!$B$90=""),0,AT344/(1+'Исходные данные'!$B$90)^((C344-'Исходные данные'!$B$9)/365))</f>
        <v>0</v>
      </c>
      <c r="AW344">
        <f>IF(D344=1,AH344+Расчёты!O344+Расчёты!Q344+Расчёты!S344+Расчёты!U344+Расчёты!W344+Расчёты!X344+AK344+AN344,0)</f>
        <v>0</v>
      </c>
      <c r="AX344">
        <f>IF(AND(D344=1,AU344&gt;=0,AU343&lt;0,MIN($AU$2:AU344)&lt;0),1,0)</f>
        <v>0</v>
      </c>
      <c r="AY344">
        <f>IF(Расчёты!F344=0,0,IF(Расчёты!G344=1,N('Сценарный анализ'!$D$5),IF(Расчёты!G344=2,N('Сценарный анализ'!$D$6),IF(Расчёты!G344=3,N('Сценарный анализ'!$D$7),N('Сценарный анализ'!$D$7)*(1+N('Сценарный анализ'!$D$8))^(Расчёты!G344-3)))))</f>
        <v>0</v>
      </c>
      <c r="AZ344">
        <f>IF(OR(Расчёты!F344=0,N('Исходные данные'!$B$5)=0,AY344=0),0,N('Исходные данные'!$B$5)*AY344*IF(AND(B344&lt;='Исходные данные'!$B$30,Расчёты!C344&gt;='Исходные данные'!$B$30),(Расчёты!C344-'Исходные данные'!$B$30+1)/DAY(Расчёты!C344),1))</f>
        <v>0</v>
      </c>
      <c r="BA344">
        <f>IF(AND(Расчёты!F344&gt;0,Расчёты!F344&lt;=N('Исходные данные'!$B$37)),-AZ344,0)</f>
        <v>0</v>
      </c>
      <c r="BB344">
        <f>IF(OR(Расчёты!F344=0,Расчёты!F344&lt;=N('Исходные данные'!$B$37)),0,-(AZ344+BA344)*N('Сценарный анализ'!$D$9))</f>
        <v>0</v>
      </c>
      <c r="BC344">
        <f t="shared" si="186"/>
        <v>0</v>
      </c>
      <c r="BD344">
        <f>IF('Исходные данные'!$B$51="Да",BC344*N('Исходные данные'!$B$52),0)</f>
        <v>0</v>
      </c>
      <c r="BE344">
        <f t="shared" si="187"/>
        <v>0</v>
      </c>
      <c r="BF344">
        <f>BC344+(Расчёты!Y344-Расчёты!L344)</f>
        <v>0</v>
      </c>
      <c r="BG344">
        <f t="shared" si="174"/>
        <v>0</v>
      </c>
      <c r="BH344">
        <f>IF('Исходные данные'!$B$51="Да",-MAX(0,BD344+Расчёты!R344+Расчёты!V344-Расчёты!P344-Расчёты!T344-BG344),0)</f>
        <v>0</v>
      </c>
      <c r="BI344">
        <f>IF('Исходные данные'!$B$51="Да",MAX(0,BG344+Расчёты!P344+Расчёты!T344-BD344-Расчёты!R344-Расчёты!V344),0)</f>
        <v>0</v>
      </c>
      <c r="BJ344">
        <f>IF('Исходные данные'!$B$53="Выручка",MAX(0,BC344+(Расчёты!Q344-Расчёты!R344)+(Расчёты!U344-Расчёты!V344)),IF('Исходные данные'!$B$53="Прибыль до налога",MAX(0,BC344+(Расчёты!Q344-Расчёты!R344)+(Расчёты!U344-Расчёты!V344)+N('Исходные данные'!$B$54)*((Расчёты!O344+Расчёты!P344)+(Расчёты!S344+Расчёты!T344)+Расчёты!W344+Расчёты!X344)+IF('Исходные данные'!$B$55="Да",Расчёты!AG344,0)-N('Исходные данные'!$B$56)/12),IF('Исходные данные'!$B$53="Пользовательская база",MAX(0,N('Исходные данные'!$B$57)/12),0)))</f>
        <v>0</v>
      </c>
      <c r="BK344">
        <f>IF(D344=1,-BJ344*N('Исходные данные'!$B$50),0)</f>
        <v>0</v>
      </c>
      <c r="BL344">
        <f t="shared" si="175"/>
        <v>0</v>
      </c>
      <c r="BM344">
        <f>IF(OR(D344&lt;&gt;1,B344="",'Исходные данные'!$B$91="",N('Исходные данные'!$B$80)&lt;=0,'Исходные данные'!$B$88=""),0,IF(AND(YEAR(B344)=YEAR('Исходные данные'!$B$91),MONTH(B344)=MONTH('Исходные данные'!$B$91)),MAX(0,IF('Исходные данные'!$B$88="Последние 12 месяцев",SUMIFS($BF$2:$BF$194,$B$2:$B$194,"&gt;="&amp;EDATE(B344,-11),$B$2:$B$194,"&lt;="&amp;B344),IF('Исходные данные'!$B$88="Пользовательский NOI",N('Исходные данные'!$B$89),BL344))/N('Исходные данные'!$B$80)*(1+N('Исходные данные'!$B$81))),0))</f>
        <v>0</v>
      </c>
      <c r="BN344">
        <f>-BM344*N('Исходные данные'!$B$73)</f>
        <v>0</v>
      </c>
      <c r="BO344">
        <f>IF(BM344=0,0,-N('Исходные данные'!$B$87)-IF('Исходные данные'!$B$82="Да",IF('Исходные данные'!$B$84="С выручки",BM344,IF('Исходные данные'!$B$84="С прибыли",MAX(0,BM344+BN344-IF('Исходные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44">
        <f t="shared" si="188"/>
        <v>0</v>
      </c>
      <c r="BQ344">
        <f>IF(D344=1,Расчёты!AZ344+BE344+BH344+BK344+BP344,0)</f>
        <v>0</v>
      </c>
      <c r="BR344" t="str">
        <f t="shared" si="176"/>
        <v/>
      </c>
      <c r="BS344">
        <f>IF(OR(D344=0,'Исходные данные'!$B$9="",'Исходные данные'!$B$90=""),0,BQ344/(1+'Исходные данные'!$B$90)^((C344-'Исходные данные'!$B$9)/365))</f>
        <v>0</v>
      </c>
      <c r="BT344">
        <f>IF(D344=1,BE344+Расчёты!O344+Расчёты!Q344+Расчёты!S344+Расчёты!U344+Расчёты!W344+Расчёты!X344+BH344+BK344,0)</f>
        <v>0</v>
      </c>
      <c r="BU344">
        <f>IF(AND(D344=1,BR344&gt;=0,BR343&lt;0,MIN($BR$2:BR344)&lt;0),1,0)</f>
        <v>0</v>
      </c>
      <c r="BV344">
        <f>Расчёты!AZ344+K344+N344-P344*N('Исходные данные'!$B$50)</f>
        <v>0</v>
      </c>
      <c r="BW344">
        <f t="shared" si="177"/>
        <v>0</v>
      </c>
      <c r="BX344">
        <f>IF(AND(BW344&gt;=0,BW343&lt;0,MIN($BW$2:BW344)&lt;0),1,0)</f>
        <v>0</v>
      </c>
      <c r="BY344">
        <f>Расчёты!AZ344+AH344+AK344-AM344*N('Исходные данные'!$B$50)</f>
        <v>0</v>
      </c>
      <c r="BZ344">
        <f t="shared" si="178"/>
        <v>0</v>
      </c>
      <c r="CA344">
        <f>IF(AND(BZ344&gt;=0,BZ343&lt;0,MIN($BZ$2:BZ344)&lt;0),1,0)</f>
        <v>0</v>
      </c>
      <c r="CB344">
        <f>Расчёты!AZ344+BE344+BH344-BJ344*N('Исходные данные'!$B$50)</f>
        <v>0</v>
      </c>
      <c r="CC344">
        <f t="shared" si="179"/>
        <v>0</v>
      </c>
      <c r="CD344">
        <f>IF(AND(CC344&gt;=0,CC343&lt;0,MIN($CC$2:CC344)&lt;0),1,0)</f>
        <v>0</v>
      </c>
    </row>
    <row r="345" spans="1:82" x14ac:dyDescent="0.2">
      <c r="A345">
        <f>Расчёты!A345</f>
        <v>344</v>
      </c>
      <c r="B345" t="str">
        <f>Расчёты!B345</f>
        <v/>
      </c>
      <c r="C345" t="str">
        <f>Расчёты!D345</f>
        <v/>
      </c>
      <c r="D345">
        <f>Расчёты!E345</f>
        <v>0</v>
      </c>
      <c r="E345">
        <f>IF(Расчёты!F345=0,0,IF(Расчёты!G345=1,N('Сценарный анализ'!$B$5),IF(Расчёты!G345=2,N('Сценарный анализ'!$B$6),IF(Расчёты!G345=3,N('Сценарный анализ'!$B$7),N('Сценарный анализ'!$B$7)*(1+N('Сценарный анализ'!$B$8))^(Расчёты!G345-3)))))</f>
        <v>0</v>
      </c>
      <c r="F345">
        <f>IF(OR(Расчёты!F345=0,N('Исходные данные'!$B$5)=0,E345=0),0,N('Исходные данные'!$B$5)*E345*IF(AND(B345&lt;='Исходные данные'!$B$30,Расчёты!C345&gt;='Исходные данные'!$B$30),(Расчёты!C345-'Исходные данные'!$B$30+1)/DAY(Расчёты!C345),1))</f>
        <v>0</v>
      </c>
      <c r="G345">
        <f>IF(AND(Расчёты!F345&gt;0,Расчёты!F345&lt;=N('Исходные данные'!$B$37)),-F345,0)</f>
        <v>0</v>
      </c>
      <c r="H345">
        <f>IF(OR(Расчёты!F345=0,Расчёты!F345&lt;=N('Исходные данные'!$B$37)),0,-(F345+G345)*N('Сценарный анализ'!$B$9))</f>
        <v>0</v>
      </c>
      <c r="I345">
        <f t="shared" si="180"/>
        <v>0</v>
      </c>
      <c r="J345">
        <f>IF('Исходные данные'!$B$51="Да",I345*N('Исходные данные'!$B$52),0)</f>
        <v>0</v>
      </c>
      <c r="K345">
        <f t="shared" si="181"/>
        <v>0</v>
      </c>
      <c r="L345">
        <f>I345+(Расчёты!Y345-Расчёты!L345)</f>
        <v>0</v>
      </c>
      <c r="M345">
        <f t="shared" si="168"/>
        <v>0</v>
      </c>
      <c r="N345">
        <f>IF('Исходные данные'!$B$51="Да",-MAX(0,J345+Расчёты!R345+Расчёты!V345-Расчёты!P345-Расчёты!T345-M345),0)</f>
        <v>0</v>
      </c>
      <c r="O345">
        <f>IF('Исходные данные'!$B$51="Да",MAX(0,M345+Расчёты!P345+Расчёты!T345-J345-Расчёты!R345-Расчёты!V345),0)</f>
        <v>0</v>
      </c>
      <c r="P345">
        <f>IF('Исходные данные'!$B$53="Выручка",MAX(0,I345+(Расчёты!Q345-Расчёты!R345)+(Расчёты!U345-Расчёты!V345)),IF('Исходные данные'!$B$53="Прибыль до налога",MAX(0,I345+(Расчёты!Q345-Расчёты!R345)+(Расчёты!U345-Расчёты!V345)+N('Исходные данные'!$B$54)*((Расчёты!O345+Расчёты!P345)+(Расчёты!S345+Расчёты!T345)+Расчёты!W345+Расчёты!X345)+IF('Исходные данные'!$B$55="Да",Расчёты!AG345,0)-N('Исходные данные'!$B$56)/12),IF('Исходные данные'!$B$53="Пользовательская база",MAX(0,N('Исходные данные'!$B$57)/12),0)))</f>
        <v>0</v>
      </c>
      <c r="Q345">
        <f>IF(D345=1,-P345*N('Исходные данные'!$B$50),0)</f>
        <v>0</v>
      </c>
      <c r="R345">
        <f t="shared" si="169"/>
        <v>0</v>
      </c>
      <c r="S345">
        <f>IF(OR(D345&lt;&gt;1,B345="",'Исходные данные'!$B$91="",N('Исходные данные'!$B$80)&lt;=0,'Исходные данные'!$B$88=""),0,IF(AND(YEAR(B345)=YEAR('Исходные данные'!$B$91),MONTH(B345)=MONTH('Исходные данные'!$B$91)),MAX(0,IF('Исходные данные'!$B$88="Последние 12 месяцев",SUMIFS($L$2:$L$194,$B$2:$B$194,"&gt;="&amp;EDATE(B345,-11),$B$2:$B$194,"&lt;="&amp;B345),IF('Исходные данные'!$B$88="Пользовательский NOI",N('Исходные данные'!$B$89),R345))/N('Исходные данные'!$B$80)*(1+N('Исходные данные'!$B$81))),0))</f>
        <v>0</v>
      </c>
      <c r="T345">
        <f>-S345*N('Исходные данные'!$B$73)</f>
        <v>0</v>
      </c>
      <c r="U345">
        <f>IF(S345=0,0,-N('Исходные данные'!$B$87)-IF('Исходные данные'!$B$82="Да",IF('Исходные данные'!$B$84="С выручки",S345,IF('Исходные данные'!$B$84="С прибыли",MAX(0,S345+T345-IF('Исходные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45">
        <f t="shared" si="182"/>
        <v>0</v>
      </c>
      <c r="W345">
        <f>IF(D345=1,Расчёты!AZ345+K345+N345+Q345+V345,0)</f>
        <v>0</v>
      </c>
      <c r="X345" t="str">
        <f t="shared" si="170"/>
        <v/>
      </c>
      <c r="Y345">
        <f>IF(OR(D345=0,'Исходные данные'!$B$9="",'Исходные данные'!$B$90=""),0,W345/(1+'Исходные данные'!$B$90)^((C345-'Исходные данные'!$B$9)/365))</f>
        <v>0</v>
      </c>
      <c r="Z345">
        <f>IF(D345=1,K345+Расчёты!O345+Расчёты!Q345+Расчёты!S345+Расчёты!U345+Расчёты!W345+Расчёты!X345+N345+Q345,0)</f>
        <v>0</v>
      </c>
      <c r="AA345">
        <f>IF(AND(D345=1,X345&gt;=0,X344&lt;0,MIN($X$2:X345)&lt;0),1,0)</f>
        <v>0</v>
      </c>
      <c r="AB345">
        <f>IF(Расчёты!F345=0,0,IF(Расчёты!G345=1,N('Сценарный анализ'!$C$5),IF(Расчёты!G345=2,N('Сценарный анализ'!$C$6),IF(Расчёты!G345=3,N('Сценарный анализ'!$C$7),N('Сценарный анализ'!$C$7)*(1+N('Сценарный анализ'!$C$8))^(Расчёты!G345-3)))))</f>
        <v>0</v>
      </c>
      <c r="AC345">
        <f>IF(OR(Расчёты!F345=0,N('Исходные данные'!$B$5)=0,AB345=0),0,N('Исходные данные'!$B$5)*AB345*IF(AND(B345&lt;='Исходные данные'!$B$30,Расчёты!C345&gt;='Исходные данные'!$B$30),(Расчёты!C345-'Исходные данные'!$B$30+1)/DAY(Расчёты!C345),1))</f>
        <v>0</v>
      </c>
      <c r="AD345">
        <f>IF(AND(Расчёты!F345&gt;0,Расчёты!F345&lt;=N('Исходные данные'!$B$37)),-AC345,0)</f>
        <v>0</v>
      </c>
      <c r="AE345">
        <f>IF(OR(Расчёты!F345=0,Расчёты!F345&lt;=N('Исходные данные'!$B$37)),0,-(AC345+AD345)*N('Сценарный анализ'!$C$9))</f>
        <v>0</v>
      </c>
      <c r="AF345">
        <f t="shared" si="183"/>
        <v>0</v>
      </c>
      <c r="AG345">
        <f>IF('Исходные данные'!$B$51="Да",AF345*N('Исходные данные'!$B$52),0)</f>
        <v>0</v>
      </c>
      <c r="AH345">
        <f t="shared" si="184"/>
        <v>0</v>
      </c>
      <c r="AI345">
        <f>AF345+(Расчёты!Y345-Расчёты!L345)</f>
        <v>0</v>
      </c>
      <c r="AJ345">
        <f t="shared" si="171"/>
        <v>0</v>
      </c>
      <c r="AK345">
        <f>IF('Исходные данные'!$B$51="Да",-MAX(0,AG345+Расчёты!R345+Расчёты!V345-Расчёты!P345-Расчёты!T345-AJ345),0)</f>
        <v>0</v>
      </c>
      <c r="AL345">
        <f>IF('Исходные данные'!$B$51="Да",MAX(0,AJ345+Расчёты!P345+Расчёты!T345-AG345-Расчёты!R345-Расчёты!V345),0)</f>
        <v>0</v>
      </c>
      <c r="AM345">
        <f>IF('Исходные данные'!$B$53="Выручка",MAX(0,AF345+(Расчёты!Q345-Расчёты!R345)+(Расчёты!U345-Расчёты!V345)),IF('Исходные данные'!$B$53="Прибыль до налога",MAX(0,AF345+(Расчёты!Q345-Расчёты!R345)+(Расчёты!U345-Расчёты!V345)+N('Исходные данные'!$B$54)*((Расчёты!O345+Расчёты!P345)+(Расчёты!S345+Расчёты!T345)+Расчёты!W345+Расчёты!X345)+IF('Исходные данные'!$B$55="Да",Расчёты!AG345,0)-N('Исходные данные'!$B$56)/12),IF('Исходные данные'!$B$53="Пользовательская база",MAX(0,N('Исходные данные'!$B$57)/12),0)))</f>
        <v>0</v>
      </c>
      <c r="AN345">
        <f>IF(D345=1,-AM345*N('Исходные данные'!$B$50),0)</f>
        <v>0</v>
      </c>
      <c r="AO345">
        <f t="shared" si="172"/>
        <v>0</v>
      </c>
      <c r="AP345">
        <f>IF(OR(D345&lt;&gt;1,B345="",'Исходные данные'!$B$91="",N('Исходные данные'!$B$80)&lt;=0,'Исходные данные'!$B$88=""),0,IF(AND(YEAR(B345)=YEAR('Исходные данные'!$B$91),MONTH(B345)=MONTH('Исходные данные'!$B$91)),MAX(0,IF('Исходные данные'!$B$88="Последние 12 месяцев",SUMIFS($AI$2:$AI$194,$B$2:$B$194,"&gt;="&amp;EDATE(B345,-11),$B$2:$B$194,"&lt;="&amp;B345),IF('Исходные данные'!$B$88="Пользовательский NOI",N('Исходные данные'!$B$89),AO345))/N('Исходные данные'!$B$80)*(1+N('Исходные данные'!$B$81))),0))</f>
        <v>0</v>
      </c>
      <c r="AQ345">
        <f>-AP345*N('Исходные данные'!$B$73)</f>
        <v>0</v>
      </c>
      <c r="AR345">
        <f>IF(AP345=0,0,-N('Исходные данные'!$B$87)-IF('Исходные данные'!$B$82="Да",IF('Исходные данные'!$B$84="С выручки",AP345,IF('Исходные данные'!$B$84="С прибыли",MAX(0,AP345+AQ345-IF('Исходные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45">
        <f t="shared" si="185"/>
        <v>0</v>
      </c>
      <c r="AT345">
        <f>IF(D345=1,Расчёты!AZ345+AH345+AK345+AN345+AS345,0)</f>
        <v>0</v>
      </c>
      <c r="AU345" t="str">
        <f t="shared" si="173"/>
        <v/>
      </c>
      <c r="AV345">
        <f>IF(OR(D345=0,'Исходные данные'!$B$9="",'Исходные данные'!$B$90=""),0,AT345/(1+'Исходные данные'!$B$90)^((C345-'Исходные данные'!$B$9)/365))</f>
        <v>0</v>
      </c>
      <c r="AW345">
        <f>IF(D345=1,AH345+Расчёты!O345+Расчёты!Q345+Расчёты!S345+Расчёты!U345+Расчёты!W345+Расчёты!X345+AK345+AN345,0)</f>
        <v>0</v>
      </c>
      <c r="AX345">
        <f>IF(AND(D345=1,AU345&gt;=0,AU344&lt;0,MIN($AU$2:AU345)&lt;0),1,0)</f>
        <v>0</v>
      </c>
      <c r="AY345">
        <f>IF(Расчёты!F345=0,0,IF(Расчёты!G345=1,N('Сценарный анализ'!$D$5),IF(Расчёты!G345=2,N('Сценарный анализ'!$D$6),IF(Расчёты!G345=3,N('Сценарный анализ'!$D$7),N('Сценарный анализ'!$D$7)*(1+N('Сценарный анализ'!$D$8))^(Расчёты!G345-3)))))</f>
        <v>0</v>
      </c>
      <c r="AZ345">
        <f>IF(OR(Расчёты!F345=0,N('Исходные данные'!$B$5)=0,AY345=0),0,N('Исходные данные'!$B$5)*AY345*IF(AND(B345&lt;='Исходные данные'!$B$30,Расчёты!C345&gt;='Исходные данные'!$B$30),(Расчёты!C345-'Исходные данные'!$B$30+1)/DAY(Расчёты!C345),1))</f>
        <v>0</v>
      </c>
      <c r="BA345">
        <f>IF(AND(Расчёты!F345&gt;0,Расчёты!F345&lt;=N('Исходные данные'!$B$37)),-AZ345,0)</f>
        <v>0</v>
      </c>
      <c r="BB345">
        <f>IF(OR(Расчёты!F345=0,Расчёты!F345&lt;=N('Исходные данные'!$B$37)),0,-(AZ345+BA345)*N('Сценарный анализ'!$D$9))</f>
        <v>0</v>
      </c>
      <c r="BC345">
        <f t="shared" si="186"/>
        <v>0</v>
      </c>
      <c r="BD345">
        <f>IF('Исходные данные'!$B$51="Да",BC345*N('Исходные данные'!$B$52),0)</f>
        <v>0</v>
      </c>
      <c r="BE345">
        <f t="shared" si="187"/>
        <v>0</v>
      </c>
      <c r="BF345">
        <f>BC345+(Расчёты!Y345-Расчёты!L345)</f>
        <v>0</v>
      </c>
      <c r="BG345">
        <f t="shared" si="174"/>
        <v>0</v>
      </c>
      <c r="BH345">
        <f>IF('Исходные данные'!$B$51="Да",-MAX(0,BD345+Расчёты!R345+Расчёты!V345-Расчёты!P345-Расчёты!T345-BG345),0)</f>
        <v>0</v>
      </c>
      <c r="BI345">
        <f>IF('Исходные данные'!$B$51="Да",MAX(0,BG345+Расчёты!P345+Расчёты!T345-BD345-Расчёты!R345-Расчёты!V345),0)</f>
        <v>0</v>
      </c>
      <c r="BJ345">
        <f>IF('Исходные данные'!$B$53="Выручка",MAX(0,BC345+(Расчёты!Q345-Расчёты!R345)+(Расчёты!U345-Расчёты!V345)),IF('Исходные данные'!$B$53="Прибыль до налога",MAX(0,BC345+(Расчёты!Q345-Расчёты!R345)+(Расчёты!U345-Расчёты!V345)+N('Исходные данные'!$B$54)*((Расчёты!O345+Расчёты!P345)+(Расчёты!S345+Расчёты!T345)+Расчёты!W345+Расчёты!X345)+IF('Исходные данные'!$B$55="Да",Расчёты!AG345,0)-N('Исходные данные'!$B$56)/12),IF('Исходные данные'!$B$53="Пользовательская база",MAX(0,N('Исходные данные'!$B$57)/12),0)))</f>
        <v>0</v>
      </c>
      <c r="BK345">
        <f>IF(D345=1,-BJ345*N('Исходные данные'!$B$50),0)</f>
        <v>0</v>
      </c>
      <c r="BL345">
        <f t="shared" si="175"/>
        <v>0</v>
      </c>
      <c r="BM345">
        <f>IF(OR(D345&lt;&gt;1,B345="",'Исходные данные'!$B$91="",N('Исходные данные'!$B$80)&lt;=0,'Исходные данные'!$B$88=""),0,IF(AND(YEAR(B345)=YEAR('Исходные данные'!$B$91),MONTH(B345)=MONTH('Исходные данные'!$B$91)),MAX(0,IF('Исходные данные'!$B$88="Последние 12 месяцев",SUMIFS($BF$2:$BF$194,$B$2:$B$194,"&gt;="&amp;EDATE(B345,-11),$B$2:$B$194,"&lt;="&amp;B345),IF('Исходные данные'!$B$88="Пользовательский NOI",N('Исходные данные'!$B$89),BL345))/N('Исходные данные'!$B$80)*(1+N('Исходные данные'!$B$81))),0))</f>
        <v>0</v>
      </c>
      <c r="BN345">
        <f>-BM345*N('Исходные данные'!$B$73)</f>
        <v>0</v>
      </c>
      <c r="BO345">
        <f>IF(BM345=0,0,-N('Исходные данные'!$B$87)-IF('Исходные данные'!$B$82="Да",IF('Исходные данные'!$B$84="С выручки",BM345,IF('Исходные данные'!$B$84="С прибыли",MAX(0,BM345+BN345-IF('Исходные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45">
        <f t="shared" si="188"/>
        <v>0</v>
      </c>
      <c r="BQ345">
        <f>IF(D345=1,Расчёты!AZ345+BE345+BH345+BK345+BP345,0)</f>
        <v>0</v>
      </c>
      <c r="BR345" t="str">
        <f t="shared" si="176"/>
        <v/>
      </c>
      <c r="BS345">
        <f>IF(OR(D345=0,'Исходные данные'!$B$9="",'Исходные данные'!$B$90=""),0,BQ345/(1+'Исходные данные'!$B$90)^((C345-'Исходные данные'!$B$9)/365))</f>
        <v>0</v>
      </c>
      <c r="BT345">
        <f>IF(D345=1,BE345+Расчёты!O345+Расчёты!Q345+Расчёты!S345+Расчёты!U345+Расчёты!W345+Расчёты!X345+BH345+BK345,0)</f>
        <v>0</v>
      </c>
      <c r="BU345">
        <f>IF(AND(D345=1,BR345&gt;=0,BR344&lt;0,MIN($BR$2:BR345)&lt;0),1,0)</f>
        <v>0</v>
      </c>
      <c r="BV345">
        <f>Расчёты!AZ345+K345+N345-P345*N('Исходные данные'!$B$50)</f>
        <v>0</v>
      </c>
      <c r="BW345">
        <f t="shared" si="177"/>
        <v>0</v>
      </c>
      <c r="BX345">
        <f>IF(AND(BW345&gt;=0,BW344&lt;0,MIN($BW$2:BW345)&lt;0),1,0)</f>
        <v>0</v>
      </c>
      <c r="BY345">
        <f>Расчёты!AZ345+AH345+AK345-AM345*N('Исходные данные'!$B$50)</f>
        <v>0</v>
      </c>
      <c r="BZ345">
        <f t="shared" si="178"/>
        <v>0</v>
      </c>
      <c r="CA345">
        <f>IF(AND(BZ345&gt;=0,BZ344&lt;0,MIN($BZ$2:BZ345)&lt;0),1,0)</f>
        <v>0</v>
      </c>
      <c r="CB345">
        <f>Расчёты!AZ345+BE345+BH345-BJ345*N('Исходные данные'!$B$50)</f>
        <v>0</v>
      </c>
      <c r="CC345">
        <f t="shared" si="179"/>
        <v>0</v>
      </c>
      <c r="CD345">
        <f>IF(AND(CC345&gt;=0,CC344&lt;0,MIN($CC$2:CC345)&lt;0),1,0)</f>
        <v>0</v>
      </c>
    </row>
    <row r="346" spans="1:82" x14ac:dyDescent="0.2">
      <c r="A346">
        <f>Расчёты!A346</f>
        <v>345</v>
      </c>
      <c r="B346" t="str">
        <f>Расчёты!B346</f>
        <v/>
      </c>
      <c r="C346" t="str">
        <f>Расчёты!D346</f>
        <v/>
      </c>
      <c r="D346">
        <f>Расчёты!E346</f>
        <v>0</v>
      </c>
      <c r="E346">
        <f>IF(Расчёты!F346=0,0,IF(Расчёты!G346=1,N('Сценарный анализ'!$B$5),IF(Расчёты!G346=2,N('Сценарный анализ'!$B$6),IF(Расчёты!G346=3,N('Сценарный анализ'!$B$7),N('Сценарный анализ'!$B$7)*(1+N('Сценарный анализ'!$B$8))^(Расчёты!G346-3)))))</f>
        <v>0</v>
      </c>
      <c r="F346">
        <f>IF(OR(Расчёты!F346=0,N('Исходные данные'!$B$5)=0,E346=0),0,N('Исходные данные'!$B$5)*E346*IF(AND(B346&lt;='Исходные данные'!$B$30,Расчёты!C346&gt;='Исходные данные'!$B$30),(Расчёты!C346-'Исходные данные'!$B$30+1)/DAY(Расчёты!C346),1))</f>
        <v>0</v>
      </c>
      <c r="G346">
        <f>IF(AND(Расчёты!F346&gt;0,Расчёты!F346&lt;=N('Исходные данные'!$B$37)),-F346,0)</f>
        <v>0</v>
      </c>
      <c r="H346">
        <f>IF(OR(Расчёты!F346=0,Расчёты!F346&lt;=N('Исходные данные'!$B$37)),0,-(F346+G346)*N('Сценарный анализ'!$B$9))</f>
        <v>0</v>
      </c>
      <c r="I346">
        <f t="shared" si="180"/>
        <v>0</v>
      </c>
      <c r="J346">
        <f>IF('Исходные данные'!$B$51="Да",I346*N('Исходные данные'!$B$52),0)</f>
        <v>0</v>
      </c>
      <c r="K346">
        <f t="shared" si="181"/>
        <v>0</v>
      </c>
      <c r="L346">
        <f>I346+(Расчёты!Y346-Расчёты!L346)</f>
        <v>0</v>
      </c>
      <c r="M346">
        <f t="shared" si="168"/>
        <v>0</v>
      </c>
      <c r="N346">
        <f>IF('Исходные данные'!$B$51="Да",-MAX(0,J346+Расчёты!R346+Расчёты!V346-Расчёты!P346-Расчёты!T346-M346),0)</f>
        <v>0</v>
      </c>
      <c r="O346">
        <f>IF('Исходные данные'!$B$51="Да",MAX(0,M346+Расчёты!P346+Расчёты!T346-J346-Расчёты!R346-Расчёты!V346),0)</f>
        <v>0</v>
      </c>
      <c r="P346">
        <f>IF('Исходные данные'!$B$53="Выручка",MAX(0,I346+(Расчёты!Q346-Расчёты!R346)+(Расчёты!U346-Расчёты!V346)),IF('Исходные данные'!$B$53="Прибыль до налога",MAX(0,I346+(Расчёты!Q346-Расчёты!R346)+(Расчёты!U346-Расчёты!V346)+N('Исходные данные'!$B$54)*((Расчёты!O346+Расчёты!P346)+(Расчёты!S346+Расчёты!T346)+Расчёты!W346+Расчёты!X346)+IF('Исходные данные'!$B$55="Да",Расчёты!AG346,0)-N('Исходные данные'!$B$56)/12),IF('Исходные данные'!$B$53="Пользовательская база",MAX(0,N('Исходные данные'!$B$57)/12),0)))</f>
        <v>0</v>
      </c>
      <c r="Q346">
        <f>IF(D346=1,-P346*N('Исходные данные'!$B$50),0)</f>
        <v>0</v>
      </c>
      <c r="R346">
        <f t="shared" si="169"/>
        <v>0</v>
      </c>
      <c r="S346">
        <f>IF(OR(D346&lt;&gt;1,B346="",'Исходные данные'!$B$91="",N('Исходные данные'!$B$80)&lt;=0,'Исходные данные'!$B$88=""),0,IF(AND(YEAR(B346)=YEAR('Исходные данные'!$B$91),MONTH(B346)=MONTH('Исходные данные'!$B$91)),MAX(0,IF('Исходные данные'!$B$88="Последние 12 месяцев",SUMIFS($L$2:$L$194,$B$2:$B$194,"&gt;="&amp;EDATE(B346,-11),$B$2:$B$194,"&lt;="&amp;B346),IF('Исходные данные'!$B$88="Пользовательский NOI",N('Исходные данные'!$B$89),R346))/N('Исходные данные'!$B$80)*(1+N('Исходные данные'!$B$81))),0))</f>
        <v>0</v>
      </c>
      <c r="T346">
        <f>-S346*N('Исходные данные'!$B$73)</f>
        <v>0</v>
      </c>
      <c r="U346">
        <f>IF(S346=0,0,-N('Исходные данные'!$B$87)-IF('Исходные данные'!$B$82="Да",IF('Исходные данные'!$B$84="С выручки",S346,IF('Исходные данные'!$B$84="С прибыли",MAX(0,S346+T346-IF('Исходные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46">
        <f t="shared" si="182"/>
        <v>0</v>
      </c>
      <c r="W346">
        <f>IF(D346=1,Расчёты!AZ346+K346+N346+Q346+V346,0)</f>
        <v>0</v>
      </c>
      <c r="X346" t="str">
        <f t="shared" si="170"/>
        <v/>
      </c>
      <c r="Y346">
        <f>IF(OR(D346=0,'Исходные данные'!$B$9="",'Исходные данные'!$B$90=""),0,W346/(1+'Исходные данные'!$B$90)^((C346-'Исходные данные'!$B$9)/365))</f>
        <v>0</v>
      </c>
      <c r="Z346">
        <f>IF(D346=1,K346+Расчёты!O346+Расчёты!Q346+Расчёты!S346+Расчёты!U346+Расчёты!W346+Расчёты!X346+N346+Q346,0)</f>
        <v>0</v>
      </c>
      <c r="AA346">
        <f>IF(AND(D346=1,X346&gt;=0,X345&lt;0,MIN($X$2:X346)&lt;0),1,0)</f>
        <v>0</v>
      </c>
      <c r="AB346">
        <f>IF(Расчёты!F346=0,0,IF(Расчёты!G346=1,N('Сценарный анализ'!$C$5),IF(Расчёты!G346=2,N('Сценарный анализ'!$C$6),IF(Расчёты!G346=3,N('Сценарный анализ'!$C$7),N('Сценарный анализ'!$C$7)*(1+N('Сценарный анализ'!$C$8))^(Расчёты!G346-3)))))</f>
        <v>0</v>
      </c>
      <c r="AC346">
        <f>IF(OR(Расчёты!F346=0,N('Исходные данные'!$B$5)=0,AB346=0),0,N('Исходные данные'!$B$5)*AB346*IF(AND(B346&lt;='Исходные данные'!$B$30,Расчёты!C346&gt;='Исходные данные'!$B$30),(Расчёты!C346-'Исходные данные'!$B$30+1)/DAY(Расчёты!C346),1))</f>
        <v>0</v>
      </c>
      <c r="AD346">
        <f>IF(AND(Расчёты!F346&gt;0,Расчёты!F346&lt;=N('Исходные данные'!$B$37)),-AC346,0)</f>
        <v>0</v>
      </c>
      <c r="AE346">
        <f>IF(OR(Расчёты!F346=0,Расчёты!F346&lt;=N('Исходные данные'!$B$37)),0,-(AC346+AD346)*N('Сценарный анализ'!$C$9))</f>
        <v>0</v>
      </c>
      <c r="AF346">
        <f t="shared" si="183"/>
        <v>0</v>
      </c>
      <c r="AG346">
        <f>IF('Исходные данные'!$B$51="Да",AF346*N('Исходные данные'!$B$52),0)</f>
        <v>0</v>
      </c>
      <c r="AH346">
        <f t="shared" si="184"/>
        <v>0</v>
      </c>
      <c r="AI346">
        <f>AF346+(Расчёты!Y346-Расчёты!L346)</f>
        <v>0</v>
      </c>
      <c r="AJ346">
        <f t="shared" si="171"/>
        <v>0</v>
      </c>
      <c r="AK346">
        <f>IF('Исходные данные'!$B$51="Да",-MAX(0,AG346+Расчёты!R346+Расчёты!V346-Расчёты!P346-Расчёты!T346-AJ346),0)</f>
        <v>0</v>
      </c>
      <c r="AL346">
        <f>IF('Исходные данные'!$B$51="Да",MAX(0,AJ346+Расчёты!P346+Расчёты!T346-AG346-Расчёты!R346-Расчёты!V346),0)</f>
        <v>0</v>
      </c>
      <c r="AM346">
        <f>IF('Исходные данные'!$B$53="Выручка",MAX(0,AF346+(Расчёты!Q346-Расчёты!R346)+(Расчёты!U346-Расчёты!V346)),IF('Исходные данные'!$B$53="Прибыль до налога",MAX(0,AF346+(Расчёты!Q346-Расчёты!R346)+(Расчёты!U346-Расчёты!V346)+N('Исходные данные'!$B$54)*((Расчёты!O346+Расчёты!P346)+(Расчёты!S346+Расчёты!T346)+Расчёты!W346+Расчёты!X346)+IF('Исходные данные'!$B$55="Да",Расчёты!AG346,0)-N('Исходные данные'!$B$56)/12),IF('Исходные данные'!$B$53="Пользовательская база",MAX(0,N('Исходные данные'!$B$57)/12),0)))</f>
        <v>0</v>
      </c>
      <c r="AN346">
        <f>IF(D346=1,-AM346*N('Исходные данные'!$B$50),0)</f>
        <v>0</v>
      </c>
      <c r="AO346">
        <f t="shared" si="172"/>
        <v>0</v>
      </c>
      <c r="AP346">
        <f>IF(OR(D346&lt;&gt;1,B346="",'Исходные данные'!$B$91="",N('Исходные данные'!$B$80)&lt;=0,'Исходные данные'!$B$88=""),0,IF(AND(YEAR(B346)=YEAR('Исходные данные'!$B$91),MONTH(B346)=MONTH('Исходные данные'!$B$91)),MAX(0,IF('Исходные данные'!$B$88="Последние 12 месяцев",SUMIFS($AI$2:$AI$194,$B$2:$B$194,"&gt;="&amp;EDATE(B346,-11),$B$2:$B$194,"&lt;="&amp;B346),IF('Исходные данные'!$B$88="Пользовательский NOI",N('Исходные данные'!$B$89),AO346))/N('Исходные данные'!$B$80)*(1+N('Исходные данные'!$B$81))),0))</f>
        <v>0</v>
      </c>
      <c r="AQ346">
        <f>-AP346*N('Исходные данные'!$B$73)</f>
        <v>0</v>
      </c>
      <c r="AR346">
        <f>IF(AP346=0,0,-N('Исходные данные'!$B$87)-IF('Исходные данные'!$B$82="Да",IF('Исходные данные'!$B$84="С выручки",AP346,IF('Исходные данные'!$B$84="С прибыли",MAX(0,AP346+AQ346-IF('Исходные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46">
        <f t="shared" si="185"/>
        <v>0</v>
      </c>
      <c r="AT346">
        <f>IF(D346=1,Расчёты!AZ346+AH346+AK346+AN346+AS346,0)</f>
        <v>0</v>
      </c>
      <c r="AU346" t="str">
        <f t="shared" si="173"/>
        <v/>
      </c>
      <c r="AV346">
        <f>IF(OR(D346=0,'Исходные данные'!$B$9="",'Исходные данные'!$B$90=""),0,AT346/(1+'Исходные данные'!$B$90)^((C346-'Исходные данные'!$B$9)/365))</f>
        <v>0</v>
      </c>
      <c r="AW346">
        <f>IF(D346=1,AH346+Расчёты!O346+Расчёты!Q346+Расчёты!S346+Расчёты!U346+Расчёты!W346+Расчёты!X346+AK346+AN346,0)</f>
        <v>0</v>
      </c>
      <c r="AX346">
        <f>IF(AND(D346=1,AU346&gt;=0,AU345&lt;0,MIN($AU$2:AU346)&lt;0),1,0)</f>
        <v>0</v>
      </c>
      <c r="AY346">
        <f>IF(Расчёты!F346=0,0,IF(Расчёты!G346=1,N('Сценарный анализ'!$D$5),IF(Расчёты!G346=2,N('Сценарный анализ'!$D$6),IF(Расчёты!G346=3,N('Сценарный анализ'!$D$7),N('Сценарный анализ'!$D$7)*(1+N('Сценарный анализ'!$D$8))^(Расчёты!G346-3)))))</f>
        <v>0</v>
      </c>
      <c r="AZ346">
        <f>IF(OR(Расчёты!F346=0,N('Исходные данные'!$B$5)=0,AY346=0),0,N('Исходные данные'!$B$5)*AY346*IF(AND(B346&lt;='Исходные данные'!$B$30,Расчёты!C346&gt;='Исходные данные'!$B$30),(Расчёты!C346-'Исходные данные'!$B$30+1)/DAY(Расчёты!C346),1))</f>
        <v>0</v>
      </c>
      <c r="BA346">
        <f>IF(AND(Расчёты!F346&gt;0,Расчёты!F346&lt;=N('Исходные данные'!$B$37)),-AZ346,0)</f>
        <v>0</v>
      </c>
      <c r="BB346">
        <f>IF(OR(Расчёты!F346=0,Расчёты!F346&lt;=N('Исходные данные'!$B$37)),0,-(AZ346+BA346)*N('Сценарный анализ'!$D$9))</f>
        <v>0</v>
      </c>
      <c r="BC346">
        <f t="shared" si="186"/>
        <v>0</v>
      </c>
      <c r="BD346">
        <f>IF('Исходные данные'!$B$51="Да",BC346*N('Исходные данные'!$B$52),0)</f>
        <v>0</v>
      </c>
      <c r="BE346">
        <f t="shared" si="187"/>
        <v>0</v>
      </c>
      <c r="BF346">
        <f>BC346+(Расчёты!Y346-Расчёты!L346)</f>
        <v>0</v>
      </c>
      <c r="BG346">
        <f t="shared" si="174"/>
        <v>0</v>
      </c>
      <c r="BH346">
        <f>IF('Исходные данные'!$B$51="Да",-MAX(0,BD346+Расчёты!R346+Расчёты!V346-Расчёты!P346-Расчёты!T346-BG346),0)</f>
        <v>0</v>
      </c>
      <c r="BI346">
        <f>IF('Исходные данные'!$B$51="Да",MAX(0,BG346+Расчёты!P346+Расчёты!T346-BD346-Расчёты!R346-Расчёты!V346),0)</f>
        <v>0</v>
      </c>
      <c r="BJ346">
        <f>IF('Исходные данные'!$B$53="Выручка",MAX(0,BC346+(Расчёты!Q346-Расчёты!R346)+(Расчёты!U346-Расчёты!V346)),IF('Исходные данные'!$B$53="Прибыль до налога",MAX(0,BC346+(Расчёты!Q346-Расчёты!R346)+(Расчёты!U346-Расчёты!V346)+N('Исходные данные'!$B$54)*((Расчёты!O346+Расчёты!P346)+(Расчёты!S346+Расчёты!T346)+Расчёты!W346+Расчёты!X346)+IF('Исходные данные'!$B$55="Да",Расчёты!AG346,0)-N('Исходные данные'!$B$56)/12),IF('Исходные данные'!$B$53="Пользовательская база",MAX(0,N('Исходные данные'!$B$57)/12),0)))</f>
        <v>0</v>
      </c>
      <c r="BK346">
        <f>IF(D346=1,-BJ346*N('Исходные данные'!$B$50),0)</f>
        <v>0</v>
      </c>
      <c r="BL346">
        <f t="shared" si="175"/>
        <v>0</v>
      </c>
      <c r="BM346">
        <f>IF(OR(D346&lt;&gt;1,B346="",'Исходные данные'!$B$91="",N('Исходные данные'!$B$80)&lt;=0,'Исходные данные'!$B$88=""),0,IF(AND(YEAR(B346)=YEAR('Исходные данные'!$B$91),MONTH(B346)=MONTH('Исходные данные'!$B$91)),MAX(0,IF('Исходные данные'!$B$88="Последние 12 месяцев",SUMIFS($BF$2:$BF$194,$B$2:$B$194,"&gt;="&amp;EDATE(B346,-11),$B$2:$B$194,"&lt;="&amp;B346),IF('Исходные данные'!$B$88="Пользовательский NOI",N('Исходные данные'!$B$89),BL346))/N('Исходные данные'!$B$80)*(1+N('Исходные данные'!$B$81))),0))</f>
        <v>0</v>
      </c>
      <c r="BN346">
        <f>-BM346*N('Исходные данные'!$B$73)</f>
        <v>0</v>
      </c>
      <c r="BO346">
        <f>IF(BM346=0,0,-N('Исходные данные'!$B$87)-IF('Исходные данные'!$B$82="Да",IF('Исходные данные'!$B$84="С выручки",BM346,IF('Исходные данные'!$B$84="С прибыли",MAX(0,BM346+BN346-IF('Исходные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46">
        <f t="shared" si="188"/>
        <v>0</v>
      </c>
      <c r="BQ346">
        <f>IF(D346=1,Расчёты!AZ346+BE346+BH346+BK346+BP346,0)</f>
        <v>0</v>
      </c>
      <c r="BR346" t="str">
        <f t="shared" si="176"/>
        <v/>
      </c>
      <c r="BS346">
        <f>IF(OR(D346=0,'Исходные данные'!$B$9="",'Исходные данные'!$B$90=""),0,BQ346/(1+'Исходные данные'!$B$90)^((C346-'Исходные данные'!$B$9)/365))</f>
        <v>0</v>
      </c>
      <c r="BT346">
        <f>IF(D346=1,BE346+Расчёты!O346+Расчёты!Q346+Расчёты!S346+Расчёты!U346+Расчёты!W346+Расчёты!X346+BH346+BK346,0)</f>
        <v>0</v>
      </c>
      <c r="BU346">
        <f>IF(AND(D346=1,BR346&gt;=0,BR345&lt;0,MIN($BR$2:BR346)&lt;0),1,0)</f>
        <v>0</v>
      </c>
      <c r="BV346">
        <f>Расчёты!AZ346+K346+N346-P346*N('Исходные данные'!$B$50)</f>
        <v>0</v>
      </c>
      <c r="BW346">
        <f t="shared" si="177"/>
        <v>0</v>
      </c>
      <c r="BX346">
        <f>IF(AND(BW346&gt;=0,BW345&lt;0,MIN($BW$2:BW346)&lt;0),1,0)</f>
        <v>0</v>
      </c>
      <c r="BY346">
        <f>Расчёты!AZ346+AH346+AK346-AM346*N('Исходные данные'!$B$50)</f>
        <v>0</v>
      </c>
      <c r="BZ346">
        <f t="shared" si="178"/>
        <v>0</v>
      </c>
      <c r="CA346">
        <f>IF(AND(BZ346&gt;=0,BZ345&lt;0,MIN($BZ$2:BZ346)&lt;0),1,0)</f>
        <v>0</v>
      </c>
      <c r="CB346">
        <f>Расчёты!AZ346+BE346+BH346-BJ346*N('Исходные данные'!$B$50)</f>
        <v>0</v>
      </c>
      <c r="CC346">
        <f t="shared" si="179"/>
        <v>0</v>
      </c>
      <c r="CD346">
        <f>IF(AND(CC346&gt;=0,CC345&lt;0,MIN($CC$2:CC346)&lt;0),1,0)</f>
        <v>0</v>
      </c>
    </row>
    <row r="347" spans="1:82" x14ac:dyDescent="0.2">
      <c r="A347">
        <f>Расчёты!A347</f>
        <v>346</v>
      </c>
      <c r="B347" t="str">
        <f>Расчёты!B347</f>
        <v/>
      </c>
      <c r="C347" t="str">
        <f>Расчёты!D347</f>
        <v/>
      </c>
      <c r="D347">
        <f>Расчёты!E347</f>
        <v>0</v>
      </c>
      <c r="E347">
        <f>IF(Расчёты!F347=0,0,IF(Расчёты!G347=1,N('Сценарный анализ'!$B$5),IF(Расчёты!G347=2,N('Сценарный анализ'!$B$6),IF(Расчёты!G347=3,N('Сценарный анализ'!$B$7),N('Сценарный анализ'!$B$7)*(1+N('Сценарный анализ'!$B$8))^(Расчёты!G347-3)))))</f>
        <v>0</v>
      </c>
      <c r="F347">
        <f>IF(OR(Расчёты!F347=0,N('Исходные данные'!$B$5)=0,E347=0),0,N('Исходные данные'!$B$5)*E347*IF(AND(B347&lt;='Исходные данные'!$B$30,Расчёты!C347&gt;='Исходные данные'!$B$30),(Расчёты!C347-'Исходные данные'!$B$30+1)/DAY(Расчёты!C347),1))</f>
        <v>0</v>
      </c>
      <c r="G347">
        <f>IF(AND(Расчёты!F347&gt;0,Расчёты!F347&lt;=N('Исходные данные'!$B$37)),-F347,0)</f>
        <v>0</v>
      </c>
      <c r="H347">
        <f>IF(OR(Расчёты!F347=0,Расчёты!F347&lt;=N('Исходные данные'!$B$37)),0,-(F347+G347)*N('Сценарный анализ'!$B$9))</f>
        <v>0</v>
      </c>
      <c r="I347">
        <f t="shared" si="180"/>
        <v>0</v>
      </c>
      <c r="J347">
        <f>IF('Исходные данные'!$B$51="Да",I347*N('Исходные данные'!$B$52),0)</f>
        <v>0</v>
      </c>
      <c r="K347">
        <f t="shared" si="181"/>
        <v>0</v>
      </c>
      <c r="L347">
        <f>I347+(Расчёты!Y347-Расчёты!L347)</f>
        <v>0</v>
      </c>
      <c r="M347">
        <f t="shared" si="168"/>
        <v>0</v>
      </c>
      <c r="N347">
        <f>IF('Исходные данные'!$B$51="Да",-MAX(0,J347+Расчёты!R347+Расчёты!V347-Расчёты!P347-Расчёты!T347-M347),0)</f>
        <v>0</v>
      </c>
      <c r="O347">
        <f>IF('Исходные данные'!$B$51="Да",MAX(0,M347+Расчёты!P347+Расчёты!T347-J347-Расчёты!R347-Расчёты!V347),0)</f>
        <v>0</v>
      </c>
      <c r="P347">
        <f>IF('Исходные данные'!$B$53="Выручка",MAX(0,I347+(Расчёты!Q347-Расчёты!R347)+(Расчёты!U347-Расчёты!V347)),IF('Исходные данные'!$B$53="Прибыль до налога",MAX(0,I347+(Расчёты!Q347-Расчёты!R347)+(Расчёты!U347-Расчёты!V347)+N('Исходные данные'!$B$54)*((Расчёты!O347+Расчёты!P347)+(Расчёты!S347+Расчёты!T347)+Расчёты!W347+Расчёты!X347)+IF('Исходные данные'!$B$55="Да",Расчёты!AG347,0)-N('Исходные данные'!$B$56)/12),IF('Исходные данные'!$B$53="Пользовательская база",MAX(0,N('Исходные данные'!$B$57)/12),0)))</f>
        <v>0</v>
      </c>
      <c r="Q347">
        <f>IF(D347=1,-P347*N('Исходные данные'!$B$50),0)</f>
        <v>0</v>
      </c>
      <c r="R347">
        <f t="shared" si="169"/>
        <v>0</v>
      </c>
      <c r="S347">
        <f>IF(OR(D347&lt;&gt;1,B347="",'Исходные данные'!$B$91="",N('Исходные данные'!$B$80)&lt;=0,'Исходные данные'!$B$88=""),0,IF(AND(YEAR(B347)=YEAR('Исходные данные'!$B$91),MONTH(B347)=MONTH('Исходные данные'!$B$91)),MAX(0,IF('Исходные данные'!$B$88="Последние 12 месяцев",SUMIFS($L$2:$L$194,$B$2:$B$194,"&gt;="&amp;EDATE(B347,-11),$B$2:$B$194,"&lt;="&amp;B347),IF('Исходные данные'!$B$88="Пользовательский NOI",N('Исходные данные'!$B$89),R347))/N('Исходные данные'!$B$80)*(1+N('Исходные данные'!$B$81))),0))</f>
        <v>0</v>
      </c>
      <c r="T347">
        <f>-S347*N('Исходные данные'!$B$73)</f>
        <v>0</v>
      </c>
      <c r="U347">
        <f>IF(S347=0,0,-N('Исходные данные'!$B$87)-IF('Исходные данные'!$B$82="Да",IF('Исходные данные'!$B$84="С выручки",S347,IF('Исходные данные'!$B$84="С прибыли",MAX(0,S347+T347-IF('Исходные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47">
        <f t="shared" si="182"/>
        <v>0</v>
      </c>
      <c r="W347">
        <f>IF(D347=1,Расчёты!AZ347+K347+N347+Q347+V347,0)</f>
        <v>0</v>
      </c>
      <c r="X347" t="str">
        <f t="shared" si="170"/>
        <v/>
      </c>
      <c r="Y347">
        <f>IF(OR(D347=0,'Исходные данные'!$B$9="",'Исходные данные'!$B$90=""),0,W347/(1+'Исходные данные'!$B$90)^((C347-'Исходные данные'!$B$9)/365))</f>
        <v>0</v>
      </c>
      <c r="Z347">
        <f>IF(D347=1,K347+Расчёты!O347+Расчёты!Q347+Расчёты!S347+Расчёты!U347+Расчёты!W347+Расчёты!X347+N347+Q347,0)</f>
        <v>0</v>
      </c>
      <c r="AA347">
        <f>IF(AND(D347=1,X347&gt;=0,X346&lt;0,MIN($X$2:X347)&lt;0),1,0)</f>
        <v>0</v>
      </c>
      <c r="AB347">
        <f>IF(Расчёты!F347=0,0,IF(Расчёты!G347=1,N('Сценарный анализ'!$C$5),IF(Расчёты!G347=2,N('Сценарный анализ'!$C$6),IF(Расчёты!G347=3,N('Сценарный анализ'!$C$7),N('Сценарный анализ'!$C$7)*(1+N('Сценарный анализ'!$C$8))^(Расчёты!G347-3)))))</f>
        <v>0</v>
      </c>
      <c r="AC347">
        <f>IF(OR(Расчёты!F347=0,N('Исходные данные'!$B$5)=0,AB347=0),0,N('Исходные данные'!$B$5)*AB347*IF(AND(B347&lt;='Исходные данные'!$B$30,Расчёты!C347&gt;='Исходные данные'!$B$30),(Расчёты!C347-'Исходные данные'!$B$30+1)/DAY(Расчёты!C347),1))</f>
        <v>0</v>
      </c>
      <c r="AD347">
        <f>IF(AND(Расчёты!F347&gt;0,Расчёты!F347&lt;=N('Исходные данные'!$B$37)),-AC347,0)</f>
        <v>0</v>
      </c>
      <c r="AE347">
        <f>IF(OR(Расчёты!F347=0,Расчёты!F347&lt;=N('Исходные данные'!$B$37)),0,-(AC347+AD347)*N('Сценарный анализ'!$C$9))</f>
        <v>0</v>
      </c>
      <c r="AF347">
        <f t="shared" si="183"/>
        <v>0</v>
      </c>
      <c r="AG347">
        <f>IF('Исходные данные'!$B$51="Да",AF347*N('Исходные данные'!$B$52),0)</f>
        <v>0</v>
      </c>
      <c r="AH347">
        <f t="shared" si="184"/>
        <v>0</v>
      </c>
      <c r="AI347">
        <f>AF347+(Расчёты!Y347-Расчёты!L347)</f>
        <v>0</v>
      </c>
      <c r="AJ347">
        <f t="shared" si="171"/>
        <v>0</v>
      </c>
      <c r="AK347">
        <f>IF('Исходные данные'!$B$51="Да",-MAX(0,AG347+Расчёты!R347+Расчёты!V347-Расчёты!P347-Расчёты!T347-AJ347),0)</f>
        <v>0</v>
      </c>
      <c r="AL347">
        <f>IF('Исходные данные'!$B$51="Да",MAX(0,AJ347+Расчёты!P347+Расчёты!T347-AG347-Расчёты!R347-Расчёты!V347),0)</f>
        <v>0</v>
      </c>
      <c r="AM347">
        <f>IF('Исходные данные'!$B$53="Выручка",MAX(0,AF347+(Расчёты!Q347-Расчёты!R347)+(Расчёты!U347-Расчёты!V347)),IF('Исходные данные'!$B$53="Прибыль до налога",MAX(0,AF347+(Расчёты!Q347-Расчёты!R347)+(Расчёты!U347-Расчёты!V347)+N('Исходные данные'!$B$54)*((Расчёты!O347+Расчёты!P347)+(Расчёты!S347+Расчёты!T347)+Расчёты!W347+Расчёты!X347)+IF('Исходные данные'!$B$55="Да",Расчёты!AG347,0)-N('Исходные данные'!$B$56)/12),IF('Исходные данные'!$B$53="Пользовательская база",MAX(0,N('Исходные данные'!$B$57)/12),0)))</f>
        <v>0</v>
      </c>
      <c r="AN347">
        <f>IF(D347=1,-AM347*N('Исходные данные'!$B$50),0)</f>
        <v>0</v>
      </c>
      <c r="AO347">
        <f t="shared" si="172"/>
        <v>0</v>
      </c>
      <c r="AP347">
        <f>IF(OR(D347&lt;&gt;1,B347="",'Исходные данные'!$B$91="",N('Исходные данные'!$B$80)&lt;=0,'Исходные данные'!$B$88=""),0,IF(AND(YEAR(B347)=YEAR('Исходные данные'!$B$91),MONTH(B347)=MONTH('Исходные данные'!$B$91)),MAX(0,IF('Исходные данные'!$B$88="Последние 12 месяцев",SUMIFS($AI$2:$AI$194,$B$2:$B$194,"&gt;="&amp;EDATE(B347,-11),$B$2:$B$194,"&lt;="&amp;B347),IF('Исходные данные'!$B$88="Пользовательский NOI",N('Исходные данные'!$B$89),AO347))/N('Исходные данные'!$B$80)*(1+N('Исходные данные'!$B$81))),0))</f>
        <v>0</v>
      </c>
      <c r="AQ347">
        <f>-AP347*N('Исходные данные'!$B$73)</f>
        <v>0</v>
      </c>
      <c r="AR347">
        <f>IF(AP347=0,0,-N('Исходные данные'!$B$87)-IF('Исходные данные'!$B$82="Да",IF('Исходные данные'!$B$84="С выручки",AP347,IF('Исходные данные'!$B$84="С прибыли",MAX(0,AP347+AQ347-IF('Исходные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47">
        <f t="shared" si="185"/>
        <v>0</v>
      </c>
      <c r="AT347">
        <f>IF(D347=1,Расчёты!AZ347+AH347+AK347+AN347+AS347,0)</f>
        <v>0</v>
      </c>
      <c r="AU347" t="str">
        <f t="shared" si="173"/>
        <v/>
      </c>
      <c r="AV347">
        <f>IF(OR(D347=0,'Исходные данные'!$B$9="",'Исходные данные'!$B$90=""),0,AT347/(1+'Исходные данные'!$B$90)^((C347-'Исходные данные'!$B$9)/365))</f>
        <v>0</v>
      </c>
      <c r="AW347">
        <f>IF(D347=1,AH347+Расчёты!O347+Расчёты!Q347+Расчёты!S347+Расчёты!U347+Расчёты!W347+Расчёты!X347+AK347+AN347,0)</f>
        <v>0</v>
      </c>
      <c r="AX347">
        <f>IF(AND(D347=1,AU347&gt;=0,AU346&lt;0,MIN($AU$2:AU347)&lt;0),1,0)</f>
        <v>0</v>
      </c>
      <c r="AY347">
        <f>IF(Расчёты!F347=0,0,IF(Расчёты!G347=1,N('Сценарный анализ'!$D$5),IF(Расчёты!G347=2,N('Сценарный анализ'!$D$6),IF(Расчёты!G347=3,N('Сценарный анализ'!$D$7),N('Сценарный анализ'!$D$7)*(1+N('Сценарный анализ'!$D$8))^(Расчёты!G347-3)))))</f>
        <v>0</v>
      </c>
      <c r="AZ347">
        <f>IF(OR(Расчёты!F347=0,N('Исходные данные'!$B$5)=0,AY347=0),0,N('Исходные данные'!$B$5)*AY347*IF(AND(B347&lt;='Исходные данные'!$B$30,Расчёты!C347&gt;='Исходные данные'!$B$30),(Расчёты!C347-'Исходные данные'!$B$30+1)/DAY(Расчёты!C347),1))</f>
        <v>0</v>
      </c>
      <c r="BA347">
        <f>IF(AND(Расчёты!F347&gt;0,Расчёты!F347&lt;=N('Исходные данные'!$B$37)),-AZ347,0)</f>
        <v>0</v>
      </c>
      <c r="BB347">
        <f>IF(OR(Расчёты!F347=0,Расчёты!F347&lt;=N('Исходные данные'!$B$37)),0,-(AZ347+BA347)*N('Сценарный анализ'!$D$9))</f>
        <v>0</v>
      </c>
      <c r="BC347">
        <f t="shared" si="186"/>
        <v>0</v>
      </c>
      <c r="BD347">
        <f>IF('Исходные данные'!$B$51="Да",BC347*N('Исходные данные'!$B$52),0)</f>
        <v>0</v>
      </c>
      <c r="BE347">
        <f t="shared" si="187"/>
        <v>0</v>
      </c>
      <c r="BF347">
        <f>BC347+(Расчёты!Y347-Расчёты!L347)</f>
        <v>0</v>
      </c>
      <c r="BG347">
        <f t="shared" si="174"/>
        <v>0</v>
      </c>
      <c r="BH347">
        <f>IF('Исходные данные'!$B$51="Да",-MAX(0,BD347+Расчёты!R347+Расчёты!V347-Расчёты!P347-Расчёты!T347-BG347),0)</f>
        <v>0</v>
      </c>
      <c r="BI347">
        <f>IF('Исходные данные'!$B$51="Да",MAX(0,BG347+Расчёты!P347+Расчёты!T347-BD347-Расчёты!R347-Расчёты!V347),0)</f>
        <v>0</v>
      </c>
      <c r="BJ347">
        <f>IF('Исходные данные'!$B$53="Выручка",MAX(0,BC347+(Расчёты!Q347-Расчёты!R347)+(Расчёты!U347-Расчёты!V347)),IF('Исходные данные'!$B$53="Прибыль до налога",MAX(0,BC347+(Расчёты!Q347-Расчёты!R347)+(Расчёты!U347-Расчёты!V347)+N('Исходные данные'!$B$54)*((Расчёты!O347+Расчёты!P347)+(Расчёты!S347+Расчёты!T347)+Расчёты!W347+Расчёты!X347)+IF('Исходные данные'!$B$55="Да",Расчёты!AG347,0)-N('Исходные данные'!$B$56)/12),IF('Исходные данные'!$B$53="Пользовательская база",MAX(0,N('Исходные данные'!$B$57)/12),0)))</f>
        <v>0</v>
      </c>
      <c r="BK347">
        <f>IF(D347=1,-BJ347*N('Исходные данные'!$B$50),0)</f>
        <v>0</v>
      </c>
      <c r="BL347">
        <f t="shared" si="175"/>
        <v>0</v>
      </c>
      <c r="BM347">
        <f>IF(OR(D347&lt;&gt;1,B347="",'Исходные данные'!$B$91="",N('Исходные данные'!$B$80)&lt;=0,'Исходные данные'!$B$88=""),0,IF(AND(YEAR(B347)=YEAR('Исходные данные'!$B$91),MONTH(B347)=MONTH('Исходные данные'!$B$91)),MAX(0,IF('Исходные данные'!$B$88="Последние 12 месяцев",SUMIFS($BF$2:$BF$194,$B$2:$B$194,"&gt;="&amp;EDATE(B347,-11),$B$2:$B$194,"&lt;="&amp;B347),IF('Исходные данные'!$B$88="Пользовательский NOI",N('Исходные данные'!$B$89),BL347))/N('Исходные данные'!$B$80)*(1+N('Исходные данные'!$B$81))),0))</f>
        <v>0</v>
      </c>
      <c r="BN347">
        <f>-BM347*N('Исходные данные'!$B$73)</f>
        <v>0</v>
      </c>
      <c r="BO347">
        <f>IF(BM347=0,0,-N('Исходные данные'!$B$87)-IF('Исходные данные'!$B$82="Да",IF('Исходные данные'!$B$84="С выручки",BM347,IF('Исходные данные'!$B$84="С прибыли",MAX(0,BM347+BN347-IF('Исходные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47">
        <f t="shared" si="188"/>
        <v>0</v>
      </c>
      <c r="BQ347">
        <f>IF(D347=1,Расчёты!AZ347+BE347+BH347+BK347+BP347,0)</f>
        <v>0</v>
      </c>
      <c r="BR347" t="str">
        <f t="shared" si="176"/>
        <v/>
      </c>
      <c r="BS347">
        <f>IF(OR(D347=0,'Исходные данные'!$B$9="",'Исходные данные'!$B$90=""),0,BQ347/(1+'Исходные данные'!$B$90)^((C347-'Исходные данные'!$B$9)/365))</f>
        <v>0</v>
      </c>
      <c r="BT347">
        <f>IF(D347=1,BE347+Расчёты!O347+Расчёты!Q347+Расчёты!S347+Расчёты!U347+Расчёты!W347+Расчёты!X347+BH347+BK347,0)</f>
        <v>0</v>
      </c>
      <c r="BU347">
        <f>IF(AND(D347=1,BR347&gt;=0,BR346&lt;0,MIN($BR$2:BR347)&lt;0),1,0)</f>
        <v>0</v>
      </c>
      <c r="BV347">
        <f>Расчёты!AZ347+K347+N347-P347*N('Исходные данные'!$B$50)</f>
        <v>0</v>
      </c>
      <c r="BW347">
        <f t="shared" si="177"/>
        <v>0</v>
      </c>
      <c r="BX347">
        <f>IF(AND(BW347&gt;=0,BW346&lt;0,MIN($BW$2:BW347)&lt;0),1,0)</f>
        <v>0</v>
      </c>
      <c r="BY347">
        <f>Расчёты!AZ347+AH347+AK347-AM347*N('Исходные данные'!$B$50)</f>
        <v>0</v>
      </c>
      <c r="BZ347">
        <f t="shared" si="178"/>
        <v>0</v>
      </c>
      <c r="CA347">
        <f>IF(AND(BZ347&gt;=0,BZ346&lt;0,MIN($BZ$2:BZ347)&lt;0),1,0)</f>
        <v>0</v>
      </c>
      <c r="CB347">
        <f>Расчёты!AZ347+BE347+BH347-BJ347*N('Исходные данные'!$B$50)</f>
        <v>0</v>
      </c>
      <c r="CC347">
        <f t="shared" si="179"/>
        <v>0</v>
      </c>
      <c r="CD347">
        <f>IF(AND(CC347&gt;=0,CC346&lt;0,MIN($CC$2:CC347)&lt;0),1,0)</f>
        <v>0</v>
      </c>
    </row>
    <row r="348" spans="1:82" x14ac:dyDescent="0.2">
      <c r="A348">
        <f>Расчёты!A348</f>
        <v>347</v>
      </c>
      <c r="B348" t="str">
        <f>Расчёты!B348</f>
        <v/>
      </c>
      <c r="C348" t="str">
        <f>Расчёты!D348</f>
        <v/>
      </c>
      <c r="D348">
        <f>Расчёты!E348</f>
        <v>0</v>
      </c>
      <c r="E348">
        <f>IF(Расчёты!F348=0,0,IF(Расчёты!G348=1,N('Сценарный анализ'!$B$5),IF(Расчёты!G348=2,N('Сценарный анализ'!$B$6),IF(Расчёты!G348=3,N('Сценарный анализ'!$B$7),N('Сценарный анализ'!$B$7)*(1+N('Сценарный анализ'!$B$8))^(Расчёты!G348-3)))))</f>
        <v>0</v>
      </c>
      <c r="F348">
        <f>IF(OR(Расчёты!F348=0,N('Исходные данные'!$B$5)=0,E348=0),0,N('Исходные данные'!$B$5)*E348*IF(AND(B348&lt;='Исходные данные'!$B$30,Расчёты!C348&gt;='Исходные данные'!$B$30),(Расчёты!C348-'Исходные данные'!$B$30+1)/DAY(Расчёты!C348),1))</f>
        <v>0</v>
      </c>
      <c r="G348">
        <f>IF(AND(Расчёты!F348&gt;0,Расчёты!F348&lt;=N('Исходные данные'!$B$37)),-F348,0)</f>
        <v>0</v>
      </c>
      <c r="H348">
        <f>IF(OR(Расчёты!F348=0,Расчёты!F348&lt;=N('Исходные данные'!$B$37)),0,-(F348+G348)*N('Сценарный анализ'!$B$9))</f>
        <v>0</v>
      </c>
      <c r="I348">
        <f t="shared" si="180"/>
        <v>0</v>
      </c>
      <c r="J348">
        <f>IF('Исходные данные'!$B$51="Да",I348*N('Исходные данные'!$B$52),0)</f>
        <v>0</v>
      </c>
      <c r="K348">
        <f t="shared" si="181"/>
        <v>0</v>
      </c>
      <c r="L348">
        <f>I348+(Расчёты!Y348-Расчёты!L348)</f>
        <v>0</v>
      </c>
      <c r="M348">
        <f t="shared" si="168"/>
        <v>0</v>
      </c>
      <c r="N348">
        <f>IF('Исходные данные'!$B$51="Да",-MAX(0,J348+Расчёты!R348+Расчёты!V348-Расчёты!P348-Расчёты!T348-M348),0)</f>
        <v>0</v>
      </c>
      <c r="O348">
        <f>IF('Исходные данные'!$B$51="Да",MAX(0,M348+Расчёты!P348+Расчёты!T348-J348-Расчёты!R348-Расчёты!V348),0)</f>
        <v>0</v>
      </c>
      <c r="P348">
        <f>IF('Исходные данные'!$B$53="Выручка",MAX(0,I348+(Расчёты!Q348-Расчёты!R348)+(Расчёты!U348-Расчёты!V348)),IF('Исходные данные'!$B$53="Прибыль до налога",MAX(0,I348+(Расчёты!Q348-Расчёты!R348)+(Расчёты!U348-Расчёты!V348)+N('Исходные данные'!$B$54)*((Расчёты!O348+Расчёты!P348)+(Расчёты!S348+Расчёты!T348)+Расчёты!W348+Расчёты!X348)+IF('Исходные данные'!$B$55="Да",Расчёты!AG348,0)-N('Исходные данные'!$B$56)/12),IF('Исходные данные'!$B$53="Пользовательская база",MAX(0,N('Исходные данные'!$B$57)/12),0)))</f>
        <v>0</v>
      </c>
      <c r="Q348">
        <f>IF(D348=1,-P348*N('Исходные данные'!$B$50),0)</f>
        <v>0</v>
      </c>
      <c r="R348">
        <f t="shared" si="169"/>
        <v>0</v>
      </c>
      <c r="S348">
        <f>IF(OR(D348&lt;&gt;1,B348="",'Исходные данные'!$B$91="",N('Исходные данные'!$B$80)&lt;=0,'Исходные данные'!$B$88=""),0,IF(AND(YEAR(B348)=YEAR('Исходные данные'!$B$91),MONTH(B348)=MONTH('Исходные данные'!$B$91)),MAX(0,IF('Исходные данные'!$B$88="Последние 12 месяцев",SUMIFS($L$2:$L$194,$B$2:$B$194,"&gt;="&amp;EDATE(B348,-11),$B$2:$B$194,"&lt;="&amp;B348),IF('Исходные данные'!$B$88="Пользовательский NOI",N('Исходные данные'!$B$89),R348))/N('Исходные данные'!$B$80)*(1+N('Исходные данные'!$B$81))),0))</f>
        <v>0</v>
      </c>
      <c r="T348">
        <f>-S348*N('Исходные данные'!$B$73)</f>
        <v>0</v>
      </c>
      <c r="U348">
        <f>IF(S348=0,0,-N('Исходные данные'!$B$87)-IF('Исходные данные'!$B$82="Да",IF('Исходные данные'!$B$84="С выручки",S348,IF('Исходные данные'!$B$84="С прибыли",MAX(0,S348+T348-IF('Исходные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48">
        <f t="shared" si="182"/>
        <v>0</v>
      </c>
      <c r="W348">
        <f>IF(D348=1,Расчёты!AZ348+K348+N348+Q348+V348,0)</f>
        <v>0</v>
      </c>
      <c r="X348" t="str">
        <f t="shared" si="170"/>
        <v/>
      </c>
      <c r="Y348">
        <f>IF(OR(D348=0,'Исходные данные'!$B$9="",'Исходные данные'!$B$90=""),0,W348/(1+'Исходные данные'!$B$90)^((C348-'Исходные данные'!$B$9)/365))</f>
        <v>0</v>
      </c>
      <c r="Z348">
        <f>IF(D348=1,K348+Расчёты!O348+Расчёты!Q348+Расчёты!S348+Расчёты!U348+Расчёты!W348+Расчёты!X348+N348+Q348,0)</f>
        <v>0</v>
      </c>
      <c r="AA348">
        <f>IF(AND(D348=1,X348&gt;=0,X347&lt;0,MIN($X$2:X348)&lt;0),1,0)</f>
        <v>0</v>
      </c>
      <c r="AB348">
        <f>IF(Расчёты!F348=0,0,IF(Расчёты!G348=1,N('Сценарный анализ'!$C$5),IF(Расчёты!G348=2,N('Сценарный анализ'!$C$6),IF(Расчёты!G348=3,N('Сценарный анализ'!$C$7),N('Сценарный анализ'!$C$7)*(1+N('Сценарный анализ'!$C$8))^(Расчёты!G348-3)))))</f>
        <v>0</v>
      </c>
      <c r="AC348">
        <f>IF(OR(Расчёты!F348=0,N('Исходные данные'!$B$5)=0,AB348=0),0,N('Исходные данные'!$B$5)*AB348*IF(AND(B348&lt;='Исходные данные'!$B$30,Расчёты!C348&gt;='Исходные данные'!$B$30),(Расчёты!C348-'Исходные данные'!$B$30+1)/DAY(Расчёты!C348),1))</f>
        <v>0</v>
      </c>
      <c r="AD348">
        <f>IF(AND(Расчёты!F348&gt;0,Расчёты!F348&lt;=N('Исходные данные'!$B$37)),-AC348,0)</f>
        <v>0</v>
      </c>
      <c r="AE348">
        <f>IF(OR(Расчёты!F348=0,Расчёты!F348&lt;=N('Исходные данные'!$B$37)),0,-(AC348+AD348)*N('Сценарный анализ'!$C$9))</f>
        <v>0</v>
      </c>
      <c r="AF348">
        <f t="shared" si="183"/>
        <v>0</v>
      </c>
      <c r="AG348">
        <f>IF('Исходные данные'!$B$51="Да",AF348*N('Исходные данные'!$B$52),0)</f>
        <v>0</v>
      </c>
      <c r="AH348">
        <f t="shared" si="184"/>
        <v>0</v>
      </c>
      <c r="AI348">
        <f>AF348+(Расчёты!Y348-Расчёты!L348)</f>
        <v>0</v>
      </c>
      <c r="AJ348">
        <f t="shared" si="171"/>
        <v>0</v>
      </c>
      <c r="AK348">
        <f>IF('Исходные данные'!$B$51="Да",-MAX(0,AG348+Расчёты!R348+Расчёты!V348-Расчёты!P348-Расчёты!T348-AJ348),0)</f>
        <v>0</v>
      </c>
      <c r="AL348">
        <f>IF('Исходные данные'!$B$51="Да",MAX(0,AJ348+Расчёты!P348+Расчёты!T348-AG348-Расчёты!R348-Расчёты!V348),0)</f>
        <v>0</v>
      </c>
      <c r="AM348">
        <f>IF('Исходные данные'!$B$53="Выручка",MAX(0,AF348+(Расчёты!Q348-Расчёты!R348)+(Расчёты!U348-Расчёты!V348)),IF('Исходные данные'!$B$53="Прибыль до налога",MAX(0,AF348+(Расчёты!Q348-Расчёты!R348)+(Расчёты!U348-Расчёты!V348)+N('Исходные данные'!$B$54)*((Расчёты!O348+Расчёты!P348)+(Расчёты!S348+Расчёты!T348)+Расчёты!W348+Расчёты!X348)+IF('Исходные данные'!$B$55="Да",Расчёты!AG348,0)-N('Исходные данные'!$B$56)/12),IF('Исходные данные'!$B$53="Пользовательская база",MAX(0,N('Исходные данные'!$B$57)/12),0)))</f>
        <v>0</v>
      </c>
      <c r="AN348">
        <f>IF(D348=1,-AM348*N('Исходные данные'!$B$50),0)</f>
        <v>0</v>
      </c>
      <c r="AO348">
        <f t="shared" si="172"/>
        <v>0</v>
      </c>
      <c r="AP348">
        <f>IF(OR(D348&lt;&gt;1,B348="",'Исходные данные'!$B$91="",N('Исходные данные'!$B$80)&lt;=0,'Исходные данные'!$B$88=""),0,IF(AND(YEAR(B348)=YEAR('Исходные данные'!$B$91),MONTH(B348)=MONTH('Исходные данные'!$B$91)),MAX(0,IF('Исходные данные'!$B$88="Последние 12 месяцев",SUMIFS($AI$2:$AI$194,$B$2:$B$194,"&gt;="&amp;EDATE(B348,-11),$B$2:$B$194,"&lt;="&amp;B348),IF('Исходные данные'!$B$88="Пользовательский NOI",N('Исходные данные'!$B$89),AO348))/N('Исходные данные'!$B$80)*(1+N('Исходные данные'!$B$81))),0))</f>
        <v>0</v>
      </c>
      <c r="AQ348">
        <f>-AP348*N('Исходные данные'!$B$73)</f>
        <v>0</v>
      </c>
      <c r="AR348">
        <f>IF(AP348=0,0,-N('Исходные данные'!$B$87)-IF('Исходные данные'!$B$82="Да",IF('Исходные данные'!$B$84="С выручки",AP348,IF('Исходные данные'!$B$84="С прибыли",MAX(0,AP348+AQ348-IF('Исходные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48">
        <f t="shared" si="185"/>
        <v>0</v>
      </c>
      <c r="AT348">
        <f>IF(D348=1,Расчёты!AZ348+AH348+AK348+AN348+AS348,0)</f>
        <v>0</v>
      </c>
      <c r="AU348" t="str">
        <f t="shared" si="173"/>
        <v/>
      </c>
      <c r="AV348">
        <f>IF(OR(D348=0,'Исходные данные'!$B$9="",'Исходные данные'!$B$90=""),0,AT348/(1+'Исходные данные'!$B$90)^((C348-'Исходные данные'!$B$9)/365))</f>
        <v>0</v>
      </c>
      <c r="AW348">
        <f>IF(D348=1,AH348+Расчёты!O348+Расчёты!Q348+Расчёты!S348+Расчёты!U348+Расчёты!W348+Расчёты!X348+AK348+AN348,0)</f>
        <v>0</v>
      </c>
      <c r="AX348">
        <f>IF(AND(D348=1,AU348&gt;=0,AU347&lt;0,MIN($AU$2:AU348)&lt;0),1,0)</f>
        <v>0</v>
      </c>
      <c r="AY348">
        <f>IF(Расчёты!F348=0,0,IF(Расчёты!G348=1,N('Сценарный анализ'!$D$5),IF(Расчёты!G348=2,N('Сценарный анализ'!$D$6),IF(Расчёты!G348=3,N('Сценарный анализ'!$D$7),N('Сценарный анализ'!$D$7)*(1+N('Сценарный анализ'!$D$8))^(Расчёты!G348-3)))))</f>
        <v>0</v>
      </c>
      <c r="AZ348">
        <f>IF(OR(Расчёты!F348=0,N('Исходные данные'!$B$5)=0,AY348=0),0,N('Исходные данные'!$B$5)*AY348*IF(AND(B348&lt;='Исходные данные'!$B$30,Расчёты!C348&gt;='Исходные данные'!$B$30),(Расчёты!C348-'Исходные данные'!$B$30+1)/DAY(Расчёты!C348),1))</f>
        <v>0</v>
      </c>
      <c r="BA348">
        <f>IF(AND(Расчёты!F348&gt;0,Расчёты!F348&lt;=N('Исходные данные'!$B$37)),-AZ348,0)</f>
        <v>0</v>
      </c>
      <c r="BB348">
        <f>IF(OR(Расчёты!F348=0,Расчёты!F348&lt;=N('Исходные данные'!$B$37)),0,-(AZ348+BA348)*N('Сценарный анализ'!$D$9))</f>
        <v>0</v>
      </c>
      <c r="BC348">
        <f t="shared" si="186"/>
        <v>0</v>
      </c>
      <c r="BD348">
        <f>IF('Исходные данные'!$B$51="Да",BC348*N('Исходные данные'!$B$52),0)</f>
        <v>0</v>
      </c>
      <c r="BE348">
        <f t="shared" si="187"/>
        <v>0</v>
      </c>
      <c r="BF348">
        <f>BC348+(Расчёты!Y348-Расчёты!L348)</f>
        <v>0</v>
      </c>
      <c r="BG348">
        <f t="shared" si="174"/>
        <v>0</v>
      </c>
      <c r="BH348">
        <f>IF('Исходные данные'!$B$51="Да",-MAX(0,BD348+Расчёты!R348+Расчёты!V348-Расчёты!P348-Расчёты!T348-BG348),0)</f>
        <v>0</v>
      </c>
      <c r="BI348">
        <f>IF('Исходные данные'!$B$51="Да",MAX(0,BG348+Расчёты!P348+Расчёты!T348-BD348-Расчёты!R348-Расчёты!V348),0)</f>
        <v>0</v>
      </c>
      <c r="BJ348">
        <f>IF('Исходные данные'!$B$53="Выручка",MAX(0,BC348+(Расчёты!Q348-Расчёты!R348)+(Расчёты!U348-Расчёты!V348)),IF('Исходные данные'!$B$53="Прибыль до налога",MAX(0,BC348+(Расчёты!Q348-Расчёты!R348)+(Расчёты!U348-Расчёты!V348)+N('Исходные данные'!$B$54)*((Расчёты!O348+Расчёты!P348)+(Расчёты!S348+Расчёты!T348)+Расчёты!W348+Расчёты!X348)+IF('Исходные данные'!$B$55="Да",Расчёты!AG348,0)-N('Исходные данные'!$B$56)/12),IF('Исходные данные'!$B$53="Пользовательская база",MAX(0,N('Исходные данные'!$B$57)/12),0)))</f>
        <v>0</v>
      </c>
      <c r="BK348">
        <f>IF(D348=1,-BJ348*N('Исходные данные'!$B$50),0)</f>
        <v>0</v>
      </c>
      <c r="BL348">
        <f t="shared" si="175"/>
        <v>0</v>
      </c>
      <c r="BM348">
        <f>IF(OR(D348&lt;&gt;1,B348="",'Исходные данные'!$B$91="",N('Исходные данные'!$B$80)&lt;=0,'Исходные данные'!$B$88=""),0,IF(AND(YEAR(B348)=YEAR('Исходные данные'!$B$91),MONTH(B348)=MONTH('Исходные данные'!$B$91)),MAX(0,IF('Исходные данные'!$B$88="Последние 12 месяцев",SUMIFS($BF$2:$BF$194,$B$2:$B$194,"&gt;="&amp;EDATE(B348,-11),$B$2:$B$194,"&lt;="&amp;B348),IF('Исходные данные'!$B$88="Пользовательский NOI",N('Исходные данные'!$B$89),BL348))/N('Исходные данные'!$B$80)*(1+N('Исходные данные'!$B$81))),0))</f>
        <v>0</v>
      </c>
      <c r="BN348">
        <f>-BM348*N('Исходные данные'!$B$73)</f>
        <v>0</v>
      </c>
      <c r="BO348">
        <f>IF(BM348=0,0,-N('Исходные данные'!$B$87)-IF('Исходные данные'!$B$82="Да",IF('Исходные данные'!$B$84="С выручки",BM348,IF('Исходные данные'!$B$84="С прибыли",MAX(0,BM348+BN348-IF('Исходные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48">
        <f t="shared" si="188"/>
        <v>0</v>
      </c>
      <c r="BQ348">
        <f>IF(D348=1,Расчёты!AZ348+BE348+BH348+BK348+BP348,0)</f>
        <v>0</v>
      </c>
      <c r="BR348" t="str">
        <f t="shared" si="176"/>
        <v/>
      </c>
      <c r="BS348">
        <f>IF(OR(D348=0,'Исходные данные'!$B$9="",'Исходные данные'!$B$90=""),0,BQ348/(1+'Исходные данные'!$B$90)^((C348-'Исходные данные'!$B$9)/365))</f>
        <v>0</v>
      </c>
      <c r="BT348">
        <f>IF(D348=1,BE348+Расчёты!O348+Расчёты!Q348+Расчёты!S348+Расчёты!U348+Расчёты!W348+Расчёты!X348+BH348+BK348,0)</f>
        <v>0</v>
      </c>
      <c r="BU348">
        <f>IF(AND(D348=1,BR348&gt;=0,BR347&lt;0,MIN($BR$2:BR348)&lt;0),1,0)</f>
        <v>0</v>
      </c>
      <c r="BV348">
        <f>Расчёты!AZ348+K348+N348-P348*N('Исходные данные'!$B$50)</f>
        <v>0</v>
      </c>
      <c r="BW348">
        <f t="shared" si="177"/>
        <v>0</v>
      </c>
      <c r="BX348">
        <f>IF(AND(BW348&gt;=0,BW347&lt;0,MIN($BW$2:BW348)&lt;0),1,0)</f>
        <v>0</v>
      </c>
      <c r="BY348">
        <f>Расчёты!AZ348+AH348+AK348-AM348*N('Исходные данные'!$B$50)</f>
        <v>0</v>
      </c>
      <c r="BZ348">
        <f t="shared" si="178"/>
        <v>0</v>
      </c>
      <c r="CA348">
        <f>IF(AND(BZ348&gt;=0,BZ347&lt;0,MIN($BZ$2:BZ348)&lt;0),1,0)</f>
        <v>0</v>
      </c>
      <c r="CB348">
        <f>Расчёты!AZ348+BE348+BH348-BJ348*N('Исходные данные'!$B$50)</f>
        <v>0</v>
      </c>
      <c r="CC348">
        <f t="shared" si="179"/>
        <v>0</v>
      </c>
      <c r="CD348">
        <f>IF(AND(CC348&gt;=0,CC347&lt;0,MIN($CC$2:CC348)&lt;0),1,0)</f>
        <v>0</v>
      </c>
    </row>
    <row r="349" spans="1:82" x14ac:dyDescent="0.2">
      <c r="A349">
        <f>Расчёты!A349</f>
        <v>348</v>
      </c>
      <c r="B349" t="str">
        <f>Расчёты!B349</f>
        <v/>
      </c>
      <c r="C349" t="str">
        <f>Расчёты!D349</f>
        <v/>
      </c>
      <c r="D349">
        <f>Расчёты!E349</f>
        <v>0</v>
      </c>
      <c r="E349">
        <f>IF(Расчёты!F349=0,0,IF(Расчёты!G349=1,N('Сценарный анализ'!$B$5),IF(Расчёты!G349=2,N('Сценарный анализ'!$B$6),IF(Расчёты!G349=3,N('Сценарный анализ'!$B$7),N('Сценарный анализ'!$B$7)*(1+N('Сценарный анализ'!$B$8))^(Расчёты!G349-3)))))</f>
        <v>0</v>
      </c>
      <c r="F349">
        <f>IF(OR(Расчёты!F349=0,N('Исходные данные'!$B$5)=0,E349=0),0,N('Исходные данные'!$B$5)*E349*IF(AND(B349&lt;='Исходные данные'!$B$30,Расчёты!C349&gt;='Исходные данные'!$B$30),(Расчёты!C349-'Исходные данные'!$B$30+1)/DAY(Расчёты!C349),1))</f>
        <v>0</v>
      </c>
      <c r="G349">
        <f>IF(AND(Расчёты!F349&gt;0,Расчёты!F349&lt;=N('Исходные данные'!$B$37)),-F349,0)</f>
        <v>0</v>
      </c>
      <c r="H349">
        <f>IF(OR(Расчёты!F349=0,Расчёты!F349&lt;=N('Исходные данные'!$B$37)),0,-(F349+G349)*N('Сценарный анализ'!$B$9))</f>
        <v>0</v>
      </c>
      <c r="I349">
        <f t="shared" si="180"/>
        <v>0</v>
      </c>
      <c r="J349">
        <f>IF('Исходные данные'!$B$51="Да",I349*N('Исходные данные'!$B$52),0)</f>
        <v>0</v>
      </c>
      <c r="K349">
        <f t="shared" si="181"/>
        <v>0</v>
      </c>
      <c r="L349">
        <f>I349+(Расчёты!Y349-Расчёты!L349)</f>
        <v>0</v>
      </c>
      <c r="M349">
        <f t="shared" si="168"/>
        <v>0</v>
      </c>
      <c r="N349">
        <f>IF('Исходные данные'!$B$51="Да",-MAX(0,J349+Расчёты!R349+Расчёты!V349-Расчёты!P349-Расчёты!T349-M349),0)</f>
        <v>0</v>
      </c>
      <c r="O349">
        <f>IF('Исходные данные'!$B$51="Да",MAX(0,M349+Расчёты!P349+Расчёты!T349-J349-Расчёты!R349-Расчёты!V349),0)</f>
        <v>0</v>
      </c>
      <c r="P349">
        <f>IF('Исходные данные'!$B$53="Выручка",MAX(0,I349+(Расчёты!Q349-Расчёты!R349)+(Расчёты!U349-Расчёты!V349)),IF('Исходные данные'!$B$53="Прибыль до налога",MAX(0,I349+(Расчёты!Q349-Расчёты!R349)+(Расчёты!U349-Расчёты!V349)+N('Исходные данные'!$B$54)*((Расчёты!O349+Расчёты!P349)+(Расчёты!S349+Расчёты!T349)+Расчёты!W349+Расчёты!X349)+IF('Исходные данные'!$B$55="Да",Расчёты!AG349,0)-N('Исходные данные'!$B$56)/12),IF('Исходные данные'!$B$53="Пользовательская база",MAX(0,N('Исходные данные'!$B$57)/12),0)))</f>
        <v>0</v>
      </c>
      <c r="Q349">
        <f>IF(D349=1,-P349*N('Исходные данные'!$B$50),0)</f>
        <v>0</v>
      </c>
      <c r="R349">
        <f t="shared" si="169"/>
        <v>0</v>
      </c>
      <c r="S349">
        <f>IF(OR(D349&lt;&gt;1,B349="",'Исходные данные'!$B$91="",N('Исходные данные'!$B$80)&lt;=0,'Исходные данные'!$B$88=""),0,IF(AND(YEAR(B349)=YEAR('Исходные данные'!$B$91),MONTH(B349)=MONTH('Исходные данные'!$B$91)),MAX(0,IF('Исходные данные'!$B$88="Последние 12 месяцев",SUMIFS($L$2:$L$194,$B$2:$B$194,"&gt;="&amp;EDATE(B349,-11),$B$2:$B$194,"&lt;="&amp;B349),IF('Исходные данные'!$B$88="Пользовательский NOI",N('Исходные данные'!$B$89),R349))/N('Исходные данные'!$B$80)*(1+N('Исходные данные'!$B$81))),0))</f>
        <v>0</v>
      </c>
      <c r="T349">
        <f>-S349*N('Исходные данные'!$B$73)</f>
        <v>0</v>
      </c>
      <c r="U349">
        <f>IF(S349=0,0,-N('Исходные данные'!$B$87)-IF('Исходные данные'!$B$82="Да",IF('Исходные данные'!$B$84="С выручки",S349,IF('Исходные данные'!$B$84="С прибыли",MAX(0,S349+T349-IF('Исходные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49">
        <f t="shared" si="182"/>
        <v>0</v>
      </c>
      <c r="W349">
        <f>IF(D349=1,Расчёты!AZ349+K349+N349+Q349+V349,0)</f>
        <v>0</v>
      </c>
      <c r="X349" t="str">
        <f t="shared" si="170"/>
        <v/>
      </c>
      <c r="Y349">
        <f>IF(OR(D349=0,'Исходные данные'!$B$9="",'Исходные данные'!$B$90=""),0,W349/(1+'Исходные данные'!$B$90)^((C349-'Исходные данные'!$B$9)/365))</f>
        <v>0</v>
      </c>
      <c r="Z349">
        <f>IF(D349=1,K349+Расчёты!O349+Расчёты!Q349+Расчёты!S349+Расчёты!U349+Расчёты!W349+Расчёты!X349+N349+Q349,0)</f>
        <v>0</v>
      </c>
      <c r="AA349">
        <f>IF(AND(D349=1,X349&gt;=0,X348&lt;0,MIN($X$2:X349)&lt;0),1,0)</f>
        <v>0</v>
      </c>
      <c r="AB349">
        <f>IF(Расчёты!F349=0,0,IF(Расчёты!G349=1,N('Сценарный анализ'!$C$5),IF(Расчёты!G349=2,N('Сценарный анализ'!$C$6),IF(Расчёты!G349=3,N('Сценарный анализ'!$C$7),N('Сценарный анализ'!$C$7)*(1+N('Сценарный анализ'!$C$8))^(Расчёты!G349-3)))))</f>
        <v>0</v>
      </c>
      <c r="AC349">
        <f>IF(OR(Расчёты!F349=0,N('Исходные данные'!$B$5)=0,AB349=0),0,N('Исходные данные'!$B$5)*AB349*IF(AND(B349&lt;='Исходные данные'!$B$30,Расчёты!C349&gt;='Исходные данные'!$B$30),(Расчёты!C349-'Исходные данные'!$B$30+1)/DAY(Расчёты!C349),1))</f>
        <v>0</v>
      </c>
      <c r="AD349">
        <f>IF(AND(Расчёты!F349&gt;0,Расчёты!F349&lt;=N('Исходные данные'!$B$37)),-AC349,0)</f>
        <v>0</v>
      </c>
      <c r="AE349">
        <f>IF(OR(Расчёты!F349=0,Расчёты!F349&lt;=N('Исходные данные'!$B$37)),0,-(AC349+AD349)*N('Сценарный анализ'!$C$9))</f>
        <v>0</v>
      </c>
      <c r="AF349">
        <f t="shared" si="183"/>
        <v>0</v>
      </c>
      <c r="AG349">
        <f>IF('Исходные данные'!$B$51="Да",AF349*N('Исходные данные'!$B$52),0)</f>
        <v>0</v>
      </c>
      <c r="AH349">
        <f t="shared" si="184"/>
        <v>0</v>
      </c>
      <c r="AI349">
        <f>AF349+(Расчёты!Y349-Расчёты!L349)</f>
        <v>0</v>
      </c>
      <c r="AJ349">
        <f t="shared" si="171"/>
        <v>0</v>
      </c>
      <c r="AK349">
        <f>IF('Исходные данные'!$B$51="Да",-MAX(0,AG349+Расчёты!R349+Расчёты!V349-Расчёты!P349-Расчёты!T349-AJ349),0)</f>
        <v>0</v>
      </c>
      <c r="AL349">
        <f>IF('Исходные данные'!$B$51="Да",MAX(0,AJ349+Расчёты!P349+Расчёты!T349-AG349-Расчёты!R349-Расчёты!V349),0)</f>
        <v>0</v>
      </c>
      <c r="AM349">
        <f>IF('Исходные данные'!$B$53="Выручка",MAX(0,AF349+(Расчёты!Q349-Расчёты!R349)+(Расчёты!U349-Расчёты!V349)),IF('Исходные данные'!$B$53="Прибыль до налога",MAX(0,AF349+(Расчёты!Q349-Расчёты!R349)+(Расчёты!U349-Расчёты!V349)+N('Исходные данные'!$B$54)*((Расчёты!O349+Расчёты!P349)+(Расчёты!S349+Расчёты!T349)+Расчёты!W349+Расчёты!X349)+IF('Исходные данные'!$B$55="Да",Расчёты!AG349,0)-N('Исходные данные'!$B$56)/12),IF('Исходные данные'!$B$53="Пользовательская база",MAX(0,N('Исходные данные'!$B$57)/12),0)))</f>
        <v>0</v>
      </c>
      <c r="AN349">
        <f>IF(D349=1,-AM349*N('Исходные данные'!$B$50),0)</f>
        <v>0</v>
      </c>
      <c r="AO349">
        <f t="shared" si="172"/>
        <v>0</v>
      </c>
      <c r="AP349">
        <f>IF(OR(D349&lt;&gt;1,B349="",'Исходные данные'!$B$91="",N('Исходные данные'!$B$80)&lt;=0,'Исходные данные'!$B$88=""),0,IF(AND(YEAR(B349)=YEAR('Исходные данные'!$B$91),MONTH(B349)=MONTH('Исходные данные'!$B$91)),MAX(0,IF('Исходные данные'!$B$88="Последние 12 месяцев",SUMIFS($AI$2:$AI$194,$B$2:$B$194,"&gt;="&amp;EDATE(B349,-11),$B$2:$B$194,"&lt;="&amp;B349),IF('Исходные данные'!$B$88="Пользовательский NOI",N('Исходные данные'!$B$89),AO349))/N('Исходные данные'!$B$80)*(1+N('Исходные данные'!$B$81))),0))</f>
        <v>0</v>
      </c>
      <c r="AQ349">
        <f>-AP349*N('Исходные данные'!$B$73)</f>
        <v>0</v>
      </c>
      <c r="AR349">
        <f>IF(AP349=0,0,-N('Исходные данные'!$B$87)-IF('Исходные данные'!$B$82="Да",IF('Исходные данные'!$B$84="С выручки",AP349,IF('Исходные данные'!$B$84="С прибыли",MAX(0,AP349+AQ349-IF('Исходные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49">
        <f t="shared" si="185"/>
        <v>0</v>
      </c>
      <c r="AT349">
        <f>IF(D349=1,Расчёты!AZ349+AH349+AK349+AN349+AS349,0)</f>
        <v>0</v>
      </c>
      <c r="AU349" t="str">
        <f t="shared" si="173"/>
        <v/>
      </c>
      <c r="AV349">
        <f>IF(OR(D349=0,'Исходные данные'!$B$9="",'Исходные данные'!$B$90=""),0,AT349/(1+'Исходные данные'!$B$90)^((C349-'Исходные данные'!$B$9)/365))</f>
        <v>0</v>
      </c>
      <c r="AW349">
        <f>IF(D349=1,AH349+Расчёты!O349+Расчёты!Q349+Расчёты!S349+Расчёты!U349+Расчёты!W349+Расчёты!X349+AK349+AN349,0)</f>
        <v>0</v>
      </c>
      <c r="AX349">
        <f>IF(AND(D349=1,AU349&gt;=0,AU348&lt;0,MIN($AU$2:AU349)&lt;0),1,0)</f>
        <v>0</v>
      </c>
      <c r="AY349">
        <f>IF(Расчёты!F349=0,0,IF(Расчёты!G349=1,N('Сценарный анализ'!$D$5),IF(Расчёты!G349=2,N('Сценарный анализ'!$D$6),IF(Расчёты!G349=3,N('Сценарный анализ'!$D$7),N('Сценарный анализ'!$D$7)*(1+N('Сценарный анализ'!$D$8))^(Расчёты!G349-3)))))</f>
        <v>0</v>
      </c>
      <c r="AZ349">
        <f>IF(OR(Расчёты!F349=0,N('Исходные данные'!$B$5)=0,AY349=0),0,N('Исходные данные'!$B$5)*AY349*IF(AND(B349&lt;='Исходные данные'!$B$30,Расчёты!C349&gt;='Исходные данные'!$B$30),(Расчёты!C349-'Исходные данные'!$B$30+1)/DAY(Расчёты!C349),1))</f>
        <v>0</v>
      </c>
      <c r="BA349">
        <f>IF(AND(Расчёты!F349&gt;0,Расчёты!F349&lt;=N('Исходные данные'!$B$37)),-AZ349,0)</f>
        <v>0</v>
      </c>
      <c r="BB349">
        <f>IF(OR(Расчёты!F349=0,Расчёты!F349&lt;=N('Исходные данные'!$B$37)),0,-(AZ349+BA349)*N('Сценарный анализ'!$D$9))</f>
        <v>0</v>
      </c>
      <c r="BC349">
        <f t="shared" si="186"/>
        <v>0</v>
      </c>
      <c r="BD349">
        <f>IF('Исходные данные'!$B$51="Да",BC349*N('Исходные данные'!$B$52),0)</f>
        <v>0</v>
      </c>
      <c r="BE349">
        <f t="shared" si="187"/>
        <v>0</v>
      </c>
      <c r="BF349">
        <f>BC349+(Расчёты!Y349-Расчёты!L349)</f>
        <v>0</v>
      </c>
      <c r="BG349">
        <f t="shared" si="174"/>
        <v>0</v>
      </c>
      <c r="BH349">
        <f>IF('Исходные данные'!$B$51="Да",-MAX(0,BD349+Расчёты!R349+Расчёты!V349-Расчёты!P349-Расчёты!T349-BG349),0)</f>
        <v>0</v>
      </c>
      <c r="BI349">
        <f>IF('Исходные данные'!$B$51="Да",MAX(0,BG349+Расчёты!P349+Расчёты!T349-BD349-Расчёты!R349-Расчёты!V349),0)</f>
        <v>0</v>
      </c>
      <c r="BJ349">
        <f>IF('Исходные данные'!$B$53="Выручка",MAX(0,BC349+(Расчёты!Q349-Расчёты!R349)+(Расчёты!U349-Расчёты!V349)),IF('Исходные данные'!$B$53="Прибыль до налога",MAX(0,BC349+(Расчёты!Q349-Расчёты!R349)+(Расчёты!U349-Расчёты!V349)+N('Исходные данные'!$B$54)*((Расчёты!O349+Расчёты!P349)+(Расчёты!S349+Расчёты!T349)+Расчёты!W349+Расчёты!X349)+IF('Исходные данные'!$B$55="Да",Расчёты!AG349,0)-N('Исходные данные'!$B$56)/12),IF('Исходные данные'!$B$53="Пользовательская база",MAX(0,N('Исходные данные'!$B$57)/12),0)))</f>
        <v>0</v>
      </c>
      <c r="BK349">
        <f>IF(D349=1,-BJ349*N('Исходные данные'!$B$50),0)</f>
        <v>0</v>
      </c>
      <c r="BL349">
        <f t="shared" si="175"/>
        <v>0</v>
      </c>
      <c r="BM349">
        <f>IF(OR(D349&lt;&gt;1,B349="",'Исходные данные'!$B$91="",N('Исходные данные'!$B$80)&lt;=0,'Исходные данные'!$B$88=""),0,IF(AND(YEAR(B349)=YEAR('Исходные данные'!$B$91),MONTH(B349)=MONTH('Исходные данные'!$B$91)),MAX(0,IF('Исходные данные'!$B$88="Последние 12 месяцев",SUMIFS($BF$2:$BF$194,$B$2:$B$194,"&gt;="&amp;EDATE(B349,-11),$B$2:$B$194,"&lt;="&amp;B349),IF('Исходные данные'!$B$88="Пользовательский NOI",N('Исходные данные'!$B$89),BL349))/N('Исходные данные'!$B$80)*(1+N('Исходные данные'!$B$81))),0))</f>
        <v>0</v>
      </c>
      <c r="BN349">
        <f>-BM349*N('Исходные данные'!$B$73)</f>
        <v>0</v>
      </c>
      <c r="BO349">
        <f>IF(BM349=0,0,-N('Исходные данные'!$B$87)-IF('Исходные данные'!$B$82="Да",IF('Исходные данные'!$B$84="С выручки",BM349,IF('Исходные данные'!$B$84="С прибыли",MAX(0,BM349+BN349-IF('Исходные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49">
        <f t="shared" si="188"/>
        <v>0</v>
      </c>
      <c r="BQ349">
        <f>IF(D349=1,Расчёты!AZ349+BE349+BH349+BK349+BP349,0)</f>
        <v>0</v>
      </c>
      <c r="BR349" t="str">
        <f t="shared" si="176"/>
        <v/>
      </c>
      <c r="BS349">
        <f>IF(OR(D349=0,'Исходные данные'!$B$9="",'Исходные данные'!$B$90=""),0,BQ349/(1+'Исходные данные'!$B$90)^((C349-'Исходные данные'!$B$9)/365))</f>
        <v>0</v>
      </c>
      <c r="BT349">
        <f>IF(D349=1,BE349+Расчёты!O349+Расчёты!Q349+Расчёты!S349+Расчёты!U349+Расчёты!W349+Расчёты!X349+BH349+BK349,0)</f>
        <v>0</v>
      </c>
      <c r="BU349">
        <f>IF(AND(D349=1,BR349&gt;=0,BR348&lt;0,MIN($BR$2:BR349)&lt;0),1,0)</f>
        <v>0</v>
      </c>
      <c r="BV349">
        <f>Расчёты!AZ349+K349+N349-P349*N('Исходные данные'!$B$50)</f>
        <v>0</v>
      </c>
      <c r="BW349">
        <f t="shared" si="177"/>
        <v>0</v>
      </c>
      <c r="BX349">
        <f>IF(AND(BW349&gt;=0,BW348&lt;0,MIN($BW$2:BW349)&lt;0),1,0)</f>
        <v>0</v>
      </c>
      <c r="BY349">
        <f>Расчёты!AZ349+AH349+AK349-AM349*N('Исходные данные'!$B$50)</f>
        <v>0</v>
      </c>
      <c r="BZ349">
        <f t="shared" si="178"/>
        <v>0</v>
      </c>
      <c r="CA349">
        <f>IF(AND(BZ349&gt;=0,BZ348&lt;0,MIN($BZ$2:BZ349)&lt;0),1,0)</f>
        <v>0</v>
      </c>
      <c r="CB349">
        <f>Расчёты!AZ349+BE349+BH349-BJ349*N('Исходные данные'!$B$50)</f>
        <v>0</v>
      </c>
      <c r="CC349">
        <f t="shared" si="179"/>
        <v>0</v>
      </c>
      <c r="CD349">
        <f>IF(AND(CC349&gt;=0,CC348&lt;0,MIN($CC$2:CC349)&lt;0),1,0)</f>
        <v>0</v>
      </c>
    </row>
    <row r="350" spans="1:82" x14ac:dyDescent="0.2">
      <c r="A350">
        <f>Расчёты!A350</f>
        <v>349</v>
      </c>
      <c r="B350" t="str">
        <f>Расчёты!B350</f>
        <v/>
      </c>
      <c r="C350" t="str">
        <f>Расчёты!D350</f>
        <v/>
      </c>
      <c r="D350">
        <f>Расчёты!E350</f>
        <v>0</v>
      </c>
      <c r="E350">
        <f>IF(Расчёты!F350=0,0,IF(Расчёты!G350=1,N('Сценарный анализ'!$B$5),IF(Расчёты!G350=2,N('Сценарный анализ'!$B$6),IF(Расчёты!G350=3,N('Сценарный анализ'!$B$7),N('Сценарный анализ'!$B$7)*(1+N('Сценарный анализ'!$B$8))^(Расчёты!G350-3)))))</f>
        <v>0</v>
      </c>
      <c r="F350">
        <f>IF(OR(Расчёты!F350=0,N('Исходные данные'!$B$5)=0,E350=0),0,N('Исходные данные'!$B$5)*E350*IF(AND(B350&lt;='Исходные данные'!$B$30,Расчёты!C350&gt;='Исходные данные'!$B$30),(Расчёты!C350-'Исходные данные'!$B$30+1)/DAY(Расчёты!C350),1))</f>
        <v>0</v>
      </c>
      <c r="G350">
        <f>IF(AND(Расчёты!F350&gt;0,Расчёты!F350&lt;=N('Исходные данные'!$B$37)),-F350,0)</f>
        <v>0</v>
      </c>
      <c r="H350">
        <f>IF(OR(Расчёты!F350=0,Расчёты!F350&lt;=N('Исходные данные'!$B$37)),0,-(F350+G350)*N('Сценарный анализ'!$B$9))</f>
        <v>0</v>
      </c>
      <c r="I350">
        <f t="shared" si="180"/>
        <v>0</v>
      </c>
      <c r="J350">
        <f>IF('Исходные данные'!$B$51="Да",I350*N('Исходные данные'!$B$52),0)</f>
        <v>0</v>
      </c>
      <c r="K350">
        <f t="shared" si="181"/>
        <v>0</v>
      </c>
      <c r="L350">
        <f>I350+(Расчёты!Y350-Расчёты!L350)</f>
        <v>0</v>
      </c>
      <c r="M350">
        <f t="shared" si="168"/>
        <v>0</v>
      </c>
      <c r="N350">
        <f>IF('Исходные данные'!$B$51="Да",-MAX(0,J350+Расчёты!R350+Расчёты!V350-Расчёты!P350-Расчёты!T350-M350),0)</f>
        <v>0</v>
      </c>
      <c r="O350">
        <f>IF('Исходные данные'!$B$51="Да",MAX(0,M350+Расчёты!P350+Расчёты!T350-J350-Расчёты!R350-Расчёты!V350),0)</f>
        <v>0</v>
      </c>
      <c r="P350">
        <f>IF('Исходные данные'!$B$53="Выручка",MAX(0,I350+(Расчёты!Q350-Расчёты!R350)+(Расчёты!U350-Расчёты!V350)),IF('Исходные данные'!$B$53="Прибыль до налога",MAX(0,I350+(Расчёты!Q350-Расчёты!R350)+(Расчёты!U350-Расчёты!V350)+N('Исходные данные'!$B$54)*((Расчёты!O350+Расчёты!P350)+(Расчёты!S350+Расчёты!T350)+Расчёты!W350+Расчёты!X350)+IF('Исходные данные'!$B$55="Да",Расчёты!AG350,0)-N('Исходные данные'!$B$56)/12),IF('Исходные данные'!$B$53="Пользовательская база",MAX(0,N('Исходные данные'!$B$57)/12),0)))</f>
        <v>0</v>
      </c>
      <c r="Q350">
        <f>IF(D350=1,-P350*N('Исходные данные'!$B$50),0)</f>
        <v>0</v>
      </c>
      <c r="R350">
        <f t="shared" si="169"/>
        <v>0</v>
      </c>
      <c r="S350">
        <f>IF(OR(D350&lt;&gt;1,B350="",'Исходные данные'!$B$91="",N('Исходные данные'!$B$80)&lt;=0,'Исходные данные'!$B$88=""),0,IF(AND(YEAR(B350)=YEAR('Исходные данные'!$B$91),MONTH(B350)=MONTH('Исходные данные'!$B$91)),MAX(0,IF('Исходные данные'!$B$88="Последние 12 месяцев",SUMIFS($L$2:$L$194,$B$2:$B$194,"&gt;="&amp;EDATE(B350,-11),$B$2:$B$194,"&lt;="&amp;B350),IF('Исходные данные'!$B$88="Пользовательский NOI",N('Исходные данные'!$B$89),R350))/N('Исходные данные'!$B$80)*(1+N('Исходные данные'!$B$81))),0))</f>
        <v>0</v>
      </c>
      <c r="T350">
        <f>-S350*N('Исходные данные'!$B$73)</f>
        <v>0</v>
      </c>
      <c r="U350">
        <f>IF(S350=0,0,-N('Исходные данные'!$B$87)-IF('Исходные данные'!$B$82="Да",IF('Исходные данные'!$B$84="С выручки",S350,IF('Исходные данные'!$B$84="С прибыли",MAX(0,S350+T350-IF('Исходные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50">
        <f t="shared" si="182"/>
        <v>0</v>
      </c>
      <c r="W350">
        <f>IF(D350=1,Расчёты!AZ350+K350+N350+Q350+V350,0)</f>
        <v>0</v>
      </c>
      <c r="X350" t="str">
        <f t="shared" si="170"/>
        <v/>
      </c>
      <c r="Y350">
        <f>IF(OR(D350=0,'Исходные данные'!$B$9="",'Исходные данные'!$B$90=""),0,W350/(1+'Исходные данные'!$B$90)^((C350-'Исходные данные'!$B$9)/365))</f>
        <v>0</v>
      </c>
      <c r="Z350">
        <f>IF(D350=1,K350+Расчёты!O350+Расчёты!Q350+Расчёты!S350+Расчёты!U350+Расчёты!W350+Расчёты!X350+N350+Q350,0)</f>
        <v>0</v>
      </c>
      <c r="AA350">
        <f>IF(AND(D350=1,X350&gt;=0,X349&lt;0,MIN($X$2:X350)&lt;0),1,0)</f>
        <v>0</v>
      </c>
      <c r="AB350">
        <f>IF(Расчёты!F350=0,0,IF(Расчёты!G350=1,N('Сценарный анализ'!$C$5),IF(Расчёты!G350=2,N('Сценарный анализ'!$C$6),IF(Расчёты!G350=3,N('Сценарный анализ'!$C$7),N('Сценарный анализ'!$C$7)*(1+N('Сценарный анализ'!$C$8))^(Расчёты!G350-3)))))</f>
        <v>0</v>
      </c>
      <c r="AC350">
        <f>IF(OR(Расчёты!F350=0,N('Исходные данные'!$B$5)=0,AB350=0),0,N('Исходные данные'!$B$5)*AB350*IF(AND(B350&lt;='Исходные данные'!$B$30,Расчёты!C350&gt;='Исходные данные'!$B$30),(Расчёты!C350-'Исходные данные'!$B$30+1)/DAY(Расчёты!C350),1))</f>
        <v>0</v>
      </c>
      <c r="AD350">
        <f>IF(AND(Расчёты!F350&gt;0,Расчёты!F350&lt;=N('Исходные данные'!$B$37)),-AC350,0)</f>
        <v>0</v>
      </c>
      <c r="AE350">
        <f>IF(OR(Расчёты!F350=0,Расчёты!F350&lt;=N('Исходные данные'!$B$37)),0,-(AC350+AD350)*N('Сценарный анализ'!$C$9))</f>
        <v>0</v>
      </c>
      <c r="AF350">
        <f t="shared" si="183"/>
        <v>0</v>
      </c>
      <c r="AG350">
        <f>IF('Исходные данные'!$B$51="Да",AF350*N('Исходные данные'!$B$52),0)</f>
        <v>0</v>
      </c>
      <c r="AH350">
        <f t="shared" si="184"/>
        <v>0</v>
      </c>
      <c r="AI350">
        <f>AF350+(Расчёты!Y350-Расчёты!L350)</f>
        <v>0</v>
      </c>
      <c r="AJ350">
        <f t="shared" si="171"/>
        <v>0</v>
      </c>
      <c r="AK350">
        <f>IF('Исходные данные'!$B$51="Да",-MAX(0,AG350+Расчёты!R350+Расчёты!V350-Расчёты!P350-Расчёты!T350-AJ350),0)</f>
        <v>0</v>
      </c>
      <c r="AL350">
        <f>IF('Исходные данные'!$B$51="Да",MAX(0,AJ350+Расчёты!P350+Расчёты!T350-AG350-Расчёты!R350-Расчёты!V350),0)</f>
        <v>0</v>
      </c>
      <c r="AM350">
        <f>IF('Исходные данные'!$B$53="Выручка",MAX(0,AF350+(Расчёты!Q350-Расчёты!R350)+(Расчёты!U350-Расчёты!V350)),IF('Исходные данные'!$B$53="Прибыль до налога",MAX(0,AF350+(Расчёты!Q350-Расчёты!R350)+(Расчёты!U350-Расчёты!V350)+N('Исходные данные'!$B$54)*((Расчёты!O350+Расчёты!P350)+(Расчёты!S350+Расчёты!T350)+Расчёты!W350+Расчёты!X350)+IF('Исходные данные'!$B$55="Да",Расчёты!AG350,0)-N('Исходные данные'!$B$56)/12),IF('Исходные данные'!$B$53="Пользовательская база",MAX(0,N('Исходные данные'!$B$57)/12),0)))</f>
        <v>0</v>
      </c>
      <c r="AN350">
        <f>IF(D350=1,-AM350*N('Исходные данные'!$B$50),0)</f>
        <v>0</v>
      </c>
      <c r="AO350">
        <f t="shared" si="172"/>
        <v>0</v>
      </c>
      <c r="AP350">
        <f>IF(OR(D350&lt;&gt;1,B350="",'Исходные данные'!$B$91="",N('Исходные данные'!$B$80)&lt;=0,'Исходные данные'!$B$88=""),0,IF(AND(YEAR(B350)=YEAR('Исходные данные'!$B$91),MONTH(B350)=MONTH('Исходные данные'!$B$91)),MAX(0,IF('Исходные данные'!$B$88="Последние 12 месяцев",SUMIFS($AI$2:$AI$194,$B$2:$B$194,"&gt;="&amp;EDATE(B350,-11),$B$2:$B$194,"&lt;="&amp;B350),IF('Исходные данные'!$B$88="Пользовательский NOI",N('Исходные данные'!$B$89),AO350))/N('Исходные данные'!$B$80)*(1+N('Исходные данные'!$B$81))),0))</f>
        <v>0</v>
      </c>
      <c r="AQ350">
        <f>-AP350*N('Исходные данные'!$B$73)</f>
        <v>0</v>
      </c>
      <c r="AR350">
        <f>IF(AP350=0,0,-N('Исходные данные'!$B$87)-IF('Исходные данные'!$B$82="Да",IF('Исходные данные'!$B$84="С выручки",AP350,IF('Исходные данные'!$B$84="С прибыли",MAX(0,AP350+AQ350-IF('Исходные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50">
        <f t="shared" si="185"/>
        <v>0</v>
      </c>
      <c r="AT350">
        <f>IF(D350=1,Расчёты!AZ350+AH350+AK350+AN350+AS350,0)</f>
        <v>0</v>
      </c>
      <c r="AU350" t="str">
        <f t="shared" si="173"/>
        <v/>
      </c>
      <c r="AV350">
        <f>IF(OR(D350=0,'Исходные данные'!$B$9="",'Исходные данные'!$B$90=""),0,AT350/(1+'Исходные данные'!$B$90)^((C350-'Исходные данные'!$B$9)/365))</f>
        <v>0</v>
      </c>
      <c r="AW350">
        <f>IF(D350=1,AH350+Расчёты!O350+Расчёты!Q350+Расчёты!S350+Расчёты!U350+Расчёты!W350+Расчёты!X350+AK350+AN350,0)</f>
        <v>0</v>
      </c>
      <c r="AX350">
        <f>IF(AND(D350=1,AU350&gt;=0,AU349&lt;0,MIN($AU$2:AU350)&lt;0),1,0)</f>
        <v>0</v>
      </c>
      <c r="AY350">
        <f>IF(Расчёты!F350=0,0,IF(Расчёты!G350=1,N('Сценарный анализ'!$D$5),IF(Расчёты!G350=2,N('Сценарный анализ'!$D$6),IF(Расчёты!G350=3,N('Сценарный анализ'!$D$7),N('Сценарный анализ'!$D$7)*(1+N('Сценарный анализ'!$D$8))^(Расчёты!G350-3)))))</f>
        <v>0</v>
      </c>
      <c r="AZ350">
        <f>IF(OR(Расчёты!F350=0,N('Исходные данные'!$B$5)=0,AY350=0),0,N('Исходные данные'!$B$5)*AY350*IF(AND(B350&lt;='Исходные данные'!$B$30,Расчёты!C350&gt;='Исходные данные'!$B$30),(Расчёты!C350-'Исходные данные'!$B$30+1)/DAY(Расчёты!C350),1))</f>
        <v>0</v>
      </c>
      <c r="BA350">
        <f>IF(AND(Расчёты!F350&gt;0,Расчёты!F350&lt;=N('Исходные данные'!$B$37)),-AZ350,0)</f>
        <v>0</v>
      </c>
      <c r="BB350">
        <f>IF(OR(Расчёты!F350=0,Расчёты!F350&lt;=N('Исходные данные'!$B$37)),0,-(AZ350+BA350)*N('Сценарный анализ'!$D$9))</f>
        <v>0</v>
      </c>
      <c r="BC350">
        <f t="shared" si="186"/>
        <v>0</v>
      </c>
      <c r="BD350">
        <f>IF('Исходные данные'!$B$51="Да",BC350*N('Исходные данные'!$B$52),0)</f>
        <v>0</v>
      </c>
      <c r="BE350">
        <f t="shared" si="187"/>
        <v>0</v>
      </c>
      <c r="BF350">
        <f>BC350+(Расчёты!Y350-Расчёты!L350)</f>
        <v>0</v>
      </c>
      <c r="BG350">
        <f t="shared" si="174"/>
        <v>0</v>
      </c>
      <c r="BH350">
        <f>IF('Исходные данные'!$B$51="Да",-MAX(0,BD350+Расчёты!R350+Расчёты!V350-Расчёты!P350-Расчёты!T350-BG350),0)</f>
        <v>0</v>
      </c>
      <c r="BI350">
        <f>IF('Исходные данные'!$B$51="Да",MAX(0,BG350+Расчёты!P350+Расчёты!T350-BD350-Расчёты!R350-Расчёты!V350),0)</f>
        <v>0</v>
      </c>
      <c r="BJ350">
        <f>IF('Исходные данные'!$B$53="Выручка",MAX(0,BC350+(Расчёты!Q350-Расчёты!R350)+(Расчёты!U350-Расчёты!V350)),IF('Исходные данные'!$B$53="Прибыль до налога",MAX(0,BC350+(Расчёты!Q350-Расчёты!R350)+(Расчёты!U350-Расчёты!V350)+N('Исходные данные'!$B$54)*((Расчёты!O350+Расчёты!P350)+(Расчёты!S350+Расчёты!T350)+Расчёты!W350+Расчёты!X350)+IF('Исходные данные'!$B$55="Да",Расчёты!AG350,0)-N('Исходные данные'!$B$56)/12),IF('Исходные данные'!$B$53="Пользовательская база",MAX(0,N('Исходные данные'!$B$57)/12),0)))</f>
        <v>0</v>
      </c>
      <c r="BK350">
        <f>IF(D350=1,-BJ350*N('Исходные данные'!$B$50),0)</f>
        <v>0</v>
      </c>
      <c r="BL350">
        <f t="shared" si="175"/>
        <v>0</v>
      </c>
      <c r="BM350">
        <f>IF(OR(D350&lt;&gt;1,B350="",'Исходные данные'!$B$91="",N('Исходные данные'!$B$80)&lt;=0,'Исходные данные'!$B$88=""),0,IF(AND(YEAR(B350)=YEAR('Исходные данные'!$B$91),MONTH(B350)=MONTH('Исходные данные'!$B$91)),MAX(0,IF('Исходные данные'!$B$88="Последние 12 месяцев",SUMIFS($BF$2:$BF$194,$B$2:$B$194,"&gt;="&amp;EDATE(B350,-11),$B$2:$B$194,"&lt;="&amp;B350),IF('Исходные данные'!$B$88="Пользовательский NOI",N('Исходные данные'!$B$89),BL350))/N('Исходные данные'!$B$80)*(1+N('Исходные данные'!$B$81))),0))</f>
        <v>0</v>
      </c>
      <c r="BN350">
        <f>-BM350*N('Исходные данные'!$B$73)</f>
        <v>0</v>
      </c>
      <c r="BO350">
        <f>IF(BM350=0,0,-N('Исходные данные'!$B$87)-IF('Исходные данные'!$B$82="Да",IF('Исходные данные'!$B$84="С выручки",BM350,IF('Исходные данные'!$B$84="С прибыли",MAX(0,BM350+BN350-IF('Исходные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50">
        <f t="shared" si="188"/>
        <v>0</v>
      </c>
      <c r="BQ350">
        <f>IF(D350=1,Расчёты!AZ350+BE350+BH350+BK350+BP350,0)</f>
        <v>0</v>
      </c>
      <c r="BR350" t="str">
        <f t="shared" si="176"/>
        <v/>
      </c>
      <c r="BS350">
        <f>IF(OR(D350=0,'Исходные данные'!$B$9="",'Исходные данные'!$B$90=""),0,BQ350/(1+'Исходные данные'!$B$90)^((C350-'Исходные данные'!$B$9)/365))</f>
        <v>0</v>
      </c>
      <c r="BT350">
        <f>IF(D350=1,BE350+Расчёты!O350+Расчёты!Q350+Расчёты!S350+Расчёты!U350+Расчёты!W350+Расчёты!X350+BH350+BK350,0)</f>
        <v>0</v>
      </c>
      <c r="BU350">
        <f>IF(AND(D350=1,BR350&gt;=0,BR349&lt;0,MIN($BR$2:BR350)&lt;0),1,0)</f>
        <v>0</v>
      </c>
      <c r="BV350">
        <f>Расчёты!AZ350+K350+N350-P350*N('Исходные данные'!$B$50)</f>
        <v>0</v>
      </c>
      <c r="BW350">
        <f t="shared" si="177"/>
        <v>0</v>
      </c>
      <c r="BX350">
        <f>IF(AND(BW350&gt;=0,BW349&lt;0,MIN($BW$2:BW350)&lt;0),1,0)</f>
        <v>0</v>
      </c>
      <c r="BY350">
        <f>Расчёты!AZ350+AH350+AK350-AM350*N('Исходные данные'!$B$50)</f>
        <v>0</v>
      </c>
      <c r="BZ350">
        <f t="shared" si="178"/>
        <v>0</v>
      </c>
      <c r="CA350">
        <f>IF(AND(BZ350&gt;=0,BZ349&lt;0,MIN($BZ$2:BZ350)&lt;0),1,0)</f>
        <v>0</v>
      </c>
      <c r="CB350">
        <f>Расчёты!AZ350+BE350+BH350-BJ350*N('Исходные данные'!$B$50)</f>
        <v>0</v>
      </c>
      <c r="CC350">
        <f t="shared" si="179"/>
        <v>0</v>
      </c>
      <c r="CD350">
        <f>IF(AND(CC350&gt;=0,CC349&lt;0,MIN($CC$2:CC350)&lt;0),1,0)</f>
        <v>0</v>
      </c>
    </row>
    <row r="351" spans="1:82" x14ac:dyDescent="0.2">
      <c r="A351">
        <f>Расчёты!A351</f>
        <v>350</v>
      </c>
      <c r="B351" t="str">
        <f>Расчёты!B351</f>
        <v/>
      </c>
      <c r="C351" t="str">
        <f>Расчёты!D351</f>
        <v/>
      </c>
      <c r="D351">
        <f>Расчёты!E351</f>
        <v>0</v>
      </c>
      <c r="E351">
        <f>IF(Расчёты!F351=0,0,IF(Расчёты!G351=1,N('Сценарный анализ'!$B$5),IF(Расчёты!G351=2,N('Сценарный анализ'!$B$6),IF(Расчёты!G351=3,N('Сценарный анализ'!$B$7),N('Сценарный анализ'!$B$7)*(1+N('Сценарный анализ'!$B$8))^(Расчёты!G351-3)))))</f>
        <v>0</v>
      </c>
      <c r="F351">
        <f>IF(OR(Расчёты!F351=0,N('Исходные данные'!$B$5)=0,E351=0),0,N('Исходные данные'!$B$5)*E351*IF(AND(B351&lt;='Исходные данные'!$B$30,Расчёты!C351&gt;='Исходные данные'!$B$30),(Расчёты!C351-'Исходные данные'!$B$30+1)/DAY(Расчёты!C351),1))</f>
        <v>0</v>
      </c>
      <c r="G351">
        <f>IF(AND(Расчёты!F351&gt;0,Расчёты!F351&lt;=N('Исходные данные'!$B$37)),-F351,0)</f>
        <v>0</v>
      </c>
      <c r="H351">
        <f>IF(OR(Расчёты!F351=0,Расчёты!F351&lt;=N('Исходные данные'!$B$37)),0,-(F351+G351)*N('Сценарный анализ'!$B$9))</f>
        <v>0</v>
      </c>
      <c r="I351">
        <f t="shared" si="180"/>
        <v>0</v>
      </c>
      <c r="J351">
        <f>IF('Исходные данные'!$B$51="Да",I351*N('Исходные данные'!$B$52),0)</f>
        <v>0</v>
      </c>
      <c r="K351">
        <f t="shared" si="181"/>
        <v>0</v>
      </c>
      <c r="L351">
        <f>I351+(Расчёты!Y351-Расчёты!L351)</f>
        <v>0</v>
      </c>
      <c r="M351">
        <f t="shared" si="168"/>
        <v>0</v>
      </c>
      <c r="N351">
        <f>IF('Исходные данные'!$B$51="Да",-MAX(0,J351+Расчёты!R351+Расчёты!V351-Расчёты!P351-Расчёты!T351-M351),0)</f>
        <v>0</v>
      </c>
      <c r="O351">
        <f>IF('Исходные данные'!$B$51="Да",MAX(0,M351+Расчёты!P351+Расчёты!T351-J351-Расчёты!R351-Расчёты!V351),0)</f>
        <v>0</v>
      </c>
      <c r="P351">
        <f>IF('Исходные данные'!$B$53="Выручка",MAX(0,I351+(Расчёты!Q351-Расчёты!R351)+(Расчёты!U351-Расчёты!V351)),IF('Исходные данные'!$B$53="Прибыль до налога",MAX(0,I351+(Расчёты!Q351-Расчёты!R351)+(Расчёты!U351-Расчёты!V351)+N('Исходные данные'!$B$54)*((Расчёты!O351+Расчёты!P351)+(Расчёты!S351+Расчёты!T351)+Расчёты!W351+Расчёты!X351)+IF('Исходные данные'!$B$55="Да",Расчёты!AG351,0)-N('Исходные данные'!$B$56)/12),IF('Исходные данные'!$B$53="Пользовательская база",MAX(0,N('Исходные данные'!$B$57)/12),0)))</f>
        <v>0</v>
      </c>
      <c r="Q351">
        <f>IF(D351=1,-P351*N('Исходные данные'!$B$50),0)</f>
        <v>0</v>
      </c>
      <c r="R351">
        <f t="shared" si="169"/>
        <v>0</v>
      </c>
      <c r="S351">
        <f>IF(OR(D351&lt;&gt;1,B351="",'Исходные данные'!$B$91="",N('Исходные данные'!$B$80)&lt;=0,'Исходные данные'!$B$88=""),0,IF(AND(YEAR(B351)=YEAR('Исходные данные'!$B$91),MONTH(B351)=MONTH('Исходные данные'!$B$91)),MAX(0,IF('Исходные данные'!$B$88="Последние 12 месяцев",SUMIFS($L$2:$L$194,$B$2:$B$194,"&gt;="&amp;EDATE(B351,-11),$B$2:$B$194,"&lt;="&amp;B351),IF('Исходные данные'!$B$88="Пользовательский NOI",N('Исходные данные'!$B$89),R351))/N('Исходные данные'!$B$80)*(1+N('Исходные данные'!$B$81))),0))</f>
        <v>0</v>
      </c>
      <c r="T351">
        <f>-S351*N('Исходные данные'!$B$73)</f>
        <v>0</v>
      </c>
      <c r="U351">
        <f>IF(S351=0,0,-N('Исходные данные'!$B$87)-IF('Исходные данные'!$B$82="Да",IF('Исходные данные'!$B$84="С выручки",S351,IF('Исходные данные'!$B$84="С прибыли",MAX(0,S351+T351-IF('Исходные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51">
        <f t="shared" si="182"/>
        <v>0</v>
      </c>
      <c r="W351">
        <f>IF(D351=1,Расчёты!AZ351+K351+N351+Q351+V351,0)</f>
        <v>0</v>
      </c>
      <c r="X351" t="str">
        <f t="shared" si="170"/>
        <v/>
      </c>
      <c r="Y351">
        <f>IF(OR(D351=0,'Исходные данные'!$B$9="",'Исходные данные'!$B$90=""),0,W351/(1+'Исходные данные'!$B$90)^((C351-'Исходные данные'!$B$9)/365))</f>
        <v>0</v>
      </c>
      <c r="Z351">
        <f>IF(D351=1,K351+Расчёты!O351+Расчёты!Q351+Расчёты!S351+Расчёты!U351+Расчёты!W351+Расчёты!X351+N351+Q351,0)</f>
        <v>0</v>
      </c>
      <c r="AA351">
        <f>IF(AND(D351=1,X351&gt;=0,X350&lt;0,MIN($X$2:X351)&lt;0),1,0)</f>
        <v>0</v>
      </c>
      <c r="AB351">
        <f>IF(Расчёты!F351=0,0,IF(Расчёты!G351=1,N('Сценарный анализ'!$C$5),IF(Расчёты!G351=2,N('Сценарный анализ'!$C$6),IF(Расчёты!G351=3,N('Сценарный анализ'!$C$7),N('Сценарный анализ'!$C$7)*(1+N('Сценарный анализ'!$C$8))^(Расчёты!G351-3)))))</f>
        <v>0</v>
      </c>
      <c r="AC351">
        <f>IF(OR(Расчёты!F351=0,N('Исходные данные'!$B$5)=0,AB351=0),0,N('Исходные данные'!$B$5)*AB351*IF(AND(B351&lt;='Исходные данные'!$B$30,Расчёты!C351&gt;='Исходные данные'!$B$30),(Расчёты!C351-'Исходные данные'!$B$30+1)/DAY(Расчёты!C351),1))</f>
        <v>0</v>
      </c>
      <c r="AD351">
        <f>IF(AND(Расчёты!F351&gt;0,Расчёты!F351&lt;=N('Исходные данные'!$B$37)),-AC351,0)</f>
        <v>0</v>
      </c>
      <c r="AE351">
        <f>IF(OR(Расчёты!F351=0,Расчёты!F351&lt;=N('Исходные данные'!$B$37)),0,-(AC351+AD351)*N('Сценарный анализ'!$C$9))</f>
        <v>0</v>
      </c>
      <c r="AF351">
        <f t="shared" si="183"/>
        <v>0</v>
      </c>
      <c r="AG351">
        <f>IF('Исходные данные'!$B$51="Да",AF351*N('Исходные данные'!$B$52),0)</f>
        <v>0</v>
      </c>
      <c r="AH351">
        <f t="shared" si="184"/>
        <v>0</v>
      </c>
      <c r="AI351">
        <f>AF351+(Расчёты!Y351-Расчёты!L351)</f>
        <v>0</v>
      </c>
      <c r="AJ351">
        <f t="shared" si="171"/>
        <v>0</v>
      </c>
      <c r="AK351">
        <f>IF('Исходные данные'!$B$51="Да",-MAX(0,AG351+Расчёты!R351+Расчёты!V351-Расчёты!P351-Расчёты!T351-AJ351),0)</f>
        <v>0</v>
      </c>
      <c r="AL351">
        <f>IF('Исходные данные'!$B$51="Да",MAX(0,AJ351+Расчёты!P351+Расчёты!T351-AG351-Расчёты!R351-Расчёты!V351),0)</f>
        <v>0</v>
      </c>
      <c r="AM351">
        <f>IF('Исходные данные'!$B$53="Выручка",MAX(0,AF351+(Расчёты!Q351-Расчёты!R351)+(Расчёты!U351-Расчёты!V351)),IF('Исходные данные'!$B$53="Прибыль до налога",MAX(0,AF351+(Расчёты!Q351-Расчёты!R351)+(Расчёты!U351-Расчёты!V351)+N('Исходные данные'!$B$54)*((Расчёты!O351+Расчёты!P351)+(Расчёты!S351+Расчёты!T351)+Расчёты!W351+Расчёты!X351)+IF('Исходные данные'!$B$55="Да",Расчёты!AG351,0)-N('Исходные данные'!$B$56)/12),IF('Исходные данные'!$B$53="Пользовательская база",MAX(0,N('Исходные данные'!$B$57)/12),0)))</f>
        <v>0</v>
      </c>
      <c r="AN351">
        <f>IF(D351=1,-AM351*N('Исходные данные'!$B$50),0)</f>
        <v>0</v>
      </c>
      <c r="AO351">
        <f t="shared" si="172"/>
        <v>0</v>
      </c>
      <c r="AP351">
        <f>IF(OR(D351&lt;&gt;1,B351="",'Исходные данные'!$B$91="",N('Исходные данные'!$B$80)&lt;=0,'Исходные данные'!$B$88=""),0,IF(AND(YEAR(B351)=YEAR('Исходные данные'!$B$91),MONTH(B351)=MONTH('Исходные данные'!$B$91)),MAX(0,IF('Исходные данные'!$B$88="Последние 12 месяцев",SUMIFS($AI$2:$AI$194,$B$2:$B$194,"&gt;="&amp;EDATE(B351,-11),$B$2:$B$194,"&lt;="&amp;B351),IF('Исходные данные'!$B$88="Пользовательский NOI",N('Исходные данные'!$B$89),AO351))/N('Исходные данные'!$B$80)*(1+N('Исходные данные'!$B$81))),0))</f>
        <v>0</v>
      </c>
      <c r="AQ351">
        <f>-AP351*N('Исходные данные'!$B$73)</f>
        <v>0</v>
      </c>
      <c r="AR351">
        <f>IF(AP351=0,0,-N('Исходные данные'!$B$87)-IF('Исходные данные'!$B$82="Да",IF('Исходные данные'!$B$84="С выручки",AP351,IF('Исходные данные'!$B$84="С прибыли",MAX(0,AP351+AQ351-IF('Исходные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51">
        <f t="shared" si="185"/>
        <v>0</v>
      </c>
      <c r="AT351">
        <f>IF(D351=1,Расчёты!AZ351+AH351+AK351+AN351+AS351,0)</f>
        <v>0</v>
      </c>
      <c r="AU351" t="str">
        <f t="shared" si="173"/>
        <v/>
      </c>
      <c r="AV351">
        <f>IF(OR(D351=0,'Исходные данные'!$B$9="",'Исходные данные'!$B$90=""),0,AT351/(1+'Исходные данные'!$B$90)^((C351-'Исходные данные'!$B$9)/365))</f>
        <v>0</v>
      </c>
      <c r="AW351">
        <f>IF(D351=1,AH351+Расчёты!O351+Расчёты!Q351+Расчёты!S351+Расчёты!U351+Расчёты!W351+Расчёты!X351+AK351+AN351,0)</f>
        <v>0</v>
      </c>
      <c r="AX351">
        <f>IF(AND(D351=1,AU351&gt;=0,AU350&lt;0,MIN($AU$2:AU351)&lt;0),1,0)</f>
        <v>0</v>
      </c>
      <c r="AY351">
        <f>IF(Расчёты!F351=0,0,IF(Расчёты!G351=1,N('Сценарный анализ'!$D$5),IF(Расчёты!G351=2,N('Сценарный анализ'!$D$6),IF(Расчёты!G351=3,N('Сценарный анализ'!$D$7),N('Сценарный анализ'!$D$7)*(1+N('Сценарный анализ'!$D$8))^(Расчёты!G351-3)))))</f>
        <v>0</v>
      </c>
      <c r="AZ351">
        <f>IF(OR(Расчёты!F351=0,N('Исходные данные'!$B$5)=0,AY351=0),0,N('Исходные данные'!$B$5)*AY351*IF(AND(B351&lt;='Исходные данные'!$B$30,Расчёты!C351&gt;='Исходные данные'!$B$30),(Расчёты!C351-'Исходные данные'!$B$30+1)/DAY(Расчёты!C351),1))</f>
        <v>0</v>
      </c>
      <c r="BA351">
        <f>IF(AND(Расчёты!F351&gt;0,Расчёты!F351&lt;=N('Исходные данные'!$B$37)),-AZ351,0)</f>
        <v>0</v>
      </c>
      <c r="BB351">
        <f>IF(OR(Расчёты!F351=0,Расчёты!F351&lt;=N('Исходные данные'!$B$37)),0,-(AZ351+BA351)*N('Сценарный анализ'!$D$9))</f>
        <v>0</v>
      </c>
      <c r="BC351">
        <f t="shared" si="186"/>
        <v>0</v>
      </c>
      <c r="BD351">
        <f>IF('Исходные данные'!$B$51="Да",BC351*N('Исходные данные'!$B$52),0)</f>
        <v>0</v>
      </c>
      <c r="BE351">
        <f t="shared" si="187"/>
        <v>0</v>
      </c>
      <c r="BF351">
        <f>BC351+(Расчёты!Y351-Расчёты!L351)</f>
        <v>0</v>
      </c>
      <c r="BG351">
        <f t="shared" si="174"/>
        <v>0</v>
      </c>
      <c r="BH351">
        <f>IF('Исходные данные'!$B$51="Да",-MAX(0,BD351+Расчёты!R351+Расчёты!V351-Расчёты!P351-Расчёты!T351-BG351),0)</f>
        <v>0</v>
      </c>
      <c r="BI351">
        <f>IF('Исходные данные'!$B$51="Да",MAX(0,BG351+Расчёты!P351+Расчёты!T351-BD351-Расчёты!R351-Расчёты!V351),0)</f>
        <v>0</v>
      </c>
      <c r="BJ351">
        <f>IF('Исходные данные'!$B$53="Выручка",MAX(0,BC351+(Расчёты!Q351-Расчёты!R351)+(Расчёты!U351-Расчёты!V351)),IF('Исходные данные'!$B$53="Прибыль до налога",MAX(0,BC351+(Расчёты!Q351-Расчёты!R351)+(Расчёты!U351-Расчёты!V351)+N('Исходные данные'!$B$54)*((Расчёты!O351+Расчёты!P351)+(Расчёты!S351+Расчёты!T351)+Расчёты!W351+Расчёты!X351)+IF('Исходные данные'!$B$55="Да",Расчёты!AG351,0)-N('Исходные данные'!$B$56)/12),IF('Исходные данные'!$B$53="Пользовательская база",MAX(0,N('Исходные данные'!$B$57)/12),0)))</f>
        <v>0</v>
      </c>
      <c r="BK351">
        <f>IF(D351=1,-BJ351*N('Исходные данные'!$B$50),0)</f>
        <v>0</v>
      </c>
      <c r="BL351">
        <f t="shared" si="175"/>
        <v>0</v>
      </c>
      <c r="BM351">
        <f>IF(OR(D351&lt;&gt;1,B351="",'Исходные данные'!$B$91="",N('Исходные данные'!$B$80)&lt;=0,'Исходные данные'!$B$88=""),0,IF(AND(YEAR(B351)=YEAR('Исходные данные'!$B$91),MONTH(B351)=MONTH('Исходные данные'!$B$91)),MAX(0,IF('Исходные данные'!$B$88="Последние 12 месяцев",SUMIFS($BF$2:$BF$194,$B$2:$B$194,"&gt;="&amp;EDATE(B351,-11),$B$2:$B$194,"&lt;="&amp;B351),IF('Исходные данные'!$B$88="Пользовательский NOI",N('Исходные данные'!$B$89),BL351))/N('Исходные данные'!$B$80)*(1+N('Исходные данные'!$B$81))),0))</f>
        <v>0</v>
      </c>
      <c r="BN351">
        <f>-BM351*N('Исходные данные'!$B$73)</f>
        <v>0</v>
      </c>
      <c r="BO351">
        <f>IF(BM351=0,0,-N('Исходные данные'!$B$87)-IF('Исходные данные'!$B$82="Да",IF('Исходные данные'!$B$84="С выручки",BM351,IF('Исходные данные'!$B$84="С прибыли",MAX(0,BM351+BN351-IF('Исходные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51">
        <f t="shared" si="188"/>
        <v>0</v>
      </c>
      <c r="BQ351">
        <f>IF(D351=1,Расчёты!AZ351+BE351+BH351+BK351+BP351,0)</f>
        <v>0</v>
      </c>
      <c r="BR351" t="str">
        <f t="shared" si="176"/>
        <v/>
      </c>
      <c r="BS351">
        <f>IF(OR(D351=0,'Исходные данные'!$B$9="",'Исходные данные'!$B$90=""),0,BQ351/(1+'Исходные данные'!$B$90)^((C351-'Исходные данные'!$B$9)/365))</f>
        <v>0</v>
      </c>
      <c r="BT351">
        <f>IF(D351=1,BE351+Расчёты!O351+Расчёты!Q351+Расчёты!S351+Расчёты!U351+Расчёты!W351+Расчёты!X351+BH351+BK351,0)</f>
        <v>0</v>
      </c>
      <c r="BU351">
        <f>IF(AND(D351=1,BR351&gt;=0,BR350&lt;0,MIN($BR$2:BR351)&lt;0),1,0)</f>
        <v>0</v>
      </c>
      <c r="BV351">
        <f>Расчёты!AZ351+K351+N351-P351*N('Исходные данные'!$B$50)</f>
        <v>0</v>
      </c>
      <c r="BW351">
        <f t="shared" si="177"/>
        <v>0</v>
      </c>
      <c r="BX351">
        <f>IF(AND(BW351&gt;=0,BW350&lt;0,MIN($BW$2:BW351)&lt;0),1,0)</f>
        <v>0</v>
      </c>
      <c r="BY351">
        <f>Расчёты!AZ351+AH351+AK351-AM351*N('Исходные данные'!$B$50)</f>
        <v>0</v>
      </c>
      <c r="BZ351">
        <f t="shared" si="178"/>
        <v>0</v>
      </c>
      <c r="CA351">
        <f>IF(AND(BZ351&gt;=0,BZ350&lt;0,MIN($BZ$2:BZ351)&lt;0),1,0)</f>
        <v>0</v>
      </c>
      <c r="CB351">
        <f>Расчёты!AZ351+BE351+BH351-BJ351*N('Исходные данные'!$B$50)</f>
        <v>0</v>
      </c>
      <c r="CC351">
        <f t="shared" si="179"/>
        <v>0</v>
      </c>
      <c r="CD351">
        <f>IF(AND(CC351&gt;=0,CC350&lt;0,MIN($CC$2:CC351)&lt;0),1,0)</f>
        <v>0</v>
      </c>
    </row>
    <row r="352" spans="1:82" x14ac:dyDescent="0.2">
      <c r="A352">
        <f>Расчёты!A352</f>
        <v>351</v>
      </c>
      <c r="B352" t="str">
        <f>Расчёты!B352</f>
        <v/>
      </c>
      <c r="C352" t="str">
        <f>Расчёты!D352</f>
        <v/>
      </c>
      <c r="D352">
        <f>Расчёты!E352</f>
        <v>0</v>
      </c>
      <c r="E352">
        <f>IF(Расчёты!F352=0,0,IF(Расчёты!G352=1,N('Сценарный анализ'!$B$5),IF(Расчёты!G352=2,N('Сценарный анализ'!$B$6),IF(Расчёты!G352=3,N('Сценарный анализ'!$B$7),N('Сценарный анализ'!$B$7)*(1+N('Сценарный анализ'!$B$8))^(Расчёты!G352-3)))))</f>
        <v>0</v>
      </c>
      <c r="F352">
        <f>IF(OR(Расчёты!F352=0,N('Исходные данные'!$B$5)=0,E352=0),0,N('Исходные данные'!$B$5)*E352*IF(AND(B352&lt;='Исходные данные'!$B$30,Расчёты!C352&gt;='Исходные данные'!$B$30),(Расчёты!C352-'Исходные данные'!$B$30+1)/DAY(Расчёты!C352),1))</f>
        <v>0</v>
      </c>
      <c r="G352">
        <f>IF(AND(Расчёты!F352&gt;0,Расчёты!F352&lt;=N('Исходные данные'!$B$37)),-F352,0)</f>
        <v>0</v>
      </c>
      <c r="H352">
        <f>IF(OR(Расчёты!F352=0,Расчёты!F352&lt;=N('Исходные данные'!$B$37)),0,-(F352+G352)*N('Сценарный анализ'!$B$9))</f>
        <v>0</v>
      </c>
      <c r="I352">
        <f t="shared" si="180"/>
        <v>0</v>
      </c>
      <c r="J352">
        <f>IF('Исходные данные'!$B$51="Да",I352*N('Исходные данные'!$B$52),0)</f>
        <v>0</v>
      </c>
      <c r="K352">
        <f t="shared" si="181"/>
        <v>0</v>
      </c>
      <c r="L352">
        <f>I352+(Расчёты!Y352-Расчёты!L352)</f>
        <v>0</v>
      </c>
      <c r="M352">
        <f t="shared" si="168"/>
        <v>0</v>
      </c>
      <c r="N352">
        <f>IF('Исходные данные'!$B$51="Да",-MAX(0,J352+Расчёты!R352+Расчёты!V352-Расчёты!P352-Расчёты!T352-M352),0)</f>
        <v>0</v>
      </c>
      <c r="O352">
        <f>IF('Исходные данные'!$B$51="Да",MAX(0,M352+Расчёты!P352+Расчёты!T352-J352-Расчёты!R352-Расчёты!V352),0)</f>
        <v>0</v>
      </c>
      <c r="P352">
        <f>IF('Исходные данные'!$B$53="Выручка",MAX(0,I352+(Расчёты!Q352-Расчёты!R352)+(Расчёты!U352-Расчёты!V352)),IF('Исходные данные'!$B$53="Прибыль до налога",MAX(0,I352+(Расчёты!Q352-Расчёты!R352)+(Расчёты!U352-Расчёты!V352)+N('Исходные данные'!$B$54)*((Расчёты!O352+Расчёты!P352)+(Расчёты!S352+Расчёты!T352)+Расчёты!W352+Расчёты!X352)+IF('Исходные данные'!$B$55="Да",Расчёты!AG352,0)-N('Исходные данные'!$B$56)/12),IF('Исходные данные'!$B$53="Пользовательская база",MAX(0,N('Исходные данные'!$B$57)/12),0)))</f>
        <v>0</v>
      </c>
      <c r="Q352">
        <f>IF(D352=1,-P352*N('Исходные данные'!$B$50),0)</f>
        <v>0</v>
      </c>
      <c r="R352">
        <f t="shared" si="169"/>
        <v>0</v>
      </c>
      <c r="S352">
        <f>IF(OR(D352&lt;&gt;1,B352="",'Исходные данные'!$B$91="",N('Исходные данные'!$B$80)&lt;=0,'Исходные данные'!$B$88=""),0,IF(AND(YEAR(B352)=YEAR('Исходные данные'!$B$91),MONTH(B352)=MONTH('Исходные данные'!$B$91)),MAX(0,IF('Исходные данные'!$B$88="Последние 12 месяцев",SUMIFS($L$2:$L$194,$B$2:$B$194,"&gt;="&amp;EDATE(B352,-11),$B$2:$B$194,"&lt;="&amp;B352),IF('Исходные данные'!$B$88="Пользовательский NOI",N('Исходные данные'!$B$89),R352))/N('Исходные данные'!$B$80)*(1+N('Исходные данные'!$B$81))),0))</f>
        <v>0</v>
      </c>
      <c r="T352">
        <f>-S352*N('Исходные данные'!$B$73)</f>
        <v>0</v>
      </c>
      <c r="U352">
        <f>IF(S352=0,0,-N('Исходные данные'!$B$87)-IF('Исходные данные'!$B$82="Да",IF('Исходные данные'!$B$84="С выручки",S352,IF('Исходные данные'!$B$84="С прибыли",MAX(0,S352+T352-IF('Исходные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52">
        <f t="shared" si="182"/>
        <v>0</v>
      </c>
      <c r="W352">
        <f>IF(D352=1,Расчёты!AZ352+K352+N352+Q352+V352,0)</f>
        <v>0</v>
      </c>
      <c r="X352" t="str">
        <f t="shared" si="170"/>
        <v/>
      </c>
      <c r="Y352">
        <f>IF(OR(D352=0,'Исходные данные'!$B$9="",'Исходные данные'!$B$90=""),0,W352/(1+'Исходные данные'!$B$90)^((C352-'Исходные данные'!$B$9)/365))</f>
        <v>0</v>
      </c>
      <c r="Z352">
        <f>IF(D352=1,K352+Расчёты!O352+Расчёты!Q352+Расчёты!S352+Расчёты!U352+Расчёты!W352+Расчёты!X352+N352+Q352,0)</f>
        <v>0</v>
      </c>
      <c r="AA352">
        <f>IF(AND(D352=1,X352&gt;=0,X351&lt;0,MIN($X$2:X352)&lt;0),1,0)</f>
        <v>0</v>
      </c>
      <c r="AB352">
        <f>IF(Расчёты!F352=0,0,IF(Расчёты!G352=1,N('Сценарный анализ'!$C$5),IF(Расчёты!G352=2,N('Сценарный анализ'!$C$6),IF(Расчёты!G352=3,N('Сценарный анализ'!$C$7),N('Сценарный анализ'!$C$7)*(1+N('Сценарный анализ'!$C$8))^(Расчёты!G352-3)))))</f>
        <v>0</v>
      </c>
      <c r="AC352">
        <f>IF(OR(Расчёты!F352=0,N('Исходные данные'!$B$5)=0,AB352=0),0,N('Исходные данные'!$B$5)*AB352*IF(AND(B352&lt;='Исходные данные'!$B$30,Расчёты!C352&gt;='Исходные данные'!$B$30),(Расчёты!C352-'Исходные данные'!$B$30+1)/DAY(Расчёты!C352),1))</f>
        <v>0</v>
      </c>
      <c r="AD352">
        <f>IF(AND(Расчёты!F352&gt;0,Расчёты!F352&lt;=N('Исходные данные'!$B$37)),-AC352,0)</f>
        <v>0</v>
      </c>
      <c r="AE352">
        <f>IF(OR(Расчёты!F352=0,Расчёты!F352&lt;=N('Исходные данные'!$B$37)),0,-(AC352+AD352)*N('Сценарный анализ'!$C$9))</f>
        <v>0</v>
      </c>
      <c r="AF352">
        <f t="shared" si="183"/>
        <v>0</v>
      </c>
      <c r="AG352">
        <f>IF('Исходные данные'!$B$51="Да",AF352*N('Исходные данные'!$B$52),0)</f>
        <v>0</v>
      </c>
      <c r="AH352">
        <f t="shared" si="184"/>
        <v>0</v>
      </c>
      <c r="AI352">
        <f>AF352+(Расчёты!Y352-Расчёты!L352)</f>
        <v>0</v>
      </c>
      <c r="AJ352">
        <f t="shared" si="171"/>
        <v>0</v>
      </c>
      <c r="AK352">
        <f>IF('Исходные данные'!$B$51="Да",-MAX(0,AG352+Расчёты!R352+Расчёты!V352-Расчёты!P352-Расчёты!T352-AJ352),0)</f>
        <v>0</v>
      </c>
      <c r="AL352">
        <f>IF('Исходные данные'!$B$51="Да",MAX(0,AJ352+Расчёты!P352+Расчёты!T352-AG352-Расчёты!R352-Расчёты!V352),0)</f>
        <v>0</v>
      </c>
      <c r="AM352">
        <f>IF('Исходные данные'!$B$53="Выручка",MAX(0,AF352+(Расчёты!Q352-Расчёты!R352)+(Расчёты!U352-Расчёты!V352)),IF('Исходные данные'!$B$53="Прибыль до налога",MAX(0,AF352+(Расчёты!Q352-Расчёты!R352)+(Расчёты!U352-Расчёты!V352)+N('Исходные данные'!$B$54)*((Расчёты!O352+Расчёты!P352)+(Расчёты!S352+Расчёты!T352)+Расчёты!W352+Расчёты!X352)+IF('Исходные данные'!$B$55="Да",Расчёты!AG352,0)-N('Исходные данные'!$B$56)/12),IF('Исходные данные'!$B$53="Пользовательская база",MAX(0,N('Исходные данные'!$B$57)/12),0)))</f>
        <v>0</v>
      </c>
      <c r="AN352">
        <f>IF(D352=1,-AM352*N('Исходные данные'!$B$50),0)</f>
        <v>0</v>
      </c>
      <c r="AO352">
        <f t="shared" si="172"/>
        <v>0</v>
      </c>
      <c r="AP352">
        <f>IF(OR(D352&lt;&gt;1,B352="",'Исходные данные'!$B$91="",N('Исходные данные'!$B$80)&lt;=0,'Исходные данные'!$B$88=""),0,IF(AND(YEAR(B352)=YEAR('Исходные данные'!$B$91),MONTH(B352)=MONTH('Исходные данные'!$B$91)),MAX(0,IF('Исходные данные'!$B$88="Последние 12 месяцев",SUMIFS($AI$2:$AI$194,$B$2:$B$194,"&gt;="&amp;EDATE(B352,-11),$B$2:$B$194,"&lt;="&amp;B352),IF('Исходные данные'!$B$88="Пользовательский NOI",N('Исходные данные'!$B$89),AO352))/N('Исходные данные'!$B$80)*(1+N('Исходные данные'!$B$81))),0))</f>
        <v>0</v>
      </c>
      <c r="AQ352">
        <f>-AP352*N('Исходные данные'!$B$73)</f>
        <v>0</v>
      </c>
      <c r="AR352">
        <f>IF(AP352=0,0,-N('Исходные данные'!$B$87)-IF('Исходные данные'!$B$82="Да",IF('Исходные данные'!$B$84="С выручки",AP352,IF('Исходные данные'!$B$84="С прибыли",MAX(0,AP352+AQ352-IF('Исходные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52">
        <f t="shared" si="185"/>
        <v>0</v>
      </c>
      <c r="AT352">
        <f>IF(D352=1,Расчёты!AZ352+AH352+AK352+AN352+AS352,0)</f>
        <v>0</v>
      </c>
      <c r="AU352" t="str">
        <f t="shared" si="173"/>
        <v/>
      </c>
      <c r="AV352">
        <f>IF(OR(D352=0,'Исходные данные'!$B$9="",'Исходные данные'!$B$90=""),0,AT352/(1+'Исходные данные'!$B$90)^((C352-'Исходные данные'!$B$9)/365))</f>
        <v>0</v>
      </c>
      <c r="AW352">
        <f>IF(D352=1,AH352+Расчёты!O352+Расчёты!Q352+Расчёты!S352+Расчёты!U352+Расчёты!W352+Расчёты!X352+AK352+AN352,0)</f>
        <v>0</v>
      </c>
      <c r="AX352">
        <f>IF(AND(D352=1,AU352&gt;=0,AU351&lt;0,MIN($AU$2:AU352)&lt;0),1,0)</f>
        <v>0</v>
      </c>
      <c r="AY352">
        <f>IF(Расчёты!F352=0,0,IF(Расчёты!G352=1,N('Сценарный анализ'!$D$5),IF(Расчёты!G352=2,N('Сценарный анализ'!$D$6),IF(Расчёты!G352=3,N('Сценарный анализ'!$D$7),N('Сценарный анализ'!$D$7)*(1+N('Сценарный анализ'!$D$8))^(Расчёты!G352-3)))))</f>
        <v>0</v>
      </c>
      <c r="AZ352">
        <f>IF(OR(Расчёты!F352=0,N('Исходные данные'!$B$5)=0,AY352=0),0,N('Исходные данные'!$B$5)*AY352*IF(AND(B352&lt;='Исходные данные'!$B$30,Расчёты!C352&gt;='Исходные данные'!$B$30),(Расчёты!C352-'Исходные данные'!$B$30+1)/DAY(Расчёты!C352),1))</f>
        <v>0</v>
      </c>
      <c r="BA352">
        <f>IF(AND(Расчёты!F352&gt;0,Расчёты!F352&lt;=N('Исходные данные'!$B$37)),-AZ352,0)</f>
        <v>0</v>
      </c>
      <c r="BB352">
        <f>IF(OR(Расчёты!F352=0,Расчёты!F352&lt;=N('Исходные данные'!$B$37)),0,-(AZ352+BA352)*N('Сценарный анализ'!$D$9))</f>
        <v>0</v>
      </c>
      <c r="BC352">
        <f t="shared" si="186"/>
        <v>0</v>
      </c>
      <c r="BD352">
        <f>IF('Исходные данные'!$B$51="Да",BC352*N('Исходные данные'!$B$52),0)</f>
        <v>0</v>
      </c>
      <c r="BE352">
        <f t="shared" si="187"/>
        <v>0</v>
      </c>
      <c r="BF352">
        <f>BC352+(Расчёты!Y352-Расчёты!L352)</f>
        <v>0</v>
      </c>
      <c r="BG352">
        <f t="shared" si="174"/>
        <v>0</v>
      </c>
      <c r="BH352">
        <f>IF('Исходные данные'!$B$51="Да",-MAX(0,BD352+Расчёты!R352+Расчёты!V352-Расчёты!P352-Расчёты!T352-BG352),0)</f>
        <v>0</v>
      </c>
      <c r="BI352">
        <f>IF('Исходные данные'!$B$51="Да",MAX(0,BG352+Расчёты!P352+Расчёты!T352-BD352-Расчёты!R352-Расчёты!V352),0)</f>
        <v>0</v>
      </c>
      <c r="BJ352">
        <f>IF('Исходные данные'!$B$53="Выручка",MAX(0,BC352+(Расчёты!Q352-Расчёты!R352)+(Расчёты!U352-Расчёты!V352)),IF('Исходные данные'!$B$53="Прибыль до налога",MAX(0,BC352+(Расчёты!Q352-Расчёты!R352)+(Расчёты!U352-Расчёты!V352)+N('Исходные данные'!$B$54)*((Расчёты!O352+Расчёты!P352)+(Расчёты!S352+Расчёты!T352)+Расчёты!W352+Расчёты!X352)+IF('Исходные данные'!$B$55="Да",Расчёты!AG352,0)-N('Исходные данные'!$B$56)/12),IF('Исходные данные'!$B$53="Пользовательская база",MAX(0,N('Исходные данные'!$B$57)/12),0)))</f>
        <v>0</v>
      </c>
      <c r="BK352">
        <f>IF(D352=1,-BJ352*N('Исходные данные'!$B$50),0)</f>
        <v>0</v>
      </c>
      <c r="BL352">
        <f t="shared" si="175"/>
        <v>0</v>
      </c>
      <c r="BM352">
        <f>IF(OR(D352&lt;&gt;1,B352="",'Исходные данные'!$B$91="",N('Исходные данные'!$B$80)&lt;=0,'Исходные данные'!$B$88=""),0,IF(AND(YEAR(B352)=YEAR('Исходные данные'!$B$91),MONTH(B352)=MONTH('Исходные данные'!$B$91)),MAX(0,IF('Исходные данные'!$B$88="Последние 12 месяцев",SUMIFS($BF$2:$BF$194,$B$2:$B$194,"&gt;="&amp;EDATE(B352,-11),$B$2:$B$194,"&lt;="&amp;B352),IF('Исходные данные'!$B$88="Пользовательский NOI",N('Исходные данные'!$B$89),BL352))/N('Исходные данные'!$B$80)*(1+N('Исходные данные'!$B$81))),0))</f>
        <v>0</v>
      </c>
      <c r="BN352">
        <f>-BM352*N('Исходные данные'!$B$73)</f>
        <v>0</v>
      </c>
      <c r="BO352">
        <f>IF(BM352=0,0,-N('Исходные данные'!$B$87)-IF('Исходные данные'!$B$82="Да",IF('Исходные данные'!$B$84="С выручки",BM352,IF('Исходные данные'!$B$84="С прибыли",MAX(0,BM352+BN352-IF('Исходные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52">
        <f t="shared" si="188"/>
        <v>0</v>
      </c>
      <c r="BQ352">
        <f>IF(D352=1,Расчёты!AZ352+BE352+BH352+BK352+BP352,0)</f>
        <v>0</v>
      </c>
      <c r="BR352" t="str">
        <f t="shared" si="176"/>
        <v/>
      </c>
      <c r="BS352">
        <f>IF(OR(D352=0,'Исходные данные'!$B$9="",'Исходные данные'!$B$90=""),0,BQ352/(1+'Исходные данные'!$B$90)^((C352-'Исходные данные'!$B$9)/365))</f>
        <v>0</v>
      </c>
      <c r="BT352">
        <f>IF(D352=1,BE352+Расчёты!O352+Расчёты!Q352+Расчёты!S352+Расчёты!U352+Расчёты!W352+Расчёты!X352+BH352+BK352,0)</f>
        <v>0</v>
      </c>
      <c r="BU352">
        <f>IF(AND(D352=1,BR352&gt;=0,BR351&lt;0,MIN($BR$2:BR352)&lt;0),1,0)</f>
        <v>0</v>
      </c>
      <c r="BV352">
        <f>Расчёты!AZ352+K352+N352-P352*N('Исходные данные'!$B$50)</f>
        <v>0</v>
      </c>
      <c r="BW352">
        <f t="shared" si="177"/>
        <v>0</v>
      </c>
      <c r="BX352">
        <f>IF(AND(BW352&gt;=0,BW351&lt;0,MIN($BW$2:BW352)&lt;0),1,0)</f>
        <v>0</v>
      </c>
      <c r="BY352">
        <f>Расчёты!AZ352+AH352+AK352-AM352*N('Исходные данные'!$B$50)</f>
        <v>0</v>
      </c>
      <c r="BZ352">
        <f t="shared" si="178"/>
        <v>0</v>
      </c>
      <c r="CA352">
        <f>IF(AND(BZ352&gt;=0,BZ351&lt;0,MIN($BZ$2:BZ352)&lt;0),1,0)</f>
        <v>0</v>
      </c>
      <c r="CB352">
        <f>Расчёты!AZ352+BE352+BH352-BJ352*N('Исходные данные'!$B$50)</f>
        <v>0</v>
      </c>
      <c r="CC352">
        <f t="shared" si="179"/>
        <v>0</v>
      </c>
      <c r="CD352">
        <f>IF(AND(CC352&gt;=0,CC351&lt;0,MIN($CC$2:CC352)&lt;0),1,0)</f>
        <v>0</v>
      </c>
    </row>
    <row r="353" spans="1:82" x14ac:dyDescent="0.2">
      <c r="A353">
        <f>Расчёты!A353</f>
        <v>352</v>
      </c>
      <c r="B353" t="str">
        <f>Расчёты!B353</f>
        <v/>
      </c>
      <c r="C353" t="str">
        <f>Расчёты!D353</f>
        <v/>
      </c>
      <c r="D353">
        <f>Расчёты!E353</f>
        <v>0</v>
      </c>
      <c r="E353">
        <f>IF(Расчёты!F353=0,0,IF(Расчёты!G353=1,N('Сценарный анализ'!$B$5),IF(Расчёты!G353=2,N('Сценарный анализ'!$B$6),IF(Расчёты!G353=3,N('Сценарный анализ'!$B$7),N('Сценарный анализ'!$B$7)*(1+N('Сценарный анализ'!$B$8))^(Расчёты!G353-3)))))</f>
        <v>0</v>
      </c>
      <c r="F353">
        <f>IF(OR(Расчёты!F353=0,N('Исходные данные'!$B$5)=0,E353=0),0,N('Исходные данные'!$B$5)*E353*IF(AND(B353&lt;='Исходные данные'!$B$30,Расчёты!C353&gt;='Исходные данные'!$B$30),(Расчёты!C353-'Исходные данные'!$B$30+1)/DAY(Расчёты!C353),1))</f>
        <v>0</v>
      </c>
      <c r="G353">
        <f>IF(AND(Расчёты!F353&gt;0,Расчёты!F353&lt;=N('Исходные данные'!$B$37)),-F353,0)</f>
        <v>0</v>
      </c>
      <c r="H353">
        <f>IF(OR(Расчёты!F353=0,Расчёты!F353&lt;=N('Исходные данные'!$B$37)),0,-(F353+G353)*N('Сценарный анализ'!$B$9))</f>
        <v>0</v>
      </c>
      <c r="I353">
        <f t="shared" si="180"/>
        <v>0</v>
      </c>
      <c r="J353">
        <f>IF('Исходные данные'!$B$51="Да",I353*N('Исходные данные'!$B$52),0)</f>
        <v>0</v>
      </c>
      <c r="K353">
        <f t="shared" si="181"/>
        <v>0</v>
      </c>
      <c r="L353">
        <f>I353+(Расчёты!Y353-Расчёты!L353)</f>
        <v>0</v>
      </c>
      <c r="M353">
        <f t="shared" si="168"/>
        <v>0</v>
      </c>
      <c r="N353">
        <f>IF('Исходные данные'!$B$51="Да",-MAX(0,J353+Расчёты!R353+Расчёты!V353-Расчёты!P353-Расчёты!T353-M353),0)</f>
        <v>0</v>
      </c>
      <c r="O353">
        <f>IF('Исходные данные'!$B$51="Да",MAX(0,M353+Расчёты!P353+Расчёты!T353-J353-Расчёты!R353-Расчёты!V353),0)</f>
        <v>0</v>
      </c>
      <c r="P353">
        <f>IF('Исходные данные'!$B$53="Выручка",MAX(0,I353+(Расчёты!Q353-Расчёты!R353)+(Расчёты!U353-Расчёты!V353)),IF('Исходные данные'!$B$53="Прибыль до налога",MAX(0,I353+(Расчёты!Q353-Расчёты!R353)+(Расчёты!U353-Расчёты!V353)+N('Исходные данные'!$B$54)*((Расчёты!O353+Расчёты!P353)+(Расчёты!S353+Расчёты!T353)+Расчёты!W353+Расчёты!X353)+IF('Исходные данные'!$B$55="Да",Расчёты!AG353,0)-N('Исходные данные'!$B$56)/12),IF('Исходные данные'!$B$53="Пользовательская база",MAX(0,N('Исходные данные'!$B$57)/12),0)))</f>
        <v>0</v>
      </c>
      <c r="Q353">
        <f>IF(D353=1,-P353*N('Исходные данные'!$B$50),0)</f>
        <v>0</v>
      </c>
      <c r="R353">
        <f t="shared" si="169"/>
        <v>0</v>
      </c>
      <c r="S353">
        <f>IF(OR(D353&lt;&gt;1,B353="",'Исходные данные'!$B$91="",N('Исходные данные'!$B$80)&lt;=0,'Исходные данные'!$B$88=""),0,IF(AND(YEAR(B353)=YEAR('Исходные данные'!$B$91),MONTH(B353)=MONTH('Исходные данные'!$B$91)),MAX(0,IF('Исходные данные'!$B$88="Последние 12 месяцев",SUMIFS($L$2:$L$194,$B$2:$B$194,"&gt;="&amp;EDATE(B353,-11),$B$2:$B$194,"&lt;="&amp;B353),IF('Исходные данные'!$B$88="Пользовательский NOI",N('Исходные данные'!$B$89),R353))/N('Исходные данные'!$B$80)*(1+N('Исходные данные'!$B$81))),0))</f>
        <v>0</v>
      </c>
      <c r="T353">
        <f>-S353*N('Исходные данные'!$B$73)</f>
        <v>0</v>
      </c>
      <c r="U353">
        <f>IF(S353=0,0,-N('Исходные данные'!$B$87)-IF('Исходные данные'!$B$82="Да",IF('Исходные данные'!$B$84="С выручки",S353,IF('Исходные данные'!$B$84="С прибыли",MAX(0,S353+T353-IF('Исходные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53">
        <f t="shared" si="182"/>
        <v>0</v>
      </c>
      <c r="W353">
        <f>IF(D353=1,Расчёты!AZ353+K353+N353+Q353+V353,0)</f>
        <v>0</v>
      </c>
      <c r="X353" t="str">
        <f t="shared" si="170"/>
        <v/>
      </c>
      <c r="Y353">
        <f>IF(OR(D353=0,'Исходные данные'!$B$9="",'Исходные данные'!$B$90=""),0,W353/(1+'Исходные данные'!$B$90)^((C353-'Исходные данные'!$B$9)/365))</f>
        <v>0</v>
      </c>
      <c r="Z353">
        <f>IF(D353=1,K353+Расчёты!O353+Расчёты!Q353+Расчёты!S353+Расчёты!U353+Расчёты!W353+Расчёты!X353+N353+Q353,0)</f>
        <v>0</v>
      </c>
      <c r="AA353">
        <f>IF(AND(D353=1,X353&gt;=0,X352&lt;0,MIN($X$2:X353)&lt;0),1,0)</f>
        <v>0</v>
      </c>
      <c r="AB353">
        <f>IF(Расчёты!F353=0,0,IF(Расчёты!G353=1,N('Сценарный анализ'!$C$5),IF(Расчёты!G353=2,N('Сценарный анализ'!$C$6),IF(Расчёты!G353=3,N('Сценарный анализ'!$C$7),N('Сценарный анализ'!$C$7)*(1+N('Сценарный анализ'!$C$8))^(Расчёты!G353-3)))))</f>
        <v>0</v>
      </c>
      <c r="AC353">
        <f>IF(OR(Расчёты!F353=0,N('Исходные данные'!$B$5)=0,AB353=0),0,N('Исходные данные'!$B$5)*AB353*IF(AND(B353&lt;='Исходные данные'!$B$30,Расчёты!C353&gt;='Исходные данные'!$B$30),(Расчёты!C353-'Исходные данные'!$B$30+1)/DAY(Расчёты!C353),1))</f>
        <v>0</v>
      </c>
      <c r="AD353">
        <f>IF(AND(Расчёты!F353&gt;0,Расчёты!F353&lt;=N('Исходные данные'!$B$37)),-AC353,0)</f>
        <v>0</v>
      </c>
      <c r="AE353">
        <f>IF(OR(Расчёты!F353=0,Расчёты!F353&lt;=N('Исходные данные'!$B$37)),0,-(AC353+AD353)*N('Сценарный анализ'!$C$9))</f>
        <v>0</v>
      </c>
      <c r="AF353">
        <f t="shared" si="183"/>
        <v>0</v>
      </c>
      <c r="AG353">
        <f>IF('Исходные данные'!$B$51="Да",AF353*N('Исходные данные'!$B$52),0)</f>
        <v>0</v>
      </c>
      <c r="AH353">
        <f t="shared" si="184"/>
        <v>0</v>
      </c>
      <c r="AI353">
        <f>AF353+(Расчёты!Y353-Расчёты!L353)</f>
        <v>0</v>
      </c>
      <c r="AJ353">
        <f t="shared" si="171"/>
        <v>0</v>
      </c>
      <c r="AK353">
        <f>IF('Исходные данные'!$B$51="Да",-MAX(0,AG353+Расчёты!R353+Расчёты!V353-Расчёты!P353-Расчёты!T353-AJ353),0)</f>
        <v>0</v>
      </c>
      <c r="AL353">
        <f>IF('Исходные данные'!$B$51="Да",MAX(0,AJ353+Расчёты!P353+Расчёты!T353-AG353-Расчёты!R353-Расчёты!V353),0)</f>
        <v>0</v>
      </c>
      <c r="AM353">
        <f>IF('Исходные данные'!$B$53="Выручка",MAX(0,AF353+(Расчёты!Q353-Расчёты!R353)+(Расчёты!U353-Расчёты!V353)),IF('Исходные данные'!$B$53="Прибыль до налога",MAX(0,AF353+(Расчёты!Q353-Расчёты!R353)+(Расчёты!U353-Расчёты!V353)+N('Исходные данные'!$B$54)*((Расчёты!O353+Расчёты!P353)+(Расчёты!S353+Расчёты!T353)+Расчёты!W353+Расчёты!X353)+IF('Исходные данные'!$B$55="Да",Расчёты!AG353,0)-N('Исходные данные'!$B$56)/12),IF('Исходные данные'!$B$53="Пользовательская база",MAX(0,N('Исходные данные'!$B$57)/12),0)))</f>
        <v>0</v>
      </c>
      <c r="AN353">
        <f>IF(D353=1,-AM353*N('Исходные данные'!$B$50),0)</f>
        <v>0</v>
      </c>
      <c r="AO353">
        <f t="shared" si="172"/>
        <v>0</v>
      </c>
      <c r="AP353">
        <f>IF(OR(D353&lt;&gt;1,B353="",'Исходные данные'!$B$91="",N('Исходные данные'!$B$80)&lt;=0,'Исходные данные'!$B$88=""),0,IF(AND(YEAR(B353)=YEAR('Исходные данные'!$B$91),MONTH(B353)=MONTH('Исходные данные'!$B$91)),MAX(0,IF('Исходные данные'!$B$88="Последние 12 месяцев",SUMIFS($AI$2:$AI$194,$B$2:$B$194,"&gt;="&amp;EDATE(B353,-11),$B$2:$B$194,"&lt;="&amp;B353),IF('Исходные данные'!$B$88="Пользовательский NOI",N('Исходные данные'!$B$89),AO353))/N('Исходные данные'!$B$80)*(1+N('Исходные данные'!$B$81))),0))</f>
        <v>0</v>
      </c>
      <c r="AQ353">
        <f>-AP353*N('Исходные данные'!$B$73)</f>
        <v>0</v>
      </c>
      <c r="AR353">
        <f>IF(AP353=0,0,-N('Исходные данные'!$B$87)-IF('Исходные данные'!$B$82="Да",IF('Исходные данные'!$B$84="С выручки",AP353,IF('Исходные данные'!$B$84="С прибыли",MAX(0,AP353+AQ353-IF('Исходные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53">
        <f t="shared" si="185"/>
        <v>0</v>
      </c>
      <c r="AT353">
        <f>IF(D353=1,Расчёты!AZ353+AH353+AK353+AN353+AS353,0)</f>
        <v>0</v>
      </c>
      <c r="AU353" t="str">
        <f t="shared" si="173"/>
        <v/>
      </c>
      <c r="AV353">
        <f>IF(OR(D353=0,'Исходные данные'!$B$9="",'Исходные данные'!$B$90=""),0,AT353/(1+'Исходные данные'!$B$90)^((C353-'Исходные данные'!$B$9)/365))</f>
        <v>0</v>
      </c>
      <c r="AW353">
        <f>IF(D353=1,AH353+Расчёты!O353+Расчёты!Q353+Расчёты!S353+Расчёты!U353+Расчёты!W353+Расчёты!X353+AK353+AN353,0)</f>
        <v>0</v>
      </c>
      <c r="AX353">
        <f>IF(AND(D353=1,AU353&gt;=0,AU352&lt;0,MIN($AU$2:AU353)&lt;0),1,0)</f>
        <v>0</v>
      </c>
      <c r="AY353">
        <f>IF(Расчёты!F353=0,0,IF(Расчёты!G353=1,N('Сценарный анализ'!$D$5),IF(Расчёты!G353=2,N('Сценарный анализ'!$D$6),IF(Расчёты!G353=3,N('Сценарный анализ'!$D$7),N('Сценарный анализ'!$D$7)*(1+N('Сценарный анализ'!$D$8))^(Расчёты!G353-3)))))</f>
        <v>0</v>
      </c>
      <c r="AZ353">
        <f>IF(OR(Расчёты!F353=0,N('Исходные данные'!$B$5)=0,AY353=0),0,N('Исходные данные'!$B$5)*AY353*IF(AND(B353&lt;='Исходные данные'!$B$30,Расчёты!C353&gt;='Исходные данные'!$B$30),(Расчёты!C353-'Исходные данные'!$B$30+1)/DAY(Расчёты!C353),1))</f>
        <v>0</v>
      </c>
      <c r="BA353">
        <f>IF(AND(Расчёты!F353&gt;0,Расчёты!F353&lt;=N('Исходные данные'!$B$37)),-AZ353,0)</f>
        <v>0</v>
      </c>
      <c r="BB353">
        <f>IF(OR(Расчёты!F353=0,Расчёты!F353&lt;=N('Исходные данные'!$B$37)),0,-(AZ353+BA353)*N('Сценарный анализ'!$D$9))</f>
        <v>0</v>
      </c>
      <c r="BC353">
        <f t="shared" si="186"/>
        <v>0</v>
      </c>
      <c r="BD353">
        <f>IF('Исходные данные'!$B$51="Да",BC353*N('Исходные данные'!$B$52),0)</f>
        <v>0</v>
      </c>
      <c r="BE353">
        <f t="shared" si="187"/>
        <v>0</v>
      </c>
      <c r="BF353">
        <f>BC353+(Расчёты!Y353-Расчёты!L353)</f>
        <v>0</v>
      </c>
      <c r="BG353">
        <f t="shared" si="174"/>
        <v>0</v>
      </c>
      <c r="BH353">
        <f>IF('Исходные данные'!$B$51="Да",-MAX(0,BD353+Расчёты!R353+Расчёты!V353-Расчёты!P353-Расчёты!T353-BG353),0)</f>
        <v>0</v>
      </c>
      <c r="BI353">
        <f>IF('Исходные данные'!$B$51="Да",MAX(0,BG353+Расчёты!P353+Расчёты!T353-BD353-Расчёты!R353-Расчёты!V353),0)</f>
        <v>0</v>
      </c>
      <c r="BJ353">
        <f>IF('Исходные данные'!$B$53="Выручка",MAX(0,BC353+(Расчёты!Q353-Расчёты!R353)+(Расчёты!U353-Расчёты!V353)),IF('Исходные данные'!$B$53="Прибыль до налога",MAX(0,BC353+(Расчёты!Q353-Расчёты!R353)+(Расчёты!U353-Расчёты!V353)+N('Исходные данные'!$B$54)*((Расчёты!O353+Расчёты!P353)+(Расчёты!S353+Расчёты!T353)+Расчёты!W353+Расчёты!X353)+IF('Исходные данные'!$B$55="Да",Расчёты!AG353,0)-N('Исходные данные'!$B$56)/12),IF('Исходные данные'!$B$53="Пользовательская база",MAX(0,N('Исходные данные'!$B$57)/12),0)))</f>
        <v>0</v>
      </c>
      <c r="BK353">
        <f>IF(D353=1,-BJ353*N('Исходные данные'!$B$50),0)</f>
        <v>0</v>
      </c>
      <c r="BL353">
        <f t="shared" si="175"/>
        <v>0</v>
      </c>
      <c r="BM353">
        <f>IF(OR(D353&lt;&gt;1,B353="",'Исходные данные'!$B$91="",N('Исходные данные'!$B$80)&lt;=0,'Исходные данные'!$B$88=""),0,IF(AND(YEAR(B353)=YEAR('Исходные данные'!$B$91),MONTH(B353)=MONTH('Исходные данные'!$B$91)),MAX(0,IF('Исходные данные'!$B$88="Последние 12 месяцев",SUMIFS($BF$2:$BF$194,$B$2:$B$194,"&gt;="&amp;EDATE(B353,-11),$B$2:$B$194,"&lt;="&amp;B353),IF('Исходные данные'!$B$88="Пользовательский NOI",N('Исходные данные'!$B$89),BL353))/N('Исходные данные'!$B$80)*(1+N('Исходные данные'!$B$81))),0))</f>
        <v>0</v>
      </c>
      <c r="BN353">
        <f>-BM353*N('Исходные данные'!$B$73)</f>
        <v>0</v>
      </c>
      <c r="BO353">
        <f>IF(BM353=0,0,-N('Исходные данные'!$B$87)-IF('Исходные данные'!$B$82="Да",IF('Исходные данные'!$B$84="С выручки",BM353,IF('Исходные данные'!$B$84="С прибыли",MAX(0,BM353+BN353-IF('Исходные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53">
        <f t="shared" si="188"/>
        <v>0</v>
      </c>
      <c r="BQ353">
        <f>IF(D353=1,Расчёты!AZ353+BE353+BH353+BK353+BP353,0)</f>
        <v>0</v>
      </c>
      <c r="BR353" t="str">
        <f t="shared" si="176"/>
        <v/>
      </c>
      <c r="BS353">
        <f>IF(OR(D353=0,'Исходные данные'!$B$9="",'Исходные данные'!$B$90=""),0,BQ353/(1+'Исходные данные'!$B$90)^((C353-'Исходные данные'!$B$9)/365))</f>
        <v>0</v>
      </c>
      <c r="BT353">
        <f>IF(D353=1,BE353+Расчёты!O353+Расчёты!Q353+Расчёты!S353+Расчёты!U353+Расчёты!W353+Расчёты!X353+BH353+BK353,0)</f>
        <v>0</v>
      </c>
      <c r="BU353">
        <f>IF(AND(D353=1,BR353&gt;=0,BR352&lt;0,MIN($BR$2:BR353)&lt;0),1,0)</f>
        <v>0</v>
      </c>
      <c r="BV353">
        <f>Расчёты!AZ353+K353+N353-P353*N('Исходные данные'!$B$50)</f>
        <v>0</v>
      </c>
      <c r="BW353">
        <f t="shared" si="177"/>
        <v>0</v>
      </c>
      <c r="BX353">
        <f>IF(AND(BW353&gt;=0,BW352&lt;0,MIN($BW$2:BW353)&lt;0),1,0)</f>
        <v>0</v>
      </c>
      <c r="BY353">
        <f>Расчёты!AZ353+AH353+AK353-AM353*N('Исходные данные'!$B$50)</f>
        <v>0</v>
      </c>
      <c r="BZ353">
        <f t="shared" si="178"/>
        <v>0</v>
      </c>
      <c r="CA353">
        <f>IF(AND(BZ353&gt;=0,BZ352&lt;0,MIN($BZ$2:BZ353)&lt;0),1,0)</f>
        <v>0</v>
      </c>
      <c r="CB353">
        <f>Расчёты!AZ353+BE353+BH353-BJ353*N('Исходные данные'!$B$50)</f>
        <v>0</v>
      </c>
      <c r="CC353">
        <f t="shared" si="179"/>
        <v>0</v>
      </c>
      <c r="CD353">
        <f>IF(AND(CC353&gt;=0,CC352&lt;0,MIN($CC$2:CC353)&lt;0),1,0)</f>
        <v>0</v>
      </c>
    </row>
    <row r="354" spans="1:82" x14ac:dyDescent="0.2">
      <c r="A354">
        <f>Расчёты!A354</f>
        <v>353</v>
      </c>
      <c r="B354" t="str">
        <f>Расчёты!B354</f>
        <v/>
      </c>
      <c r="C354" t="str">
        <f>Расчёты!D354</f>
        <v/>
      </c>
      <c r="D354">
        <f>Расчёты!E354</f>
        <v>0</v>
      </c>
      <c r="E354">
        <f>IF(Расчёты!F354=0,0,IF(Расчёты!G354=1,N('Сценарный анализ'!$B$5),IF(Расчёты!G354=2,N('Сценарный анализ'!$B$6),IF(Расчёты!G354=3,N('Сценарный анализ'!$B$7),N('Сценарный анализ'!$B$7)*(1+N('Сценарный анализ'!$B$8))^(Расчёты!G354-3)))))</f>
        <v>0</v>
      </c>
      <c r="F354">
        <f>IF(OR(Расчёты!F354=0,N('Исходные данные'!$B$5)=0,E354=0),0,N('Исходные данные'!$B$5)*E354*IF(AND(B354&lt;='Исходные данные'!$B$30,Расчёты!C354&gt;='Исходные данные'!$B$30),(Расчёты!C354-'Исходные данные'!$B$30+1)/DAY(Расчёты!C354),1))</f>
        <v>0</v>
      </c>
      <c r="G354">
        <f>IF(AND(Расчёты!F354&gt;0,Расчёты!F354&lt;=N('Исходные данные'!$B$37)),-F354,0)</f>
        <v>0</v>
      </c>
      <c r="H354">
        <f>IF(OR(Расчёты!F354=0,Расчёты!F354&lt;=N('Исходные данные'!$B$37)),0,-(F354+G354)*N('Сценарный анализ'!$B$9))</f>
        <v>0</v>
      </c>
      <c r="I354">
        <f t="shared" si="180"/>
        <v>0</v>
      </c>
      <c r="J354">
        <f>IF('Исходные данные'!$B$51="Да",I354*N('Исходные данные'!$B$52),0)</f>
        <v>0</v>
      </c>
      <c r="K354">
        <f t="shared" si="181"/>
        <v>0</v>
      </c>
      <c r="L354">
        <f>I354+(Расчёты!Y354-Расчёты!L354)</f>
        <v>0</v>
      </c>
      <c r="M354">
        <f t="shared" si="168"/>
        <v>0</v>
      </c>
      <c r="N354">
        <f>IF('Исходные данные'!$B$51="Да",-MAX(0,J354+Расчёты!R354+Расчёты!V354-Расчёты!P354-Расчёты!T354-M354),0)</f>
        <v>0</v>
      </c>
      <c r="O354">
        <f>IF('Исходные данные'!$B$51="Да",MAX(0,M354+Расчёты!P354+Расчёты!T354-J354-Расчёты!R354-Расчёты!V354),0)</f>
        <v>0</v>
      </c>
      <c r="P354">
        <f>IF('Исходные данные'!$B$53="Выручка",MAX(0,I354+(Расчёты!Q354-Расчёты!R354)+(Расчёты!U354-Расчёты!V354)),IF('Исходные данные'!$B$53="Прибыль до налога",MAX(0,I354+(Расчёты!Q354-Расчёты!R354)+(Расчёты!U354-Расчёты!V354)+N('Исходные данные'!$B$54)*((Расчёты!O354+Расчёты!P354)+(Расчёты!S354+Расчёты!T354)+Расчёты!W354+Расчёты!X354)+IF('Исходные данные'!$B$55="Да",Расчёты!AG354,0)-N('Исходные данные'!$B$56)/12),IF('Исходные данные'!$B$53="Пользовательская база",MAX(0,N('Исходные данные'!$B$57)/12),0)))</f>
        <v>0</v>
      </c>
      <c r="Q354">
        <f>IF(D354=1,-P354*N('Исходные данные'!$B$50),0)</f>
        <v>0</v>
      </c>
      <c r="R354">
        <f t="shared" si="169"/>
        <v>0</v>
      </c>
      <c r="S354">
        <f>IF(OR(D354&lt;&gt;1,B354="",'Исходные данные'!$B$91="",N('Исходные данные'!$B$80)&lt;=0,'Исходные данные'!$B$88=""),0,IF(AND(YEAR(B354)=YEAR('Исходные данные'!$B$91),MONTH(B354)=MONTH('Исходные данные'!$B$91)),MAX(0,IF('Исходные данные'!$B$88="Последние 12 месяцев",SUMIFS($L$2:$L$194,$B$2:$B$194,"&gt;="&amp;EDATE(B354,-11),$B$2:$B$194,"&lt;="&amp;B354),IF('Исходные данные'!$B$88="Пользовательский NOI",N('Исходные данные'!$B$89),R354))/N('Исходные данные'!$B$80)*(1+N('Исходные данные'!$B$81))),0))</f>
        <v>0</v>
      </c>
      <c r="T354">
        <f>-S354*N('Исходные данные'!$B$73)</f>
        <v>0</v>
      </c>
      <c r="U354">
        <f>IF(S354=0,0,-N('Исходные данные'!$B$87)-IF('Исходные данные'!$B$82="Да",IF('Исходные данные'!$B$84="С выручки",S354,IF('Исходные данные'!$B$84="С прибыли",MAX(0,S354+T354-IF('Исходные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54">
        <f t="shared" si="182"/>
        <v>0</v>
      </c>
      <c r="W354">
        <f>IF(D354=1,Расчёты!AZ354+K354+N354+Q354+V354,0)</f>
        <v>0</v>
      </c>
      <c r="X354" t="str">
        <f t="shared" si="170"/>
        <v/>
      </c>
      <c r="Y354">
        <f>IF(OR(D354=0,'Исходные данные'!$B$9="",'Исходные данные'!$B$90=""),0,W354/(1+'Исходные данные'!$B$90)^((C354-'Исходные данные'!$B$9)/365))</f>
        <v>0</v>
      </c>
      <c r="Z354">
        <f>IF(D354=1,K354+Расчёты!O354+Расчёты!Q354+Расчёты!S354+Расчёты!U354+Расчёты!W354+Расчёты!X354+N354+Q354,0)</f>
        <v>0</v>
      </c>
      <c r="AA354">
        <f>IF(AND(D354=1,X354&gt;=0,X353&lt;0,MIN($X$2:X354)&lt;0),1,0)</f>
        <v>0</v>
      </c>
      <c r="AB354">
        <f>IF(Расчёты!F354=0,0,IF(Расчёты!G354=1,N('Сценарный анализ'!$C$5),IF(Расчёты!G354=2,N('Сценарный анализ'!$C$6),IF(Расчёты!G354=3,N('Сценарный анализ'!$C$7),N('Сценарный анализ'!$C$7)*(1+N('Сценарный анализ'!$C$8))^(Расчёты!G354-3)))))</f>
        <v>0</v>
      </c>
      <c r="AC354">
        <f>IF(OR(Расчёты!F354=0,N('Исходные данные'!$B$5)=0,AB354=0),0,N('Исходные данные'!$B$5)*AB354*IF(AND(B354&lt;='Исходные данные'!$B$30,Расчёты!C354&gt;='Исходные данные'!$B$30),(Расчёты!C354-'Исходные данные'!$B$30+1)/DAY(Расчёты!C354),1))</f>
        <v>0</v>
      </c>
      <c r="AD354">
        <f>IF(AND(Расчёты!F354&gt;0,Расчёты!F354&lt;=N('Исходные данные'!$B$37)),-AC354,0)</f>
        <v>0</v>
      </c>
      <c r="AE354">
        <f>IF(OR(Расчёты!F354=0,Расчёты!F354&lt;=N('Исходные данные'!$B$37)),0,-(AC354+AD354)*N('Сценарный анализ'!$C$9))</f>
        <v>0</v>
      </c>
      <c r="AF354">
        <f t="shared" si="183"/>
        <v>0</v>
      </c>
      <c r="AG354">
        <f>IF('Исходные данные'!$B$51="Да",AF354*N('Исходные данные'!$B$52),0)</f>
        <v>0</v>
      </c>
      <c r="AH354">
        <f t="shared" si="184"/>
        <v>0</v>
      </c>
      <c r="AI354">
        <f>AF354+(Расчёты!Y354-Расчёты!L354)</f>
        <v>0</v>
      </c>
      <c r="AJ354">
        <f t="shared" si="171"/>
        <v>0</v>
      </c>
      <c r="AK354">
        <f>IF('Исходные данные'!$B$51="Да",-MAX(0,AG354+Расчёты!R354+Расчёты!V354-Расчёты!P354-Расчёты!T354-AJ354),0)</f>
        <v>0</v>
      </c>
      <c r="AL354">
        <f>IF('Исходные данные'!$B$51="Да",MAX(0,AJ354+Расчёты!P354+Расчёты!T354-AG354-Расчёты!R354-Расчёты!V354),0)</f>
        <v>0</v>
      </c>
      <c r="AM354">
        <f>IF('Исходные данные'!$B$53="Выручка",MAX(0,AF354+(Расчёты!Q354-Расчёты!R354)+(Расчёты!U354-Расчёты!V354)),IF('Исходные данные'!$B$53="Прибыль до налога",MAX(0,AF354+(Расчёты!Q354-Расчёты!R354)+(Расчёты!U354-Расчёты!V354)+N('Исходные данные'!$B$54)*((Расчёты!O354+Расчёты!P354)+(Расчёты!S354+Расчёты!T354)+Расчёты!W354+Расчёты!X354)+IF('Исходные данные'!$B$55="Да",Расчёты!AG354,0)-N('Исходные данные'!$B$56)/12),IF('Исходные данные'!$B$53="Пользовательская база",MAX(0,N('Исходные данные'!$B$57)/12),0)))</f>
        <v>0</v>
      </c>
      <c r="AN354">
        <f>IF(D354=1,-AM354*N('Исходные данные'!$B$50),0)</f>
        <v>0</v>
      </c>
      <c r="AO354">
        <f t="shared" si="172"/>
        <v>0</v>
      </c>
      <c r="AP354">
        <f>IF(OR(D354&lt;&gt;1,B354="",'Исходные данные'!$B$91="",N('Исходные данные'!$B$80)&lt;=0,'Исходные данные'!$B$88=""),0,IF(AND(YEAR(B354)=YEAR('Исходные данные'!$B$91),MONTH(B354)=MONTH('Исходные данные'!$B$91)),MAX(0,IF('Исходные данные'!$B$88="Последние 12 месяцев",SUMIFS($AI$2:$AI$194,$B$2:$B$194,"&gt;="&amp;EDATE(B354,-11),$B$2:$B$194,"&lt;="&amp;B354),IF('Исходные данные'!$B$88="Пользовательский NOI",N('Исходные данные'!$B$89),AO354))/N('Исходные данные'!$B$80)*(1+N('Исходные данные'!$B$81))),0))</f>
        <v>0</v>
      </c>
      <c r="AQ354">
        <f>-AP354*N('Исходные данные'!$B$73)</f>
        <v>0</v>
      </c>
      <c r="AR354">
        <f>IF(AP354=0,0,-N('Исходные данные'!$B$87)-IF('Исходные данные'!$B$82="Да",IF('Исходные данные'!$B$84="С выручки",AP354,IF('Исходные данные'!$B$84="С прибыли",MAX(0,AP354+AQ354-IF('Исходные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54">
        <f t="shared" si="185"/>
        <v>0</v>
      </c>
      <c r="AT354">
        <f>IF(D354=1,Расчёты!AZ354+AH354+AK354+AN354+AS354,0)</f>
        <v>0</v>
      </c>
      <c r="AU354" t="str">
        <f t="shared" si="173"/>
        <v/>
      </c>
      <c r="AV354">
        <f>IF(OR(D354=0,'Исходные данные'!$B$9="",'Исходные данные'!$B$90=""),0,AT354/(1+'Исходные данные'!$B$90)^((C354-'Исходные данные'!$B$9)/365))</f>
        <v>0</v>
      </c>
      <c r="AW354">
        <f>IF(D354=1,AH354+Расчёты!O354+Расчёты!Q354+Расчёты!S354+Расчёты!U354+Расчёты!W354+Расчёты!X354+AK354+AN354,0)</f>
        <v>0</v>
      </c>
      <c r="AX354">
        <f>IF(AND(D354=1,AU354&gt;=0,AU353&lt;0,MIN($AU$2:AU354)&lt;0),1,0)</f>
        <v>0</v>
      </c>
      <c r="AY354">
        <f>IF(Расчёты!F354=0,0,IF(Расчёты!G354=1,N('Сценарный анализ'!$D$5),IF(Расчёты!G354=2,N('Сценарный анализ'!$D$6),IF(Расчёты!G354=3,N('Сценарный анализ'!$D$7),N('Сценарный анализ'!$D$7)*(1+N('Сценарный анализ'!$D$8))^(Расчёты!G354-3)))))</f>
        <v>0</v>
      </c>
      <c r="AZ354">
        <f>IF(OR(Расчёты!F354=0,N('Исходные данные'!$B$5)=0,AY354=0),0,N('Исходные данные'!$B$5)*AY354*IF(AND(B354&lt;='Исходные данные'!$B$30,Расчёты!C354&gt;='Исходные данные'!$B$30),(Расчёты!C354-'Исходные данные'!$B$30+1)/DAY(Расчёты!C354),1))</f>
        <v>0</v>
      </c>
      <c r="BA354">
        <f>IF(AND(Расчёты!F354&gt;0,Расчёты!F354&lt;=N('Исходные данные'!$B$37)),-AZ354,0)</f>
        <v>0</v>
      </c>
      <c r="BB354">
        <f>IF(OR(Расчёты!F354=0,Расчёты!F354&lt;=N('Исходные данные'!$B$37)),0,-(AZ354+BA354)*N('Сценарный анализ'!$D$9))</f>
        <v>0</v>
      </c>
      <c r="BC354">
        <f t="shared" si="186"/>
        <v>0</v>
      </c>
      <c r="BD354">
        <f>IF('Исходные данные'!$B$51="Да",BC354*N('Исходные данные'!$B$52),0)</f>
        <v>0</v>
      </c>
      <c r="BE354">
        <f t="shared" si="187"/>
        <v>0</v>
      </c>
      <c r="BF354">
        <f>BC354+(Расчёты!Y354-Расчёты!L354)</f>
        <v>0</v>
      </c>
      <c r="BG354">
        <f t="shared" si="174"/>
        <v>0</v>
      </c>
      <c r="BH354">
        <f>IF('Исходные данные'!$B$51="Да",-MAX(0,BD354+Расчёты!R354+Расчёты!V354-Расчёты!P354-Расчёты!T354-BG354),0)</f>
        <v>0</v>
      </c>
      <c r="BI354">
        <f>IF('Исходные данные'!$B$51="Да",MAX(0,BG354+Расчёты!P354+Расчёты!T354-BD354-Расчёты!R354-Расчёты!V354),0)</f>
        <v>0</v>
      </c>
      <c r="BJ354">
        <f>IF('Исходные данные'!$B$53="Выручка",MAX(0,BC354+(Расчёты!Q354-Расчёты!R354)+(Расчёты!U354-Расчёты!V354)),IF('Исходные данные'!$B$53="Прибыль до налога",MAX(0,BC354+(Расчёты!Q354-Расчёты!R354)+(Расчёты!U354-Расчёты!V354)+N('Исходные данные'!$B$54)*((Расчёты!O354+Расчёты!P354)+(Расчёты!S354+Расчёты!T354)+Расчёты!W354+Расчёты!X354)+IF('Исходные данные'!$B$55="Да",Расчёты!AG354,0)-N('Исходные данные'!$B$56)/12),IF('Исходные данные'!$B$53="Пользовательская база",MAX(0,N('Исходные данные'!$B$57)/12),0)))</f>
        <v>0</v>
      </c>
      <c r="BK354">
        <f>IF(D354=1,-BJ354*N('Исходные данные'!$B$50),0)</f>
        <v>0</v>
      </c>
      <c r="BL354">
        <f t="shared" si="175"/>
        <v>0</v>
      </c>
      <c r="BM354">
        <f>IF(OR(D354&lt;&gt;1,B354="",'Исходные данные'!$B$91="",N('Исходные данные'!$B$80)&lt;=0,'Исходные данные'!$B$88=""),0,IF(AND(YEAR(B354)=YEAR('Исходные данные'!$B$91),MONTH(B354)=MONTH('Исходные данные'!$B$91)),MAX(0,IF('Исходные данные'!$B$88="Последние 12 месяцев",SUMIFS($BF$2:$BF$194,$B$2:$B$194,"&gt;="&amp;EDATE(B354,-11),$B$2:$B$194,"&lt;="&amp;B354),IF('Исходные данные'!$B$88="Пользовательский NOI",N('Исходные данные'!$B$89),BL354))/N('Исходные данные'!$B$80)*(1+N('Исходные данные'!$B$81))),0))</f>
        <v>0</v>
      </c>
      <c r="BN354">
        <f>-BM354*N('Исходные данные'!$B$73)</f>
        <v>0</v>
      </c>
      <c r="BO354">
        <f>IF(BM354=0,0,-N('Исходные данные'!$B$87)-IF('Исходные данные'!$B$82="Да",IF('Исходные данные'!$B$84="С выручки",BM354,IF('Исходные данные'!$B$84="С прибыли",MAX(0,BM354+BN354-IF('Исходные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54">
        <f t="shared" si="188"/>
        <v>0</v>
      </c>
      <c r="BQ354">
        <f>IF(D354=1,Расчёты!AZ354+BE354+BH354+BK354+BP354,0)</f>
        <v>0</v>
      </c>
      <c r="BR354" t="str">
        <f t="shared" si="176"/>
        <v/>
      </c>
      <c r="BS354">
        <f>IF(OR(D354=0,'Исходные данные'!$B$9="",'Исходные данные'!$B$90=""),0,BQ354/(1+'Исходные данные'!$B$90)^((C354-'Исходные данные'!$B$9)/365))</f>
        <v>0</v>
      </c>
      <c r="BT354">
        <f>IF(D354=1,BE354+Расчёты!O354+Расчёты!Q354+Расчёты!S354+Расчёты!U354+Расчёты!W354+Расчёты!X354+BH354+BK354,0)</f>
        <v>0</v>
      </c>
      <c r="BU354">
        <f>IF(AND(D354=1,BR354&gt;=0,BR353&lt;0,MIN($BR$2:BR354)&lt;0),1,0)</f>
        <v>0</v>
      </c>
      <c r="BV354">
        <f>Расчёты!AZ354+K354+N354-P354*N('Исходные данные'!$B$50)</f>
        <v>0</v>
      </c>
      <c r="BW354">
        <f t="shared" si="177"/>
        <v>0</v>
      </c>
      <c r="BX354">
        <f>IF(AND(BW354&gt;=0,BW353&lt;0,MIN($BW$2:BW354)&lt;0),1,0)</f>
        <v>0</v>
      </c>
      <c r="BY354">
        <f>Расчёты!AZ354+AH354+AK354-AM354*N('Исходные данные'!$B$50)</f>
        <v>0</v>
      </c>
      <c r="BZ354">
        <f t="shared" si="178"/>
        <v>0</v>
      </c>
      <c r="CA354">
        <f>IF(AND(BZ354&gt;=0,BZ353&lt;0,MIN($BZ$2:BZ354)&lt;0),1,0)</f>
        <v>0</v>
      </c>
      <c r="CB354">
        <f>Расчёты!AZ354+BE354+BH354-BJ354*N('Исходные данные'!$B$50)</f>
        <v>0</v>
      </c>
      <c r="CC354">
        <f t="shared" si="179"/>
        <v>0</v>
      </c>
      <c r="CD354">
        <f>IF(AND(CC354&gt;=0,CC353&lt;0,MIN($CC$2:CC354)&lt;0),1,0)</f>
        <v>0</v>
      </c>
    </row>
    <row r="355" spans="1:82" x14ac:dyDescent="0.2">
      <c r="A355">
        <f>Расчёты!A355</f>
        <v>354</v>
      </c>
      <c r="B355" t="str">
        <f>Расчёты!B355</f>
        <v/>
      </c>
      <c r="C355" t="str">
        <f>Расчёты!D355</f>
        <v/>
      </c>
      <c r="D355">
        <f>Расчёты!E355</f>
        <v>0</v>
      </c>
      <c r="E355">
        <f>IF(Расчёты!F355=0,0,IF(Расчёты!G355=1,N('Сценарный анализ'!$B$5),IF(Расчёты!G355=2,N('Сценарный анализ'!$B$6),IF(Расчёты!G355=3,N('Сценарный анализ'!$B$7),N('Сценарный анализ'!$B$7)*(1+N('Сценарный анализ'!$B$8))^(Расчёты!G355-3)))))</f>
        <v>0</v>
      </c>
      <c r="F355">
        <f>IF(OR(Расчёты!F355=0,N('Исходные данные'!$B$5)=0,E355=0),0,N('Исходные данные'!$B$5)*E355*IF(AND(B355&lt;='Исходные данные'!$B$30,Расчёты!C355&gt;='Исходные данные'!$B$30),(Расчёты!C355-'Исходные данные'!$B$30+1)/DAY(Расчёты!C355),1))</f>
        <v>0</v>
      </c>
      <c r="G355">
        <f>IF(AND(Расчёты!F355&gt;0,Расчёты!F355&lt;=N('Исходные данные'!$B$37)),-F355,0)</f>
        <v>0</v>
      </c>
      <c r="H355">
        <f>IF(OR(Расчёты!F355=0,Расчёты!F355&lt;=N('Исходные данные'!$B$37)),0,-(F355+G355)*N('Сценарный анализ'!$B$9))</f>
        <v>0</v>
      </c>
      <c r="I355">
        <f t="shared" si="180"/>
        <v>0</v>
      </c>
      <c r="J355">
        <f>IF('Исходные данные'!$B$51="Да",I355*N('Исходные данные'!$B$52),0)</f>
        <v>0</v>
      </c>
      <c r="K355">
        <f t="shared" si="181"/>
        <v>0</v>
      </c>
      <c r="L355">
        <f>I355+(Расчёты!Y355-Расчёты!L355)</f>
        <v>0</v>
      </c>
      <c r="M355">
        <f t="shared" si="168"/>
        <v>0</v>
      </c>
      <c r="N355">
        <f>IF('Исходные данные'!$B$51="Да",-MAX(0,J355+Расчёты!R355+Расчёты!V355-Расчёты!P355-Расчёты!T355-M355),0)</f>
        <v>0</v>
      </c>
      <c r="O355">
        <f>IF('Исходные данные'!$B$51="Да",MAX(0,M355+Расчёты!P355+Расчёты!T355-J355-Расчёты!R355-Расчёты!V355),0)</f>
        <v>0</v>
      </c>
      <c r="P355">
        <f>IF('Исходные данные'!$B$53="Выручка",MAX(0,I355+(Расчёты!Q355-Расчёты!R355)+(Расчёты!U355-Расчёты!V355)),IF('Исходные данные'!$B$53="Прибыль до налога",MAX(0,I355+(Расчёты!Q355-Расчёты!R355)+(Расчёты!U355-Расчёты!V355)+N('Исходные данные'!$B$54)*((Расчёты!O355+Расчёты!P355)+(Расчёты!S355+Расчёты!T355)+Расчёты!W355+Расчёты!X355)+IF('Исходные данные'!$B$55="Да",Расчёты!AG355,0)-N('Исходные данные'!$B$56)/12),IF('Исходные данные'!$B$53="Пользовательская база",MAX(0,N('Исходные данные'!$B$57)/12),0)))</f>
        <v>0</v>
      </c>
      <c r="Q355">
        <f>IF(D355=1,-P355*N('Исходные данные'!$B$50),0)</f>
        <v>0</v>
      </c>
      <c r="R355">
        <f t="shared" si="169"/>
        <v>0</v>
      </c>
      <c r="S355">
        <f>IF(OR(D355&lt;&gt;1,B355="",'Исходные данные'!$B$91="",N('Исходные данные'!$B$80)&lt;=0,'Исходные данные'!$B$88=""),0,IF(AND(YEAR(B355)=YEAR('Исходные данные'!$B$91),MONTH(B355)=MONTH('Исходные данные'!$B$91)),MAX(0,IF('Исходные данные'!$B$88="Последние 12 месяцев",SUMIFS($L$2:$L$194,$B$2:$B$194,"&gt;="&amp;EDATE(B355,-11),$B$2:$B$194,"&lt;="&amp;B355),IF('Исходные данные'!$B$88="Пользовательский NOI",N('Исходные данные'!$B$89),R355))/N('Исходные данные'!$B$80)*(1+N('Исходные данные'!$B$81))),0))</f>
        <v>0</v>
      </c>
      <c r="T355">
        <f>-S355*N('Исходные данные'!$B$73)</f>
        <v>0</v>
      </c>
      <c r="U355">
        <f>IF(S355=0,0,-N('Исходные данные'!$B$87)-IF('Исходные данные'!$B$82="Да",IF('Исходные данные'!$B$84="С выручки",S355,IF('Исходные данные'!$B$84="С прибыли",MAX(0,S355+T355-IF('Исходные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55">
        <f t="shared" si="182"/>
        <v>0</v>
      </c>
      <c r="W355">
        <f>IF(D355=1,Расчёты!AZ355+K355+N355+Q355+V355,0)</f>
        <v>0</v>
      </c>
      <c r="X355" t="str">
        <f t="shared" si="170"/>
        <v/>
      </c>
      <c r="Y355">
        <f>IF(OR(D355=0,'Исходные данные'!$B$9="",'Исходные данные'!$B$90=""),0,W355/(1+'Исходные данные'!$B$90)^((C355-'Исходные данные'!$B$9)/365))</f>
        <v>0</v>
      </c>
      <c r="Z355">
        <f>IF(D355=1,K355+Расчёты!O355+Расчёты!Q355+Расчёты!S355+Расчёты!U355+Расчёты!W355+Расчёты!X355+N355+Q355,0)</f>
        <v>0</v>
      </c>
      <c r="AA355">
        <f>IF(AND(D355=1,X355&gt;=0,X354&lt;0,MIN($X$2:X355)&lt;0),1,0)</f>
        <v>0</v>
      </c>
      <c r="AB355">
        <f>IF(Расчёты!F355=0,0,IF(Расчёты!G355=1,N('Сценарный анализ'!$C$5),IF(Расчёты!G355=2,N('Сценарный анализ'!$C$6),IF(Расчёты!G355=3,N('Сценарный анализ'!$C$7),N('Сценарный анализ'!$C$7)*(1+N('Сценарный анализ'!$C$8))^(Расчёты!G355-3)))))</f>
        <v>0</v>
      </c>
      <c r="AC355">
        <f>IF(OR(Расчёты!F355=0,N('Исходные данные'!$B$5)=0,AB355=0),0,N('Исходные данные'!$B$5)*AB355*IF(AND(B355&lt;='Исходные данные'!$B$30,Расчёты!C355&gt;='Исходные данные'!$B$30),(Расчёты!C355-'Исходные данные'!$B$30+1)/DAY(Расчёты!C355),1))</f>
        <v>0</v>
      </c>
      <c r="AD355">
        <f>IF(AND(Расчёты!F355&gt;0,Расчёты!F355&lt;=N('Исходные данные'!$B$37)),-AC355,0)</f>
        <v>0</v>
      </c>
      <c r="AE355">
        <f>IF(OR(Расчёты!F355=0,Расчёты!F355&lt;=N('Исходные данные'!$B$37)),0,-(AC355+AD355)*N('Сценарный анализ'!$C$9))</f>
        <v>0</v>
      </c>
      <c r="AF355">
        <f t="shared" si="183"/>
        <v>0</v>
      </c>
      <c r="AG355">
        <f>IF('Исходные данные'!$B$51="Да",AF355*N('Исходные данные'!$B$52),0)</f>
        <v>0</v>
      </c>
      <c r="AH355">
        <f t="shared" si="184"/>
        <v>0</v>
      </c>
      <c r="AI355">
        <f>AF355+(Расчёты!Y355-Расчёты!L355)</f>
        <v>0</v>
      </c>
      <c r="AJ355">
        <f t="shared" si="171"/>
        <v>0</v>
      </c>
      <c r="AK355">
        <f>IF('Исходные данные'!$B$51="Да",-MAX(0,AG355+Расчёты!R355+Расчёты!V355-Расчёты!P355-Расчёты!T355-AJ355),0)</f>
        <v>0</v>
      </c>
      <c r="AL355">
        <f>IF('Исходные данные'!$B$51="Да",MAX(0,AJ355+Расчёты!P355+Расчёты!T355-AG355-Расчёты!R355-Расчёты!V355),0)</f>
        <v>0</v>
      </c>
      <c r="AM355">
        <f>IF('Исходные данные'!$B$53="Выручка",MAX(0,AF355+(Расчёты!Q355-Расчёты!R355)+(Расчёты!U355-Расчёты!V355)),IF('Исходные данные'!$B$53="Прибыль до налога",MAX(0,AF355+(Расчёты!Q355-Расчёты!R355)+(Расчёты!U355-Расчёты!V355)+N('Исходные данные'!$B$54)*((Расчёты!O355+Расчёты!P355)+(Расчёты!S355+Расчёты!T355)+Расчёты!W355+Расчёты!X355)+IF('Исходные данные'!$B$55="Да",Расчёты!AG355,0)-N('Исходные данные'!$B$56)/12),IF('Исходные данные'!$B$53="Пользовательская база",MAX(0,N('Исходные данные'!$B$57)/12),0)))</f>
        <v>0</v>
      </c>
      <c r="AN355">
        <f>IF(D355=1,-AM355*N('Исходные данные'!$B$50),0)</f>
        <v>0</v>
      </c>
      <c r="AO355">
        <f t="shared" si="172"/>
        <v>0</v>
      </c>
      <c r="AP355">
        <f>IF(OR(D355&lt;&gt;1,B355="",'Исходные данные'!$B$91="",N('Исходные данные'!$B$80)&lt;=0,'Исходные данные'!$B$88=""),0,IF(AND(YEAR(B355)=YEAR('Исходные данные'!$B$91),MONTH(B355)=MONTH('Исходные данные'!$B$91)),MAX(0,IF('Исходные данные'!$B$88="Последние 12 месяцев",SUMIFS($AI$2:$AI$194,$B$2:$B$194,"&gt;="&amp;EDATE(B355,-11),$B$2:$B$194,"&lt;="&amp;B355),IF('Исходные данные'!$B$88="Пользовательский NOI",N('Исходные данные'!$B$89),AO355))/N('Исходные данные'!$B$80)*(1+N('Исходные данные'!$B$81))),0))</f>
        <v>0</v>
      </c>
      <c r="AQ355">
        <f>-AP355*N('Исходные данные'!$B$73)</f>
        <v>0</v>
      </c>
      <c r="AR355">
        <f>IF(AP355=0,0,-N('Исходные данные'!$B$87)-IF('Исходные данные'!$B$82="Да",IF('Исходные данные'!$B$84="С выручки",AP355,IF('Исходные данные'!$B$84="С прибыли",MAX(0,AP355+AQ355-IF('Исходные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55">
        <f t="shared" si="185"/>
        <v>0</v>
      </c>
      <c r="AT355">
        <f>IF(D355=1,Расчёты!AZ355+AH355+AK355+AN355+AS355,0)</f>
        <v>0</v>
      </c>
      <c r="AU355" t="str">
        <f t="shared" si="173"/>
        <v/>
      </c>
      <c r="AV355">
        <f>IF(OR(D355=0,'Исходные данные'!$B$9="",'Исходные данные'!$B$90=""),0,AT355/(1+'Исходные данные'!$B$90)^((C355-'Исходные данные'!$B$9)/365))</f>
        <v>0</v>
      </c>
      <c r="AW355">
        <f>IF(D355=1,AH355+Расчёты!O355+Расчёты!Q355+Расчёты!S355+Расчёты!U355+Расчёты!W355+Расчёты!X355+AK355+AN355,0)</f>
        <v>0</v>
      </c>
      <c r="AX355">
        <f>IF(AND(D355=1,AU355&gt;=0,AU354&lt;0,MIN($AU$2:AU355)&lt;0),1,0)</f>
        <v>0</v>
      </c>
      <c r="AY355">
        <f>IF(Расчёты!F355=0,0,IF(Расчёты!G355=1,N('Сценарный анализ'!$D$5),IF(Расчёты!G355=2,N('Сценарный анализ'!$D$6),IF(Расчёты!G355=3,N('Сценарный анализ'!$D$7),N('Сценарный анализ'!$D$7)*(1+N('Сценарный анализ'!$D$8))^(Расчёты!G355-3)))))</f>
        <v>0</v>
      </c>
      <c r="AZ355">
        <f>IF(OR(Расчёты!F355=0,N('Исходные данные'!$B$5)=0,AY355=0),0,N('Исходные данные'!$B$5)*AY355*IF(AND(B355&lt;='Исходные данные'!$B$30,Расчёты!C355&gt;='Исходные данные'!$B$30),(Расчёты!C355-'Исходные данные'!$B$30+1)/DAY(Расчёты!C355),1))</f>
        <v>0</v>
      </c>
      <c r="BA355">
        <f>IF(AND(Расчёты!F355&gt;0,Расчёты!F355&lt;=N('Исходные данные'!$B$37)),-AZ355,0)</f>
        <v>0</v>
      </c>
      <c r="BB355">
        <f>IF(OR(Расчёты!F355=0,Расчёты!F355&lt;=N('Исходные данные'!$B$37)),0,-(AZ355+BA355)*N('Сценарный анализ'!$D$9))</f>
        <v>0</v>
      </c>
      <c r="BC355">
        <f t="shared" si="186"/>
        <v>0</v>
      </c>
      <c r="BD355">
        <f>IF('Исходные данные'!$B$51="Да",BC355*N('Исходные данные'!$B$52),0)</f>
        <v>0</v>
      </c>
      <c r="BE355">
        <f t="shared" si="187"/>
        <v>0</v>
      </c>
      <c r="BF355">
        <f>BC355+(Расчёты!Y355-Расчёты!L355)</f>
        <v>0</v>
      </c>
      <c r="BG355">
        <f t="shared" si="174"/>
        <v>0</v>
      </c>
      <c r="BH355">
        <f>IF('Исходные данные'!$B$51="Да",-MAX(0,BD355+Расчёты!R355+Расчёты!V355-Расчёты!P355-Расчёты!T355-BG355),0)</f>
        <v>0</v>
      </c>
      <c r="BI355">
        <f>IF('Исходные данные'!$B$51="Да",MAX(0,BG355+Расчёты!P355+Расчёты!T355-BD355-Расчёты!R355-Расчёты!V355),0)</f>
        <v>0</v>
      </c>
      <c r="BJ355">
        <f>IF('Исходные данные'!$B$53="Выручка",MAX(0,BC355+(Расчёты!Q355-Расчёты!R355)+(Расчёты!U355-Расчёты!V355)),IF('Исходные данные'!$B$53="Прибыль до налога",MAX(0,BC355+(Расчёты!Q355-Расчёты!R355)+(Расчёты!U355-Расчёты!V355)+N('Исходные данные'!$B$54)*((Расчёты!O355+Расчёты!P355)+(Расчёты!S355+Расчёты!T355)+Расчёты!W355+Расчёты!X355)+IF('Исходные данные'!$B$55="Да",Расчёты!AG355,0)-N('Исходные данные'!$B$56)/12),IF('Исходные данные'!$B$53="Пользовательская база",MAX(0,N('Исходные данные'!$B$57)/12),0)))</f>
        <v>0</v>
      </c>
      <c r="BK355">
        <f>IF(D355=1,-BJ355*N('Исходные данные'!$B$50),0)</f>
        <v>0</v>
      </c>
      <c r="BL355">
        <f t="shared" si="175"/>
        <v>0</v>
      </c>
      <c r="BM355">
        <f>IF(OR(D355&lt;&gt;1,B355="",'Исходные данные'!$B$91="",N('Исходные данные'!$B$80)&lt;=0,'Исходные данные'!$B$88=""),0,IF(AND(YEAR(B355)=YEAR('Исходные данные'!$B$91),MONTH(B355)=MONTH('Исходные данные'!$B$91)),MAX(0,IF('Исходные данные'!$B$88="Последние 12 месяцев",SUMIFS($BF$2:$BF$194,$B$2:$B$194,"&gt;="&amp;EDATE(B355,-11),$B$2:$B$194,"&lt;="&amp;B355),IF('Исходные данные'!$B$88="Пользовательский NOI",N('Исходные данные'!$B$89),BL355))/N('Исходные данные'!$B$80)*(1+N('Исходные данные'!$B$81))),0))</f>
        <v>0</v>
      </c>
      <c r="BN355">
        <f>-BM355*N('Исходные данные'!$B$73)</f>
        <v>0</v>
      </c>
      <c r="BO355">
        <f>IF(BM355=0,0,-N('Исходные данные'!$B$87)-IF('Исходные данные'!$B$82="Да",IF('Исходные данные'!$B$84="С выручки",BM355,IF('Исходные данные'!$B$84="С прибыли",MAX(0,BM355+BN355-IF('Исходные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55">
        <f t="shared" si="188"/>
        <v>0</v>
      </c>
      <c r="BQ355">
        <f>IF(D355=1,Расчёты!AZ355+BE355+BH355+BK355+BP355,0)</f>
        <v>0</v>
      </c>
      <c r="BR355" t="str">
        <f t="shared" si="176"/>
        <v/>
      </c>
      <c r="BS355">
        <f>IF(OR(D355=0,'Исходные данные'!$B$9="",'Исходные данные'!$B$90=""),0,BQ355/(1+'Исходные данные'!$B$90)^((C355-'Исходные данные'!$B$9)/365))</f>
        <v>0</v>
      </c>
      <c r="BT355">
        <f>IF(D355=1,BE355+Расчёты!O355+Расчёты!Q355+Расчёты!S355+Расчёты!U355+Расчёты!W355+Расчёты!X355+BH355+BK355,0)</f>
        <v>0</v>
      </c>
      <c r="BU355">
        <f>IF(AND(D355=1,BR355&gt;=0,BR354&lt;0,MIN($BR$2:BR355)&lt;0),1,0)</f>
        <v>0</v>
      </c>
      <c r="BV355">
        <f>Расчёты!AZ355+K355+N355-P355*N('Исходные данные'!$B$50)</f>
        <v>0</v>
      </c>
      <c r="BW355">
        <f t="shared" si="177"/>
        <v>0</v>
      </c>
      <c r="BX355">
        <f>IF(AND(BW355&gt;=0,BW354&lt;0,MIN($BW$2:BW355)&lt;0),1,0)</f>
        <v>0</v>
      </c>
      <c r="BY355">
        <f>Расчёты!AZ355+AH355+AK355-AM355*N('Исходные данные'!$B$50)</f>
        <v>0</v>
      </c>
      <c r="BZ355">
        <f t="shared" si="178"/>
        <v>0</v>
      </c>
      <c r="CA355">
        <f>IF(AND(BZ355&gt;=0,BZ354&lt;0,MIN($BZ$2:BZ355)&lt;0),1,0)</f>
        <v>0</v>
      </c>
      <c r="CB355">
        <f>Расчёты!AZ355+BE355+BH355-BJ355*N('Исходные данные'!$B$50)</f>
        <v>0</v>
      </c>
      <c r="CC355">
        <f t="shared" si="179"/>
        <v>0</v>
      </c>
      <c r="CD355">
        <f>IF(AND(CC355&gt;=0,CC354&lt;0,MIN($CC$2:CC355)&lt;0),1,0)</f>
        <v>0</v>
      </c>
    </row>
    <row r="356" spans="1:82" x14ac:dyDescent="0.2">
      <c r="A356">
        <f>Расчёты!A356</f>
        <v>355</v>
      </c>
      <c r="B356" t="str">
        <f>Расчёты!B356</f>
        <v/>
      </c>
      <c r="C356" t="str">
        <f>Расчёты!D356</f>
        <v/>
      </c>
      <c r="D356">
        <f>Расчёты!E356</f>
        <v>0</v>
      </c>
      <c r="E356">
        <f>IF(Расчёты!F356=0,0,IF(Расчёты!G356=1,N('Сценарный анализ'!$B$5),IF(Расчёты!G356=2,N('Сценарный анализ'!$B$6),IF(Расчёты!G356=3,N('Сценарный анализ'!$B$7),N('Сценарный анализ'!$B$7)*(1+N('Сценарный анализ'!$B$8))^(Расчёты!G356-3)))))</f>
        <v>0</v>
      </c>
      <c r="F356">
        <f>IF(OR(Расчёты!F356=0,N('Исходные данные'!$B$5)=0,E356=0),0,N('Исходные данные'!$B$5)*E356*IF(AND(B356&lt;='Исходные данные'!$B$30,Расчёты!C356&gt;='Исходные данные'!$B$30),(Расчёты!C356-'Исходные данные'!$B$30+1)/DAY(Расчёты!C356),1))</f>
        <v>0</v>
      </c>
      <c r="G356">
        <f>IF(AND(Расчёты!F356&gt;0,Расчёты!F356&lt;=N('Исходные данные'!$B$37)),-F356,0)</f>
        <v>0</v>
      </c>
      <c r="H356">
        <f>IF(OR(Расчёты!F356=0,Расчёты!F356&lt;=N('Исходные данные'!$B$37)),0,-(F356+G356)*N('Сценарный анализ'!$B$9))</f>
        <v>0</v>
      </c>
      <c r="I356">
        <f t="shared" si="180"/>
        <v>0</v>
      </c>
      <c r="J356">
        <f>IF('Исходные данные'!$B$51="Да",I356*N('Исходные данные'!$B$52),0)</f>
        <v>0</v>
      </c>
      <c r="K356">
        <f t="shared" si="181"/>
        <v>0</v>
      </c>
      <c r="L356">
        <f>I356+(Расчёты!Y356-Расчёты!L356)</f>
        <v>0</v>
      </c>
      <c r="M356">
        <f t="shared" si="168"/>
        <v>0</v>
      </c>
      <c r="N356">
        <f>IF('Исходные данные'!$B$51="Да",-MAX(0,J356+Расчёты!R356+Расчёты!V356-Расчёты!P356-Расчёты!T356-M356),0)</f>
        <v>0</v>
      </c>
      <c r="O356">
        <f>IF('Исходные данные'!$B$51="Да",MAX(0,M356+Расчёты!P356+Расчёты!T356-J356-Расчёты!R356-Расчёты!V356),0)</f>
        <v>0</v>
      </c>
      <c r="P356">
        <f>IF('Исходные данные'!$B$53="Выручка",MAX(0,I356+(Расчёты!Q356-Расчёты!R356)+(Расчёты!U356-Расчёты!V356)),IF('Исходные данные'!$B$53="Прибыль до налога",MAX(0,I356+(Расчёты!Q356-Расчёты!R356)+(Расчёты!U356-Расчёты!V356)+N('Исходные данные'!$B$54)*((Расчёты!O356+Расчёты!P356)+(Расчёты!S356+Расчёты!T356)+Расчёты!W356+Расчёты!X356)+IF('Исходные данные'!$B$55="Да",Расчёты!AG356,0)-N('Исходные данные'!$B$56)/12),IF('Исходные данные'!$B$53="Пользовательская база",MAX(0,N('Исходные данные'!$B$57)/12),0)))</f>
        <v>0</v>
      </c>
      <c r="Q356">
        <f>IF(D356=1,-P356*N('Исходные данные'!$B$50),0)</f>
        <v>0</v>
      </c>
      <c r="R356">
        <f t="shared" si="169"/>
        <v>0</v>
      </c>
      <c r="S356">
        <f>IF(OR(D356&lt;&gt;1,B356="",'Исходные данные'!$B$91="",N('Исходные данные'!$B$80)&lt;=0,'Исходные данные'!$B$88=""),0,IF(AND(YEAR(B356)=YEAR('Исходные данные'!$B$91),MONTH(B356)=MONTH('Исходные данные'!$B$91)),MAX(0,IF('Исходные данные'!$B$88="Последние 12 месяцев",SUMIFS($L$2:$L$194,$B$2:$B$194,"&gt;="&amp;EDATE(B356,-11),$B$2:$B$194,"&lt;="&amp;B356),IF('Исходные данные'!$B$88="Пользовательский NOI",N('Исходные данные'!$B$89),R356))/N('Исходные данные'!$B$80)*(1+N('Исходные данные'!$B$81))),0))</f>
        <v>0</v>
      </c>
      <c r="T356">
        <f>-S356*N('Исходные данные'!$B$73)</f>
        <v>0</v>
      </c>
      <c r="U356">
        <f>IF(S356=0,0,-N('Исходные данные'!$B$87)-IF('Исходные данные'!$B$82="Да",IF('Исходные данные'!$B$84="С выручки",S356,IF('Исходные данные'!$B$84="С прибыли",MAX(0,S356+T356-IF('Исходные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56">
        <f t="shared" si="182"/>
        <v>0</v>
      </c>
      <c r="W356">
        <f>IF(D356=1,Расчёты!AZ356+K356+N356+Q356+V356,0)</f>
        <v>0</v>
      </c>
      <c r="X356" t="str">
        <f t="shared" si="170"/>
        <v/>
      </c>
      <c r="Y356">
        <f>IF(OR(D356=0,'Исходные данные'!$B$9="",'Исходные данные'!$B$90=""),0,W356/(1+'Исходные данные'!$B$90)^((C356-'Исходные данные'!$B$9)/365))</f>
        <v>0</v>
      </c>
      <c r="Z356">
        <f>IF(D356=1,K356+Расчёты!O356+Расчёты!Q356+Расчёты!S356+Расчёты!U356+Расчёты!W356+Расчёты!X356+N356+Q356,0)</f>
        <v>0</v>
      </c>
      <c r="AA356">
        <f>IF(AND(D356=1,X356&gt;=0,X355&lt;0,MIN($X$2:X356)&lt;0),1,0)</f>
        <v>0</v>
      </c>
      <c r="AB356">
        <f>IF(Расчёты!F356=0,0,IF(Расчёты!G356=1,N('Сценарный анализ'!$C$5),IF(Расчёты!G356=2,N('Сценарный анализ'!$C$6),IF(Расчёты!G356=3,N('Сценарный анализ'!$C$7),N('Сценарный анализ'!$C$7)*(1+N('Сценарный анализ'!$C$8))^(Расчёты!G356-3)))))</f>
        <v>0</v>
      </c>
      <c r="AC356">
        <f>IF(OR(Расчёты!F356=0,N('Исходные данные'!$B$5)=0,AB356=0),0,N('Исходные данные'!$B$5)*AB356*IF(AND(B356&lt;='Исходные данные'!$B$30,Расчёты!C356&gt;='Исходные данные'!$B$30),(Расчёты!C356-'Исходные данные'!$B$30+1)/DAY(Расчёты!C356),1))</f>
        <v>0</v>
      </c>
      <c r="AD356">
        <f>IF(AND(Расчёты!F356&gt;0,Расчёты!F356&lt;=N('Исходные данные'!$B$37)),-AC356,0)</f>
        <v>0</v>
      </c>
      <c r="AE356">
        <f>IF(OR(Расчёты!F356=0,Расчёты!F356&lt;=N('Исходные данные'!$B$37)),0,-(AC356+AD356)*N('Сценарный анализ'!$C$9))</f>
        <v>0</v>
      </c>
      <c r="AF356">
        <f t="shared" si="183"/>
        <v>0</v>
      </c>
      <c r="AG356">
        <f>IF('Исходные данные'!$B$51="Да",AF356*N('Исходные данные'!$B$52),0)</f>
        <v>0</v>
      </c>
      <c r="AH356">
        <f t="shared" si="184"/>
        <v>0</v>
      </c>
      <c r="AI356">
        <f>AF356+(Расчёты!Y356-Расчёты!L356)</f>
        <v>0</v>
      </c>
      <c r="AJ356">
        <f t="shared" si="171"/>
        <v>0</v>
      </c>
      <c r="AK356">
        <f>IF('Исходные данные'!$B$51="Да",-MAX(0,AG356+Расчёты!R356+Расчёты!V356-Расчёты!P356-Расчёты!T356-AJ356),0)</f>
        <v>0</v>
      </c>
      <c r="AL356">
        <f>IF('Исходные данные'!$B$51="Да",MAX(0,AJ356+Расчёты!P356+Расчёты!T356-AG356-Расчёты!R356-Расчёты!V356),0)</f>
        <v>0</v>
      </c>
      <c r="AM356">
        <f>IF('Исходные данные'!$B$53="Выручка",MAX(0,AF356+(Расчёты!Q356-Расчёты!R356)+(Расчёты!U356-Расчёты!V356)),IF('Исходные данные'!$B$53="Прибыль до налога",MAX(0,AF356+(Расчёты!Q356-Расчёты!R356)+(Расчёты!U356-Расчёты!V356)+N('Исходные данные'!$B$54)*((Расчёты!O356+Расчёты!P356)+(Расчёты!S356+Расчёты!T356)+Расчёты!W356+Расчёты!X356)+IF('Исходные данные'!$B$55="Да",Расчёты!AG356,0)-N('Исходные данные'!$B$56)/12),IF('Исходные данные'!$B$53="Пользовательская база",MAX(0,N('Исходные данные'!$B$57)/12),0)))</f>
        <v>0</v>
      </c>
      <c r="AN356">
        <f>IF(D356=1,-AM356*N('Исходные данные'!$B$50),0)</f>
        <v>0</v>
      </c>
      <c r="AO356">
        <f t="shared" si="172"/>
        <v>0</v>
      </c>
      <c r="AP356">
        <f>IF(OR(D356&lt;&gt;1,B356="",'Исходные данные'!$B$91="",N('Исходные данные'!$B$80)&lt;=0,'Исходные данные'!$B$88=""),0,IF(AND(YEAR(B356)=YEAR('Исходные данные'!$B$91),MONTH(B356)=MONTH('Исходные данные'!$B$91)),MAX(0,IF('Исходные данные'!$B$88="Последние 12 месяцев",SUMIFS($AI$2:$AI$194,$B$2:$B$194,"&gt;="&amp;EDATE(B356,-11),$B$2:$B$194,"&lt;="&amp;B356),IF('Исходные данные'!$B$88="Пользовательский NOI",N('Исходные данные'!$B$89),AO356))/N('Исходные данные'!$B$80)*(1+N('Исходные данные'!$B$81))),0))</f>
        <v>0</v>
      </c>
      <c r="AQ356">
        <f>-AP356*N('Исходные данные'!$B$73)</f>
        <v>0</v>
      </c>
      <c r="AR356">
        <f>IF(AP356=0,0,-N('Исходные данные'!$B$87)-IF('Исходные данные'!$B$82="Да",IF('Исходные данные'!$B$84="С выручки",AP356,IF('Исходные данные'!$B$84="С прибыли",MAX(0,AP356+AQ356-IF('Исходные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56">
        <f t="shared" si="185"/>
        <v>0</v>
      </c>
      <c r="AT356">
        <f>IF(D356=1,Расчёты!AZ356+AH356+AK356+AN356+AS356,0)</f>
        <v>0</v>
      </c>
      <c r="AU356" t="str">
        <f t="shared" si="173"/>
        <v/>
      </c>
      <c r="AV356">
        <f>IF(OR(D356=0,'Исходные данные'!$B$9="",'Исходные данные'!$B$90=""),0,AT356/(1+'Исходные данные'!$B$90)^((C356-'Исходные данные'!$B$9)/365))</f>
        <v>0</v>
      </c>
      <c r="AW356">
        <f>IF(D356=1,AH356+Расчёты!O356+Расчёты!Q356+Расчёты!S356+Расчёты!U356+Расчёты!W356+Расчёты!X356+AK356+AN356,0)</f>
        <v>0</v>
      </c>
      <c r="AX356">
        <f>IF(AND(D356=1,AU356&gt;=0,AU355&lt;0,MIN($AU$2:AU356)&lt;0),1,0)</f>
        <v>0</v>
      </c>
      <c r="AY356">
        <f>IF(Расчёты!F356=0,0,IF(Расчёты!G356=1,N('Сценарный анализ'!$D$5),IF(Расчёты!G356=2,N('Сценарный анализ'!$D$6),IF(Расчёты!G356=3,N('Сценарный анализ'!$D$7),N('Сценарный анализ'!$D$7)*(1+N('Сценарный анализ'!$D$8))^(Расчёты!G356-3)))))</f>
        <v>0</v>
      </c>
      <c r="AZ356">
        <f>IF(OR(Расчёты!F356=0,N('Исходные данные'!$B$5)=0,AY356=0),0,N('Исходные данные'!$B$5)*AY356*IF(AND(B356&lt;='Исходные данные'!$B$30,Расчёты!C356&gt;='Исходные данные'!$B$30),(Расчёты!C356-'Исходные данные'!$B$30+1)/DAY(Расчёты!C356),1))</f>
        <v>0</v>
      </c>
      <c r="BA356">
        <f>IF(AND(Расчёты!F356&gt;0,Расчёты!F356&lt;=N('Исходные данные'!$B$37)),-AZ356,0)</f>
        <v>0</v>
      </c>
      <c r="BB356">
        <f>IF(OR(Расчёты!F356=0,Расчёты!F356&lt;=N('Исходные данные'!$B$37)),0,-(AZ356+BA356)*N('Сценарный анализ'!$D$9))</f>
        <v>0</v>
      </c>
      <c r="BC356">
        <f t="shared" si="186"/>
        <v>0</v>
      </c>
      <c r="BD356">
        <f>IF('Исходные данные'!$B$51="Да",BC356*N('Исходные данные'!$B$52),0)</f>
        <v>0</v>
      </c>
      <c r="BE356">
        <f t="shared" si="187"/>
        <v>0</v>
      </c>
      <c r="BF356">
        <f>BC356+(Расчёты!Y356-Расчёты!L356)</f>
        <v>0</v>
      </c>
      <c r="BG356">
        <f t="shared" si="174"/>
        <v>0</v>
      </c>
      <c r="BH356">
        <f>IF('Исходные данные'!$B$51="Да",-MAX(0,BD356+Расчёты!R356+Расчёты!V356-Расчёты!P356-Расчёты!T356-BG356),0)</f>
        <v>0</v>
      </c>
      <c r="BI356">
        <f>IF('Исходные данные'!$B$51="Да",MAX(0,BG356+Расчёты!P356+Расчёты!T356-BD356-Расчёты!R356-Расчёты!V356),0)</f>
        <v>0</v>
      </c>
      <c r="BJ356">
        <f>IF('Исходные данные'!$B$53="Выручка",MAX(0,BC356+(Расчёты!Q356-Расчёты!R356)+(Расчёты!U356-Расчёты!V356)),IF('Исходные данные'!$B$53="Прибыль до налога",MAX(0,BC356+(Расчёты!Q356-Расчёты!R356)+(Расчёты!U356-Расчёты!V356)+N('Исходные данные'!$B$54)*((Расчёты!O356+Расчёты!P356)+(Расчёты!S356+Расчёты!T356)+Расчёты!W356+Расчёты!X356)+IF('Исходные данные'!$B$55="Да",Расчёты!AG356,0)-N('Исходные данные'!$B$56)/12),IF('Исходные данные'!$B$53="Пользовательская база",MAX(0,N('Исходные данные'!$B$57)/12),0)))</f>
        <v>0</v>
      </c>
      <c r="BK356">
        <f>IF(D356=1,-BJ356*N('Исходные данные'!$B$50),0)</f>
        <v>0</v>
      </c>
      <c r="BL356">
        <f t="shared" si="175"/>
        <v>0</v>
      </c>
      <c r="BM356">
        <f>IF(OR(D356&lt;&gt;1,B356="",'Исходные данные'!$B$91="",N('Исходные данные'!$B$80)&lt;=0,'Исходные данные'!$B$88=""),0,IF(AND(YEAR(B356)=YEAR('Исходные данные'!$B$91),MONTH(B356)=MONTH('Исходные данные'!$B$91)),MAX(0,IF('Исходные данные'!$B$88="Последние 12 месяцев",SUMIFS($BF$2:$BF$194,$B$2:$B$194,"&gt;="&amp;EDATE(B356,-11),$B$2:$B$194,"&lt;="&amp;B356),IF('Исходные данные'!$B$88="Пользовательский NOI",N('Исходные данные'!$B$89),BL356))/N('Исходные данные'!$B$80)*(1+N('Исходные данные'!$B$81))),0))</f>
        <v>0</v>
      </c>
      <c r="BN356">
        <f>-BM356*N('Исходные данные'!$B$73)</f>
        <v>0</v>
      </c>
      <c r="BO356">
        <f>IF(BM356=0,0,-N('Исходные данные'!$B$87)-IF('Исходные данные'!$B$82="Да",IF('Исходные данные'!$B$84="С выручки",BM356,IF('Исходные данные'!$B$84="С прибыли",MAX(0,BM356+BN356-IF('Исходные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56">
        <f t="shared" si="188"/>
        <v>0</v>
      </c>
      <c r="BQ356">
        <f>IF(D356=1,Расчёты!AZ356+BE356+BH356+BK356+BP356,0)</f>
        <v>0</v>
      </c>
      <c r="BR356" t="str">
        <f t="shared" si="176"/>
        <v/>
      </c>
      <c r="BS356">
        <f>IF(OR(D356=0,'Исходные данные'!$B$9="",'Исходные данные'!$B$90=""),0,BQ356/(1+'Исходные данные'!$B$90)^((C356-'Исходные данные'!$B$9)/365))</f>
        <v>0</v>
      </c>
      <c r="BT356">
        <f>IF(D356=1,BE356+Расчёты!O356+Расчёты!Q356+Расчёты!S356+Расчёты!U356+Расчёты!W356+Расчёты!X356+BH356+BK356,0)</f>
        <v>0</v>
      </c>
      <c r="BU356">
        <f>IF(AND(D356=1,BR356&gt;=0,BR355&lt;0,MIN($BR$2:BR356)&lt;0),1,0)</f>
        <v>0</v>
      </c>
      <c r="BV356">
        <f>Расчёты!AZ356+K356+N356-P356*N('Исходные данные'!$B$50)</f>
        <v>0</v>
      </c>
      <c r="BW356">
        <f t="shared" si="177"/>
        <v>0</v>
      </c>
      <c r="BX356">
        <f>IF(AND(BW356&gt;=0,BW355&lt;0,MIN($BW$2:BW356)&lt;0),1,0)</f>
        <v>0</v>
      </c>
      <c r="BY356">
        <f>Расчёты!AZ356+AH356+AK356-AM356*N('Исходные данные'!$B$50)</f>
        <v>0</v>
      </c>
      <c r="BZ356">
        <f t="shared" si="178"/>
        <v>0</v>
      </c>
      <c r="CA356">
        <f>IF(AND(BZ356&gt;=0,BZ355&lt;0,MIN($BZ$2:BZ356)&lt;0),1,0)</f>
        <v>0</v>
      </c>
      <c r="CB356">
        <f>Расчёты!AZ356+BE356+BH356-BJ356*N('Исходные данные'!$B$50)</f>
        <v>0</v>
      </c>
      <c r="CC356">
        <f t="shared" si="179"/>
        <v>0</v>
      </c>
      <c r="CD356">
        <f>IF(AND(CC356&gt;=0,CC355&lt;0,MIN($CC$2:CC356)&lt;0),1,0)</f>
        <v>0</v>
      </c>
    </row>
    <row r="357" spans="1:82" x14ac:dyDescent="0.2">
      <c r="A357">
        <f>Расчёты!A357</f>
        <v>356</v>
      </c>
      <c r="B357" t="str">
        <f>Расчёты!B357</f>
        <v/>
      </c>
      <c r="C357" t="str">
        <f>Расчёты!D357</f>
        <v/>
      </c>
      <c r="D357">
        <f>Расчёты!E357</f>
        <v>0</v>
      </c>
      <c r="E357">
        <f>IF(Расчёты!F357=0,0,IF(Расчёты!G357=1,N('Сценарный анализ'!$B$5),IF(Расчёты!G357=2,N('Сценарный анализ'!$B$6),IF(Расчёты!G357=3,N('Сценарный анализ'!$B$7),N('Сценарный анализ'!$B$7)*(1+N('Сценарный анализ'!$B$8))^(Расчёты!G357-3)))))</f>
        <v>0</v>
      </c>
      <c r="F357">
        <f>IF(OR(Расчёты!F357=0,N('Исходные данные'!$B$5)=0,E357=0),0,N('Исходные данные'!$B$5)*E357*IF(AND(B357&lt;='Исходные данные'!$B$30,Расчёты!C357&gt;='Исходные данные'!$B$30),(Расчёты!C357-'Исходные данные'!$B$30+1)/DAY(Расчёты!C357),1))</f>
        <v>0</v>
      </c>
      <c r="G357">
        <f>IF(AND(Расчёты!F357&gt;0,Расчёты!F357&lt;=N('Исходные данные'!$B$37)),-F357,0)</f>
        <v>0</v>
      </c>
      <c r="H357">
        <f>IF(OR(Расчёты!F357=0,Расчёты!F357&lt;=N('Исходные данные'!$B$37)),0,-(F357+G357)*N('Сценарный анализ'!$B$9))</f>
        <v>0</v>
      </c>
      <c r="I357">
        <f t="shared" si="180"/>
        <v>0</v>
      </c>
      <c r="J357">
        <f>IF('Исходные данные'!$B$51="Да",I357*N('Исходные данные'!$B$52),0)</f>
        <v>0</v>
      </c>
      <c r="K357">
        <f t="shared" si="181"/>
        <v>0</v>
      </c>
      <c r="L357">
        <f>I357+(Расчёты!Y357-Расчёты!L357)</f>
        <v>0</v>
      </c>
      <c r="M357">
        <f t="shared" si="168"/>
        <v>0</v>
      </c>
      <c r="N357">
        <f>IF('Исходные данные'!$B$51="Да",-MAX(0,J357+Расчёты!R357+Расчёты!V357-Расчёты!P357-Расчёты!T357-M357),0)</f>
        <v>0</v>
      </c>
      <c r="O357">
        <f>IF('Исходные данные'!$B$51="Да",MAX(0,M357+Расчёты!P357+Расчёты!T357-J357-Расчёты!R357-Расчёты!V357),0)</f>
        <v>0</v>
      </c>
      <c r="P357">
        <f>IF('Исходные данные'!$B$53="Выручка",MAX(0,I357+(Расчёты!Q357-Расчёты!R357)+(Расчёты!U357-Расчёты!V357)),IF('Исходные данные'!$B$53="Прибыль до налога",MAX(0,I357+(Расчёты!Q357-Расчёты!R357)+(Расчёты!U357-Расчёты!V357)+N('Исходные данные'!$B$54)*((Расчёты!O357+Расчёты!P357)+(Расчёты!S357+Расчёты!T357)+Расчёты!W357+Расчёты!X357)+IF('Исходные данные'!$B$55="Да",Расчёты!AG357,0)-N('Исходные данные'!$B$56)/12),IF('Исходные данные'!$B$53="Пользовательская база",MAX(0,N('Исходные данные'!$B$57)/12),0)))</f>
        <v>0</v>
      </c>
      <c r="Q357">
        <f>IF(D357=1,-P357*N('Исходные данные'!$B$50),0)</f>
        <v>0</v>
      </c>
      <c r="R357">
        <f t="shared" si="169"/>
        <v>0</v>
      </c>
      <c r="S357">
        <f>IF(OR(D357&lt;&gt;1,B357="",'Исходные данные'!$B$91="",N('Исходные данные'!$B$80)&lt;=0,'Исходные данные'!$B$88=""),0,IF(AND(YEAR(B357)=YEAR('Исходные данные'!$B$91),MONTH(B357)=MONTH('Исходные данные'!$B$91)),MAX(0,IF('Исходные данные'!$B$88="Последние 12 месяцев",SUMIFS($L$2:$L$194,$B$2:$B$194,"&gt;="&amp;EDATE(B357,-11),$B$2:$B$194,"&lt;="&amp;B357),IF('Исходные данные'!$B$88="Пользовательский NOI",N('Исходные данные'!$B$89),R357))/N('Исходные данные'!$B$80)*(1+N('Исходные данные'!$B$81))),0))</f>
        <v>0</v>
      </c>
      <c r="T357">
        <f>-S357*N('Исходные данные'!$B$73)</f>
        <v>0</v>
      </c>
      <c r="U357">
        <f>IF(S357=0,0,-N('Исходные данные'!$B$87)-IF('Исходные данные'!$B$82="Да",IF('Исходные данные'!$B$84="С выручки",S357,IF('Исходные данные'!$B$84="С прибыли",MAX(0,S357+T357-IF('Исходные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57">
        <f t="shared" si="182"/>
        <v>0</v>
      </c>
      <c r="W357">
        <f>IF(D357=1,Расчёты!AZ357+K357+N357+Q357+V357,0)</f>
        <v>0</v>
      </c>
      <c r="X357" t="str">
        <f t="shared" si="170"/>
        <v/>
      </c>
      <c r="Y357">
        <f>IF(OR(D357=0,'Исходные данные'!$B$9="",'Исходные данные'!$B$90=""),0,W357/(1+'Исходные данные'!$B$90)^((C357-'Исходные данные'!$B$9)/365))</f>
        <v>0</v>
      </c>
      <c r="Z357">
        <f>IF(D357=1,K357+Расчёты!O357+Расчёты!Q357+Расчёты!S357+Расчёты!U357+Расчёты!W357+Расчёты!X357+N357+Q357,0)</f>
        <v>0</v>
      </c>
      <c r="AA357">
        <f>IF(AND(D357=1,X357&gt;=0,X356&lt;0,MIN($X$2:X357)&lt;0),1,0)</f>
        <v>0</v>
      </c>
      <c r="AB357">
        <f>IF(Расчёты!F357=0,0,IF(Расчёты!G357=1,N('Сценарный анализ'!$C$5),IF(Расчёты!G357=2,N('Сценарный анализ'!$C$6),IF(Расчёты!G357=3,N('Сценарный анализ'!$C$7),N('Сценарный анализ'!$C$7)*(1+N('Сценарный анализ'!$C$8))^(Расчёты!G357-3)))))</f>
        <v>0</v>
      </c>
      <c r="AC357">
        <f>IF(OR(Расчёты!F357=0,N('Исходные данные'!$B$5)=0,AB357=0),0,N('Исходные данные'!$B$5)*AB357*IF(AND(B357&lt;='Исходные данные'!$B$30,Расчёты!C357&gt;='Исходные данные'!$B$30),(Расчёты!C357-'Исходные данные'!$B$30+1)/DAY(Расчёты!C357),1))</f>
        <v>0</v>
      </c>
      <c r="AD357">
        <f>IF(AND(Расчёты!F357&gt;0,Расчёты!F357&lt;=N('Исходные данные'!$B$37)),-AC357,0)</f>
        <v>0</v>
      </c>
      <c r="AE357">
        <f>IF(OR(Расчёты!F357=0,Расчёты!F357&lt;=N('Исходные данные'!$B$37)),0,-(AC357+AD357)*N('Сценарный анализ'!$C$9))</f>
        <v>0</v>
      </c>
      <c r="AF357">
        <f t="shared" si="183"/>
        <v>0</v>
      </c>
      <c r="AG357">
        <f>IF('Исходные данные'!$B$51="Да",AF357*N('Исходные данные'!$B$52),0)</f>
        <v>0</v>
      </c>
      <c r="AH357">
        <f t="shared" si="184"/>
        <v>0</v>
      </c>
      <c r="AI357">
        <f>AF357+(Расчёты!Y357-Расчёты!L357)</f>
        <v>0</v>
      </c>
      <c r="AJ357">
        <f t="shared" si="171"/>
        <v>0</v>
      </c>
      <c r="AK357">
        <f>IF('Исходные данные'!$B$51="Да",-MAX(0,AG357+Расчёты!R357+Расчёты!V357-Расчёты!P357-Расчёты!T357-AJ357),0)</f>
        <v>0</v>
      </c>
      <c r="AL357">
        <f>IF('Исходные данные'!$B$51="Да",MAX(0,AJ357+Расчёты!P357+Расчёты!T357-AG357-Расчёты!R357-Расчёты!V357),0)</f>
        <v>0</v>
      </c>
      <c r="AM357">
        <f>IF('Исходные данные'!$B$53="Выручка",MAX(0,AF357+(Расчёты!Q357-Расчёты!R357)+(Расчёты!U357-Расчёты!V357)),IF('Исходные данные'!$B$53="Прибыль до налога",MAX(0,AF357+(Расчёты!Q357-Расчёты!R357)+(Расчёты!U357-Расчёты!V357)+N('Исходные данные'!$B$54)*((Расчёты!O357+Расчёты!P357)+(Расчёты!S357+Расчёты!T357)+Расчёты!W357+Расчёты!X357)+IF('Исходные данные'!$B$55="Да",Расчёты!AG357,0)-N('Исходные данные'!$B$56)/12),IF('Исходные данные'!$B$53="Пользовательская база",MAX(0,N('Исходные данные'!$B$57)/12),0)))</f>
        <v>0</v>
      </c>
      <c r="AN357">
        <f>IF(D357=1,-AM357*N('Исходные данные'!$B$50),0)</f>
        <v>0</v>
      </c>
      <c r="AO357">
        <f t="shared" si="172"/>
        <v>0</v>
      </c>
      <c r="AP357">
        <f>IF(OR(D357&lt;&gt;1,B357="",'Исходные данные'!$B$91="",N('Исходные данные'!$B$80)&lt;=0,'Исходные данные'!$B$88=""),0,IF(AND(YEAR(B357)=YEAR('Исходные данные'!$B$91),MONTH(B357)=MONTH('Исходные данные'!$B$91)),MAX(0,IF('Исходные данные'!$B$88="Последние 12 месяцев",SUMIFS($AI$2:$AI$194,$B$2:$B$194,"&gt;="&amp;EDATE(B357,-11),$B$2:$B$194,"&lt;="&amp;B357),IF('Исходные данные'!$B$88="Пользовательский NOI",N('Исходные данные'!$B$89),AO357))/N('Исходные данные'!$B$80)*(1+N('Исходные данные'!$B$81))),0))</f>
        <v>0</v>
      </c>
      <c r="AQ357">
        <f>-AP357*N('Исходные данные'!$B$73)</f>
        <v>0</v>
      </c>
      <c r="AR357">
        <f>IF(AP357=0,0,-N('Исходные данные'!$B$87)-IF('Исходные данные'!$B$82="Да",IF('Исходные данные'!$B$84="С выручки",AP357,IF('Исходные данные'!$B$84="С прибыли",MAX(0,AP357+AQ357-IF('Исходные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57">
        <f t="shared" si="185"/>
        <v>0</v>
      </c>
      <c r="AT357">
        <f>IF(D357=1,Расчёты!AZ357+AH357+AK357+AN357+AS357,0)</f>
        <v>0</v>
      </c>
      <c r="AU357" t="str">
        <f t="shared" si="173"/>
        <v/>
      </c>
      <c r="AV357">
        <f>IF(OR(D357=0,'Исходные данные'!$B$9="",'Исходные данные'!$B$90=""),0,AT357/(1+'Исходные данные'!$B$90)^((C357-'Исходные данные'!$B$9)/365))</f>
        <v>0</v>
      </c>
      <c r="AW357">
        <f>IF(D357=1,AH357+Расчёты!O357+Расчёты!Q357+Расчёты!S357+Расчёты!U357+Расчёты!W357+Расчёты!X357+AK357+AN357,0)</f>
        <v>0</v>
      </c>
      <c r="AX357">
        <f>IF(AND(D357=1,AU357&gt;=0,AU356&lt;0,MIN($AU$2:AU357)&lt;0),1,0)</f>
        <v>0</v>
      </c>
      <c r="AY357">
        <f>IF(Расчёты!F357=0,0,IF(Расчёты!G357=1,N('Сценарный анализ'!$D$5),IF(Расчёты!G357=2,N('Сценарный анализ'!$D$6),IF(Расчёты!G357=3,N('Сценарный анализ'!$D$7),N('Сценарный анализ'!$D$7)*(1+N('Сценарный анализ'!$D$8))^(Расчёты!G357-3)))))</f>
        <v>0</v>
      </c>
      <c r="AZ357">
        <f>IF(OR(Расчёты!F357=0,N('Исходные данные'!$B$5)=0,AY357=0),0,N('Исходные данные'!$B$5)*AY357*IF(AND(B357&lt;='Исходные данные'!$B$30,Расчёты!C357&gt;='Исходные данные'!$B$30),(Расчёты!C357-'Исходные данные'!$B$30+1)/DAY(Расчёты!C357),1))</f>
        <v>0</v>
      </c>
      <c r="BA357">
        <f>IF(AND(Расчёты!F357&gt;0,Расчёты!F357&lt;=N('Исходные данные'!$B$37)),-AZ357,0)</f>
        <v>0</v>
      </c>
      <c r="BB357">
        <f>IF(OR(Расчёты!F357=0,Расчёты!F357&lt;=N('Исходные данные'!$B$37)),0,-(AZ357+BA357)*N('Сценарный анализ'!$D$9))</f>
        <v>0</v>
      </c>
      <c r="BC357">
        <f t="shared" si="186"/>
        <v>0</v>
      </c>
      <c r="BD357">
        <f>IF('Исходные данные'!$B$51="Да",BC357*N('Исходные данные'!$B$52),0)</f>
        <v>0</v>
      </c>
      <c r="BE357">
        <f t="shared" si="187"/>
        <v>0</v>
      </c>
      <c r="BF357">
        <f>BC357+(Расчёты!Y357-Расчёты!L357)</f>
        <v>0</v>
      </c>
      <c r="BG357">
        <f t="shared" si="174"/>
        <v>0</v>
      </c>
      <c r="BH357">
        <f>IF('Исходные данные'!$B$51="Да",-MAX(0,BD357+Расчёты!R357+Расчёты!V357-Расчёты!P357-Расчёты!T357-BG357),0)</f>
        <v>0</v>
      </c>
      <c r="BI357">
        <f>IF('Исходные данные'!$B$51="Да",MAX(0,BG357+Расчёты!P357+Расчёты!T357-BD357-Расчёты!R357-Расчёты!V357),0)</f>
        <v>0</v>
      </c>
      <c r="BJ357">
        <f>IF('Исходные данные'!$B$53="Выручка",MAX(0,BC357+(Расчёты!Q357-Расчёты!R357)+(Расчёты!U357-Расчёты!V357)),IF('Исходные данные'!$B$53="Прибыль до налога",MAX(0,BC357+(Расчёты!Q357-Расчёты!R357)+(Расчёты!U357-Расчёты!V357)+N('Исходные данные'!$B$54)*((Расчёты!O357+Расчёты!P357)+(Расчёты!S357+Расчёты!T357)+Расчёты!W357+Расчёты!X357)+IF('Исходные данные'!$B$55="Да",Расчёты!AG357,0)-N('Исходные данные'!$B$56)/12),IF('Исходные данные'!$B$53="Пользовательская база",MAX(0,N('Исходные данные'!$B$57)/12),0)))</f>
        <v>0</v>
      </c>
      <c r="BK357">
        <f>IF(D357=1,-BJ357*N('Исходные данные'!$B$50),0)</f>
        <v>0</v>
      </c>
      <c r="BL357">
        <f t="shared" si="175"/>
        <v>0</v>
      </c>
      <c r="BM357">
        <f>IF(OR(D357&lt;&gt;1,B357="",'Исходные данные'!$B$91="",N('Исходные данные'!$B$80)&lt;=0,'Исходные данные'!$B$88=""),0,IF(AND(YEAR(B357)=YEAR('Исходные данные'!$B$91),MONTH(B357)=MONTH('Исходные данные'!$B$91)),MAX(0,IF('Исходные данные'!$B$88="Последние 12 месяцев",SUMIFS($BF$2:$BF$194,$B$2:$B$194,"&gt;="&amp;EDATE(B357,-11),$B$2:$B$194,"&lt;="&amp;B357),IF('Исходные данные'!$B$88="Пользовательский NOI",N('Исходные данные'!$B$89),BL357))/N('Исходные данные'!$B$80)*(1+N('Исходные данные'!$B$81))),0))</f>
        <v>0</v>
      </c>
      <c r="BN357">
        <f>-BM357*N('Исходные данные'!$B$73)</f>
        <v>0</v>
      </c>
      <c r="BO357">
        <f>IF(BM357=0,0,-N('Исходные данные'!$B$87)-IF('Исходные данные'!$B$82="Да",IF('Исходные данные'!$B$84="С выручки",BM357,IF('Исходные данные'!$B$84="С прибыли",MAX(0,BM357+BN357-IF('Исходные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57">
        <f t="shared" si="188"/>
        <v>0</v>
      </c>
      <c r="BQ357">
        <f>IF(D357=1,Расчёты!AZ357+BE357+BH357+BK357+BP357,0)</f>
        <v>0</v>
      </c>
      <c r="BR357" t="str">
        <f t="shared" si="176"/>
        <v/>
      </c>
      <c r="BS357">
        <f>IF(OR(D357=0,'Исходные данные'!$B$9="",'Исходные данные'!$B$90=""),0,BQ357/(1+'Исходные данные'!$B$90)^((C357-'Исходные данные'!$B$9)/365))</f>
        <v>0</v>
      </c>
      <c r="BT357">
        <f>IF(D357=1,BE357+Расчёты!O357+Расчёты!Q357+Расчёты!S357+Расчёты!U357+Расчёты!W357+Расчёты!X357+BH357+BK357,0)</f>
        <v>0</v>
      </c>
      <c r="BU357">
        <f>IF(AND(D357=1,BR357&gt;=0,BR356&lt;0,MIN($BR$2:BR357)&lt;0),1,0)</f>
        <v>0</v>
      </c>
      <c r="BV357">
        <f>Расчёты!AZ357+K357+N357-P357*N('Исходные данные'!$B$50)</f>
        <v>0</v>
      </c>
      <c r="BW357">
        <f t="shared" si="177"/>
        <v>0</v>
      </c>
      <c r="BX357">
        <f>IF(AND(BW357&gt;=0,BW356&lt;0,MIN($BW$2:BW357)&lt;0),1,0)</f>
        <v>0</v>
      </c>
      <c r="BY357">
        <f>Расчёты!AZ357+AH357+AK357-AM357*N('Исходные данные'!$B$50)</f>
        <v>0</v>
      </c>
      <c r="BZ357">
        <f t="shared" si="178"/>
        <v>0</v>
      </c>
      <c r="CA357">
        <f>IF(AND(BZ357&gt;=0,BZ356&lt;0,MIN($BZ$2:BZ357)&lt;0),1,0)</f>
        <v>0</v>
      </c>
      <c r="CB357">
        <f>Расчёты!AZ357+BE357+BH357-BJ357*N('Исходные данные'!$B$50)</f>
        <v>0</v>
      </c>
      <c r="CC357">
        <f t="shared" si="179"/>
        <v>0</v>
      </c>
      <c r="CD357">
        <f>IF(AND(CC357&gt;=0,CC356&lt;0,MIN($CC$2:CC357)&lt;0),1,0)</f>
        <v>0</v>
      </c>
    </row>
    <row r="358" spans="1:82" x14ac:dyDescent="0.2">
      <c r="A358">
        <f>Расчёты!A358</f>
        <v>357</v>
      </c>
      <c r="B358" t="str">
        <f>Расчёты!B358</f>
        <v/>
      </c>
      <c r="C358" t="str">
        <f>Расчёты!D358</f>
        <v/>
      </c>
      <c r="D358">
        <f>Расчёты!E358</f>
        <v>0</v>
      </c>
      <c r="E358">
        <f>IF(Расчёты!F358=0,0,IF(Расчёты!G358=1,N('Сценарный анализ'!$B$5),IF(Расчёты!G358=2,N('Сценарный анализ'!$B$6),IF(Расчёты!G358=3,N('Сценарный анализ'!$B$7),N('Сценарный анализ'!$B$7)*(1+N('Сценарный анализ'!$B$8))^(Расчёты!G358-3)))))</f>
        <v>0</v>
      </c>
      <c r="F358">
        <f>IF(OR(Расчёты!F358=0,N('Исходные данные'!$B$5)=0,E358=0),0,N('Исходные данные'!$B$5)*E358*IF(AND(B358&lt;='Исходные данные'!$B$30,Расчёты!C358&gt;='Исходные данные'!$B$30),(Расчёты!C358-'Исходные данные'!$B$30+1)/DAY(Расчёты!C358),1))</f>
        <v>0</v>
      </c>
      <c r="G358">
        <f>IF(AND(Расчёты!F358&gt;0,Расчёты!F358&lt;=N('Исходные данные'!$B$37)),-F358,0)</f>
        <v>0</v>
      </c>
      <c r="H358">
        <f>IF(OR(Расчёты!F358=0,Расчёты!F358&lt;=N('Исходные данные'!$B$37)),0,-(F358+G358)*N('Сценарный анализ'!$B$9))</f>
        <v>0</v>
      </c>
      <c r="I358">
        <f t="shared" si="180"/>
        <v>0</v>
      </c>
      <c r="J358">
        <f>IF('Исходные данные'!$B$51="Да",I358*N('Исходные данные'!$B$52),0)</f>
        <v>0</v>
      </c>
      <c r="K358">
        <f t="shared" si="181"/>
        <v>0</v>
      </c>
      <c r="L358">
        <f>I358+(Расчёты!Y358-Расчёты!L358)</f>
        <v>0</v>
      </c>
      <c r="M358">
        <f t="shared" si="168"/>
        <v>0</v>
      </c>
      <c r="N358">
        <f>IF('Исходные данные'!$B$51="Да",-MAX(0,J358+Расчёты!R358+Расчёты!V358-Расчёты!P358-Расчёты!T358-M358),0)</f>
        <v>0</v>
      </c>
      <c r="O358">
        <f>IF('Исходные данные'!$B$51="Да",MAX(0,M358+Расчёты!P358+Расчёты!T358-J358-Расчёты!R358-Расчёты!V358),0)</f>
        <v>0</v>
      </c>
      <c r="P358">
        <f>IF('Исходные данные'!$B$53="Выручка",MAX(0,I358+(Расчёты!Q358-Расчёты!R358)+(Расчёты!U358-Расчёты!V358)),IF('Исходные данные'!$B$53="Прибыль до налога",MAX(0,I358+(Расчёты!Q358-Расчёты!R358)+(Расчёты!U358-Расчёты!V358)+N('Исходные данные'!$B$54)*((Расчёты!O358+Расчёты!P358)+(Расчёты!S358+Расчёты!T358)+Расчёты!W358+Расчёты!X358)+IF('Исходные данные'!$B$55="Да",Расчёты!AG358,0)-N('Исходные данные'!$B$56)/12),IF('Исходные данные'!$B$53="Пользовательская база",MAX(0,N('Исходные данные'!$B$57)/12),0)))</f>
        <v>0</v>
      </c>
      <c r="Q358">
        <f>IF(D358=1,-P358*N('Исходные данные'!$B$50),0)</f>
        <v>0</v>
      </c>
      <c r="R358">
        <f t="shared" si="169"/>
        <v>0</v>
      </c>
      <c r="S358">
        <f>IF(OR(D358&lt;&gt;1,B358="",'Исходные данные'!$B$91="",N('Исходные данные'!$B$80)&lt;=0,'Исходные данные'!$B$88=""),0,IF(AND(YEAR(B358)=YEAR('Исходные данные'!$B$91),MONTH(B358)=MONTH('Исходные данные'!$B$91)),MAX(0,IF('Исходные данные'!$B$88="Последние 12 месяцев",SUMIFS($L$2:$L$194,$B$2:$B$194,"&gt;="&amp;EDATE(B358,-11),$B$2:$B$194,"&lt;="&amp;B358),IF('Исходные данные'!$B$88="Пользовательский NOI",N('Исходные данные'!$B$89),R358))/N('Исходные данные'!$B$80)*(1+N('Исходные данные'!$B$81))),0))</f>
        <v>0</v>
      </c>
      <c r="T358">
        <f>-S358*N('Исходные данные'!$B$73)</f>
        <v>0</v>
      </c>
      <c r="U358">
        <f>IF(S358=0,0,-N('Исходные данные'!$B$87)-IF('Исходные данные'!$B$82="Да",IF('Исходные данные'!$B$84="С выручки",S358,IF('Исходные данные'!$B$84="С прибыли",MAX(0,S358+T358-IF('Исходные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58">
        <f t="shared" si="182"/>
        <v>0</v>
      </c>
      <c r="W358">
        <f>IF(D358=1,Расчёты!AZ358+K358+N358+Q358+V358,0)</f>
        <v>0</v>
      </c>
      <c r="X358" t="str">
        <f t="shared" si="170"/>
        <v/>
      </c>
      <c r="Y358">
        <f>IF(OR(D358=0,'Исходные данные'!$B$9="",'Исходные данные'!$B$90=""),0,W358/(1+'Исходные данные'!$B$90)^((C358-'Исходные данные'!$B$9)/365))</f>
        <v>0</v>
      </c>
      <c r="Z358">
        <f>IF(D358=1,K358+Расчёты!O358+Расчёты!Q358+Расчёты!S358+Расчёты!U358+Расчёты!W358+Расчёты!X358+N358+Q358,0)</f>
        <v>0</v>
      </c>
      <c r="AA358">
        <f>IF(AND(D358=1,X358&gt;=0,X357&lt;0,MIN($X$2:X358)&lt;0),1,0)</f>
        <v>0</v>
      </c>
      <c r="AB358">
        <f>IF(Расчёты!F358=0,0,IF(Расчёты!G358=1,N('Сценарный анализ'!$C$5),IF(Расчёты!G358=2,N('Сценарный анализ'!$C$6),IF(Расчёты!G358=3,N('Сценарный анализ'!$C$7),N('Сценарный анализ'!$C$7)*(1+N('Сценарный анализ'!$C$8))^(Расчёты!G358-3)))))</f>
        <v>0</v>
      </c>
      <c r="AC358">
        <f>IF(OR(Расчёты!F358=0,N('Исходные данные'!$B$5)=0,AB358=0),0,N('Исходные данные'!$B$5)*AB358*IF(AND(B358&lt;='Исходные данные'!$B$30,Расчёты!C358&gt;='Исходные данные'!$B$30),(Расчёты!C358-'Исходные данные'!$B$30+1)/DAY(Расчёты!C358),1))</f>
        <v>0</v>
      </c>
      <c r="AD358">
        <f>IF(AND(Расчёты!F358&gt;0,Расчёты!F358&lt;=N('Исходные данные'!$B$37)),-AC358,0)</f>
        <v>0</v>
      </c>
      <c r="AE358">
        <f>IF(OR(Расчёты!F358=0,Расчёты!F358&lt;=N('Исходные данные'!$B$37)),0,-(AC358+AD358)*N('Сценарный анализ'!$C$9))</f>
        <v>0</v>
      </c>
      <c r="AF358">
        <f t="shared" si="183"/>
        <v>0</v>
      </c>
      <c r="AG358">
        <f>IF('Исходные данные'!$B$51="Да",AF358*N('Исходные данные'!$B$52),0)</f>
        <v>0</v>
      </c>
      <c r="AH358">
        <f t="shared" si="184"/>
        <v>0</v>
      </c>
      <c r="AI358">
        <f>AF358+(Расчёты!Y358-Расчёты!L358)</f>
        <v>0</v>
      </c>
      <c r="AJ358">
        <f t="shared" si="171"/>
        <v>0</v>
      </c>
      <c r="AK358">
        <f>IF('Исходные данные'!$B$51="Да",-MAX(0,AG358+Расчёты!R358+Расчёты!V358-Расчёты!P358-Расчёты!T358-AJ358),0)</f>
        <v>0</v>
      </c>
      <c r="AL358">
        <f>IF('Исходные данные'!$B$51="Да",MAX(0,AJ358+Расчёты!P358+Расчёты!T358-AG358-Расчёты!R358-Расчёты!V358),0)</f>
        <v>0</v>
      </c>
      <c r="AM358">
        <f>IF('Исходные данные'!$B$53="Выручка",MAX(0,AF358+(Расчёты!Q358-Расчёты!R358)+(Расчёты!U358-Расчёты!V358)),IF('Исходные данные'!$B$53="Прибыль до налога",MAX(0,AF358+(Расчёты!Q358-Расчёты!R358)+(Расчёты!U358-Расчёты!V358)+N('Исходные данные'!$B$54)*((Расчёты!O358+Расчёты!P358)+(Расчёты!S358+Расчёты!T358)+Расчёты!W358+Расчёты!X358)+IF('Исходные данные'!$B$55="Да",Расчёты!AG358,0)-N('Исходные данные'!$B$56)/12),IF('Исходные данные'!$B$53="Пользовательская база",MAX(0,N('Исходные данные'!$B$57)/12),0)))</f>
        <v>0</v>
      </c>
      <c r="AN358">
        <f>IF(D358=1,-AM358*N('Исходные данные'!$B$50),0)</f>
        <v>0</v>
      </c>
      <c r="AO358">
        <f t="shared" si="172"/>
        <v>0</v>
      </c>
      <c r="AP358">
        <f>IF(OR(D358&lt;&gt;1,B358="",'Исходные данные'!$B$91="",N('Исходные данные'!$B$80)&lt;=0,'Исходные данные'!$B$88=""),0,IF(AND(YEAR(B358)=YEAR('Исходные данные'!$B$91),MONTH(B358)=MONTH('Исходные данные'!$B$91)),MAX(0,IF('Исходные данные'!$B$88="Последние 12 месяцев",SUMIFS($AI$2:$AI$194,$B$2:$B$194,"&gt;="&amp;EDATE(B358,-11),$B$2:$B$194,"&lt;="&amp;B358),IF('Исходные данные'!$B$88="Пользовательский NOI",N('Исходные данные'!$B$89),AO358))/N('Исходные данные'!$B$80)*(1+N('Исходные данные'!$B$81))),0))</f>
        <v>0</v>
      </c>
      <c r="AQ358">
        <f>-AP358*N('Исходные данные'!$B$73)</f>
        <v>0</v>
      </c>
      <c r="AR358">
        <f>IF(AP358=0,0,-N('Исходные данные'!$B$87)-IF('Исходные данные'!$B$82="Да",IF('Исходные данные'!$B$84="С выручки",AP358,IF('Исходные данные'!$B$84="С прибыли",MAX(0,AP358+AQ358-IF('Исходные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58">
        <f t="shared" si="185"/>
        <v>0</v>
      </c>
      <c r="AT358">
        <f>IF(D358=1,Расчёты!AZ358+AH358+AK358+AN358+AS358,0)</f>
        <v>0</v>
      </c>
      <c r="AU358" t="str">
        <f t="shared" si="173"/>
        <v/>
      </c>
      <c r="AV358">
        <f>IF(OR(D358=0,'Исходные данные'!$B$9="",'Исходные данные'!$B$90=""),0,AT358/(1+'Исходные данные'!$B$90)^((C358-'Исходные данные'!$B$9)/365))</f>
        <v>0</v>
      </c>
      <c r="AW358">
        <f>IF(D358=1,AH358+Расчёты!O358+Расчёты!Q358+Расчёты!S358+Расчёты!U358+Расчёты!W358+Расчёты!X358+AK358+AN358,0)</f>
        <v>0</v>
      </c>
      <c r="AX358">
        <f>IF(AND(D358=1,AU358&gt;=0,AU357&lt;0,MIN($AU$2:AU358)&lt;0),1,0)</f>
        <v>0</v>
      </c>
      <c r="AY358">
        <f>IF(Расчёты!F358=0,0,IF(Расчёты!G358=1,N('Сценарный анализ'!$D$5),IF(Расчёты!G358=2,N('Сценарный анализ'!$D$6),IF(Расчёты!G358=3,N('Сценарный анализ'!$D$7),N('Сценарный анализ'!$D$7)*(1+N('Сценарный анализ'!$D$8))^(Расчёты!G358-3)))))</f>
        <v>0</v>
      </c>
      <c r="AZ358">
        <f>IF(OR(Расчёты!F358=0,N('Исходные данные'!$B$5)=0,AY358=0),0,N('Исходные данные'!$B$5)*AY358*IF(AND(B358&lt;='Исходные данные'!$B$30,Расчёты!C358&gt;='Исходные данные'!$B$30),(Расчёты!C358-'Исходные данные'!$B$30+1)/DAY(Расчёты!C358),1))</f>
        <v>0</v>
      </c>
      <c r="BA358">
        <f>IF(AND(Расчёты!F358&gt;0,Расчёты!F358&lt;=N('Исходные данные'!$B$37)),-AZ358,0)</f>
        <v>0</v>
      </c>
      <c r="BB358">
        <f>IF(OR(Расчёты!F358=0,Расчёты!F358&lt;=N('Исходные данные'!$B$37)),0,-(AZ358+BA358)*N('Сценарный анализ'!$D$9))</f>
        <v>0</v>
      </c>
      <c r="BC358">
        <f t="shared" si="186"/>
        <v>0</v>
      </c>
      <c r="BD358">
        <f>IF('Исходные данные'!$B$51="Да",BC358*N('Исходные данные'!$B$52),0)</f>
        <v>0</v>
      </c>
      <c r="BE358">
        <f t="shared" si="187"/>
        <v>0</v>
      </c>
      <c r="BF358">
        <f>BC358+(Расчёты!Y358-Расчёты!L358)</f>
        <v>0</v>
      </c>
      <c r="BG358">
        <f t="shared" si="174"/>
        <v>0</v>
      </c>
      <c r="BH358">
        <f>IF('Исходные данные'!$B$51="Да",-MAX(0,BD358+Расчёты!R358+Расчёты!V358-Расчёты!P358-Расчёты!T358-BG358),0)</f>
        <v>0</v>
      </c>
      <c r="BI358">
        <f>IF('Исходные данные'!$B$51="Да",MAX(0,BG358+Расчёты!P358+Расчёты!T358-BD358-Расчёты!R358-Расчёты!V358),0)</f>
        <v>0</v>
      </c>
      <c r="BJ358">
        <f>IF('Исходные данные'!$B$53="Выручка",MAX(0,BC358+(Расчёты!Q358-Расчёты!R358)+(Расчёты!U358-Расчёты!V358)),IF('Исходные данные'!$B$53="Прибыль до налога",MAX(0,BC358+(Расчёты!Q358-Расчёты!R358)+(Расчёты!U358-Расчёты!V358)+N('Исходные данные'!$B$54)*((Расчёты!O358+Расчёты!P358)+(Расчёты!S358+Расчёты!T358)+Расчёты!W358+Расчёты!X358)+IF('Исходные данные'!$B$55="Да",Расчёты!AG358,0)-N('Исходные данные'!$B$56)/12),IF('Исходные данные'!$B$53="Пользовательская база",MAX(0,N('Исходные данные'!$B$57)/12),0)))</f>
        <v>0</v>
      </c>
      <c r="BK358">
        <f>IF(D358=1,-BJ358*N('Исходные данные'!$B$50),0)</f>
        <v>0</v>
      </c>
      <c r="BL358">
        <f t="shared" si="175"/>
        <v>0</v>
      </c>
      <c r="BM358">
        <f>IF(OR(D358&lt;&gt;1,B358="",'Исходные данные'!$B$91="",N('Исходные данные'!$B$80)&lt;=0,'Исходные данные'!$B$88=""),0,IF(AND(YEAR(B358)=YEAR('Исходные данные'!$B$91),MONTH(B358)=MONTH('Исходные данные'!$B$91)),MAX(0,IF('Исходные данные'!$B$88="Последние 12 месяцев",SUMIFS($BF$2:$BF$194,$B$2:$B$194,"&gt;="&amp;EDATE(B358,-11),$B$2:$B$194,"&lt;="&amp;B358),IF('Исходные данные'!$B$88="Пользовательский NOI",N('Исходные данные'!$B$89),BL358))/N('Исходные данные'!$B$80)*(1+N('Исходные данные'!$B$81))),0))</f>
        <v>0</v>
      </c>
      <c r="BN358">
        <f>-BM358*N('Исходные данные'!$B$73)</f>
        <v>0</v>
      </c>
      <c r="BO358">
        <f>IF(BM358=0,0,-N('Исходные данные'!$B$87)-IF('Исходные данные'!$B$82="Да",IF('Исходные данные'!$B$84="С выручки",BM358,IF('Исходные данные'!$B$84="С прибыли",MAX(0,BM358+BN358-IF('Исходные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58">
        <f t="shared" si="188"/>
        <v>0</v>
      </c>
      <c r="BQ358">
        <f>IF(D358=1,Расчёты!AZ358+BE358+BH358+BK358+BP358,0)</f>
        <v>0</v>
      </c>
      <c r="BR358" t="str">
        <f t="shared" si="176"/>
        <v/>
      </c>
      <c r="BS358">
        <f>IF(OR(D358=0,'Исходные данные'!$B$9="",'Исходные данные'!$B$90=""),0,BQ358/(1+'Исходные данные'!$B$90)^((C358-'Исходные данные'!$B$9)/365))</f>
        <v>0</v>
      </c>
      <c r="BT358">
        <f>IF(D358=1,BE358+Расчёты!O358+Расчёты!Q358+Расчёты!S358+Расчёты!U358+Расчёты!W358+Расчёты!X358+BH358+BK358,0)</f>
        <v>0</v>
      </c>
      <c r="BU358">
        <f>IF(AND(D358=1,BR358&gt;=0,BR357&lt;0,MIN($BR$2:BR358)&lt;0),1,0)</f>
        <v>0</v>
      </c>
      <c r="BV358">
        <f>Расчёты!AZ358+K358+N358-P358*N('Исходные данные'!$B$50)</f>
        <v>0</v>
      </c>
      <c r="BW358">
        <f t="shared" si="177"/>
        <v>0</v>
      </c>
      <c r="BX358">
        <f>IF(AND(BW358&gt;=0,BW357&lt;0,MIN($BW$2:BW358)&lt;0),1,0)</f>
        <v>0</v>
      </c>
      <c r="BY358">
        <f>Расчёты!AZ358+AH358+AK358-AM358*N('Исходные данные'!$B$50)</f>
        <v>0</v>
      </c>
      <c r="BZ358">
        <f t="shared" si="178"/>
        <v>0</v>
      </c>
      <c r="CA358">
        <f>IF(AND(BZ358&gt;=0,BZ357&lt;0,MIN($BZ$2:BZ358)&lt;0),1,0)</f>
        <v>0</v>
      </c>
      <c r="CB358">
        <f>Расчёты!AZ358+BE358+BH358-BJ358*N('Исходные данные'!$B$50)</f>
        <v>0</v>
      </c>
      <c r="CC358">
        <f t="shared" si="179"/>
        <v>0</v>
      </c>
      <c r="CD358">
        <f>IF(AND(CC358&gt;=0,CC357&lt;0,MIN($CC$2:CC358)&lt;0),1,0)</f>
        <v>0</v>
      </c>
    </row>
    <row r="359" spans="1:82" x14ac:dyDescent="0.2">
      <c r="A359">
        <f>Расчёты!A359</f>
        <v>358</v>
      </c>
      <c r="B359" t="str">
        <f>Расчёты!B359</f>
        <v/>
      </c>
      <c r="C359" t="str">
        <f>Расчёты!D359</f>
        <v/>
      </c>
      <c r="D359">
        <f>Расчёты!E359</f>
        <v>0</v>
      </c>
      <c r="E359">
        <f>IF(Расчёты!F359=0,0,IF(Расчёты!G359=1,N('Сценарный анализ'!$B$5),IF(Расчёты!G359=2,N('Сценарный анализ'!$B$6),IF(Расчёты!G359=3,N('Сценарный анализ'!$B$7),N('Сценарный анализ'!$B$7)*(1+N('Сценарный анализ'!$B$8))^(Расчёты!G359-3)))))</f>
        <v>0</v>
      </c>
      <c r="F359">
        <f>IF(OR(Расчёты!F359=0,N('Исходные данные'!$B$5)=0,E359=0),0,N('Исходные данные'!$B$5)*E359*IF(AND(B359&lt;='Исходные данные'!$B$30,Расчёты!C359&gt;='Исходные данные'!$B$30),(Расчёты!C359-'Исходные данные'!$B$30+1)/DAY(Расчёты!C359),1))</f>
        <v>0</v>
      </c>
      <c r="G359">
        <f>IF(AND(Расчёты!F359&gt;0,Расчёты!F359&lt;=N('Исходные данные'!$B$37)),-F359,0)</f>
        <v>0</v>
      </c>
      <c r="H359">
        <f>IF(OR(Расчёты!F359=0,Расчёты!F359&lt;=N('Исходные данные'!$B$37)),0,-(F359+G359)*N('Сценарный анализ'!$B$9))</f>
        <v>0</v>
      </c>
      <c r="I359">
        <f t="shared" si="180"/>
        <v>0</v>
      </c>
      <c r="J359">
        <f>IF('Исходные данные'!$B$51="Да",I359*N('Исходные данные'!$B$52),0)</f>
        <v>0</v>
      </c>
      <c r="K359">
        <f t="shared" si="181"/>
        <v>0</v>
      </c>
      <c r="L359">
        <f>I359+(Расчёты!Y359-Расчёты!L359)</f>
        <v>0</v>
      </c>
      <c r="M359">
        <f t="shared" si="168"/>
        <v>0</v>
      </c>
      <c r="N359">
        <f>IF('Исходные данные'!$B$51="Да",-MAX(0,J359+Расчёты!R359+Расчёты!V359-Расчёты!P359-Расчёты!T359-M359),0)</f>
        <v>0</v>
      </c>
      <c r="O359">
        <f>IF('Исходные данные'!$B$51="Да",MAX(0,M359+Расчёты!P359+Расчёты!T359-J359-Расчёты!R359-Расчёты!V359),0)</f>
        <v>0</v>
      </c>
      <c r="P359">
        <f>IF('Исходные данные'!$B$53="Выручка",MAX(0,I359+(Расчёты!Q359-Расчёты!R359)+(Расчёты!U359-Расчёты!V359)),IF('Исходные данные'!$B$53="Прибыль до налога",MAX(0,I359+(Расчёты!Q359-Расчёты!R359)+(Расчёты!U359-Расчёты!V359)+N('Исходные данные'!$B$54)*((Расчёты!O359+Расчёты!P359)+(Расчёты!S359+Расчёты!T359)+Расчёты!W359+Расчёты!X359)+IF('Исходные данные'!$B$55="Да",Расчёты!AG359,0)-N('Исходные данные'!$B$56)/12),IF('Исходные данные'!$B$53="Пользовательская база",MAX(0,N('Исходные данные'!$B$57)/12),0)))</f>
        <v>0</v>
      </c>
      <c r="Q359">
        <f>IF(D359=1,-P359*N('Исходные данные'!$B$50),0)</f>
        <v>0</v>
      </c>
      <c r="R359">
        <f t="shared" si="169"/>
        <v>0</v>
      </c>
      <c r="S359">
        <f>IF(OR(D359&lt;&gt;1,B359="",'Исходные данные'!$B$91="",N('Исходные данные'!$B$80)&lt;=0,'Исходные данные'!$B$88=""),0,IF(AND(YEAR(B359)=YEAR('Исходные данные'!$B$91),MONTH(B359)=MONTH('Исходные данные'!$B$91)),MAX(0,IF('Исходные данные'!$B$88="Последние 12 месяцев",SUMIFS($L$2:$L$194,$B$2:$B$194,"&gt;="&amp;EDATE(B359,-11),$B$2:$B$194,"&lt;="&amp;B359),IF('Исходные данные'!$B$88="Пользовательский NOI",N('Исходные данные'!$B$89),R359))/N('Исходные данные'!$B$80)*(1+N('Исходные данные'!$B$81))),0))</f>
        <v>0</v>
      </c>
      <c r="T359">
        <f>-S359*N('Исходные данные'!$B$73)</f>
        <v>0</v>
      </c>
      <c r="U359">
        <f>IF(S359=0,0,-N('Исходные данные'!$B$87)-IF('Исходные данные'!$B$82="Да",IF('Исходные данные'!$B$84="С выручки",S359,IF('Исходные данные'!$B$84="С прибыли",MAX(0,S359+T359-IF('Исходные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59">
        <f t="shared" si="182"/>
        <v>0</v>
      </c>
      <c r="W359">
        <f>IF(D359=1,Расчёты!AZ359+K359+N359+Q359+V359,0)</f>
        <v>0</v>
      </c>
      <c r="X359" t="str">
        <f t="shared" si="170"/>
        <v/>
      </c>
      <c r="Y359">
        <f>IF(OR(D359=0,'Исходные данные'!$B$9="",'Исходные данные'!$B$90=""),0,W359/(1+'Исходные данные'!$B$90)^((C359-'Исходные данные'!$B$9)/365))</f>
        <v>0</v>
      </c>
      <c r="Z359">
        <f>IF(D359=1,K359+Расчёты!O359+Расчёты!Q359+Расчёты!S359+Расчёты!U359+Расчёты!W359+Расчёты!X359+N359+Q359,0)</f>
        <v>0</v>
      </c>
      <c r="AA359">
        <f>IF(AND(D359=1,X359&gt;=0,X358&lt;0,MIN($X$2:X359)&lt;0),1,0)</f>
        <v>0</v>
      </c>
      <c r="AB359">
        <f>IF(Расчёты!F359=0,0,IF(Расчёты!G359=1,N('Сценарный анализ'!$C$5),IF(Расчёты!G359=2,N('Сценарный анализ'!$C$6),IF(Расчёты!G359=3,N('Сценарный анализ'!$C$7),N('Сценарный анализ'!$C$7)*(1+N('Сценарный анализ'!$C$8))^(Расчёты!G359-3)))))</f>
        <v>0</v>
      </c>
      <c r="AC359">
        <f>IF(OR(Расчёты!F359=0,N('Исходные данные'!$B$5)=0,AB359=0),0,N('Исходные данные'!$B$5)*AB359*IF(AND(B359&lt;='Исходные данные'!$B$30,Расчёты!C359&gt;='Исходные данные'!$B$30),(Расчёты!C359-'Исходные данные'!$B$30+1)/DAY(Расчёты!C359),1))</f>
        <v>0</v>
      </c>
      <c r="AD359">
        <f>IF(AND(Расчёты!F359&gt;0,Расчёты!F359&lt;=N('Исходные данные'!$B$37)),-AC359,0)</f>
        <v>0</v>
      </c>
      <c r="AE359">
        <f>IF(OR(Расчёты!F359=0,Расчёты!F359&lt;=N('Исходные данные'!$B$37)),0,-(AC359+AD359)*N('Сценарный анализ'!$C$9))</f>
        <v>0</v>
      </c>
      <c r="AF359">
        <f t="shared" si="183"/>
        <v>0</v>
      </c>
      <c r="AG359">
        <f>IF('Исходные данные'!$B$51="Да",AF359*N('Исходные данные'!$B$52),0)</f>
        <v>0</v>
      </c>
      <c r="AH359">
        <f t="shared" si="184"/>
        <v>0</v>
      </c>
      <c r="AI359">
        <f>AF359+(Расчёты!Y359-Расчёты!L359)</f>
        <v>0</v>
      </c>
      <c r="AJ359">
        <f t="shared" si="171"/>
        <v>0</v>
      </c>
      <c r="AK359">
        <f>IF('Исходные данные'!$B$51="Да",-MAX(0,AG359+Расчёты!R359+Расчёты!V359-Расчёты!P359-Расчёты!T359-AJ359),0)</f>
        <v>0</v>
      </c>
      <c r="AL359">
        <f>IF('Исходные данные'!$B$51="Да",MAX(0,AJ359+Расчёты!P359+Расчёты!T359-AG359-Расчёты!R359-Расчёты!V359),0)</f>
        <v>0</v>
      </c>
      <c r="AM359">
        <f>IF('Исходные данные'!$B$53="Выручка",MAX(0,AF359+(Расчёты!Q359-Расчёты!R359)+(Расчёты!U359-Расчёты!V359)),IF('Исходные данные'!$B$53="Прибыль до налога",MAX(0,AF359+(Расчёты!Q359-Расчёты!R359)+(Расчёты!U359-Расчёты!V359)+N('Исходные данные'!$B$54)*((Расчёты!O359+Расчёты!P359)+(Расчёты!S359+Расчёты!T359)+Расчёты!W359+Расчёты!X359)+IF('Исходные данные'!$B$55="Да",Расчёты!AG359,0)-N('Исходные данные'!$B$56)/12),IF('Исходные данные'!$B$53="Пользовательская база",MAX(0,N('Исходные данные'!$B$57)/12),0)))</f>
        <v>0</v>
      </c>
      <c r="AN359">
        <f>IF(D359=1,-AM359*N('Исходные данные'!$B$50),0)</f>
        <v>0</v>
      </c>
      <c r="AO359">
        <f t="shared" si="172"/>
        <v>0</v>
      </c>
      <c r="AP359">
        <f>IF(OR(D359&lt;&gt;1,B359="",'Исходные данные'!$B$91="",N('Исходные данные'!$B$80)&lt;=0,'Исходные данные'!$B$88=""),0,IF(AND(YEAR(B359)=YEAR('Исходные данные'!$B$91),MONTH(B359)=MONTH('Исходные данные'!$B$91)),MAX(0,IF('Исходные данные'!$B$88="Последние 12 месяцев",SUMIFS($AI$2:$AI$194,$B$2:$B$194,"&gt;="&amp;EDATE(B359,-11),$B$2:$B$194,"&lt;="&amp;B359),IF('Исходные данные'!$B$88="Пользовательский NOI",N('Исходные данные'!$B$89),AO359))/N('Исходные данные'!$B$80)*(1+N('Исходные данные'!$B$81))),0))</f>
        <v>0</v>
      </c>
      <c r="AQ359">
        <f>-AP359*N('Исходные данные'!$B$73)</f>
        <v>0</v>
      </c>
      <c r="AR359">
        <f>IF(AP359=0,0,-N('Исходные данные'!$B$87)-IF('Исходные данные'!$B$82="Да",IF('Исходные данные'!$B$84="С выручки",AP359,IF('Исходные данные'!$B$84="С прибыли",MAX(0,AP359+AQ359-IF('Исходные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59">
        <f t="shared" si="185"/>
        <v>0</v>
      </c>
      <c r="AT359">
        <f>IF(D359=1,Расчёты!AZ359+AH359+AK359+AN359+AS359,0)</f>
        <v>0</v>
      </c>
      <c r="AU359" t="str">
        <f t="shared" si="173"/>
        <v/>
      </c>
      <c r="AV359">
        <f>IF(OR(D359=0,'Исходные данные'!$B$9="",'Исходные данные'!$B$90=""),0,AT359/(1+'Исходные данные'!$B$90)^((C359-'Исходные данные'!$B$9)/365))</f>
        <v>0</v>
      </c>
      <c r="AW359">
        <f>IF(D359=1,AH359+Расчёты!O359+Расчёты!Q359+Расчёты!S359+Расчёты!U359+Расчёты!W359+Расчёты!X359+AK359+AN359,0)</f>
        <v>0</v>
      </c>
      <c r="AX359">
        <f>IF(AND(D359=1,AU359&gt;=0,AU358&lt;0,MIN($AU$2:AU359)&lt;0),1,0)</f>
        <v>0</v>
      </c>
      <c r="AY359">
        <f>IF(Расчёты!F359=0,0,IF(Расчёты!G359=1,N('Сценарный анализ'!$D$5),IF(Расчёты!G359=2,N('Сценарный анализ'!$D$6),IF(Расчёты!G359=3,N('Сценарный анализ'!$D$7),N('Сценарный анализ'!$D$7)*(1+N('Сценарный анализ'!$D$8))^(Расчёты!G359-3)))))</f>
        <v>0</v>
      </c>
      <c r="AZ359">
        <f>IF(OR(Расчёты!F359=0,N('Исходные данные'!$B$5)=0,AY359=0),0,N('Исходные данные'!$B$5)*AY359*IF(AND(B359&lt;='Исходные данные'!$B$30,Расчёты!C359&gt;='Исходные данные'!$B$30),(Расчёты!C359-'Исходные данные'!$B$30+1)/DAY(Расчёты!C359),1))</f>
        <v>0</v>
      </c>
      <c r="BA359">
        <f>IF(AND(Расчёты!F359&gt;0,Расчёты!F359&lt;=N('Исходные данные'!$B$37)),-AZ359,0)</f>
        <v>0</v>
      </c>
      <c r="BB359">
        <f>IF(OR(Расчёты!F359=0,Расчёты!F359&lt;=N('Исходные данные'!$B$37)),0,-(AZ359+BA359)*N('Сценарный анализ'!$D$9))</f>
        <v>0</v>
      </c>
      <c r="BC359">
        <f t="shared" si="186"/>
        <v>0</v>
      </c>
      <c r="BD359">
        <f>IF('Исходные данные'!$B$51="Да",BC359*N('Исходные данные'!$B$52),0)</f>
        <v>0</v>
      </c>
      <c r="BE359">
        <f t="shared" si="187"/>
        <v>0</v>
      </c>
      <c r="BF359">
        <f>BC359+(Расчёты!Y359-Расчёты!L359)</f>
        <v>0</v>
      </c>
      <c r="BG359">
        <f t="shared" si="174"/>
        <v>0</v>
      </c>
      <c r="BH359">
        <f>IF('Исходные данные'!$B$51="Да",-MAX(0,BD359+Расчёты!R359+Расчёты!V359-Расчёты!P359-Расчёты!T359-BG359),0)</f>
        <v>0</v>
      </c>
      <c r="BI359">
        <f>IF('Исходные данные'!$B$51="Да",MAX(0,BG359+Расчёты!P359+Расчёты!T359-BD359-Расчёты!R359-Расчёты!V359),0)</f>
        <v>0</v>
      </c>
      <c r="BJ359">
        <f>IF('Исходные данные'!$B$53="Выручка",MAX(0,BC359+(Расчёты!Q359-Расчёты!R359)+(Расчёты!U359-Расчёты!V359)),IF('Исходные данные'!$B$53="Прибыль до налога",MAX(0,BC359+(Расчёты!Q359-Расчёты!R359)+(Расчёты!U359-Расчёты!V359)+N('Исходные данные'!$B$54)*((Расчёты!O359+Расчёты!P359)+(Расчёты!S359+Расчёты!T359)+Расчёты!W359+Расчёты!X359)+IF('Исходные данные'!$B$55="Да",Расчёты!AG359,0)-N('Исходные данные'!$B$56)/12),IF('Исходные данные'!$B$53="Пользовательская база",MAX(0,N('Исходные данные'!$B$57)/12),0)))</f>
        <v>0</v>
      </c>
      <c r="BK359">
        <f>IF(D359=1,-BJ359*N('Исходные данные'!$B$50),0)</f>
        <v>0</v>
      </c>
      <c r="BL359">
        <f t="shared" si="175"/>
        <v>0</v>
      </c>
      <c r="BM359">
        <f>IF(OR(D359&lt;&gt;1,B359="",'Исходные данные'!$B$91="",N('Исходные данные'!$B$80)&lt;=0,'Исходные данные'!$B$88=""),0,IF(AND(YEAR(B359)=YEAR('Исходные данные'!$B$91),MONTH(B359)=MONTH('Исходные данные'!$B$91)),MAX(0,IF('Исходные данные'!$B$88="Последние 12 месяцев",SUMIFS($BF$2:$BF$194,$B$2:$B$194,"&gt;="&amp;EDATE(B359,-11),$B$2:$B$194,"&lt;="&amp;B359),IF('Исходные данные'!$B$88="Пользовательский NOI",N('Исходные данные'!$B$89),BL359))/N('Исходные данные'!$B$80)*(1+N('Исходные данные'!$B$81))),0))</f>
        <v>0</v>
      </c>
      <c r="BN359">
        <f>-BM359*N('Исходные данные'!$B$73)</f>
        <v>0</v>
      </c>
      <c r="BO359">
        <f>IF(BM359=0,0,-N('Исходные данные'!$B$87)-IF('Исходные данные'!$B$82="Да",IF('Исходные данные'!$B$84="С выручки",BM359,IF('Исходные данные'!$B$84="С прибыли",MAX(0,BM359+BN359-IF('Исходные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59">
        <f t="shared" si="188"/>
        <v>0</v>
      </c>
      <c r="BQ359">
        <f>IF(D359=1,Расчёты!AZ359+BE359+BH359+BK359+BP359,0)</f>
        <v>0</v>
      </c>
      <c r="BR359" t="str">
        <f t="shared" si="176"/>
        <v/>
      </c>
      <c r="BS359">
        <f>IF(OR(D359=0,'Исходные данные'!$B$9="",'Исходные данные'!$B$90=""),0,BQ359/(1+'Исходные данные'!$B$90)^((C359-'Исходные данные'!$B$9)/365))</f>
        <v>0</v>
      </c>
      <c r="BT359">
        <f>IF(D359=1,BE359+Расчёты!O359+Расчёты!Q359+Расчёты!S359+Расчёты!U359+Расчёты!W359+Расчёты!X359+BH359+BK359,0)</f>
        <v>0</v>
      </c>
      <c r="BU359">
        <f>IF(AND(D359=1,BR359&gt;=0,BR358&lt;0,MIN($BR$2:BR359)&lt;0),1,0)</f>
        <v>0</v>
      </c>
      <c r="BV359">
        <f>Расчёты!AZ359+K359+N359-P359*N('Исходные данные'!$B$50)</f>
        <v>0</v>
      </c>
      <c r="BW359">
        <f t="shared" si="177"/>
        <v>0</v>
      </c>
      <c r="BX359">
        <f>IF(AND(BW359&gt;=0,BW358&lt;0,MIN($BW$2:BW359)&lt;0),1,0)</f>
        <v>0</v>
      </c>
      <c r="BY359">
        <f>Расчёты!AZ359+AH359+AK359-AM359*N('Исходные данные'!$B$50)</f>
        <v>0</v>
      </c>
      <c r="BZ359">
        <f t="shared" si="178"/>
        <v>0</v>
      </c>
      <c r="CA359">
        <f>IF(AND(BZ359&gt;=0,BZ358&lt;0,MIN($BZ$2:BZ359)&lt;0),1,0)</f>
        <v>0</v>
      </c>
      <c r="CB359">
        <f>Расчёты!AZ359+BE359+BH359-BJ359*N('Исходные данные'!$B$50)</f>
        <v>0</v>
      </c>
      <c r="CC359">
        <f t="shared" si="179"/>
        <v>0</v>
      </c>
      <c r="CD359">
        <f>IF(AND(CC359&gt;=0,CC358&lt;0,MIN($CC$2:CC359)&lt;0),1,0)</f>
        <v>0</v>
      </c>
    </row>
    <row r="360" spans="1:82" x14ac:dyDescent="0.2">
      <c r="A360">
        <f>Расчёты!A360</f>
        <v>359</v>
      </c>
      <c r="B360" t="str">
        <f>Расчёты!B360</f>
        <v/>
      </c>
      <c r="C360" t="str">
        <f>Расчёты!D360</f>
        <v/>
      </c>
      <c r="D360">
        <f>Расчёты!E360</f>
        <v>0</v>
      </c>
      <c r="E360">
        <f>IF(Расчёты!F360=0,0,IF(Расчёты!G360=1,N('Сценарный анализ'!$B$5),IF(Расчёты!G360=2,N('Сценарный анализ'!$B$6),IF(Расчёты!G360=3,N('Сценарный анализ'!$B$7),N('Сценарный анализ'!$B$7)*(1+N('Сценарный анализ'!$B$8))^(Расчёты!G360-3)))))</f>
        <v>0</v>
      </c>
      <c r="F360">
        <f>IF(OR(Расчёты!F360=0,N('Исходные данные'!$B$5)=0,E360=0),0,N('Исходные данные'!$B$5)*E360*IF(AND(B360&lt;='Исходные данные'!$B$30,Расчёты!C360&gt;='Исходные данные'!$B$30),(Расчёты!C360-'Исходные данные'!$B$30+1)/DAY(Расчёты!C360),1))</f>
        <v>0</v>
      </c>
      <c r="G360">
        <f>IF(AND(Расчёты!F360&gt;0,Расчёты!F360&lt;=N('Исходные данные'!$B$37)),-F360,0)</f>
        <v>0</v>
      </c>
      <c r="H360">
        <f>IF(OR(Расчёты!F360=0,Расчёты!F360&lt;=N('Исходные данные'!$B$37)),0,-(F360+G360)*N('Сценарный анализ'!$B$9))</f>
        <v>0</v>
      </c>
      <c r="I360">
        <f t="shared" si="180"/>
        <v>0</v>
      </c>
      <c r="J360">
        <f>IF('Исходные данные'!$B$51="Да",I360*N('Исходные данные'!$B$52),0)</f>
        <v>0</v>
      </c>
      <c r="K360">
        <f t="shared" si="181"/>
        <v>0</v>
      </c>
      <c r="L360">
        <f>I360+(Расчёты!Y360-Расчёты!L360)</f>
        <v>0</v>
      </c>
      <c r="M360">
        <f t="shared" si="168"/>
        <v>0</v>
      </c>
      <c r="N360">
        <f>IF('Исходные данные'!$B$51="Да",-MAX(0,J360+Расчёты!R360+Расчёты!V360-Расчёты!P360-Расчёты!T360-M360),0)</f>
        <v>0</v>
      </c>
      <c r="O360">
        <f>IF('Исходные данные'!$B$51="Да",MAX(0,M360+Расчёты!P360+Расчёты!T360-J360-Расчёты!R360-Расчёты!V360),0)</f>
        <v>0</v>
      </c>
      <c r="P360">
        <f>IF('Исходные данные'!$B$53="Выручка",MAX(0,I360+(Расчёты!Q360-Расчёты!R360)+(Расчёты!U360-Расчёты!V360)),IF('Исходные данные'!$B$53="Прибыль до налога",MAX(0,I360+(Расчёты!Q360-Расчёты!R360)+(Расчёты!U360-Расчёты!V360)+N('Исходные данные'!$B$54)*((Расчёты!O360+Расчёты!P360)+(Расчёты!S360+Расчёты!T360)+Расчёты!W360+Расчёты!X360)+IF('Исходные данные'!$B$55="Да",Расчёты!AG360,0)-N('Исходные данные'!$B$56)/12),IF('Исходные данные'!$B$53="Пользовательская база",MAX(0,N('Исходные данные'!$B$57)/12),0)))</f>
        <v>0</v>
      </c>
      <c r="Q360">
        <f>IF(D360=1,-P360*N('Исходные данные'!$B$50),0)</f>
        <v>0</v>
      </c>
      <c r="R360">
        <f t="shared" si="169"/>
        <v>0</v>
      </c>
      <c r="S360">
        <f>IF(OR(D360&lt;&gt;1,B360="",'Исходные данные'!$B$91="",N('Исходные данные'!$B$80)&lt;=0,'Исходные данные'!$B$88=""),0,IF(AND(YEAR(B360)=YEAR('Исходные данные'!$B$91),MONTH(B360)=MONTH('Исходные данные'!$B$91)),MAX(0,IF('Исходные данные'!$B$88="Последние 12 месяцев",SUMIFS($L$2:$L$194,$B$2:$B$194,"&gt;="&amp;EDATE(B360,-11),$B$2:$B$194,"&lt;="&amp;B360),IF('Исходные данные'!$B$88="Пользовательский NOI",N('Исходные данные'!$B$89),R360))/N('Исходные данные'!$B$80)*(1+N('Исходные данные'!$B$81))),0))</f>
        <v>0</v>
      </c>
      <c r="T360">
        <f>-S360*N('Исходные данные'!$B$73)</f>
        <v>0</v>
      </c>
      <c r="U360">
        <f>IF(S360=0,0,-N('Исходные данные'!$B$87)-IF('Исходные данные'!$B$82="Да",IF('Исходные данные'!$B$84="С выручки",S360,IF('Исходные данные'!$B$84="С прибыли",MAX(0,S360+T360-IF('Исходные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60">
        <f t="shared" si="182"/>
        <v>0</v>
      </c>
      <c r="W360">
        <f>IF(D360=1,Расчёты!AZ360+K360+N360+Q360+V360,0)</f>
        <v>0</v>
      </c>
      <c r="X360" t="str">
        <f t="shared" si="170"/>
        <v/>
      </c>
      <c r="Y360">
        <f>IF(OR(D360=0,'Исходные данные'!$B$9="",'Исходные данные'!$B$90=""),0,W360/(1+'Исходные данные'!$B$90)^((C360-'Исходные данные'!$B$9)/365))</f>
        <v>0</v>
      </c>
      <c r="Z360">
        <f>IF(D360=1,K360+Расчёты!O360+Расчёты!Q360+Расчёты!S360+Расчёты!U360+Расчёты!W360+Расчёты!X360+N360+Q360,0)</f>
        <v>0</v>
      </c>
      <c r="AA360">
        <f>IF(AND(D360=1,X360&gt;=0,X359&lt;0,MIN($X$2:X360)&lt;0),1,0)</f>
        <v>0</v>
      </c>
      <c r="AB360">
        <f>IF(Расчёты!F360=0,0,IF(Расчёты!G360=1,N('Сценарный анализ'!$C$5),IF(Расчёты!G360=2,N('Сценарный анализ'!$C$6),IF(Расчёты!G360=3,N('Сценарный анализ'!$C$7),N('Сценарный анализ'!$C$7)*(1+N('Сценарный анализ'!$C$8))^(Расчёты!G360-3)))))</f>
        <v>0</v>
      </c>
      <c r="AC360">
        <f>IF(OR(Расчёты!F360=0,N('Исходные данные'!$B$5)=0,AB360=0),0,N('Исходные данные'!$B$5)*AB360*IF(AND(B360&lt;='Исходные данные'!$B$30,Расчёты!C360&gt;='Исходные данные'!$B$30),(Расчёты!C360-'Исходные данные'!$B$30+1)/DAY(Расчёты!C360),1))</f>
        <v>0</v>
      </c>
      <c r="AD360">
        <f>IF(AND(Расчёты!F360&gt;0,Расчёты!F360&lt;=N('Исходные данные'!$B$37)),-AC360,0)</f>
        <v>0</v>
      </c>
      <c r="AE360">
        <f>IF(OR(Расчёты!F360=0,Расчёты!F360&lt;=N('Исходные данные'!$B$37)),0,-(AC360+AD360)*N('Сценарный анализ'!$C$9))</f>
        <v>0</v>
      </c>
      <c r="AF360">
        <f t="shared" si="183"/>
        <v>0</v>
      </c>
      <c r="AG360">
        <f>IF('Исходные данные'!$B$51="Да",AF360*N('Исходные данные'!$B$52),0)</f>
        <v>0</v>
      </c>
      <c r="AH360">
        <f t="shared" si="184"/>
        <v>0</v>
      </c>
      <c r="AI360">
        <f>AF360+(Расчёты!Y360-Расчёты!L360)</f>
        <v>0</v>
      </c>
      <c r="AJ360">
        <f t="shared" si="171"/>
        <v>0</v>
      </c>
      <c r="AK360">
        <f>IF('Исходные данные'!$B$51="Да",-MAX(0,AG360+Расчёты!R360+Расчёты!V360-Расчёты!P360-Расчёты!T360-AJ360),0)</f>
        <v>0</v>
      </c>
      <c r="AL360">
        <f>IF('Исходные данные'!$B$51="Да",MAX(0,AJ360+Расчёты!P360+Расчёты!T360-AG360-Расчёты!R360-Расчёты!V360),0)</f>
        <v>0</v>
      </c>
      <c r="AM360">
        <f>IF('Исходные данные'!$B$53="Выручка",MAX(0,AF360+(Расчёты!Q360-Расчёты!R360)+(Расчёты!U360-Расчёты!V360)),IF('Исходные данные'!$B$53="Прибыль до налога",MAX(0,AF360+(Расчёты!Q360-Расчёты!R360)+(Расчёты!U360-Расчёты!V360)+N('Исходные данные'!$B$54)*((Расчёты!O360+Расчёты!P360)+(Расчёты!S360+Расчёты!T360)+Расчёты!W360+Расчёты!X360)+IF('Исходные данные'!$B$55="Да",Расчёты!AG360,0)-N('Исходные данные'!$B$56)/12),IF('Исходные данные'!$B$53="Пользовательская база",MAX(0,N('Исходные данные'!$B$57)/12),0)))</f>
        <v>0</v>
      </c>
      <c r="AN360">
        <f>IF(D360=1,-AM360*N('Исходные данные'!$B$50),0)</f>
        <v>0</v>
      </c>
      <c r="AO360">
        <f t="shared" si="172"/>
        <v>0</v>
      </c>
      <c r="AP360">
        <f>IF(OR(D360&lt;&gt;1,B360="",'Исходные данные'!$B$91="",N('Исходные данные'!$B$80)&lt;=0,'Исходные данные'!$B$88=""),0,IF(AND(YEAR(B360)=YEAR('Исходные данные'!$B$91),MONTH(B360)=MONTH('Исходные данные'!$B$91)),MAX(0,IF('Исходные данные'!$B$88="Последние 12 месяцев",SUMIFS($AI$2:$AI$194,$B$2:$B$194,"&gt;="&amp;EDATE(B360,-11),$B$2:$B$194,"&lt;="&amp;B360),IF('Исходные данные'!$B$88="Пользовательский NOI",N('Исходные данные'!$B$89),AO360))/N('Исходные данные'!$B$80)*(1+N('Исходные данные'!$B$81))),0))</f>
        <v>0</v>
      </c>
      <c r="AQ360">
        <f>-AP360*N('Исходные данные'!$B$73)</f>
        <v>0</v>
      </c>
      <c r="AR360">
        <f>IF(AP360=0,0,-N('Исходные данные'!$B$87)-IF('Исходные данные'!$B$82="Да",IF('Исходные данные'!$B$84="С выручки",AP360,IF('Исходные данные'!$B$84="С прибыли",MAX(0,AP360+AQ360-IF('Исходные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60">
        <f t="shared" si="185"/>
        <v>0</v>
      </c>
      <c r="AT360">
        <f>IF(D360=1,Расчёты!AZ360+AH360+AK360+AN360+AS360,0)</f>
        <v>0</v>
      </c>
      <c r="AU360" t="str">
        <f t="shared" si="173"/>
        <v/>
      </c>
      <c r="AV360">
        <f>IF(OR(D360=0,'Исходные данные'!$B$9="",'Исходные данные'!$B$90=""),0,AT360/(1+'Исходные данные'!$B$90)^((C360-'Исходные данные'!$B$9)/365))</f>
        <v>0</v>
      </c>
      <c r="AW360">
        <f>IF(D360=1,AH360+Расчёты!O360+Расчёты!Q360+Расчёты!S360+Расчёты!U360+Расчёты!W360+Расчёты!X360+AK360+AN360,0)</f>
        <v>0</v>
      </c>
      <c r="AX360">
        <f>IF(AND(D360=1,AU360&gt;=0,AU359&lt;0,MIN($AU$2:AU360)&lt;0),1,0)</f>
        <v>0</v>
      </c>
      <c r="AY360">
        <f>IF(Расчёты!F360=0,0,IF(Расчёты!G360=1,N('Сценарный анализ'!$D$5),IF(Расчёты!G360=2,N('Сценарный анализ'!$D$6),IF(Расчёты!G360=3,N('Сценарный анализ'!$D$7),N('Сценарный анализ'!$D$7)*(1+N('Сценарный анализ'!$D$8))^(Расчёты!G360-3)))))</f>
        <v>0</v>
      </c>
      <c r="AZ360">
        <f>IF(OR(Расчёты!F360=0,N('Исходные данные'!$B$5)=0,AY360=0),0,N('Исходные данные'!$B$5)*AY360*IF(AND(B360&lt;='Исходные данные'!$B$30,Расчёты!C360&gt;='Исходные данные'!$B$30),(Расчёты!C360-'Исходные данные'!$B$30+1)/DAY(Расчёты!C360),1))</f>
        <v>0</v>
      </c>
      <c r="BA360">
        <f>IF(AND(Расчёты!F360&gt;0,Расчёты!F360&lt;=N('Исходные данные'!$B$37)),-AZ360,0)</f>
        <v>0</v>
      </c>
      <c r="BB360">
        <f>IF(OR(Расчёты!F360=0,Расчёты!F360&lt;=N('Исходные данные'!$B$37)),0,-(AZ360+BA360)*N('Сценарный анализ'!$D$9))</f>
        <v>0</v>
      </c>
      <c r="BC360">
        <f t="shared" si="186"/>
        <v>0</v>
      </c>
      <c r="BD360">
        <f>IF('Исходные данные'!$B$51="Да",BC360*N('Исходные данные'!$B$52),0)</f>
        <v>0</v>
      </c>
      <c r="BE360">
        <f t="shared" si="187"/>
        <v>0</v>
      </c>
      <c r="BF360">
        <f>BC360+(Расчёты!Y360-Расчёты!L360)</f>
        <v>0</v>
      </c>
      <c r="BG360">
        <f t="shared" si="174"/>
        <v>0</v>
      </c>
      <c r="BH360">
        <f>IF('Исходные данные'!$B$51="Да",-MAX(0,BD360+Расчёты!R360+Расчёты!V360-Расчёты!P360-Расчёты!T360-BG360),0)</f>
        <v>0</v>
      </c>
      <c r="BI360">
        <f>IF('Исходные данные'!$B$51="Да",MAX(0,BG360+Расчёты!P360+Расчёты!T360-BD360-Расчёты!R360-Расчёты!V360),0)</f>
        <v>0</v>
      </c>
      <c r="BJ360">
        <f>IF('Исходные данные'!$B$53="Выручка",MAX(0,BC360+(Расчёты!Q360-Расчёты!R360)+(Расчёты!U360-Расчёты!V360)),IF('Исходные данные'!$B$53="Прибыль до налога",MAX(0,BC360+(Расчёты!Q360-Расчёты!R360)+(Расчёты!U360-Расчёты!V360)+N('Исходные данные'!$B$54)*((Расчёты!O360+Расчёты!P360)+(Расчёты!S360+Расчёты!T360)+Расчёты!W360+Расчёты!X360)+IF('Исходные данные'!$B$55="Да",Расчёты!AG360,0)-N('Исходные данные'!$B$56)/12),IF('Исходные данные'!$B$53="Пользовательская база",MAX(0,N('Исходные данные'!$B$57)/12),0)))</f>
        <v>0</v>
      </c>
      <c r="BK360">
        <f>IF(D360=1,-BJ360*N('Исходные данные'!$B$50),0)</f>
        <v>0</v>
      </c>
      <c r="BL360">
        <f t="shared" si="175"/>
        <v>0</v>
      </c>
      <c r="BM360">
        <f>IF(OR(D360&lt;&gt;1,B360="",'Исходные данные'!$B$91="",N('Исходные данные'!$B$80)&lt;=0,'Исходные данные'!$B$88=""),0,IF(AND(YEAR(B360)=YEAR('Исходные данные'!$B$91),MONTH(B360)=MONTH('Исходные данные'!$B$91)),MAX(0,IF('Исходные данные'!$B$88="Последние 12 месяцев",SUMIFS($BF$2:$BF$194,$B$2:$B$194,"&gt;="&amp;EDATE(B360,-11),$B$2:$B$194,"&lt;="&amp;B360),IF('Исходные данные'!$B$88="Пользовательский NOI",N('Исходные данные'!$B$89),BL360))/N('Исходные данные'!$B$80)*(1+N('Исходные данные'!$B$81))),0))</f>
        <v>0</v>
      </c>
      <c r="BN360">
        <f>-BM360*N('Исходные данные'!$B$73)</f>
        <v>0</v>
      </c>
      <c r="BO360">
        <f>IF(BM360=0,0,-N('Исходные данные'!$B$87)-IF('Исходные данные'!$B$82="Да",IF('Исходные данные'!$B$84="С выручки",BM360,IF('Исходные данные'!$B$84="С прибыли",MAX(0,BM360+BN360-IF('Исходные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60">
        <f t="shared" si="188"/>
        <v>0</v>
      </c>
      <c r="BQ360">
        <f>IF(D360=1,Расчёты!AZ360+BE360+BH360+BK360+BP360,0)</f>
        <v>0</v>
      </c>
      <c r="BR360" t="str">
        <f t="shared" si="176"/>
        <v/>
      </c>
      <c r="BS360">
        <f>IF(OR(D360=0,'Исходные данные'!$B$9="",'Исходные данные'!$B$90=""),0,BQ360/(1+'Исходные данные'!$B$90)^((C360-'Исходные данные'!$B$9)/365))</f>
        <v>0</v>
      </c>
      <c r="BT360">
        <f>IF(D360=1,BE360+Расчёты!O360+Расчёты!Q360+Расчёты!S360+Расчёты!U360+Расчёты!W360+Расчёты!X360+BH360+BK360,0)</f>
        <v>0</v>
      </c>
      <c r="BU360">
        <f>IF(AND(D360=1,BR360&gt;=0,BR359&lt;0,MIN($BR$2:BR360)&lt;0),1,0)</f>
        <v>0</v>
      </c>
      <c r="BV360">
        <f>Расчёты!AZ360+K360+N360-P360*N('Исходные данные'!$B$50)</f>
        <v>0</v>
      </c>
      <c r="BW360">
        <f t="shared" si="177"/>
        <v>0</v>
      </c>
      <c r="BX360">
        <f>IF(AND(BW360&gt;=0,BW359&lt;0,MIN($BW$2:BW360)&lt;0),1,0)</f>
        <v>0</v>
      </c>
      <c r="BY360">
        <f>Расчёты!AZ360+AH360+AK360-AM360*N('Исходные данные'!$B$50)</f>
        <v>0</v>
      </c>
      <c r="BZ360">
        <f t="shared" si="178"/>
        <v>0</v>
      </c>
      <c r="CA360">
        <f>IF(AND(BZ360&gt;=0,BZ359&lt;0,MIN($BZ$2:BZ360)&lt;0),1,0)</f>
        <v>0</v>
      </c>
      <c r="CB360">
        <f>Расчёты!AZ360+BE360+BH360-BJ360*N('Исходные данные'!$B$50)</f>
        <v>0</v>
      </c>
      <c r="CC360">
        <f t="shared" si="179"/>
        <v>0</v>
      </c>
      <c r="CD360">
        <f>IF(AND(CC360&gt;=0,CC359&lt;0,MIN($CC$2:CC360)&lt;0),1,0)</f>
        <v>0</v>
      </c>
    </row>
    <row r="361" spans="1:82" x14ac:dyDescent="0.2">
      <c r="A361">
        <f>Расчёты!A361</f>
        <v>360</v>
      </c>
      <c r="B361" t="str">
        <f>Расчёты!B361</f>
        <v/>
      </c>
      <c r="C361" t="str">
        <f>Расчёты!D361</f>
        <v/>
      </c>
      <c r="D361">
        <f>Расчёты!E361</f>
        <v>0</v>
      </c>
      <c r="E361">
        <f>IF(Расчёты!F361=0,0,IF(Расчёты!G361=1,N('Сценарный анализ'!$B$5),IF(Расчёты!G361=2,N('Сценарный анализ'!$B$6),IF(Расчёты!G361=3,N('Сценарный анализ'!$B$7),N('Сценарный анализ'!$B$7)*(1+N('Сценарный анализ'!$B$8))^(Расчёты!G361-3)))))</f>
        <v>0</v>
      </c>
      <c r="F361">
        <f>IF(OR(Расчёты!F361=0,N('Исходные данные'!$B$5)=0,E361=0),0,N('Исходные данные'!$B$5)*E361*IF(AND(B361&lt;='Исходные данные'!$B$30,Расчёты!C361&gt;='Исходные данные'!$B$30),(Расчёты!C361-'Исходные данные'!$B$30+1)/DAY(Расчёты!C361),1))</f>
        <v>0</v>
      </c>
      <c r="G361">
        <f>IF(AND(Расчёты!F361&gt;0,Расчёты!F361&lt;=N('Исходные данные'!$B$37)),-F361,0)</f>
        <v>0</v>
      </c>
      <c r="H361">
        <f>IF(OR(Расчёты!F361=0,Расчёты!F361&lt;=N('Исходные данные'!$B$37)),0,-(F361+G361)*N('Сценарный анализ'!$B$9))</f>
        <v>0</v>
      </c>
      <c r="I361">
        <f t="shared" si="180"/>
        <v>0</v>
      </c>
      <c r="J361">
        <f>IF('Исходные данные'!$B$51="Да",I361*N('Исходные данные'!$B$52),0)</f>
        <v>0</v>
      </c>
      <c r="K361">
        <f t="shared" si="181"/>
        <v>0</v>
      </c>
      <c r="L361">
        <f>I361+(Расчёты!Y361-Расчёты!L361)</f>
        <v>0</v>
      </c>
      <c r="M361">
        <f t="shared" si="168"/>
        <v>0</v>
      </c>
      <c r="N361">
        <f>IF('Исходные данные'!$B$51="Да",-MAX(0,J361+Расчёты!R361+Расчёты!V361-Расчёты!P361-Расчёты!T361-M361),0)</f>
        <v>0</v>
      </c>
      <c r="O361">
        <f>IF('Исходные данные'!$B$51="Да",MAX(0,M361+Расчёты!P361+Расчёты!T361-J361-Расчёты!R361-Расчёты!V361),0)</f>
        <v>0</v>
      </c>
      <c r="P361">
        <f>IF('Исходные данные'!$B$53="Выручка",MAX(0,I361+(Расчёты!Q361-Расчёты!R361)+(Расчёты!U361-Расчёты!V361)),IF('Исходные данные'!$B$53="Прибыль до налога",MAX(0,I361+(Расчёты!Q361-Расчёты!R361)+(Расчёты!U361-Расчёты!V361)+N('Исходные данные'!$B$54)*((Расчёты!O361+Расчёты!P361)+(Расчёты!S361+Расчёты!T361)+Расчёты!W361+Расчёты!X361)+IF('Исходные данные'!$B$55="Да",Расчёты!AG361,0)-N('Исходные данные'!$B$56)/12),IF('Исходные данные'!$B$53="Пользовательская база",MAX(0,N('Исходные данные'!$B$57)/12),0)))</f>
        <v>0</v>
      </c>
      <c r="Q361">
        <f>IF(D361=1,-P361*N('Исходные данные'!$B$50),0)</f>
        <v>0</v>
      </c>
      <c r="R361">
        <f t="shared" si="169"/>
        <v>0</v>
      </c>
      <c r="S361">
        <f>IF(OR(D361&lt;&gt;1,B361="",'Исходные данные'!$B$91="",N('Исходные данные'!$B$80)&lt;=0,'Исходные данные'!$B$88=""),0,IF(AND(YEAR(B361)=YEAR('Исходные данные'!$B$91),MONTH(B361)=MONTH('Исходные данные'!$B$91)),MAX(0,IF('Исходные данные'!$B$88="Последние 12 месяцев",SUMIFS($L$2:$L$194,$B$2:$B$194,"&gt;="&amp;EDATE(B361,-11),$B$2:$B$194,"&lt;="&amp;B361),IF('Исходные данные'!$B$88="Пользовательский NOI",N('Исходные данные'!$B$89),R361))/N('Исходные данные'!$B$80)*(1+N('Исходные данные'!$B$81))),0))</f>
        <v>0</v>
      </c>
      <c r="T361">
        <f>-S361*N('Исходные данные'!$B$73)</f>
        <v>0</v>
      </c>
      <c r="U361">
        <f>IF(S361=0,0,-N('Исходные данные'!$B$87)-IF('Исходные данные'!$B$82="Да",IF('Исходные данные'!$B$84="С выручки",S361,IF('Исходные данные'!$B$84="С прибыли",MAX(0,S361+T361-IF('Исходные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61">
        <f t="shared" si="182"/>
        <v>0</v>
      </c>
      <c r="W361">
        <f>IF(D361=1,Расчёты!AZ361+K361+N361+Q361+V361,0)</f>
        <v>0</v>
      </c>
      <c r="X361" t="str">
        <f t="shared" si="170"/>
        <v/>
      </c>
      <c r="Y361">
        <f>IF(OR(D361=0,'Исходные данные'!$B$9="",'Исходные данные'!$B$90=""),0,W361/(1+'Исходные данные'!$B$90)^((C361-'Исходные данные'!$B$9)/365))</f>
        <v>0</v>
      </c>
      <c r="Z361">
        <f>IF(D361=1,K361+Расчёты!O361+Расчёты!Q361+Расчёты!S361+Расчёты!U361+Расчёты!W361+Расчёты!X361+N361+Q361,0)</f>
        <v>0</v>
      </c>
      <c r="AA361">
        <f>IF(AND(D361=1,X361&gt;=0,X360&lt;0,MIN($X$2:X361)&lt;0),1,0)</f>
        <v>0</v>
      </c>
      <c r="AB361">
        <f>IF(Расчёты!F361=0,0,IF(Расчёты!G361=1,N('Сценарный анализ'!$C$5),IF(Расчёты!G361=2,N('Сценарный анализ'!$C$6),IF(Расчёты!G361=3,N('Сценарный анализ'!$C$7),N('Сценарный анализ'!$C$7)*(1+N('Сценарный анализ'!$C$8))^(Расчёты!G361-3)))))</f>
        <v>0</v>
      </c>
      <c r="AC361">
        <f>IF(OR(Расчёты!F361=0,N('Исходные данные'!$B$5)=0,AB361=0),0,N('Исходные данные'!$B$5)*AB361*IF(AND(B361&lt;='Исходные данные'!$B$30,Расчёты!C361&gt;='Исходные данные'!$B$30),(Расчёты!C361-'Исходные данные'!$B$30+1)/DAY(Расчёты!C361),1))</f>
        <v>0</v>
      </c>
      <c r="AD361">
        <f>IF(AND(Расчёты!F361&gt;0,Расчёты!F361&lt;=N('Исходные данные'!$B$37)),-AC361,0)</f>
        <v>0</v>
      </c>
      <c r="AE361">
        <f>IF(OR(Расчёты!F361=0,Расчёты!F361&lt;=N('Исходные данные'!$B$37)),0,-(AC361+AD361)*N('Сценарный анализ'!$C$9))</f>
        <v>0</v>
      </c>
      <c r="AF361">
        <f t="shared" si="183"/>
        <v>0</v>
      </c>
      <c r="AG361">
        <f>IF('Исходные данные'!$B$51="Да",AF361*N('Исходные данные'!$B$52),0)</f>
        <v>0</v>
      </c>
      <c r="AH361">
        <f t="shared" si="184"/>
        <v>0</v>
      </c>
      <c r="AI361">
        <f>AF361+(Расчёты!Y361-Расчёты!L361)</f>
        <v>0</v>
      </c>
      <c r="AJ361">
        <f t="shared" si="171"/>
        <v>0</v>
      </c>
      <c r="AK361">
        <f>IF('Исходные данные'!$B$51="Да",-MAX(0,AG361+Расчёты!R361+Расчёты!V361-Расчёты!P361-Расчёты!T361-AJ361),0)</f>
        <v>0</v>
      </c>
      <c r="AL361">
        <f>IF('Исходные данные'!$B$51="Да",MAX(0,AJ361+Расчёты!P361+Расчёты!T361-AG361-Расчёты!R361-Расчёты!V361),0)</f>
        <v>0</v>
      </c>
      <c r="AM361">
        <f>IF('Исходные данные'!$B$53="Выручка",MAX(0,AF361+(Расчёты!Q361-Расчёты!R361)+(Расчёты!U361-Расчёты!V361)),IF('Исходные данные'!$B$53="Прибыль до налога",MAX(0,AF361+(Расчёты!Q361-Расчёты!R361)+(Расчёты!U361-Расчёты!V361)+N('Исходные данные'!$B$54)*((Расчёты!O361+Расчёты!P361)+(Расчёты!S361+Расчёты!T361)+Расчёты!W361+Расчёты!X361)+IF('Исходные данные'!$B$55="Да",Расчёты!AG361,0)-N('Исходные данные'!$B$56)/12),IF('Исходные данные'!$B$53="Пользовательская база",MAX(0,N('Исходные данные'!$B$57)/12),0)))</f>
        <v>0</v>
      </c>
      <c r="AN361">
        <f>IF(D361=1,-AM361*N('Исходные данные'!$B$50),0)</f>
        <v>0</v>
      </c>
      <c r="AO361">
        <f t="shared" si="172"/>
        <v>0</v>
      </c>
      <c r="AP361">
        <f>IF(OR(D361&lt;&gt;1,B361="",'Исходные данные'!$B$91="",N('Исходные данные'!$B$80)&lt;=0,'Исходные данные'!$B$88=""),0,IF(AND(YEAR(B361)=YEAR('Исходные данные'!$B$91),MONTH(B361)=MONTH('Исходные данные'!$B$91)),MAX(0,IF('Исходные данные'!$B$88="Последние 12 месяцев",SUMIFS($AI$2:$AI$194,$B$2:$B$194,"&gt;="&amp;EDATE(B361,-11),$B$2:$B$194,"&lt;="&amp;B361),IF('Исходные данные'!$B$88="Пользовательский NOI",N('Исходные данные'!$B$89),AO361))/N('Исходные данные'!$B$80)*(1+N('Исходные данные'!$B$81))),0))</f>
        <v>0</v>
      </c>
      <c r="AQ361">
        <f>-AP361*N('Исходные данные'!$B$73)</f>
        <v>0</v>
      </c>
      <c r="AR361">
        <f>IF(AP361=0,0,-N('Исходные данные'!$B$87)-IF('Исходные данные'!$B$82="Да",IF('Исходные данные'!$B$84="С выручки",AP361,IF('Исходные данные'!$B$84="С прибыли",MAX(0,AP361+AQ361-IF('Исходные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61">
        <f t="shared" si="185"/>
        <v>0</v>
      </c>
      <c r="AT361">
        <f>IF(D361=1,Расчёты!AZ361+AH361+AK361+AN361+AS361,0)</f>
        <v>0</v>
      </c>
      <c r="AU361" t="str">
        <f t="shared" si="173"/>
        <v/>
      </c>
      <c r="AV361">
        <f>IF(OR(D361=0,'Исходные данные'!$B$9="",'Исходные данные'!$B$90=""),0,AT361/(1+'Исходные данные'!$B$90)^((C361-'Исходные данные'!$B$9)/365))</f>
        <v>0</v>
      </c>
      <c r="AW361">
        <f>IF(D361=1,AH361+Расчёты!O361+Расчёты!Q361+Расчёты!S361+Расчёты!U361+Расчёты!W361+Расчёты!X361+AK361+AN361,0)</f>
        <v>0</v>
      </c>
      <c r="AX361">
        <f>IF(AND(D361=1,AU361&gt;=0,AU360&lt;0,MIN($AU$2:AU361)&lt;0),1,0)</f>
        <v>0</v>
      </c>
      <c r="AY361">
        <f>IF(Расчёты!F361=0,0,IF(Расчёты!G361=1,N('Сценарный анализ'!$D$5),IF(Расчёты!G361=2,N('Сценарный анализ'!$D$6),IF(Расчёты!G361=3,N('Сценарный анализ'!$D$7),N('Сценарный анализ'!$D$7)*(1+N('Сценарный анализ'!$D$8))^(Расчёты!G361-3)))))</f>
        <v>0</v>
      </c>
      <c r="AZ361">
        <f>IF(OR(Расчёты!F361=0,N('Исходные данные'!$B$5)=0,AY361=0),0,N('Исходные данные'!$B$5)*AY361*IF(AND(B361&lt;='Исходные данные'!$B$30,Расчёты!C361&gt;='Исходные данные'!$B$30),(Расчёты!C361-'Исходные данные'!$B$30+1)/DAY(Расчёты!C361),1))</f>
        <v>0</v>
      </c>
      <c r="BA361">
        <f>IF(AND(Расчёты!F361&gt;0,Расчёты!F361&lt;=N('Исходные данные'!$B$37)),-AZ361,0)</f>
        <v>0</v>
      </c>
      <c r="BB361">
        <f>IF(OR(Расчёты!F361=0,Расчёты!F361&lt;=N('Исходные данные'!$B$37)),0,-(AZ361+BA361)*N('Сценарный анализ'!$D$9))</f>
        <v>0</v>
      </c>
      <c r="BC361">
        <f t="shared" si="186"/>
        <v>0</v>
      </c>
      <c r="BD361">
        <f>IF('Исходные данные'!$B$51="Да",BC361*N('Исходные данные'!$B$52),0)</f>
        <v>0</v>
      </c>
      <c r="BE361">
        <f t="shared" si="187"/>
        <v>0</v>
      </c>
      <c r="BF361">
        <f>BC361+(Расчёты!Y361-Расчёты!L361)</f>
        <v>0</v>
      </c>
      <c r="BG361">
        <f t="shared" si="174"/>
        <v>0</v>
      </c>
      <c r="BH361">
        <f>IF('Исходные данные'!$B$51="Да",-MAX(0,BD361+Расчёты!R361+Расчёты!V361-Расчёты!P361-Расчёты!T361-BG361),0)</f>
        <v>0</v>
      </c>
      <c r="BI361">
        <f>IF('Исходные данные'!$B$51="Да",MAX(0,BG361+Расчёты!P361+Расчёты!T361-BD361-Расчёты!R361-Расчёты!V361),0)</f>
        <v>0</v>
      </c>
      <c r="BJ361">
        <f>IF('Исходные данные'!$B$53="Выручка",MAX(0,BC361+(Расчёты!Q361-Расчёты!R361)+(Расчёты!U361-Расчёты!V361)),IF('Исходные данные'!$B$53="Прибыль до налога",MAX(0,BC361+(Расчёты!Q361-Расчёты!R361)+(Расчёты!U361-Расчёты!V361)+N('Исходные данные'!$B$54)*((Расчёты!O361+Расчёты!P361)+(Расчёты!S361+Расчёты!T361)+Расчёты!W361+Расчёты!X361)+IF('Исходные данные'!$B$55="Да",Расчёты!AG361,0)-N('Исходные данные'!$B$56)/12),IF('Исходные данные'!$B$53="Пользовательская база",MAX(0,N('Исходные данные'!$B$57)/12),0)))</f>
        <v>0</v>
      </c>
      <c r="BK361">
        <f>IF(D361=1,-BJ361*N('Исходные данные'!$B$50),0)</f>
        <v>0</v>
      </c>
      <c r="BL361">
        <f t="shared" si="175"/>
        <v>0</v>
      </c>
      <c r="BM361">
        <f>IF(OR(D361&lt;&gt;1,B361="",'Исходные данные'!$B$91="",N('Исходные данные'!$B$80)&lt;=0,'Исходные данные'!$B$88=""),0,IF(AND(YEAR(B361)=YEAR('Исходные данные'!$B$91),MONTH(B361)=MONTH('Исходные данные'!$B$91)),MAX(0,IF('Исходные данные'!$B$88="Последние 12 месяцев",SUMIFS($BF$2:$BF$194,$B$2:$B$194,"&gt;="&amp;EDATE(B361,-11),$B$2:$B$194,"&lt;="&amp;B361),IF('Исходные данные'!$B$88="Пользовательский NOI",N('Исходные данные'!$B$89),BL361))/N('Исходные данные'!$B$80)*(1+N('Исходные данные'!$B$81))),0))</f>
        <v>0</v>
      </c>
      <c r="BN361">
        <f>-BM361*N('Исходные данные'!$B$73)</f>
        <v>0</v>
      </c>
      <c r="BO361">
        <f>IF(BM361=0,0,-N('Исходные данные'!$B$87)-IF('Исходные данные'!$B$82="Да",IF('Исходные данные'!$B$84="С выручки",BM361,IF('Исходные данные'!$B$84="С прибыли",MAX(0,BM361+BN361-IF('Исходные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61">
        <f t="shared" si="188"/>
        <v>0</v>
      </c>
      <c r="BQ361">
        <f>IF(D361=1,Расчёты!AZ361+BE361+BH361+BK361+BP361,0)</f>
        <v>0</v>
      </c>
      <c r="BR361" t="str">
        <f t="shared" si="176"/>
        <v/>
      </c>
      <c r="BS361">
        <f>IF(OR(D361=0,'Исходные данные'!$B$9="",'Исходные данные'!$B$90=""),0,BQ361/(1+'Исходные данные'!$B$90)^((C361-'Исходные данные'!$B$9)/365))</f>
        <v>0</v>
      </c>
      <c r="BT361">
        <f>IF(D361=1,BE361+Расчёты!O361+Расчёты!Q361+Расчёты!S361+Расчёты!U361+Расчёты!W361+Расчёты!X361+BH361+BK361,0)</f>
        <v>0</v>
      </c>
      <c r="BU361">
        <f>IF(AND(D361=1,BR361&gt;=0,BR360&lt;0,MIN($BR$2:BR361)&lt;0),1,0)</f>
        <v>0</v>
      </c>
      <c r="BV361">
        <f>Расчёты!AZ361+K361+N361-P361*N('Исходные данные'!$B$50)</f>
        <v>0</v>
      </c>
      <c r="BW361">
        <f t="shared" si="177"/>
        <v>0</v>
      </c>
      <c r="BX361">
        <f>IF(AND(BW361&gt;=0,BW360&lt;0,MIN($BW$2:BW361)&lt;0),1,0)</f>
        <v>0</v>
      </c>
      <c r="BY361">
        <f>Расчёты!AZ361+AH361+AK361-AM361*N('Исходные данные'!$B$50)</f>
        <v>0</v>
      </c>
      <c r="BZ361">
        <f t="shared" si="178"/>
        <v>0</v>
      </c>
      <c r="CA361">
        <f>IF(AND(BZ361&gt;=0,BZ360&lt;0,MIN($BZ$2:BZ361)&lt;0),1,0)</f>
        <v>0</v>
      </c>
      <c r="CB361">
        <f>Расчёты!AZ361+BE361+BH361-BJ361*N('Исходные данные'!$B$50)</f>
        <v>0</v>
      </c>
      <c r="CC361">
        <f t="shared" si="179"/>
        <v>0</v>
      </c>
      <c r="CD361">
        <f>IF(AND(CC361&gt;=0,CC360&lt;0,MIN($CC$2:CC361)&lt;0),1,0)</f>
        <v>0</v>
      </c>
    </row>
    <row r="362" spans="1:82" x14ac:dyDescent="0.2">
      <c r="A362">
        <f>Расчёты!A362</f>
        <v>361</v>
      </c>
      <c r="B362" t="str">
        <f>Расчёты!B362</f>
        <v/>
      </c>
      <c r="C362" t="str">
        <f>Расчёты!D362</f>
        <v/>
      </c>
      <c r="D362">
        <f>Расчёты!E362</f>
        <v>0</v>
      </c>
      <c r="E362">
        <f>IF(Расчёты!F362=0,0,IF(Расчёты!G362=1,N('Сценарный анализ'!$B$5),IF(Расчёты!G362=2,N('Сценарный анализ'!$B$6),IF(Расчёты!G362=3,N('Сценарный анализ'!$B$7),N('Сценарный анализ'!$B$7)*(1+N('Сценарный анализ'!$B$8))^(Расчёты!G362-3)))))</f>
        <v>0</v>
      </c>
      <c r="F362">
        <f>IF(OR(Расчёты!F362=0,N('Исходные данные'!$B$5)=0,E362=0),0,N('Исходные данные'!$B$5)*E362*IF(AND(B362&lt;='Исходные данные'!$B$30,Расчёты!C362&gt;='Исходные данные'!$B$30),(Расчёты!C362-'Исходные данные'!$B$30+1)/DAY(Расчёты!C362),1))</f>
        <v>0</v>
      </c>
      <c r="G362">
        <f>IF(AND(Расчёты!F362&gt;0,Расчёты!F362&lt;=N('Исходные данные'!$B$37)),-F362,0)</f>
        <v>0</v>
      </c>
      <c r="H362">
        <f>IF(OR(Расчёты!F362=0,Расчёты!F362&lt;=N('Исходные данные'!$B$37)),0,-(F362+G362)*N('Сценарный анализ'!$B$9))</f>
        <v>0</v>
      </c>
      <c r="I362">
        <f t="shared" ref="I362" si="189">F362+G362+H362</f>
        <v>0</v>
      </c>
      <c r="J362">
        <f>IF('Исходные данные'!$B$51="Да",I362*N('Исходные данные'!$B$52),0)</f>
        <v>0</v>
      </c>
      <c r="K362">
        <f t="shared" ref="K362" si="190">I362+J362</f>
        <v>0</v>
      </c>
      <c r="L362">
        <f>I362+(Расчёты!Y362-Расчёты!L362)</f>
        <v>0</v>
      </c>
      <c r="M362">
        <f t="shared" ref="M362" si="191">O361</f>
        <v>0</v>
      </c>
      <c r="N362">
        <f>IF('Исходные данные'!$B$51="Да",-MAX(0,J362+Расчёты!R362+Расчёты!V362-Расчёты!P362-Расчёты!T362-M362),0)</f>
        <v>0</v>
      </c>
      <c r="O362">
        <f>IF('Исходные данные'!$B$51="Да",MAX(0,M362+Расчёты!P362+Расчёты!T362-J362-Расчёты!R362-Расчёты!V362),0)</f>
        <v>0</v>
      </c>
      <c r="P362">
        <f>IF('Исходные данные'!$B$53="Выручка",MAX(0,I362+(Расчёты!Q362-Расчёты!R362)+(Расчёты!U362-Расчёты!V362)),IF('Исходные данные'!$B$53="Прибыль до налога",MAX(0,I362+(Расчёты!Q362-Расчёты!R362)+(Расчёты!U362-Расчёты!V362)+N('Исходные данные'!$B$54)*((Расчёты!O362+Расчёты!P362)+(Расчёты!S362+Расчёты!T362)+Расчёты!W362+Расчёты!X362)+IF('Исходные данные'!$B$55="Да",Расчёты!AG362,0)-N('Исходные данные'!$B$56)/12),IF('Исходные данные'!$B$53="Пользовательская база",MAX(0,N('Исходные данные'!$B$57)/12),0)))</f>
        <v>0</v>
      </c>
      <c r="Q362">
        <f>IF(D362=1,-P362*N('Исходные данные'!$B$50),0)</f>
        <v>0</v>
      </c>
      <c r="R362">
        <f t="shared" ref="R362" si="192">IF(B362="",0,SUMIFS($L$2:$L$194,$B$2:$B$194,"&gt;"&amp;B362,$B$2:$B$194,"&lt;="&amp;EDATE(B362,12)))</f>
        <v>0</v>
      </c>
      <c r="S362">
        <f>IF(OR(D362&lt;&gt;1,B362="",'Исходные данные'!$B$91="",N('Исходные данные'!$B$80)&lt;=0,'Исходные данные'!$B$88=""),0,IF(AND(YEAR(B362)=YEAR('Исходные данные'!$B$91),MONTH(B362)=MONTH('Исходные данные'!$B$91)),MAX(0,IF('Исходные данные'!$B$88="Последние 12 месяцев",SUMIFS($L$2:$L$194,$B$2:$B$194,"&gt;="&amp;EDATE(B362,-11),$B$2:$B$194,"&lt;="&amp;B362),IF('Исходные данные'!$B$88="Пользовательский NOI",N('Исходные данные'!$B$89),R362))/N('Исходные данные'!$B$80)*(1+N('Исходные данные'!$B$81))),0))</f>
        <v>0</v>
      </c>
      <c r="T362">
        <f>-S362*N('Исходные данные'!$B$73)</f>
        <v>0</v>
      </c>
      <c r="U362">
        <f>IF(S362=0,0,-N('Исходные данные'!$B$87)-IF('Исходные данные'!$B$82="Да",IF('Исходные данные'!$B$84="С выручки",S362,IF('Исходные данные'!$B$84="С прибыли",MAX(0,S362+T362-IF('Исходные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62">
        <f t="shared" ref="V362" si="193">S362+T362+U362</f>
        <v>0</v>
      </c>
      <c r="W362">
        <f>IF(D362=1,Расчёты!AZ362+K362+N362+Q362+V362,0)</f>
        <v>0</v>
      </c>
      <c r="X362" t="str">
        <f t="shared" ref="X362" si="194">IF(D362=1,X361+W362,"")</f>
        <v/>
      </c>
      <c r="Y362">
        <f>IF(OR(D362=0,'Исходные данные'!$B$9="",'Исходные данные'!$B$90=""),0,W362/(1+'Исходные данные'!$B$90)^((C362-'Исходные данные'!$B$9)/365))</f>
        <v>0</v>
      </c>
      <c r="Z362">
        <f>IF(D362=1,K362+Расчёты!O362+Расчёты!Q362+Расчёты!S362+Расчёты!U362+Расчёты!W362+Расчёты!X362+N362+Q362,0)</f>
        <v>0</v>
      </c>
      <c r="AA362">
        <f>IF(AND(D362=1,X362&gt;=0,X361&lt;0,MIN($X$2:X362)&lt;0),1,0)</f>
        <v>0</v>
      </c>
      <c r="AB362">
        <f>IF(Расчёты!F362=0,0,IF(Расчёты!G362=1,N('Сценарный анализ'!$C$5),IF(Расчёты!G362=2,N('Сценарный анализ'!$C$6),IF(Расчёты!G362=3,N('Сценарный анализ'!$C$7),N('Сценарный анализ'!$C$7)*(1+N('Сценарный анализ'!$C$8))^(Расчёты!G362-3)))))</f>
        <v>0</v>
      </c>
      <c r="AC362">
        <f>IF(OR(Расчёты!F362=0,N('Исходные данные'!$B$5)=0,AB362=0),0,N('Исходные данные'!$B$5)*AB362*IF(AND(B362&lt;='Исходные данные'!$B$30,Расчёты!C362&gt;='Исходные данные'!$B$30),(Расчёты!C362-'Исходные данные'!$B$30+1)/DAY(Расчёты!C362),1))</f>
        <v>0</v>
      </c>
      <c r="AD362">
        <f>IF(AND(Расчёты!F362&gt;0,Расчёты!F362&lt;=N('Исходные данные'!$B$37)),-AC362,0)</f>
        <v>0</v>
      </c>
      <c r="AE362">
        <f>IF(OR(Расчёты!F362=0,Расчёты!F362&lt;=N('Исходные данные'!$B$37)),0,-(AC362+AD362)*N('Сценарный анализ'!$C$9))</f>
        <v>0</v>
      </c>
      <c r="AF362">
        <f t="shared" ref="AF362" si="195">AC362+AD362+AE362</f>
        <v>0</v>
      </c>
      <c r="AG362">
        <f>IF('Исходные данные'!$B$51="Да",AF362*N('Исходные данные'!$B$52),0)</f>
        <v>0</v>
      </c>
      <c r="AH362">
        <f t="shared" ref="AH362" si="196">AF362+AG362</f>
        <v>0</v>
      </c>
      <c r="AI362">
        <f>AF362+(Расчёты!Y362-Расчёты!L362)</f>
        <v>0</v>
      </c>
      <c r="AJ362">
        <f t="shared" ref="AJ362" si="197">AL361</f>
        <v>0</v>
      </c>
      <c r="AK362">
        <f>IF('Исходные данные'!$B$51="Да",-MAX(0,AG362+Расчёты!R362+Расчёты!V362-Расчёты!P362-Расчёты!T362-AJ362),0)</f>
        <v>0</v>
      </c>
      <c r="AL362">
        <f>IF('Исходные данные'!$B$51="Да",MAX(0,AJ362+Расчёты!P362+Расчёты!T362-AG362-Расчёты!R362-Расчёты!V362),0)</f>
        <v>0</v>
      </c>
      <c r="AM362">
        <f>IF('Исходные данные'!$B$53="Выручка",MAX(0,AF362+(Расчёты!Q362-Расчёты!R362)+(Расчёты!U362-Расчёты!V362)),IF('Исходные данные'!$B$53="Прибыль до налога",MAX(0,AF362+(Расчёты!Q362-Расчёты!R362)+(Расчёты!U362-Расчёты!V362)+N('Исходные данные'!$B$54)*((Расчёты!O362+Расчёты!P362)+(Расчёты!S362+Расчёты!T362)+Расчёты!W362+Расчёты!X362)+IF('Исходные данные'!$B$55="Да",Расчёты!AG362,0)-N('Исходные данные'!$B$56)/12),IF('Исходные данные'!$B$53="Пользовательская база",MAX(0,N('Исходные данные'!$B$57)/12),0)))</f>
        <v>0</v>
      </c>
      <c r="AN362">
        <f>IF(D362=1,-AM362*N('Исходные данные'!$B$50),0)</f>
        <v>0</v>
      </c>
      <c r="AO362">
        <f t="shared" ref="AO362" si="198">IF(B362="",0,SUMIFS($AI$2:$AI$194,$B$2:$B$194,"&gt;"&amp;B362,$B$2:$B$194,"&lt;="&amp;EDATE(B362,12)))</f>
        <v>0</v>
      </c>
      <c r="AP362">
        <f>IF(OR(D362&lt;&gt;1,B362="",'Исходные данные'!$B$91="",N('Исходные данные'!$B$80)&lt;=0,'Исходные данные'!$B$88=""),0,IF(AND(YEAR(B362)=YEAR('Исходные данные'!$B$91),MONTH(B362)=MONTH('Исходные данные'!$B$91)),MAX(0,IF('Исходные данные'!$B$88="Последние 12 месяцев",SUMIFS($AI$2:$AI$194,$B$2:$B$194,"&gt;="&amp;EDATE(B362,-11),$B$2:$B$194,"&lt;="&amp;B362),IF('Исходные данные'!$B$88="Пользовательский NOI",N('Исходные данные'!$B$89),AO362))/N('Исходные данные'!$B$80)*(1+N('Исходные данные'!$B$81))),0))</f>
        <v>0</v>
      </c>
      <c r="AQ362">
        <f>-AP362*N('Исходные данные'!$B$73)</f>
        <v>0</v>
      </c>
      <c r="AR362">
        <f>IF(AP362=0,0,-N('Исходные данные'!$B$87)-IF('Исходные данные'!$B$82="Да",IF('Исходные данные'!$B$84="С выручки",AP362,IF('Исходные данные'!$B$84="С прибыли",MAX(0,AP362+AQ362-IF('Исходные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62">
        <f t="shared" ref="AS362" si="199">AP362+AQ362+AR362</f>
        <v>0</v>
      </c>
      <c r="AT362">
        <f>IF(D362=1,Расчёты!AZ362+AH362+AK362+AN362+AS362,0)</f>
        <v>0</v>
      </c>
      <c r="AU362" t="str">
        <f t="shared" ref="AU362" si="200">IF(D362=1,AU361+AT362,"")</f>
        <v/>
      </c>
      <c r="AV362">
        <f>IF(OR(D362=0,'Исходные данные'!$B$9="",'Исходные данные'!$B$90=""),0,AT362/(1+'Исходные данные'!$B$90)^((C362-'Исходные данные'!$B$9)/365))</f>
        <v>0</v>
      </c>
      <c r="AW362">
        <f>IF(D362=1,AH362+Расчёты!O362+Расчёты!Q362+Расчёты!S362+Расчёты!U362+Расчёты!W362+Расчёты!X362+AK362+AN362,0)</f>
        <v>0</v>
      </c>
      <c r="AX362">
        <f>IF(AND(D362=1,AU362&gt;=0,AU361&lt;0,MIN($AU$2:AU362)&lt;0),1,0)</f>
        <v>0</v>
      </c>
      <c r="AY362">
        <f>IF(Расчёты!F362=0,0,IF(Расчёты!G362=1,N('Сценарный анализ'!$D$5),IF(Расчёты!G362=2,N('Сценарный анализ'!$D$6),IF(Расчёты!G362=3,N('Сценарный анализ'!$D$7),N('Сценарный анализ'!$D$7)*(1+N('Сценарный анализ'!$D$8))^(Расчёты!G362-3)))))</f>
        <v>0</v>
      </c>
      <c r="AZ362">
        <f>IF(OR(Расчёты!F362=0,N('Исходные данные'!$B$5)=0,AY362=0),0,N('Исходные данные'!$B$5)*AY362*IF(AND(B362&lt;='Исходные данные'!$B$30,Расчёты!C362&gt;='Исходные данные'!$B$30),(Расчёты!C362-'Исходные данные'!$B$30+1)/DAY(Расчёты!C362),1))</f>
        <v>0</v>
      </c>
      <c r="BA362">
        <f>IF(AND(Расчёты!F362&gt;0,Расчёты!F362&lt;=N('Исходные данные'!$B$37)),-AZ362,0)</f>
        <v>0</v>
      </c>
      <c r="BB362">
        <f>IF(OR(Расчёты!F362=0,Расчёты!F362&lt;=N('Исходные данные'!$B$37)),0,-(AZ362+BA362)*N('Сценарный анализ'!$D$9))</f>
        <v>0</v>
      </c>
      <c r="BC362">
        <f t="shared" ref="BC362" si="201">AZ362+BA362+BB362</f>
        <v>0</v>
      </c>
      <c r="BD362">
        <f>IF('Исходные данные'!$B$51="Да",BC362*N('Исходные данные'!$B$52),0)</f>
        <v>0</v>
      </c>
      <c r="BE362">
        <f t="shared" ref="BE362" si="202">BC362+BD362</f>
        <v>0</v>
      </c>
      <c r="BF362">
        <f>BC362+(Расчёты!Y362-Расчёты!L362)</f>
        <v>0</v>
      </c>
      <c r="BG362">
        <f t="shared" ref="BG362" si="203">BI361</f>
        <v>0</v>
      </c>
      <c r="BH362">
        <f>IF('Исходные данные'!$B$51="Да",-MAX(0,BD362+Расчёты!R362+Расчёты!V362-Расчёты!P362-Расчёты!T362-BG362),0)</f>
        <v>0</v>
      </c>
      <c r="BI362">
        <f>IF('Исходные данные'!$B$51="Да",MAX(0,BG362+Расчёты!P362+Расчёты!T362-BD362-Расчёты!R362-Расчёты!V362),0)</f>
        <v>0</v>
      </c>
      <c r="BJ362">
        <f>IF('Исходные данные'!$B$53="Выручка",MAX(0,BC362+(Расчёты!Q362-Расчёты!R362)+(Расчёты!U362-Расчёты!V362)),IF('Исходные данные'!$B$53="Прибыль до налога",MAX(0,BC362+(Расчёты!Q362-Расчёты!R362)+(Расчёты!U362-Расчёты!V362)+N('Исходные данные'!$B$54)*((Расчёты!O362+Расчёты!P362)+(Расчёты!S362+Расчёты!T362)+Расчёты!W362+Расчёты!X362)+IF('Исходные данные'!$B$55="Да",Расчёты!AG362,0)-N('Исходные данные'!$B$56)/12),IF('Исходные данные'!$B$53="Пользовательская база",MAX(0,N('Исходные данные'!$B$57)/12),0)))</f>
        <v>0</v>
      </c>
      <c r="BK362">
        <f>IF(D362=1,-BJ362*N('Исходные данные'!$B$50),0)</f>
        <v>0</v>
      </c>
      <c r="BL362">
        <f t="shared" ref="BL362" si="204">IF(B362="",0,SUMIFS($BF$2:$BF$194,$B$2:$B$194,"&gt;"&amp;B362,$B$2:$B$194,"&lt;="&amp;EDATE(B362,12)))</f>
        <v>0</v>
      </c>
      <c r="BM362">
        <f>IF(OR(D362&lt;&gt;1,B362="",'Исходные данные'!$B$91="",N('Исходные данные'!$B$80)&lt;=0,'Исходные данные'!$B$88=""),0,IF(AND(YEAR(B362)=YEAR('Исходные данные'!$B$91),MONTH(B362)=MONTH('Исходные данные'!$B$91)),MAX(0,IF('Исходные данные'!$B$88="Последние 12 месяцев",SUMIFS($BF$2:$BF$194,$B$2:$B$194,"&gt;="&amp;EDATE(B362,-11),$B$2:$B$194,"&lt;="&amp;B362),IF('Исходные данные'!$B$88="Пользовательский NOI",N('Исходные данные'!$B$89),BL362))/N('Исходные данные'!$B$80)*(1+N('Исходные данные'!$B$81))),0))</f>
        <v>0</v>
      </c>
      <c r="BN362">
        <f>-BM362*N('Исходные данные'!$B$73)</f>
        <v>0</v>
      </c>
      <c r="BO362">
        <f>IF(BM362=0,0,-N('Исходные данные'!$B$87)-IF('Исходные данные'!$B$82="Да",IF('Исходные данные'!$B$84="С выручки",BM362,IF('Исходные данные'!$B$84="С прибыли",MAX(0,BM362+BN362-IF('Исходные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62">
        <f t="shared" ref="BP362" si="205">BM362+BN362+BO362</f>
        <v>0</v>
      </c>
      <c r="BQ362">
        <f>IF(D362=1,Расчёты!AZ362+BE362+BH362+BK362+BP362,0)</f>
        <v>0</v>
      </c>
      <c r="BR362" t="str">
        <f t="shared" ref="BR362" si="206">IF(D362=1,BR361+BQ362,"")</f>
        <v/>
      </c>
      <c r="BS362">
        <f>IF(OR(D362=0,'Исходные данные'!$B$9="",'Исходные данные'!$B$90=""),0,BQ362/(1+'Исходные данные'!$B$90)^((C362-'Исходные данные'!$B$9)/365))</f>
        <v>0</v>
      </c>
      <c r="BT362">
        <f>IF(D362=1,BE362+Расчёты!O362+Расчёты!Q362+Расчёты!S362+Расчёты!U362+Расчёты!W362+Расчёты!X362+BH362+BK362,0)</f>
        <v>0</v>
      </c>
      <c r="BU362">
        <f>IF(AND(D362=1,BR362&gt;=0,BR361&lt;0,MIN($BR$2:BR362)&lt;0),1,0)</f>
        <v>0</v>
      </c>
      <c r="BV362">
        <f>Расчёты!AZ362+K362+N362-P362*N('Исходные данные'!$B$50)</f>
        <v>0</v>
      </c>
      <c r="BW362">
        <f t="shared" ref="BW362" si="207">BW361+BV362</f>
        <v>0</v>
      </c>
      <c r="BX362">
        <f>IF(AND(BW362&gt;=0,BW361&lt;0,MIN($BW$2:BW362)&lt;0),1,0)</f>
        <v>0</v>
      </c>
      <c r="BY362">
        <f>Расчёты!AZ362+AH362+AK362-AM362*N('Исходные данные'!$B$50)</f>
        <v>0</v>
      </c>
      <c r="BZ362">
        <f t="shared" ref="BZ362" si="208">BZ361+BY362</f>
        <v>0</v>
      </c>
      <c r="CA362">
        <f>IF(AND(BZ362&gt;=0,BZ361&lt;0,MIN($BZ$2:BZ362)&lt;0),1,0)</f>
        <v>0</v>
      </c>
      <c r="CB362">
        <f>Расчёты!AZ362+BE362+BH362-BJ362*N('Исходные данные'!$B$50)</f>
        <v>0</v>
      </c>
      <c r="CC362">
        <f t="shared" ref="CC362" si="209">CC361+CB362</f>
        <v>0</v>
      </c>
      <c r="CD362">
        <f>IF(AND(CC362&gt;=0,CC361&lt;0,MIN($CC$2:CC362)&lt;0),1,0)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Инструкция</vt:lpstr>
      <vt:lpstr>Исходные данные</vt:lpstr>
      <vt:lpstr>Инвестиционный расчет</vt:lpstr>
      <vt:lpstr>Сценарный анализ</vt:lpstr>
      <vt:lpstr>Расчёты</vt:lpstr>
      <vt:lpstr>Сценарии_расчёт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Пушин</dc:creator>
  <cp:lastModifiedBy>Дмитрий Пушин</cp:lastModifiedBy>
  <dcterms:created xsi:type="dcterms:W3CDTF">2026-08-25T05:40:17Z</dcterms:created>
  <dcterms:modified xsi:type="dcterms:W3CDTF">2026-09-07T04:54:24Z</dcterms:modified>
</cp:coreProperties>
</file>